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avs932\Downloads\"/>
    </mc:Choice>
  </mc:AlternateContent>
  <xr:revisionPtr revIDLastSave="0" documentId="8_{819091AE-7A37-4709-A4DF-48A06E7DD955}" xr6:coauthVersionLast="47" xr6:coauthVersionMax="47" xr10:uidLastSave="{00000000-0000-0000-0000-000000000000}"/>
  <bookViews>
    <workbookView xWindow="-28920" yWindow="-120" windowWidth="29040" windowHeight="15720" firstSheet="1" activeTab="2" xr2:uid="{860403F4-080A-43C3-AD11-DFA27E1EEBE4}"/>
  </bookViews>
  <sheets>
    <sheet name="Ligand cost" sheetId="1" r:id="rId1"/>
    <sheet name="Reagent cost" sheetId="3" r:id="rId2"/>
    <sheet name="Oxidant Feed Composition" sheetId="15" r:id="rId3"/>
    <sheet name="PGM market prices" sheetId="2" r:id="rId4"/>
    <sheet name="CAPEX+OPEX" sheetId="4" r:id="rId5"/>
    <sheet name="Sheet2" sheetId="6" r:id="rId6"/>
    <sheet name="Costing 100 Lmin Feed Orig" sheetId="7" r:id="rId7"/>
    <sheet name="TEA Revised Non EYZ" sheetId="13" r:id="rId8"/>
    <sheet name="Non EYZ +50%" sheetId="22" r:id="rId9"/>
    <sheet name="Non EYZ -50%" sheetId="23" r:id="rId10"/>
    <sheet name="eLLE Bals" sheetId="16" r:id="rId11"/>
    <sheet name="TEA Revised EYZ Inc" sheetId="14" r:id="rId12"/>
    <sheet name="EYZ Inc +50%" sheetId="20" r:id="rId13"/>
    <sheet name="EYZ Inc -50%" sheetId="21" r:id="rId14"/>
    <sheet name="TEA Non EYZ Sort" sheetId="18" r:id="rId15"/>
    <sheet name="TEA EYZ Inc Sort" sheetId="17" r:id="rId16"/>
  </sheets>
  <definedNames>
    <definedName name="_xlnm._FilterDatabase" localSheetId="15" hidden="1">'TEA EYZ Inc Sort'!$A$1:$F$101</definedName>
    <definedName name="_xlnm._FilterDatabase" localSheetId="14" hidden="1">'TEA Non EYZ Sort'!$A$1:$F$1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3" i="16" l="1"/>
  <c r="CI4" i="16"/>
  <c r="CI5" i="16"/>
  <c r="CI6" i="16"/>
  <c r="CI7" i="16"/>
  <c r="CI8" i="16"/>
  <c r="CI9" i="16"/>
  <c r="CI10" i="16"/>
  <c r="CI11" i="16"/>
  <c r="CI12" i="16"/>
  <c r="CI13" i="16"/>
  <c r="CI14" i="16"/>
  <c r="CI15" i="16"/>
  <c r="CI16" i="16"/>
  <c r="CI17" i="16"/>
  <c r="CI18" i="16"/>
  <c r="CI19" i="16"/>
  <c r="CI20" i="16"/>
  <c r="CI21" i="16"/>
  <c r="CI22" i="16"/>
  <c r="CI23" i="16"/>
  <c r="CI24" i="16"/>
  <c r="CI25" i="16"/>
  <c r="CI26" i="16"/>
  <c r="CI27" i="16"/>
  <c r="CI28" i="16"/>
  <c r="CI29" i="16"/>
  <c r="CI30" i="16"/>
  <c r="CI31" i="16"/>
  <c r="CI32" i="16"/>
  <c r="CI33" i="16"/>
  <c r="CI34" i="16"/>
  <c r="CI35" i="16"/>
  <c r="CI36" i="16"/>
  <c r="CI37" i="16"/>
  <c r="CI38" i="16"/>
  <c r="CI39" i="16"/>
  <c r="CI40" i="16"/>
  <c r="CI41" i="16"/>
  <c r="CI42" i="16"/>
  <c r="CI43" i="16"/>
  <c r="CI44" i="16"/>
  <c r="CI45" i="16"/>
  <c r="CI46" i="16"/>
  <c r="CI47" i="16"/>
  <c r="CI48" i="16"/>
  <c r="CI49" i="16"/>
  <c r="CI50" i="16"/>
  <c r="CI51" i="16"/>
  <c r="CI52" i="16"/>
  <c r="CI53" i="16"/>
  <c r="CI54" i="16"/>
  <c r="CI55" i="16"/>
  <c r="CI56" i="16"/>
  <c r="CI57" i="16"/>
  <c r="CI58" i="16"/>
  <c r="CI59" i="16"/>
  <c r="CI60" i="16"/>
  <c r="CI61" i="16"/>
  <c r="CI62" i="16"/>
  <c r="CI63" i="16"/>
  <c r="CI64" i="16"/>
  <c r="CI65" i="16"/>
  <c r="CI66" i="16"/>
  <c r="CI67" i="16"/>
  <c r="CI68" i="16"/>
  <c r="CI69" i="16"/>
  <c r="CI70" i="16"/>
  <c r="CI71" i="16"/>
  <c r="CI72" i="16"/>
  <c r="CI73" i="16"/>
  <c r="CI74" i="16"/>
  <c r="CI75" i="16"/>
  <c r="CI76" i="16"/>
  <c r="CI77" i="16"/>
  <c r="CI78" i="16"/>
  <c r="CI79" i="16"/>
  <c r="CI80" i="16"/>
  <c r="CI81" i="16"/>
  <c r="CI82" i="16"/>
  <c r="CI83" i="16"/>
  <c r="CI84" i="16"/>
  <c r="CI85" i="16"/>
  <c r="CI86" i="16"/>
  <c r="CI87" i="16"/>
  <c r="CI88" i="16"/>
  <c r="CI89" i="16"/>
  <c r="CI90" i="16"/>
  <c r="CI91" i="16"/>
  <c r="CI92" i="16"/>
  <c r="CI93" i="16"/>
  <c r="CI94" i="16"/>
  <c r="CI95" i="16"/>
  <c r="CI96" i="16"/>
  <c r="CI97" i="16"/>
  <c r="CI98" i="16"/>
  <c r="CI99" i="16"/>
  <c r="CI100" i="16"/>
  <c r="CI101" i="16"/>
  <c r="CI2" i="16"/>
  <c r="CH3" i="16"/>
  <c r="CH4" i="16"/>
  <c r="CH5" i="16"/>
  <c r="CH6" i="16"/>
  <c r="CH7" i="16"/>
  <c r="CH8" i="16"/>
  <c r="CH9" i="16"/>
  <c r="CH10" i="16"/>
  <c r="CH11" i="16"/>
  <c r="CH12" i="16"/>
  <c r="CH13" i="16"/>
  <c r="CH14" i="16"/>
  <c r="CH15" i="16"/>
  <c r="CH16" i="16"/>
  <c r="CH17" i="16"/>
  <c r="CH18" i="16"/>
  <c r="CH19" i="16"/>
  <c r="CH20" i="16"/>
  <c r="CH21" i="16"/>
  <c r="CH22" i="16"/>
  <c r="CH23" i="16"/>
  <c r="CH24" i="16"/>
  <c r="CH25" i="16"/>
  <c r="CH26" i="16"/>
  <c r="CH27" i="16"/>
  <c r="CH28" i="16"/>
  <c r="CH29" i="16"/>
  <c r="CH30" i="16"/>
  <c r="CH31" i="16"/>
  <c r="CH32" i="16"/>
  <c r="CH33" i="16"/>
  <c r="CH34" i="16"/>
  <c r="CH35" i="16"/>
  <c r="CH36" i="16"/>
  <c r="CH37" i="16"/>
  <c r="CH38" i="16"/>
  <c r="CH39" i="16"/>
  <c r="CH40" i="16"/>
  <c r="CH41" i="16"/>
  <c r="CH42" i="16"/>
  <c r="CH43" i="16"/>
  <c r="CH44" i="16"/>
  <c r="CH45" i="16"/>
  <c r="CH46" i="16"/>
  <c r="CH47" i="16"/>
  <c r="CH48" i="16"/>
  <c r="CH49" i="16"/>
  <c r="CH50" i="16"/>
  <c r="CH51" i="16"/>
  <c r="CH52" i="16"/>
  <c r="CH53" i="16"/>
  <c r="CH54" i="16"/>
  <c r="CH55" i="16"/>
  <c r="CH56" i="16"/>
  <c r="CH57" i="16"/>
  <c r="CH58" i="16"/>
  <c r="CH59" i="16"/>
  <c r="CH60" i="16"/>
  <c r="CH61" i="16"/>
  <c r="CH62" i="16"/>
  <c r="CH63" i="16"/>
  <c r="CH64" i="16"/>
  <c r="CH65" i="16"/>
  <c r="CH66" i="16"/>
  <c r="CH67" i="16"/>
  <c r="CH68" i="16"/>
  <c r="CH69" i="16"/>
  <c r="CH70" i="16"/>
  <c r="CH71" i="16"/>
  <c r="CH72" i="16"/>
  <c r="CH73" i="16"/>
  <c r="CH74" i="16"/>
  <c r="CH75" i="16"/>
  <c r="CH76" i="16"/>
  <c r="CH77" i="16"/>
  <c r="CH78" i="16"/>
  <c r="CH79" i="16"/>
  <c r="CH80" i="16"/>
  <c r="CH81" i="16"/>
  <c r="CH82" i="16"/>
  <c r="CH83" i="16"/>
  <c r="CH84" i="16"/>
  <c r="CH85" i="16"/>
  <c r="CH86" i="16"/>
  <c r="CH87" i="16"/>
  <c r="CH88" i="16"/>
  <c r="CH89" i="16"/>
  <c r="CH90" i="16"/>
  <c r="CH91" i="16"/>
  <c r="CH92" i="16"/>
  <c r="CH93" i="16"/>
  <c r="CH94" i="16"/>
  <c r="CH95" i="16"/>
  <c r="CH96" i="16"/>
  <c r="CH97" i="16"/>
  <c r="CH98" i="16"/>
  <c r="CH99" i="16"/>
  <c r="CH100" i="16"/>
  <c r="CH101" i="16"/>
  <c r="CH2" i="16"/>
  <c r="DF5" i="23"/>
  <c r="DI8" i="23"/>
  <c r="DH3" i="23"/>
  <c r="DH4" i="23"/>
  <c r="DH5" i="23"/>
  <c r="DH6" i="23"/>
  <c r="DH7" i="23"/>
  <c r="DH8" i="23"/>
  <c r="DH9" i="23"/>
  <c r="DH10" i="23"/>
  <c r="DH11" i="23"/>
  <c r="DH12" i="23"/>
  <c r="DH13" i="23"/>
  <c r="DH14" i="23"/>
  <c r="DH15" i="23"/>
  <c r="DH16" i="23"/>
  <c r="DH17" i="23"/>
  <c r="DH18" i="23"/>
  <c r="DH19" i="23"/>
  <c r="DH20" i="23"/>
  <c r="DH21" i="23"/>
  <c r="DH22" i="23"/>
  <c r="DH23" i="23"/>
  <c r="DH24" i="23"/>
  <c r="DH25" i="23"/>
  <c r="DH26" i="23"/>
  <c r="DH27" i="23"/>
  <c r="DH28" i="23"/>
  <c r="DH29" i="23"/>
  <c r="DH30" i="23"/>
  <c r="DH31" i="23"/>
  <c r="DH32" i="23"/>
  <c r="DH33" i="23"/>
  <c r="DH34" i="23"/>
  <c r="DH35" i="23"/>
  <c r="DH36" i="23"/>
  <c r="DH37" i="23"/>
  <c r="DH38" i="23"/>
  <c r="DH39" i="23"/>
  <c r="DH40" i="23"/>
  <c r="DH41" i="23"/>
  <c r="DH42" i="23"/>
  <c r="DH43" i="23"/>
  <c r="DH44" i="23"/>
  <c r="DH45" i="23"/>
  <c r="DH46" i="23"/>
  <c r="DH47" i="23"/>
  <c r="DH48" i="23"/>
  <c r="DH49" i="23"/>
  <c r="DH50" i="23"/>
  <c r="DH51" i="23"/>
  <c r="DH52" i="23"/>
  <c r="DH53" i="23"/>
  <c r="DH54" i="23"/>
  <c r="DH55" i="23"/>
  <c r="DH56" i="23"/>
  <c r="DH57" i="23"/>
  <c r="DH58" i="23"/>
  <c r="DH59" i="23"/>
  <c r="DH60" i="23"/>
  <c r="DH61" i="23"/>
  <c r="DH62" i="23"/>
  <c r="DH63" i="23"/>
  <c r="DH64" i="23"/>
  <c r="DH65" i="23"/>
  <c r="DH66" i="23"/>
  <c r="DH67" i="23"/>
  <c r="DH68" i="23"/>
  <c r="DH69" i="23"/>
  <c r="DH70" i="23"/>
  <c r="DH71" i="23"/>
  <c r="DH72" i="23"/>
  <c r="DH73" i="23"/>
  <c r="DH74" i="23"/>
  <c r="DH75" i="23"/>
  <c r="DH76" i="23"/>
  <c r="DH77" i="23"/>
  <c r="DH78" i="23"/>
  <c r="DH79" i="23"/>
  <c r="DH80" i="23"/>
  <c r="DH81" i="23"/>
  <c r="DH82" i="23"/>
  <c r="DH83" i="23"/>
  <c r="DH84" i="23"/>
  <c r="DH85" i="23"/>
  <c r="DH86" i="23"/>
  <c r="DH87" i="23"/>
  <c r="DH88" i="23"/>
  <c r="DH89" i="23"/>
  <c r="DH90" i="23"/>
  <c r="DH91" i="23"/>
  <c r="DH92" i="23"/>
  <c r="DH93" i="23"/>
  <c r="DH94" i="23"/>
  <c r="DH95" i="23"/>
  <c r="DH96" i="23"/>
  <c r="DH97" i="23"/>
  <c r="DH98" i="23"/>
  <c r="DH99" i="23"/>
  <c r="DH100" i="23"/>
  <c r="DH101" i="23"/>
  <c r="DH2" i="23"/>
  <c r="DG3" i="23"/>
  <c r="DG4" i="23"/>
  <c r="DG5" i="23"/>
  <c r="DG6" i="23"/>
  <c r="DG7" i="23"/>
  <c r="DG8" i="23"/>
  <c r="DG9" i="23"/>
  <c r="DG10" i="23"/>
  <c r="DG11" i="23"/>
  <c r="DG12" i="23"/>
  <c r="DG13" i="23"/>
  <c r="DG14" i="23"/>
  <c r="DG15" i="23"/>
  <c r="DG16" i="23"/>
  <c r="DG17" i="23"/>
  <c r="DG18" i="23"/>
  <c r="DG19" i="23"/>
  <c r="DG20" i="23"/>
  <c r="DG21" i="23"/>
  <c r="DG22" i="23"/>
  <c r="DG23" i="23"/>
  <c r="DG24" i="23"/>
  <c r="DG25" i="23"/>
  <c r="DG26" i="23"/>
  <c r="DG27" i="23"/>
  <c r="DG28" i="23"/>
  <c r="DG29" i="23"/>
  <c r="DG30" i="23"/>
  <c r="DG31" i="23"/>
  <c r="DG32" i="23"/>
  <c r="DG33" i="23"/>
  <c r="DG34" i="23"/>
  <c r="DG35" i="23"/>
  <c r="DG36" i="23"/>
  <c r="DG37" i="23"/>
  <c r="DG38" i="23"/>
  <c r="DG39" i="23"/>
  <c r="DG40" i="23"/>
  <c r="DG41" i="23"/>
  <c r="DG42" i="23"/>
  <c r="DG43" i="23"/>
  <c r="DG44" i="23"/>
  <c r="DG45" i="23"/>
  <c r="DG46" i="23"/>
  <c r="DG47" i="23"/>
  <c r="DG48" i="23"/>
  <c r="DG49" i="23"/>
  <c r="DG50" i="23"/>
  <c r="DG51" i="23"/>
  <c r="DG52" i="23"/>
  <c r="DG53" i="23"/>
  <c r="DG54" i="23"/>
  <c r="DG55" i="23"/>
  <c r="DG56" i="23"/>
  <c r="DG57" i="23"/>
  <c r="DG58" i="23"/>
  <c r="DG59" i="23"/>
  <c r="DG60" i="23"/>
  <c r="DG61" i="23"/>
  <c r="DG62" i="23"/>
  <c r="DG63" i="23"/>
  <c r="DG64" i="23"/>
  <c r="DG65" i="23"/>
  <c r="DG66" i="23"/>
  <c r="DG67" i="23"/>
  <c r="DG68" i="23"/>
  <c r="DG69" i="23"/>
  <c r="DG70" i="23"/>
  <c r="DG71" i="23"/>
  <c r="DG72" i="23"/>
  <c r="DG73" i="23"/>
  <c r="DG74" i="23"/>
  <c r="DG75" i="23"/>
  <c r="DG76" i="23"/>
  <c r="DG77" i="23"/>
  <c r="DG78" i="23"/>
  <c r="DG79" i="23"/>
  <c r="DG80" i="23"/>
  <c r="DG81" i="23"/>
  <c r="DG82" i="23"/>
  <c r="DG83" i="23"/>
  <c r="DG84" i="23"/>
  <c r="DG85" i="23"/>
  <c r="DG86" i="23"/>
  <c r="DG87" i="23"/>
  <c r="DG88" i="23"/>
  <c r="DG89" i="23"/>
  <c r="DG90" i="23"/>
  <c r="DG91" i="23"/>
  <c r="DG92" i="23"/>
  <c r="DG93" i="23"/>
  <c r="DG94" i="23"/>
  <c r="DG95" i="23"/>
  <c r="DG96" i="23"/>
  <c r="DG97" i="23"/>
  <c r="DG98" i="23"/>
  <c r="DG99" i="23"/>
  <c r="DG100" i="23"/>
  <c r="DG101" i="23"/>
  <c r="DG2" i="23"/>
  <c r="DH3" i="22"/>
  <c r="DH4" i="22"/>
  <c r="DH5" i="22"/>
  <c r="DH6" i="22"/>
  <c r="DH7" i="22"/>
  <c r="DH8" i="22"/>
  <c r="DH9" i="22"/>
  <c r="DH10" i="22"/>
  <c r="DH11" i="22"/>
  <c r="DH12" i="22"/>
  <c r="DH13" i="22"/>
  <c r="DH14" i="22"/>
  <c r="DH15" i="22"/>
  <c r="DH16" i="22"/>
  <c r="DH17" i="22"/>
  <c r="DH18" i="22"/>
  <c r="DH19" i="22"/>
  <c r="DH20" i="22"/>
  <c r="DH21" i="22"/>
  <c r="DH22" i="22"/>
  <c r="DH23" i="22"/>
  <c r="DH24" i="22"/>
  <c r="DH25" i="22"/>
  <c r="DH26" i="22"/>
  <c r="DH27" i="22"/>
  <c r="DH28" i="22"/>
  <c r="DH29" i="22"/>
  <c r="DH30" i="22"/>
  <c r="DH31" i="22"/>
  <c r="DH32" i="22"/>
  <c r="DH33" i="22"/>
  <c r="DH34" i="22"/>
  <c r="DH35" i="22"/>
  <c r="DH36" i="22"/>
  <c r="DH37" i="22"/>
  <c r="DH38" i="22"/>
  <c r="DH39" i="22"/>
  <c r="DH40" i="22"/>
  <c r="DH41" i="22"/>
  <c r="DH42" i="22"/>
  <c r="DH43" i="22"/>
  <c r="DH44" i="22"/>
  <c r="DH45" i="22"/>
  <c r="DH46" i="22"/>
  <c r="DH47" i="22"/>
  <c r="DH48" i="22"/>
  <c r="DH49" i="22"/>
  <c r="DH50" i="22"/>
  <c r="DH51" i="22"/>
  <c r="DH52" i="22"/>
  <c r="DH53" i="22"/>
  <c r="DH54" i="22"/>
  <c r="DH55" i="22"/>
  <c r="DH56" i="22"/>
  <c r="DH57" i="22"/>
  <c r="DH58" i="22"/>
  <c r="DH59" i="22"/>
  <c r="DH60" i="22"/>
  <c r="DH61" i="22"/>
  <c r="DH62" i="22"/>
  <c r="DH63" i="22"/>
  <c r="DH64" i="22"/>
  <c r="DH65" i="22"/>
  <c r="DH66" i="22"/>
  <c r="DH67" i="22"/>
  <c r="DH68" i="22"/>
  <c r="DH69" i="22"/>
  <c r="DH70" i="22"/>
  <c r="DH71" i="22"/>
  <c r="DH72" i="22"/>
  <c r="DH73" i="22"/>
  <c r="DH74" i="22"/>
  <c r="DH75" i="22"/>
  <c r="DH76" i="22"/>
  <c r="DH77" i="22"/>
  <c r="DH78" i="22"/>
  <c r="DH79" i="22"/>
  <c r="DH80" i="22"/>
  <c r="DH81" i="22"/>
  <c r="DH82" i="22"/>
  <c r="DH83" i="22"/>
  <c r="DH84" i="22"/>
  <c r="DH85" i="22"/>
  <c r="DH86" i="22"/>
  <c r="DH87" i="22"/>
  <c r="DH88" i="22"/>
  <c r="DH89" i="22"/>
  <c r="DH90" i="22"/>
  <c r="DH91" i="22"/>
  <c r="DH92" i="22"/>
  <c r="DH93" i="22"/>
  <c r="DH94" i="22"/>
  <c r="DH95" i="22"/>
  <c r="DH96" i="22"/>
  <c r="DH97" i="22"/>
  <c r="DH98" i="22"/>
  <c r="DH99" i="22"/>
  <c r="DH100" i="22"/>
  <c r="DH101" i="22"/>
  <c r="DH2" i="22"/>
  <c r="DG3" i="22"/>
  <c r="DG4" i="22"/>
  <c r="DG5" i="22"/>
  <c r="DG6" i="22"/>
  <c r="DG7" i="22"/>
  <c r="DG8" i="22"/>
  <c r="DG9" i="22"/>
  <c r="DG10" i="22"/>
  <c r="DG11" i="22"/>
  <c r="DG12" i="22"/>
  <c r="DG13" i="22"/>
  <c r="DG14" i="22"/>
  <c r="DG15" i="22"/>
  <c r="DG16" i="22"/>
  <c r="DG17" i="22"/>
  <c r="DG18" i="22"/>
  <c r="DG19" i="22"/>
  <c r="DG20" i="22"/>
  <c r="DG21" i="22"/>
  <c r="DG22" i="22"/>
  <c r="DG23" i="22"/>
  <c r="DG24" i="22"/>
  <c r="DG25" i="22"/>
  <c r="DG26" i="22"/>
  <c r="DG27" i="22"/>
  <c r="DG28" i="22"/>
  <c r="DG29" i="22"/>
  <c r="DG30" i="22"/>
  <c r="DG31" i="22"/>
  <c r="DG32" i="22"/>
  <c r="DG33" i="22"/>
  <c r="DG34" i="22"/>
  <c r="DG35" i="22"/>
  <c r="DG36" i="22"/>
  <c r="DG37" i="22"/>
  <c r="DG38" i="22"/>
  <c r="DG39" i="22"/>
  <c r="DG40" i="22"/>
  <c r="DG41" i="22"/>
  <c r="DG42" i="22"/>
  <c r="DG43" i="22"/>
  <c r="DG44" i="22"/>
  <c r="DG45" i="22"/>
  <c r="DG46" i="22"/>
  <c r="DG47" i="22"/>
  <c r="DG48" i="22"/>
  <c r="DG49" i="22"/>
  <c r="DG50" i="22"/>
  <c r="DG51" i="22"/>
  <c r="DG52" i="22"/>
  <c r="DG53" i="22"/>
  <c r="DG54" i="22"/>
  <c r="DG55" i="22"/>
  <c r="DG56" i="22"/>
  <c r="DG57" i="22"/>
  <c r="DG58" i="22"/>
  <c r="DG59" i="22"/>
  <c r="DG60" i="22"/>
  <c r="DG61" i="22"/>
  <c r="DG62" i="22"/>
  <c r="DG63" i="22"/>
  <c r="DG64" i="22"/>
  <c r="DG65" i="22"/>
  <c r="DG66" i="22"/>
  <c r="DG67" i="22"/>
  <c r="DG68" i="22"/>
  <c r="DG69" i="22"/>
  <c r="DG70" i="22"/>
  <c r="DG71" i="22"/>
  <c r="DG72" i="22"/>
  <c r="DG73" i="22"/>
  <c r="DG74" i="22"/>
  <c r="DG75" i="22"/>
  <c r="DG76" i="22"/>
  <c r="DG77" i="22"/>
  <c r="DG78" i="22"/>
  <c r="DG79" i="22"/>
  <c r="DG80" i="22"/>
  <c r="DG81" i="22"/>
  <c r="DG82" i="22"/>
  <c r="DG83" i="22"/>
  <c r="DG84" i="22"/>
  <c r="DG85" i="22"/>
  <c r="DG86" i="22"/>
  <c r="DG87" i="22"/>
  <c r="DG88" i="22"/>
  <c r="DG89" i="22"/>
  <c r="DG90" i="22"/>
  <c r="DG91" i="22"/>
  <c r="DG92" i="22"/>
  <c r="DG93" i="22"/>
  <c r="DG94" i="22"/>
  <c r="DG95" i="22"/>
  <c r="DG96" i="22"/>
  <c r="DG97" i="22"/>
  <c r="DG98" i="22"/>
  <c r="DG99" i="22"/>
  <c r="DG100" i="22"/>
  <c r="DG101" i="22"/>
  <c r="DG2" i="22"/>
  <c r="GA4" i="21"/>
  <c r="GB2" i="14"/>
  <c r="GB3" i="14"/>
  <c r="EH2" i="13"/>
  <c r="CX2" i="13"/>
  <c r="I99" i="13"/>
  <c r="DT101" i="23"/>
  <c r="EB101" i="23" s="1"/>
  <c r="DC101" i="23"/>
  <c r="CR101" i="23"/>
  <c r="CQ101" i="23"/>
  <c r="CP101" i="23"/>
  <c r="CO101" i="23"/>
  <c r="CZ101" i="23" s="1"/>
  <c r="CN101" i="23"/>
  <c r="CM101" i="23"/>
  <c r="BN101" i="23"/>
  <c r="BT101" i="23" s="1"/>
  <c r="BZ101" i="23" s="1"/>
  <c r="CK101" i="23" s="1"/>
  <c r="BM101" i="23"/>
  <c r="BL101" i="23"/>
  <c r="BK101" i="23"/>
  <c r="BJ101" i="23"/>
  <c r="BI101" i="23"/>
  <c r="BH101" i="23"/>
  <c r="BG101" i="23"/>
  <c r="BF101" i="23"/>
  <c r="BE101" i="23"/>
  <c r="BD101" i="23"/>
  <c r="BC101" i="23"/>
  <c r="BB101" i="23"/>
  <c r="BA101" i="23"/>
  <c r="AZ101" i="23"/>
  <c r="AY101" i="23"/>
  <c r="AX101" i="23"/>
  <c r="AW101" i="23"/>
  <c r="AV101" i="23"/>
  <c r="AU101" i="23"/>
  <c r="AT101" i="23"/>
  <c r="AS101" i="23"/>
  <c r="AR101" i="23"/>
  <c r="AQ101" i="23"/>
  <c r="DU101" i="23" s="1"/>
  <c r="EH101" i="23" s="1"/>
  <c r="AP101" i="23"/>
  <c r="AO101" i="23"/>
  <c r="AN101" i="23"/>
  <c r="AM101" i="23"/>
  <c r="AL101" i="23"/>
  <c r="AK101" i="23"/>
  <c r="AJ101" i="23"/>
  <c r="AI101" i="23"/>
  <c r="AH101" i="23"/>
  <c r="AG101" i="23"/>
  <c r="AF101" i="23"/>
  <c r="AE101" i="23"/>
  <c r="AD101" i="23"/>
  <c r="AC101" i="23"/>
  <c r="AB101" i="23"/>
  <c r="AA101" i="23"/>
  <c r="Z101" i="23"/>
  <c r="Y101" i="23"/>
  <c r="X101" i="23"/>
  <c r="W101" i="23"/>
  <c r="V101" i="23"/>
  <c r="U101" i="23"/>
  <c r="T101" i="23"/>
  <c r="S101" i="23"/>
  <c r="R101" i="23"/>
  <c r="Q101" i="23"/>
  <c r="P101" i="23"/>
  <c r="O101" i="23"/>
  <c r="N101" i="23"/>
  <c r="M101" i="23"/>
  <c r="L101" i="23"/>
  <c r="K101" i="23"/>
  <c r="J101" i="23"/>
  <c r="I101" i="23"/>
  <c r="H101" i="23"/>
  <c r="G101" i="23"/>
  <c r="F101" i="23"/>
  <c r="E101" i="23"/>
  <c r="D101" i="23"/>
  <c r="C101" i="23"/>
  <c r="B101" i="23"/>
  <c r="A101" i="23"/>
  <c r="EG100" i="23"/>
  <c r="EF100" i="23"/>
  <c r="EE100" i="23"/>
  <c r="ED100" i="23"/>
  <c r="EC100" i="23"/>
  <c r="EA100" i="23"/>
  <c r="DZ100" i="23"/>
  <c r="DY100" i="23"/>
  <c r="DX100" i="23"/>
  <c r="DW100" i="23"/>
  <c r="DP100" i="23"/>
  <c r="DM100" i="23"/>
  <c r="DI100" i="23"/>
  <c r="DC100" i="23"/>
  <c r="DB100" i="23"/>
  <c r="DA100" i="23"/>
  <c r="CV100" i="23"/>
  <c r="CR100" i="23"/>
  <c r="CW100" i="23" s="1"/>
  <c r="CQ100" i="23"/>
  <c r="CP100" i="23"/>
  <c r="CU100" i="23" s="1"/>
  <c r="CO100" i="23"/>
  <c r="CN100" i="23"/>
  <c r="CM100" i="23"/>
  <c r="CF100" i="23"/>
  <c r="CB100" i="23"/>
  <c r="BU100" i="23"/>
  <c r="BT100" i="23"/>
  <c r="BZ100" i="23" s="1"/>
  <c r="CK100" i="23" s="1"/>
  <c r="BS100" i="23"/>
  <c r="BR100" i="23"/>
  <c r="CE100" i="23" s="1"/>
  <c r="BQ100" i="23"/>
  <c r="CD100" i="23" s="1"/>
  <c r="DK100" i="23" s="1"/>
  <c r="BO100" i="23"/>
  <c r="BN100" i="23"/>
  <c r="BM100" i="23"/>
  <c r="BL100" i="23"/>
  <c r="BK100" i="23"/>
  <c r="BJ100" i="23"/>
  <c r="BI100" i="23"/>
  <c r="BH100" i="23"/>
  <c r="BG100" i="23"/>
  <c r="BF100" i="23"/>
  <c r="BE100" i="23"/>
  <c r="BD100" i="23"/>
  <c r="BC100" i="23"/>
  <c r="BB100" i="23"/>
  <c r="BA100" i="23"/>
  <c r="BV100" i="23" s="1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BP100" i="23" s="1"/>
  <c r="CC100" i="23" s="1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A100" i="23"/>
  <c r="EF99" i="23"/>
  <c r="ED99" i="23"/>
  <c r="EC99" i="23"/>
  <c r="EA99" i="23"/>
  <c r="DZ99" i="23"/>
  <c r="DY99" i="23"/>
  <c r="DM99" i="23"/>
  <c r="CS99" i="23"/>
  <c r="CR99" i="23"/>
  <c r="CW99" i="23" s="1"/>
  <c r="CQ99" i="23"/>
  <c r="CP99" i="23"/>
  <c r="CO99" i="23"/>
  <c r="CN99" i="23"/>
  <c r="CY99" i="23" s="1"/>
  <c r="CM99" i="23"/>
  <c r="BU99" i="23"/>
  <c r="BS99" i="23"/>
  <c r="BP99" i="23"/>
  <c r="CC99" i="23" s="1"/>
  <c r="BO99" i="23"/>
  <c r="BN99" i="23"/>
  <c r="DU99" i="23" s="1"/>
  <c r="EH99" i="23" s="1"/>
  <c r="BM99" i="23"/>
  <c r="DT99" i="23" s="1"/>
  <c r="EB99" i="23" s="1"/>
  <c r="BL99" i="23"/>
  <c r="BK99" i="23"/>
  <c r="DW99" i="23" s="1"/>
  <c r="BJ99" i="23"/>
  <c r="BI99" i="23"/>
  <c r="BH99" i="23"/>
  <c r="BG99" i="23"/>
  <c r="BF99" i="23"/>
  <c r="BE99" i="23"/>
  <c r="BD99" i="23"/>
  <c r="BC99" i="23"/>
  <c r="BB99" i="23"/>
  <c r="BA99" i="23"/>
  <c r="BV99" i="23" s="1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EG99" i="23" s="1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DP99" i="23" s="1"/>
  <c r="A99" i="23"/>
  <c r="DX99" i="23" s="1"/>
  <c r="EG98" i="23"/>
  <c r="EF98" i="23"/>
  <c r="EE98" i="23"/>
  <c r="ED98" i="23"/>
  <c r="EC98" i="23"/>
  <c r="EA98" i="23"/>
  <c r="CR98" i="23"/>
  <c r="CQ98" i="23"/>
  <c r="CP98" i="23"/>
  <c r="CO98" i="23"/>
  <c r="CN98" i="23"/>
  <c r="CM98" i="23"/>
  <c r="CK98" i="23"/>
  <c r="CF98" i="23"/>
  <c r="DI98" i="23" s="1"/>
  <c r="CA98" i="23"/>
  <c r="CL98" i="23" s="1"/>
  <c r="BZ98" i="23"/>
  <c r="BV98" i="23"/>
  <c r="CH98" i="23" s="1"/>
  <c r="BT98" i="23"/>
  <c r="BR98" i="23"/>
  <c r="CE98" i="23" s="1"/>
  <c r="BN98" i="23"/>
  <c r="BM98" i="23"/>
  <c r="BL98" i="23"/>
  <c r="BK98" i="23"/>
  <c r="DZ98" i="23" s="1"/>
  <c r="BJ98" i="23"/>
  <c r="BI98" i="23"/>
  <c r="BH98" i="23"/>
  <c r="BG98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DU98" i="23" s="1"/>
  <c r="EH98" i="23" s="1"/>
  <c r="AQ98" i="23"/>
  <c r="AP98" i="23"/>
  <c r="AO98" i="23"/>
  <c r="AN98" i="23"/>
  <c r="AM98" i="23"/>
  <c r="DT98" i="23" s="1"/>
  <c r="EB98" i="23" s="1"/>
  <c r="AL98" i="23"/>
  <c r="AK98" i="23"/>
  <c r="AJ98" i="23"/>
  <c r="AI98" i="23"/>
  <c r="AH98" i="23"/>
  <c r="AG98" i="23"/>
  <c r="AF98" i="23"/>
  <c r="BP98" i="23" s="1"/>
  <c r="CC98" i="23" s="1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DP98" i="23" s="1"/>
  <c r="C98" i="23"/>
  <c r="B98" i="23"/>
  <c r="A98" i="23"/>
  <c r="BO98" i="23" s="1"/>
  <c r="DP97" i="23"/>
  <c r="DM97" i="23"/>
  <c r="CW97" i="23"/>
  <c r="CR97" i="23"/>
  <c r="CQ97" i="23"/>
  <c r="CV97" i="23" s="1"/>
  <c r="CP97" i="23"/>
  <c r="CO97" i="23"/>
  <c r="CN97" i="23"/>
  <c r="CM97" i="23"/>
  <c r="CB97" i="23"/>
  <c r="BY97" i="23"/>
  <c r="CJ97" i="23" s="1"/>
  <c r="BX97" i="23"/>
  <c r="CI97" i="23" s="1"/>
  <c r="BW97" i="23"/>
  <c r="BU97" i="23"/>
  <c r="CG97" i="23" s="1"/>
  <c r="BS97" i="23"/>
  <c r="BN97" i="23"/>
  <c r="BM97" i="23"/>
  <c r="BL97" i="23"/>
  <c r="BK97" i="23"/>
  <c r="BJ97" i="23"/>
  <c r="BI97" i="23"/>
  <c r="BH97" i="23"/>
  <c r="BG97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DT97" i="23" s="1"/>
  <c r="EB97" i="23" s="1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A97" i="23"/>
  <c r="BO97" i="23" s="1"/>
  <c r="BQ97" i="23" s="1"/>
  <c r="CD97" i="23" s="1"/>
  <c r="EG96" i="23"/>
  <c r="EF96" i="23"/>
  <c r="EE96" i="23"/>
  <c r="DZ96" i="23"/>
  <c r="DT96" i="23"/>
  <c r="EB96" i="23" s="1"/>
  <c r="CY96" i="23"/>
  <c r="CU96" i="23"/>
  <c r="CT96" i="23"/>
  <c r="CS96" i="23"/>
  <c r="CR96" i="23"/>
  <c r="CQ96" i="23"/>
  <c r="CP96" i="23"/>
  <c r="DA96" i="23" s="1"/>
  <c r="CO96" i="23"/>
  <c r="CZ96" i="23" s="1"/>
  <c r="CN96" i="23"/>
  <c r="CM96" i="23"/>
  <c r="CB96" i="23"/>
  <c r="BU96" i="23"/>
  <c r="BP96" i="23"/>
  <c r="BN96" i="23"/>
  <c r="BM96" i="23"/>
  <c r="ED96" i="23" s="1"/>
  <c r="BL96" i="23"/>
  <c r="BS96" i="23" s="1"/>
  <c r="BK96" i="23"/>
  <c r="DP96" i="23" s="1"/>
  <c r="BJ96" i="23"/>
  <c r="BI96" i="23"/>
  <c r="BH96" i="23"/>
  <c r="BG96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DM96" i="23" s="1"/>
  <c r="A96" i="23"/>
  <c r="BO96" i="23" s="1"/>
  <c r="DW95" i="23"/>
  <c r="DU95" i="23"/>
  <c r="EH95" i="23" s="1"/>
  <c r="DT95" i="23"/>
  <c r="EB95" i="23" s="1"/>
  <c r="DP95" i="23"/>
  <c r="CR95" i="23"/>
  <c r="CQ95" i="23"/>
  <c r="CP95" i="23"/>
  <c r="CO95" i="23"/>
  <c r="CN95" i="23"/>
  <c r="CM95" i="23"/>
  <c r="BX95" i="23"/>
  <c r="CI95" i="23" s="1"/>
  <c r="BN95" i="23"/>
  <c r="BV95" i="23" s="1"/>
  <c r="BM95" i="23"/>
  <c r="EG95" i="23" s="1"/>
  <c r="BL95" i="23"/>
  <c r="BS95" i="23" s="1"/>
  <c r="BK95" i="23"/>
  <c r="BJ95" i="23"/>
  <c r="BI95" i="23"/>
  <c r="BH95" i="23"/>
  <c r="BG95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A95" i="23"/>
  <c r="DM94" i="23"/>
  <c r="DC94" i="23"/>
  <c r="DB94" i="23"/>
  <c r="DA94" i="23"/>
  <c r="CR94" i="23"/>
  <c r="CQ94" i="23"/>
  <c r="CP94" i="23"/>
  <c r="CO94" i="23"/>
  <c r="CN94" i="23"/>
  <c r="CM94" i="23"/>
  <c r="BN94" i="23"/>
  <c r="BT94" i="23" s="1"/>
  <c r="BZ94" i="23" s="1"/>
  <c r="CK94" i="23" s="1"/>
  <c r="BM94" i="23"/>
  <c r="BL94" i="23"/>
  <c r="BK94" i="23"/>
  <c r="BJ94" i="23"/>
  <c r="BI94" i="23"/>
  <c r="BH94" i="23"/>
  <c r="BG94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BU94" i="23" s="1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A94" i="23"/>
  <c r="EF93" i="23"/>
  <c r="EA93" i="23"/>
  <c r="DZ93" i="23"/>
  <c r="DU93" i="23"/>
  <c r="EH93" i="23" s="1"/>
  <c r="DP93" i="23"/>
  <c r="DC93" i="23"/>
  <c r="DB93" i="23"/>
  <c r="DA93" i="23"/>
  <c r="CZ93" i="23"/>
  <c r="CY93" i="23"/>
  <c r="DD93" i="23" s="1"/>
  <c r="CW93" i="23"/>
  <c r="CV93" i="23"/>
  <c r="CR93" i="23"/>
  <c r="CQ93" i="23"/>
  <c r="CP93" i="23"/>
  <c r="CU93" i="23" s="1"/>
  <c r="CO93" i="23"/>
  <c r="CN93" i="23"/>
  <c r="CM93" i="23"/>
  <c r="CK93" i="23"/>
  <c r="CG93" i="23"/>
  <c r="CF93" i="23"/>
  <c r="DI93" i="23" s="1"/>
  <c r="CE93" i="23"/>
  <c r="CC93" i="23"/>
  <c r="BV93" i="23"/>
  <c r="BP93" i="23"/>
  <c r="BR93" i="23" s="1"/>
  <c r="BN93" i="23"/>
  <c r="BT93" i="23" s="1"/>
  <c r="BZ93" i="23" s="1"/>
  <c r="BM93" i="23"/>
  <c r="DT93" i="23" s="1"/>
  <c r="EB93" i="23" s="1"/>
  <c r="BL93" i="23"/>
  <c r="BK93" i="23"/>
  <c r="BJ93" i="23"/>
  <c r="BI93" i="23"/>
  <c r="BH93" i="23"/>
  <c r="BG93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BU93" i="23" s="1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A93" i="23"/>
  <c r="DX93" i="23" s="1"/>
  <c r="DA92" i="23"/>
  <c r="CZ92" i="23"/>
  <c r="CY92" i="23"/>
  <c r="CR92" i="23"/>
  <c r="DC92" i="23" s="1"/>
  <c r="CQ92" i="23"/>
  <c r="CP92" i="23"/>
  <c r="CO92" i="23"/>
  <c r="CN92" i="23"/>
  <c r="CM92" i="23"/>
  <c r="BN92" i="23"/>
  <c r="BT92" i="23" s="1"/>
  <c r="BZ92" i="23" s="1"/>
  <c r="CK92" i="23" s="1"/>
  <c r="BM92" i="23"/>
  <c r="BL92" i="23"/>
  <c r="BK92" i="23"/>
  <c r="BJ92" i="23"/>
  <c r="BI92" i="23"/>
  <c r="BH92" i="23"/>
  <c r="BG92" i="23"/>
  <c r="BF92" i="23"/>
  <c r="BE92" i="23"/>
  <c r="BD92" i="23"/>
  <c r="BC92" i="23"/>
  <c r="BB92" i="23"/>
  <c r="BA92" i="23"/>
  <c r="AZ92" i="23"/>
  <c r="AY92" i="23"/>
  <c r="AX92" i="23"/>
  <c r="AW92" i="23"/>
  <c r="AV92" i="23"/>
  <c r="AU92" i="23"/>
  <c r="AT92" i="23"/>
  <c r="AS92" i="23"/>
  <c r="AR92" i="23"/>
  <c r="AQ92" i="23"/>
  <c r="AP92" i="23"/>
  <c r="AO92" i="23"/>
  <c r="AN92" i="23"/>
  <c r="AM92" i="23"/>
  <c r="AL92" i="23"/>
  <c r="AK92" i="23"/>
  <c r="AJ92" i="23"/>
  <c r="AI92" i="23"/>
  <c r="AH92" i="23"/>
  <c r="AG92" i="23"/>
  <c r="AF92" i="23"/>
  <c r="AE92" i="23"/>
  <c r="AD92" i="23"/>
  <c r="AC92" i="23"/>
  <c r="AB92" i="23"/>
  <c r="AA92" i="23"/>
  <c r="Z92" i="23"/>
  <c r="Y92" i="23"/>
  <c r="X92" i="23"/>
  <c r="W92" i="23"/>
  <c r="V92" i="23"/>
  <c r="U92" i="23"/>
  <c r="T92" i="23"/>
  <c r="S92" i="23"/>
  <c r="R92" i="23"/>
  <c r="Q92" i="23"/>
  <c r="P92" i="23"/>
  <c r="O92" i="23"/>
  <c r="N92" i="23"/>
  <c r="M92" i="23"/>
  <c r="L92" i="23"/>
  <c r="K92" i="23"/>
  <c r="J92" i="23"/>
  <c r="I92" i="23"/>
  <c r="H92" i="23"/>
  <c r="G92" i="23"/>
  <c r="F92" i="23"/>
  <c r="E92" i="23"/>
  <c r="D92" i="23"/>
  <c r="C92" i="23"/>
  <c r="B92" i="23"/>
  <c r="A92" i="23"/>
  <c r="DY91" i="23"/>
  <c r="DX91" i="23"/>
  <c r="DW91" i="23"/>
  <c r="DT91" i="23"/>
  <c r="EB91" i="23" s="1"/>
  <c r="CR91" i="23"/>
  <c r="CQ91" i="23"/>
  <c r="CP91" i="23"/>
  <c r="CU91" i="23" s="1"/>
  <c r="CO91" i="23"/>
  <c r="CN91" i="23"/>
  <c r="CM91" i="23"/>
  <c r="CK91" i="23"/>
  <c r="CF91" i="23"/>
  <c r="DI91" i="23" s="1"/>
  <c r="BN91" i="23"/>
  <c r="BT91" i="23" s="1"/>
  <c r="BZ91" i="23" s="1"/>
  <c r="BM91" i="23"/>
  <c r="BL91" i="23"/>
  <c r="BK91" i="23"/>
  <c r="BJ91" i="23"/>
  <c r="BI91" i="23"/>
  <c r="BH91" i="23"/>
  <c r="BG91" i="23"/>
  <c r="BF91" i="23"/>
  <c r="BE91" i="23"/>
  <c r="BD91" i="23"/>
  <c r="BC91" i="23"/>
  <c r="BB91" i="23"/>
  <c r="BA91" i="23"/>
  <c r="AZ91" i="23"/>
  <c r="AY91" i="23"/>
  <c r="AX91" i="23"/>
  <c r="AW91" i="23"/>
  <c r="AV91" i="23"/>
  <c r="AU91" i="23"/>
  <c r="AT91" i="23"/>
  <c r="AS91" i="23"/>
  <c r="AR91" i="23"/>
  <c r="AQ91" i="23"/>
  <c r="AP91" i="23"/>
  <c r="AO91" i="23"/>
  <c r="AN91" i="23"/>
  <c r="AM91" i="23"/>
  <c r="AL91" i="23"/>
  <c r="AK91" i="23"/>
  <c r="AJ91" i="23"/>
  <c r="AI91" i="23"/>
  <c r="AH91" i="23"/>
  <c r="AG91" i="23"/>
  <c r="AF91" i="23"/>
  <c r="BP91" i="23" s="1"/>
  <c r="AE91" i="23"/>
  <c r="AD91" i="23"/>
  <c r="AC91" i="23"/>
  <c r="AB91" i="23"/>
  <c r="AA91" i="23"/>
  <c r="Z91" i="23"/>
  <c r="Y91" i="23"/>
  <c r="X91" i="23"/>
  <c r="W91" i="23"/>
  <c r="V91" i="23"/>
  <c r="U91" i="23"/>
  <c r="T91" i="23"/>
  <c r="S91" i="23"/>
  <c r="R91" i="23"/>
  <c r="Q91" i="23"/>
  <c r="P91" i="23"/>
  <c r="O91" i="23"/>
  <c r="N91" i="23"/>
  <c r="M91" i="23"/>
  <c r="L91" i="23"/>
  <c r="K91" i="23"/>
  <c r="J91" i="23"/>
  <c r="I91" i="23"/>
  <c r="H91" i="23"/>
  <c r="G91" i="23"/>
  <c r="F91" i="23"/>
  <c r="E91" i="23"/>
  <c r="D91" i="23"/>
  <c r="C91" i="23"/>
  <c r="B91" i="23"/>
  <c r="A91" i="23"/>
  <c r="EA90" i="23"/>
  <c r="DZ90" i="23"/>
  <c r="DY90" i="23"/>
  <c r="DX90" i="23"/>
  <c r="DW90" i="23"/>
  <c r="DP90" i="23"/>
  <c r="DM90" i="23"/>
  <c r="DI90" i="23"/>
  <c r="CR90" i="23"/>
  <c r="CW90" i="23" s="1"/>
  <c r="CQ90" i="23"/>
  <c r="CV90" i="23" s="1"/>
  <c r="CP90" i="23"/>
  <c r="CU90" i="23" s="1"/>
  <c r="CO90" i="23"/>
  <c r="CN90" i="23"/>
  <c r="CM90" i="23"/>
  <c r="CB90" i="23"/>
  <c r="BW90" i="23"/>
  <c r="BV90" i="23"/>
  <c r="BU90" i="23"/>
  <c r="BS90" i="23"/>
  <c r="BO90" i="23"/>
  <c r="BQ90" i="23" s="1"/>
  <c r="CD90" i="23" s="1"/>
  <c r="BN90" i="23"/>
  <c r="BM90" i="23"/>
  <c r="BL90" i="23"/>
  <c r="BK90" i="23"/>
  <c r="CF90" i="23" s="1"/>
  <c r="BJ90" i="23"/>
  <c r="BI90" i="23"/>
  <c r="BH90" i="23"/>
  <c r="BG90" i="23"/>
  <c r="BF90" i="23"/>
  <c r="BE90" i="23"/>
  <c r="BD90" i="23"/>
  <c r="BC90" i="23"/>
  <c r="BB90" i="23"/>
  <c r="BA90" i="23"/>
  <c r="BT90" i="23" s="1"/>
  <c r="BZ90" i="23" s="1"/>
  <c r="CK90" i="23" s="1"/>
  <c r="AZ90" i="23"/>
  <c r="AY90" i="23"/>
  <c r="AX90" i="23"/>
  <c r="AW90" i="23"/>
  <c r="AV90" i="23"/>
  <c r="AU90" i="23"/>
  <c r="AT90" i="23"/>
  <c r="AS90" i="23"/>
  <c r="AR90" i="23"/>
  <c r="AQ90" i="23"/>
  <c r="AP90" i="23"/>
  <c r="AO90" i="23"/>
  <c r="AN90" i="23"/>
  <c r="AM90" i="23"/>
  <c r="AL90" i="23"/>
  <c r="AK90" i="23"/>
  <c r="AJ90" i="23"/>
  <c r="AI90" i="23"/>
  <c r="AH90" i="23"/>
  <c r="AG90" i="23"/>
  <c r="AF90" i="23"/>
  <c r="AE90" i="23"/>
  <c r="AD90" i="23"/>
  <c r="AC90" i="23"/>
  <c r="AB90" i="23"/>
  <c r="AA90" i="23"/>
  <c r="Z90" i="23"/>
  <c r="Y90" i="23"/>
  <c r="X90" i="23"/>
  <c r="W90" i="23"/>
  <c r="V90" i="23"/>
  <c r="U90" i="23"/>
  <c r="T90" i="23"/>
  <c r="S90" i="23"/>
  <c r="R90" i="23"/>
  <c r="Q90" i="23"/>
  <c r="P90" i="23"/>
  <c r="O90" i="23"/>
  <c r="N90" i="23"/>
  <c r="M90" i="23"/>
  <c r="L90" i="23"/>
  <c r="K90" i="23"/>
  <c r="J90" i="23"/>
  <c r="I90" i="23"/>
  <c r="H90" i="23"/>
  <c r="G90" i="23"/>
  <c r="F90" i="23"/>
  <c r="E90" i="23"/>
  <c r="D90" i="23"/>
  <c r="C90" i="23"/>
  <c r="B90" i="23"/>
  <c r="A90" i="23"/>
  <c r="EB89" i="23"/>
  <c r="EA89" i="23"/>
  <c r="DZ89" i="23"/>
  <c r="DY89" i="23"/>
  <c r="CR89" i="23"/>
  <c r="CW89" i="23" s="1"/>
  <c r="CQ89" i="23"/>
  <c r="CP89" i="23"/>
  <c r="CO89" i="23"/>
  <c r="CN89" i="23"/>
  <c r="CM89" i="23"/>
  <c r="BV89" i="23"/>
  <c r="BU89" i="23"/>
  <c r="BS89" i="23"/>
  <c r="BQ89" i="23"/>
  <c r="CD89" i="23" s="1"/>
  <c r="BO89" i="23"/>
  <c r="CB89" i="23" s="1"/>
  <c r="BN89" i="23"/>
  <c r="BM89" i="23"/>
  <c r="DT89" i="23" s="1"/>
  <c r="BL89" i="23"/>
  <c r="BK89" i="23"/>
  <c r="DW89" i="23" s="1"/>
  <c r="BJ89" i="23"/>
  <c r="BI89" i="23"/>
  <c r="BH89" i="23"/>
  <c r="BG89" i="23"/>
  <c r="BF89" i="23"/>
  <c r="BE89" i="23"/>
  <c r="BD89" i="23"/>
  <c r="BC89" i="23"/>
  <c r="BB89" i="23"/>
  <c r="BA89" i="23"/>
  <c r="BT89" i="23" s="1"/>
  <c r="BZ89" i="23" s="1"/>
  <c r="CK89" i="23" s="1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DP89" i="23" s="1"/>
  <c r="A89" i="23"/>
  <c r="DX89" i="23" s="1"/>
  <c r="EG88" i="23"/>
  <c r="EE88" i="23"/>
  <c r="ED88" i="23"/>
  <c r="EC88" i="23"/>
  <c r="EA88" i="23"/>
  <c r="DU88" i="23"/>
  <c r="EH88" i="23" s="1"/>
  <c r="CR88" i="23"/>
  <c r="CQ88" i="23"/>
  <c r="CP88" i="23"/>
  <c r="CO88" i="23"/>
  <c r="CN88" i="23"/>
  <c r="CY88" i="23" s="1"/>
  <c r="CM88" i="23"/>
  <c r="CF88" i="23"/>
  <c r="DI88" i="23" s="1"/>
  <c r="CA88" i="23"/>
  <c r="CL88" i="23" s="1"/>
  <c r="BN88" i="23"/>
  <c r="BM88" i="23"/>
  <c r="BL88" i="23"/>
  <c r="BK88" i="23"/>
  <c r="DZ88" i="23" s="1"/>
  <c r="BJ88" i="23"/>
  <c r="BI88" i="23"/>
  <c r="BH88" i="23"/>
  <c r="BG88" i="23"/>
  <c r="BF88" i="23"/>
  <c r="BE88" i="23"/>
  <c r="BD88" i="23"/>
  <c r="BC88" i="23"/>
  <c r="BB88" i="23"/>
  <c r="BA88" i="23"/>
  <c r="BV88" i="23" s="1"/>
  <c r="CH88" i="23" s="1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DT88" i="23" s="1"/>
  <c r="EB88" i="23" s="1"/>
  <c r="AL88" i="23"/>
  <c r="AK88" i="23"/>
  <c r="AJ88" i="23"/>
  <c r="AI88" i="23"/>
  <c r="AH88" i="23"/>
  <c r="AG88" i="23"/>
  <c r="AF88" i="23"/>
  <c r="BP88" i="23" s="1"/>
  <c r="CC88" i="23" s="1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DM88" i="23" s="1"/>
  <c r="C88" i="23"/>
  <c r="B88" i="23"/>
  <c r="A88" i="23"/>
  <c r="BO88" i="23" s="1"/>
  <c r="DP87" i="23"/>
  <c r="DM87" i="23"/>
  <c r="DI87" i="23"/>
  <c r="DB87" i="23"/>
  <c r="CR87" i="23"/>
  <c r="CQ87" i="23"/>
  <c r="CV87" i="23" s="1"/>
  <c r="CP87" i="23"/>
  <c r="CO87" i="23"/>
  <c r="CN87" i="23"/>
  <c r="CM87" i="23"/>
  <c r="CH87" i="23"/>
  <c r="CF87" i="23"/>
  <c r="BX87" i="23"/>
  <c r="CI87" i="23" s="1"/>
  <c r="BW87" i="23"/>
  <c r="BY87" i="23" s="1"/>
  <c r="CJ87" i="23" s="1"/>
  <c r="BU87" i="23"/>
  <c r="CG87" i="23" s="1"/>
  <c r="BS87" i="23"/>
  <c r="BN87" i="23"/>
  <c r="BM87" i="23"/>
  <c r="BL87" i="23"/>
  <c r="BK87" i="23"/>
  <c r="BJ87" i="23"/>
  <c r="BI87" i="23"/>
  <c r="BH87" i="23"/>
  <c r="BG87" i="23"/>
  <c r="BF87" i="23"/>
  <c r="BE87" i="23"/>
  <c r="BD87" i="23"/>
  <c r="BC87" i="23"/>
  <c r="BB87" i="23"/>
  <c r="BA87" i="23"/>
  <c r="BV87" i="23" s="1"/>
  <c r="DO87" i="23" s="1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DT87" i="23" s="1"/>
  <c r="EB87" i="23" s="1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A87" i="23"/>
  <c r="EG86" i="23"/>
  <c r="EF86" i="23"/>
  <c r="EE86" i="23"/>
  <c r="DD86" i="23"/>
  <c r="CY86" i="23"/>
  <c r="CW86" i="23"/>
  <c r="CV86" i="23"/>
  <c r="CU86" i="23"/>
  <c r="CT86" i="23"/>
  <c r="CS86" i="23"/>
  <c r="CX86" i="23" s="1"/>
  <c r="CR86" i="23"/>
  <c r="DC86" i="23" s="1"/>
  <c r="CQ86" i="23"/>
  <c r="DB86" i="23" s="1"/>
  <c r="CP86" i="23"/>
  <c r="DA86" i="23" s="1"/>
  <c r="CO86" i="23"/>
  <c r="CZ86" i="23" s="1"/>
  <c r="CN86" i="23"/>
  <c r="CM86" i="23"/>
  <c r="CB86" i="23"/>
  <c r="BX86" i="23"/>
  <c r="CI86" i="23" s="1"/>
  <c r="BV86" i="23"/>
  <c r="BU86" i="23"/>
  <c r="BP86" i="23"/>
  <c r="BN86" i="23"/>
  <c r="BT86" i="23" s="1"/>
  <c r="BZ86" i="23" s="1"/>
  <c r="CK86" i="23" s="1"/>
  <c r="BM86" i="23"/>
  <c r="ED86" i="23" s="1"/>
  <c r="BL86" i="23"/>
  <c r="BK86" i="23"/>
  <c r="BJ86" i="23"/>
  <c r="BI86" i="23"/>
  <c r="BH86" i="23"/>
  <c r="BG86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DT86" i="23" s="1"/>
  <c r="EB86" i="23" s="1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BS86" i="23" s="1"/>
  <c r="DN86" i="23" s="1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DP86" i="23" s="1"/>
  <c r="A86" i="23"/>
  <c r="BO86" i="23" s="1"/>
  <c r="DP85" i="23"/>
  <c r="CS85" i="23"/>
  <c r="CR85" i="23"/>
  <c r="CQ85" i="23"/>
  <c r="CP85" i="23"/>
  <c r="CO85" i="23"/>
  <c r="CN85" i="23"/>
  <c r="CM85" i="23"/>
  <c r="CL85" i="23"/>
  <c r="CC85" i="23"/>
  <c r="CA85" i="23"/>
  <c r="BV85" i="23"/>
  <c r="CH85" i="23" s="1"/>
  <c r="BR85" i="23"/>
  <c r="CE85" i="23" s="1"/>
  <c r="BP85" i="23"/>
  <c r="BN85" i="23"/>
  <c r="BM85" i="23"/>
  <c r="BL85" i="23"/>
  <c r="BS85" i="23" s="1"/>
  <c r="BK85" i="23"/>
  <c r="CU85" i="23" s="1"/>
  <c r="BJ85" i="23"/>
  <c r="BI85" i="23"/>
  <c r="BH85" i="23"/>
  <c r="BG85" i="23"/>
  <c r="BF85" i="23"/>
  <c r="BE85" i="23"/>
  <c r="BD85" i="23"/>
  <c r="BC85" i="23"/>
  <c r="BB85" i="23"/>
  <c r="BA85" i="23"/>
  <c r="BT85" i="23" s="1"/>
  <c r="BZ85" i="23" s="1"/>
  <c r="CK85" i="23" s="1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A85" i="23"/>
  <c r="DY84" i="23"/>
  <c r="DX84" i="23"/>
  <c r="CU84" i="23"/>
  <c r="CT84" i="23"/>
  <c r="CR84" i="23"/>
  <c r="CQ84" i="23"/>
  <c r="CP84" i="23"/>
  <c r="CO84" i="23"/>
  <c r="CN84" i="23"/>
  <c r="CM84" i="23"/>
  <c r="BT84" i="23"/>
  <c r="BZ84" i="23" s="1"/>
  <c r="CK84" i="23" s="1"/>
  <c r="BN84" i="23"/>
  <c r="BM84" i="23"/>
  <c r="BL84" i="23"/>
  <c r="BK84" i="23"/>
  <c r="DM84" i="23" s="1"/>
  <c r="BJ84" i="23"/>
  <c r="BI84" i="23"/>
  <c r="BH84" i="23"/>
  <c r="BG84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DU84" i="23" s="1"/>
  <c r="EH84" i="23" s="1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BU84" i="23" s="1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A84" i="23"/>
  <c r="BO84" i="23" s="1"/>
  <c r="DZ83" i="23"/>
  <c r="DP83" i="23"/>
  <c r="DC83" i="23"/>
  <c r="DB83" i="23"/>
  <c r="DA83" i="23"/>
  <c r="CZ83" i="23"/>
  <c r="CR83" i="23"/>
  <c r="CQ83" i="23"/>
  <c r="CP83" i="23"/>
  <c r="CU83" i="23" s="1"/>
  <c r="CO83" i="23"/>
  <c r="CN83" i="23"/>
  <c r="CM83" i="23"/>
  <c r="CK83" i="23"/>
  <c r="CG83" i="23"/>
  <c r="CF83" i="23"/>
  <c r="DI83" i="23" s="1"/>
  <c r="BQ83" i="23"/>
  <c r="CD83" i="23" s="1"/>
  <c r="BN83" i="23"/>
  <c r="BT83" i="23" s="1"/>
  <c r="BZ83" i="23" s="1"/>
  <c r="BM83" i="23"/>
  <c r="BL83" i="23"/>
  <c r="BK83" i="23"/>
  <c r="BJ83" i="23"/>
  <c r="BI83" i="23"/>
  <c r="BH83" i="23"/>
  <c r="BG83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BU83" i="23" s="1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A83" i="23"/>
  <c r="BO83" i="23" s="1"/>
  <c r="CB83" i="23" s="1"/>
  <c r="EC82" i="23"/>
  <c r="EB82" i="23"/>
  <c r="EA82" i="23"/>
  <c r="DZ82" i="23"/>
  <c r="DY82" i="23"/>
  <c r="DT82" i="23"/>
  <c r="DC82" i="23"/>
  <c r="DB82" i="23"/>
  <c r="DD82" i="23" s="1"/>
  <c r="DA82" i="23"/>
  <c r="CZ82" i="23"/>
  <c r="CY82" i="23"/>
  <c r="CR82" i="23"/>
  <c r="CW82" i="23" s="1"/>
  <c r="CQ82" i="23"/>
  <c r="CP82" i="23"/>
  <c r="CO82" i="23"/>
  <c r="CN82" i="23"/>
  <c r="CM82" i="23"/>
  <c r="CG82" i="23"/>
  <c r="CF82" i="23"/>
  <c r="DI82" i="23" s="1"/>
  <c r="CE82" i="23"/>
  <c r="CC82" i="23"/>
  <c r="BS82" i="23"/>
  <c r="BR82" i="23"/>
  <c r="BP82" i="23"/>
  <c r="BO82" i="23"/>
  <c r="CB82" i="23" s="1"/>
  <c r="BN82" i="23"/>
  <c r="BM82" i="23"/>
  <c r="BL82" i="23"/>
  <c r="BK82" i="23"/>
  <c r="BJ82" i="23"/>
  <c r="BI82" i="23"/>
  <c r="BH82" i="23"/>
  <c r="BG82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BU82" i="23" s="1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A82" i="23"/>
  <c r="EE81" i="23"/>
  <c r="EC81" i="23"/>
  <c r="EA81" i="23"/>
  <c r="DZ81" i="23"/>
  <c r="DY81" i="23"/>
  <c r="DX81" i="23"/>
  <c r="DW81" i="23"/>
  <c r="CR81" i="23"/>
  <c r="CQ81" i="23"/>
  <c r="CV81" i="23" s="1"/>
  <c r="CP81" i="23"/>
  <c r="CU81" i="23" s="1"/>
  <c r="CO81" i="23"/>
  <c r="CN81" i="23"/>
  <c r="CM81" i="23"/>
  <c r="CF81" i="23"/>
  <c r="DI81" i="23" s="1"/>
  <c r="BU81" i="23"/>
  <c r="BT81" i="23"/>
  <c r="BZ81" i="23" s="1"/>
  <c r="CK81" i="23" s="1"/>
  <c r="BN81" i="23"/>
  <c r="BM81" i="23"/>
  <c r="BL81" i="23"/>
  <c r="BS81" i="23" s="1"/>
  <c r="BK81" i="23"/>
  <c r="BJ81" i="23"/>
  <c r="BI81" i="23"/>
  <c r="BH81" i="23"/>
  <c r="BG81" i="23"/>
  <c r="BF81" i="23"/>
  <c r="BE81" i="23"/>
  <c r="BD81" i="23"/>
  <c r="BC81" i="23"/>
  <c r="BB81" i="23"/>
  <c r="BA81" i="23"/>
  <c r="AZ81" i="23"/>
  <c r="AY81" i="23"/>
  <c r="AX81" i="23"/>
  <c r="AW81" i="23"/>
  <c r="AV81" i="23"/>
  <c r="AU81" i="23"/>
  <c r="AT81" i="23"/>
  <c r="AS81" i="23"/>
  <c r="AR81" i="23"/>
  <c r="AQ81" i="23"/>
  <c r="AP81" i="23"/>
  <c r="AO81" i="23"/>
  <c r="AN81" i="23"/>
  <c r="AM81" i="23"/>
  <c r="AL81" i="23"/>
  <c r="AK81" i="23"/>
  <c r="AJ81" i="23"/>
  <c r="AI81" i="23"/>
  <c r="AH81" i="23"/>
  <c r="AG81" i="23"/>
  <c r="AF81" i="23"/>
  <c r="BP81" i="23" s="1"/>
  <c r="AE81" i="23"/>
  <c r="AD81" i="23"/>
  <c r="AC81" i="23"/>
  <c r="AB81" i="23"/>
  <c r="AA81" i="23"/>
  <c r="Z81" i="23"/>
  <c r="Y81" i="23"/>
  <c r="X81" i="23"/>
  <c r="W81" i="23"/>
  <c r="V81" i="23"/>
  <c r="U81" i="23"/>
  <c r="T81" i="23"/>
  <c r="S81" i="23"/>
  <c r="R81" i="23"/>
  <c r="Q81" i="23"/>
  <c r="P81" i="23"/>
  <c r="O81" i="23"/>
  <c r="N81" i="23"/>
  <c r="M81" i="23"/>
  <c r="L81" i="23"/>
  <c r="K81" i="23"/>
  <c r="J81" i="23"/>
  <c r="I81" i="23"/>
  <c r="H81" i="23"/>
  <c r="G81" i="23"/>
  <c r="F81" i="23"/>
  <c r="E81" i="23"/>
  <c r="D81" i="23"/>
  <c r="C81" i="23"/>
  <c r="B81" i="23"/>
  <c r="A81" i="23"/>
  <c r="ED80" i="23"/>
  <c r="EA80" i="23"/>
  <c r="DZ80" i="23"/>
  <c r="DY80" i="23"/>
  <c r="DX80" i="23"/>
  <c r="DW80" i="23"/>
  <c r="DP80" i="23"/>
  <c r="CV80" i="23"/>
  <c r="CR80" i="23"/>
  <c r="CW80" i="23" s="1"/>
  <c r="CQ80" i="23"/>
  <c r="CP80" i="23"/>
  <c r="CO80" i="23"/>
  <c r="CN80" i="23"/>
  <c r="CM80" i="23"/>
  <c r="CG80" i="23"/>
  <c r="CB80" i="23"/>
  <c r="BU80" i="23"/>
  <c r="BS80" i="23"/>
  <c r="BQ80" i="23"/>
  <c r="CD80" i="23" s="1"/>
  <c r="BO80" i="23"/>
  <c r="BN80" i="23"/>
  <c r="BM80" i="23"/>
  <c r="BL80" i="23"/>
  <c r="BK80" i="23"/>
  <c r="CF80" i="23" s="1"/>
  <c r="DI80" i="23" s="1"/>
  <c r="BJ80" i="23"/>
  <c r="BI80" i="23"/>
  <c r="BH80" i="23"/>
  <c r="BG80" i="23"/>
  <c r="BF80" i="23"/>
  <c r="BE80" i="23"/>
  <c r="BD80" i="23"/>
  <c r="BC80" i="23"/>
  <c r="BB80" i="23"/>
  <c r="BA80" i="23"/>
  <c r="BV80" i="23" s="1"/>
  <c r="CA80" i="23" s="1"/>
  <c r="CL80" i="23" s="1"/>
  <c r="AZ80" i="23"/>
  <c r="AY80" i="23"/>
  <c r="AX80" i="23"/>
  <c r="AW80" i="23"/>
  <c r="AV80" i="23"/>
  <c r="AU80" i="23"/>
  <c r="AT80" i="23"/>
  <c r="AS80" i="23"/>
  <c r="AR80" i="23"/>
  <c r="AQ80" i="23"/>
  <c r="AP80" i="23"/>
  <c r="AO80" i="23"/>
  <c r="AN80" i="23"/>
  <c r="AM80" i="23"/>
  <c r="AL80" i="23"/>
  <c r="AK80" i="23"/>
  <c r="AJ80" i="23"/>
  <c r="AI80" i="23"/>
  <c r="AH80" i="23"/>
  <c r="AG80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B80" i="23"/>
  <c r="A80" i="23"/>
  <c r="EA79" i="23"/>
  <c r="DZ79" i="23"/>
  <c r="DY79" i="23"/>
  <c r="DI79" i="23"/>
  <c r="CS79" i="23"/>
  <c r="CR79" i="23"/>
  <c r="CW79" i="23" s="1"/>
  <c r="CQ79" i="23"/>
  <c r="CP79" i="23"/>
  <c r="CO79" i="23"/>
  <c r="CN79" i="23"/>
  <c r="CM79" i="23"/>
  <c r="CF79" i="23"/>
  <c r="BU79" i="23"/>
  <c r="BT79" i="23"/>
  <c r="BZ79" i="23" s="1"/>
  <c r="CK79" i="23" s="1"/>
  <c r="BS79" i="23"/>
  <c r="BQ79" i="23"/>
  <c r="CD79" i="23" s="1"/>
  <c r="BP79" i="23"/>
  <c r="BO79" i="23"/>
  <c r="CB79" i="23" s="1"/>
  <c r="BN79" i="23"/>
  <c r="DU79" i="23" s="1"/>
  <c r="EH79" i="23" s="1"/>
  <c r="BM79" i="23"/>
  <c r="DT79" i="23" s="1"/>
  <c r="EB79" i="23" s="1"/>
  <c r="BL79" i="23"/>
  <c r="BK79" i="23"/>
  <c r="DX79" i="23" s="1"/>
  <c r="BJ79" i="23"/>
  <c r="BI79" i="23"/>
  <c r="BH79" i="23"/>
  <c r="BG79" i="23"/>
  <c r="BF79" i="23"/>
  <c r="BE79" i="23"/>
  <c r="BD79" i="23"/>
  <c r="BC79" i="23"/>
  <c r="BB79" i="23"/>
  <c r="BA79" i="23"/>
  <c r="BV79" i="23" s="1"/>
  <c r="AZ79" i="23"/>
  <c r="AY79" i="23"/>
  <c r="AX79" i="23"/>
  <c r="AW79" i="23"/>
  <c r="AV79" i="23"/>
  <c r="AU79" i="23"/>
  <c r="AT79" i="23"/>
  <c r="AS79" i="23"/>
  <c r="AR79" i="23"/>
  <c r="AQ79" i="23"/>
  <c r="AP79" i="23"/>
  <c r="AO79" i="23"/>
  <c r="AN79" i="23"/>
  <c r="AM79" i="23"/>
  <c r="AL79" i="23"/>
  <c r="AK79" i="23"/>
  <c r="AJ79" i="23"/>
  <c r="AI79" i="23"/>
  <c r="AH79" i="23"/>
  <c r="AG79" i="23"/>
  <c r="AF79" i="23"/>
  <c r="EG79" i="23" s="1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B79" i="23"/>
  <c r="DP79" i="23" s="1"/>
  <c r="A79" i="23"/>
  <c r="EG78" i="23"/>
  <c r="EF78" i="23"/>
  <c r="EE78" i="23"/>
  <c r="ED78" i="23"/>
  <c r="EC78" i="23"/>
  <c r="EA78" i="23"/>
  <c r="DU78" i="23"/>
  <c r="EH78" i="23" s="1"/>
  <c r="DO78" i="23"/>
  <c r="DM78" i="23"/>
  <c r="DJ78" i="23"/>
  <c r="CR78" i="23"/>
  <c r="CQ78" i="23"/>
  <c r="CP78" i="23"/>
  <c r="DA78" i="23" s="1"/>
  <c r="CO78" i="23"/>
  <c r="CZ78" i="23" s="1"/>
  <c r="CN78" i="23"/>
  <c r="CM78" i="23"/>
  <c r="CA78" i="23"/>
  <c r="CL78" i="23" s="1"/>
  <c r="BW78" i="23"/>
  <c r="BU78" i="23"/>
  <c r="BS78" i="23"/>
  <c r="BR78" i="23"/>
  <c r="CE78" i="23" s="1"/>
  <c r="BN78" i="23"/>
  <c r="BM78" i="23"/>
  <c r="BL78" i="23"/>
  <c r="BK78" i="23"/>
  <c r="BJ78" i="23"/>
  <c r="BI78" i="23"/>
  <c r="BH78" i="23"/>
  <c r="BG78" i="23"/>
  <c r="BF78" i="23"/>
  <c r="BE78" i="23"/>
  <c r="BD78" i="23"/>
  <c r="BC78" i="23"/>
  <c r="BB78" i="23"/>
  <c r="BA78" i="23"/>
  <c r="BV78" i="23" s="1"/>
  <c r="CH78" i="23" s="1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BP78" i="23" s="1"/>
  <c r="CC78" i="23" s="1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A78" i="23"/>
  <c r="BO78" i="23" s="1"/>
  <c r="CB78" i="23" s="1"/>
  <c r="EE77" i="23"/>
  <c r="ED77" i="23"/>
  <c r="EC77" i="23"/>
  <c r="DC77" i="23"/>
  <c r="DB77" i="23"/>
  <c r="DA77" i="23"/>
  <c r="CZ77" i="23"/>
  <c r="CY77" i="23"/>
  <c r="DD77" i="23" s="1"/>
  <c r="CV77" i="23"/>
  <c r="CR77" i="23"/>
  <c r="CQ77" i="23"/>
  <c r="CP77" i="23"/>
  <c r="CO77" i="23"/>
  <c r="CN77" i="23"/>
  <c r="CM77" i="23"/>
  <c r="BP77" i="23"/>
  <c r="BN77" i="23"/>
  <c r="BV77" i="23" s="1"/>
  <c r="BM77" i="23"/>
  <c r="BL77" i="23"/>
  <c r="BK77" i="23"/>
  <c r="BJ77" i="23"/>
  <c r="BI77" i="23"/>
  <c r="BH77" i="23"/>
  <c r="BG77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A77" i="23"/>
  <c r="EA76" i="23"/>
  <c r="DZ76" i="23"/>
  <c r="DY76" i="23"/>
  <c r="DX76" i="23"/>
  <c r="DW76" i="23"/>
  <c r="DU76" i="23"/>
  <c r="EH76" i="23" s="1"/>
  <c r="DP76" i="23"/>
  <c r="DM76" i="23"/>
  <c r="DI76" i="23"/>
  <c r="CV76" i="23"/>
  <c r="CR76" i="23"/>
  <c r="CQ76" i="23"/>
  <c r="CP76" i="23"/>
  <c r="CO76" i="23"/>
  <c r="CN76" i="23"/>
  <c r="CM76" i="23"/>
  <c r="CF76" i="23"/>
  <c r="BU76" i="23"/>
  <c r="CG76" i="23" s="1"/>
  <c r="BN76" i="23"/>
  <c r="BM76" i="23"/>
  <c r="BL76" i="23"/>
  <c r="BS76" i="23" s="1"/>
  <c r="BK76" i="23"/>
  <c r="BJ76" i="23"/>
  <c r="BI76" i="23"/>
  <c r="BH76" i="23"/>
  <c r="BG76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BP76" i="23" s="1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A76" i="23"/>
  <c r="EG75" i="23"/>
  <c r="EE75" i="23"/>
  <c r="ED75" i="23"/>
  <c r="EC75" i="23"/>
  <c r="EA75" i="23"/>
  <c r="DZ75" i="23"/>
  <c r="DY75" i="23"/>
  <c r="DB75" i="23"/>
  <c r="CZ75" i="23"/>
  <c r="CR75" i="23"/>
  <c r="DC75" i="23" s="1"/>
  <c r="CQ75" i="23"/>
  <c r="CV75" i="23" s="1"/>
  <c r="CP75" i="23"/>
  <c r="CO75" i="23"/>
  <c r="CN75" i="23"/>
  <c r="CM75" i="23"/>
  <c r="CF75" i="23"/>
  <c r="DI75" i="23" s="1"/>
  <c r="BW75" i="23"/>
  <c r="BV75" i="23"/>
  <c r="BU75" i="23"/>
  <c r="BT75" i="23"/>
  <c r="BZ75" i="23" s="1"/>
  <c r="CK75" i="23" s="1"/>
  <c r="BS75" i="23"/>
  <c r="BN75" i="23"/>
  <c r="BM75" i="23"/>
  <c r="BL75" i="23"/>
  <c r="BK75" i="23"/>
  <c r="DW75" i="23" s="1"/>
  <c r="BJ75" i="23"/>
  <c r="BI75" i="23"/>
  <c r="BH75" i="23"/>
  <c r="BG75" i="23"/>
  <c r="BF75" i="23"/>
  <c r="BE75" i="23"/>
  <c r="BD75" i="23"/>
  <c r="BC75" i="23"/>
  <c r="BB75" i="23"/>
  <c r="BA75" i="23"/>
  <c r="DU75" i="23" s="1"/>
  <c r="EH75" i="23" s="1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A75" i="23"/>
  <c r="CU75" i="23" s="1"/>
  <c r="EG74" i="23"/>
  <c r="EF74" i="23"/>
  <c r="EE74" i="23"/>
  <c r="ED74" i="23"/>
  <c r="EC74" i="23"/>
  <c r="DP74" i="23"/>
  <c r="DM74" i="23"/>
  <c r="DI74" i="23"/>
  <c r="DB74" i="23"/>
  <c r="CR74" i="23"/>
  <c r="CQ74" i="23"/>
  <c r="CP74" i="23"/>
  <c r="CO74" i="23"/>
  <c r="CN74" i="23"/>
  <c r="CY74" i="23" s="1"/>
  <c r="CM74" i="23"/>
  <c r="CF74" i="23"/>
  <c r="BV74" i="23"/>
  <c r="BT74" i="23"/>
  <c r="BZ74" i="23" s="1"/>
  <c r="CK74" i="23" s="1"/>
  <c r="BN74" i="23"/>
  <c r="BM74" i="23"/>
  <c r="BL74" i="23"/>
  <c r="BS74" i="23" s="1"/>
  <c r="BK74" i="23"/>
  <c r="BJ74" i="23"/>
  <c r="BI74" i="23"/>
  <c r="BH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DT74" i="23" s="1"/>
  <c r="EB74" i="23" s="1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A74" i="23"/>
  <c r="BO74" i="23" s="1"/>
  <c r="CR73" i="23"/>
  <c r="CQ73" i="23"/>
  <c r="CP73" i="23"/>
  <c r="CO73" i="23"/>
  <c r="CN73" i="23"/>
  <c r="CM73" i="23"/>
  <c r="CA73" i="23"/>
  <c r="CL73" i="23" s="1"/>
  <c r="BR73" i="23"/>
  <c r="CE73" i="23" s="1"/>
  <c r="BP73" i="23"/>
  <c r="CC73" i="23" s="1"/>
  <c r="BN73" i="23"/>
  <c r="BT73" i="23" s="1"/>
  <c r="BZ73" i="23" s="1"/>
  <c r="CK73" i="23" s="1"/>
  <c r="BM73" i="23"/>
  <c r="BL73" i="23"/>
  <c r="BS73" i="23" s="1"/>
  <c r="BK73" i="23"/>
  <c r="BJ73" i="23"/>
  <c r="BI73" i="23"/>
  <c r="BH73" i="23"/>
  <c r="BG73" i="23"/>
  <c r="BF73" i="23"/>
  <c r="BE73" i="23"/>
  <c r="BD73" i="23"/>
  <c r="BC73" i="23"/>
  <c r="BB73" i="23"/>
  <c r="BA73" i="23"/>
  <c r="BV73" i="23" s="1"/>
  <c r="CH73" i="23" s="1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A73" i="23"/>
  <c r="EE72" i="23"/>
  <c r="DZ72" i="23"/>
  <c r="DY72" i="23"/>
  <c r="DW72" i="23"/>
  <c r="DU72" i="23"/>
  <c r="EH72" i="23" s="1"/>
  <c r="DT72" i="23"/>
  <c r="EB72" i="23" s="1"/>
  <c r="CY72" i="23"/>
  <c r="CS72" i="23"/>
  <c r="CR72" i="23"/>
  <c r="CQ72" i="23"/>
  <c r="CP72" i="23"/>
  <c r="CO72" i="23"/>
  <c r="CN72" i="23"/>
  <c r="CM72" i="23"/>
  <c r="BX72" i="23"/>
  <c r="CI72" i="23" s="1"/>
  <c r="BN72" i="23"/>
  <c r="BV72" i="23" s="1"/>
  <c r="BM72" i="23"/>
  <c r="BL72" i="23"/>
  <c r="BS72" i="23" s="1"/>
  <c r="BK72" i="23"/>
  <c r="BJ72" i="23"/>
  <c r="BI72" i="23"/>
  <c r="BH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BU72" i="23" s="1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A72" i="23"/>
  <c r="BO72" i="23" s="1"/>
  <c r="EA71" i="23"/>
  <c r="DX71" i="23"/>
  <c r="DU71" i="23"/>
  <c r="EH71" i="23" s="1"/>
  <c r="DT71" i="23"/>
  <c r="EB71" i="23" s="1"/>
  <c r="DP71" i="23"/>
  <c r="DO71" i="23"/>
  <c r="DM71" i="23"/>
  <c r="CT71" i="23"/>
  <c r="CR71" i="23"/>
  <c r="CQ71" i="23"/>
  <c r="CP71" i="23"/>
  <c r="CO71" i="23"/>
  <c r="CN71" i="23"/>
  <c r="CM71" i="23"/>
  <c r="CF71" i="23"/>
  <c r="DI71" i="23" s="1"/>
  <c r="BW71" i="23"/>
  <c r="BY71" i="23" s="1"/>
  <c r="CJ71" i="23" s="1"/>
  <c r="BV71" i="23"/>
  <c r="BT71" i="23"/>
  <c r="BZ71" i="23" s="1"/>
  <c r="CK71" i="23" s="1"/>
  <c r="BP71" i="23"/>
  <c r="BO71" i="23"/>
  <c r="BN71" i="23"/>
  <c r="BM71" i="23"/>
  <c r="BL71" i="23"/>
  <c r="BK71" i="23"/>
  <c r="DY71" i="23" s="1"/>
  <c r="BJ71" i="23"/>
  <c r="BI71" i="23"/>
  <c r="BH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BU71" i="23" s="1"/>
  <c r="CG71" i="23" s="1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A71" i="23"/>
  <c r="DZ71" i="23" s="1"/>
  <c r="EA70" i="23"/>
  <c r="DZ70" i="23"/>
  <c r="DY70" i="23"/>
  <c r="DX70" i="23"/>
  <c r="CV70" i="23"/>
  <c r="CT70" i="23"/>
  <c r="CR70" i="23"/>
  <c r="CQ70" i="23"/>
  <c r="CP70" i="23"/>
  <c r="CU70" i="23" s="1"/>
  <c r="CO70" i="23"/>
  <c r="CN70" i="23"/>
  <c r="CM70" i="23"/>
  <c r="CF70" i="23"/>
  <c r="DI70" i="23" s="1"/>
  <c r="BX70" i="23"/>
  <c r="CI70" i="23" s="1"/>
  <c r="BT70" i="23"/>
  <c r="BZ70" i="23" s="1"/>
  <c r="CK70" i="23" s="1"/>
  <c r="BS70" i="23"/>
  <c r="BN70" i="23"/>
  <c r="BM70" i="23"/>
  <c r="BL70" i="23"/>
  <c r="BO70" i="23" s="1"/>
  <c r="BK70" i="23"/>
  <c r="BJ70" i="23"/>
  <c r="BI70" i="23"/>
  <c r="BH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T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F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R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70" i="23"/>
  <c r="DP70" i="23" s="1"/>
  <c r="C70" i="23"/>
  <c r="B70" i="23"/>
  <c r="A70" i="23"/>
  <c r="DU69" i="23"/>
  <c r="EH69" i="23" s="1"/>
  <c r="DT69" i="23"/>
  <c r="EB69" i="23" s="1"/>
  <c r="CY69" i="23"/>
  <c r="CW69" i="23"/>
  <c r="CV69" i="23"/>
  <c r="CR69" i="23"/>
  <c r="CQ69" i="23"/>
  <c r="CP69" i="23"/>
  <c r="CO69" i="23"/>
  <c r="CN69" i="23"/>
  <c r="CM69" i="23"/>
  <c r="BN69" i="23"/>
  <c r="BM69" i="23"/>
  <c r="BL69" i="23"/>
  <c r="BK69" i="23"/>
  <c r="BJ69" i="23"/>
  <c r="BI69" i="23"/>
  <c r="BH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T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F69" i="23"/>
  <c r="AE69" i="23"/>
  <c r="AD69" i="23"/>
  <c r="AC69" i="23"/>
  <c r="AB69" i="23"/>
  <c r="AA69" i="23"/>
  <c r="Z69" i="23"/>
  <c r="Y69" i="23"/>
  <c r="X69" i="23"/>
  <c r="W69" i="23"/>
  <c r="V69" i="23"/>
  <c r="BU69" i="23" s="1"/>
  <c r="U69" i="23"/>
  <c r="T69" i="23"/>
  <c r="S69" i="23"/>
  <c r="R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69" i="23"/>
  <c r="C69" i="23"/>
  <c r="B69" i="23"/>
  <c r="A69" i="23"/>
  <c r="EA68" i="23"/>
  <c r="DZ68" i="23"/>
  <c r="DY68" i="23"/>
  <c r="DX68" i="23"/>
  <c r="DW68" i="23"/>
  <c r="DT68" i="23"/>
  <c r="EB68" i="23" s="1"/>
  <c r="DP68" i="23"/>
  <c r="CY68" i="23"/>
  <c r="CW68" i="23"/>
  <c r="CU68" i="23"/>
  <c r="CR68" i="23"/>
  <c r="CQ68" i="23"/>
  <c r="DB68" i="23" s="1"/>
  <c r="CP68" i="23"/>
  <c r="CO68" i="23"/>
  <c r="CN68" i="23"/>
  <c r="CM68" i="23"/>
  <c r="CF68" i="23"/>
  <c r="DI68" i="23" s="1"/>
  <c r="BW68" i="23"/>
  <c r="BU68" i="23"/>
  <c r="BT68" i="23"/>
  <c r="BZ68" i="23" s="1"/>
  <c r="CK68" i="23" s="1"/>
  <c r="BS68" i="23"/>
  <c r="BQ68" i="23"/>
  <c r="CD68" i="23" s="1"/>
  <c r="BP68" i="23"/>
  <c r="BN68" i="23"/>
  <c r="BM68" i="23"/>
  <c r="BL68" i="23"/>
  <c r="BK68" i="23"/>
  <c r="BJ68" i="23"/>
  <c r="BI68" i="23"/>
  <c r="BH68" i="23"/>
  <c r="BG68" i="23"/>
  <c r="BF68" i="23"/>
  <c r="BE68" i="23"/>
  <c r="BD68" i="23"/>
  <c r="BC68" i="23"/>
  <c r="BB68" i="23"/>
  <c r="BA68" i="23"/>
  <c r="BV68" i="23" s="1"/>
  <c r="CH68" i="23" s="1"/>
  <c r="AZ68" i="23"/>
  <c r="AY68" i="23"/>
  <c r="AX68" i="23"/>
  <c r="AW68" i="23"/>
  <c r="AV68" i="23"/>
  <c r="AU68" i="23"/>
  <c r="AT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F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R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68" i="23"/>
  <c r="C68" i="23"/>
  <c r="B68" i="23"/>
  <c r="A68" i="23"/>
  <c r="BO68" i="23" s="1"/>
  <c r="CB68" i="23" s="1"/>
  <c r="EA67" i="23"/>
  <c r="DZ67" i="23"/>
  <c r="DY67" i="23"/>
  <c r="DX67" i="23"/>
  <c r="DC67" i="23"/>
  <c r="DB67" i="23"/>
  <c r="DA67" i="23"/>
  <c r="CZ67" i="23"/>
  <c r="CY67" i="23"/>
  <c r="CR67" i="23"/>
  <c r="CQ67" i="23"/>
  <c r="CP67" i="23"/>
  <c r="CO67" i="23"/>
  <c r="CN67" i="23"/>
  <c r="CM67" i="23"/>
  <c r="CF67" i="23"/>
  <c r="DI67" i="23" s="1"/>
  <c r="BN67" i="23"/>
  <c r="BM67" i="23"/>
  <c r="BL67" i="23"/>
  <c r="BS67" i="23" s="1"/>
  <c r="BK67" i="23"/>
  <c r="BJ67" i="23"/>
  <c r="BI67" i="23"/>
  <c r="BH67" i="23"/>
  <c r="BG67" i="23"/>
  <c r="BF67" i="23"/>
  <c r="BE67" i="23"/>
  <c r="BD67" i="23"/>
  <c r="BC67" i="23"/>
  <c r="BB67" i="23"/>
  <c r="BA67" i="23"/>
  <c r="AZ67" i="23"/>
  <c r="AY67" i="23"/>
  <c r="AX67" i="23"/>
  <c r="AW67" i="23"/>
  <c r="AV67" i="23"/>
  <c r="AU67" i="23"/>
  <c r="AT67" i="23"/>
  <c r="AS67" i="23"/>
  <c r="AR67" i="23"/>
  <c r="AQ67" i="23"/>
  <c r="AP67" i="23"/>
  <c r="AO67" i="23"/>
  <c r="AN67" i="23"/>
  <c r="AM67" i="23"/>
  <c r="AL67" i="23"/>
  <c r="AK67" i="23"/>
  <c r="AJ67" i="23"/>
  <c r="AI67" i="23"/>
  <c r="AH67" i="23"/>
  <c r="AG67" i="23"/>
  <c r="AF67" i="23"/>
  <c r="AE67" i="23"/>
  <c r="AD67" i="23"/>
  <c r="AC67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A67" i="23"/>
  <c r="DM66" i="23"/>
  <c r="CR66" i="23"/>
  <c r="CQ66" i="23"/>
  <c r="CP66" i="23"/>
  <c r="CO66" i="23"/>
  <c r="CN66" i="23"/>
  <c r="CM66" i="23"/>
  <c r="BU66" i="23"/>
  <c r="BS66" i="23"/>
  <c r="BO66" i="23"/>
  <c r="CB66" i="23" s="1"/>
  <c r="BN66" i="23"/>
  <c r="DU66" i="23" s="1"/>
  <c r="EH66" i="23" s="1"/>
  <c r="BM66" i="23"/>
  <c r="BL66" i="23"/>
  <c r="BK66" i="23"/>
  <c r="BJ66" i="23"/>
  <c r="BI66" i="23"/>
  <c r="BH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T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F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A66" i="23"/>
  <c r="DY65" i="23"/>
  <c r="DX65" i="23"/>
  <c r="DW65" i="23"/>
  <c r="DU65" i="23"/>
  <c r="EH65" i="23" s="1"/>
  <c r="CR65" i="23"/>
  <c r="CQ65" i="23"/>
  <c r="CP65" i="23"/>
  <c r="CO65" i="23"/>
  <c r="CN65" i="23"/>
  <c r="CM65" i="23"/>
  <c r="CG65" i="23"/>
  <c r="CF65" i="23"/>
  <c r="DI65" i="23" s="1"/>
  <c r="BW65" i="23"/>
  <c r="BY65" i="23" s="1"/>
  <c r="CJ65" i="23" s="1"/>
  <c r="BN65" i="23"/>
  <c r="BM65" i="23"/>
  <c r="BL65" i="23"/>
  <c r="BU65" i="23" s="1"/>
  <c r="BK65" i="23"/>
  <c r="BJ65" i="23"/>
  <c r="BI65" i="23"/>
  <c r="BH65" i="23"/>
  <c r="BG65" i="23"/>
  <c r="BF65" i="23"/>
  <c r="BE65" i="23"/>
  <c r="BD65" i="23"/>
  <c r="BC65" i="23"/>
  <c r="BB65" i="23"/>
  <c r="BA65" i="23"/>
  <c r="AZ65" i="23"/>
  <c r="AY65" i="23"/>
  <c r="AX65" i="23"/>
  <c r="AW65" i="23"/>
  <c r="AV65" i="23"/>
  <c r="AU65" i="23"/>
  <c r="AT65" i="23"/>
  <c r="AS65" i="23"/>
  <c r="AR65" i="23"/>
  <c r="AQ65" i="23"/>
  <c r="AP65" i="23"/>
  <c r="AO65" i="23"/>
  <c r="AN65" i="23"/>
  <c r="AM65" i="23"/>
  <c r="AL65" i="23"/>
  <c r="AK65" i="23"/>
  <c r="AJ65" i="23"/>
  <c r="AI65" i="23"/>
  <c r="AH65" i="23"/>
  <c r="AG65" i="23"/>
  <c r="AF65" i="23"/>
  <c r="AE65" i="23"/>
  <c r="AD65" i="23"/>
  <c r="AC65" i="23"/>
  <c r="AB65" i="23"/>
  <c r="AA65" i="23"/>
  <c r="Z65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DM65" i="23" s="1"/>
  <c r="C65" i="23"/>
  <c r="B65" i="23"/>
  <c r="A65" i="23"/>
  <c r="EG64" i="23"/>
  <c r="EF64" i="23"/>
  <c r="EE64" i="23"/>
  <c r="ED64" i="23"/>
  <c r="EC64" i="23"/>
  <c r="CR64" i="23"/>
  <c r="CQ64" i="23"/>
  <c r="CP64" i="23"/>
  <c r="CO64" i="23"/>
  <c r="CN64" i="23"/>
  <c r="CM64" i="23"/>
  <c r="BU64" i="23"/>
  <c r="BS64" i="23"/>
  <c r="BQ64" i="23"/>
  <c r="CD64" i="23" s="1"/>
  <c r="BP64" i="23"/>
  <c r="BO64" i="23"/>
  <c r="CB64" i="23" s="1"/>
  <c r="BN64" i="23"/>
  <c r="BM64" i="23"/>
  <c r="BL64" i="23"/>
  <c r="BK64" i="23"/>
  <c r="BJ64" i="23"/>
  <c r="BI64" i="23"/>
  <c r="BH64" i="23"/>
  <c r="BG64" i="23"/>
  <c r="BF64" i="23"/>
  <c r="BE64" i="23"/>
  <c r="BD64" i="23"/>
  <c r="BC64" i="23"/>
  <c r="BB64" i="23"/>
  <c r="BA64" i="23"/>
  <c r="AZ64" i="23"/>
  <c r="AY64" i="23"/>
  <c r="AX64" i="23"/>
  <c r="AW64" i="23"/>
  <c r="AV64" i="23"/>
  <c r="AU64" i="23"/>
  <c r="AT64" i="23"/>
  <c r="AS64" i="23"/>
  <c r="AR64" i="23"/>
  <c r="AQ64" i="23"/>
  <c r="AP64" i="23"/>
  <c r="AO64" i="23"/>
  <c r="AN64" i="23"/>
  <c r="AM64" i="23"/>
  <c r="AL64" i="23"/>
  <c r="AK64" i="23"/>
  <c r="AJ64" i="23"/>
  <c r="AI64" i="23"/>
  <c r="AH64" i="23"/>
  <c r="AG64" i="23"/>
  <c r="AF64" i="23"/>
  <c r="AE64" i="23"/>
  <c r="AD64" i="23"/>
  <c r="AC64" i="23"/>
  <c r="AB64" i="23"/>
  <c r="AA64" i="23"/>
  <c r="Z64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A64" i="23"/>
  <c r="DA63" i="23"/>
  <c r="CY63" i="23"/>
  <c r="CR63" i="23"/>
  <c r="DC63" i="23" s="1"/>
  <c r="CQ63" i="23"/>
  <c r="CP63" i="23"/>
  <c r="CO63" i="23"/>
  <c r="CN63" i="23"/>
  <c r="CM63" i="23"/>
  <c r="CC63" i="23"/>
  <c r="BV63" i="23"/>
  <c r="CH63" i="23" s="1"/>
  <c r="BN63" i="23"/>
  <c r="BM63" i="23"/>
  <c r="BL63" i="23"/>
  <c r="BK63" i="23"/>
  <c r="BJ63" i="23"/>
  <c r="BI63" i="23"/>
  <c r="BH63" i="23"/>
  <c r="BG63" i="23"/>
  <c r="BF63" i="23"/>
  <c r="BE63" i="23"/>
  <c r="BD63" i="23"/>
  <c r="BC63" i="23"/>
  <c r="BB63" i="23"/>
  <c r="BA63" i="23"/>
  <c r="AZ63" i="23"/>
  <c r="AY63" i="23"/>
  <c r="AX63" i="23"/>
  <c r="AW63" i="23"/>
  <c r="AV63" i="23"/>
  <c r="AU63" i="23"/>
  <c r="AT63" i="23"/>
  <c r="AS63" i="23"/>
  <c r="AR63" i="23"/>
  <c r="AQ63" i="23"/>
  <c r="AP63" i="23"/>
  <c r="AO63" i="23"/>
  <c r="AN63" i="23"/>
  <c r="AM63" i="23"/>
  <c r="DT63" i="23" s="1"/>
  <c r="EB63" i="23" s="1"/>
  <c r="AL63" i="23"/>
  <c r="AK63" i="23"/>
  <c r="AJ63" i="23"/>
  <c r="AI63" i="23"/>
  <c r="AH63" i="23"/>
  <c r="AG63" i="23"/>
  <c r="AF63" i="23"/>
  <c r="BP63" i="23" s="1"/>
  <c r="AE63" i="23"/>
  <c r="AD63" i="23"/>
  <c r="AC63" i="23"/>
  <c r="AB63" i="23"/>
  <c r="AA63" i="23"/>
  <c r="Z63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A63" i="23"/>
  <c r="DW62" i="23"/>
  <c r="CR62" i="23"/>
  <c r="CQ62" i="23"/>
  <c r="CV62" i="23" s="1"/>
  <c r="CP62" i="23"/>
  <c r="CU62" i="23" s="1"/>
  <c r="CO62" i="23"/>
  <c r="CT62" i="23" s="1"/>
  <c r="CN62" i="23"/>
  <c r="CM62" i="23"/>
  <c r="CG62" i="23"/>
  <c r="CF62" i="23"/>
  <c r="DI62" i="23" s="1"/>
  <c r="BN62" i="23"/>
  <c r="BM62" i="23"/>
  <c r="BL62" i="23"/>
  <c r="BS62" i="23" s="1"/>
  <c r="BK62" i="23"/>
  <c r="BJ62" i="23"/>
  <c r="BI62" i="23"/>
  <c r="BH62" i="23"/>
  <c r="BG62" i="23"/>
  <c r="BF62" i="23"/>
  <c r="BE62" i="23"/>
  <c r="BD62" i="23"/>
  <c r="BC62" i="23"/>
  <c r="BB62" i="23"/>
  <c r="BA62" i="23"/>
  <c r="AZ62" i="23"/>
  <c r="AY62" i="23"/>
  <c r="AX62" i="23"/>
  <c r="AW62" i="23"/>
  <c r="AV62" i="23"/>
  <c r="AU62" i="23"/>
  <c r="AT62" i="23"/>
  <c r="AS62" i="23"/>
  <c r="AR62" i="23"/>
  <c r="AQ62" i="23"/>
  <c r="AP62" i="23"/>
  <c r="AO62" i="23"/>
  <c r="AN62" i="23"/>
  <c r="AM62" i="23"/>
  <c r="AL62" i="23"/>
  <c r="AK62" i="23"/>
  <c r="AJ62" i="23"/>
  <c r="AI62" i="23"/>
  <c r="AH62" i="23"/>
  <c r="AG62" i="23"/>
  <c r="AF62" i="23"/>
  <c r="AE62" i="23"/>
  <c r="AD62" i="23"/>
  <c r="AC62" i="23"/>
  <c r="AB62" i="23"/>
  <c r="AA62" i="23"/>
  <c r="Z62" i="23"/>
  <c r="Y62" i="23"/>
  <c r="X62" i="23"/>
  <c r="W62" i="23"/>
  <c r="V62" i="23"/>
  <c r="BU62" i="23" s="1"/>
  <c r="BW62" i="23" s="1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DM62" i="23" s="1"/>
  <c r="A62" i="23"/>
  <c r="BO62" i="23" s="1"/>
  <c r="EG61" i="23"/>
  <c r="EF61" i="23"/>
  <c r="CZ61" i="23"/>
  <c r="CY61" i="23"/>
  <c r="CV61" i="23"/>
  <c r="CR61" i="23"/>
  <c r="CQ61" i="23"/>
  <c r="CP61" i="23"/>
  <c r="DA61" i="23" s="1"/>
  <c r="CO61" i="23"/>
  <c r="CT61" i="23" s="1"/>
  <c r="CN61" i="23"/>
  <c r="CS61" i="23" s="1"/>
  <c r="CM61" i="23"/>
  <c r="CF61" i="23"/>
  <c r="DI61" i="23" s="1"/>
  <c r="BN61" i="23"/>
  <c r="BM61" i="23"/>
  <c r="BL61" i="23"/>
  <c r="BS61" i="23" s="1"/>
  <c r="BK61" i="23"/>
  <c r="DM61" i="23" s="1"/>
  <c r="BJ61" i="23"/>
  <c r="BI61" i="23"/>
  <c r="BH61" i="23"/>
  <c r="BG61" i="23"/>
  <c r="BF61" i="23"/>
  <c r="BE61" i="23"/>
  <c r="BD61" i="23"/>
  <c r="BC61" i="23"/>
  <c r="BB61" i="23"/>
  <c r="BA61" i="23"/>
  <c r="AZ61" i="23"/>
  <c r="AY61" i="23"/>
  <c r="AX61" i="23"/>
  <c r="AW61" i="23"/>
  <c r="AV61" i="23"/>
  <c r="AU61" i="23"/>
  <c r="AT61" i="23"/>
  <c r="AS61" i="23"/>
  <c r="AR61" i="23"/>
  <c r="AQ61" i="23"/>
  <c r="AP61" i="23"/>
  <c r="AO61" i="23"/>
  <c r="AN61" i="23"/>
  <c r="AM61" i="23"/>
  <c r="DT61" i="23" s="1"/>
  <c r="EB61" i="23" s="1"/>
  <c r="AL61" i="23"/>
  <c r="AK61" i="23"/>
  <c r="AJ61" i="23"/>
  <c r="AI61" i="23"/>
  <c r="AH61" i="23"/>
  <c r="AG61" i="23"/>
  <c r="AF61" i="23"/>
  <c r="ED61" i="23" s="1"/>
  <c r="AE61" i="23"/>
  <c r="AD61" i="23"/>
  <c r="AC61" i="23"/>
  <c r="AB61" i="23"/>
  <c r="AA61" i="23"/>
  <c r="Z61" i="23"/>
  <c r="Y61" i="23"/>
  <c r="X61" i="23"/>
  <c r="W61" i="23"/>
  <c r="V61" i="23"/>
  <c r="BU61" i="23" s="1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A61" i="23"/>
  <c r="BO61" i="23" s="1"/>
  <c r="CR60" i="23"/>
  <c r="CQ60" i="23"/>
  <c r="CV60" i="23" s="1"/>
  <c r="CP60" i="23"/>
  <c r="CO60" i="23"/>
  <c r="CN60" i="23"/>
  <c r="CM60" i="23"/>
  <c r="CF60" i="23"/>
  <c r="DI60" i="23" s="1"/>
  <c r="BN60" i="23"/>
  <c r="BM60" i="23"/>
  <c r="BL60" i="23"/>
  <c r="BS60" i="23" s="1"/>
  <c r="BK60" i="23"/>
  <c r="BJ60" i="23"/>
  <c r="BI60" i="23"/>
  <c r="BH60" i="23"/>
  <c r="BG60" i="23"/>
  <c r="BF60" i="23"/>
  <c r="BE60" i="23"/>
  <c r="BD60" i="23"/>
  <c r="BC60" i="23"/>
  <c r="BB60" i="23"/>
  <c r="BA60" i="23"/>
  <c r="AZ60" i="23"/>
  <c r="AY60" i="23"/>
  <c r="AX60" i="23"/>
  <c r="AW60" i="23"/>
  <c r="AV60" i="23"/>
  <c r="AU60" i="23"/>
  <c r="AT60" i="23"/>
  <c r="AS60" i="23"/>
  <c r="AR60" i="23"/>
  <c r="AQ60" i="23"/>
  <c r="AP60" i="23"/>
  <c r="AO60" i="23"/>
  <c r="AN60" i="23"/>
  <c r="AM60" i="23"/>
  <c r="AL60" i="23"/>
  <c r="AK60" i="23"/>
  <c r="AJ60" i="23"/>
  <c r="AI60" i="23"/>
  <c r="AH60" i="23"/>
  <c r="AG60" i="23"/>
  <c r="AF60" i="23"/>
  <c r="AE60" i="23"/>
  <c r="AD60" i="23"/>
  <c r="AC60" i="23"/>
  <c r="AB60" i="23"/>
  <c r="AA60" i="23"/>
  <c r="Z60" i="23"/>
  <c r="Y60" i="23"/>
  <c r="X60" i="23"/>
  <c r="W60" i="23"/>
  <c r="V60" i="23"/>
  <c r="BU60" i="23" s="1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A60" i="23"/>
  <c r="DY59" i="23"/>
  <c r="DX59" i="23"/>
  <c r="DT59" i="23"/>
  <c r="EB59" i="23" s="1"/>
  <c r="DP59" i="23"/>
  <c r="DM59" i="23"/>
  <c r="CW59" i="23"/>
  <c r="CR59" i="23"/>
  <c r="DC59" i="23" s="1"/>
  <c r="CQ59" i="23"/>
  <c r="DB59" i="23" s="1"/>
  <c r="CP59" i="23"/>
  <c r="DA59" i="23" s="1"/>
  <c r="CO59" i="23"/>
  <c r="CZ59" i="23" s="1"/>
  <c r="CN59" i="23"/>
  <c r="CY59" i="23" s="1"/>
  <c r="DD59" i="23" s="1"/>
  <c r="CM59" i="23"/>
  <c r="CF59" i="23"/>
  <c r="DI59" i="23" s="1"/>
  <c r="BX59" i="23"/>
  <c r="CI59" i="23" s="1"/>
  <c r="BU59" i="23"/>
  <c r="BO59" i="23"/>
  <c r="BN59" i="23"/>
  <c r="DU59" i="23" s="1"/>
  <c r="EH59" i="23" s="1"/>
  <c r="BM59" i="23"/>
  <c r="BL59" i="23"/>
  <c r="BS59" i="23" s="1"/>
  <c r="BK59" i="23"/>
  <c r="BJ59" i="23"/>
  <c r="BI59" i="23"/>
  <c r="BH59" i="23"/>
  <c r="BG59" i="23"/>
  <c r="BF59" i="23"/>
  <c r="BE59" i="23"/>
  <c r="BD59" i="23"/>
  <c r="BC59" i="23"/>
  <c r="BB59" i="23"/>
  <c r="BA59" i="23"/>
  <c r="AZ59" i="23"/>
  <c r="AY59" i="23"/>
  <c r="AX59" i="23"/>
  <c r="AW59" i="23"/>
  <c r="AV59" i="23"/>
  <c r="AU59" i="23"/>
  <c r="AT59" i="23"/>
  <c r="AS59" i="23"/>
  <c r="AR59" i="23"/>
  <c r="AQ59" i="23"/>
  <c r="AP59" i="23"/>
  <c r="AO59" i="23"/>
  <c r="AN59" i="23"/>
  <c r="AM59" i="23"/>
  <c r="AL59" i="23"/>
  <c r="AK59" i="23"/>
  <c r="AJ59" i="23"/>
  <c r="AI59" i="23"/>
  <c r="AH59" i="23"/>
  <c r="AG59" i="23"/>
  <c r="AF59" i="23"/>
  <c r="AE59" i="23"/>
  <c r="AD59" i="23"/>
  <c r="AC59" i="23"/>
  <c r="AB59" i="23"/>
  <c r="AA59" i="23"/>
  <c r="Z59" i="23"/>
  <c r="Y59" i="23"/>
  <c r="X59" i="23"/>
  <c r="W59" i="23"/>
  <c r="V59" i="23"/>
  <c r="U59" i="23"/>
  <c r="T59" i="23"/>
  <c r="S59" i="23"/>
  <c r="R59" i="23"/>
  <c r="Q59" i="23"/>
  <c r="P59" i="23"/>
  <c r="O59" i="23"/>
  <c r="N59" i="23"/>
  <c r="M59" i="23"/>
  <c r="L59" i="23"/>
  <c r="K59" i="23"/>
  <c r="J59" i="23"/>
  <c r="I59" i="23"/>
  <c r="H59" i="23"/>
  <c r="G59" i="23"/>
  <c r="F59" i="23"/>
  <c r="E59" i="23"/>
  <c r="D59" i="23"/>
  <c r="C59" i="23"/>
  <c r="B59" i="23"/>
  <c r="A59" i="23"/>
  <c r="DZ59" i="23" s="1"/>
  <c r="DB58" i="23"/>
  <c r="DA58" i="23"/>
  <c r="CR58" i="23"/>
  <c r="CQ58" i="23"/>
  <c r="CP58" i="23"/>
  <c r="CO58" i="23"/>
  <c r="CN58" i="23"/>
  <c r="CM58" i="23"/>
  <c r="CL58" i="23"/>
  <c r="CK58" i="23"/>
  <c r="CH58" i="23"/>
  <c r="CE58" i="23"/>
  <c r="CC58" i="23"/>
  <c r="CA58" i="23"/>
  <c r="BZ58" i="23"/>
  <c r="BV58" i="23"/>
  <c r="BP58" i="23"/>
  <c r="BR58" i="23" s="1"/>
  <c r="BN58" i="23"/>
  <c r="BT58" i="23" s="1"/>
  <c r="BM58" i="23"/>
  <c r="BL58" i="23"/>
  <c r="BK58" i="23"/>
  <c r="BJ58" i="23"/>
  <c r="BI58" i="23"/>
  <c r="BH58" i="23"/>
  <c r="BG58" i="23"/>
  <c r="BF58" i="23"/>
  <c r="BE58" i="23"/>
  <c r="BD58" i="23"/>
  <c r="BC58" i="23"/>
  <c r="BB58" i="23"/>
  <c r="BA58" i="23"/>
  <c r="AZ58" i="23"/>
  <c r="AY58" i="23"/>
  <c r="AX58" i="23"/>
  <c r="AW58" i="23"/>
  <c r="AV58" i="23"/>
  <c r="AU58" i="23"/>
  <c r="AT58" i="23"/>
  <c r="AS58" i="23"/>
  <c r="AR58" i="23"/>
  <c r="AQ58" i="23"/>
  <c r="AP58" i="23"/>
  <c r="DU58" i="23" s="1"/>
  <c r="EH58" i="23" s="1"/>
  <c r="AO58" i="23"/>
  <c r="AN58" i="23"/>
  <c r="AM58" i="23"/>
  <c r="AL58" i="23"/>
  <c r="AK58" i="23"/>
  <c r="AJ58" i="23"/>
  <c r="AI58" i="23"/>
  <c r="AH58" i="23"/>
  <c r="AG58" i="23"/>
  <c r="AF58" i="23"/>
  <c r="AE58" i="23"/>
  <c r="AD58" i="23"/>
  <c r="AC58" i="23"/>
  <c r="AB58" i="23"/>
  <c r="AA58" i="23"/>
  <c r="Z58" i="23"/>
  <c r="Y58" i="23"/>
  <c r="X58" i="23"/>
  <c r="W58" i="23"/>
  <c r="V58" i="23"/>
  <c r="BU58" i="23" s="1"/>
  <c r="U58" i="23"/>
  <c r="T58" i="23"/>
  <c r="S58" i="23"/>
  <c r="R58" i="23"/>
  <c r="Q58" i="23"/>
  <c r="P58" i="23"/>
  <c r="O58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B58" i="23"/>
  <c r="A58" i="23"/>
  <c r="BO58" i="23" s="1"/>
  <c r="DY57" i="23"/>
  <c r="DX57" i="23"/>
  <c r="DW57" i="23"/>
  <c r="CW57" i="23"/>
  <c r="CU57" i="23"/>
  <c r="CT57" i="23"/>
  <c r="CS57" i="23"/>
  <c r="CR57" i="23"/>
  <c r="CQ57" i="23"/>
  <c r="CP57" i="23"/>
  <c r="CO57" i="23"/>
  <c r="CN57" i="23"/>
  <c r="CM57" i="23"/>
  <c r="BN57" i="23"/>
  <c r="BM57" i="23"/>
  <c r="BL57" i="23"/>
  <c r="BK57" i="23"/>
  <c r="EA57" i="23" s="1"/>
  <c r="BJ57" i="23"/>
  <c r="BI57" i="23"/>
  <c r="BH57" i="23"/>
  <c r="BG57" i="23"/>
  <c r="BF57" i="23"/>
  <c r="BE57" i="23"/>
  <c r="BD57" i="23"/>
  <c r="BC57" i="23"/>
  <c r="BB57" i="23"/>
  <c r="BA57" i="23"/>
  <c r="AZ57" i="23"/>
  <c r="AY57" i="23"/>
  <c r="AX57" i="23"/>
  <c r="AW57" i="23"/>
  <c r="AV57" i="23"/>
  <c r="AU57" i="23"/>
  <c r="AT57" i="23"/>
  <c r="AS57" i="23"/>
  <c r="AR57" i="23"/>
  <c r="AQ57" i="23"/>
  <c r="AP57" i="23"/>
  <c r="AO57" i="23"/>
  <c r="AN57" i="23"/>
  <c r="AM57" i="23"/>
  <c r="AL57" i="23"/>
  <c r="AK57" i="23"/>
  <c r="AJ57" i="23"/>
  <c r="AI57" i="23"/>
  <c r="AH57" i="23"/>
  <c r="AG57" i="23"/>
  <c r="AF57" i="23"/>
  <c r="AE57" i="23"/>
  <c r="AD57" i="23"/>
  <c r="AC57" i="23"/>
  <c r="AB57" i="23"/>
  <c r="AA57" i="23"/>
  <c r="Z57" i="23"/>
  <c r="Y57" i="23"/>
  <c r="X57" i="23"/>
  <c r="W57" i="23"/>
  <c r="V57" i="23"/>
  <c r="U57" i="23"/>
  <c r="T57" i="23"/>
  <c r="S57" i="23"/>
  <c r="R57" i="23"/>
  <c r="Q57" i="23"/>
  <c r="P57" i="23"/>
  <c r="O57" i="23"/>
  <c r="N57" i="23"/>
  <c r="M57" i="23"/>
  <c r="L57" i="23"/>
  <c r="K57" i="23"/>
  <c r="J57" i="23"/>
  <c r="I57" i="23"/>
  <c r="H57" i="23"/>
  <c r="G57" i="23"/>
  <c r="F57" i="23"/>
  <c r="E57" i="23"/>
  <c r="D57" i="23"/>
  <c r="C57" i="23"/>
  <c r="B57" i="23"/>
  <c r="A57" i="23"/>
  <c r="DX56" i="23"/>
  <c r="DW56" i="23"/>
  <c r="DT56" i="23"/>
  <c r="EB56" i="23" s="1"/>
  <c r="DC56" i="23"/>
  <c r="DB56" i="23"/>
  <c r="DA56" i="23"/>
  <c r="CR56" i="23"/>
  <c r="CQ56" i="23"/>
  <c r="CP56" i="23"/>
  <c r="CO56" i="23"/>
  <c r="CN56" i="23"/>
  <c r="CM56" i="23"/>
  <c r="CG56" i="23"/>
  <c r="CF56" i="23"/>
  <c r="DI56" i="23" s="1"/>
  <c r="BN56" i="23"/>
  <c r="BM56" i="23"/>
  <c r="BL56" i="23"/>
  <c r="BK56" i="23"/>
  <c r="BJ56" i="23"/>
  <c r="BI56" i="23"/>
  <c r="BH56" i="23"/>
  <c r="BG56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BU56" i="23" s="1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A56" i="23"/>
  <c r="BO56" i="23" s="1"/>
  <c r="ED55" i="23"/>
  <c r="EC55" i="23"/>
  <c r="CV55" i="23"/>
  <c r="CR55" i="23"/>
  <c r="DC55" i="23" s="1"/>
  <c r="CQ55" i="23"/>
  <c r="CP55" i="23"/>
  <c r="CO55" i="23"/>
  <c r="CN55" i="23"/>
  <c r="CM55" i="23"/>
  <c r="BP55" i="23"/>
  <c r="BO55" i="23"/>
  <c r="BN55" i="23"/>
  <c r="BM55" i="23"/>
  <c r="EF55" i="23" s="1"/>
  <c r="BL55" i="23"/>
  <c r="BK55" i="23"/>
  <c r="BJ55" i="23"/>
  <c r="BI55" i="23"/>
  <c r="BH55" i="23"/>
  <c r="BG55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BU55" i="23" s="1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A55" i="23"/>
  <c r="DC54" i="23"/>
  <c r="DA54" i="23"/>
  <c r="CY54" i="23"/>
  <c r="CR54" i="23"/>
  <c r="CQ54" i="23"/>
  <c r="CP54" i="23"/>
  <c r="CU54" i="23" s="1"/>
  <c r="CO54" i="23"/>
  <c r="CN54" i="23"/>
  <c r="CM54" i="23"/>
  <c r="BN54" i="23"/>
  <c r="BM54" i="23"/>
  <c r="DB54" i="23" s="1"/>
  <c r="BL54" i="23"/>
  <c r="BO54" i="23" s="1"/>
  <c r="BK54" i="23"/>
  <c r="BJ54" i="23"/>
  <c r="BI54" i="23"/>
  <c r="BH54" i="23"/>
  <c r="BG54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DT54" i="23" s="1"/>
  <c r="EB54" i="23" s="1"/>
  <c r="AL54" i="23"/>
  <c r="AK54" i="23"/>
  <c r="AJ54" i="23"/>
  <c r="AI54" i="23"/>
  <c r="AH54" i="23"/>
  <c r="AG54" i="23"/>
  <c r="AF54" i="23"/>
  <c r="BP54" i="23" s="1"/>
  <c r="CC54" i="23" s="1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A54" i="23"/>
  <c r="EG53" i="23"/>
  <c r="EF53" i="23"/>
  <c r="EE53" i="23"/>
  <c r="DP53" i="23"/>
  <c r="DJ53" i="23"/>
  <c r="CU53" i="23"/>
  <c r="CT53" i="23"/>
  <c r="CR53" i="23"/>
  <c r="CW53" i="23" s="1"/>
  <c r="CQ53" i="23"/>
  <c r="CP53" i="23"/>
  <c r="CO53" i="23"/>
  <c r="CN53" i="23"/>
  <c r="CM53" i="23"/>
  <c r="CF53" i="23"/>
  <c r="DI53" i="23" s="1"/>
  <c r="BW53" i="23"/>
  <c r="BV53" i="23"/>
  <c r="CA53" i="23" s="1"/>
  <c r="CL53" i="23" s="1"/>
  <c r="BU53" i="23"/>
  <c r="BS53" i="23"/>
  <c r="BQ53" i="23"/>
  <c r="CD53" i="23" s="1"/>
  <c r="BP53" i="23"/>
  <c r="CC53" i="23" s="1"/>
  <c r="BO53" i="23"/>
  <c r="CB53" i="23" s="1"/>
  <c r="BN53" i="23"/>
  <c r="BM53" i="23"/>
  <c r="BL53" i="23"/>
  <c r="BK53" i="23"/>
  <c r="BJ53" i="23"/>
  <c r="BI53" i="23"/>
  <c r="BH53" i="23"/>
  <c r="BG53" i="23"/>
  <c r="BF53" i="23"/>
  <c r="BE53" i="23"/>
  <c r="BD53" i="23"/>
  <c r="BC53" i="23"/>
  <c r="BB53" i="23"/>
  <c r="BA53" i="23"/>
  <c r="BR53" i="23" s="1"/>
  <c r="CE53" i="23" s="1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DM53" i="23" s="1"/>
  <c r="C53" i="23"/>
  <c r="B53" i="23"/>
  <c r="A53" i="23"/>
  <c r="EG52" i="23"/>
  <c r="EF52" i="23"/>
  <c r="ED52" i="23"/>
  <c r="EC52" i="23"/>
  <c r="EA52" i="23"/>
  <c r="DZ52" i="23"/>
  <c r="DY52" i="23"/>
  <c r="DX52" i="23"/>
  <c r="DT52" i="23"/>
  <c r="EB52" i="23" s="1"/>
  <c r="DB52" i="23"/>
  <c r="CY52" i="23"/>
  <c r="CS52" i="23"/>
  <c r="CR52" i="23"/>
  <c r="CQ52" i="23"/>
  <c r="CP52" i="23"/>
  <c r="CO52" i="23"/>
  <c r="CN52" i="23"/>
  <c r="CM52" i="23"/>
  <c r="BX52" i="23"/>
  <c r="CI52" i="23" s="1"/>
  <c r="BV52" i="23"/>
  <c r="BU52" i="23"/>
  <c r="BN52" i="23"/>
  <c r="BM52" i="23"/>
  <c r="BL52" i="23"/>
  <c r="BK52" i="23"/>
  <c r="BJ52" i="23"/>
  <c r="BI52" i="23"/>
  <c r="BH52" i="23"/>
  <c r="BG52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BS52" i="23" s="1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A52" i="23"/>
  <c r="BO52" i="23" s="1"/>
  <c r="EG51" i="23"/>
  <c r="DZ51" i="23"/>
  <c r="DW51" i="23"/>
  <c r="DT51" i="23"/>
  <c r="EB51" i="23" s="1"/>
  <c r="CS51" i="23"/>
  <c r="CR51" i="23"/>
  <c r="CQ51" i="23"/>
  <c r="CP51" i="23"/>
  <c r="CO51" i="23"/>
  <c r="CN51" i="23"/>
  <c r="CY51" i="23" s="1"/>
  <c r="CM51" i="23"/>
  <c r="CA51" i="23"/>
  <c r="CL51" i="23" s="1"/>
  <c r="BV51" i="23"/>
  <c r="CH51" i="23" s="1"/>
  <c r="BT51" i="23"/>
  <c r="BZ51" i="23" s="1"/>
  <c r="CK51" i="23" s="1"/>
  <c r="BQ51" i="23"/>
  <c r="CD51" i="23" s="1"/>
  <c r="BN51" i="23"/>
  <c r="BM51" i="23"/>
  <c r="EC51" i="23" s="1"/>
  <c r="BL51" i="23"/>
  <c r="BK51" i="23"/>
  <c r="DM51" i="23" s="1"/>
  <c r="BJ51" i="23"/>
  <c r="BI51" i="23"/>
  <c r="BH51" i="23"/>
  <c r="BG51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A51" i="23"/>
  <c r="BO51" i="23" s="1"/>
  <c r="CB51" i="23" s="1"/>
  <c r="DW50" i="23"/>
  <c r="CV50" i="23"/>
  <c r="CU50" i="23"/>
  <c r="CT50" i="23"/>
  <c r="CS50" i="23"/>
  <c r="CR50" i="23"/>
  <c r="CQ50" i="23"/>
  <c r="CP50" i="23"/>
  <c r="CO50" i="23"/>
  <c r="CN50" i="23"/>
  <c r="CM50" i="23"/>
  <c r="BT50" i="23"/>
  <c r="BZ50" i="23" s="1"/>
  <c r="CK50" i="23" s="1"/>
  <c r="BR50" i="23"/>
  <c r="CE50" i="23" s="1"/>
  <c r="BN50" i="23"/>
  <c r="BM50" i="23"/>
  <c r="BL50" i="23"/>
  <c r="BK50" i="23"/>
  <c r="CF50" i="23" s="1"/>
  <c r="DI50" i="23" s="1"/>
  <c r="BJ50" i="23"/>
  <c r="BI50" i="23"/>
  <c r="BH50" i="23"/>
  <c r="BG50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BP50" i="23" s="1"/>
  <c r="CC50" i="23" s="1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DP50" i="23" s="1"/>
  <c r="C50" i="23"/>
  <c r="B50" i="23"/>
  <c r="A50" i="23"/>
  <c r="DY49" i="23"/>
  <c r="DX49" i="23"/>
  <c r="DW49" i="23"/>
  <c r="DT49" i="23"/>
  <c r="EB49" i="23" s="1"/>
  <c r="DC49" i="23"/>
  <c r="DA49" i="23"/>
  <c r="CY49" i="23"/>
  <c r="CW49" i="23"/>
  <c r="CV49" i="23"/>
  <c r="CU49" i="23"/>
  <c r="CT49" i="23"/>
  <c r="CR49" i="23"/>
  <c r="CQ49" i="23"/>
  <c r="CP49" i="23"/>
  <c r="CO49" i="23"/>
  <c r="CN49" i="23"/>
  <c r="CS49" i="23" s="1"/>
  <c r="CM49" i="23"/>
  <c r="CG49" i="23"/>
  <c r="CD49" i="23"/>
  <c r="CB49" i="23"/>
  <c r="BY49" i="23"/>
  <c r="CJ49" i="23" s="1"/>
  <c r="BX49" i="23"/>
  <c r="CI49" i="23" s="1"/>
  <c r="BW49" i="23"/>
  <c r="BV49" i="23"/>
  <c r="CH49" i="23" s="1"/>
  <c r="BU49" i="23"/>
  <c r="DO49" i="23" s="1"/>
  <c r="BN49" i="23"/>
  <c r="BM49" i="23"/>
  <c r="BL49" i="23"/>
  <c r="BK49" i="23"/>
  <c r="BJ49" i="23"/>
  <c r="BI49" i="23"/>
  <c r="BH49" i="23"/>
  <c r="BG49" i="23"/>
  <c r="BF49" i="23"/>
  <c r="BE49" i="23"/>
  <c r="BD49" i="23"/>
  <c r="BC49" i="23"/>
  <c r="BB49" i="23"/>
  <c r="BA49" i="23"/>
  <c r="BT49" i="23" s="1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BS49" i="23" s="1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A49" i="23"/>
  <c r="BO49" i="23" s="1"/>
  <c r="BQ49" i="23" s="1"/>
  <c r="EH48" i="23"/>
  <c r="EG48" i="23"/>
  <c r="EF48" i="23"/>
  <c r="EE48" i="23"/>
  <c r="DM48" i="23"/>
  <c r="DC48" i="23"/>
  <c r="CR48" i="23"/>
  <c r="CW48" i="23" s="1"/>
  <c r="CQ48" i="23"/>
  <c r="CP48" i="23"/>
  <c r="CO48" i="23"/>
  <c r="CN48" i="23"/>
  <c r="CM48" i="23"/>
  <c r="CK48" i="23"/>
  <c r="CG48" i="23"/>
  <c r="CF48" i="23"/>
  <c r="DI48" i="23" s="1"/>
  <c r="BU48" i="23"/>
  <c r="BP48" i="23"/>
  <c r="BN48" i="23"/>
  <c r="BT48" i="23" s="1"/>
  <c r="BZ48" i="23" s="1"/>
  <c r="BM48" i="23"/>
  <c r="BL48" i="23"/>
  <c r="BK48" i="23"/>
  <c r="BJ48" i="23"/>
  <c r="BI48" i="23"/>
  <c r="BH48" i="23"/>
  <c r="BG48" i="23"/>
  <c r="BF48" i="23"/>
  <c r="BE48" i="23"/>
  <c r="BD48" i="23"/>
  <c r="BC48" i="23"/>
  <c r="BB48" i="23"/>
  <c r="BA48" i="23"/>
  <c r="DU48" i="23" s="1"/>
  <c r="AZ48" i="23"/>
  <c r="AY48" i="23"/>
  <c r="AX48" i="23"/>
  <c r="AW48" i="23"/>
  <c r="AV48" i="23"/>
  <c r="AU48" i="23"/>
  <c r="AT48" i="23"/>
  <c r="AS48" i="23"/>
  <c r="AR48" i="23"/>
  <c r="AQ48" i="23"/>
  <c r="AP48" i="23"/>
  <c r="AO48" i="23"/>
  <c r="AN48" i="23"/>
  <c r="AM48" i="23"/>
  <c r="AL48" i="23"/>
  <c r="AK48" i="23"/>
  <c r="AJ48" i="23"/>
  <c r="AI48" i="23"/>
  <c r="AH48" i="23"/>
  <c r="AG48" i="23"/>
  <c r="AF48" i="23"/>
  <c r="AE48" i="23"/>
  <c r="AD48" i="23"/>
  <c r="AC48" i="23"/>
  <c r="AB48" i="23"/>
  <c r="AA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B48" i="23"/>
  <c r="A48" i="23"/>
  <c r="BO48" i="23" s="1"/>
  <c r="EG47" i="23"/>
  <c r="EC47" i="23"/>
  <c r="EA47" i="23"/>
  <c r="DY47" i="23"/>
  <c r="DX47" i="23"/>
  <c r="DW47" i="23"/>
  <c r="DU47" i="23"/>
  <c r="EH47" i="23" s="1"/>
  <c r="DP47" i="23"/>
  <c r="DO47" i="23"/>
  <c r="DA47" i="23"/>
  <c r="CZ47" i="23"/>
  <c r="CY47" i="23"/>
  <c r="CU47" i="23"/>
  <c r="CT47" i="23"/>
  <c r="CS47" i="23"/>
  <c r="CR47" i="23"/>
  <c r="CQ47" i="23"/>
  <c r="CP47" i="23"/>
  <c r="CO47" i="23"/>
  <c r="CN47" i="23"/>
  <c r="CM47" i="23"/>
  <c r="CE47" i="23"/>
  <c r="CC47" i="23"/>
  <c r="BZ47" i="23"/>
  <c r="CK47" i="23" s="1"/>
  <c r="BW47" i="23"/>
  <c r="BY47" i="23" s="1"/>
  <c r="CJ47" i="23" s="1"/>
  <c r="BS47" i="23"/>
  <c r="BR47" i="23"/>
  <c r="BN47" i="23"/>
  <c r="BT47" i="23" s="1"/>
  <c r="BM47" i="23"/>
  <c r="BL47" i="23"/>
  <c r="BK47" i="23"/>
  <c r="CF47" i="23" s="1"/>
  <c r="DI47" i="23" s="1"/>
  <c r="BJ47" i="23"/>
  <c r="BI47" i="23"/>
  <c r="BH47" i="23"/>
  <c r="BG47" i="23"/>
  <c r="BF47" i="23"/>
  <c r="BE47" i="23"/>
  <c r="BD47" i="23"/>
  <c r="BC47" i="23"/>
  <c r="BB47" i="23"/>
  <c r="BA47" i="23"/>
  <c r="BV47" i="23" s="1"/>
  <c r="CH47" i="23" s="1"/>
  <c r="AZ47" i="23"/>
  <c r="AY47" i="23"/>
  <c r="AX47" i="23"/>
  <c r="AW47" i="23"/>
  <c r="AV47" i="23"/>
  <c r="AU47" i="23"/>
  <c r="AT47" i="23"/>
  <c r="AS47" i="23"/>
  <c r="AR47" i="23"/>
  <c r="AQ47" i="23"/>
  <c r="AP47" i="23"/>
  <c r="AO47" i="23"/>
  <c r="AN47" i="23"/>
  <c r="AM47" i="23"/>
  <c r="DT47" i="23" s="1"/>
  <c r="EB47" i="23" s="1"/>
  <c r="AL47" i="23"/>
  <c r="AK47" i="23"/>
  <c r="AJ47" i="23"/>
  <c r="AI47" i="23"/>
  <c r="AH47" i="23"/>
  <c r="AG47" i="23"/>
  <c r="AF47" i="23"/>
  <c r="BP47" i="23" s="1"/>
  <c r="AE47" i="23"/>
  <c r="AD47" i="23"/>
  <c r="AC47" i="23"/>
  <c r="AB47" i="23"/>
  <c r="AA47" i="23"/>
  <c r="Z47" i="23"/>
  <c r="Y47" i="23"/>
  <c r="X47" i="23"/>
  <c r="W47" i="23"/>
  <c r="V47" i="23"/>
  <c r="BU47" i="23" s="1"/>
  <c r="CG47" i="23" s="1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B47" i="23"/>
  <c r="A47" i="23"/>
  <c r="BO47" i="23" s="1"/>
  <c r="EE46" i="23"/>
  <c r="CR46" i="23"/>
  <c r="CQ46" i="23"/>
  <c r="CP46" i="23"/>
  <c r="CO46" i="23"/>
  <c r="CN46" i="23"/>
  <c r="CM46" i="23"/>
  <c r="BP46" i="23"/>
  <c r="BN46" i="23"/>
  <c r="BM46" i="23"/>
  <c r="DC46" i="23" s="1"/>
  <c r="BL46" i="23"/>
  <c r="BK46" i="23"/>
  <c r="BJ46" i="23"/>
  <c r="BI46" i="23"/>
  <c r="BH46" i="23"/>
  <c r="BG46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T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BU46" i="23" s="1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B46" i="23"/>
  <c r="A46" i="23"/>
  <c r="BO46" i="23" s="1"/>
  <c r="EG45" i="23"/>
  <c r="EC45" i="23"/>
  <c r="DX45" i="23"/>
  <c r="DW45" i="23"/>
  <c r="DT45" i="23"/>
  <c r="EB45" i="23" s="1"/>
  <c r="DP45" i="23"/>
  <c r="DJ45" i="23"/>
  <c r="CY45" i="23"/>
  <c r="CW45" i="23"/>
  <c r="CV45" i="23"/>
  <c r="CU45" i="23"/>
  <c r="CR45" i="23"/>
  <c r="DC45" i="23" s="1"/>
  <c r="CQ45" i="23"/>
  <c r="DB45" i="23" s="1"/>
  <c r="CP45" i="23"/>
  <c r="DA45" i="23" s="1"/>
  <c r="CO45" i="23"/>
  <c r="CN45" i="23"/>
  <c r="CS45" i="23" s="1"/>
  <c r="CM45" i="23"/>
  <c r="CF45" i="23"/>
  <c r="DI45" i="23" s="1"/>
  <c r="CB45" i="23"/>
  <c r="BU45" i="23"/>
  <c r="BS45" i="23"/>
  <c r="BQ45" i="23"/>
  <c r="CD45" i="23" s="1"/>
  <c r="BP45" i="23"/>
  <c r="CC45" i="23" s="1"/>
  <c r="BN45" i="23"/>
  <c r="BM45" i="23"/>
  <c r="ED45" i="23" s="1"/>
  <c r="BL45" i="23"/>
  <c r="BK45" i="23"/>
  <c r="DY45" i="23" s="1"/>
  <c r="BJ45" i="23"/>
  <c r="BI45" i="23"/>
  <c r="BH45" i="23"/>
  <c r="BG45" i="23"/>
  <c r="BF45" i="23"/>
  <c r="BE45" i="23"/>
  <c r="BD45" i="23"/>
  <c r="BC45" i="23"/>
  <c r="BB45" i="23"/>
  <c r="BA45" i="23"/>
  <c r="DU45" i="23" s="1"/>
  <c r="EH45" i="23" s="1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A45" i="23"/>
  <c r="BO45" i="23" s="1"/>
  <c r="EG44" i="23"/>
  <c r="EE44" i="23"/>
  <c r="ED44" i="23"/>
  <c r="EC44" i="23"/>
  <c r="DI44" i="23"/>
  <c r="DC44" i="23"/>
  <c r="CR44" i="23"/>
  <c r="CQ44" i="23"/>
  <c r="CP44" i="23"/>
  <c r="CO44" i="23"/>
  <c r="CN44" i="23"/>
  <c r="CM44" i="23"/>
  <c r="CF44" i="23"/>
  <c r="BP44" i="23"/>
  <c r="BN44" i="23"/>
  <c r="BM44" i="23"/>
  <c r="BL44" i="23"/>
  <c r="BS44" i="23" s="1"/>
  <c r="BK44" i="23"/>
  <c r="BJ44" i="23"/>
  <c r="BI44" i="23"/>
  <c r="BH44" i="23"/>
  <c r="BG44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A44" i="23"/>
  <c r="DZ43" i="23"/>
  <c r="DY43" i="23"/>
  <c r="DX43" i="23"/>
  <c r="DW43" i="23"/>
  <c r="DP43" i="23"/>
  <c r="DM43" i="23"/>
  <c r="CS43" i="23"/>
  <c r="CR43" i="23"/>
  <c r="CW43" i="23" s="1"/>
  <c r="CQ43" i="23"/>
  <c r="CP43" i="23"/>
  <c r="CO43" i="23"/>
  <c r="CN43" i="23"/>
  <c r="CM43" i="23"/>
  <c r="CB43" i="23"/>
  <c r="BY43" i="23"/>
  <c r="CJ43" i="23" s="1"/>
  <c r="BW43" i="23"/>
  <c r="BU43" i="23"/>
  <c r="CG43" i="23" s="1"/>
  <c r="BS43" i="23"/>
  <c r="BN43" i="23"/>
  <c r="BM43" i="23"/>
  <c r="BL43" i="23"/>
  <c r="BO43" i="23" s="1"/>
  <c r="BQ43" i="23" s="1"/>
  <c r="CD43" i="23" s="1"/>
  <c r="BK43" i="23"/>
  <c r="EA43" i="23" s="1"/>
  <c r="BJ43" i="23"/>
  <c r="BI43" i="23"/>
  <c r="BH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DT43" i="23" s="1"/>
  <c r="EB43" i="23" s="1"/>
  <c r="AL43" i="23"/>
  <c r="AK43" i="23"/>
  <c r="AJ43" i="23"/>
  <c r="AI43" i="23"/>
  <c r="AH43" i="23"/>
  <c r="AG43" i="23"/>
  <c r="AF43" i="23"/>
  <c r="CY43" i="23" s="1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A43" i="23"/>
  <c r="DW42" i="23"/>
  <c r="DJ42" i="23"/>
  <c r="DI42" i="23"/>
  <c r="CR42" i="23"/>
  <c r="CQ42" i="23"/>
  <c r="CP42" i="23"/>
  <c r="CO42" i="23"/>
  <c r="CN42" i="23"/>
  <c r="CM42" i="23"/>
  <c r="BU42" i="23"/>
  <c r="BS42" i="23"/>
  <c r="BP42" i="23"/>
  <c r="CC42" i="23" s="1"/>
  <c r="BO42" i="23"/>
  <c r="CB42" i="23" s="1"/>
  <c r="BN42" i="23"/>
  <c r="BM42" i="23"/>
  <c r="EG42" i="23" s="1"/>
  <c r="BL42" i="23"/>
  <c r="BK42" i="23"/>
  <c r="CF42" i="23" s="1"/>
  <c r="BJ42" i="23"/>
  <c r="BI42" i="23"/>
  <c r="BH42" i="23"/>
  <c r="BG42" i="23"/>
  <c r="BF42" i="23"/>
  <c r="BE42" i="23"/>
  <c r="BD42" i="23"/>
  <c r="BC42" i="23"/>
  <c r="BB42" i="23"/>
  <c r="BA42" i="23"/>
  <c r="BV42" i="23" s="1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A42" i="23"/>
  <c r="EA42" i="23" s="1"/>
  <c r="EA41" i="23"/>
  <c r="DZ41" i="23"/>
  <c r="DY41" i="23"/>
  <c r="DX41" i="23"/>
  <c r="DW41" i="23"/>
  <c r="DM41" i="23"/>
  <c r="CR41" i="23"/>
  <c r="CW41" i="23" s="1"/>
  <c r="CQ41" i="23"/>
  <c r="CP41" i="23"/>
  <c r="CO41" i="23"/>
  <c r="CN41" i="23"/>
  <c r="CM41" i="23"/>
  <c r="CI41" i="23"/>
  <c r="CG41" i="23"/>
  <c r="BU41" i="23"/>
  <c r="BS41" i="23"/>
  <c r="BX41" i="23" s="1"/>
  <c r="BP41" i="23"/>
  <c r="BO41" i="23"/>
  <c r="CB41" i="23" s="1"/>
  <c r="BN41" i="23"/>
  <c r="BM41" i="23"/>
  <c r="BL41" i="23"/>
  <c r="BK41" i="23"/>
  <c r="CF41" i="23" s="1"/>
  <c r="DI41" i="23" s="1"/>
  <c r="BJ41" i="23"/>
  <c r="BI41" i="23"/>
  <c r="BH41" i="23"/>
  <c r="BG41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A41" i="23"/>
  <c r="EG40" i="23"/>
  <c r="EC40" i="23"/>
  <c r="EA40" i="23"/>
  <c r="DZ40" i="23"/>
  <c r="DY40" i="23"/>
  <c r="DP40" i="23"/>
  <c r="DO40" i="23"/>
  <c r="DM40" i="23"/>
  <c r="DI40" i="23"/>
  <c r="CR40" i="23"/>
  <c r="CQ40" i="23"/>
  <c r="DB40" i="23" s="1"/>
  <c r="CP40" i="23"/>
  <c r="CO40" i="23"/>
  <c r="CN40" i="23"/>
  <c r="CM40" i="23"/>
  <c r="CK40" i="23"/>
  <c r="CF40" i="23"/>
  <c r="CA40" i="23"/>
  <c r="CL40" i="23" s="1"/>
  <c r="BY40" i="23"/>
  <c r="CJ40" i="23" s="1"/>
  <c r="BW40" i="23"/>
  <c r="BV40" i="23"/>
  <c r="CH40" i="23" s="1"/>
  <c r="BU40" i="23"/>
  <c r="CG40" i="23" s="1"/>
  <c r="BT40" i="23"/>
  <c r="BZ40" i="23" s="1"/>
  <c r="BS40" i="23"/>
  <c r="DN40" i="23" s="1"/>
  <c r="BP40" i="23"/>
  <c r="CC40" i="23" s="1"/>
  <c r="BO40" i="23"/>
  <c r="BN40" i="23"/>
  <c r="DU40" i="23" s="1"/>
  <c r="EH40" i="23" s="1"/>
  <c r="BM40" i="23"/>
  <c r="BL40" i="23"/>
  <c r="BK40" i="23"/>
  <c r="BJ40" i="23"/>
  <c r="BI40" i="23"/>
  <c r="BH40" i="23"/>
  <c r="BG40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EF40" i="23" s="1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A40" i="23"/>
  <c r="DX40" i="23" s="1"/>
  <c r="EE39" i="23"/>
  <c r="ED39" i="23"/>
  <c r="EC39" i="23"/>
  <c r="EA39" i="23"/>
  <c r="DM39" i="23"/>
  <c r="CR39" i="23"/>
  <c r="DC39" i="23" s="1"/>
  <c r="CQ39" i="23"/>
  <c r="CP39" i="23"/>
  <c r="CO39" i="23"/>
  <c r="CN39" i="23"/>
  <c r="CM39" i="23"/>
  <c r="CC39" i="23"/>
  <c r="CA39" i="23"/>
  <c r="CL39" i="23" s="1"/>
  <c r="BR39" i="23"/>
  <c r="CE39" i="23" s="1"/>
  <c r="BN39" i="23"/>
  <c r="BM39" i="23"/>
  <c r="BL39" i="23"/>
  <c r="BK39" i="23"/>
  <c r="BJ39" i="23"/>
  <c r="BI39" i="23"/>
  <c r="BH39" i="23"/>
  <c r="BG39" i="23"/>
  <c r="BF39" i="23"/>
  <c r="BE39" i="23"/>
  <c r="BD39" i="23"/>
  <c r="BC39" i="23"/>
  <c r="BB39" i="23"/>
  <c r="BA39" i="23"/>
  <c r="BV39" i="23" s="1"/>
  <c r="CH39" i="23" s="1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DT39" i="23" s="1"/>
  <c r="EB39" i="23" s="1"/>
  <c r="AL39" i="23"/>
  <c r="AK39" i="23"/>
  <c r="AJ39" i="23"/>
  <c r="AI39" i="23"/>
  <c r="AH39" i="23"/>
  <c r="AG39" i="23"/>
  <c r="AF39" i="23"/>
  <c r="BP39" i="23" s="1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A39" i="23"/>
  <c r="BO39" i="23" s="1"/>
  <c r="DU38" i="23"/>
  <c r="EH38" i="23" s="1"/>
  <c r="DP38" i="23"/>
  <c r="DM38" i="23"/>
  <c r="DA38" i="23"/>
  <c r="CR38" i="23"/>
  <c r="CQ38" i="23"/>
  <c r="CP38" i="23"/>
  <c r="CO38" i="23"/>
  <c r="CN38" i="23"/>
  <c r="CM38" i="23"/>
  <c r="CG38" i="23"/>
  <c r="CF38" i="23"/>
  <c r="DI38" i="23" s="1"/>
  <c r="CC38" i="23"/>
  <c r="CB38" i="23"/>
  <c r="DJ38" i="23" s="1"/>
  <c r="BZ38" i="23"/>
  <c r="CK38" i="23" s="1"/>
  <c r="BT38" i="23"/>
  <c r="BS38" i="23"/>
  <c r="BN38" i="23"/>
  <c r="BM38" i="23"/>
  <c r="BL38" i="23"/>
  <c r="BU38" i="23" s="1"/>
  <c r="BK38" i="23"/>
  <c r="BJ38" i="23"/>
  <c r="BI38" i="23"/>
  <c r="BH38" i="23"/>
  <c r="BG38" i="23"/>
  <c r="BF38" i="23"/>
  <c r="BE38" i="23"/>
  <c r="BD38" i="23"/>
  <c r="BC38" i="23"/>
  <c r="BB38" i="23"/>
  <c r="BA38" i="23"/>
  <c r="BV38" i="23" s="1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BP38" i="23" s="1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A38" i="23"/>
  <c r="BO38" i="23" s="1"/>
  <c r="BQ38" i="23" s="1"/>
  <c r="CD38" i="23" s="1"/>
  <c r="DT37" i="23"/>
  <c r="EB37" i="23" s="1"/>
  <c r="DP37" i="23"/>
  <c r="DM37" i="23"/>
  <c r="DC37" i="23"/>
  <c r="CR37" i="23"/>
  <c r="CQ37" i="23"/>
  <c r="CV37" i="23" s="1"/>
  <c r="CP37" i="23"/>
  <c r="CO37" i="23"/>
  <c r="CN37" i="23"/>
  <c r="CM37" i="23"/>
  <c r="CD37" i="23"/>
  <c r="CB37" i="23"/>
  <c r="BN37" i="23"/>
  <c r="BM37" i="23"/>
  <c r="BL37" i="23"/>
  <c r="BK37" i="23"/>
  <c r="BJ37" i="23"/>
  <c r="BI37" i="23"/>
  <c r="BH37" i="23"/>
  <c r="BG37" i="23"/>
  <c r="BF37" i="23"/>
  <c r="BE37" i="23"/>
  <c r="BD37" i="23"/>
  <c r="BC37" i="23"/>
  <c r="BB37" i="23"/>
  <c r="BA37" i="23"/>
  <c r="AZ37" i="23"/>
  <c r="AY37" i="23"/>
  <c r="AX37" i="23"/>
  <c r="AW37" i="23"/>
  <c r="AV37" i="23"/>
  <c r="AU37" i="23"/>
  <c r="AT37" i="23"/>
  <c r="AS37" i="23"/>
  <c r="AR37" i="23"/>
  <c r="AQ37" i="23"/>
  <c r="AP37" i="23"/>
  <c r="AO37" i="23"/>
  <c r="AN37" i="23"/>
  <c r="AM37" i="23"/>
  <c r="AL37" i="23"/>
  <c r="AK37" i="23"/>
  <c r="AJ37" i="23"/>
  <c r="AI37" i="23"/>
  <c r="AH37" i="23"/>
  <c r="AG37" i="23"/>
  <c r="AF37" i="23"/>
  <c r="AE37" i="23"/>
  <c r="AD37" i="23"/>
  <c r="AC37" i="23"/>
  <c r="AB37" i="23"/>
  <c r="AA37" i="23"/>
  <c r="Z37" i="23"/>
  <c r="Y37" i="23"/>
  <c r="X37" i="23"/>
  <c r="W37" i="23"/>
  <c r="V37" i="23"/>
  <c r="BS37" i="23" s="1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A37" i="23"/>
  <c r="BO37" i="23" s="1"/>
  <c r="BQ37" i="23" s="1"/>
  <c r="DU36" i="23"/>
  <c r="EH36" i="23" s="1"/>
  <c r="DP36" i="23"/>
  <c r="DN36" i="23"/>
  <c r="DM36" i="23"/>
  <c r="DA36" i="23"/>
  <c r="CR36" i="23"/>
  <c r="CQ36" i="23"/>
  <c r="CP36" i="23"/>
  <c r="CO36" i="23"/>
  <c r="CN36" i="23"/>
  <c r="CM36" i="23"/>
  <c r="CK36" i="23"/>
  <c r="CI36" i="23"/>
  <c r="CF36" i="23"/>
  <c r="DI36" i="23" s="1"/>
  <c r="BX36" i="23"/>
  <c r="BP36" i="23"/>
  <c r="BN36" i="23"/>
  <c r="BT36" i="23" s="1"/>
  <c r="BZ36" i="23" s="1"/>
  <c r="BM36" i="23"/>
  <c r="BL36" i="23"/>
  <c r="BS36" i="23" s="1"/>
  <c r="BK36" i="23"/>
  <c r="BJ36" i="23"/>
  <c r="BI36" i="23"/>
  <c r="BH36" i="23"/>
  <c r="BG36" i="23"/>
  <c r="BF36" i="23"/>
  <c r="BE36" i="23"/>
  <c r="BD36" i="23"/>
  <c r="BC36" i="23"/>
  <c r="BB36" i="23"/>
  <c r="BA36" i="23"/>
  <c r="BV36" i="23" s="1"/>
  <c r="CH36" i="23" s="1"/>
  <c r="AZ36" i="23"/>
  <c r="AY36" i="23"/>
  <c r="AX36" i="23"/>
  <c r="AW36" i="23"/>
  <c r="AV36" i="23"/>
  <c r="AU36" i="23"/>
  <c r="AT36" i="23"/>
  <c r="AS36" i="23"/>
  <c r="AR36" i="23"/>
  <c r="AQ36" i="23"/>
  <c r="AP36" i="23"/>
  <c r="AO36" i="23"/>
  <c r="AN36" i="23"/>
  <c r="AM36" i="23"/>
  <c r="AL36" i="23"/>
  <c r="AK36" i="23"/>
  <c r="AJ36" i="23"/>
  <c r="AI36" i="23"/>
  <c r="AH36" i="23"/>
  <c r="AG36" i="23"/>
  <c r="AF36" i="23"/>
  <c r="AE36" i="23"/>
  <c r="AD36" i="23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A36" i="23"/>
  <c r="BO36" i="23" s="1"/>
  <c r="DY35" i="23"/>
  <c r="DW35" i="23"/>
  <c r="DT35" i="23"/>
  <c r="EB35" i="23" s="1"/>
  <c r="CR35" i="23"/>
  <c r="CQ35" i="23"/>
  <c r="CP35" i="23"/>
  <c r="CO35" i="23"/>
  <c r="CN35" i="23"/>
  <c r="CM35" i="23"/>
  <c r="CB35" i="23"/>
  <c r="BZ35" i="23"/>
  <c r="CK35" i="23" s="1"/>
  <c r="BN35" i="23"/>
  <c r="BT35" i="23" s="1"/>
  <c r="BM35" i="23"/>
  <c r="BL35" i="23"/>
  <c r="BK35" i="23"/>
  <c r="BJ35" i="23"/>
  <c r="BI35" i="23"/>
  <c r="BH35" i="23"/>
  <c r="BG35" i="23"/>
  <c r="BF35" i="23"/>
  <c r="BE35" i="23"/>
  <c r="BD35" i="23"/>
  <c r="BC35" i="23"/>
  <c r="BB35" i="23"/>
  <c r="BA35" i="23"/>
  <c r="AZ35" i="23"/>
  <c r="AY35" i="23"/>
  <c r="AX35" i="23"/>
  <c r="AW35" i="23"/>
  <c r="AV35" i="23"/>
  <c r="AU35" i="23"/>
  <c r="AT35" i="23"/>
  <c r="AS35" i="23"/>
  <c r="AR35" i="23"/>
  <c r="AQ35" i="23"/>
  <c r="AP35" i="23"/>
  <c r="DU35" i="23" s="1"/>
  <c r="EH35" i="23" s="1"/>
  <c r="AO35" i="23"/>
  <c r="AN35" i="23"/>
  <c r="AM35" i="23"/>
  <c r="AL35" i="23"/>
  <c r="AK35" i="23"/>
  <c r="AJ35" i="23"/>
  <c r="AI35" i="23"/>
  <c r="AH35" i="23"/>
  <c r="AG35" i="23"/>
  <c r="AF35" i="23"/>
  <c r="BP35" i="23" s="1"/>
  <c r="AE35" i="23"/>
  <c r="AD35" i="23"/>
  <c r="AC35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DP35" i="23" s="1"/>
  <c r="A35" i="23"/>
  <c r="BO35" i="23" s="1"/>
  <c r="DZ34" i="23"/>
  <c r="DY34" i="23"/>
  <c r="DX34" i="23"/>
  <c r="DW34" i="23"/>
  <c r="DP34" i="23"/>
  <c r="DM34" i="23"/>
  <c r="CW34" i="23"/>
  <c r="CV34" i="23"/>
  <c r="CU34" i="23"/>
  <c r="CS34" i="23"/>
  <c r="CR34" i="23"/>
  <c r="CQ34" i="23"/>
  <c r="CP34" i="23"/>
  <c r="CO34" i="23"/>
  <c r="CN34" i="23"/>
  <c r="CY34" i="23" s="1"/>
  <c r="CM34" i="23"/>
  <c r="CF34" i="23"/>
  <c r="DI34" i="23" s="1"/>
  <c r="BU34" i="23"/>
  <c r="CG34" i="23" s="1"/>
  <c r="BS34" i="23"/>
  <c r="BO34" i="23"/>
  <c r="BN34" i="23"/>
  <c r="BT34" i="23" s="1"/>
  <c r="BZ34" i="23" s="1"/>
  <c r="CK34" i="23" s="1"/>
  <c r="BM34" i="23"/>
  <c r="BL34" i="23"/>
  <c r="BK34" i="23"/>
  <c r="EA34" i="23" s="1"/>
  <c r="BJ34" i="23"/>
  <c r="BI34" i="23"/>
  <c r="BH34" i="23"/>
  <c r="BG34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A34" i="23"/>
  <c r="EG33" i="23"/>
  <c r="EF33" i="23"/>
  <c r="EE33" i="23"/>
  <c r="EC33" i="23"/>
  <c r="DU33" i="23"/>
  <c r="EH33" i="23" s="1"/>
  <c r="DC33" i="23"/>
  <c r="DB33" i="23"/>
  <c r="DA33" i="23"/>
  <c r="CZ33" i="23"/>
  <c r="CY33" i="23"/>
  <c r="DD33" i="23" s="1"/>
  <c r="CR33" i="23"/>
  <c r="CQ33" i="23"/>
  <c r="CP33" i="23"/>
  <c r="CU33" i="23" s="1"/>
  <c r="CO33" i="23"/>
  <c r="CN33" i="23"/>
  <c r="CM33" i="23"/>
  <c r="CF33" i="23"/>
  <c r="DI33" i="23" s="1"/>
  <c r="CE33" i="23"/>
  <c r="CC33" i="23"/>
  <c r="BP33" i="23"/>
  <c r="BO33" i="23"/>
  <c r="CB33" i="23" s="1"/>
  <c r="BN33" i="23"/>
  <c r="BM33" i="23"/>
  <c r="ED33" i="23" s="1"/>
  <c r="BL33" i="23"/>
  <c r="BK33" i="23"/>
  <c r="BJ33" i="23"/>
  <c r="BI33" i="23"/>
  <c r="BH33" i="23"/>
  <c r="BG33" i="23"/>
  <c r="BF33" i="23"/>
  <c r="BE33" i="23"/>
  <c r="BD33" i="23"/>
  <c r="BC33" i="23"/>
  <c r="BB33" i="23"/>
  <c r="BA33" i="23"/>
  <c r="BR33" i="23" s="1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DT33" i="23" s="1"/>
  <c r="EB33" i="23" s="1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A33" i="23"/>
  <c r="EG32" i="23"/>
  <c r="EE32" i="23"/>
  <c r="ED32" i="23"/>
  <c r="EA32" i="23"/>
  <c r="DA32" i="23"/>
  <c r="CW32" i="23"/>
  <c r="CS32" i="23"/>
  <c r="CR32" i="23"/>
  <c r="DC32" i="23" s="1"/>
  <c r="CQ32" i="23"/>
  <c r="CP32" i="23"/>
  <c r="CO32" i="23"/>
  <c r="CN32" i="23"/>
  <c r="CM32" i="23"/>
  <c r="CF32" i="23"/>
  <c r="DI32" i="23" s="1"/>
  <c r="BU32" i="23"/>
  <c r="BS32" i="23"/>
  <c r="BN32" i="23"/>
  <c r="BM32" i="23"/>
  <c r="CY32" i="23" s="1"/>
  <c r="BL32" i="23"/>
  <c r="BK32" i="23"/>
  <c r="DY32" i="23" s="1"/>
  <c r="BJ32" i="23"/>
  <c r="BI32" i="23"/>
  <c r="BH32" i="23"/>
  <c r="BG32" i="23"/>
  <c r="BF32" i="23"/>
  <c r="BE32" i="23"/>
  <c r="BD32" i="23"/>
  <c r="BC32" i="23"/>
  <c r="BB32" i="23"/>
  <c r="BA32" i="23"/>
  <c r="BV32" i="23" s="1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A32" i="23"/>
  <c r="BO32" i="23" s="1"/>
  <c r="CR31" i="23"/>
  <c r="CQ31" i="23"/>
  <c r="CP31" i="23"/>
  <c r="CO31" i="23"/>
  <c r="CN31" i="23"/>
  <c r="CM31" i="23"/>
  <c r="BN31" i="23"/>
  <c r="BM31" i="23"/>
  <c r="BL31" i="23"/>
  <c r="BK31" i="23"/>
  <c r="BJ31" i="23"/>
  <c r="BI31" i="23"/>
  <c r="BH31" i="23"/>
  <c r="BG31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A31" i="23"/>
  <c r="EA30" i="23"/>
  <c r="DZ30" i="23"/>
  <c r="DY30" i="23"/>
  <c r="DX30" i="23"/>
  <c r="DW30" i="23"/>
  <c r="DP30" i="23"/>
  <c r="DM30" i="23"/>
  <c r="DI30" i="23"/>
  <c r="CV30" i="23"/>
  <c r="CU30" i="23"/>
  <c r="CR30" i="23"/>
  <c r="CQ30" i="23"/>
  <c r="CP30" i="23"/>
  <c r="CO30" i="23"/>
  <c r="CN30" i="23"/>
  <c r="CM30" i="23"/>
  <c r="BU30" i="23"/>
  <c r="BT30" i="23"/>
  <c r="BZ30" i="23" s="1"/>
  <c r="CK30" i="23" s="1"/>
  <c r="BS30" i="23"/>
  <c r="BQ30" i="23"/>
  <c r="CD30" i="23" s="1"/>
  <c r="BO30" i="23"/>
  <c r="CB30" i="23" s="1"/>
  <c r="BN30" i="23"/>
  <c r="BM30" i="23"/>
  <c r="BL30" i="23"/>
  <c r="BK30" i="23"/>
  <c r="CF30" i="23" s="1"/>
  <c r="BJ30" i="23"/>
  <c r="BI30" i="23"/>
  <c r="BH30" i="23"/>
  <c r="BG30" i="23"/>
  <c r="BF30" i="23"/>
  <c r="BE30" i="23"/>
  <c r="BD30" i="23"/>
  <c r="BC30" i="23"/>
  <c r="BB30" i="23"/>
  <c r="BA30" i="23"/>
  <c r="BV30" i="23" s="1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A30" i="23"/>
  <c r="EB29" i="23"/>
  <c r="EA29" i="23"/>
  <c r="DZ29" i="23"/>
  <c r="DY29" i="23"/>
  <c r="CU29" i="23"/>
  <c r="CT29" i="23"/>
  <c r="CS29" i="23"/>
  <c r="CR29" i="23"/>
  <c r="CQ29" i="23"/>
  <c r="CP29" i="23"/>
  <c r="CO29" i="23"/>
  <c r="CN29" i="23"/>
  <c r="CM29" i="23"/>
  <c r="BX29" i="23"/>
  <c r="CI29" i="23" s="1"/>
  <c r="BW29" i="23"/>
  <c r="BY29" i="23" s="1"/>
  <c r="CJ29" i="23" s="1"/>
  <c r="BV29" i="23"/>
  <c r="BU29" i="23"/>
  <c r="BO29" i="23"/>
  <c r="BN29" i="23"/>
  <c r="BM29" i="23"/>
  <c r="BL29" i="23"/>
  <c r="BK29" i="23"/>
  <c r="BJ29" i="23"/>
  <c r="BI29" i="23"/>
  <c r="BH29" i="23"/>
  <c r="BG29" i="23"/>
  <c r="BF29" i="23"/>
  <c r="BE29" i="23"/>
  <c r="BD29" i="23"/>
  <c r="BC29" i="23"/>
  <c r="BB29" i="23"/>
  <c r="BA29" i="23"/>
  <c r="DU29" i="23" s="1"/>
  <c r="EH29" i="23" s="1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DT29" i="23" s="1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BS29" i="23" s="1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A29" i="23"/>
  <c r="DP28" i="23"/>
  <c r="CR28" i="23"/>
  <c r="CQ28" i="23"/>
  <c r="CP28" i="23"/>
  <c r="CU28" i="23" s="1"/>
  <c r="CO28" i="23"/>
  <c r="CN28" i="23"/>
  <c r="CM28" i="23"/>
  <c r="CC28" i="23"/>
  <c r="BT28" i="23"/>
  <c r="BZ28" i="23" s="1"/>
  <c r="CK28" i="23" s="1"/>
  <c r="BR28" i="23"/>
  <c r="CE28" i="23" s="1"/>
  <c r="BN28" i="23"/>
  <c r="BM28" i="23"/>
  <c r="BL28" i="23"/>
  <c r="BK28" i="23"/>
  <c r="BJ28" i="23"/>
  <c r="BI28" i="23"/>
  <c r="BH28" i="23"/>
  <c r="BG28" i="23"/>
  <c r="BF28" i="23"/>
  <c r="BE28" i="23"/>
  <c r="BD28" i="23"/>
  <c r="BC28" i="23"/>
  <c r="BB28" i="23"/>
  <c r="BA28" i="23"/>
  <c r="BV28" i="23" s="1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BP28" i="23" s="1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A28" i="23"/>
  <c r="CT27" i="23"/>
  <c r="CS27" i="23"/>
  <c r="CR27" i="23"/>
  <c r="CQ27" i="23"/>
  <c r="CP27" i="23"/>
  <c r="CO27" i="23"/>
  <c r="CN27" i="23"/>
  <c r="CM27" i="23"/>
  <c r="BV27" i="23"/>
  <c r="BT27" i="23"/>
  <c r="BZ27" i="23" s="1"/>
  <c r="CK27" i="23" s="1"/>
  <c r="BN27" i="23"/>
  <c r="BM27" i="23"/>
  <c r="BL27" i="23"/>
  <c r="BK27" i="23"/>
  <c r="BJ27" i="23"/>
  <c r="BI27" i="23"/>
  <c r="BH27" i="23"/>
  <c r="BG27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BP27" i="23" s="1"/>
  <c r="AE27" i="23"/>
  <c r="AD27" i="23"/>
  <c r="AC27" i="23"/>
  <c r="AB27" i="23"/>
  <c r="AA27" i="23"/>
  <c r="Z27" i="23"/>
  <c r="Y27" i="23"/>
  <c r="X27" i="23"/>
  <c r="W27" i="23"/>
  <c r="V27" i="23"/>
  <c r="BU27" i="23" s="1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DP27" i="23" s="1"/>
  <c r="A27" i="23"/>
  <c r="EA26" i="23"/>
  <c r="DU26" i="23"/>
  <c r="EH26" i="23" s="1"/>
  <c r="DT26" i="23"/>
  <c r="EB26" i="23" s="1"/>
  <c r="CR26" i="23"/>
  <c r="CQ26" i="23"/>
  <c r="CP26" i="23"/>
  <c r="CO26" i="23"/>
  <c r="CZ26" i="23" s="1"/>
  <c r="CN26" i="23"/>
  <c r="CM26" i="23"/>
  <c r="CK26" i="23"/>
  <c r="BV26" i="23"/>
  <c r="CH26" i="23" s="1"/>
  <c r="BU26" i="23"/>
  <c r="BR26" i="23"/>
  <c r="CE26" i="23" s="1"/>
  <c r="BP26" i="23"/>
  <c r="CC26" i="23" s="1"/>
  <c r="BN26" i="23"/>
  <c r="BM26" i="23"/>
  <c r="BL26" i="23"/>
  <c r="BK26" i="23"/>
  <c r="CS26" i="23" s="1"/>
  <c r="BJ26" i="23"/>
  <c r="BI26" i="23"/>
  <c r="BH26" i="23"/>
  <c r="BG26" i="23"/>
  <c r="BF26" i="23"/>
  <c r="BE26" i="23"/>
  <c r="BD26" i="23"/>
  <c r="BC26" i="23"/>
  <c r="BB26" i="23"/>
  <c r="BA26" i="23"/>
  <c r="BT26" i="23" s="1"/>
  <c r="BZ26" i="23" s="1"/>
  <c r="AZ26" i="23"/>
  <c r="AY26" i="23"/>
  <c r="AX26" i="23"/>
  <c r="AW26" i="23"/>
  <c r="AV26" i="23"/>
  <c r="AU26" i="23"/>
  <c r="AT26" i="23"/>
  <c r="AS26" i="23"/>
  <c r="AR26" i="23"/>
  <c r="AQ26" i="23"/>
  <c r="AP26" i="23"/>
  <c r="AO26" i="23"/>
  <c r="AN26" i="23"/>
  <c r="AM26" i="23"/>
  <c r="AL26" i="23"/>
  <c r="AK26" i="23"/>
  <c r="AJ26" i="23"/>
  <c r="AI26" i="23"/>
  <c r="AH26" i="23"/>
  <c r="AG26" i="23"/>
  <c r="AF26" i="23"/>
  <c r="AE26" i="23"/>
  <c r="AD26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A26" i="23"/>
  <c r="EA25" i="23"/>
  <c r="DZ25" i="23"/>
  <c r="DY25" i="23"/>
  <c r="DX25" i="23"/>
  <c r="DW25" i="23"/>
  <c r="DP25" i="23"/>
  <c r="DM25" i="23"/>
  <c r="CR25" i="23"/>
  <c r="CQ25" i="23"/>
  <c r="CP25" i="23"/>
  <c r="CU25" i="23" s="1"/>
  <c r="CO25" i="23"/>
  <c r="CT25" i="23" s="1"/>
  <c r="CN25" i="23"/>
  <c r="CM25" i="23"/>
  <c r="CF25" i="23"/>
  <c r="DI25" i="23" s="1"/>
  <c r="BX25" i="23"/>
  <c r="CI25" i="23" s="1"/>
  <c r="BW25" i="23"/>
  <c r="BU25" i="23"/>
  <c r="BS25" i="23"/>
  <c r="BN25" i="23"/>
  <c r="BM25" i="23"/>
  <c r="BL25" i="23"/>
  <c r="BO25" i="23" s="1"/>
  <c r="CB25" i="23" s="1"/>
  <c r="BK25" i="23"/>
  <c r="BJ25" i="23"/>
  <c r="BI25" i="23"/>
  <c r="BH25" i="23"/>
  <c r="BG25" i="23"/>
  <c r="BF25" i="23"/>
  <c r="BE25" i="23"/>
  <c r="BD25" i="23"/>
  <c r="BC25" i="23"/>
  <c r="BB25" i="23"/>
  <c r="BA25" i="23"/>
  <c r="AZ25" i="23"/>
  <c r="AY25" i="23"/>
  <c r="AX25" i="23"/>
  <c r="AW25" i="23"/>
  <c r="AV25" i="23"/>
  <c r="AU25" i="23"/>
  <c r="AT25" i="23"/>
  <c r="AS25" i="23"/>
  <c r="AR25" i="23"/>
  <c r="AQ25" i="23"/>
  <c r="AP25" i="23"/>
  <c r="AO25" i="23"/>
  <c r="AN25" i="23"/>
  <c r="AM25" i="23"/>
  <c r="AL25" i="23"/>
  <c r="AK25" i="23"/>
  <c r="AJ25" i="23"/>
  <c r="AI25" i="23"/>
  <c r="AH25" i="23"/>
  <c r="AG25" i="23"/>
  <c r="AF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A25" i="23"/>
  <c r="EG24" i="23"/>
  <c r="EF24" i="23"/>
  <c r="EE24" i="23"/>
  <c r="ED24" i="23"/>
  <c r="EC24" i="23"/>
  <c r="DC24" i="23"/>
  <c r="DB24" i="23"/>
  <c r="CR24" i="23"/>
  <c r="CQ24" i="23"/>
  <c r="CP24" i="23"/>
  <c r="DA24" i="23" s="1"/>
  <c r="CO24" i="23"/>
  <c r="CN24" i="23"/>
  <c r="CY24" i="23" s="1"/>
  <c r="CM24" i="23"/>
  <c r="BN24" i="23"/>
  <c r="BM24" i="23"/>
  <c r="BL24" i="23"/>
  <c r="BK24" i="23"/>
  <c r="BJ24" i="23"/>
  <c r="BI24" i="23"/>
  <c r="BH24" i="23"/>
  <c r="BG24" i="23"/>
  <c r="BF24" i="23"/>
  <c r="BE24" i="23"/>
  <c r="BD24" i="23"/>
  <c r="BC24" i="23"/>
  <c r="BB24" i="23"/>
  <c r="BA24" i="23"/>
  <c r="AZ24" i="23"/>
  <c r="AY24" i="23"/>
  <c r="AX24" i="23"/>
  <c r="AW24" i="23"/>
  <c r="AV24" i="23"/>
  <c r="AU24" i="23"/>
  <c r="AT24" i="23"/>
  <c r="AS24" i="23"/>
  <c r="AR24" i="23"/>
  <c r="AQ24" i="23"/>
  <c r="AP24" i="23"/>
  <c r="AO24" i="23"/>
  <c r="AN24" i="23"/>
  <c r="AM24" i="23"/>
  <c r="DT24" i="23" s="1"/>
  <c r="EB24" i="23" s="1"/>
  <c r="AL24" i="23"/>
  <c r="AK24" i="23"/>
  <c r="AJ24" i="23"/>
  <c r="AI24" i="23"/>
  <c r="AH24" i="23"/>
  <c r="AG24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DM24" i="23" s="1"/>
  <c r="A24" i="23"/>
  <c r="DZ23" i="23"/>
  <c r="DW23" i="23"/>
  <c r="DT23" i="23"/>
  <c r="EB23" i="23" s="1"/>
  <c r="DP23" i="23"/>
  <c r="DM23" i="23"/>
  <c r="CY23" i="23"/>
  <c r="CT23" i="23"/>
  <c r="CS23" i="23"/>
  <c r="CR23" i="23"/>
  <c r="CQ23" i="23"/>
  <c r="CP23" i="23"/>
  <c r="CO23" i="23"/>
  <c r="CZ23" i="23" s="1"/>
  <c r="CN23" i="23"/>
  <c r="CM23" i="23"/>
  <c r="CF23" i="23"/>
  <c r="DI23" i="23" s="1"/>
  <c r="BU23" i="23"/>
  <c r="CG23" i="23" s="1"/>
  <c r="BT23" i="23"/>
  <c r="BZ23" i="23" s="1"/>
  <c r="CK23" i="23" s="1"/>
  <c r="BS23" i="23"/>
  <c r="BQ23" i="23"/>
  <c r="CD23" i="23" s="1"/>
  <c r="BN23" i="23"/>
  <c r="BM23" i="23"/>
  <c r="EG23" i="23" s="1"/>
  <c r="BL23" i="23"/>
  <c r="BK23" i="23"/>
  <c r="BJ23" i="23"/>
  <c r="BI23" i="23"/>
  <c r="BH23" i="23"/>
  <c r="BG23" i="23"/>
  <c r="BF23" i="23"/>
  <c r="BE23" i="23"/>
  <c r="BD23" i="23"/>
  <c r="BC23" i="23"/>
  <c r="BB23" i="23"/>
  <c r="BA23" i="23"/>
  <c r="DU23" i="23" s="1"/>
  <c r="EH23" i="23" s="1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A23" i="23"/>
  <c r="BO23" i="23" s="1"/>
  <c r="CB23" i="23" s="1"/>
  <c r="EC22" i="23"/>
  <c r="DM22" i="23"/>
  <c r="CR22" i="23"/>
  <c r="CQ22" i="23"/>
  <c r="CP22" i="23"/>
  <c r="CO22" i="23"/>
  <c r="CN22" i="23"/>
  <c r="CM22" i="23"/>
  <c r="BS22" i="23"/>
  <c r="BO22" i="23"/>
  <c r="BN22" i="23"/>
  <c r="BM22" i="23"/>
  <c r="BL22" i="23"/>
  <c r="BK22" i="23"/>
  <c r="BJ22" i="23"/>
  <c r="BI22" i="23"/>
  <c r="BH22" i="23"/>
  <c r="BG22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A22" i="23"/>
  <c r="EG21" i="23"/>
  <c r="EF21" i="23"/>
  <c r="DP21" i="23"/>
  <c r="DO21" i="23"/>
  <c r="DC21" i="23"/>
  <c r="DB21" i="23"/>
  <c r="DA21" i="23"/>
  <c r="CZ21" i="23"/>
  <c r="CY21" i="23"/>
  <c r="CR21" i="23"/>
  <c r="CQ21" i="23"/>
  <c r="CP21" i="23"/>
  <c r="CO21" i="23"/>
  <c r="CN21" i="23"/>
  <c r="CM21" i="23"/>
  <c r="CH21" i="23"/>
  <c r="CG21" i="23"/>
  <c r="CF21" i="23"/>
  <c r="DI21" i="23" s="1"/>
  <c r="CE21" i="23"/>
  <c r="CC21" i="23"/>
  <c r="BZ21" i="23"/>
  <c r="CK21" i="23" s="1"/>
  <c r="BT21" i="23"/>
  <c r="BP21" i="23"/>
  <c r="BR21" i="23" s="1"/>
  <c r="BN21" i="23"/>
  <c r="BM21" i="23"/>
  <c r="EC21" i="23" s="1"/>
  <c r="BL21" i="23"/>
  <c r="BK21" i="23"/>
  <c r="BJ21" i="23"/>
  <c r="BI21" i="23"/>
  <c r="BH21" i="23"/>
  <c r="BG21" i="23"/>
  <c r="BF21" i="23"/>
  <c r="BE21" i="23"/>
  <c r="BD21" i="23"/>
  <c r="BC21" i="23"/>
  <c r="BB21" i="23"/>
  <c r="BA21" i="23"/>
  <c r="BV21" i="23" s="1"/>
  <c r="CA21" i="23" s="1"/>
  <c r="CL21" i="23" s="1"/>
  <c r="AZ21" i="23"/>
  <c r="AY21" i="23"/>
  <c r="AX21" i="23"/>
  <c r="AW21" i="23"/>
  <c r="AV21" i="23"/>
  <c r="AU21" i="23"/>
  <c r="AT21" i="23"/>
  <c r="AS21" i="23"/>
  <c r="AR21" i="23"/>
  <c r="AQ21" i="23"/>
  <c r="AP21" i="23"/>
  <c r="DU21" i="23" s="1"/>
  <c r="EH21" i="23" s="1"/>
  <c r="AO21" i="23"/>
  <c r="AN21" i="23"/>
  <c r="AM21" i="23"/>
  <c r="DT21" i="23" s="1"/>
  <c r="EB21" i="23" s="1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BU21" i="23" s="1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A21" i="23"/>
  <c r="BO21" i="23" s="1"/>
  <c r="BQ21" i="23" s="1"/>
  <c r="CD21" i="23" s="1"/>
  <c r="DK21" i="23" s="1"/>
  <c r="EH20" i="23"/>
  <c r="DU20" i="23"/>
  <c r="DP20" i="23"/>
  <c r="DM20" i="23"/>
  <c r="CY20" i="23"/>
  <c r="CW20" i="23"/>
  <c r="CV20" i="23"/>
  <c r="CU20" i="23"/>
  <c r="CT20" i="23"/>
  <c r="CS20" i="23"/>
  <c r="CR20" i="23"/>
  <c r="DC20" i="23" s="1"/>
  <c r="CQ20" i="23"/>
  <c r="DB20" i="23" s="1"/>
  <c r="CP20" i="23"/>
  <c r="DA20" i="23" s="1"/>
  <c r="CO20" i="23"/>
  <c r="CN20" i="23"/>
  <c r="CM20" i="23"/>
  <c r="CD20" i="23"/>
  <c r="CB20" i="23"/>
  <c r="BZ20" i="23"/>
  <c r="CK20" i="23" s="1"/>
  <c r="BV20" i="23"/>
  <c r="CH20" i="23" s="1"/>
  <c r="BS20" i="23"/>
  <c r="BN20" i="23"/>
  <c r="BT20" i="23" s="1"/>
  <c r="BM20" i="23"/>
  <c r="CZ20" i="23" s="1"/>
  <c r="BL20" i="23"/>
  <c r="BK20" i="23"/>
  <c r="EA20" i="23" s="1"/>
  <c r="BJ20" i="23"/>
  <c r="BI20" i="23"/>
  <c r="BH20" i="23"/>
  <c r="BG20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DT20" i="23" s="1"/>
  <c r="EB20" i="23" s="1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A20" i="23"/>
  <c r="BO20" i="23" s="1"/>
  <c r="BQ20" i="23" s="1"/>
  <c r="EE19" i="23"/>
  <c r="ED19" i="23"/>
  <c r="EC19" i="23"/>
  <c r="DX19" i="23"/>
  <c r="DP19" i="23"/>
  <c r="DM19" i="23"/>
  <c r="DI19" i="23"/>
  <c r="CU19" i="23"/>
  <c r="CR19" i="23"/>
  <c r="CQ19" i="23"/>
  <c r="CP19" i="23"/>
  <c r="CO19" i="23"/>
  <c r="CZ19" i="23" s="1"/>
  <c r="CN19" i="23"/>
  <c r="CY19" i="23" s="1"/>
  <c r="CM19" i="23"/>
  <c r="CF19" i="23"/>
  <c r="BX19" i="23"/>
  <c r="CI19" i="23" s="1"/>
  <c r="BU19" i="23"/>
  <c r="CG19" i="23" s="1"/>
  <c r="BS19" i="23"/>
  <c r="BQ19" i="23"/>
  <c r="CD19" i="23" s="1"/>
  <c r="BO19" i="23"/>
  <c r="CB19" i="23" s="1"/>
  <c r="BN19" i="23"/>
  <c r="DU19" i="23" s="1"/>
  <c r="EH19" i="23" s="1"/>
  <c r="BM19" i="23"/>
  <c r="DB19" i="23" s="1"/>
  <c r="BL19" i="23"/>
  <c r="BK19" i="23"/>
  <c r="DY19" i="23" s="1"/>
  <c r="BJ19" i="23"/>
  <c r="BI19" i="23"/>
  <c r="BH19" i="23"/>
  <c r="BG19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DT19" i="23" s="1"/>
  <c r="EB19" i="23" s="1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A19" i="23"/>
  <c r="EA19" i="23" s="1"/>
  <c r="EG18" i="23"/>
  <c r="EF18" i="23"/>
  <c r="EA18" i="23"/>
  <c r="DZ18" i="23"/>
  <c r="DY18" i="23"/>
  <c r="DP18" i="23"/>
  <c r="DM18" i="23"/>
  <c r="DC18" i="23"/>
  <c r="DB18" i="23"/>
  <c r="CR18" i="23"/>
  <c r="CQ18" i="23"/>
  <c r="CV18" i="23" s="1"/>
  <c r="CP18" i="23"/>
  <c r="CO18" i="23"/>
  <c r="CN18" i="23"/>
  <c r="CM18" i="23"/>
  <c r="BW18" i="23"/>
  <c r="BU18" i="23"/>
  <c r="BS18" i="23"/>
  <c r="BO18" i="23"/>
  <c r="BN18" i="23"/>
  <c r="BM18" i="23"/>
  <c r="DT18" i="23" s="1"/>
  <c r="EB18" i="23" s="1"/>
  <c r="BL18" i="23"/>
  <c r="BK18" i="23"/>
  <c r="DW18" i="23" s="1"/>
  <c r="BJ18" i="23"/>
  <c r="BI18" i="23"/>
  <c r="BH18" i="23"/>
  <c r="BG18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A18" i="23"/>
  <c r="DX18" i="23" s="1"/>
  <c r="EG17" i="23"/>
  <c r="EF17" i="23"/>
  <c r="EE17" i="23"/>
  <c r="ED17" i="23"/>
  <c r="EC17" i="23"/>
  <c r="EA17" i="23"/>
  <c r="DZ17" i="23"/>
  <c r="DY17" i="23"/>
  <c r="DP17" i="23"/>
  <c r="DM17" i="23"/>
  <c r="DJ17" i="23"/>
  <c r="DC17" i="23"/>
  <c r="CR17" i="23"/>
  <c r="CW17" i="23" s="1"/>
  <c r="CQ17" i="23"/>
  <c r="CP17" i="23"/>
  <c r="CO17" i="23"/>
  <c r="CN17" i="23"/>
  <c r="CY17" i="23" s="1"/>
  <c r="CM17" i="23"/>
  <c r="CI17" i="23"/>
  <c r="BY17" i="23"/>
  <c r="CJ17" i="23" s="1"/>
  <c r="BX17" i="23"/>
  <c r="BW17" i="23"/>
  <c r="BV17" i="23"/>
  <c r="BU17" i="23"/>
  <c r="BS17" i="23"/>
  <c r="BQ17" i="23"/>
  <c r="CD17" i="23" s="1"/>
  <c r="BP17" i="23"/>
  <c r="CC17" i="23" s="1"/>
  <c r="BO17" i="23"/>
  <c r="CB17" i="23" s="1"/>
  <c r="BN17" i="23"/>
  <c r="DU17" i="23" s="1"/>
  <c r="EH17" i="23" s="1"/>
  <c r="BM17" i="23"/>
  <c r="BL17" i="23"/>
  <c r="BK17" i="23"/>
  <c r="DX17" i="23" s="1"/>
  <c r="BJ17" i="23"/>
  <c r="BI17" i="23"/>
  <c r="BH17" i="23"/>
  <c r="BG17" i="23"/>
  <c r="BF17" i="23"/>
  <c r="BE17" i="23"/>
  <c r="BD17" i="23"/>
  <c r="BC17" i="23"/>
  <c r="BB17" i="23"/>
  <c r="BA17" i="23"/>
  <c r="BT17" i="23" s="1"/>
  <c r="BZ17" i="23" s="1"/>
  <c r="CK17" i="23" s="1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DT17" i="23" s="1"/>
  <c r="EB17" i="23" s="1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A17" i="23"/>
  <c r="EH16" i="23"/>
  <c r="EA16" i="23"/>
  <c r="DM16" i="23"/>
  <c r="CU16" i="23"/>
  <c r="CT16" i="23"/>
  <c r="CS16" i="23"/>
  <c r="CR16" i="23"/>
  <c r="CQ16" i="23"/>
  <c r="CP16" i="23"/>
  <c r="CO16" i="23"/>
  <c r="CN16" i="23"/>
  <c r="CM16" i="23"/>
  <c r="BV16" i="23"/>
  <c r="CH16" i="23" s="1"/>
  <c r="BU16" i="23"/>
  <c r="CG16" i="23" s="1"/>
  <c r="BT16" i="23"/>
  <c r="BZ16" i="23" s="1"/>
  <c r="CK16" i="23" s="1"/>
  <c r="BS16" i="23"/>
  <c r="BR16" i="23"/>
  <c r="CE16" i="23" s="1"/>
  <c r="BQ16" i="23"/>
  <c r="CD16" i="23" s="1"/>
  <c r="DK16" i="23" s="1"/>
  <c r="BN16" i="23"/>
  <c r="BM16" i="23"/>
  <c r="BL16" i="23"/>
  <c r="BO16" i="23" s="1"/>
  <c r="CB16" i="23" s="1"/>
  <c r="BK16" i="23"/>
  <c r="DZ16" i="23" s="1"/>
  <c r="BJ16" i="23"/>
  <c r="BI16" i="23"/>
  <c r="BH16" i="23"/>
  <c r="BG16" i="23"/>
  <c r="BF16" i="23"/>
  <c r="BE16" i="23"/>
  <c r="BD16" i="23"/>
  <c r="BC16" i="23"/>
  <c r="BB16" i="23"/>
  <c r="BA16" i="23"/>
  <c r="DU16" i="23" s="1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DT16" i="23" s="1"/>
  <c r="EB16" i="23" s="1"/>
  <c r="AL16" i="23"/>
  <c r="AK16" i="23"/>
  <c r="AJ16" i="23"/>
  <c r="AI16" i="23"/>
  <c r="AH16" i="23"/>
  <c r="AG16" i="23"/>
  <c r="AF16" i="23"/>
  <c r="BP16" i="23" s="1"/>
  <c r="CC16" i="23" s="1"/>
  <c r="DJ16" i="23" s="1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16" i="23"/>
  <c r="EH15" i="23"/>
  <c r="EG15" i="23"/>
  <c r="EF15" i="23"/>
  <c r="EE15" i="23"/>
  <c r="ED15" i="23"/>
  <c r="EC15" i="23"/>
  <c r="DP15" i="23"/>
  <c r="DO15" i="23"/>
  <c r="DM15" i="23"/>
  <c r="DI15" i="23"/>
  <c r="CR15" i="23"/>
  <c r="DC15" i="23" s="1"/>
  <c r="CQ15" i="23"/>
  <c r="DB15" i="23" s="1"/>
  <c r="CP15" i="23"/>
  <c r="DA15" i="23" s="1"/>
  <c r="CO15" i="23"/>
  <c r="CZ15" i="23" s="1"/>
  <c r="CN15" i="23"/>
  <c r="CM15" i="23"/>
  <c r="CF15" i="23"/>
  <c r="CC15" i="23"/>
  <c r="BV15" i="23"/>
  <c r="CH15" i="23" s="1"/>
  <c r="BU15" i="23"/>
  <c r="CG15" i="23" s="1"/>
  <c r="BT15" i="23"/>
  <c r="BZ15" i="23" s="1"/>
  <c r="CK15" i="23" s="1"/>
  <c r="BS15" i="23"/>
  <c r="BX15" i="23" s="1"/>
  <c r="CI15" i="23" s="1"/>
  <c r="BN15" i="23"/>
  <c r="BM15" i="23"/>
  <c r="BL15" i="23"/>
  <c r="BK15" i="23"/>
  <c r="BJ15" i="23"/>
  <c r="BI15" i="23"/>
  <c r="BH15" i="23"/>
  <c r="BG15" i="23"/>
  <c r="BF15" i="23"/>
  <c r="BE15" i="23"/>
  <c r="BD15" i="23"/>
  <c r="BC15" i="23"/>
  <c r="BB15" i="23"/>
  <c r="BA15" i="23"/>
  <c r="DU15" i="23" s="1"/>
  <c r="AZ15" i="23"/>
  <c r="AY15" i="23"/>
  <c r="AX15" i="23"/>
  <c r="AW15" i="23"/>
  <c r="AV15" i="23"/>
  <c r="AU15" i="23"/>
  <c r="AT15" i="23"/>
  <c r="AS15" i="23"/>
  <c r="AR15" i="23"/>
  <c r="AQ15" i="23"/>
  <c r="AP15" i="23"/>
  <c r="AO15" i="23"/>
  <c r="AN15" i="23"/>
  <c r="AM15" i="23"/>
  <c r="AL15" i="23"/>
  <c r="AK15" i="23"/>
  <c r="AJ15" i="23"/>
  <c r="AI15" i="23"/>
  <c r="AH15" i="23"/>
  <c r="AG15" i="23"/>
  <c r="AF15" i="23"/>
  <c r="BP15" i="23" s="1"/>
  <c r="BR15" i="23" s="1"/>
  <c r="CE15" i="23" s="1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B15" i="23"/>
  <c r="A15" i="23"/>
  <c r="EG14" i="23"/>
  <c r="EF14" i="23"/>
  <c r="EE14" i="23"/>
  <c r="DP14" i="23"/>
  <c r="DM14" i="23"/>
  <c r="CY14" i="23"/>
  <c r="DD14" i="23" s="1"/>
  <c r="CW14" i="23"/>
  <c r="CR14" i="23"/>
  <c r="DC14" i="23" s="1"/>
  <c r="CQ14" i="23"/>
  <c r="DB14" i="23" s="1"/>
  <c r="CP14" i="23"/>
  <c r="DA14" i="23" s="1"/>
  <c r="CO14" i="23"/>
  <c r="CZ14" i="23" s="1"/>
  <c r="CN14" i="23"/>
  <c r="CM14" i="23"/>
  <c r="CD14" i="23"/>
  <c r="CB14" i="23"/>
  <c r="BN14" i="23"/>
  <c r="BM14" i="23"/>
  <c r="BL14" i="23"/>
  <c r="BK14" i="23"/>
  <c r="BJ14" i="23"/>
  <c r="BI14" i="23"/>
  <c r="BH14" i="23"/>
  <c r="BG14" i="23"/>
  <c r="BF14" i="23"/>
  <c r="BE14" i="23"/>
  <c r="BD14" i="23"/>
  <c r="BC14" i="23"/>
  <c r="BB14" i="23"/>
  <c r="BA14" i="23"/>
  <c r="BV14" i="23" s="1"/>
  <c r="AZ14" i="23"/>
  <c r="AY14" i="23"/>
  <c r="AX14" i="23"/>
  <c r="AW14" i="23"/>
  <c r="AV14" i="23"/>
  <c r="AU14" i="23"/>
  <c r="AT14" i="23"/>
  <c r="AS14" i="23"/>
  <c r="AR14" i="23"/>
  <c r="AQ14" i="23"/>
  <c r="AP14" i="23"/>
  <c r="AO14" i="23"/>
  <c r="DT14" i="23" s="1"/>
  <c r="EB14" i="23" s="1"/>
  <c r="AN14" i="23"/>
  <c r="AM14" i="23"/>
  <c r="AL14" i="23"/>
  <c r="AK14" i="23"/>
  <c r="AJ14" i="23"/>
  <c r="AI14" i="23"/>
  <c r="AH14" i="23"/>
  <c r="AG14" i="23"/>
  <c r="AF14" i="23"/>
  <c r="ED14" i="23" s="1"/>
  <c r="AE14" i="23"/>
  <c r="AD14" i="23"/>
  <c r="AC14" i="23"/>
  <c r="AB14" i="23"/>
  <c r="AA14" i="23"/>
  <c r="Z14" i="23"/>
  <c r="Y14" i="23"/>
  <c r="X14" i="23"/>
  <c r="W14" i="23"/>
  <c r="V14" i="23"/>
  <c r="BU14" i="23" s="1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B14" i="23"/>
  <c r="A14" i="23"/>
  <c r="BO14" i="23" s="1"/>
  <c r="BQ14" i="23" s="1"/>
  <c r="DU13" i="23"/>
  <c r="EH13" i="23" s="1"/>
  <c r="DT13" i="23"/>
  <c r="EB13" i="23" s="1"/>
  <c r="CR13" i="23"/>
  <c r="CQ13" i="23"/>
  <c r="CP13" i="23"/>
  <c r="CO13" i="23"/>
  <c r="CN13" i="23"/>
  <c r="CM13" i="23"/>
  <c r="BP13" i="23"/>
  <c r="BR13" i="23" s="1"/>
  <c r="CE13" i="23" s="1"/>
  <c r="BN13" i="23"/>
  <c r="BV13" i="23" s="1"/>
  <c r="CH13" i="23" s="1"/>
  <c r="BM13" i="23"/>
  <c r="BL13" i="23"/>
  <c r="BK13" i="23"/>
  <c r="BJ13" i="23"/>
  <c r="BI13" i="23"/>
  <c r="BH13" i="23"/>
  <c r="BG13" i="23"/>
  <c r="BF13" i="23"/>
  <c r="BE13" i="23"/>
  <c r="BD13" i="23"/>
  <c r="BC13" i="23"/>
  <c r="BB13" i="23"/>
  <c r="BA13" i="23"/>
  <c r="AZ13" i="23"/>
  <c r="AY13" i="23"/>
  <c r="AX13" i="23"/>
  <c r="AW13" i="23"/>
  <c r="AV13" i="23"/>
  <c r="AU13" i="23"/>
  <c r="AT13" i="23"/>
  <c r="AS13" i="23"/>
  <c r="AR13" i="23"/>
  <c r="AQ13" i="23"/>
  <c r="AP13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BU13" i="23" s="1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B13" i="23"/>
  <c r="A13" i="23"/>
  <c r="DM12" i="23"/>
  <c r="DC12" i="23"/>
  <c r="CR12" i="23"/>
  <c r="CQ12" i="23"/>
  <c r="CP12" i="23"/>
  <c r="CO12" i="23"/>
  <c r="CN12" i="23"/>
  <c r="CM12" i="23"/>
  <c r="BN12" i="23"/>
  <c r="BM12" i="23"/>
  <c r="BL12" i="23"/>
  <c r="BK12" i="23"/>
  <c r="DW12" i="23" s="1"/>
  <c r="BJ12" i="23"/>
  <c r="BI12" i="23"/>
  <c r="BH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T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BU12" i="23" s="1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B12" i="23"/>
  <c r="DP12" i="23" s="1"/>
  <c r="A12" i="23"/>
  <c r="BO12" i="23" s="1"/>
  <c r="DC11" i="23"/>
  <c r="DB11" i="23"/>
  <c r="DA11" i="23"/>
  <c r="CZ11" i="23"/>
  <c r="CR11" i="23"/>
  <c r="CQ11" i="23"/>
  <c r="CP11" i="23"/>
  <c r="CO11" i="23"/>
  <c r="CN11" i="23"/>
  <c r="CM11" i="23"/>
  <c r="CF11" i="23"/>
  <c r="DI11" i="23" s="1"/>
  <c r="BN11" i="23"/>
  <c r="BT11" i="23" s="1"/>
  <c r="BZ11" i="23" s="1"/>
  <c r="CK11" i="23" s="1"/>
  <c r="BM11" i="23"/>
  <c r="BL11" i="23"/>
  <c r="BS11" i="23" s="1"/>
  <c r="BK11" i="23"/>
  <c r="BJ11" i="23"/>
  <c r="BI11" i="23"/>
  <c r="BH11" i="23"/>
  <c r="BG11" i="23"/>
  <c r="BF11" i="23"/>
  <c r="BE11" i="23"/>
  <c r="BD11" i="23"/>
  <c r="BC11" i="23"/>
  <c r="BB11" i="23"/>
  <c r="BA11" i="23"/>
  <c r="AZ11" i="23"/>
  <c r="AY11" i="23"/>
  <c r="AX11" i="23"/>
  <c r="AW11" i="23"/>
  <c r="AV11" i="23"/>
  <c r="AU11" i="23"/>
  <c r="AT11" i="23"/>
  <c r="AS11" i="23"/>
  <c r="AR11" i="23"/>
  <c r="AQ11" i="23"/>
  <c r="AP11" i="23"/>
  <c r="DU11" i="23" s="1"/>
  <c r="EH11" i="23" s="1"/>
  <c r="AO11" i="23"/>
  <c r="AN11" i="23"/>
  <c r="AM11" i="23"/>
  <c r="DT11" i="23" s="1"/>
  <c r="EB11" i="23" s="1"/>
  <c r="AL11" i="23"/>
  <c r="AK11" i="23"/>
  <c r="AJ11" i="23"/>
  <c r="AI11" i="23"/>
  <c r="AH11" i="23"/>
  <c r="AG11" i="23"/>
  <c r="AF11" i="23"/>
  <c r="ED11" i="23" s="1"/>
  <c r="AE11" i="23"/>
  <c r="AD11" i="23"/>
  <c r="AC11" i="23"/>
  <c r="AB11" i="23"/>
  <c r="AA11" i="23"/>
  <c r="Z11" i="23"/>
  <c r="Y11" i="23"/>
  <c r="X11" i="23"/>
  <c r="W11" i="23"/>
  <c r="V11" i="23"/>
  <c r="BU11" i="23" s="1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B11" i="23"/>
  <c r="A11" i="23"/>
  <c r="BO11" i="23" s="1"/>
  <c r="EG10" i="23"/>
  <c r="EF10" i="23"/>
  <c r="EC10" i="23"/>
  <c r="DC10" i="23"/>
  <c r="DB10" i="23"/>
  <c r="DA10" i="23"/>
  <c r="CZ10" i="23"/>
  <c r="CY10" i="23"/>
  <c r="CR10" i="23"/>
  <c r="CQ10" i="23"/>
  <c r="CP10" i="23"/>
  <c r="CO10" i="23"/>
  <c r="CN10" i="23"/>
  <c r="CM10" i="23"/>
  <c r="CF10" i="23"/>
  <c r="DI10" i="23" s="1"/>
  <c r="BV10" i="23"/>
  <c r="BS10" i="23"/>
  <c r="BN10" i="23"/>
  <c r="BT10" i="23" s="1"/>
  <c r="BZ10" i="23" s="1"/>
  <c r="CK10" i="23" s="1"/>
  <c r="BM10" i="23"/>
  <c r="BL10" i="23"/>
  <c r="BK10" i="23"/>
  <c r="BJ10" i="23"/>
  <c r="BI10" i="23"/>
  <c r="BH10" i="23"/>
  <c r="BG10" i="23"/>
  <c r="BF10" i="23"/>
  <c r="BE10" i="23"/>
  <c r="BD10" i="23"/>
  <c r="BC10" i="23"/>
  <c r="BB10" i="23"/>
  <c r="BA10" i="23"/>
  <c r="AZ10" i="23"/>
  <c r="AY10" i="23"/>
  <c r="AX10" i="23"/>
  <c r="AW10" i="23"/>
  <c r="AV10" i="23"/>
  <c r="AU10" i="23"/>
  <c r="AT10" i="23"/>
  <c r="AS10" i="23"/>
  <c r="AR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B10" i="23"/>
  <c r="A10" i="23"/>
  <c r="BO10" i="23" s="1"/>
  <c r="EA9" i="23"/>
  <c r="DZ9" i="23"/>
  <c r="DY9" i="23"/>
  <c r="DX9" i="23"/>
  <c r="DW9" i="23"/>
  <c r="CY9" i="23"/>
  <c r="CS9" i="23"/>
  <c r="CR9" i="23"/>
  <c r="CQ9" i="23"/>
  <c r="CV9" i="23" s="1"/>
  <c r="CP9" i="23"/>
  <c r="CU9" i="23" s="1"/>
  <c r="CO9" i="23"/>
  <c r="CT9" i="23" s="1"/>
  <c r="CN9" i="23"/>
  <c r="CM9" i="23"/>
  <c r="CF9" i="23"/>
  <c r="DI9" i="23" s="1"/>
  <c r="BU9" i="23"/>
  <c r="BT9" i="23"/>
  <c r="BZ9" i="23" s="1"/>
  <c r="CK9" i="23" s="1"/>
  <c r="BS9" i="23"/>
  <c r="DN9" i="23" s="1"/>
  <c r="BR9" i="23"/>
  <c r="CE9" i="23" s="1"/>
  <c r="BQ9" i="23"/>
  <c r="CD9" i="23" s="1"/>
  <c r="BP9" i="23"/>
  <c r="CC9" i="23" s="1"/>
  <c r="BO9" i="23"/>
  <c r="CB9" i="23" s="1"/>
  <c r="BN9" i="23"/>
  <c r="BM9" i="23"/>
  <c r="DT9" i="23" s="1"/>
  <c r="EB9" i="23" s="1"/>
  <c r="BL9" i="23"/>
  <c r="BK9" i="23"/>
  <c r="BJ9" i="23"/>
  <c r="BI9" i="23"/>
  <c r="BH9" i="23"/>
  <c r="BG9" i="23"/>
  <c r="BF9" i="23"/>
  <c r="BE9" i="23"/>
  <c r="BD9" i="23"/>
  <c r="BC9" i="23"/>
  <c r="BB9" i="23"/>
  <c r="BA9" i="23"/>
  <c r="BV9" i="23" s="1"/>
  <c r="CA9" i="23" s="1"/>
  <c r="CL9" i="23" s="1"/>
  <c r="AZ9" i="23"/>
  <c r="AY9" i="23"/>
  <c r="AX9" i="23"/>
  <c r="AW9" i="23"/>
  <c r="AV9" i="23"/>
  <c r="AU9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DA9" i="23" s="1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B9" i="23"/>
  <c r="A9" i="23"/>
  <c r="EA8" i="23"/>
  <c r="DZ8" i="23"/>
  <c r="DY8" i="23"/>
  <c r="DX8" i="23"/>
  <c r="DW8" i="23"/>
  <c r="DP8" i="23"/>
  <c r="CR8" i="23"/>
  <c r="CW8" i="23" s="1"/>
  <c r="CQ8" i="23"/>
  <c r="CP8" i="23"/>
  <c r="CO8" i="23"/>
  <c r="CN8" i="23"/>
  <c r="CM8" i="23"/>
  <c r="CF8" i="23"/>
  <c r="BU8" i="23"/>
  <c r="BT8" i="23"/>
  <c r="BZ8" i="23" s="1"/>
  <c r="CK8" i="23" s="1"/>
  <c r="BS8" i="23"/>
  <c r="BX8" i="23" s="1"/>
  <c r="CI8" i="23" s="1"/>
  <c r="BQ8" i="23"/>
  <c r="CD8" i="23" s="1"/>
  <c r="BP8" i="23"/>
  <c r="BO8" i="23"/>
  <c r="CB8" i="23" s="1"/>
  <c r="BN8" i="23"/>
  <c r="BM8" i="23"/>
  <c r="EG8" i="23" s="1"/>
  <c r="BL8" i="23"/>
  <c r="BK8" i="23"/>
  <c r="DM8" i="23" s="1"/>
  <c r="BJ8" i="23"/>
  <c r="BI8" i="23"/>
  <c r="BH8" i="23"/>
  <c r="BG8" i="23"/>
  <c r="BF8" i="23"/>
  <c r="BE8" i="23"/>
  <c r="BD8" i="23"/>
  <c r="BC8" i="23"/>
  <c r="BB8" i="23"/>
  <c r="BA8" i="23"/>
  <c r="BV8" i="23" s="1"/>
  <c r="AZ8" i="23"/>
  <c r="AY8" i="23"/>
  <c r="AX8" i="23"/>
  <c r="AW8" i="23"/>
  <c r="AV8" i="23"/>
  <c r="AU8" i="23"/>
  <c r="AT8" i="23"/>
  <c r="AS8" i="23"/>
  <c r="AR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EF8" i="23" s="1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C8" i="23"/>
  <c r="B8" i="23"/>
  <c r="A8" i="23"/>
  <c r="EG7" i="23"/>
  <c r="ED7" i="23"/>
  <c r="EC7" i="23"/>
  <c r="EA7" i="23"/>
  <c r="DZ7" i="23"/>
  <c r="DY7" i="23"/>
  <c r="DP7" i="23"/>
  <c r="DM7" i="23"/>
  <c r="CR7" i="23"/>
  <c r="DC7" i="23" s="1"/>
  <c r="CQ7" i="23"/>
  <c r="DB7" i="23" s="1"/>
  <c r="CP7" i="23"/>
  <c r="CO7" i="23"/>
  <c r="CN7" i="23"/>
  <c r="CM7" i="23"/>
  <c r="BV7" i="23"/>
  <c r="BU7" i="23"/>
  <c r="BT7" i="23"/>
  <c r="BZ7" i="23" s="1"/>
  <c r="CK7" i="23" s="1"/>
  <c r="BS7" i="23"/>
  <c r="DN7" i="23" s="1"/>
  <c r="BP7" i="23"/>
  <c r="BR7" i="23" s="1"/>
  <c r="CE7" i="23" s="1"/>
  <c r="BO7" i="23"/>
  <c r="BN7" i="23"/>
  <c r="DU7" i="23" s="1"/>
  <c r="EH7" i="23" s="1"/>
  <c r="BM7" i="23"/>
  <c r="BL7" i="23"/>
  <c r="BK7" i="23"/>
  <c r="DX7" i="23" s="1"/>
  <c r="BJ7" i="23"/>
  <c r="BI7" i="23"/>
  <c r="BH7" i="23"/>
  <c r="BG7" i="23"/>
  <c r="BF7" i="23"/>
  <c r="BE7" i="23"/>
  <c r="BD7" i="23"/>
  <c r="BC7" i="23"/>
  <c r="BB7" i="23"/>
  <c r="BA7" i="23"/>
  <c r="AZ7" i="23"/>
  <c r="AY7" i="23"/>
  <c r="AX7" i="23"/>
  <c r="AW7" i="23"/>
  <c r="AV7" i="23"/>
  <c r="AU7" i="23"/>
  <c r="AT7" i="23"/>
  <c r="AS7" i="23"/>
  <c r="AR7" i="23"/>
  <c r="AQ7" i="23"/>
  <c r="AP7" i="23"/>
  <c r="AO7" i="23"/>
  <c r="AN7" i="23"/>
  <c r="AM7" i="23"/>
  <c r="AL7" i="23"/>
  <c r="AK7" i="23"/>
  <c r="AJ7" i="23"/>
  <c r="AI7" i="23"/>
  <c r="AH7" i="23"/>
  <c r="AG7" i="23"/>
  <c r="AF7" i="23"/>
  <c r="EF7" i="23" s="1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E7" i="23"/>
  <c r="D7" i="23"/>
  <c r="C7" i="23"/>
  <c r="B7" i="23"/>
  <c r="A7" i="23"/>
  <c r="EF6" i="23"/>
  <c r="EE6" i="23"/>
  <c r="ED6" i="23"/>
  <c r="EC6" i="23"/>
  <c r="DT6" i="23"/>
  <c r="EB6" i="23" s="1"/>
  <c r="CR6" i="23"/>
  <c r="CQ6" i="23"/>
  <c r="CP6" i="23"/>
  <c r="DA6" i="23" s="1"/>
  <c r="CO6" i="23"/>
  <c r="CN6" i="23"/>
  <c r="CM6" i="23"/>
  <c r="BT6" i="23"/>
  <c r="BZ6" i="23" s="1"/>
  <c r="CK6" i="23" s="1"/>
  <c r="BR6" i="23"/>
  <c r="CE6" i="23" s="1"/>
  <c r="BN6" i="23"/>
  <c r="BM6" i="23"/>
  <c r="BL6" i="23"/>
  <c r="BK6" i="23"/>
  <c r="BJ6" i="23"/>
  <c r="BI6" i="23"/>
  <c r="BH6" i="23"/>
  <c r="BG6" i="23"/>
  <c r="BF6" i="23"/>
  <c r="BE6" i="23"/>
  <c r="BD6" i="23"/>
  <c r="BC6" i="23"/>
  <c r="BB6" i="23"/>
  <c r="BA6" i="23"/>
  <c r="BV6" i="23" s="1"/>
  <c r="AZ6" i="23"/>
  <c r="AY6" i="23"/>
  <c r="AX6" i="23"/>
  <c r="AW6" i="23"/>
  <c r="AV6" i="23"/>
  <c r="AU6" i="23"/>
  <c r="AT6" i="23"/>
  <c r="AS6" i="23"/>
  <c r="AR6" i="23"/>
  <c r="AQ6" i="23"/>
  <c r="AP6" i="23"/>
  <c r="AO6" i="23"/>
  <c r="AN6" i="23"/>
  <c r="AM6" i="23"/>
  <c r="AL6" i="23"/>
  <c r="AK6" i="23"/>
  <c r="AJ6" i="23"/>
  <c r="AI6" i="23"/>
  <c r="AH6" i="23"/>
  <c r="AG6" i="23"/>
  <c r="AF6" i="23"/>
  <c r="BP6" i="23" s="1"/>
  <c r="CC6" i="23" s="1"/>
  <c r="AE6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B6" i="23"/>
  <c r="A6" i="23"/>
  <c r="BO6" i="23" s="1"/>
  <c r="CB6" i="23" s="1"/>
  <c r="DJ6" i="23" s="1"/>
  <c r="ED5" i="23"/>
  <c r="DP5" i="23"/>
  <c r="DM5" i="23"/>
  <c r="CR5" i="23"/>
  <c r="CQ5" i="23"/>
  <c r="DB5" i="23" s="1"/>
  <c r="CP5" i="23"/>
  <c r="DA5" i="23" s="1"/>
  <c r="CO5" i="23"/>
  <c r="CZ5" i="23" s="1"/>
  <c r="CN5" i="23"/>
  <c r="CY5" i="23" s="1"/>
  <c r="CM5" i="23"/>
  <c r="CG5" i="23"/>
  <c r="CF5" i="23"/>
  <c r="DI5" i="23" s="1"/>
  <c r="CC5" i="23"/>
  <c r="BV5" i="23"/>
  <c r="CH5" i="23" s="1"/>
  <c r="BT5" i="23"/>
  <c r="BZ5" i="23" s="1"/>
  <c r="CK5" i="23" s="1"/>
  <c r="BN5" i="23"/>
  <c r="BM5" i="23"/>
  <c r="BL5" i="23"/>
  <c r="BU5" i="23" s="1"/>
  <c r="BK5" i="23"/>
  <c r="BJ5" i="23"/>
  <c r="BI5" i="23"/>
  <c r="BH5" i="23"/>
  <c r="BG5" i="23"/>
  <c r="BF5" i="23"/>
  <c r="BE5" i="23"/>
  <c r="BD5" i="23"/>
  <c r="BC5" i="23"/>
  <c r="BB5" i="23"/>
  <c r="BA5" i="23"/>
  <c r="AZ5" i="23"/>
  <c r="AY5" i="23"/>
  <c r="AX5" i="23"/>
  <c r="AW5" i="23"/>
  <c r="AV5" i="23"/>
  <c r="AU5" i="23"/>
  <c r="AT5" i="23"/>
  <c r="AS5" i="23"/>
  <c r="AR5" i="23"/>
  <c r="DU5" i="23" s="1"/>
  <c r="EH5" i="23" s="1"/>
  <c r="AQ5" i="23"/>
  <c r="AP5" i="23"/>
  <c r="AO5" i="23"/>
  <c r="AN5" i="23"/>
  <c r="AM5" i="23"/>
  <c r="AL5" i="23"/>
  <c r="AK5" i="23"/>
  <c r="AJ5" i="23"/>
  <c r="AI5" i="23"/>
  <c r="AH5" i="23"/>
  <c r="AG5" i="23"/>
  <c r="AF5" i="23"/>
  <c r="BP5" i="23" s="1"/>
  <c r="BR5" i="23" s="1"/>
  <c r="CE5" i="23" s="1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B5" i="23"/>
  <c r="A5" i="23"/>
  <c r="DW5" i="23" s="1"/>
  <c r="EG4" i="23"/>
  <c r="EF4" i="23"/>
  <c r="EE4" i="23"/>
  <c r="DM4" i="23"/>
  <c r="DI4" i="23"/>
  <c r="DC4" i="23"/>
  <c r="CY4" i="23"/>
  <c r="CR4" i="23"/>
  <c r="CW4" i="23" s="1"/>
  <c r="CQ4" i="23"/>
  <c r="DB4" i="23" s="1"/>
  <c r="CP4" i="23"/>
  <c r="DA4" i="23" s="1"/>
  <c r="CO4" i="23"/>
  <c r="CZ4" i="23" s="1"/>
  <c r="CN4" i="23"/>
  <c r="CM4" i="23"/>
  <c r="CF4" i="23"/>
  <c r="BN4" i="23"/>
  <c r="BM4" i="23"/>
  <c r="EC4" i="23" s="1"/>
  <c r="BL4" i="23"/>
  <c r="BK4" i="23"/>
  <c r="BJ4" i="23"/>
  <c r="BI4" i="23"/>
  <c r="BH4" i="23"/>
  <c r="BG4" i="23"/>
  <c r="BF4" i="23"/>
  <c r="BE4" i="23"/>
  <c r="BD4" i="23"/>
  <c r="BC4" i="23"/>
  <c r="BB4" i="23"/>
  <c r="BA4" i="23"/>
  <c r="AZ4" i="23"/>
  <c r="AY4" i="23"/>
  <c r="AX4" i="23"/>
  <c r="AW4" i="23"/>
  <c r="AV4" i="23"/>
  <c r="AU4" i="23"/>
  <c r="AT4" i="23"/>
  <c r="AS4" i="23"/>
  <c r="AR4" i="23"/>
  <c r="AQ4" i="23"/>
  <c r="AP4" i="23"/>
  <c r="AO4" i="23"/>
  <c r="AN4" i="23"/>
  <c r="AM4" i="23"/>
  <c r="DT4" i="23" s="1"/>
  <c r="EB4" i="23" s="1"/>
  <c r="AL4" i="23"/>
  <c r="AK4" i="23"/>
  <c r="AJ4" i="23"/>
  <c r="AI4" i="23"/>
  <c r="AH4" i="23"/>
  <c r="AG4" i="23"/>
  <c r="AF4" i="23"/>
  <c r="ED4" i="23" s="1"/>
  <c r="AE4" i="23"/>
  <c r="AD4" i="23"/>
  <c r="AC4" i="23"/>
  <c r="AB4" i="23"/>
  <c r="AA4" i="23"/>
  <c r="Z4" i="23"/>
  <c r="Y4" i="23"/>
  <c r="X4" i="23"/>
  <c r="W4" i="23"/>
  <c r="V4" i="23"/>
  <c r="BU4" i="23" s="1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B4" i="23"/>
  <c r="A4" i="23"/>
  <c r="BO4" i="23" s="1"/>
  <c r="CR3" i="23"/>
  <c r="CQ3" i="23"/>
  <c r="CP3" i="23"/>
  <c r="CO3" i="23"/>
  <c r="CN3" i="23"/>
  <c r="CM3" i="23"/>
  <c r="BN3" i="23"/>
  <c r="BM3" i="23"/>
  <c r="BL3" i="23"/>
  <c r="BK3" i="23"/>
  <c r="BJ3" i="23"/>
  <c r="BI3" i="23"/>
  <c r="BH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BU3" i="23" s="1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3" i="23"/>
  <c r="BO3" i="23" s="1"/>
  <c r="DY2" i="23"/>
  <c r="DX2" i="23"/>
  <c r="DW2" i="23"/>
  <c r="DT2" i="23"/>
  <c r="EB2" i="23" s="1"/>
  <c r="DP2" i="23"/>
  <c r="DO2" i="23"/>
  <c r="DM2" i="23"/>
  <c r="CW2" i="23"/>
  <c r="CV2" i="23"/>
  <c r="CU2" i="23"/>
  <c r="CT2" i="23"/>
  <c r="CS2" i="23"/>
  <c r="CX2" i="23" s="1"/>
  <c r="CR2" i="23"/>
  <c r="CQ2" i="23"/>
  <c r="CP2" i="23"/>
  <c r="CO2" i="23"/>
  <c r="CZ2" i="23" s="1"/>
  <c r="CN2" i="23"/>
  <c r="CM2" i="23"/>
  <c r="CF2" i="23"/>
  <c r="DI2" i="23" s="1"/>
  <c r="BU2" i="23"/>
  <c r="BT2" i="23"/>
  <c r="BZ2" i="23" s="1"/>
  <c r="CK2" i="23" s="1"/>
  <c r="BS2" i="23"/>
  <c r="BN2" i="23"/>
  <c r="BM2" i="23"/>
  <c r="BL2" i="23"/>
  <c r="BK2" i="23"/>
  <c r="DZ2" i="23" s="1"/>
  <c r="BJ2" i="23"/>
  <c r="BI2" i="23"/>
  <c r="BH2" i="23"/>
  <c r="BG2" i="23"/>
  <c r="BF2" i="23"/>
  <c r="BE2" i="23"/>
  <c r="BD2" i="23"/>
  <c r="BC2" i="23"/>
  <c r="BB2" i="23"/>
  <c r="BA2" i="23"/>
  <c r="BV2" i="23" s="1"/>
  <c r="CH2" i="23" s="1"/>
  <c r="AZ2" i="23"/>
  <c r="AY2" i="23"/>
  <c r="AX2" i="23"/>
  <c r="AW2" i="23"/>
  <c r="AV2" i="23"/>
  <c r="AU2" i="23"/>
  <c r="AT2" i="23"/>
  <c r="AS2" i="23"/>
  <c r="AR2" i="23"/>
  <c r="AQ2" i="23"/>
  <c r="AP2" i="23"/>
  <c r="AO2" i="23"/>
  <c r="AN2" i="23"/>
  <c r="AM2" i="23"/>
  <c r="AL2" i="23"/>
  <c r="AK2" i="23"/>
  <c r="AJ2" i="23"/>
  <c r="AI2" i="23"/>
  <c r="AH2" i="23"/>
  <c r="AG2" i="23"/>
  <c r="AF2" i="23"/>
  <c r="EE2" i="23" s="1"/>
  <c r="AE2" i="23"/>
  <c r="AD2" i="23"/>
  <c r="AC2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K2" i="23"/>
  <c r="J2" i="23"/>
  <c r="I2" i="23"/>
  <c r="H2" i="23"/>
  <c r="G2" i="23"/>
  <c r="F2" i="23"/>
  <c r="E2" i="23"/>
  <c r="D2" i="23"/>
  <c r="C2" i="23"/>
  <c r="B2" i="23"/>
  <c r="A2" i="23"/>
  <c r="BO2" i="23" s="1"/>
  <c r="CM1" i="23"/>
  <c r="BN1" i="23"/>
  <c r="BM1" i="23"/>
  <c r="BL1" i="23"/>
  <c r="BK1" i="23"/>
  <c r="BJ1" i="23"/>
  <c r="BI1" i="23"/>
  <c r="BH1" i="23"/>
  <c r="BG1" i="23"/>
  <c r="BF1" i="23"/>
  <c r="BE1" i="23"/>
  <c r="BD1" i="23"/>
  <c r="BC1" i="23"/>
  <c r="BB1" i="23"/>
  <c r="BA1" i="23"/>
  <c r="AZ1" i="23"/>
  <c r="AY1" i="23"/>
  <c r="AX1" i="23"/>
  <c r="AW1" i="23"/>
  <c r="AV1" i="23"/>
  <c r="AU1" i="23"/>
  <c r="AT1" i="23"/>
  <c r="AS1" i="23"/>
  <c r="AR1" i="23"/>
  <c r="AQ1" i="23"/>
  <c r="AP1" i="23"/>
  <c r="AO1" i="23"/>
  <c r="AN1" i="23"/>
  <c r="AM1" i="23"/>
  <c r="AL1" i="23"/>
  <c r="AK1" i="23"/>
  <c r="AJ1" i="23"/>
  <c r="AI1" i="23"/>
  <c r="AH1" i="23"/>
  <c r="AG1" i="23"/>
  <c r="AF1" i="23"/>
  <c r="AE1" i="23"/>
  <c r="AD1" i="23"/>
  <c r="AC1" i="23"/>
  <c r="AB1" i="23"/>
  <c r="AA1" i="23"/>
  <c r="Z1" i="23"/>
  <c r="Y1" i="23"/>
  <c r="X1" i="23"/>
  <c r="W1" i="23"/>
  <c r="V1" i="23"/>
  <c r="U1" i="23"/>
  <c r="T1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EA101" i="22"/>
  <c r="DY101" i="22"/>
  <c r="DX101" i="22"/>
  <c r="DW101" i="22"/>
  <c r="DP101" i="22"/>
  <c r="CW101" i="22"/>
  <c r="CV101" i="22"/>
  <c r="CU101" i="22"/>
  <c r="CT101" i="22"/>
  <c r="CR101" i="22"/>
  <c r="CQ101" i="22"/>
  <c r="CP101" i="22"/>
  <c r="CO101" i="22"/>
  <c r="CN101" i="22"/>
  <c r="CS101" i="22" s="1"/>
  <c r="CM101" i="22"/>
  <c r="BW101" i="22"/>
  <c r="BU101" i="22"/>
  <c r="BS101" i="22"/>
  <c r="BO101" i="22"/>
  <c r="CB101" i="22" s="1"/>
  <c r="BN101" i="22"/>
  <c r="BM101" i="22"/>
  <c r="DA101" i="22" s="1"/>
  <c r="BL101" i="22"/>
  <c r="BK101" i="22"/>
  <c r="CF101" i="22" s="1"/>
  <c r="DI101" i="22" s="1"/>
  <c r="BJ101" i="22"/>
  <c r="BI101" i="22"/>
  <c r="BH101" i="22"/>
  <c r="BG101" i="22"/>
  <c r="BF101" i="22"/>
  <c r="BE101" i="22"/>
  <c r="BD101" i="22"/>
  <c r="BC101" i="22"/>
  <c r="BB101" i="22"/>
  <c r="BA101" i="22"/>
  <c r="AZ101" i="22"/>
  <c r="AY101" i="22"/>
  <c r="AX101" i="22"/>
  <c r="AW101" i="22"/>
  <c r="AV101" i="22"/>
  <c r="AU101" i="22"/>
  <c r="AT101" i="22"/>
  <c r="AS101" i="22"/>
  <c r="AR101" i="22"/>
  <c r="AQ101" i="22"/>
  <c r="AP101" i="22"/>
  <c r="AO101" i="22"/>
  <c r="AN101" i="22"/>
  <c r="AM101" i="22"/>
  <c r="AL101" i="22"/>
  <c r="AK101" i="22"/>
  <c r="AJ101" i="22"/>
  <c r="AI101" i="22"/>
  <c r="AH101" i="22"/>
  <c r="AG101" i="22"/>
  <c r="AF101" i="22"/>
  <c r="BP101" i="22" s="1"/>
  <c r="AE101" i="22"/>
  <c r="AD101" i="22"/>
  <c r="AC101" i="22"/>
  <c r="AB101" i="22"/>
  <c r="AA101" i="22"/>
  <c r="Z101" i="22"/>
  <c r="Y101" i="22"/>
  <c r="X101" i="22"/>
  <c r="W101" i="22"/>
  <c r="V101" i="22"/>
  <c r="U101" i="22"/>
  <c r="T101" i="22"/>
  <c r="S101" i="22"/>
  <c r="R101" i="22"/>
  <c r="Q101" i="22"/>
  <c r="P101" i="22"/>
  <c r="O101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B101" i="22"/>
  <c r="A101" i="22"/>
  <c r="EG100" i="22"/>
  <c r="EE100" i="22"/>
  <c r="ED100" i="22"/>
  <c r="EC100" i="22"/>
  <c r="DY100" i="22"/>
  <c r="DW100" i="22"/>
  <c r="DC100" i="22"/>
  <c r="CY100" i="22"/>
  <c r="CR100" i="22"/>
  <c r="CQ100" i="22"/>
  <c r="CP100" i="22"/>
  <c r="CO100" i="22"/>
  <c r="CN100" i="22"/>
  <c r="CM100" i="22"/>
  <c r="CE100" i="22"/>
  <c r="CC100" i="22"/>
  <c r="BT100" i="22"/>
  <c r="BZ100" i="22" s="1"/>
  <c r="CK100" i="22" s="1"/>
  <c r="BN100" i="22"/>
  <c r="BM100" i="22"/>
  <c r="BL100" i="22"/>
  <c r="BK100" i="22"/>
  <c r="BJ100" i="22"/>
  <c r="BI100" i="22"/>
  <c r="BH100" i="22"/>
  <c r="BG100" i="22"/>
  <c r="BF100" i="22"/>
  <c r="BE100" i="22"/>
  <c r="BD100" i="22"/>
  <c r="BC100" i="22"/>
  <c r="BB100" i="22"/>
  <c r="BA100" i="22"/>
  <c r="BV100" i="22" s="1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DT100" i="22" s="1"/>
  <c r="EB100" i="22" s="1"/>
  <c r="AM100" i="22"/>
  <c r="AL100" i="22"/>
  <c r="AK100" i="22"/>
  <c r="AJ100" i="22"/>
  <c r="AI100" i="22"/>
  <c r="AH100" i="22"/>
  <c r="AG100" i="22"/>
  <c r="AF100" i="22"/>
  <c r="BP100" i="22" s="1"/>
  <c r="BR100" i="22" s="1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A100" i="22"/>
  <c r="BO100" i="22" s="1"/>
  <c r="EG99" i="22"/>
  <c r="EF99" i="22"/>
  <c r="EE99" i="22"/>
  <c r="DC99" i="22"/>
  <c r="CZ99" i="22"/>
  <c r="CY99" i="22"/>
  <c r="CR99" i="22"/>
  <c r="CQ99" i="22"/>
  <c r="CP99" i="22"/>
  <c r="CO99" i="22"/>
  <c r="CN99" i="22"/>
  <c r="CM99" i="22"/>
  <c r="CK99" i="22"/>
  <c r="CF99" i="22"/>
  <c r="DI99" i="22" s="1"/>
  <c r="CA99" i="22"/>
  <c r="CL99" i="22" s="1"/>
  <c r="BP99" i="22"/>
  <c r="BN99" i="22"/>
  <c r="BT99" i="22" s="1"/>
  <c r="BZ99" i="22" s="1"/>
  <c r="BM99" i="22"/>
  <c r="BL99" i="22"/>
  <c r="BK99" i="22"/>
  <c r="BJ99" i="22"/>
  <c r="BI99" i="22"/>
  <c r="BH99" i="22"/>
  <c r="BG99" i="22"/>
  <c r="BF99" i="22"/>
  <c r="BE99" i="22"/>
  <c r="BD99" i="22"/>
  <c r="BC99" i="22"/>
  <c r="BB99" i="22"/>
  <c r="BA99" i="22"/>
  <c r="BV99" i="22" s="1"/>
  <c r="CH99" i="22" s="1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A99" i="22"/>
  <c r="DX98" i="22"/>
  <c r="DW98" i="22"/>
  <c r="DM98" i="22"/>
  <c r="DI98" i="22"/>
  <c r="CR98" i="22"/>
  <c r="CQ98" i="22"/>
  <c r="CP98" i="22"/>
  <c r="CO98" i="22"/>
  <c r="CN98" i="22"/>
  <c r="CM98" i="22"/>
  <c r="CF98" i="22"/>
  <c r="BU98" i="22"/>
  <c r="BT98" i="22"/>
  <c r="BZ98" i="22" s="1"/>
  <c r="CK98" i="22" s="1"/>
  <c r="BQ98" i="22"/>
  <c r="CD98" i="22" s="1"/>
  <c r="BO98" i="22"/>
  <c r="CB98" i="22" s="1"/>
  <c r="BN98" i="22"/>
  <c r="BM98" i="22"/>
  <c r="BL98" i="22"/>
  <c r="BK98" i="22"/>
  <c r="BJ98" i="22"/>
  <c r="BI98" i="22"/>
  <c r="BH98" i="22"/>
  <c r="BG98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DP98" i="22" s="1"/>
  <c r="A98" i="22"/>
  <c r="EA97" i="22"/>
  <c r="DY97" i="22"/>
  <c r="DX97" i="22"/>
  <c r="DT97" i="22"/>
  <c r="EB97" i="22" s="1"/>
  <c r="DM97" i="22"/>
  <c r="CR97" i="22"/>
  <c r="CQ97" i="22"/>
  <c r="CP97" i="22"/>
  <c r="CO97" i="22"/>
  <c r="CN97" i="22"/>
  <c r="CM97" i="22"/>
  <c r="BU97" i="22"/>
  <c r="BS97" i="22"/>
  <c r="BN97" i="22"/>
  <c r="BM97" i="22"/>
  <c r="BL97" i="22"/>
  <c r="BO97" i="22" s="1"/>
  <c r="BK97" i="22"/>
  <c r="BJ97" i="22"/>
  <c r="BI97" i="22"/>
  <c r="BH97" i="22"/>
  <c r="BG97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A97" i="22"/>
  <c r="EG96" i="22"/>
  <c r="EF96" i="22"/>
  <c r="EE96" i="22"/>
  <c r="EC96" i="22"/>
  <c r="EA96" i="22"/>
  <c r="DZ96" i="22"/>
  <c r="DX96" i="22"/>
  <c r="DW96" i="22"/>
  <c r="DP96" i="22"/>
  <c r="CY96" i="22"/>
  <c r="CV96" i="22"/>
  <c r="CU96" i="22"/>
  <c r="CS96" i="22"/>
  <c r="CR96" i="22"/>
  <c r="CQ96" i="22"/>
  <c r="DB96" i="22" s="1"/>
  <c r="CP96" i="22"/>
  <c r="DA96" i="22" s="1"/>
  <c r="CO96" i="22"/>
  <c r="CN96" i="22"/>
  <c r="CM96" i="22"/>
  <c r="CG96" i="22"/>
  <c r="CB96" i="22"/>
  <c r="BV96" i="22"/>
  <c r="CH96" i="22" s="1"/>
  <c r="BU96" i="22"/>
  <c r="DO96" i="22" s="1"/>
  <c r="BS96" i="22"/>
  <c r="BR96" i="22"/>
  <c r="CE96" i="22" s="1"/>
  <c r="BQ96" i="22"/>
  <c r="CD96" i="22" s="1"/>
  <c r="BP96" i="22"/>
  <c r="CC96" i="22" s="1"/>
  <c r="BN96" i="22"/>
  <c r="BM96" i="22"/>
  <c r="ED96" i="22" s="1"/>
  <c r="BL96" i="22"/>
  <c r="BK96" i="22"/>
  <c r="BJ96" i="22"/>
  <c r="BI96" i="22"/>
  <c r="BH96" i="22"/>
  <c r="BG96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A96" i="22"/>
  <c r="BO96" i="22" s="1"/>
  <c r="DY95" i="22"/>
  <c r="DW95" i="22"/>
  <c r="DC95" i="22"/>
  <c r="DA95" i="22"/>
  <c r="CY95" i="22"/>
  <c r="CR95" i="22"/>
  <c r="CQ95" i="22"/>
  <c r="CP95" i="22"/>
  <c r="CO95" i="22"/>
  <c r="CN95" i="22"/>
  <c r="CM95" i="22"/>
  <c r="CI95" i="22"/>
  <c r="BX95" i="22"/>
  <c r="BN95" i="22"/>
  <c r="BM95" i="22"/>
  <c r="EE95" i="22" s="1"/>
  <c r="BL95" i="22"/>
  <c r="BK95" i="22"/>
  <c r="BJ95" i="22"/>
  <c r="BI95" i="22"/>
  <c r="BH95" i="22"/>
  <c r="BG95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BS95" i="22" s="1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A95" i="22"/>
  <c r="BO95" i="22" s="1"/>
  <c r="EG94" i="22"/>
  <c r="EF94" i="22"/>
  <c r="EE94" i="22"/>
  <c r="ED94" i="22"/>
  <c r="CR94" i="22"/>
  <c r="CQ94" i="22"/>
  <c r="CP94" i="22"/>
  <c r="CO94" i="22"/>
  <c r="CN94" i="22"/>
  <c r="CM94" i="22"/>
  <c r="CK94" i="22"/>
  <c r="CC94" i="22"/>
  <c r="BV94" i="22"/>
  <c r="CH94" i="22" s="1"/>
  <c r="BT94" i="22"/>
  <c r="BZ94" i="22" s="1"/>
  <c r="BR94" i="22"/>
  <c r="CE94" i="22" s="1"/>
  <c r="BN94" i="22"/>
  <c r="BM94" i="22"/>
  <c r="BL94" i="22"/>
  <c r="BK94" i="22"/>
  <c r="BJ94" i="22"/>
  <c r="BI94" i="22"/>
  <c r="BH94" i="22"/>
  <c r="BG94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DU94" i="22" s="1"/>
  <c r="EH94" i="22" s="1"/>
  <c r="AP94" i="22"/>
  <c r="AO94" i="22"/>
  <c r="AN94" i="22"/>
  <c r="AM94" i="22"/>
  <c r="AL94" i="22"/>
  <c r="AK94" i="22"/>
  <c r="AJ94" i="22"/>
  <c r="AI94" i="22"/>
  <c r="AH94" i="22"/>
  <c r="AG94" i="22"/>
  <c r="AF94" i="22"/>
  <c r="BP94" i="22" s="1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DM94" i="22" s="1"/>
  <c r="B94" i="22"/>
  <c r="A94" i="22"/>
  <c r="BO94" i="22" s="1"/>
  <c r="CR93" i="22"/>
  <c r="DC93" i="22" s="1"/>
  <c r="CQ93" i="22"/>
  <c r="CP93" i="22"/>
  <c r="CO93" i="22"/>
  <c r="CN93" i="22"/>
  <c r="CM93" i="22"/>
  <c r="BQ93" i="22"/>
  <c r="CD93" i="22" s="1"/>
  <c r="BN93" i="22"/>
  <c r="BM93" i="22"/>
  <c r="BL93" i="22"/>
  <c r="BK93" i="22"/>
  <c r="BJ93" i="22"/>
  <c r="BI93" i="22"/>
  <c r="BH93" i="22"/>
  <c r="BG93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A93" i="22"/>
  <c r="BO93" i="22" s="1"/>
  <c r="CB93" i="22" s="1"/>
  <c r="EF92" i="22"/>
  <c r="EE92" i="22"/>
  <c r="EC92" i="22"/>
  <c r="EA92" i="22"/>
  <c r="DZ92" i="22"/>
  <c r="DY92" i="22"/>
  <c r="DW92" i="22"/>
  <c r="DT92" i="22"/>
  <c r="EB92" i="22" s="1"/>
  <c r="DM92" i="22"/>
  <c r="DA92" i="22"/>
  <c r="CY92" i="22"/>
  <c r="CU92" i="22"/>
  <c r="CT92" i="22"/>
  <c r="CS92" i="22"/>
  <c r="CR92" i="22"/>
  <c r="CQ92" i="22"/>
  <c r="CP92" i="22"/>
  <c r="CO92" i="22"/>
  <c r="CZ92" i="22" s="1"/>
  <c r="CN92" i="22"/>
  <c r="CM92" i="22"/>
  <c r="BX92" i="22"/>
  <c r="CI92" i="22" s="1"/>
  <c r="BU92" i="22"/>
  <c r="BS92" i="22"/>
  <c r="BP92" i="22"/>
  <c r="BO92" i="22"/>
  <c r="CB92" i="22" s="1"/>
  <c r="BN92" i="22"/>
  <c r="BT92" i="22" s="1"/>
  <c r="BZ92" i="22" s="1"/>
  <c r="CK92" i="22" s="1"/>
  <c r="BM92" i="22"/>
  <c r="BL92" i="22"/>
  <c r="BK92" i="22"/>
  <c r="CF92" i="22" s="1"/>
  <c r="DI92" i="22" s="1"/>
  <c r="BJ92" i="22"/>
  <c r="BI92" i="22"/>
  <c r="BH92" i="22"/>
  <c r="BG92" i="22"/>
  <c r="BF92" i="22"/>
  <c r="BE92" i="22"/>
  <c r="BD92" i="22"/>
  <c r="BC92" i="22"/>
  <c r="BB92" i="22"/>
  <c r="BA92" i="22"/>
  <c r="AZ92" i="22"/>
  <c r="AY92" i="22"/>
  <c r="AX92" i="22"/>
  <c r="AW92" i="22"/>
  <c r="AV92" i="22"/>
  <c r="AU92" i="22"/>
  <c r="AT92" i="22"/>
  <c r="AS92" i="22"/>
  <c r="AR92" i="22"/>
  <c r="AQ92" i="22"/>
  <c r="AP92" i="22"/>
  <c r="AO92" i="22"/>
  <c r="AN92" i="22"/>
  <c r="AM92" i="22"/>
  <c r="AL92" i="22"/>
  <c r="AK92" i="22"/>
  <c r="AJ92" i="22"/>
  <c r="AI92" i="22"/>
  <c r="AH92" i="22"/>
  <c r="AG92" i="22"/>
  <c r="AF92" i="22"/>
  <c r="AE92" i="22"/>
  <c r="AD92" i="22"/>
  <c r="AC92" i="22"/>
  <c r="AB92" i="22"/>
  <c r="AA92" i="22"/>
  <c r="Z92" i="22"/>
  <c r="Y92" i="22"/>
  <c r="X92" i="22"/>
  <c r="W92" i="22"/>
  <c r="V92" i="22"/>
  <c r="U92" i="22"/>
  <c r="T92" i="22"/>
  <c r="S92" i="22"/>
  <c r="R92" i="22"/>
  <c r="Q92" i="22"/>
  <c r="P92" i="22"/>
  <c r="O92" i="22"/>
  <c r="N92" i="22"/>
  <c r="M92" i="22"/>
  <c r="L92" i="22"/>
  <c r="K92" i="22"/>
  <c r="J92" i="22"/>
  <c r="I92" i="22"/>
  <c r="H92" i="22"/>
  <c r="G92" i="22"/>
  <c r="F92" i="22"/>
  <c r="E92" i="22"/>
  <c r="D92" i="22"/>
  <c r="C92" i="22"/>
  <c r="B92" i="22"/>
  <c r="A92" i="22"/>
  <c r="EG91" i="22"/>
  <c r="EE91" i="22"/>
  <c r="EC91" i="22"/>
  <c r="EA91" i="22"/>
  <c r="DY91" i="22"/>
  <c r="DX91" i="22"/>
  <c r="DW91" i="22"/>
  <c r="DC91" i="22"/>
  <c r="DB91" i="22"/>
  <c r="DA91" i="22"/>
  <c r="CZ91" i="22"/>
  <c r="CY91" i="22"/>
  <c r="CR91" i="22"/>
  <c r="CW91" i="22" s="1"/>
  <c r="CQ91" i="22"/>
  <c r="CP91" i="22"/>
  <c r="CO91" i="22"/>
  <c r="CN91" i="22"/>
  <c r="CM91" i="22"/>
  <c r="CG91" i="22"/>
  <c r="CF91" i="22"/>
  <c r="DI91" i="22" s="1"/>
  <c r="CC91" i="22"/>
  <c r="BU91" i="22"/>
  <c r="BS91" i="22"/>
  <c r="BN91" i="22"/>
  <c r="BM91" i="22"/>
  <c r="BL91" i="22"/>
  <c r="BK91" i="22"/>
  <c r="BJ91" i="22"/>
  <c r="BI91" i="22"/>
  <c r="BH91" i="22"/>
  <c r="BG91" i="22"/>
  <c r="BF91" i="22"/>
  <c r="BE91" i="22"/>
  <c r="BD91" i="22"/>
  <c r="BC91" i="22"/>
  <c r="BB91" i="22"/>
  <c r="BA91" i="22"/>
  <c r="AZ91" i="22"/>
  <c r="AY91" i="22"/>
  <c r="AX91" i="22"/>
  <c r="AW91" i="22"/>
  <c r="AV91" i="22"/>
  <c r="AU91" i="22"/>
  <c r="AT91" i="22"/>
  <c r="AS91" i="22"/>
  <c r="AR91" i="22"/>
  <c r="AQ91" i="22"/>
  <c r="AP91" i="22"/>
  <c r="AO91" i="22"/>
  <c r="AN91" i="22"/>
  <c r="AM91" i="22"/>
  <c r="DT91" i="22" s="1"/>
  <c r="EB91" i="22" s="1"/>
  <c r="AL91" i="22"/>
  <c r="AK91" i="22"/>
  <c r="AJ91" i="22"/>
  <c r="AI91" i="22"/>
  <c r="AH91" i="22"/>
  <c r="AG91" i="22"/>
  <c r="AF91" i="22"/>
  <c r="BP91" i="22" s="1"/>
  <c r="AE91" i="22"/>
  <c r="AD91" i="22"/>
  <c r="AC91" i="22"/>
  <c r="AB91" i="22"/>
  <c r="AA91" i="22"/>
  <c r="Z91" i="22"/>
  <c r="Y91" i="22"/>
  <c r="X91" i="22"/>
  <c r="W91" i="22"/>
  <c r="V91" i="22"/>
  <c r="U91" i="22"/>
  <c r="T91" i="22"/>
  <c r="S91" i="22"/>
  <c r="R91" i="22"/>
  <c r="Q91" i="22"/>
  <c r="P91" i="22"/>
  <c r="O91" i="22"/>
  <c r="N91" i="22"/>
  <c r="M91" i="22"/>
  <c r="L91" i="22"/>
  <c r="K91" i="22"/>
  <c r="J91" i="22"/>
  <c r="I91" i="22"/>
  <c r="H91" i="22"/>
  <c r="G91" i="22"/>
  <c r="F91" i="22"/>
  <c r="E91" i="22"/>
  <c r="D91" i="22"/>
  <c r="C91" i="22"/>
  <c r="B91" i="22"/>
  <c r="A91" i="22"/>
  <c r="BO91" i="22" s="1"/>
  <c r="EG90" i="22"/>
  <c r="EE90" i="22"/>
  <c r="ED90" i="22"/>
  <c r="CR90" i="22"/>
  <c r="CQ90" i="22"/>
  <c r="CV90" i="22" s="1"/>
  <c r="CP90" i="22"/>
  <c r="CO90" i="22"/>
  <c r="CN90" i="22"/>
  <c r="CM90" i="22"/>
  <c r="BS90" i="22"/>
  <c r="BO90" i="22"/>
  <c r="CB90" i="22" s="1"/>
  <c r="BN90" i="22"/>
  <c r="BM90" i="22"/>
  <c r="BL90" i="22"/>
  <c r="BK90" i="22"/>
  <c r="BJ90" i="22"/>
  <c r="BI90" i="22"/>
  <c r="BH90" i="22"/>
  <c r="BG90" i="22"/>
  <c r="BF90" i="22"/>
  <c r="BE90" i="22"/>
  <c r="BD90" i="22"/>
  <c r="BC90" i="22"/>
  <c r="BB90" i="22"/>
  <c r="BA90" i="22"/>
  <c r="AZ90" i="22"/>
  <c r="AY90" i="22"/>
  <c r="AX90" i="22"/>
  <c r="AW90" i="22"/>
  <c r="AV90" i="22"/>
  <c r="AU90" i="22"/>
  <c r="AT90" i="22"/>
  <c r="AS90" i="22"/>
  <c r="AR90" i="22"/>
  <c r="AQ90" i="22"/>
  <c r="AP90" i="22"/>
  <c r="AO90" i="22"/>
  <c r="AN90" i="22"/>
  <c r="AM90" i="22"/>
  <c r="AL90" i="22"/>
  <c r="AK90" i="22"/>
  <c r="AJ90" i="22"/>
  <c r="AI90" i="22"/>
  <c r="AH90" i="22"/>
  <c r="AG90" i="22"/>
  <c r="AF90" i="22"/>
  <c r="AE90" i="22"/>
  <c r="AD90" i="22"/>
  <c r="AC90" i="22"/>
  <c r="AB90" i="22"/>
  <c r="AA90" i="22"/>
  <c r="Z90" i="22"/>
  <c r="Y90" i="22"/>
  <c r="X90" i="22"/>
  <c r="W90" i="22"/>
  <c r="V90" i="22"/>
  <c r="BU90" i="22" s="1"/>
  <c r="U90" i="22"/>
  <c r="T90" i="22"/>
  <c r="S90" i="22"/>
  <c r="R90" i="22"/>
  <c r="Q90" i="22"/>
  <c r="P90" i="22"/>
  <c r="O90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B90" i="22"/>
  <c r="A90" i="22"/>
  <c r="EA89" i="22"/>
  <c r="DZ89" i="22"/>
  <c r="DY89" i="22"/>
  <c r="DW89" i="22"/>
  <c r="DU89" i="22"/>
  <c r="EH89" i="22" s="1"/>
  <c r="DP89" i="22"/>
  <c r="DM89" i="22"/>
  <c r="DC89" i="22"/>
  <c r="DA89" i="22"/>
  <c r="CY89" i="22"/>
  <c r="CR89" i="22"/>
  <c r="CW89" i="22" s="1"/>
  <c r="CQ89" i="22"/>
  <c r="CP89" i="22"/>
  <c r="CU89" i="22" s="1"/>
  <c r="CO89" i="22"/>
  <c r="CN89" i="22"/>
  <c r="CS89" i="22" s="1"/>
  <c r="CM89" i="22"/>
  <c r="BY89" i="22"/>
  <c r="CJ89" i="22" s="1"/>
  <c r="BW89" i="22"/>
  <c r="BU89" i="22"/>
  <c r="CG89" i="22" s="1"/>
  <c r="BS89" i="22"/>
  <c r="BO89" i="22"/>
  <c r="CB89" i="22" s="1"/>
  <c r="BN89" i="22"/>
  <c r="BM89" i="22"/>
  <c r="BL89" i="22"/>
  <c r="BK89" i="22"/>
  <c r="DX89" i="22" s="1"/>
  <c r="BJ89" i="22"/>
  <c r="BI89" i="22"/>
  <c r="BH89" i="22"/>
  <c r="BG89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DT89" i="22" s="1"/>
  <c r="EB89" i="22" s="1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A89" i="22"/>
  <c r="EG88" i="22"/>
  <c r="EF88" i="22"/>
  <c r="EE88" i="22"/>
  <c r="ED88" i="22"/>
  <c r="EC88" i="22"/>
  <c r="DC88" i="22"/>
  <c r="DB88" i="22"/>
  <c r="DA88" i="22"/>
  <c r="CZ88" i="22"/>
  <c r="CR88" i="22"/>
  <c r="CQ88" i="22"/>
  <c r="CP88" i="22"/>
  <c r="CU88" i="22" s="1"/>
  <c r="CO88" i="22"/>
  <c r="CN88" i="22"/>
  <c r="CM88" i="22"/>
  <c r="CF88" i="22"/>
  <c r="DI88" i="22" s="1"/>
  <c r="BN88" i="22"/>
  <c r="BM88" i="22"/>
  <c r="BL88" i="22"/>
  <c r="BS88" i="22" s="1"/>
  <c r="BK88" i="22"/>
  <c r="DP88" i="22" s="1"/>
  <c r="BJ88" i="22"/>
  <c r="BI88" i="22"/>
  <c r="BH88" i="22"/>
  <c r="BG88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A88" i="22"/>
  <c r="EG87" i="22"/>
  <c r="EF87" i="22"/>
  <c r="ED87" i="22"/>
  <c r="DU87" i="22"/>
  <c r="EH87" i="22" s="1"/>
  <c r="DO87" i="22"/>
  <c r="DM87" i="22"/>
  <c r="DI87" i="22"/>
  <c r="CR87" i="22"/>
  <c r="CQ87" i="22"/>
  <c r="CP87" i="22"/>
  <c r="DA87" i="22" s="1"/>
  <c r="CO87" i="22"/>
  <c r="CZ87" i="22" s="1"/>
  <c r="CN87" i="22"/>
  <c r="CM87" i="22"/>
  <c r="CF87" i="22"/>
  <c r="BW87" i="22"/>
  <c r="BS87" i="22"/>
  <c r="BP87" i="22"/>
  <c r="BO87" i="22"/>
  <c r="CB87" i="22" s="1"/>
  <c r="BN87" i="22"/>
  <c r="BM87" i="22"/>
  <c r="BL87" i="22"/>
  <c r="BU87" i="22" s="1"/>
  <c r="BK87" i="22"/>
  <c r="BJ87" i="22"/>
  <c r="BI87" i="22"/>
  <c r="BH87" i="22"/>
  <c r="BG87" i="22"/>
  <c r="BF87" i="22"/>
  <c r="BE87" i="22"/>
  <c r="BD87" i="22"/>
  <c r="BC87" i="22"/>
  <c r="BB87" i="22"/>
  <c r="BA87" i="22"/>
  <c r="BV87" i="22" s="1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EE87" i="22" s="1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A87" i="22"/>
  <c r="DX87" i="22" s="1"/>
  <c r="EG86" i="22"/>
  <c r="EF86" i="22"/>
  <c r="EE86" i="22"/>
  <c r="EC86" i="22"/>
  <c r="DP86" i="22"/>
  <c r="DO86" i="22"/>
  <c r="DM86" i="22"/>
  <c r="CY86" i="22"/>
  <c r="CR86" i="22"/>
  <c r="CQ86" i="22"/>
  <c r="CP86" i="22"/>
  <c r="DA86" i="22" s="1"/>
  <c r="CO86" i="22"/>
  <c r="CN86" i="22"/>
  <c r="CM86" i="22"/>
  <c r="CH86" i="22"/>
  <c r="CG86" i="22"/>
  <c r="CC86" i="22"/>
  <c r="BW86" i="22"/>
  <c r="BV86" i="22"/>
  <c r="CA86" i="22" s="1"/>
  <c r="CL86" i="22" s="1"/>
  <c r="BU86" i="22"/>
  <c r="BY86" i="22" s="1"/>
  <c r="CJ86" i="22" s="1"/>
  <c r="BS86" i="22"/>
  <c r="BR86" i="22"/>
  <c r="CE86" i="22" s="1"/>
  <c r="BP86" i="22"/>
  <c r="BN86" i="22"/>
  <c r="BM86" i="22"/>
  <c r="ED86" i="22" s="1"/>
  <c r="BL86" i="22"/>
  <c r="BK86" i="22"/>
  <c r="BJ86" i="22"/>
  <c r="BI86" i="22"/>
  <c r="BH86" i="22"/>
  <c r="BG86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DT86" i="22" s="1"/>
  <c r="EB86" i="22" s="1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A86" i="22"/>
  <c r="EG85" i="22"/>
  <c r="EE85" i="22"/>
  <c r="ED85" i="22"/>
  <c r="EC85" i="22"/>
  <c r="DP85" i="22"/>
  <c r="DM85" i="22"/>
  <c r="DC85" i="22"/>
  <c r="DA85" i="22"/>
  <c r="CR85" i="22"/>
  <c r="CQ85" i="22"/>
  <c r="CP85" i="22"/>
  <c r="CO85" i="22"/>
  <c r="CN85" i="22"/>
  <c r="CM85" i="22"/>
  <c r="CG85" i="22"/>
  <c r="BT85" i="22"/>
  <c r="BZ85" i="22" s="1"/>
  <c r="CK85" i="22" s="1"/>
  <c r="BS85" i="22"/>
  <c r="BP85" i="22"/>
  <c r="BR85" i="22" s="1"/>
  <c r="CE85" i="22" s="1"/>
  <c r="BO85" i="22"/>
  <c r="BN85" i="22"/>
  <c r="BM85" i="22"/>
  <c r="BL85" i="22"/>
  <c r="BK85" i="22"/>
  <c r="BJ85" i="22"/>
  <c r="BI85" i="22"/>
  <c r="BH85" i="22"/>
  <c r="BG85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BU85" i="22" s="1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A85" i="22"/>
  <c r="ED84" i="22"/>
  <c r="DY84" i="22"/>
  <c r="DW84" i="22"/>
  <c r="DU84" i="22"/>
  <c r="EH84" i="22" s="1"/>
  <c r="DT84" i="22"/>
  <c r="EB84" i="22" s="1"/>
  <c r="DP84" i="22"/>
  <c r="DO84" i="22"/>
  <c r="DM84" i="22"/>
  <c r="CW84" i="22"/>
  <c r="CS84" i="22"/>
  <c r="CR84" i="22"/>
  <c r="CQ84" i="22"/>
  <c r="CP84" i="22"/>
  <c r="CO84" i="22"/>
  <c r="CN84" i="22"/>
  <c r="CY84" i="22" s="1"/>
  <c r="CM84" i="22"/>
  <c r="CB84" i="22"/>
  <c r="CA84" i="22"/>
  <c r="CL84" i="22" s="1"/>
  <c r="BZ84" i="22"/>
  <c r="CK84" i="22" s="1"/>
  <c r="BV84" i="22"/>
  <c r="CH84" i="22" s="1"/>
  <c r="BU84" i="22"/>
  <c r="CG84" i="22" s="1"/>
  <c r="BT84" i="22"/>
  <c r="BQ84" i="22"/>
  <c r="CD84" i="22" s="1"/>
  <c r="BO84" i="22"/>
  <c r="BN84" i="22"/>
  <c r="BM84" i="22"/>
  <c r="EG84" i="22" s="1"/>
  <c r="BL84" i="22"/>
  <c r="BK84" i="22"/>
  <c r="CF84" i="22" s="1"/>
  <c r="DI84" i="22" s="1"/>
  <c r="BJ84" i="22"/>
  <c r="BI84" i="22"/>
  <c r="BH84" i="22"/>
  <c r="BG84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A84" i="22"/>
  <c r="EG83" i="22"/>
  <c r="EF83" i="22"/>
  <c r="ED83" i="22"/>
  <c r="EC83" i="22"/>
  <c r="DY83" i="22"/>
  <c r="DX83" i="22"/>
  <c r="DW83" i="22"/>
  <c r="DC83" i="22"/>
  <c r="DB83" i="22"/>
  <c r="DA83" i="22"/>
  <c r="CZ83" i="22"/>
  <c r="CY83" i="22"/>
  <c r="CW83" i="22"/>
  <c r="CR83" i="22"/>
  <c r="CQ83" i="22"/>
  <c r="CP83" i="22"/>
  <c r="CO83" i="22"/>
  <c r="CN83" i="22"/>
  <c r="CS83" i="22" s="1"/>
  <c r="CM83" i="22"/>
  <c r="CG83" i="22"/>
  <c r="CF83" i="22"/>
  <c r="DI83" i="22" s="1"/>
  <c r="CD83" i="22"/>
  <c r="CB83" i="22"/>
  <c r="BO83" i="22"/>
  <c r="BQ83" i="22" s="1"/>
  <c r="BN83" i="22"/>
  <c r="BM83" i="22"/>
  <c r="BL83" i="22"/>
  <c r="BK83" i="22"/>
  <c r="BJ83" i="22"/>
  <c r="BI83" i="22"/>
  <c r="BH83" i="22"/>
  <c r="BG83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BU83" i="22" s="1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DM83" i="22" s="1"/>
  <c r="A83" i="22"/>
  <c r="EA83" i="22" s="1"/>
  <c r="DO82" i="22"/>
  <c r="CR82" i="22"/>
  <c r="CQ82" i="22"/>
  <c r="CP82" i="22"/>
  <c r="CO82" i="22"/>
  <c r="CN82" i="22"/>
  <c r="CM82" i="22"/>
  <c r="BZ82" i="22"/>
  <c r="CK82" i="22" s="1"/>
  <c r="BV82" i="22"/>
  <c r="BO82" i="22"/>
  <c r="CB82" i="22" s="1"/>
  <c r="BN82" i="22"/>
  <c r="BT82" i="22" s="1"/>
  <c r="BM82" i="22"/>
  <c r="BL82" i="22"/>
  <c r="BS82" i="22" s="1"/>
  <c r="BK82" i="22"/>
  <c r="BJ82" i="22"/>
  <c r="BI82" i="22"/>
  <c r="BH82" i="22"/>
  <c r="BG82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DU82" i="22" s="1"/>
  <c r="EH82" i="22" s="1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BU82" i="22" s="1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A82" i="22"/>
  <c r="EG81" i="22"/>
  <c r="EA81" i="22"/>
  <c r="DZ81" i="22"/>
  <c r="DY81" i="22"/>
  <c r="DX81" i="22"/>
  <c r="DW81" i="22"/>
  <c r="DP81" i="22"/>
  <c r="CZ81" i="22"/>
  <c r="CV81" i="22"/>
  <c r="CU81" i="22"/>
  <c r="CT81" i="22"/>
  <c r="CR81" i="22"/>
  <c r="CQ81" i="22"/>
  <c r="DB81" i="22" s="1"/>
  <c r="CP81" i="22"/>
  <c r="CO81" i="22"/>
  <c r="CN81" i="22"/>
  <c r="CM81" i="22"/>
  <c r="CF81" i="22"/>
  <c r="DI81" i="22" s="1"/>
  <c r="CC81" i="22"/>
  <c r="CB81" i="22"/>
  <c r="DJ81" i="22" s="1"/>
  <c r="BU81" i="22"/>
  <c r="BS81" i="22"/>
  <c r="BR81" i="22"/>
  <c r="CE81" i="22" s="1"/>
  <c r="BP81" i="22"/>
  <c r="BN81" i="22"/>
  <c r="BM81" i="22"/>
  <c r="BL81" i="22"/>
  <c r="BK81" i="22"/>
  <c r="BJ81" i="22"/>
  <c r="BI81" i="22"/>
  <c r="BH81" i="22"/>
  <c r="BG81" i="22"/>
  <c r="BF81" i="22"/>
  <c r="BE81" i="22"/>
  <c r="BD81" i="22"/>
  <c r="BC81" i="22"/>
  <c r="BB81" i="22"/>
  <c r="BA81" i="22"/>
  <c r="AZ81" i="22"/>
  <c r="AY81" i="22"/>
  <c r="AX81" i="22"/>
  <c r="AW81" i="22"/>
  <c r="AV81" i="22"/>
  <c r="AU81" i="22"/>
  <c r="AT81" i="22"/>
  <c r="AS81" i="22"/>
  <c r="AR81" i="22"/>
  <c r="AQ81" i="22"/>
  <c r="AP81" i="22"/>
  <c r="AO81" i="22"/>
  <c r="AN81" i="22"/>
  <c r="AM81" i="22"/>
  <c r="AL81" i="22"/>
  <c r="AK81" i="22"/>
  <c r="AJ81" i="22"/>
  <c r="AI81" i="22"/>
  <c r="AH81" i="22"/>
  <c r="AG81" i="22"/>
  <c r="AF81" i="22"/>
  <c r="AE81" i="22"/>
  <c r="AD81" i="22"/>
  <c r="AC81" i="22"/>
  <c r="AB81" i="22"/>
  <c r="AA81" i="22"/>
  <c r="Z81" i="22"/>
  <c r="Y81" i="22"/>
  <c r="X81" i="22"/>
  <c r="W81" i="22"/>
  <c r="V81" i="22"/>
  <c r="U81" i="22"/>
  <c r="T81" i="22"/>
  <c r="S81" i="22"/>
  <c r="R81" i="22"/>
  <c r="Q81" i="22"/>
  <c r="P81" i="22"/>
  <c r="O81" i="22"/>
  <c r="N81" i="22"/>
  <c r="M81" i="22"/>
  <c r="L81" i="22"/>
  <c r="K81" i="22"/>
  <c r="J81" i="22"/>
  <c r="I81" i="22"/>
  <c r="H81" i="22"/>
  <c r="G81" i="22"/>
  <c r="F81" i="22"/>
  <c r="E81" i="22"/>
  <c r="D81" i="22"/>
  <c r="C81" i="22"/>
  <c r="B81" i="22"/>
  <c r="A81" i="22"/>
  <c r="BO81" i="22" s="1"/>
  <c r="BQ81" i="22" s="1"/>
  <c r="CD81" i="22" s="1"/>
  <c r="EE80" i="22"/>
  <c r="EC80" i="22"/>
  <c r="CR80" i="22"/>
  <c r="CQ80" i="22"/>
  <c r="CP80" i="22"/>
  <c r="CO80" i="22"/>
  <c r="CN80" i="22"/>
  <c r="CM80" i="22"/>
  <c r="BN80" i="22"/>
  <c r="BM80" i="22"/>
  <c r="BL80" i="22"/>
  <c r="BK80" i="22"/>
  <c r="BJ80" i="22"/>
  <c r="BI80" i="22"/>
  <c r="BH80" i="22"/>
  <c r="BG80" i="22"/>
  <c r="BF80" i="22"/>
  <c r="BE80" i="22"/>
  <c r="BD80" i="22"/>
  <c r="BC80" i="22"/>
  <c r="BB80" i="22"/>
  <c r="BA80" i="22"/>
  <c r="AZ80" i="22"/>
  <c r="AY80" i="22"/>
  <c r="AX80" i="22"/>
  <c r="AW80" i="22"/>
  <c r="AV80" i="22"/>
  <c r="AU80" i="22"/>
  <c r="AT80" i="22"/>
  <c r="AS80" i="22"/>
  <c r="AR80" i="22"/>
  <c r="AQ80" i="22"/>
  <c r="AP80" i="22"/>
  <c r="AO80" i="22"/>
  <c r="AN80" i="22"/>
  <c r="AM80" i="22"/>
  <c r="AL80" i="22"/>
  <c r="AK80" i="22"/>
  <c r="AJ80" i="22"/>
  <c r="AI80" i="22"/>
  <c r="AH80" i="22"/>
  <c r="AG80" i="22"/>
  <c r="AF80" i="22"/>
  <c r="AE80" i="22"/>
  <c r="AD80" i="22"/>
  <c r="AC80" i="22"/>
  <c r="AB80" i="22"/>
  <c r="AA80" i="22"/>
  <c r="Z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B80" i="22"/>
  <c r="A80" i="22"/>
  <c r="BO80" i="22" s="1"/>
  <c r="EB79" i="22"/>
  <c r="DZ79" i="22"/>
  <c r="DY79" i="22"/>
  <c r="DW79" i="22"/>
  <c r="DP79" i="22"/>
  <c r="DM79" i="22"/>
  <c r="DJ79" i="22"/>
  <c r="DC79" i="22"/>
  <c r="DA79" i="22"/>
  <c r="CY79" i="22"/>
  <c r="CV79" i="22"/>
  <c r="CU79" i="22"/>
  <c r="CS79" i="22"/>
  <c r="CR79" i="22"/>
  <c r="CW79" i="22" s="1"/>
  <c r="CQ79" i="22"/>
  <c r="CP79" i="22"/>
  <c r="CO79" i="22"/>
  <c r="CN79" i="22"/>
  <c r="CM79" i="22"/>
  <c r="BU79" i="22"/>
  <c r="BS79" i="22"/>
  <c r="BQ79" i="22"/>
  <c r="CD79" i="22" s="1"/>
  <c r="BP79" i="22"/>
  <c r="CC79" i="22" s="1"/>
  <c r="BO79" i="22"/>
  <c r="CB79" i="22" s="1"/>
  <c r="BN79" i="22"/>
  <c r="BM79" i="22"/>
  <c r="BL79" i="22"/>
  <c r="BK79" i="22"/>
  <c r="DX79" i="22" s="1"/>
  <c r="BJ79" i="22"/>
  <c r="BI79" i="22"/>
  <c r="BH79" i="22"/>
  <c r="BG79" i="22"/>
  <c r="BF79" i="22"/>
  <c r="BE79" i="22"/>
  <c r="BD79" i="22"/>
  <c r="BC79" i="22"/>
  <c r="BB79" i="22"/>
  <c r="BA79" i="22"/>
  <c r="AZ79" i="22"/>
  <c r="AY79" i="22"/>
  <c r="AX79" i="22"/>
  <c r="AW79" i="22"/>
  <c r="AV79" i="22"/>
  <c r="AU79" i="22"/>
  <c r="AT79" i="22"/>
  <c r="AS79" i="22"/>
  <c r="AR79" i="22"/>
  <c r="AQ79" i="22"/>
  <c r="AP79" i="22"/>
  <c r="AO79" i="22"/>
  <c r="AN79" i="22"/>
  <c r="AM79" i="22"/>
  <c r="DT79" i="22" s="1"/>
  <c r="AL79" i="22"/>
  <c r="AK79" i="22"/>
  <c r="AJ79" i="22"/>
  <c r="AI79" i="22"/>
  <c r="AH79" i="22"/>
  <c r="AG79" i="22"/>
  <c r="AF79" i="22"/>
  <c r="EE79" i="22" s="1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A79" i="22"/>
  <c r="EG78" i="22"/>
  <c r="EF78" i="22"/>
  <c r="EE78" i="22"/>
  <c r="ED78" i="22"/>
  <c r="EC78" i="22"/>
  <c r="CZ78" i="22"/>
  <c r="CR78" i="22"/>
  <c r="CQ78" i="22"/>
  <c r="CP78" i="22"/>
  <c r="CO78" i="22"/>
  <c r="CN78" i="22"/>
  <c r="CM78" i="22"/>
  <c r="CK78" i="22"/>
  <c r="CF78" i="22"/>
  <c r="DI78" i="22" s="1"/>
  <c r="CC78" i="22"/>
  <c r="BS78" i="22"/>
  <c r="BR78" i="22"/>
  <c r="CE78" i="22" s="1"/>
  <c r="BN78" i="22"/>
  <c r="BT78" i="22" s="1"/>
  <c r="BZ78" i="22" s="1"/>
  <c r="BM78" i="22"/>
  <c r="BL78" i="22"/>
  <c r="BK78" i="22"/>
  <c r="BJ78" i="22"/>
  <c r="BI78" i="22"/>
  <c r="BH78" i="22"/>
  <c r="BG78" i="22"/>
  <c r="BF78" i="22"/>
  <c r="BE78" i="22"/>
  <c r="BD78" i="22"/>
  <c r="BC78" i="22"/>
  <c r="BB78" i="22"/>
  <c r="BA78" i="22"/>
  <c r="BV78" i="22" s="1"/>
  <c r="CH78" i="22" s="1"/>
  <c r="AZ78" i="22"/>
  <c r="AY78" i="22"/>
  <c r="AX78" i="22"/>
  <c r="AW78" i="22"/>
  <c r="AV78" i="22"/>
  <c r="AU78" i="22"/>
  <c r="AT78" i="22"/>
  <c r="AS78" i="22"/>
  <c r="AR78" i="22"/>
  <c r="AQ78" i="22"/>
  <c r="AP78" i="22"/>
  <c r="DU78" i="22" s="1"/>
  <c r="EH78" i="22" s="1"/>
  <c r="AO78" i="22"/>
  <c r="AN78" i="22"/>
  <c r="AM78" i="22"/>
  <c r="AL78" i="22"/>
  <c r="AK78" i="22"/>
  <c r="AJ78" i="22"/>
  <c r="AI78" i="22"/>
  <c r="AH78" i="22"/>
  <c r="AG78" i="22"/>
  <c r="AF78" i="22"/>
  <c r="BP78" i="22" s="1"/>
  <c r="AE78" i="22"/>
  <c r="AD78" i="22"/>
  <c r="AC78" i="22"/>
  <c r="AB78" i="22"/>
  <c r="AA78" i="22"/>
  <c r="Z78" i="22"/>
  <c r="Y78" i="22"/>
  <c r="X78" i="22"/>
  <c r="W78" i="22"/>
  <c r="V78" i="22"/>
  <c r="BU78" i="22" s="1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A78" i="22"/>
  <c r="DC77" i="22"/>
  <c r="DB77" i="22"/>
  <c r="CR77" i="22"/>
  <c r="CQ77" i="22"/>
  <c r="CP77" i="22"/>
  <c r="CO77" i="22"/>
  <c r="CN77" i="22"/>
  <c r="CM77" i="22"/>
  <c r="CF77" i="22"/>
  <c r="DI77" i="22" s="1"/>
  <c r="BP77" i="22"/>
  <c r="BN77" i="22"/>
  <c r="BM77" i="22"/>
  <c r="BL77" i="22"/>
  <c r="BK77" i="22"/>
  <c r="BJ77" i="22"/>
  <c r="BI77" i="22"/>
  <c r="BH77" i="22"/>
  <c r="BG77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BU77" i="22" s="1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DM77" i="22" s="1"/>
  <c r="A77" i="22"/>
  <c r="EE76" i="22"/>
  <c r="EC76" i="22"/>
  <c r="DI76" i="22"/>
  <c r="CZ76" i="22"/>
  <c r="CR76" i="22"/>
  <c r="CQ76" i="22"/>
  <c r="CP76" i="22"/>
  <c r="CO76" i="22"/>
  <c r="CN76" i="22"/>
  <c r="CM76" i="22"/>
  <c r="CF76" i="22"/>
  <c r="BN76" i="22"/>
  <c r="BM76" i="22"/>
  <c r="BL76" i="22"/>
  <c r="BK76" i="22"/>
  <c r="BJ76" i="22"/>
  <c r="BI76" i="22"/>
  <c r="BH76" i="22"/>
  <c r="BG76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BU76" i="22" s="1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DP76" i="22" s="1"/>
  <c r="A76" i="22"/>
  <c r="EG75" i="22"/>
  <c r="EE75" i="22"/>
  <c r="ED75" i="22"/>
  <c r="DI75" i="22"/>
  <c r="DC75" i="22"/>
  <c r="DA75" i="22"/>
  <c r="CZ75" i="22"/>
  <c r="CR75" i="22"/>
  <c r="CQ75" i="22"/>
  <c r="CP75" i="22"/>
  <c r="CO75" i="22"/>
  <c r="CN75" i="22"/>
  <c r="CM75" i="22"/>
  <c r="CK75" i="22"/>
  <c r="CF75" i="22"/>
  <c r="BZ75" i="22"/>
  <c r="BT75" i="22"/>
  <c r="BS75" i="22"/>
  <c r="BP75" i="22"/>
  <c r="BN75" i="22"/>
  <c r="BM75" i="22"/>
  <c r="BL75" i="22"/>
  <c r="BK75" i="22"/>
  <c r="BJ75" i="22"/>
  <c r="BI75" i="22"/>
  <c r="BH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BU75" i="22" s="1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A75" i="22"/>
  <c r="EG74" i="22"/>
  <c r="EF74" i="22"/>
  <c r="DZ74" i="22"/>
  <c r="DY74" i="22"/>
  <c r="CR74" i="22"/>
  <c r="CQ74" i="22"/>
  <c r="CP74" i="22"/>
  <c r="CO74" i="22"/>
  <c r="CN74" i="22"/>
  <c r="CM74" i="22"/>
  <c r="CK74" i="22"/>
  <c r="BT74" i="22"/>
  <c r="BZ74" i="22" s="1"/>
  <c r="BP74" i="22"/>
  <c r="BN74" i="22"/>
  <c r="BM74" i="22"/>
  <c r="BL74" i="22"/>
  <c r="BO74" i="22" s="1"/>
  <c r="BK74" i="22"/>
  <c r="BJ74" i="22"/>
  <c r="BI74" i="22"/>
  <c r="BH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A74" i="22"/>
  <c r="ED73" i="22"/>
  <c r="EA73" i="22"/>
  <c r="DW73" i="22"/>
  <c r="DU73" i="22"/>
  <c r="EH73" i="22" s="1"/>
  <c r="DB73" i="22"/>
  <c r="CV73" i="22"/>
  <c r="CR73" i="22"/>
  <c r="CQ73" i="22"/>
  <c r="CP73" i="22"/>
  <c r="CO73" i="22"/>
  <c r="CT73" i="22" s="1"/>
  <c r="CN73" i="22"/>
  <c r="CM73" i="22"/>
  <c r="CF73" i="22"/>
  <c r="DI73" i="22" s="1"/>
  <c r="BS73" i="22"/>
  <c r="BP73" i="22"/>
  <c r="CC73" i="22" s="1"/>
  <c r="BO73" i="22"/>
  <c r="BN73" i="22"/>
  <c r="BM73" i="22"/>
  <c r="BL73" i="22"/>
  <c r="BK73" i="22"/>
  <c r="BJ73" i="22"/>
  <c r="BI73" i="22"/>
  <c r="BH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A73" i="22"/>
  <c r="DZ73" i="22" s="1"/>
  <c r="EG72" i="22"/>
  <c r="ED72" i="22"/>
  <c r="EC72" i="22"/>
  <c r="DZ72" i="22"/>
  <c r="DX72" i="22"/>
  <c r="DU72" i="22"/>
  <c r="EH72" i="22" s="1"/>
  <c r="DT72" i="22"/>
  <c r="EB72" i="22" s="1"/>
  <c r="DO72" i="22"/>
  <c r="DN72" i="22"/>
  <c r="DM72" i="22"/>
  <c r="DI72" i="22"/>
  <c r="DA72" i="22"/>
  <c r="CU72" i="22"/>
  <c r="CT72" i="22"/>
  <c r="CR72" i="22"/>
  <c r="CW72" i="22" s="1"/>
  <c r="CQ72" i="22"/>
  <c r="CP72" i="22"/>
  <c r="CO72" i="22"/>
  <c r="CN72" i="22"/>
  <c r="CM72" i="22"/>
  <c r="CG72" i="22"/>
  <c r="CD72" i="22"/>
  <c r="CA72" i="22"/>
  <c r="CL72" i="22" s="1"/>
  <c r="BZ72" i="22"/>
  <c r="CK72" i="22" s="1"/>
  <c r="BX72" i="22"/>
  <c r="CI72" i="22" s="1"/>
  <c r="BV72" i="22"/>
  <c r="CH72" i="22" s="1"/>
  <c r="BS72" i="22"/>
  <c r="BQ72" i="22"/>
  <c r="BP72" i="22"/>
  <c r="BO72" i="22"/>
  <c r="CB72" i="22" s="1"/>
  <c r="BN72" i="22"/>
  <c r="BT72" i="22" s="1"/>
  <c r="BM72" i="22"/>
  <c r="BL72" i="22"/>
  <c r="BK72" i="22"/>
  <c r="CF72" i="22" s="1"/>
  <c r="BJ72" i="22"/>
  <c r="BI72" i="22"/>
  <c r="BH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BU72" i="22" s="1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A72" i="22"/>
  <c r="EA72" i="22" s="1"/>
  <c r="EG71" i="22"/>
  <c r="ED71" i="22"/>
  <c r="CV71" i="22"/>
  <c r="CU71" i="22"/>
  <c r="CS71" i="22"/>
  <c r="CR71" i="22"/>
  <c r="CQ71" i="22"/>
  <c r="CP71" i="22"/>
  <c r="CO71" i="22"/>
  <c r="CN71" i="22"/>
  <c r="CM71" i="22"/>
  <c r="CF71" i="22"/>
  <c r="DI71" i="22" s="1"/>
  <c r="CB71" i="22"/>
  <c r="BX71" i="22"/>
  <c r="CI71" i="22" s="1"/>
  <c r="BU71" i="22"/>
  <c r="BN71" i="22"/>
  <c r="BM71" i="22"/>
  <c r="BL71" i="22"/>
  <c r="BS71" i="22" s="1"/>
  <c r="BK71" i="22"/>
  <c r="DM71" i="22" s="1"/>
  <c r="BJ71" i="22"/>
  <c r="BI71" i="22"/>
  <c r="BH71" i="22"/>
  <c r="BG71" i="22"/>
  <c r="BF71" i="22"/>
  <c r="BE71" i="22"/>
  <c r="BD71" i="22"/>
  <c r="BC71" i="22"/>
  <c r="BB71" i="22"/>
  <c r="BA71" i="22"/>
  <c r="BV71" i="22" s="1"/>
  <c r="AZ71" i="22"/>
  <c r="AY71" i="22"/>
  <c r="AX71" i="22"/>
  <c r="AW71" i="22"/>
  <c r="AV71" i="22"/>
  <c r="AU71" i="22"/>
  <c r="AT71" i="22"/>
  <c r="AS71" i="22"/>
  <c r="AR71" i="22"/>
  <c r="AQ71" i="22"/>
  <c r="DU71" i="22" s="1"/>
  <c r="EH71" i="22" s="1"/>
  <c r="AP71" i="22"/>
  <c r="AO71" i="22"/>
  <c r="AN71" i="22"/>
  <c r="DT71" i="22" s="1"/>
  <c r="EB71" i="22" s="1"/>
  <c r="AM71" i="22"/>
  <c r="AL71" i="22"/>
  <c r="AK71" i="22"/>
  <c r="AJ71" i="22"/>
  <c r="AI71" i="22"/>
  <c r="AH71" i="22"/>
  <c r="AG71" i="22"/>
  <c r="AF71" i="22"/>
  <c r="DA71" i="22" s="1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A71" i="22"/>
  <c r="BO71" i="22" s="1"/>
  <c r="BQ71" i="22" s="1"/>
  <c r="CD71" i="22" s="1"/>
  <c r="EG70" i="22"/>
  <c r="EF70" i="22"/>
  <c r="EC70" i="22"/>
  <c r="DC70" i="22"/>
  <c r="CR70" i="22"/>
  <c r="CW70" i="22" s="1"/>
  <c r="CQ70" i="22"/>
  <c r="CP70" i="22"/>
  <c r="CO70" i="22"/>
  <c r="CN70" i="22"/>
  <c r="CM70" i="22"/>
  <c r="CH70" i="22"/>
  <c r="BV70" i="22"/>
  <c r="CA70" i="22" s="1"/>
  <c r="CL70" i="22" s="1"/>
  <c r="BP70" i="22"/>
  <c r="BN70" i="22"/>
  <c r="BM70" i="22"/>
  <c r="BL70" i="22"/>
  <c r="BK70" i="22"/>
  <c r="BJ70" i="22"/>
  <c r="BI70" i="22"/>
  <c r="BH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T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F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R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70" i="22"/>
  <c r="C70" i="22"/>
  <c r="B70" i="22"/>
  <c r="A70" i="22"/>
  <c r="EF69" i="22"/>
  <c r="EE69" i="22"/>
  <c r="DP69" i="22"/>
  <c r="CZ69" i="22"/>
  <c r="CY69" i="22"/>
  <c r="CV69" i="22"/>
  <c r="CR69" i="22"/>
  <c r="CQ69" i="22"/>
  <c r="DB69" i="22" s="1"/>
  <c r="CP69" i="22"/>
  <c r="CO69" i="22"/>
  <c r="CN69" i="22"/>
  <c r="CM69" i="22"/>
  <c r="CL69" i="22"/>
  <c r="CH69" i="22"/>
  <c r="BN69" i="22"/>
  <c r="BM69" i="22"/>
  <c r="BL69" i="22"/>
  <c r="BK69" i="22"/>
  <c r="BJ69" i="22"/>
  <c r="BI69" i="22"/>
  <c r="BH69" i="22"/>
  <c r="BG69" i="22"/>
  <c r="BF69" i="22"/>
  <c r="BE69" i="22"/>
  <c r="BD69" i="22"/>
  <c r="BC69" i="22"/>
  <c r="BB69" i="22"/>
  <c r="BA69" i="22"/>
  <c r="BV69" i="22" s="1"/>
  <c r="CA69" i="22" s="1"/>
  <c r="AZ69" i="22"/>
  <c r="AY69" i="22"/>
  <c r="AX69" i="22"/>
  <c r="AW69" i="22"/>
  <c r="AV69" i="22"/>
  <c r="AU69" i="22"/>
  <c r="AT69" i="22"/>
  <c r="AS69" i="22"/>
  <c r="AR69" i="22"/>
  <c r="DU69" i="22" s="1"/>
  <c r="EH69" i="22" s="1"/>
  <c r="AQ69" i="22"/>
  <c r="AP69" i="22"/>
  <c r="AO69" i="22"/>
  <c r="AN69" i="22"/>
  <c r="AM69" i="22"/>
  <c r="DT69" i="22" s="1"/>
  <c r="EB69" i="22" s="1"/>
  <c r="AL69" i="22"/>
  <c r="AK69" i="22"/>
  <c r="AJ69" i="22"/>
  <c r="AI69" i="22"/>
  <c r="AH69" i="22"/>
  <c r="AG69" i="22"/>
  <c r="AF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R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B69" i="22"/>
  <c r="A69" i="22"/>
  <c r="EC68" i="22"/>
  <c r="DX68" i="22"/>
  <c r="DM68" i="22"/>
  <c r="CZ68" i="22"/>
  <c r="CU68" i="22"/>
  <c r="CT68" i="22"/>
  <c r="CS68" i="22"/>
  <c r="CR68" i="22"/>
  <c r="CQ68" i="22"/>
  <c r="CP68" i="22"/>
  <c r="CO68" i="22"/>
  <c r="CN68" i="22"/>
  <c r="CM68" i="22"/>
  <c r="CF68" i="22"/>
  <c r="DI68" i="22" s="1"/>
  <c r="BQ68" i="22"/>
  <c r="CD68" i="22" s="1"/>
  <c r="BP68" i="22"/>
  <c r="BO68" i="22"/>
  <c r="CB68" i="22" s="1"/>
  <c r="BN68" i="22"/>
  <c r="BM68" i="22"/>
  <c r="BL68" i="22"/>
  <c r="BK68" i="22"/>
  <c r="EA68" i="22" s="1"/>
  <c r="BJ68" i="22"/>
  <c r="BI68" i="22"/>
  <c r="BH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T68" i="22"/>
  <c r="AS68" i="22"/>
  <c r="AR68" i="22"/>
  <c r="AQ68" i="22"/>
  <c r="AP68" i="22"/>
  <c r="AO68" i="22"/>
  <c r="AN68" i="22"/>
  <c r="DT68" i="22" s="1"/>
  <c r="EB68" i="22" s="1"/>
  <c r="AM68" i="22"/>
  <c r="AL68" i="22"/>
  <c r="AK68" i="22"/>
  <c r="AJ68" i="22"/>
  <c r="AI68" i="22"/>
  <c r="AH68" i="22"/>
  <c r="AG68" i="22"/>
  <c r="AF68" i="22"/>
  <c r="DA68" i="22" s="1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R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68" i="22"/>
  <c r="C68" i="22"/>
  <c r="B68" i="22"/>
  <c r="DP68" i="22" s="1"/>
  <c r="A68" i="22"/>
  <c r="ED67" i="22"/>
  <c r="EC67" i="22"/>
  <c r="DZ67" i="22"/>
  <c r="DY67" i="22"/>
  <c r="DC67" i="22"/>
  <c r="CZ67" i="22"/>
  <c r="CR67" i="22"/>
  <c r="CQ67" i="22"/>
  <c r="CP67" i="22"/>
  <c r="CO67" i="22"/>
  <c r="CN67" i="22"/>
  <c r="CM67" i="22"/>
  <c r="CB67" i="22"/>
  <c r="BO67" i="22"/>
  <c r="BN67" i="22"/>
  <c r="BM67" i="22"/>
  <c r="EE67" i="22" s="1"/>
  <c r="BL67" i="22"/>
  <c r="BK67" i="22"/>
  <c r="BJ67" i="22"/>
  <c r="BI67" i="22"/>
  <c r="BH67" i="22"/>
  <c r="BG67" i="22"/>
  <c r="BF67" i="22"/>
  <c r="BE67" i="22"/>
  <c r="BD67" i="22"/>
  <c r="BC67" i="22"/>
  <c r="BB67" i="22"/>
  <c r="BA67" i="22"/>
  <c r="BV67" i="22" s="1"/>
  <c r="AZ67" i="22"/>
  <c r="AY67" i="22"/>
  <c r="AX67" i="22"/>
  <c r="AW67" i="22"/>
  <c r="AV67" i="22"/>
  <c r="AU67" i="22"/>
  <c r="AT67" i="22"/>
  <c r="AS67" i="22"/>
  <c r="AR67" i="22"/>
  <c r="AQ67" i="22"/>
  <c r="AP67" i="22"/>
  <c r="AO67" i="22"/>
  <c r="AN67" i="22"/>
  <c r="AM67" i="22"/>
  <c r="AL67" i="22"/>
  <c r="AK67" i="22"/>
  <c r="AJ67" i="22"/>
  <c r="AI67" i="22"/>
  <c r="AH67" i="22"/>
  <c r="AG67" i="22"/>
  <c r="AF67" i="22"/>
  <c r="AE67" i="22"/>
  <c r="AD67" i="22"/>
  <c r="AC67" i="22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D67" i="22"/>
  <c r="C67" i="22"/>
  <c r="B67" i="22"/>
  <c r="A67" i="22"/>
  <c r="ED66" i="22"/>
  <c r="EC66" i="22"/>
  <c r="EA66" i="22"/>
  <c r="DY66" i="22"/>
  <c r="DX66" i="22"/>
  <c r="DW66" i="22"/>
  <c r="DU66" i="22"/>
  <c r="EH66" i="22" s="1"/>
  <c r="CR66" i="22"/>
  <c r="CQ66" i="22"/>
  <c r="CP66" i="22"/>
  <c r="CU66" i="22" s="1"/>
  <c r="CO66" i="22"/>
  <c r="CN66" i="22"/>
  <c r="CM66" i="22"/>
  <c r="BN66" i="22"/>
  <c r="BT66" i="22" s="1"/>
  <c r="BZ66" i="22" s="1"/>
  <c r="CK66" i="22" s="1"/>
  <c r="BM66" i="22"/>
  <c r="BL66" i="22"/>
  <c r="BS66" i="22" s="1"/>
  <c r="BK66" i="22"/>
  <c r="CV66" i="22" s="1"/>
  <c r="BJ66" i="22"/>
  <c r="BI66" i="22"/>
  <c r="BH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T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F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B66" i="22"/>
  <c r="A66" i="22"/>
  <c r="EB65" i="22"/>
  <c r="EA65" i="22"/>
  <c r="DM65" i="22"/>
  <c r="DC65" i="22"/>
  <c r="CT65" i="22"/>
  <c r="CR65" i="22"/>
  <c r="CQ65" i="22"/>
  <c r="CP65" i="22"/>
  <c r="CO65" i="22"/>
  <c r="CN65" i="22"/>
  <c r="CM65" i="22"/>
  <c r="CF65" i="22"/>
  <c r="DI65" i="22" s="1"/>
  <c r="BV65" i="22"/>
  <c r="BU65" i="22"/>
  <c r="BT65" i="22"/>
  <c r="BZ65" i="22" s="1"/>
  <c r="CK65" i="22" s="1"/>
  <c r="BN65" i="22"/>
  <c r="DU65" i="22" s="1"/>
  <c r="EH65" i="22" s="1"/>
  <c r="BM65" i="22"/>
  <c r="EG65" i="22" s="1"/>
  <c r="BL65" i="22"/>
  <c r="BS65" i="22" s="1"/>
  <c r="BK65" i="22"/>
  <c r="CW65" i="22" s="1"/>
  <c r="BJ65" i="22"/>
  <c r="BI65" i="22"/>
  <c r="BH65" i="22"/>
  <c r="BG65" i="22"/>
  <c r="BF65" i="22"/>
  <c r="BE65" i="22"/>
  <c r="BD65" i="22"/>
  <c r="BC65" i="22"/>
  <c r="BB65" i="22"/>
  <c r="BA65" i="22"/>
  <c r="AZ65" i="22"/>
  <c r="AY65" i="22"/>
  <c r="AX65" i="22"/>
  <c r="AW65" i="22"/>
  <c r="AV65" i="22"/>
  <c r="AU65" i="22"/>
  <c r="AT65" i="22"/>
  <c r="AS65" i="22"/>
  <c r="AR65" i="22"/>
  <c r="AQ65" i="22"/>
  <c r="AP65" i="22"/>
  <c r="AO65" i="22"/>
  <c r="DT65" i="22" s="1"/>
  <c r="AN65" i="22"/>
  <c r="AM65" i="22"/>
  <c r="AL65" i="22"/>
  <c r="AK65" i="22"/>
  <c r="AJ65" i="22"/>
  <c r="AI65" i="22"/>
  <c r="AH65" i="22"/>
  <c r="AG65" i="22"/>
  <c r="AF65" i="22"/>
  <c r="AE65" i="22"/>
  <c r="AD65" i="22"/>
  <c r="AC65" i="22"/>
  <c r="AB65" i="22"/>
  <c r="AA65" i="22"/>
  <c r="Z65" i="22"/>
  <c r="Y65" i="22"/>
  <c r="X65" i="22"/>
  <c r="W65" i="22"/>
  <c r="V65" i="22"/>
  <c r="U65" i="22"/>
  <c r="T65" i="22"/>
  <c r="S65" i="22"/>
  <c r="R65" i="22"/>
  <c r="Q65" i="22"/>
  <c r="P65" i="22"/>
  <c r="O65" i="22"/>
  <c r="N65" i="22"/>
  <c r="M65" i="22"/>
  <c r="L65" i="22"/>
  <c r="K65" i="22"/>
  <c r="J65" i="22"/>
  <c r="I65" i="22"/>
  <c r="H65" i="22"/>
  <c r="G65" i="22"/>
  <c r="F65" i="22"/>
  <c r="E65" i="22"/>
  <c r="D65" i="22"/>
  <c r="C65" i="22"/>
  <c r="B65" i="22"/>
  <c r="A65" i="22"/>
  <c r="DP64" i="22"/>
  <c r="DM64" i="22"/>
  <c r="CR64" i="22"/>
  <c r="CQ64" i="22"/>
  <c r="CP64" i="22"/>
  <c r="CO64" i="22"/>
  <c r="CN64" i="22"/>
  <c r="CM64" i="22"/>
  <c r="CI64" i="22"/>
  <c r="BU64" i="22"/>
  <c r="BS64" i="22"/>
  <c r="BX64" i="22" s="1"/>
  <c r="BN64" i="22"/>
  <c r="BM64" i="22"/>
  <c r="BL64" i="22"/>
  <c r="BK64" i="22"/>
  <c r="BJ64" i="22"/>
  <c r="BI64" i="22"/>
  <c r="BH64" i="22"/>
  <c r="BG64" i="22"/>
  <c r="BF64" i="22"/>
  <c r="BE64" i="22"/>
  <c r="BD64" i="22"/>
  <c r="BC64" i="22"/>
  <c r="BB64" i="22"/>
  <c r="BA64" i="22"/>
  <c r="AZ64" i="22"/>
  <c r="AY64" i="22"/>
  <c r="AX64" i="22"/>
  <c r="AW64" i="22"/>
  <c r="AV64" i="22"/>
  <c r="AU64" i="22"/>
  <c r="AT64" i="22"/>
  <c r="AS64" i="22"/>
  <c r="AR64" i="22"/>
  <c r="AQ64" i="22"/>
  <c r="AP64" i="22"/>
  <c r="AO64" i="22"/>
  <c r="AN64" i="22"/>
  <c r="AM64" i="22"/>
  <c r="AL64" i="22"/>
  <c r="AK64" i="22"/>
  <c r="AJ64" i="22"/>
  <c r="AI64" i="22"/>
  <c r="AH64" i="22"/>
  <c r="AG64" i="22"/>
  <c r="AF64" i="22"/>
  <c r="AE64" i="22"/>
  <c r="AD64" i="22"/>
  <c r="AC64" i="22"/>
  <c r="AB64" i="22"/>
  <c r="AA64" i="22"/>
  <c r="Z64" i="22"/>
  <c r="Y64" i="22"/>
  <c r="X64" i="22"/>
  <c r="W64" i="22"/>
  <c r="V64" i="22"/>
  <c r="U64" i="22"/>
  <c r="T64" i="22"/>
  <c r="S64" i="22"/>
  <c r="R64" i="22"/>
  <c r="Q64" i="22"/>
  <c r="P64" i="22"/>
  <c r="O64" i="22"/>
  <c r="N64" i="22"/>
  <c r="M64" i="22"/>
  <c r="L64" i="22"/>
  <c r="K64" i="22"/>
  <c r="J64" i="22"/>
  <c r="I64" i="22"/>
  <c r="H64" i="22"/>
  <c r="G64" i="22"/>
  <c r="F64" i="22"/>
  <c r="E64" i="22"/>
  <c r="D64" i="22"/>
  <c r="C64" i="22"/>
  <c r="B64" i="22"/>
  <c r="A64" i="22"/>
  <c r="EA63" i="22"/>
  <c r="DZ63" i="22"/>
  <c r="DY63" i="22"/>
  <c r="DP63" i="22"/>
  <c r="DM63" i="22"/>
  <c r="DB63" i="22"/>
  <c r="CV63" i="22"/>
  <c r="CU63" i="22"/>
  <c r="CR63" i="22"/>
  <c r="CQ63" i="22"/>
  <c r="CP63" i="22"/>
  <c r="CO63" i="22"/>
  <c r="CN63" i="22"/>
  <c r="CM63" i="22"/>
  <c r="CH63" i="22"/>
  <c r="CB63" i="22"/>
  <c r="BW63" i="22"/>
  <c r="BY63" i="22" s="1"/>
  <c r="CJ63" i="22" s="1"/>
  <c r="BV63" i="22"/>
  <c r="CA63" i="22" s="1"/>
  <c r="CL63" i="22" s="1"/>
  <c r="BU63" i="22"/>
  <c r="BT63" i="22"/>
  <c r="BZ63" i="22" s="1"/>
  <c r="CK63" i="22" s="1"/>
  <c r="BO63" i="22"/>
  <c r="BN63" i="22"/>
  <c r="BM63" i="22"/>
  <c r="BL63" i="22"/>
  <c r="BK63" i="22"/>
  <c r="DX63" i="22" s="1"/>
  <c r="BJ63" i="22"/>
  <c r="BI63" i="22"/>
  <c r="BH63" i="22"/>
  <c r="BG63" i="22"/>
  <c r="BF63" i="22"/>
  <c r="BE63" i="22"/>
  <c r="BD63" i="22"/>
  <c r="BC63" i="22"/>
  <c r="BB63" i="22"/>
  <c r="BA63" i="22"/>
  <c r="AZ63" i="22"/>
  <c r="AY63" i="22"/>
  <c r="AX63" i="22"/>
  <c r="AW63" i="22"/>
  <c r="AV63" i="22"/>
  <c r="AU63" i="22"/>
  <c r="AT63" i="22"/>
  <c r="AS63" i="22"/>
  <c r="AR63" i="22"/>
  <c r="AQ63" i="22"/>
  <c r="AP63" i="22"/>
  <c r="AO63" i="22"/>
  <c r="AN63" i="22"/>
  <c r="AM63" i="22"/>
  <c r="AL63" i="22"/>
  <c r="AK63" i="22"/>
  <c r="AJ63" i="22"/>
  <c r="AI63" i="22"/>
  <c r="AH63" i="22"/>
  <c r="AG63" i="22"/>
  <c r="AF63" i="22"/>
  <c r="AE63" i="22"/>
  <c r="AD63" i="22"/>
  <c r="AC63" i="22"/>
  <c r="AB63" i="22"/>
  <c r="AA63" i="22"/>
  <c r="Z63" i="22"/>
  <c r="Y63" i="22"/>
  <c r="X63" i="22"/>
  <c r="W63" i="22"/>
  <c r="V63" i="22"/>
  <c r="U63" i="22"/>
  <c r="T63" i="22"/>
  <c r="S63" i="22"/>
  <c r="R63" i="22"/>
  <c r="Q63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B63" i="22"/>
  <c r="A63" i="22"/>
  <c r="CR62" i="22"/>
  <c r="CQ62" i="22"/>
  <c r="CP62" i="22"/>
  <c r="CO62" i="22"/>
  <c r="CN62" i="22"/>
  <c r="CM62" i="22"/>
  <c r="CF62" i="22"/>
  <c r="DI62" i="22" s="1"/>
  <c r="BZ62" i="22"/>
  <c r="CK62" i="22" s="1"/>
  <c r="BT62" i="22"/>
  <c r="BN62" i="22"/>
  <c r="BM62" i="22"/>
  <c r="BL62" i="22"/>
  <c r="BK62" i="22"/>
  <c r="BJ62" i="22"/>
  <c r="BI62" i="22"/>
  <c r="BH62" i="22"/>
  <c r="BG62" i="22"/>
  <c r="BF62" i="22"/>
  <c r="BE62" i="22"/>
  <c r="BD62" i="22"/>
  <c r="BC62" i="22"/>
  <c r="BB62" i="22"/>
  <c r="BA62" i="22"/>
  <c r="DU62" i="22" s="1"/>
  <c r="EH62" i="22" s="1"/>
  <c r="AZ62" i="22"/>
  <c r="AY62" i="22"/>
  <c r="AX62" i="22"/>
  <c r="AW62" i="22"/>
  <c r="AV62" i="22"/>
  <c r="AU62" i="22"/>
  <c r="AT62" i="22"/>
  <c r="AS62" i="22"/>
  <c r="AR62" i="22"/>
  <c r="AQ62" i="22"/>
  <c r="AP62" i="22"/>
  <c r="AO62" i="22"/>
  <c r="AN62" i="22"/>
  <c r="AM62" i="22"/>
  <c r="AL62" i="22"/>
  <c r="AK62" i="22"/>
  <c r="AJ62" i="22"/>
  <c r="AI62" i="22"/>
  <c r="AH62" i="22"/>
  <c r="AG62" i="22"/>
  <c r="AF62" i="22"/>
  <c r="AE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B62" i="22"/>
  <c r="A62" i="22"/>
  <c r="EF61" i="22"/>
  <c r="EE61" i="22"/>
  <c r="ED61" i="22"/>
  <c r="EC61" i="22"/>
  <c r="DX61" i="22"/>
  <c r="DT61" i="22"/>
  <c r="EB61" i="22" s="1"/>
  <c r="CZ61" i="22"/>
  <c r="CU61" i="22"/>
  <c r="CT61" i="22"/>
  <c r="CS61" i="22"/>
  <c r="CR61" i="22"/>
  <c r="CQ61" i="22"/>
  <c r="CP61" i="22"/>
  <c r="CO61" i="22"/>
  <c r="CN61" i="22"/>
  <c r="CM61" i="22"/>
  <c r="BN61" i="22"/>
  <c r="BM61" i="22"/>
  <c r="BL61" i="22"/>
  <c r="BK61" i="22"/>
  <c r="BJ61" i="22"/>
  <c r="BI61" i="22"/>
  <c r="BH61" i="22"/>
  <c r="BG61" i="22"/>
  <c r="BF61" i="22"/>
  <c r="BE61" i="22"/>
  <c r="BD61" i="22"/>
  <c r="BC61" i="22"/>
  <c r="BB61" i="22"/>
  <c r="BA61" i="22"/>
  <c r="AZ61" i="22"/>
  <c r="AY61" i="22"/>
  <c r="AX61" i="22"/>
  <c r="AW61" i="22"/>
  <c r="AV61" i="22"/>
  <c r="AU61" i="22"/>
  <c r="AT61" i="22"/>
  <c r="AS61" i="22"/>
  <c r="AR61" i="22"/>
  <c r="AQ61" i="22"/>
  <c r="AP61" i="22"/>
  <c r="AO61" i="22"/>
  <c r="AN61" i="22"/>
  <c r="AM61" i="22"/>
  <c r="AL61" i="22"/>
  <c r="AK61" i="22"/>
  <c r="AJ61" i="22"/>
  <c r="AI61" i="22"/>
  <c r="AH61" i="22"/>
  <c r="AG61" i="22"/>
  <c r="AF61" i="22"/>
  <c r="CY61" i="22" s="1"/>
  <c r="AE61" i="22"/>
  <c r="AD61" i="22"/>
  <c r="AC61" i="22"/>
  <c r="AB61" i="22"/>
  <c r="AA61" i="22"/>
  <c r="Z61" i="22"/>
  <c r="Y61" i="22"/>
  <c r="X61" i="22"/>
  <c r="W61" i="22"/>
  <c r="V61" i="22"/>
  <c r="U61" i="22"/>
  <c r="T61" i="22"/>
  <c r="S61" i="22"/>
  <c r="R61" i="22"/>
  <c r="Q61" i="22"/>
  <c r="P61" i="22"/>
  <c r="O61" i="22"/>
  <c r="N61" i="22"/>
  <c r="M61" i="22"/>
  <c r="L61" i="22"/>
  <c r="K61" i="22"/>
  <c r="J61" i="22"/>
  <c r="I61" i="22"/>
  <c r="H61" i="22"/>
  <c r="G61" i="22"/>
  <c r="F61" i="22"/>
  <c r="E61" i="22"/>
  <c r="D61" i="22"/>
  <c r="DP61" i="22" s="1"/>
  <c r="C61" i="22"/>
  <c r="B61" i="22"/>
  <c r="A61" i="22"/>
  <c r="EE60" i="22"/>
  <c r="ED60" i="22"/>
  <c r="DZ60" i="22"/>
  <c r="DX60" i="22"/>
  <c r="DW60" i="22"/>
  <c r="CW60" i="22"/>
  <c r="CV60" i="22"/>
  <c r="CU60" i="22"/>
  <c r="CT60" i="22"/>
  <c r="CX60" i="22" s="1"/>
  <c r="CS60" i="22"/>
  <c r="CR60" i="22"/>
  <c r="CQ60" i="22"/>
  <c r="CP60" i="22"/>
  <c r="CO60" i="22"/>
  <c r="CN60" i="22"/>
  <c r="CM60" i="22"/>
  <c r="CF60" i="22"/>
  <c r="DI60" i="22" s="1"/>
  <c r="BX60" i="22"/>
  <c r="CI60" i="22" s="1"/>
  <c r="BV60" i="22"/>
  <c r="CH60" i="22" s="1"/>
  <c r="BN60" i="22"/>
  <c r="BM60" i="22"/>
  <c r="BL60" i="22"/>
  <c r="BS60" i="22" s="1"/>
  <c r="BK60" i="22"/>
  <c r="BJ60" i="22"/>
  <c r="BI60" i="22"/>
  <c r="BH60" i="22"/>
  <c r="BG60" i="22"/>
  <c r="BF60" i="22"/>
  <c r="BE60" i="22"/>
  <c r="BD60" i="22"/>
  <c r="BC60" i="22"/>
  <c r="BB60" i="22"/>
  <c r="BA60" i="22"/>
  <c r="AZ60" i="22"/>
  <c r="AY60" i="22"/>
  <c r="AX60" i="22"/>
  <c r="AW60" i="22"/>
  <c r="AV60" i="22"/>
  <c r="AU60" i="22"/>
  <c r="AT60" i="22"/>
  <c r="AS60" i="22"/>
  <c r="AR60" i="22"/>
  <c r="AQ60" i="22"/>
  <c r="AP60" i="22"/>
  <c r="AO60" i="22"/>
  <c r="AN60" i="22"/>
  <c r="AM60" i="22"/>
  <c r="AL60" i="22"/>
  <c r="AK60" i="22"/>
  <c r="AJ60" i="22"/>
  <c r="AI60" i="22"/>
  <c r="AH60" i="22"/>
  <c r="AG60" i="22"/>
  <c r="AF60" i="22"/>
  <c r="AE60" i="22"/>
  <c r="AD60" i="22"/>
  <c r="AC60" i="22"/>
  <c r="AB60" i="22"/>
  <c r="AA60" i="22"/>
  <c r="Z60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A60" i="22"/>
  <c r="DP59" i="22"/>
  <c r="DC59" i="22"/>
  <c r="CR59" i="22"/>
  <c r="CQ59" i="22"/>
  <c r="CP59" i="22"/>
  <c r="CO59" i="22"/>
  <c r="CN59" i="22"/>
  <c r="CM59" i="22"/>
  <c r="BZ59" i="22"/>
  <c r="CK59" i="22" s="1"/>
  <c r="BX59" i="22"/>
  <c r="CI59" i="22" s="1"/>
  <c r="BV59" i="22"/>
  <c r="CH59" i="22" s="1"/>
  <c r="BU59" i="22"/>
  <c r="BN59" i="22"/>
  <c r="BM59" i="22"/>
  <c r="BL59" i="22"/>
  <c r="BK59" i="22"/>
  <c r="BJ59" i="22"/>
  <c r="BI59" i="22"/>
  <c r="BH59" i="22"/>
  <c r="BG59" i="22"/>
  <c r="BF59" i="22"/>
  <c r="BE59" i="22"/>
  <c r="BD59" i="22"/>
  <c r="BC59" i="22"/>
  <c r="BB59" i="22"/>
  <c r="BA59" i="22"/>
  <c r="BT59" i="22" s="1"/>
  <c r="AZ59" i="22"/>
  <c r="AY59" i="22"/>
  <c r="AX59" i="22"/>
  <c r="AW59" i="22"/>
  <c r="AV59" i="22"/>
  <c r="AU59" i="22"/>
  <c r="AT59" i="22"/>
  <c r="AS59" i="22"/>
  <c r="AR59" i="22"/>
  <c r="AQ59" i="22"/>
  <c r="AP59" i="22"/>
  <c r="AO59" i="22"/>
  <c r="AN59" i="22"/>
  <c r="AM59" i="22"/>
  <c r="AL59" i="22"/>
  <c r="AK59" i="22"/>
  <c r="AJ59" i="22"/>
  <c r="AI59" i="22"/>
  <c r="AH59" i="22"/>
  <c r="AG59" i="22"/>
  <c r="AF59" i="22"/>
  <c r="CY59" i="22" s="1"/>
  <c r="AE59" i="22"/>
  <c r="AD59" i="22"/>
  <c r="AC59" i="22"/>
  <c r="AB59" i="22"/>
  <c r="AA59" i="22"/>
  <c r="Z59" i="22"/>
  <c r="Y59" i="22"/>
  <c r="X59" i="22"/>
  <c r="W59" i="22"/>
  <c r="V59" i="22"/>
  <c r="BS59" i="22" s="1"/>
  <c r="U59" i="22"/>
  <c r="T59" i="22"/>
  <c r="S59" i="22"/>
  <c r="R59" i="22"/>
  <c r="Q59" i="22"/>
  <c r="P59" i="22"/>
  <c r="O59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B59" i="22"/>
  <c r="DM59" i="22" s="1"/>
  <c r="A59" i="22"/>
  <c r="CV58" i="22"/>
  <c r="CS58" i="22"/>
  <c r="CR58" i="22"/>
  <c r="CQ58" i="22"/>
  <c r="CP58" i="22"/>
  <c r="CO58" i="22"/>
  <c r="CN58" i="22"/>
  <c r="CM58" i="22"/>
  <c r="BT58" i="22"/>
  <c r="BZ58" i="22" s="1"/>
  <c r="CK58" i="22" s="1"/>
  <c r="BR58" i="22"/>
  <c r="CE58" i="22" s="1"/>
  <c r="BN58" i="22"/>
  <c r="BM58" i="22"/>
  <c r="BL58" i="22"/>
  <c r="BK58" i="22"/>
  <c r="BJ58" i="22"/>
  <c r="BI58" i="22"/>
  <c r="BH58" i="22"/>
  <c r="BG58" i="22"/>
  <c r="BF58" i="22"/>
  <c r="BE58" i="22"/>
  <c r="BD58" i="22"/>
  <c r="BC58" i="22"/>
  <c r="BB58" i="22"/>
  <c r="BA58" i="22"/>
  <c r="BV58" i="22" s="1"/>
  <c r="AZ58" i="22"/>
  <c r="AY58" i="22"/>
  <c r="AX58" i="22"/>
  <c r="AW58" i="22"/>
  <c r="AV58" i="22"/>
  <c r="AU58" i="22"/>
  <c r="AT58" i="22"/>
  <c r="AS58" i="22"/>
  <c r="AR58" i="22"/>
  <c r="DU58" i="22" s="1"/>
  <c r="EH58" i="22" s="1"/>
  <c r="AQ58" i="22"/>
  <c r="AP58" i="22"/>
  <c r="AO58" i="22"/>
  <c r="AN58" i="22"/>
  <c r="AM58" i="22"/>
  <c r="AL58" i="22"/>
  <c r="AK58" i="22"/>
  <c r="AJ58" i="22"/>
  <c r="AI58" i="22"/>
  <c r="AH58" i="22"/>
  <c r="AG58" i="22"/>
  <c r="AF58" i="22"/>
  <c r="BP58" i="22" s="1"/>
  <c r="CC58" i="22" s="1"/>
  <c r="AE58" i="22"/>
  <c r="AD58" i="22"/>
  <c r="AC58" i="22"/>
  <c r="AB58" i="22"/>
  <c r="AA58" i="22"/>
  <c r="Z58" i="22"/>
  <c r="Y58" i="22"/>
  <c r="X58" i="22"/>
  <c r="W58" i="22"/>
  <c r="V58" i="22"/>
  <c r="U58" i="22"/>
  <c r="T58" i="22"/>
  <c r="S58" i="22"/>
  <c r="R58" i="22"/>
  <c r="Q58" i="22"/>
  <c r="P58" i="22"/>
  <c r="O58" i="22"/>
  <c r="N58" i="22"/>
  <c r="M58" i="22"/>
  <c r="L58" i="22"/>
  <c r="K58" i="22"/>
  <c r="J58" i="22"/>
  <c r="I58" i="22"/>
  <c r="H58" i="22"/>
  <c r="G58" i="22"/>
  <c r="F58" i="22"/>
  <c r="E58" i="22"/>
  <c r="D58" i="22"/>
  <c r="DP58" i="22" s="1"/>
  <c r="C58" i="22"/>
  <c r="B58" i="22"/>
  <c r="A58" i="22"/>
  <c r="EG57" i="22"/>
  <c r="EF57" i="22"/>
  <c r="ED57" i="22"/>
  <c r="DW57" i="22"/>
  <c r="DC57" i="22"/>
  <c r="DB57" i="22"/>
  <c r="DA57" i="22"/>
  <c r="CZ57" i="22"/>
  <c r="CR57" i="22"/>
  <c r="CQ57" i="22"/>
  <c r="CP57" i="22"/>
  <c r="CO57" i="22"/>
  <c r="CN57" i="22"/>
  <c r="CS57" i="22" s="1"/>
  <c r="CM57" i="22"/>
  <c r="CF57" i="22"/>
  <c r="DI57" i="22" s="1"/>
  <c r="BN57" i="22"/>
  <c r="BM57" i="22"/>
  <c r="BL57" i="22"/>
  <c r="BK57" i="22"/>
  <c r="BJ57" i="22"/>
  <c r="BI57" i="22"/>
  <c r="BH57" i="22"/>
  <c r="BG57" i="22"/>
  <c r="BF57" i="22"/>
  <c r="BE57" i="22"/>
  <c r="BD57" i="22"/>
  <c r="BC57" i="22"/>
  <c r="BB57" i="22"/>
  <c r="BA57" i="22"/>
  <c r="AZ57" i="22"/>
  <c r="AY57" i="22"/>
  <c r="AX57" i="22"/>
  <c r="AW57" i="22"/>
  <c r="AV57" i="22"/>
  <c r="AU57" i="22"/>
  <c r="AT57" i="22"/>
  <c r="AS57" i="22"/>
  <c r="AR57" i="22"/>
  <c r="AQ57" i="22"/>
  <c r="AP57" i="22"/>
  <c r="AO57" i="22"/>
  <c r="AN57" i="22"/>
  <c r="AM57" i="22"/>
  <c r="DT57" i="22" s="1"/>
  <c r="EB57" i="22" s="1"/>
  <c r="AL57" i="22"/>
  <c r="AK57" i="22"/>
  <c r="AJ57" i="22"/>
  <c r="AI57" i="22"/>
  <c r="AH57" i="22"/>
  <c r="AG57" i="22"/>
  <c r="AF57" i="22"/>
  <c r="AE57" i="22"/>
  <c r="AD57" i="22"/>
  <c r="AC57" i="22"/>
  <c r="AB57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J57" i="22"/>
  <c r="I57" i="22"/>
  <c r="H57" i="22"/>
  <c r="G57" i="22"/>
  <c r="F57" i="22"/>
  <c r="E57" i="22"/>
  <c r="D57" i="22"/>
  <c r="C57" i="22"/>
  <c r="B57" i="22"/>
  <c r="A57" i="22"/>
  <c r="EG56" i="22"/>
  <c r="EE56" i="22"/>
  <c r="EA56" i="22"/>
  <c r="DW56" i="22"/>
  <c r="CU56" i="22"/>
  <c r="CT56" i="22"/>
  <c r="CS56" i="22"/>
  <c r="CR56" i="22"/>
  <c r="DC56" i="22" s="1"/>
  <c r="CQ56" i="22"/>
  <c r="CP56" i="22"/>
  <c r="CO56" i="22"/>
  <c r="CN56" i="22"/>
  <c r="CM56" i="22"/>
  <c r="BW56" i="22"/>
  <c r="BY56" i="22" s="1"/>
  <c r="CJ56" i="22" s="1"/>
  <c r="BU56" i="22"/>
  <c r="BQ56" i="22"/>
  <c r="CD56" i="22" s="1"/>
  <c r="BO56" i="22"/>
  <c r="CB56" i="22" s="1"/>
  <c r="BN56" i="22"/>
  <c r="BM56" i="22"/>
  <c r="BL56" i="22"/>
  <c r="BK56" i="22"/>
  <c r="DM56" i="22" s="1"/>
  <c r="BJ56" i="22"/>
  <c r="BI56" i="22"/>
  <c r="BH56" i="22"/>
  <c r="BG56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A56" i="22"/>
  <c r="EA55" i="22"/>
  <c r="DZ55" i="22"/>
  <c r="DY55" i="22"/>
  <c r="DX55" i="22"/>
  <c r="DW55" i="22"/>
  <c r="CW55" i="22"/>
  <c r="CU55" i="22"/>
  <c r="CT55" i="22"/>
  <c r="CR55" i="22"/>
  <c r="CQ55" i="22"/>
  <c r="CP55" i="22"/>
  <c r="CO55" i="22"/>
  <c r="CN55" i="22"/>
  <c r="CM55" i="22"/>
  <c r="CF55" i="22"/>
  <c r="DI55" i="22" s="1"/>
  <c r="BS55" i="22"/>
  <c r="BO55" i="22"/>
  <c r="BN55" i="22"/>
  <c r="BM55" i="22"/>
  <c r="BL55" i="22"/>
  <c r="BK55" i="22"/>
  <c r="BJ55" i="22"/>
  <c r="BI55" i="22"/>
  <c r="BH55" i="22"/>
  <c r="BG55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A55" i="22"/>
  <c r="CY54" i="22"/>
  <c r="CU54" i="22"/>
  <c r="CT54" i="22"/>
  <c r="CR54" i="22"/>
  <c r="CQ54" i="22"/>
  <c r="CP54" i="22"/>
  <c r="CO54" i="22"/>
  <c r="CN54" i="22"/>
  <c r="CM54" i="22"/>
  <c r="BT54" i="22"/>
  <c r="BZ54" i="22" s="1"/>
  <c r="CK54" i="22" s="1"/>
  <c r="BP54" i="22"/>
  <c r="BN54" i="22"/>
  <c r="BM54" i="22"/>
  <c r="BL54" i="22"/>
  <c r="BK54" i="22"/>
  <c r="BJ54" i="22"/>
  <c r="BI54" i="22"/>
  <c r="BH54" i="22"/>
  <c r="BG54" i="22"/>
  <c r="BF54" i="22"/>
  <c r="BE54" i="22"/>
  <c r="BD54" i="22"/>
  <c r="BC54" i="22"/>
  <c r="BB54" i="22"/>
  <c r="BA54" i="22"/>
  <c r="BV54" i="22" s="1"/>
  <c r="CH54" i="22" s="1"/>
  <c r="AZ54" i="22"/>
  <c r="AY54" i="22"/>
  <c r="AX54" i="22"/>
  <c r="AW54" i="22"/>
  <c r="AV54" i="22"/>
  <c r="AU54" i="22"/>
  <c r="AT54" i="22"/>
  <c r="AS54" i="22"/>
  <c r="AR54" i="22"/>
  <c r="AQ54" i="22"/>
  <c r="DU54" i="22" s="1"/>
  <c r="EH54" i="22" s="1"/>
  <c r="AP54" i="22"/>
  <c r="AO54" i="22"/>
  <c r="DT54" i="22" s="1"/>
  <c r="EB54" i="22" s="1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A54" i="22"/>
  <c r="CR53" i="22"/>
  <c r="CQ53" i="22"/>
  <c r="CP53" i="22"/>
  <c r="CO53" i="22"/>
  <c r="CN53" i="22"/>
  <c r="CM53" i="22"/>
  <c r="BT53" i="22"/>
  <c r="BZ53" i="22" s="1"/>
  <c r="CK53" i="22" s="1"/>
  <c r="BP53" i="22"/>
  <c r="BN53" i="22"/>
  <c r="BM53" i="22"/>
  <c r="BL53" i="22"/>
  <c r="BK53" i="22"/>
  <c r="BJ53" i="22"/>
  <c r="BI53" i="22"/>
  <c r="BH53" i="22"/>
  <c r="BG53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A53" i="22"/>
  <c r="DI52" i="22"/>
  <c r="CR52" i="22"/>
  <c r="CQ52" i="22"/>
  <c r="CP52" i="22"/>
  <c r="CO52" i="22"/>
  <c r="CN52" i="22"/>
  <c r="CY52" i="22" s="1"/>
  <c r="CM52" i="22"/>
  <c r="CF52" i="22"/>
  <c r="BW52" i="22"/>
  <c r="BS52" i="22"/>
  <c r="BR52" i="22"/>
  <c r="CE52" i="22" s="1"/>
  <c r="BN52" i="22"/>
  <c r="BM52" i="22"/>
  <c r="BL52" i="22"/>
  <c r="BK52" i="22"/>
  <c r="BJ52" i="22"/>
  <c r="BI52" i="22"/>
  <c r="BH52" i="22"/>
  <c r="BG52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BP52" i="22" s="1"/>
  <c r="CC52" i="22" s="1"/>
  <c r="AE52" i="22"/>
  <c r="AD52" i="22"/>
  <c r="AC52" i="22"/>
  <c r="AB52" i="22"/>
  <c r="AA52" i="22"/>
  <c r="Z52" i="22"/>
  <c r="Y52" i="22"/>
  <c r="X52" i="22"/>
  <c r="W52" i="22"/>
  <c r="V52" i="22"/>
  <c r="BU52" i="22" s="1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DM52" i="22" s="1"/>
  <c r="A52" i="22"/>
  <c r="EA51" i="22"/>
  <c r="DZ51" i="22"/>
  <c r="DX51" i="22"/>
  <c r="CY51" i="22"/>
  <c r="CT51" i="22"/>
  <c r="CS51" i="22"/>
  <c r="CR51" i="22"/>
  <c r="CQ51" i="22"/>
  <c r="CV51" i="22" s="1"/>
  <c r="CP51" i="22"/>
  <c r="CO51" i="22"/>
  <c r="CN51" i="22"/>
  <c r="CM51" i="22"/>
  <c r="CF51" i="22"/>
  <c r="DI51" i="22" s="1"/>
  <c r="CB51" i="22"/>
  <c r="BU51" i="22"/>
  <c r="BS51" i="22"/>
  <c r="BQ51" i="22"/>
  <c r="CD51" i="22" s="1"/>
  <c r="BO51" i="22"/>
  <c r="BN51" i="22"/>
  <c r="BM51" i="22"/>
  <c r="BL51" i="22"/>
  <c r="BK51" i="22"/>
  <c r="BJ51" i="22"/>
  <c r="BI51" i="22"/>
  <c r="BH51" i="22"/>
  <c r="BG51" i="22"/>
  <c r="BF51" i="22"/>
  <c r="BE51" i="22"/>
  <c r="BD51" i="22"/>
  <c r="BC51" i="22"/>
  <c r="BB51" i="22"/>
  <c r="BA51" i="22"/>
  <c r="BV51" i="22" s="1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BP51" i="22" s="1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DM51" i="22" s="1"/>
  <c r="C51" i="22"/>
  <c r="B51" i="22"/>
  <c r="A51" i="22"/>
  <c r="EF50" i="22"/>
  <c r="EE50" i="22"/>
  <c r="ED50" i="22"/>
  <c r="EC50" i="22"/>
  <c r="DZ50" i="22"/>
  <c r="DY50" i="22"/>
  <c r="DX50" i="22"/>
  <c r="DW50" i="22"/>
  <c r="DI50" i="22"/>
  <c r="DC50" i="22"/>
  <c r="DB50" i="22"/>
  <c r="DA50" i="22"/>
  <c r="CT50" i="22"/>
  <c r="CR50" i="22"/>
  <c r="CQ50" i="22"/>
  <c r="CP50" i="22"/>
  <c r="CO50" i="22"/>
  <c r="CZ50" i="22" s="1"/>
  <c r="CN50" i="22"/>
  <c r="CM50" i="22"/>
  <c r="BO50" i="22"/>
  <c r="BN50" i="22"/>
  <c r="BM50" i="22"/>
  <c r="BL50" i="22"/>
  <c r="BK50" i="22"/>
  <c r="CF50" i="22" s="1"/>
  <c r="BJ50" i="22"/>
  <c r="BI50" i="22"/>
  <c r="BH50" i="22"/>
  <c r="BG50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A50" i="22"/>
  <c r="EA50" i="22" s="1"/>
  <c r="DY49" i="22"/>
  <c r="DM49" i="22"/>
  <c r="CW49" i="22"/>
  <c r="CV49" i="22"/>
  <c r="CT49" i="22"/>
  <c r="CS49" i="22"/>
  <c r="CR49" i="22"/>
  <c r="CQ49" i="22"/>
  <c r="CP49" i="22"/>
  <c r="CO49" i="22"/>
  <c r="CN49" i="22"/>
  <c r="CM49" i="22"/>
  <c r="BV49" i="22"/>
  <c r="BT49" i="22"/>
  <c r="BZ49" i="22" s="1"/>
  <c r="CK49" i="22" s="1"/>
  <c r="BP49" i="22"/>
  <c r="BN49" i="22"/>
  <c r="BM49" i="22"/>
  <c r="BL49" i="22"/>
  <c r="BU49" i="22" s="1"/>
  <c r="BK49" i="22"/>
  <c r="DZ49" i="22" s="1"/>
  <c r="BJ49" i="22"/>
  <c r="BI49" i="22"/>
  <c r="BH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DT49" i="22" s="1"/>
  <c r="EB49" i="22" s="1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DP49" i="22" s="1"/>
  <c r="C49" i="22"/>
  <c r="B49" i="22"/>
  <c r="A49" i="22"/>
  <c r="EA49" i="22" s="1"/>
  <c r="CU48" i="22"/>
  <c r="CT48" i="22"/>
  <c r="CR48" i="22"/>
  <c r="CQ48" i="22"/>
  <c r="CP48" i="22"/>
  <c r="CO48" i="22"/>
  <c r="CN48" i="22"/>
  <c r="CM48" i="22"/>
  <c r="CF48" i="22"/>
  <c r="DI48" i="22" s="1"/>
  <c r="CC48" i="22"/>
  <c r="BN48" i="22"/>
  <c r="BM48" i="22"/>
  <c r="BL48" i="22"/>
  <c r="BK48" i="22"/>
  <c r="BJ48" i="22"/>
  <c r="BI48" i="22"/>
  <c r="BH48" i="22"/>
  <c r="BG48" i="22"/>
  <c r="BF48" i="22"/>
  <c r="BE48" i="22"/>
  <c r="BD48" i="22"/>
  <c r="BC48" i="22"/>
  <c r="BB48" i="22"/>
  <c r="BA48" i="22"/>
  <c r="AZ48" i="22"/>
  <c r="AY48" i="22"/>
  <c r="AX48" i="22"/>
  <c r="AW48" i="22"/>
  <c r="AV48" i="22"/>
  <c r="AU48" i="22"/>
  <c r="AT48" i="22"/>
  <c r="AS48" i="22"/>
  <c r="AR48" i="22"/>
  <c r="AQ48" i="22"/>
  <c r="AP48" i="22"/>
  <c r="DU48" i="22" s="1"/>
  <c r="EH48" i="22" s="1"/>
  <c r="AO48" i="22"/>
  <c r="AN48" i="22"/>
  <c r="AM48" i="22"/>
  <c r="AL48" i="22"/>
  <c r="AK48" i="22"/>
  <c r="AJ48" i="22"/>
  <c r="AI48" i="22"/>
  <c r="AH48" i="22"/>
  <c r="AG48" i="22"/>
  <c r="AF48" i="22"/>
  <c r="BP48" i="22" s="1"/>
  <c r="AE48" i="22"/>
  <c r="AD48" i="22"/>
  <c r="AC48" i="22"/>
  <c r="AB48" i="22"/>
  <c r="AA48" i="22"/>
  <c r="Z48" i="22"/>
  <c r="Y48" i="22"/>
  <c r="X48" i="22"/>
  <c r="W48" i="22"/>
  <c r="V48" i="22"/>
  <c r="BU48" i="22" s="1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B48" i="22"/>
  <c r="A48" i="22"/>
  <c r="DC47" i="22"/>
  <c r="CS47" i="22"/>
  <c r="CR47" i="22"/>
  <c r="CQ47" i="22"/>
  <c r="CP47" i="22"/>
  <c r="CO47" i="22"/>
  <c r="CN47" i="22"/>
  <c r="CM47" i="22"/>
  <c r="CF47" i="22"/>
  <c r="DI47" i="22" s="1"/>
  <c r="BN47" i="22"/>
  <c r="BM47" i="22"/>
  <c r="BL47" i="22"/>
  <c r="BU47" i="22" s="1"/>
  <c r="BK47" i="22"/>
  <c r="BJ47" i="22"/>
  <c r="BI47" i="22"/>
  <c r="BH47" i="22"/>
  <c r="BG47" i="22"/>
  <c r="BF47" i="22"/>
  <c r="BE47" i="22"/>
  <c r="BD47" i="22"/>
  <c r="BC47" i="22"/>
  <c r="BB47" i="22"/>
  <c r="BA47" i="22"/>
  <c r="AZ47" i="22"/>
  <c r="AY47" i="22"/>
  <c r="AX47" i="22"/>
  <c r="AW47" i="22"/>
  <c r="AV47" i="22"/>
  <c r="AU47" i="22"/>
  <c r="AT47" i="22"/>
  <c r="AS47" i="22"/>
  <c r="AR47" i="22"/>
  <c r="AQ47" i="22"/>
  <c r="AP47" i="22"/>
  <c r="AO47" i="22"/>
  <c r="AN47" i="22"/>
  <c r="AM47" i="22"/>
  <c r="AL47" i="22"/>
  <c r="AK47" i="22"/>
  <c r="AJ47" i="22"/>
  <c r="AI47" i="22"/>
  <c r="AH47" i="22"/>
  <c r="AG47" i="22"/>
  <c r="AF47" i="22"/>
  <c r="AE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C47" i="22"/>
  <c r="B47" i="22"/>
  <c r="A47" i="22"/>
  <c r="BO47" i="22" s="1"/>
  <c r="EF46" i="22"/>
  <c r="DW46" i="22"/>
  <c r="DU46" i="22"/>
  <c r="EH46" i="22" s="1"/>
  <c r="DP46" i="22"/>
  <c r="DO46" i="22"/>
  <c r="DB46" i="22"/>
  <c r="CY46" i="22"/>
  <c r="CW46" i="22"/>
  <c r="CR46" i="22"/>
  <c r="DC46" i="22" s="1"/>
  <c r="CQ46" i="22"/>
  <c r="CP46" i="22"/>
  <c r="CU46" i="22" s="1"/>
  <c r="CO46" i="22"/>
  <c r="CN46" i="22"/>
  <c r="CM46" i="22"/>
  <c r="CH46" i="22"/>
  <c r="CG46" i="22"/>
  <c r="CF46" i="22"/>
  <c r="DI46" i="22" s="1"/>
  <c r="CA46" i="22"/>
  <c r="CL46" i="22" s="1"/>
  <c r="BZ46" i="22"/>
  <c r="CK46" i="22" s="1"/>
  <c r="BV46" i="22"/>
  <c r="BU46" i="22"/>
  <c r="BN46" i="22"/>
  <c r="BT46" i="22" s="1"/>
  <c r="BM46" i="22"/>
  <c r="EE46" i="22" s="1"/>
  <c r="BL46" i="22"/>
  <c r="BK46" i="22"/>
  <c r="BJ46" i="22"/>
  <c r="BI46" i="22"/>
  <c r="BH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T46" i="22"/>
  <c r="AS46" i="22"/>
  <c r="AR46" i="22"/>
  <c r="AQ46" i="22"/>
  <c r="AP46" i="22"/>
  <c r="AO46" i="22"/>
  <c r="AN46" i="22"/>
  <c r="AM46" i="22"/>
  <c r="DT46" i="22" s="1"/>
  <c r="EB46" i="22" s="1"/>
  <c r="AL46" i="22"/>
  <c r="AK46" i="22"/>
  <c r="AJ46" i="22"/>
  <c r="AI46" i="22"/>
  <c r="AH46" i="22"/>
  <c r="AG46" i="22"/>
  <c r="AF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B46" i="22"/>
  <c r="A46" i="22"/>
  <c r="EH45" i="22"/>
  <c r="ED45" i="22"/>
  <c r="EC45" i="22"/>
  <c r="EA45" i="22"/>
  <c r="DZ45" i="22"/>
  <c r="CR45" i="22"/>
  <c r="CQ45" i="22"/>
  <c r="CP45" i="22"/>
  <c r="CO45" i="22"/>
  <c r="CN45" i="22"/>
  <c r="CS45" i="22" s="1"/>
  <c r="CM45" i="22"/>
  <c r="CL45" i="22"/>
  <c r="CH45" i="22"/>
  <c r="CA45" i="22"/>
  <c r="BW45" i="22"/>
  <c r="BT45" i="22"/>
  <c r="BZ45" i="22" s="1"/>
  <c r="CK45" i="22" s="1"/>
  <c r="BR45" i="22"/>
  <c r="CE45" i="22" s="1"/>
  <c r="BP45" i="22"/>
  <c r="CC45" i="22" s="1"/>
  <c r="BN45" i="22"/>
  <c r="BM45" i="22"/>
  <c r="CZ45" i="22" s="1"/>
  <c r="BL45" i="22"/>
  <c r="BK45" i="22"/>
  <c r="BJ45" i="22"/>
  <c r="BI45" i="22"/>
  <c r="BH45" i="22"/>
  <c r="BG45" i="22"/>
  <c r="BF45" i="22"/>
  <c r="BE45" i="22"/>
  <c r="BD45" i="22"/>
  <c r="BC45" i="22"/>
  <c r="BB45" i="22"/>
  <c r="BA45" i="22"/>
  <c r="BV45" i="22" s="1"/>
  <c r="AZ45" i="22"/>
  <c r="AY45" i="22"/>
  <c r="AX45" i="22"/>
  <c r="AW45" i="22"/>
  <c r="AV45" i="22"/>
  <c r="AU45" i="22"/>
  <c r="AT45" i="22"/>
  <c r="AS45" i="22"/>
  <c r="AR45" i="22"/>
  <c r="AQ45" i="22"/>
  <c r="AP45" i="22"/>
  <c r="DU45" i="22" s="1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BU45" i="22" s="1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A45" i="22"/>
  <c r="BO45" i="22" s="1"/>
  <c r="DU44" i="22"/>
  <c r="EH44" i="22" s="1"/>
  <c r="DP44" i="22"/>
  <c r="DM44" i="22"/>
  <c r="CR44" i="22"/>
  <c r="CQ44" i="22"/>
  <c r="CP44" i="22"/>
  <c r="CO44" i="22"/>
  <c r="CN44" i="22"/>
  <c r="CM44" i="22"/>
  <c r="CB44" i="22"/>
  <c r="BZ44" i="22"/>
  <c r="CK44" i="22" s="1"/>
  <c r="BV44" i="22"/>
  <c r="BN44" i="22"/>
  <c r="BM44" i="22"/>
  <c r="BL44" i="22"/>
  <c r="BK44" i="22"/>
  <c r="DW44" i="22" s="1"/>
  <c r="BJ44" i="22"/>
  <c r="BI44" i="22"/>
  <c r="BH44" i="22"/>
  <c r="BG44" i="22"/>
  <c r="BF44" i="22"/>
  <c r="BE44" i="22"/>
  <c r="BD44" i="22"/>
  <c r="BC44" i="22"/>
  <c r="BB44" i="22"/>
  <c r="BA44" i="22"/>
  <c r="BT44" i="22" s="1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A44" i="22"/>
  <c r="BO44" i="22" s="1"/>
  <c r="EF43" i="22"/>
  <c r="EE43" i="22"/>
  <c r="DT43" i="22"/>
  <c r="EB43" i="22" s="1"/>
  <c r="DP43" i="22"/>
  <c r="DM43" i="22"/>
  <c r="CV43" i="22"/>
  <c r="CT43" i="22"/>
  <c r="CS43" i="22"/>
  <c r="CR43" i="22"/>
  <c r="CQ43" i="22"/>
  <c r="CP43" i="22"/>
  <c r="CO43" i="22"/>
  <c r="CN43" i="22"/>
  <c r="CM43" i="22"/>
  <c r="CB43" i="22"/>
  <c r="BX43" i="22"/>
  <c r="CI43" i="22" s="1"/>
  <c r="BU43" i="22"/>
  <c r="BT43" i="22"/>
  <c r="BZ43" i="22" s="1"/>
  <c r="CK43" i="22" s="1"/>
  <c r="BS43" i="22"/>
  <c r="BO43" i="22"/>
  <c r="BQ43" i="22" s="1"/>
  <c r="CD43" i="22" s="1"/>
  <c r="BN43" i="22"/>
  <c r="BM43" i="22"/>
  <c r="BL43" i="22"/>
  <c r="BK43" i="22"/>
  <c r="DY43" i="22" s="1"/>
  <c r="BJ43" i="22"/>
  <c r="BI43" i="22"/>
  <c r="BH43" i="22"/>
  <c r="BG43" i="22"/>
  <c r="BF43" i="22"/>
  <c r="BE43" i="22"/>
  <c r="BD43" i="22"/>
  <c r="BC43" i="22"/>
  <c r="BB43" i="22"/>
  <c r="BA43" i="22"/>
  <c r="BV43" i="22" s="1"/>
  <c r="CH43" i="22" s="1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A43" i="22"/>
  <c r="DW43" i="22" s="1"/>
  <c r="EG42" i="22"/>
  <c r="EF42" i="22"/>
  <c r="EE42" i="22"/>
  <c r="ED42" i="22"/>
  <c r="EA42" i="22"/>
  <c r="DZ42" i="22"/>
  <c r="DY42" i="22"/>
  <c r="DP42" i="22"/>
  <c r="DM42" i="22"/>
  <c r="CR42" i="22"/>
  <c r="CQ42" i="22"/>
  <c r="CP42" i="22"/>
  <c r="DA42" i="22" s="1"/>
  <c r="CO42" i="22"/>
  <c r="CN42" i="22"/>
  <c r="CM42" i="22"/>
  <c r="BW42" i="22"/>
  <c r="BU42" i="22"/>
  <c r="BT42" i="22"/>
  <c r="BZ42" i="22" s="1"/>
  <c r="CK42" i="22" s="1"/>
  <c r="BO42" i="22"/>
  <c r="CB42" i="22" s="1"/>
  <c r="BN42" i="22"/>
  <c r="BM42" i="22"/>
  <c r="BL42" i="22"/>
  <c r="BK42" i="22"/>
  <c r="DW42" i="22" s="1"/>
  <c r="BJ42" i="22"/>
  <c r="BI42" i="22"/>
  <c r="BH42" i="22"/>
  <c r="BG42" i="22"/>
  <c r="BF42" i="22"/>
  <c r="BE42" i="22"/>
  <c r="BD42" i="22"/>
  <c r="BC42" i="22"/>
  <c r="BB42" i="22"/>
  <c r="BA42" i="22"/>
  <c r="BV42" i="22" s="1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A42" i="22"/>
  <c r="DX42" i="22" s="1"/>
  <c r="ED41" i="22"/>
  <c r="EC41" i="22"/>
  <c r="EA41" i="22"/>
  <c r="DZ41" i="22"/>
  <c r="DY41" i="22"/>
  <c r="DX41" i="22"/>
  <c r="CT41" i="22"/>
  <c r="CR41" i="22"/>
  <c r="CW41" i="22" s="1"/>
  <c r="CQ41" i="22"/>
  <c r="CP41" i="22"/>
  <c r="CO41" i="22"/>
  <c r="CN41" i="22"/>
  <c r="CM41" i="22"/>
  <c r="CI41" i="22"/>
  <c r="BQ41" i="22"/>
  <c r="CD41" i="22" s="1"/>
  <c r="BO41" i="22"/>
  <c r="CB41" i="22" s="1"/>
  <c r="BN41" i="22"/>
  <c r="BM41" i="22"/>
  <c r="BL41" i="22"/>
  <c r="BS41" i="22" s="1"/>
  <c r="BX41" i="22" s="1"/>
  <c r="BK41" i="22"/>
  <c r="DW41" i="22" s="1"/>
  <c r="BJ41" i="22"/>
  <c r="BI41" i="22"/>
  <c r="BH41" i="22"/>
  <c r="BG41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BP41" i="22" s="1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A41" i="22"/>
  <c r="EF40" i="22"/>
  <c r="EA40" i="22"/>
  <c r="DZ40" i="22"/>
  <c r="DY40" i="22"/>
  <c r="DX40" i="22"/>
  <c r="DW40" i="22"/>
  <c r="DI40" i="22"/>
  <c r="CS40" i="22"/>
  <c r="CR40" i="22"/>
  <c r="CW40" i="22" s="1"/>
  <c r="CQ40" i="22"/>
  <c r="CV40" i="22" s="1"/>
  <c r="CP40" i="22"/>
  <c r="CO40" i="22"/>
  <c r="CN40" i="22"/>
  <c r="CM40" i="22"/>
  <c r="CL40" i="22"/>
  <c r="CI40" i="22"/>
  <c r="CH40" i="22"/>
  <c r="CG40" i="22"/>
  <c r="CF40" i="22"/>
  <c r="CB40" i="22"/>
  <c r="BU40" i="22"/>
  <c r="BS40" i="22"/>
  <c r="BX40" i="22" s="1"/>
  <c r="BQ40" i="22"/>
  <c r="CD40" i="22" s="1"/>
  <c r="BP40" i="22"/>
  <c r="BO40" i="22"/>
  <c r="BN40" i="22"/>
  <c r="BM40" i="22"/>
  <c r="BL40" i="22"/>
  <c r="BK40" i="22"/>
  <c r="BJ40" i="22"/>
  <c r="BI40" i="22"/>
  <c r="BH40" i="22"/>
  <c r="BG40" i="22"/>
  <c r="BF40" i="22"/>
  <c r="BE40" i="22"/>
  <c r="BD40" i="22"/>
  <c r="BC40" i="22"/>
  <c r="BB40" i="22"/>
  <c r="BA40" i="22"/>
  <c r="BV40" i="22" s="1"/>
  <c r="CA40" i="22" s="1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DP40" i="22" s="1"/>
  <c r="A40" i="22"/>
  <c r="EH39" i="22"/>
  <c r="EA39" i="22"/>
  <c r="DZ39" i="22"/>
  <c r="DY39" i="22"/>
  <c r="DX39" i="22"/>
  <c r="DI39" i="22"/>
  <c r="CV39" i="22"/>
  <c r="CS39" i="22"/>
  <c r="CR39" i="22"/>
  <c r="CQ39" i="22"/>
  <c r="CP39" i="22"/>
  <c r="CO39" i="22"/>
  <c r="CN39" i="22"/>
  <c r="CM39" i="22"/>
  <c r="CF39" i="22"/>
  <c r="BV39" i="22"/>
  <c r="BT39" i="22"/>
  <c r="BZ39" i="22" s="1"/>
  <c r="CK39" i="22" s="1"/>
  <c r="BR39" i="22"/>
  <c r="CE39" i="22" s="1"/>
  <c r="BP39" i="22"/>
  <c r="CC39" i="22" s="1"/>
  <c r="BO39" i="22"/>
  <c r="CB39" i="22" s="1"/>
  <c r="DJ39" i="22" s="1"/>
  <c r="BN39" i="22"/>
  <c r="BM39" i="22"/>
  <c r="BL39" i="22"/>
  <c r="BS39" i="22" s="1"/>
  <c r="BK39" i="22"/>
  <c r="DW39" i="22" s="1"/>
  <c r="BJ39" i="22"/>
  <c r="BI39" i="22"/>
  <c r="BH39" i="22"/>
  <c r="BG39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DU39" i="22" s="1"/>
  <c r="AO39" i="22"/>
  <c r="AN39" i="22"/>
  <c r="AM39" i="22"/>
  <c r="DT39" i="22" s="1"/>
  <c r="EB39" i="22" s="1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BU39" i="22" s="1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A39" i="22"/>
  <c r="EA38" i="22"/>
  <c r="DX38" i="22"/>
  <c r="DI38" i="22"/>
  <c r="CZ38" i="22"/>
  <c r="CS38" i="22"/>
  <c r="CR38" i="22"/>
  <c r="CQ38" i="22"/>
  <c r="CV38" i="22" s="1"/>
  <c r="CP38" i="22"/>
  <c r="CO38" i="22"/>
  <c r="CT38" i="22" s="1"/>
  <c r="CN38" i="22"/>
  <c r="CM38" i="22"/>
  <c r="CF38" i="22"/>
  <c r="BX38" i="22"/>
  <c r="CI38" i="22" s="1"/>
  <c r="BU38" i="22"/>
  <c r="CG38" i="22" s="1"/>
  <c r="BT38" i="22"/>
  <c r="BZ38" i="22" s="1"/>
  <c r="CK38" i="22" s="1"/>
  <c r="BS38" i="22"/>
  <c r="BN38" i="22"/>
  <c r="BM38" i="22"/>
  <c r="BL38" i="22"/>
  <c r="BK38" i="22"/>
  <c r="BJ38" i="22"/>
  <c r="BI38" i="22"/>
  <c r="BH38" i="22"/>
  <c r="BG38" i="22"/>
  <c r="BF38" i="22"/>
  <c r="BE38" i="22"/>
  <c r="BD38" i="22"/>
  <c r="BC38" i="22"/>
  <c r="BB38" i="22"/>
  <c r="BA38" i="22"/>
  <c r="BV38" i="22" s="1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DP38" i="22" s="1"/>
  <c r="A38" i="22"/>
  <c r="EG37" i="22"/>
  <c r="EF37" i="22"/>
  <c r="EE37" i="22"/>
  <c r="ED37" i="22"/>
  <c r="EC37" i="22"/>
  <c r="DB37" i="22"/>
  <c r="CZ37" i="22"/>
  <c r="CR37" i="22"/>
  <c r="DC37" i="22" s="1"/>
  <c r="CQ37" i="22"/>
  <c r="CP37" i="22"/>
  <c r="DA37" i="22" s="1"/>
  <c r="CO37" i="22"/>
  <c r="CN37" i="22"/>
  <c r="CM37" i="22"/>
  <c r="BY37" i="22"/>
  <c r="CJ37" i="22" s="1"/>
  <c r="BX37" i="22"/>
  <c r="CI37" i="22" s="1"/>
  <c r="BW37" i="22"/>
  <c r="BU37" i="22"/>
  <c r="CG37" i="22" s="1"/>
  <c r="BS37" i="22"/>
  <c r="BN37" i="22"/>
  <c r="BM37" i="22"/>
  <c r="BL37" i="22"/>
  <c r="BK37" i="22"/>
  <c r="BJ37" i="22"/>
  <c r="BI37" i="22"/>
  <c r="BH37" i="22"/>
  <c r="BG37" i="22"/>
  <c r="BF37" i="22"/>
  <c r="BE37" i="22"/>
  <c r="BD37" i="22"/>
  <c r="BC37" i="22"/>
  <c r="BB37" i="22"/>
  <c r="BA37" i="22"/>
  <c r="AZ37" i="22"/>
  <c r="AY37" i="22"/>
  <c r="AX37" i="22"/>
  <c r="AW37" i="22"/>
  <c r="AV37" i="22"/>
  <c r="AU37" i="22"/>
  <c r="AT37" i="22"/>
  <c r="AS37" i="22"/>
  <c r="AR37" i="22"/>
  <c r="AQ37" i="22"/>
  <c r="AP37" i="22"/>
  <c r="AO37" i="22"/>
  <c r="AN37" i="22"/>
  <c r="AM37" i="22"/>
  <c r="AL37" i="22"/>
  <c r="AK37" i="22"/>
  <c r="AJ37" i="22"/>
  <c r="AI37" i="22"/>
  <c r="AH37" i="22"/>
  <c r="AG37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A37" i="22"/>
  <c r="BO37" i="22" s="1"/>
  <c r="DT36" i="22"/>
  <c r="EB36" i="22" s="1"/>
  <c r="DP36" i="22"/>
  <c r="DM36" i="22"/>
  <c r="CR36" i="22"/>
  <c r="CQ36" i="22"/>
  <c r="CP36" i="22"/>
  <c r="CO36" i="22"/>
  <c r="CN36" i="22"/>
  <c r="CM36" i="22"/>
  <c r="CB36" i="22"/>
  <c r="BV36" i="22"/>
  <c r="CA36" i="22" s="1"/>
  <c r="CL36" i="22" s="1"/>
  <c r="BU36" i="22"/>
  <c r="CG36" i="22" s="1"/>
  <c r="BT36" i="22"/>
  <c r="BZ36" i="22" s="1"/>
  <c r="CK36" i="22" s="1"/>
  <c r="BN36" i="22"/>
  <c r="BM36" i="22"/>
  <c r="BL36" i="22"/>
  <c r="BK36" i="22"/>
  <c r="DW36" i="22" s="1"/>
  <c r="BJ36" i="22"/>
  <c r="BI36" i="22"/>
  <c r="BH36" i="22"/>
  <c r="BG36" i="22"/>
  <c r="BF36" i="22"/>
  <c r="BE36" i="22"/>
  <c r="BD36" i="22"/>
  <c r="BC36" i="22"/>
  <c r="BB36" i="22"/>
  <c r="BA36" i="22"/>
  <c r="AZ36" i="22"/>
  <c r="AY36" i="22"/>
  <c r="AX36" i="22"/>
  <c r="AW36" i="22"/>
  <c r="AV36" i="22"/>
  <c r="AU36" i="22"/>
  <c r="AT36" i="22"/>
  <c r="AS36" i="22"/>
  <c r="AR36" i="22"/>
  <c r="AQ36" i="22"/>
  <c r="AP36" i="22"/>
  <c r="AO36" i="22"/>
  <c r="AN36" i="22"/>
  <c r="AM36" i="22"/>
  <c r="AL36" i="22"/>
  <c r="AK36" i="22"/>
  <c r="AJ36" i="22"/>
  <c r="AI36" i="22"/>
  <c r="AH36" i="22"/>
  <c r="AG36" i="22"/>
  <c r="AF36" i="22"/>
  <c r="AE36" i="22"/>
  <c r="AD36" i="22"/>
  <c r="AC36" i="22"/>
  <c r="AB36" i="22"/>
  <c r="AA36" i="22"/>
  <c r="Z36" i="22"/>
  <c r="Y36" i="22"/>
  <c r="X36" i="22"/>
  <c r="W36" i="22"/>
  <c r="V36" i="22"/>
  <c r="BQ36" i="22" s="1"/>
  <c r="CD36" i="22" s="1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A36" i="22"/>
  <c r="BO36" i="22" s="1"/>
  <c r="DZ35" i="22"/>
  <c r="DW35" i="22"/>
  <c r="CW35" i="22"/>
  <c r="CV35" i="22"/>
  <c r="CR35" i="22"/>
  <c r="CQ35" i="22"/>
  <c r="CP35" i="22"/>
  <c r="CO35" i="22"/>
  <c r="CN35" i="22"/>
  <c r="CM35" i="22"/>
  <c r="BP35" i="22"/>
  <c r="BR35" i="22" s="1"/>
  <c r="CE35" i="22" s="1"/>
  <c r="BN35" i="22"/>
  <c r="BT35" i="22" s="1"/>
  <c r="BZ35" i="22" s="1"/>
  <c r="CK35" i="22" s="1"/>
  <c r="BM35" i="22"/>
  <c r="DA35" i="22" s="1"/>
  <c r="BL35" i="22"/>
  <c r="BS35" i="22" s="1"/>
  <c r="BK35" i="22"/>
  <c r="BJ35" i="22"/>
  <c r="BI35" i="22"/>
  <c r="BH35" i="22"/>
  <c r="BG35" i="22"/>
  <c r="BF35" i="22"/>
  <c r="BE35" i="22"/>
  <c r="BD35" i="22"/>
  <c r="BC35" i="22"/>
  <c r="BB35" i="22"/>
  <c r="BA35" i="22"/>
  <c r="AZ35" i="22"/>
  <c r="AY35" i="22"/>
  <c r="AX35" i="22"/>
  <c r="AW35" i="22"/>
  <c r="AV35" i="22"/>
  <c r="AU35" i="22"/>
  <c r="AT35" i="22"/>
  <c r="AS35" i="22"/>
  <c r="AR35" i="22"/>
  <c r="AQ35" i="22"/>
  <c r="DU35" i="22" s="1"/>
  <c r="EH35" i="22" s="1"/>
  <c r="AP35" i="22"/>
  <c r="AO35" i="22"/>
  <c r="AN35" i="22"/>
  <c r="AM35" i="22"/>
  <c r="AL35" i="22"/>
  <c r="AK35" i="22"/>
  <c r="AJ35" i="22"/>
  <c r="AI35" i="22"/>
  <c r="AH35" i="22"/>
  <c r="AG35" i="22"/>
  <c r="AF35" i="22"/>
  <c r="AE35" i="22"/>
  <c r="AD35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A35" i="22"/>
  <c r="DT34" i="22"/>
  <c r="EB34" i="22" s="1"/>
  <c r="DP34" i="22"/>
  <c r="CR34" i="22"/>
  <c r="CQ34" i="22"/>
  <c r="CP34" i="22"/>
  <c r="CO34" i="22"/>
  <c r="CN34" i="22"/>
  <c r="CM34" i="22"/>
  <c r="BN34" i="22"/>
  <c r="BT34" i="22" s="1"/>
  <c r="BZ34" i="22" s="1"/>
  <c r="CK34" i="22" s="1"/>
  <c r="BM34" i="22"/>
  <c r="BL34" i="22"/>
  <c r="BK34" i="22"/>
  <c r="BJ34" i="22"/>
  <c r="BI34" i="22"/>
  <c r="BH34" i="22"/>
  <c r="BG34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A34" i="22"/>
  <c r="DC33" i="22"/>
  <c r="DB33" i="22"/>
  <c r="DA33" i="22"/>
  <c r="CR33" i="22"/>
  <c r="CQ33" i="22"/>
  <c r="CP33" i="22"/>
  <c r="CO33" i="22"/>
  <c r="CN33" i="22"/>
  <c r="CM33" i="22"/>
  <c r="BN33" i="22"/>
  <c r="BM33" i="22"/>
  <c r="BL33" i="22"/>
  <c r="BK33" i="22"/>
  <c r="BJ33" i="22"/>
  <c r="BI33" i="22"/>
  <c r="BH33" i="22"/>
  <c r="BG33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DT33" i="22" s="1"/>
  <c r="EB33" i="22" s="1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BU33" i="22" s="1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A33" i="22"/>
  <c r="BO33" i="22" s="1"/>
  <c r="DP32" i="22"/>
  <c r="DM32" i="22"/>
  <c r="CR32" i="22"/>
  <c r="CQ32" i="22"/>
  <c r="CP32" i="22"/>
  <c r="CO32" i="22"/>
  <c r="CN32" i="22"/>
  <c r="CM32" i="22"/>
  <c r="CK32" i="22"/>
  <c r="CH32" i="22"/>
  <c r="CG32" i="22"/>
  <c r="CF32" i="22"/>
  <c r="DI32" i="22" s="1"/>
  <c r="CE32" i="22"/>
  <c r="CD32" i="22"/>
  <c r="CC32" i="22"/>
  <c r="CA32" i="22"/>
  <c r="CL32" i="22" s="1"/>
  <c r="BZ32" i="22"/>
  <c r="BV32" i="22"/>
  <c r="BT32" i="22"/>
  <c r="BP32" i="22"/>
  <c r="BR32" i="22" s="1"/>
  <c r="BN32" i="22"/>
  <c r="BM32" i="22"/>
  <c r="BL32" i="22"/>
  <c r="BK32" i="22"/>
  <c r="BJ32" i="22"/>
  <c r="BI32" i="22"/>
  <c r="BH32" i="22"/>
  <c r="BG32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DU32" i="22" s="1"/>
  <c r="EH32" i="22" s="1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BU32" i="22" s="1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A32" i="22"/>
  <c r="BO32" i="22" s="1"/>
  <c r="BQ32" i="22" s="1"/>
  <c r="DC31" i="22"/>
  <c r="DA31" i="22"/>
  <c r="CZ31" i="22"/>
  <c r="CY31" i="22"/>
  <c r="CR31" i="22"/>
  <c r="CQ31" i="22"/>
  <c r="CP31" i="22"/>
  <c r="CO31" i="22"/>
  <c r="CN31" i="22"/>
  <c r="CM31" i="22"/>
  <c r="CF31" i="22"/>
  <c r="DI31" i="22" s="1"/>
  <c r="CE31" i="22"/>
  <c r="CC31" i="22"/>
  <c r="CA31" i="22"/>
  <c r="CL31" i="22" s="1"/>
  <c r="BZ31" i="22"/>
  <c r="CK31" i="22" s="1"/>
  <c r="BV31" i="22"/>
  <c r="CH31" i="22" s="1"/>
  <c r="BT31" i="22"/>
  <c r="BP31" i="22"/>
  <c r="BR31" i="22" s="1"/>
  <c r="BN31" i="22"/>
  <c r="BM31" i="22"/>
  <c r="BL31" i="22"/>
  <c r="BS31" i="22" s="1"/>
  <c r="BK31" i="22"/>
  <c r="BJ31" i="22"/>
  <c r="BI31" i="22"/>
  <c r="BH31" i="22"/>
  <c r="BG31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A31" i="22"/>
  <c r="DC30" i="22"/>
  <c r="DB30" i="22"/>
  <c r="DA30" i="22"/>
  <c r="CZ30" i="22"/>
  <c r="CY30" i="22"/>
  <c r="CR30" i="22"/>
  <c r="CQ30" i="22"/>
  <c r="CP30" i="22"/>
  <c r="CO30" i="22"/>
  <c r="CN30" i="22"/>
  <c r="CM30" i="22"/>
  <c r="CG30" i="22"/>
  <c r="CF30" i="22"/>
  <c r="DI30" i="22" s="1"/>
  <c r="BN30" i="22"/>
  <c r="BM30" i="22"/>
  <c r="BL30" i="22"/>
  <c r="BK30" i="22"/>
  <c r="BJ30" i="22"/>
  <c r="BI30" i="22"/>
  <c r="BH30" i="22"/>
  <c r="BG30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BU3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DM30" i="22" s="1"/>
  <c r="A30" i="22"/>
  <c r="BO30" i="22" s="1"/>
  <c r="EA29" i="22"/>
  <c r="DO29" i="22"/>
  <c r="CR29" i="22"/>
  <c r="CQ29" i="22"/>
  <c r="CP29" i="22"/>
  <c r="CO29" i="22"/>
  <c r="CN29" i="22"/>
  <c r="CM29" i="22"/>
  <c r="CK29" i="22"/>
  <c r="CH29" i="22"/>
  <c r="CG29" i="22"/>
  <c r="CF29" i="22"/>
  <c r="DI29" i="22" s="1"/>
  <c r="CA29" i="22"/>
  <c r="CL29" i="22" s="1"/>
  <c r="BT29" i="22"/>
  <c r="BZ29" i="22" s="1"/>
  <c r="BN29" i="22"/>
  <c r="BV29" i="22" s="1"/>
  <c r="BM29" i="22"/>
  <c r="BL29" i="22"/>
  <c r="BK29" i="22"/>
  <c r="BJ29" i="22"/>
  <c r="BI29" i="22"/>
  <c r="BH29" i="22"/>
  <c r="BG29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DU29" i="22" s="1"/>
  <c r="EH29" i="22" s="1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BU29" i="22" s="1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A29" i="22"/>
  <c r="DZ29" i="22" s="1"/>
  <c r="EF28" i="22"/>
  <c r="EE28" i="22"/>
  <c r="EC28" i="22"/>
  <c r="EA28" i="22"/>
  <c r="DZ28" i="22"/>
  <c r="DY28" i="22"/>
  <c r="DC28" i="22"/>
  <c r="DB28" i="22"/>
  <c r="DA28" i="22"/>
  <c r="CZ28" i="22"/>
  <c r="CY28" i="22"/>
  <c r="DD28" i="22" s="1"/>
  <c r="CW28" i="22"/>
  <c r="CR28" i="22"/>
  <c r="CQ28" i="22"/>
  <c r="CP28" i="22"/>
  <c r="CO28" i="22"/>
  <c r="CN28" i="22"/>
  <c r="CM28" i="22"/>
  <c r="CF28" i="22"/>
  <c r="DI28" i="22" s="1"/>
  <c r="BV28" i="22"/>
  <c r="BU28" i="22"/>
  <c r="BS28" i="22"/>
  <c r="BN28" i="22"/>
  <c r="BM28" i="22"/>
  <c r="BL28" i="22"/>
  <c r="BK28" i="22"/>
  <c r="BJ28" i="22"/>
  <c r="BI28" i="22"/>
  <c r="BH28" i="22"/>
  <c r="BG28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A28" i="22"/>
  <c r="DX28" i="22" s="1"/>
  <c r="EA27" i="22"/>
  <c r="DZ27" i="22"/>
  <c r="DY27" i="22"/>
  <c r="DX27" i="22"/>
  <c r="DW27" i="22"/>
  <c r="CR27" i="22"/>
  <c r="CW27" i="22" s="1"/>
  <c r="CQ27" i="22"/>
  <c r="CP27" i="22"/>
  <c r="CO27" i="22"/>
  <c r="CT27" i="22" s="1"/>
  <c r="CN27" i="22"/>
  <c r="CS27" i="22" s="1"/>
  <c r="CM27" i="22"/>
  <c r="CF27" i="22"/>
  <c r="DI27" i="22" s="1"/>
  <c r="BS27" i="22"/>
  <c r="BP27" i="22"/>
  <c r="BO27" i="22"/>
  <c r="BN27" i="22"/>
  <c r="BT27" i="22" s="1"/>
  <c r="BZ27" i="22" s="1"/>
  <c r="CK27" i="22" s="1"/>
  <c r="BM27" i="22"/>
  <c r="BL27" i="22"/>
  <c r="BU27" i="22" s="1"/>
  <c r="BK27" i="22"/>
  <c r="BJ27" i="22"/>
  <c r="BI27" i="22"/>
  <c r="BH27" i="22"/>
  <c r="BG27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27" i="22"/>
  <c r="EA26" i="22"/>
  <c r="DZ26" i="22"/>
  <c r="DY26" i="22"/>
  <c r="DX26" i="22"/>
  <c r="DW26" i="22"/>
  <c r="DP26" i="22"/>
  <c r="DM26" i="22"/>
  <c r="DI26" i="22"/>
  <c r="CS26" i="22"/>
  <c r="CR26" i="22"/>
  <c r="CQ26" i="22"/>
  <c r="CP26" i="22"/>
  <c r="CO26" i="22"/>
  <c r="CN26" i="22"/>
  <c r="CM26" i="22"/>
  <c r="CF26" i="22"/>
  <c r="BU26" i="22"/>
  <c r="BS26" i="22"/>
  <c r="BO26" i="22"/>
  <c r="CB26" i="22" s="1"/>
  <c r="BN26" i="22"/>
  <c r="BM26" i="22"/>
  <c r="BL26" i="22"/>
  <c r="BK26" i="22"/>
  <c r="BJ26" i="22"/>
  <c r="BI26" i="22"/>
  <c r="BH26" i="22"/>
  <c r="BG26" i="22"/>
  <c r="BF26" i="22"/>
  <c r="BE26" i="22"/>
  <c r="BD26" i="22"/>
  <c r="BC26" i="22"/>
  <c r="BB26" i="22"/>
  <c r="BA26" i="22"/>
  <c r="AZ26" i="22"/>
  <c r="AY26" i="22"/>
  <c r="AX26" i="22"/>
  <c r="AW26" i="22"/>
  <c r="AV26" i="22"/>
  <c r="AU26" i="22"/>
  <c r="AT26" i="22"/>
  <c r="AS26" i="22"/>
  <c r="AR26" i="22"/>
  <c r="AQ26" i="22"/>
  <c r="AP26" i="22"/>
  <c r="AO26" i="22"/>
  <c r="AN26" i="22"/>
  <c r="AM26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A26" i="22"/>
  <c r="CW26" i="22" s="1"/>
  <c r="ED25" i="22"/>
  <c r="EB25" i="22"/>
  <c r="EA25" i="22"/>
  <c r="DZ25" i="22"/>
  <c r="DY25" i="22"/>
  <c r="DP25" i="22"/>
  <c r="DO25" i="22"/>
  <c r="DM25" i="22"/>
  <c r="DI25" i="22"/>
  <c r="CR25" i="22"/>
  <c r="CQ25" i="22"/>
  <c r="CP25" i="22"/>
  <c r="DA25" i="22" s="1"/>
  <c r="CO25" i="22"/>
  <c r="CN25" i="22"/>
  <c r="CM25" i="22"/>
  <c r="CK25" i="22"/>
  <c r="CJ25" i="22"/>
  <c r="CF25" i="22"/>
  <c r="BW25" i="22"/>
  <c r="BY25" i="22" s="1"/>
  <c r="BV25" i="22"/>
  <c r="CH25" i="22" s="1"/>
  <c r="BU25" i="22"/>
  <c r="CG25" i="22" s="1"/>
  <c r="BT25" i="22"/>
  <c r="BZ25" i="22" s="1"/>
  <c r="BS25" i="22"/>
  <c r="BR25" i="22"/>
  <c r="CE25" i="22" s="1"/>
  <c r="BP25" i="22"/>
  <c r="CC25" i="22" s="1"/>
  <c r="BO25" i="22"/>
  <c r="CB25" i="22" s="1"/>
  <c r="DJ25" i="22" s="1"/>
  <c r="BN25" i="22"/>
  <c r="BM25" i="22"/>
  <c r="BL25" i="22"/>
  <c r="BK25" i="22"/>
  <c r="DX25" i="22" s="1"/>
  <c r="BJ25" i="22"/>
  <c r="BI25" i="22"/>
  <c r="BH25" i="22"/>
  <c r="BG25" i="22"/>
  <c r="BF25" i="22"/>
  <c r="BE25" i="22"/>
  <c r="BD25" i="22"/>
  <c r="BC25" i="22"/>
  <c r="BB25" i="22"/>
  <c r="BA25" i="22"/>
  <c r="DU25" i="22" s="1"/>
  <c r="EH25" i="22" s="1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DT25" i="22" s="1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A25" i="22"/>
  <c r="EG24" i="22"/>
  <c r="EE24" i="22"/>
  <c r="ED24" i="22"/>
  <c r="EC24" i="22"/>
  <c r="DM24" i="22"/>
  <c r="DI24" i="22"/>
  <c r="CR24" i="22"/>
  <c r="CQ24" i="22"/>
  <c r="CP24" i="22"/>
  <c r="DA24" i="22" s="1"/>
  <c r="CO24" i="22"/>
  <c r="CN24" i="22"/>
  <c r="CY24" i="22" s="1"/>
  <c r="CM24" i="22"/>
  <c r="CK24" i="22"/>
  <c r="CF24" i="22"/>
  <c r="CC24" i="22"/>
  <c r="BT24" i="22"/>
  <c r="BZ24" i="22" s="1"/>
  <c r="BR24" i="22"/>
  <c r="CE24" i="22" s="1"/>
  <c r="BN24" i="22"/>
  <c r="BM24" i="22"/>
  <c r="BL24" i="22"/>
  <c r="BK24" i="22"/>
  <c r="BJ24" i="22"/>
  <c r="BI24" i="22"/>
  <c r="BH24" i="22"/>
  <c r="BG24" i="22"/>
  <c r="BF24" i="22"/>
  <c r="BE24" i="22"/>
  <c r="BD24" i="22"/>
  <c r="BC24" i="22"/>
  <c r="BB24" i="22"/>
  <c r="BA24" i="22"/>
  <c r="BV24" i="22" s="1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BP24" i="22" s="1"/>
  <c r="AE24" i="22"/>
  <c r="AD24" i="22"/>
  <c r="AC24" i="22"/>
  <c r="AB24" i="22"/>
  <c r="AA24" i="22"/>
  <c r="Z24" i="22"/>
  <c r="Y24" i="22"/>
  <c r="X24" i="22"/>
  <c r="W24" i="22"/>
  <c r="V24" i="22"/>
  <c r="BU24" i="22" s="1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DP24" i="22" s="1"/>
  <c r="A24" i="22"/>
  <c r="EG23" i="22"/>
  <c r="EF23" i="22"/>
  <c r="ED23" i="22"/>
  <c r="EC23" i="22"/>
  <c r="DT23" i="22"/>
  <c r="EB23" i="22" s="1"/>
  <c r="DP23" i="22"/>
  <c r="CR23" i="22"/>
  <c r="CQ23" i="22"/>
  <c r="CP23" i="22"/>
  <c r="CO23" i="22"/>
  <c r="CZ23" i="22" s="1"/>
  <c r="CN23" i="22"/>
  <c r="CM23" i="22"/>
  <c r="CC23" i="22"/>
  <c r="BV23" i="22"/>
  <c r="CH23" i="22" s="1"/>
  <c r="BN23" i="22"/>
  <c r="BM23" i="22"/>
  <c r="BL23" i="22"/>
  <c r="BK23" i="22"/>
  <c r="BJ23" i="22"/>
  <c r="BI23" i="22"/>
  <c r="BH23" i="22"/>
  <c r="BG23" i="22"/>
  <c r="BF23" i="22"/>
  <c r="BE23" i="22"/>
  <c r="BD23" i="22"/>
  <c r="BC23" i="22"/>
  <c r="BB23" i="22"/>
  <c r="BA23" i="22"/>
  <c r="BT23" i="22" s="1"/>
  <c r="BZ23" i="22" s="1"/>
  <c r="CK23" i="22" s="1"/>
  <c r="AZ23" i="22"/>
  <c r="AY23" i="22"/>
  <c r="AX23" i="22"/>
  <c r="AW23" i="22"/>
  <c r="AV23" i="22"/>
  <c r="AU23" i="22"/>
  <c r="AT23" i="22"/>
  <c r="AS23" i="22"/>
  <c r="AR23" i="22"/>
  <c r="AQ23" i="22"/>
  <c r="DU23" i="22" s="1"/>
  <c r="EH23" i="22" s="1"/>
  <c r="AP23" i="22"/>
  <c r="AO23" i="22"/>
  <c r="AN23" i="22"/>
  <c r="AM23" i="22"/>
  <c r="AL23" i="22"/>
  <c r="AK23" i="22"/>
  <c r="AJ23" i="22"/>
  <c r="AI23" i="22"/>
  <c r="AH23" i="22"/>
  <c r="AG23" i="22"/>
  <c r="AF23" i="22"/>
  <c r="BP23" i="22" s="1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A23" i="22"/>
  <c r="EG22" i="22"/>
  <c r="EF22" i="22"/>
  <c r="DB22" i="22"/>
  <c r="CY22" i="22"/>
  <c r="CR22" i="22"/>
  <c r="CQ22" i="22"/>
  <c r="CP22" i="22"/>
  <c r="DA22" i="22" s="1"/>
  <c r="CO22" i="22"/>
  <c r="CN22" i="22"/>
  <c r="CM22" i="22"/>
  <c r="CH22" i="22"/>
  <c r="BN22" i="22"/>
  <c r="BM22" i="22"/>
  <c r="BL22" i="22"/>
  <c r="BK22" i="22"/>
  <c r="BJ22" i="22"/>
  <c r="BI22" i="22"/>
  <c r="BH22" i="22"/>
  <c r="BG22" i="22"/>
  <c r="BF22" i="22"/>
  <c r="BE22" i="22"/>
  <c r="BD22" i="22"/>
  <c r="BC22" i="22"/>
  <c r="BB22" i="22"/>
  <c r="BA22" i="22"/>
  <c r="BV22" i="22" s="1"/>
  <c r="CA22" i="22" s="1"/>
  <c r="CL22" i="22" s="1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DP22" i="22" s="1"/>
  <c r="A22" i="22"/>
  <c r="BO22" i="22" s="1"/>
  <c r="CZ21" i="22"/>
  <c r="CY21" i="22"/>
  <c r="CR21" i="22"/>
  <c r="CQ21" i="22"/>
  <c r="CP21" i="22"/>
  <c r="CO21" i="22"/>
  <c r="CN21" i="22"/>
  <c r="CM21" i="22"/>
  <c r="CE21" i="22"/>
  <c r="CC21" i="22"/>
  <c r="CA21" i="22"/>
  <c r="CL21" i="22" s="1"/>
  <c r="BZ21" i="22"/>
  <c r="CK21" i="22" s="1"/>
  <c r="BV21" i="22"/>
  <c r="CH21" i="22" s="1"/>
  <c r="BT21" i="22"/>
  <c r="BP21" i="22"/>
  <c r="BR21" i="22" s="1"/>
  <c r="BN21" i="22"/>
  <c r="BM21" i="22"/>
  <c r="BL21" i="22"/>
  <c r="BK21" i="22"/>
  <c r="BJ21" i="22"/>
  <c r="BI21" i="22"/>
  <c r="BH21" i="22"/>
  <c r="BG21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DU21" i="22" s="1"/>
  <c r="EH21" i="22" s="1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BU21" i="22" s="1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A21" i="22"/>
  <c r="BO21" i="22" s="1"/>
  <c r="DB20" i="22"/>
  <c r="DA20" i="22"/>
  <c r="CZ20" i="22"/>
  <c r="CY20" i="22"/>
  <c r="CR20" i="22"/>
  <c r="CQ20" i="22"/>
  <c r="CP20" i="22"/>
  <c r="CO20" i="22"/>
  <c r="CN20" i="22"/>
  <c r="CM20" i="22"/>
  <c r="BN20" i="22"/>
  <c r="BM20" i="22"/>
  <c r="BL20" i="22"/>
  <c r="BK20" i="22"/>
  <c r="BJ20" i="22"/>
  <c r="BI20" i="22"/>
  <c r="BH20" i="22"/>
  <c r="BG20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BP20" i="22" s="1"/>
  <c r="CC20" i="22" s="1"/>
  <c r="AE20" i="22"/>
  <c r="AD20" i="22"/>
  <c r="AC20" i="22"/>
  <c r="AB20" i="22"/>
  <c r="AA20" i="22"/>
  <c r="Z20" i="22"/>
  <c r="Y20" i="22"/>
  <c r="X20" i="22"/>
  <c r="W20" i="22"/>
  <c r="V20" i="22"/>
  <c r="BU20" i="22" s="1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A20" i="22"/>
  <c r="BO20" i="22" s="1"/>
  <c r="ED19" i="22"/>
  <c r="EC19" i="22"/>
  <c r="DC19" i="22"/>
  <c r="DB19" i="22"/>
  <c r="DA19" i="22"/>
  <c r="CZ19" i="22"/>
  <c r="DD19" i="22" s="1"/>
  <c r="CY19" i="22"/>
  <c r="CR19" i="22"/>
  <c r="CQ19" i="22"/>
  <c r="CP19" i="22"/>
  <c r="CO19" i="22"/>
  <c r="CN19" i="22"/>
  <c r="CM19" i="22"/>
  <c r="CH19" i="22"/>
  <c r="CG19" i="22"/>
  <c r="BN19" i="22"/>
  <c r="BV19" i="22" s="1"/>
  <c r="CA19" i="22" s="1"/>
  <c r="CL19" i="22" s="1"/>
  <c r="BM19" i="22"/>
  <c r="BL19" i="22"/>
  <c r="BK19" i="22"/>
  <c r="BJ19" i="22"/>
  <c r="BI19" i="22"/>
  <c r="BH19" i="22"/>
  <c r="BG19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BU19" i="22" s="1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A19" i="22"/>
  <c r="BO19" i="22" s="1"/>
  <c r="BQ19" i="22" s="1"/>
  <c r="CD19" i="22" s="1"/>
  <c r="EF18" i="22"/>
  <c r="EE18" i="22"/>
  <c r="EC18" i="22"/>
  <c r="EA18" i="22"/>
  <c r="DZ18" i="22"/>
  <c r="DC18" i="22"/>
  <c r="DB18" i="22"/>
  <c r="DA18" i="22"/>
  <c r="CZ18" i="22"/>
  <c r="CY18" i="22"/>
  <c r="DD18" i="22" s="1"/>
  <c r="CW18" i="22"/>
  <c r="CR18" i="22"/>
  <c r="CQ18" i="22"/>
  <c r="CP18" i="22"/>
  <c r="CO18" i="22"/>
  <c r="CN18" i="22"/>
  <c r="CM18" i="22"/>
  <c r="CG18" i="22"/>
  <c r="CF18" i="22"/>
  <c r="DI18" i="22" s="1"/>
  <c r="BV18" i="22"/>
  <c r="BU18" i="22"/>
  <c r="BS18" i="22"/>
  <c r="BO18" i="22"/>
  <c r="CB18" i="22" s="1"/>
  <c r="BN18" i="22"/>
  <c r="BM18" i="22"/>
  <c r="BL18" i="22"/>
  <c r="BK18" i="22"/>
  <c r="BJ18" i="22"/>
  <c r="BI18" i="22"/>
  <c r="BH18" i="22"/>
  <c r="BG18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A18" i="22"/>
  <c r="EA17" i="22"/>
  <c r="DZ17" i="22"/>
  <c r="DY17" i="22"/>
  <c r="DX17" i="22"/>
  <c r="DW17" i="22"/>
  <c r="CR17" i="22"/>
  <c r="CQ17" i="22"/>
  <c r="CV17" i="22" s="1"/>
  <c r="CP17" i="22"/>
  <c r="CO17" i="22"/>
  <c r="CT17" i="22" s="1"/>
  <c r="CN17" i="22"/>
  <c r="CS17" i="22" s="1"/>
  <c r="CM17" i="22"/>
  <c r="CF17" i="22"/>
  <c r="DI17" i="22" s="1"/>
  <c r="BU17" i="22"/>
  <c r="BS17" i="22"/>
  <c r="BO17" i="22"/>
  <c r="CB17" i="22" s="1"/>
  <c r="BN17" i="22"/>
  <c r="BM17" i="22"/>
  <c r="BL17" i="22"/>
  <c r="BK17" i="22"/>
  <c r="BJ17" i="22"/>
  <c r="BI17" i="22"/>
  <c r="BH17" i="22"/>
  <c r="BG17" i="22"/>
  <c r="BF17" i="22"/>
  <c r="BE17" i="22"/>
  <c r="BD17" i="22"/>
  <c r="BC17" i="22"/>
  <c r="BB17" i="22"/>
  <c r="BA17" i="22"/>
  <c r="BV17" i="22" s="1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A17" i="22"/>
  <c r="EB16" i="22"/>
  <c r="EA16" i="22"/>
  <c r="DZ16" i="22"/>
  <c r="DY16" i="22"/>
  <c r="DX16" i="22"/>
  <c r="DW16" i="22"/>
  <c r="DP16" i="22"/>
  <c r="DM16" i="22"/>
  <c r="DI16" i="22"/>
  <c r="CR16" i="22"/>
  <c r="CQ16" i="22"/>
  <c r="DB16" i="22" s="1"/>
  <c r="CP16" i="22"/>
  <c r="CO16" i="22"/>
  <c r="CN16" i="22"/>
  <c r="CY16" i="22" s="1"/>
  <c r="CM16" i="22"/>
  <c r="CF16" i="22"/>
  <c r="BU16" i="22"/>
  <c r="BS16" i="22"/>
  <c r="BP16" i="22"/>
  <c r="CC16" i="22" s="1"/>
  <c r="BO16" i="22"/>
  <c r="CB16" i="22" s="1"/>
  <c r="DJ16" i="22" s="1"/>
  <c r="BN16" i="22"/>
  <c r="BM16" i="22"/>
  <c r="DT16" i="22" s="1"/>
  <c r="BL16" i="22"/>
  <c r="BK16" i="22"/>
  <c r="BJ16" i="22"/>
  <c r="BI16" i="22"/>
  <c r="BH16" i="22"/>
  <c r="BG16" i="22"/>
  <c r="BF16" i="22"/>
  <c r="BE16" i="22"/>
  <c r="BD16" i="22"/>
  <c r="BC16" i="22"/>
  <c r="BB16" i="22"/>
  <c r="BA16" i="22"/>
  <c r="BV16" i="22" s="1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A16" i="22"/>
  <c r="CW16" i="22" s="1"/>
  <c r="EB15" i="22"/>
  <c r="EA15" i="22"/>
  <c r="DZ15" i="22"/>
  <c r="DY15" i="22"/>
  <c r="DI15" i="22"/>
  <c r="CS15" i="22"/>
  <c r="CR15" i="22"/>
  <c r="CW15" i="22" s="1"/>
  <c r="CQ15" i="22"/>
  <c r="CP15" i="22"/>
  <c r="CO15" i="22"/>
  <c r="CN15" i="22"/>
  <c r="CM15" i="22"/>
  <c r="CF15" i="22"/>
  <c r="CB15" i="22"/>
  <c r="BU15" i="22"/>
  <c r="BS15" i="22"/>
  <c r="BQ15" i="22"/>
  <c r="CD15" i="22" s="1"/>
  <c r="BO15" i="22"/>
  <c r="BN15" i="22"/>
  <c r="BM15" i="22"/>
  <c r="BL15" i="22"/>
  <c r="BK15" i="22"/>
  <c r="DX15" i="22" s="1"/>
  <c r="BJ15" i="22"/>
  <c r="BI15" i="22"/>
  <c r="BH15" i="22"/>
  <c r="BG15" i="22"/>
  <c r="BF15" i="22"/>
  <c r="BE15" i="22"/>
  <c r="BD15" i="22"/>
  <c r="BC15" i="22"/>
  <c r="BB15" i="22"/>
  <c r="BA15" i="22"/>
  <c r="DU15" i="22" s="1"/>
  <c r="EH15" i="22" s="1"/>
  <c r="AZ15" i="22"/>
  <c r="AY15" i="22"/>
  <c r="AX15" i="22"/>
  <c r="AW15" i="22"/>
  <c r="AV15" i="22"/>
  <c r="AU15" i="22"/>
  <c r="AT15" i="22"/>
  <c r="AS15" i="22"/>
  <c r="AR15" i="22"/>
  <c r="AQ15" i="22"/>
  <c r="AP15" i="22"/>
  <c r="AO15" i="22"/>
  <c r="AN15" i="22"/>
  <c r="AM15" i="22"/>
  <c r="DT15" i="22" s="1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B15" i="22"/>
  <c r="DP15" i="22" s="1"/>
  <c r="A15" i="22"/>
  <c r="EG14" i="22"/>
  <c r="EF14" i="22"/>
  <c r="EE14" i="22"/>
  <c r="ED14" i="22"/>
  <c r="EC14" i="22"/>
  <c r="DI14" i="22"/>
  <c r="DB14" i="22"/>
  <c r="CZ14" i="22"/>
  <c r="CR14" i="22"/>
  <c r="DC14" i="22" s="1"/>
  <c r="CQ14" i="22"/>
  <c r="CP14" i="22"/>
  <c r="CO14" i="22"/>
  <c r="CT14" i="22" s="1"/>
  <c r="CN14" i="22"/>
  <c r="CY14" i="22" s="1"/>
  <c r="CM14" i="22"/>
  <c r="CH14" i="22"/>
  <c r="CF14" i="22"/>
  <c r="CA14" i="22"/>
  <c r="CL14" i="22" s="1"/>
  <c r="BN14" i="22"/>
  <c r="BM14" i="22"/>
  <c r="BL14" i="22"/>
  <c r="BK14" i="22"/>
  <c r="DP14" i="22" s="1"/>
  <c r="BJ14" i="22"/>
  <c r="BI14" i="22"/>
  <c r="BH14" i="22"/>
  <c r="BG14" i="22"/>
  <c r="BF14" i="22"/>
  <c r="BE14" i="22"/>
  <c r="BD14" i="22"/>
  <c r="BC14" i="22"/>
  <c r="BB14" i="22"/>
  <c r="BA14" i="22"/>
  <c r="BV14" i="22" s="1"/>
  <c r="AZ14" i="22"/>
  <c r="AY14" i="22"/>
  <c r="AX14" i="22"/>
  <c r="AW14" i="22"/>
  <c r="AV14" i="22"/>
  <c r="AU14" i="22"/>
  <c r="AT14" i="22"/>
  <c r="AS14" i="22"/>
  <c r="AR14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BU14" i="22" s="1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B14" i="22"/>
  <c r="DM14" i="22" s="1"/>
  <c r="A14" i="22"/>
  <c r="EG13" i="22"/>
  <c r="EF13" i="22"/>
  <c r="DP13" i="22"/>
  <c r="CR13" i="22"/>
  <c r="CQ13" i="22"/>
  <c r="CP13" i="22"/>
  <c r="CO13" i="22"/>
  <c r="CN13" i="22"/>
  <c r="CM13" i="22"/>
  <c r="CF13" i="22"/>
  <c r="DI13" i="22" s="1"/>
  <c r="BT13" i="22"/>
  <c r="BZ13" i="22" s="1"/>
  <c r="CK13" i="22" s="1"/>
  <c r="BP13" i="22"/>
  <c r="BN13" i="22"/>
  <c r="BM13" i="22"/>
  <c r="BL13" i="22"/>
  <c r="BU13" i="22" s="1"/>
  <c r="BK13" i="22"/>
  <c r="BJ13" i="22"/>
  <c r="BI13" i="22"/>
  <c r="BH13" i="22"/>
  <c r="BG13" i="22"/>
  <c r="BF13" i="22"/>
  <c r="BE13" i="22"/>
  <c r="BD13" i="22"/>
  <c r="BC13" i="22"/>
  <c r="BB13" i="22"/>
  <c r="BA13" i="22"/>
  <c r="AZ13" i="22"/>
  <c r="AY13" i="22"/>
  <c r="AX13" i="22"/>
  <c r="AW13" i="22"/>
  <c r="AV13" i="22"/>
  <c r="AU13" i="22"/>
  <c r="AT13" i="22"/>
  <c r="AS13" i="22"/>
  <c r="AR13" i="22"/>
  <c r="AQ13" i="22"/>
  <c r="AP13" i="22"/>
  <c r="AO13" i="22"/>
  <c r="AN13" i="22"/>
  <c r="AM13" i="22"/>
  <c r="AL13" i="22"/>
  <c r="AK13" i="22"/>
  <c r="AJ13" i="22"/>
  <c r="AI13" i="22"/>
  <c r="AH13" i="22"/>
  <c r="AG13" i="22"/>
  <c r="AF13" i="22"/>
  <c r="EE13" i="22" s="1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B13" i="22"/>
  <c r="A13" i="22"/>
  <c r="BO13" i="22" s="1"/>
  <c r="EG12" i="22"/>
  <c r="EF12" i="22"/>
  <c r="DW12" i="22"/>
  <c r="CY12" i="22"/>
  <c r="CR12" i="22"/>
  <c r="DC12" i="22" s="1"/>
  <c r="CQ12" i="22"/>
  <c r="DB12" i="22" s="1"/>
  <c r="CP12" i="22"/>
  <c r="DA12" i="22" s="1"/>
  <c r="CO12" i="22"/>
  <c r="CN12" i="22"/>
  <c r="CM12" i="22"/>
  <c r="CH12" i="22"/>
  <c r="CG12" i="22"/>
  <c r="BV12" i="22"/>
  <c r="CA12" i="22" s="1"/>
  <c r="CL12" i="22" s="1"/>
  <c r="BU12" i="22"/>
  <c r="DO12" i="22" s="1"/>
  <c r="BN12" i="22"/>
  <c r="BM12" i="22"/>
  <c r="EE12" i="22" s="1"/>
  <c r="BL12" i="22"/>
  <c r="BK12" i="22"/>
  <c r="BJ12" i="22"/>
  <c r="BI12" i="22"/>
  <c r="BH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DT12" i="22" s="1"/>
  <c r="EB12" i="22" s="1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BS12" i="22" s="1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B12" i="22"/>
  <c r="DM12" i="22" s="1"/>
  <c r="A12" i="22"/>
  <c r="DP11" i="22"/>
  <c r="DM11" i="22"/>
  <c r="DC11" i="22"/>
  <c r="DA11" i="22"/>
  <c r="CZ11" i="22"/>
  <c r="CY11" i="22"/>
  <c r="CR11" i="22"/>
  <c r="CQ11" i="22"/>
  <c r="CP11" i="22"/>
  <c r="CO11" i="22"/>
  <c r="CN11" i="22"/>
  <c r="CM11" i="22"/>
  <c r="CL11" i="22"/>
  <c r="CF11" i="22"/>
  <c r="DI11" i="22" s="1"/>
  <c r="CA11" i="22"/>
  <c r="BV11" i="22"/>
  <c r="CH11" i="22" s="1"/>
  <c r="BT11" i="22"/>
  <c r="BP11" i="22"/>
  <c r="CC11" i="22" s="1"/>
  <c r="BO11" i="22"/>
  <c r="BN11" i="22"/>
  <c r="BM11" i="22"/>
  <c r="ED11" i="22" s="1"/>
  <c r="BL11" i="22"/>
  <c r="BS11" i="22" s="1"/>
  <c r="BK11" i="22"/>
  <c r="BJ11" i="22"/>
  <c r="BI11" i="22"/>
  <c r="BH11" i="22"/>
  <c r="BG11" i="22"/>
  <c r="BF11" i="22"/>
  <c r="BE11" i="22"/>
  <c r="BD11" i="22"/>
  <c r="BC11" i="22"/>
  <c r="BB11" i="22"/>
  <c r="BA11" i="22"/>
  <c r="AZ11" i="22"/>
  <c r="AY11" i="22"/>
  <c r="AX11" i="22"/>
  <c r="AW11" i="22"/>
  <c r="AV11" i="22"/>
  <c r="AU11" i="22"/>
  <c r="AT11" i="22"/>
  <c r="AS11" i="22"/>
  <c r="AR11" i="22"/>
  <c r="AQ11" i="22"/>
  <c r="AP11" i="22"/>
  <c r="AO11" i="22"/>
  <c r="AN11" i="22"/>
  <c r="AM11" i="22"/>
  <c r="AL11" i="22"/>
  <c r="AK11" i="22"/>
  <c r="AJ11" i="22"/>
  <c r="AI11" i="22"/>
  <c r="AH11" i="22"/>
  <c r="AG11" i="22"/>
  <c r="AF11" i="22"/>
  <c r="EG11" i="22" s="1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B11" i="22"/>
  <c r="A11" i="22"/>
  <c r="DZ11" i="22" s="1"/>
  <c r="ED10" i="22"/>
  <c r="DX10" i="22"/>
  <c r="DW10" i="22"/>
  <c r="DU10" i="22"/>
  <c r="EH10" i="22" s="1"/>
  <c r="DP10" i="22"/>
  <c r="DN10" i="22"/>
  <c r="DM10" i="22"/>
  <c r="DB10" i="22"/>
  <c r="CR10" i="22"/>
  <c r="CQ10" i="22"/>
  <c r="CP10" i="22"/>
  <c r="DA10" i="22" s="1"/>
  <c r="CO10" i="22"/>
  <c r="CZ10" i="22" s="1"/>
  <c r="CN10" i="22"/>
  <c r="CM10" i="22"/>
  <c r="CG10" i="22"/>
  <c r="CF10" i="22"/>
  <c r="DI10" i="22" s="1"/>
  <c r="CD10" i="22"/>
  <c r="DK10" i="22" s="1"/>
  <c r="CC10" i="22"/>
  <c r="BU10" i="22"/>
  <c r="BT10" i="22"/>
  <c r="BZ10" i="22" s="1"/>
  <c r="CK10" i="22" s="1"/>
  <c r="BR10" i="22"/>
  <c r="CE10" i="22" s="1"/>
  <c r="BQ10" i="22"/>
  <c r="BN10" i="22"/>
  <c r="BM10" i="22"/>
  <c r="EF10" i="22" s="1"/>
  <c r="BL10" i="22"/>
  <c r="BS10" i="22" s="1"/>
  <c r="BK10" i="22"/>
  <c r="EA10" i="22" s="1"/>
  <c r="BJ10" i="22"/>
  <c r="BI10" i="22"/>
  <c r="BH10" i="22"/>
  <c r="BG10" i="22"/>
  <c r="BF10" i="22"/>
  <c r="BE10" i="22"/>
  <c r="BD10" i="22"/>
  <c r="BC10" i="22"/>
  <c r="BB10" i="22"/>
  <c r="BA10" i="22"/>
  <c r="BV10" i="22" s="1"/>
  <c r="AZ10" i="22"/>
  <c r="AY10" i="22"/>
  <c r="AX10" i="22"/>
  <c r="AW10" i="22"/>
  <c r="AV10" i="22"/>
  <c r="AU10" i="22"/>
  <c r="AT10" i="22"/>
  <c r="AS10" i="22"/>
  <c r="AR10" i="22"/>
  <c r="AQ10" i="22"/>
  <c r="AP10" i="22"/>
  <c r="AO10" i="22"/>
  <c r="AN10" i="22"/>
  <c r="DT10" i="22" s="1"/>
  <c r="EB10" i="22" s="1"/>
  <c r="AM10" i="22"/>
  <c r="AL10" i="22"/>
  <c r="AK10" i="22"/>
  <c r="AJ10" i="22"/>
  <c r="AI10" i="22"/>
  <c r="AH10" i="22"/>
  <c r="AG10" i="22"/>
  <c r="AF10" i="22"/>
  <c r="BP10" i="22" s="1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B10" i="22"/>
  <c r="A10" i="22"/>
  <c r="BO10" i="22" s="1"/>
  <c r="CB10" i="22" s="1"/>
  <c r="EH9" i="22"/>
  <c r="EG9" i="22"/>
  <c r="DY9" i="22"/>
  <c r="DC9" i="22"/>
  <c r="DB9" i="22"/>
  <c r="DA9" i="22"/>
  <c r="CZ9" i="22"/>
  <c r="CY9" i="22"/>
  <c r="CR9" i="22"/>
  <c r="CQ9" i="22"/>
  <c r="CP9" i="22"/>
  <c r="CO9" i="22"/>
  <c r="CN9" i="22"/>
  <c r="CM9" i="22"/>
  <c r="CK9" i="22"/>
  <c r="CH9" i="22"/>
  <c r="CF9" i="22"/>
  <c r="DI9" i="22" s="1"/>
  <c r="CA9" i="22"/>
  <c r="CL9" i="22" s="1"/>
  <c r="BV9" i="22"/>
  <c r="BT9" i="22"/>
  <c r="BZ9" i="22" s="1"/>
  <c r="BP9" i="22"/>
  <c r="BN9" i="22"/>
  <c r="BM9" i="22"/>
  <c r="BL9" i="22"/>
  <c r="BK9" i="22"/>
  <c r="BJ9" i="22"/>
  <c r="BI9" i="22"/>
  <c r="BH9" i="22"/>
  <c r="BG9" i="22"/>
  <c r="BF9" i="22"/>
  <c r="BE9" i="22"/>
  <c r="BD9" i="22"/>
  <c r="BC9" i="22"/>
  <c r="BB9" i="22"/>
  <c r="BA9" i="22"/>
  <c r="AZ9" i="22"/>
  <c r="AY9" i="22"/>
  <c r="AX9" i="22"/>
  <c r="AW9" i="22"/>
  <c r="AV9" i="22"/>
  <c r="AU9" i="22"/>
  <c r="AT9" i="22"/>
  <c r="AS9" i="22"/>
  <c r="AR9" i="22"/>
  <c r="AQ9" i="22"/>
  <c r="AP9" i="22"/>
  <c r="DU9" i="22" s="1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BU9" i="22" s="1"/>
  <c r="DO9" i="22" s="1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B9" i="22"/>
  <c r="A9" i="22"/>
  <c r="BO9" i="22" s="1"/>
  <c r="BQ9" i="22" s="1"/>
  <c r="CD9" i="22" s="1"/>
  <c r="EF8" i="22"/>
  <c r="DX8" i="22"/>
  <c r="DT8" i="22"/>
  <c r="EB8" i="22" s="1"/>
  <c r="DM8" i="22"/>
  <c r="CS8" i="22"/>
  <c r="CR8" i="22"/>
  <c r="CQ8" i="22"/>
  <c r="CP8" i="22"/>
  <c r="CO8" i="22"/>
  <c r="CN8" i="22"/>
  <c r="CM8" i="22"/>
  <c r="BN8" i="22"/>
  <c r="BM8" i="22"/>
  <c r="BL8" i="22"/>
  <c r="BU8" i="22" s="1"/>
  <c r="BK8" i="22"/>
  <c r="DW8" i="22" s="1"/>
  <c r="BJ8" i="22"/>
  <c r="BI8" i="22"/>
  <c r="BH8" i="22"/>
  <c r="BG8" i="22"/>
  <c r="BF8" i="22"/>
  <c r="BE8" i="22"/>
  <c r="BD8" i="22"/>
  <c r="BC8" i="22"/>
  <c r="BB8" i="22"/>
  <c r="BA8" i="22"/>
  <c r="BV8" i="22" s="1"/>
  <c r="AZ8" i="22"/>
  <c r="AY8" i="22"/>
  <c r="AX8" i="22"/>
  <c r="AW8" i="22"/>
  <c r="AV8" i="22"/>
  <c r="AU8" i="22"/>
  <c r="AT8" i="22"/>
  <c r="AS8" i="22"/>
  <c r="AR8" i="22"/>
  <c r="AQ8" i="22"/>
  <c r="AP8" i="22"/>
  <c r="AO8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C8" i="22"/>
  <c r="B8" i="22"/>
  <c r="A8" i="22"/>
  <c r="EE7" i="22"/>
  <c r="EC7" i="22"/>
  <c r="EA7" i="22"/>
  <c r="DZ7" i="22"/>
  <c r="DX7" i="22"/>
  <c r="DW7" i="22"/>
  <c r="DP7" i="22"/>
  <c r="CZ7" i="22"/>
  <c r="CY7" i="22"/>
  <c r="CU7" i="22"/>
  <c r="CT7" i="22"/>
  <c r="CR7" i="22"/>
  <c r="CQ7" i="22"/>
  <c r="CP7" i="22"/>
  <c r="CO7" i="22"/>
  <c r="CN7" i="22"/>
  <c r="CM7" i="22"/>
  <c r="CF7" i="22"/>
  <c r="DI7" i="22" s="1"/>
  <c r="CB7" i="22"/>
  <c r="CA7" i="22"/>
  <c r="CL7" i="22" s="1"/>
  <c r="BU7" i="22"/>
  <c r="BT7" i="22"/>
  <c r="BZ7" i="22" s="1"/>
  <c r="CK7" i="22" s="1"/>
  <c r="BS7" i="22"/>
  <c r="BR7" i="22"/>
  <c r="CE7" i="22" s="1"/>
  <c r="BO7" i="22"/>
  <c r="BQ7" i="22" s="1"/>
  <c r="CD7" i="22" s="1"/>
  <c r="BN7" i="22"/>
  <c r="BM7" i="22"/>
  <c r="ED7" i="22" s="1"/>
  <c r="BL7" i="22"/>
  <c r="BK7" i="22"/>
  <c r="BJ7" i="22"/>
  <c r="BI7" i="22"/>
  <c r="BH7" i="22"/>
  <c r="BG7" i="22"/>
  <c r="BF7" i="22"/>
  <c r="BE7" i="22"/>
  <c r="BD7" i="22"/>
  <c r="BC7" i="22"/>
  <c r="BB7" i="22"/>
  <c r="BA7" i="22"/>
  <c r="BV7" i="22" s="1"/>
  <c r="CH7" i="22" s="1"/>
  <c r="AZ7" i="22"/>
  <c r="AY7" i="22"/>
  <c r="AX7" i="22"/>
  <c r="AW7" i="22"/>
  <c r="AV7" i="22"/>
  <c r="AU7" i="22"/>
  <c r="AT7" i="22"/>
  <c r="AS7" i="22"/>
  <c r="AR7" i="22"/>
  <c r="AQ7" i="22"/>
  <c r="AP7" i="22"/>
  <c r="AO7" i="22"/>
  <c r="AN7" i="22"/>
  <c r="AM7" i="22"/>
  <c r="DT7" i="22" s="1"/>
  <c r="EB7" i="22" s="1"/>
  <c r="AL7" i="22"/>
  <c r="AK7" i="22"/>
  <c r="AJ7" i="22"/>
  <c r="AI7" i="22"/>
  <c r="AH7" i="22"/>
  <c r="AG7" i="22"/>
  <c r="AF7" i="22"/>
  <c r="BP7" i="22" s="1"/>
  <c r="CC7" i="22" s="1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C7" i="22"/>
  <c r="B7" i="22"/>
  <c r="A7" i="22"/>
  <c r="EC6" i="22"/>
  <c r="DP6" i="22"/>
  <c r="DM6" i="22"/>
  <c r="DI6" i="22"/>
  <c r="CR6" i="22"/>
  <c r="CQ6" i="22"/>
  <c r="CP6" i="22"/>
  <c r="CO6" i="22"/>
  <c r="CN6" i="22"/>
  <c r="CM6" i="22"/>
  <c r="CF6" i="22"/>
  <c r="BP6" i="22"/>
  <c r="CC6" i="22" s="1"/>
  <c r="BN6" i="22"/>
  <c r="BM6" i="22"/>
  <c r="EF6" i="22" s="1"/>
  <c r="BL6" i="22"/>
  <c r="BK6" i="22"/>
  <c r="BJ6" i="22"/>
  <c r="BI6" i="22"/>
  <c r="BH6" i="22"/>
  <c r="BG6" i="22"/>
  <c r="BF6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BS6" i="22" s="1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B6" i="22"/>
  <c r="A6" i="22"/>
  <c r="ED5" i="22"/>
  <c r="EA5" i="22"/>
  <c r="DZ5" i="22"/>
  <c r="DY5" i="22"/>
  <c r="CR5" i="22"/>
  <c r="CQ5" i="22"/>
  <c r="CP5" i="22"/>
  <c r="CO5" i="22"/>
  <c r="CN5" i="22"/>
  <c r="CM5" i="22"/>
  <c r="CF5" i="22"/>
  <c r="DI5" i="22" s="1"/>
  <c r="BV5" i="22"/>
  <c r="CH5" i="22" s="1"/>
  <c r="BT5" i="22"/>
  <c r="BZ5" i="22" s="1"/>
  <c r="CK5" i="22" s="1"/>
  <c r="BN5" i="22"/>
  <c r="BM5" i="22"/>
  <c r="BL5" i="22"/>
  <c r="BO5" i="22" s="1"/>
  <c r="BK5" i="22"/>
  <c r="BJ5" i="22"/>
  <c r="BI5" i="22"/>
  <c r="BH5" i="22"/>
  <c r="BG5" i="22"/>
  <c r="BF5" i="22"/>
  <c r="BE5" i="22"/>
  <c r="BD5" i="22"/>
  <c r="BC5" i="22"/>
  <c r="BB5" i="22"/>
  <c r="BA5" i="22"/>
  <c r="AZ5" i="22"/>
  <c r="AY5" i="22"/>
  <c r="AX5" i="22"/>
  <c r="AW5" i="22"/>
  <c r="AV5" i="22"/>
  <c r="AU5" i="22"/>
  <c r="AT5" i="22"/>
  <c r="AS5" i="22"/>
  <c r="AR5" i="22"/>
  <c r="AQ5" i="22"/>
  <c r="AP5" i="22"/>
  <c r="AO5" i="22"/>
  <c r="AN5" i="22"/>
  <c r="AM5" i="22"/>
  <c r="DT5" i="22" s="1"/>
  <c r="EB5" i="22" s="1"/>
  <c r="AL5" i="22"/>
  <c r="AK5" i="22"/>
  <c r="AJ5" i="22"/>
  <c r="AI5" i="22"/>
  <c r="AH5" i="22"/>
  <c r="AG5" i="22"/>
  <c r="AF5" i="22"/>
  <c r="EE5" i="22" s="1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A5" i="22"/>
  <c r="EG4" i="22"/>
  <c r="ED4" i="22"/>
  <c r="DX4" i="22"/>
  <c r="DW4" i="22"/>
  <c r="DM4" i="22"/>
  <c r="DI4" i="22"/>
  <c r="DB4" i="22"/>
  <c r="CR4" i="22"/>
  <c r="CQ4" i="22"/>
  <c r="CP4" i="22"/>
  <c r="CO4" i="22"/>
  <c r="CN4" i="22"/>
  <c r="CY4" i="22" s="1"/>
  <c r="CM4" i="22"/>
  <c r="CG4" i="22"/>
  <c r="CF4" i="22"/>
  <c r="BN4" i="22"/>
  <c r="BM4" i="22"/>
  <c r="DT4" i="22" s="1"/>
  <c r="EB4" i="22" s="1"/>
  <c r="BL4" i="22"/>
  <c r="BS4" i="22" s="1"/>
  <c r="BK4" i="22"/>
  <c r="DY4" i="22" s="1"/>
  <c r="BJ4" i="22"/>
  <c r="BI4" i="22"/>
  <c r="BH4" i="22"/>
  <c r="BG4" i="22"/>
  <c r="BF4" i="22"/>
  <c r="BE4" i="22"/>
  <c r="BD4" i="22"/>
  <c r="BC4" i="22"/>
  <c r="BB4" i="22"/>
  <c r="BA4" i="22"/>
  <c r="AZ4" i="22"/>
  <c r="AY4" i="22"/>
  <c r="AX4" i="22"/>
  <c r="AW4" i="22"/>
  <c r="AV4" i="22"/>
  <c r="AU4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BU4" i="22" s="1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B4" i="22"/>
  <c r="A4" i="22"/>
  <c r="EA4" i="22" s="1"/>
  <c r="EG3" i="22"/>
  <c r="EE3" i="22"/>
  <c r="ED3" i="22"/>
  <c r="EC3" i="22"/>
  <c r="EB3" i="22"/>
  <c r="DT3" i="22"/>
  <c r="DC3" i="22"/>
  <c r="DB3" i="22"/>
  <c r="DA3" i="22"/>
  <c r="CZ3" i="22"/>
  <c r="CY3" i="22"/>
  <c r="CR3" i="22"/>
  <c r="CQ3" i="22"/>
  <c r="CP3" i="22"/>
  <c r="CO3" i="22"/>
  <c r="CN3" i="22"/>
  <c r="CM3" i="22"/>
  <c r="CF3" i="22"/>
  <c r="DI3" i="22" s="1"/>
  <c r="BU3" i="22"/>
  <c r="BS3" i="22"/>
  <c r="BR3" i="22"/>
  <c r="CE3" i="22" s="1"/>
  <c r="BN3" i="22"/>
  <c r="BM3" i="22"/>
  <c r="BL3" i="22"/>
  <c r="BO3" i="22" s="1"/>
  <c r="BK3" i="22"/>
  <c r="BJ3" i="22"/>
  <c r="BI3" i="22"/>
  <c r="BH3" i="22"/>
  <c r="BG3" i="22"/>
  <c r="BF3" i="22"/>
  <c r="BE3" i="22"/>
  <c r="BD3" i="22"/>
  <c r="BC3" i="22"/>
  <c r="BB3" i="22"/>
  <c r="BA3" i="22"/>
  <c r="BT3" i="22" s="1"/>
  <c r="BZ3" i="22" s="1"/>
  <c r="CK3" i="22" s="1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BP3" i="22" s="1"/>
  <c r="CC3" i="22" s="1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3" i="22"/>
  <c r="EC2" i="22"/>
  <c r="EB2" i="22"/>
  <c r="EA2" i="22"/>
  <c r="DZ2" i="22"/>
  <c r="DY2" i="22"/>
  <c r="DX2" i="22"/>
  <c r="DW2" i="22"/>
  <c r="DM2" i="22"/>
  <c r="DI2" i="22"/>
  <c r="CT2" i="22"/>
  <c r="CS2" i="22"/>
  <c r="CR2" i="22"/>
  <c r="CQ2" i="22"/>
  <c r="CP2" i="22"/>
  <c r="CO2" i="22"/>
  <c r="CN2" i="22"/>
  <c r="CM2" i="22"/>
  <c r="CG2" i="22"/>
  <c r="CF2" i="22"/>
  <c r="BW2" i="22"/>
  <c r="BY2" i="22" s="1"/>
  <c r="CJ2" i="22" s="1"/>
  <c r="BV2" i="22"/>
  <c r="CA2" i="22" s="1"/>
  <c r="CL2" i="22" s="1"/>
  <c r="BU2" i="22"/>
  <c r="BT2" i="22"/>
  <c r="BZ2" i="22" s="1"/>
  <c r="CK2" i="22" s="1"/>
  <c r="BS2" i="22"/>
  <c r="BQ2" i="22"/>
  <c r="CD2" i="22" s="1"/>
  <c r="BO2" i="22"/>
  <c r="CB2" i="22" s="1"/>
  <c r="BN2" i="22"/>
  <c r="BM2" i="22"/>
  <c r="DT2" i="22" s="1"/>
  <c r="BL2" i="22"/>
  <c r="BK2" i="22"/>
  <c r="BJ2" i="22"/>
  <c r="BI2" i="22"/>
  <c r="BH2" i="22"/>
  <c r="BG2" i="22"/>
  <c r="BF2" i="22"/>
  <c r="BE2" i="22"/>
  <c r="BD2" i="22"/>
  <c r="BC2" i="22"/>
  <c r="BB2" i="22"/>
  <c r="BA2" i="22"/>
  <c r="AZ2" i="22"/>
  <c r="AY2" i="22"/>
  <c r="AX2" i="22"/>
  <c r="AW2" i="22"/>
  <c r="AV2" i="22"/>
  <c r="AU2" i="22"/>
  <c r="AT2" i="22"/>
  <c r="AS2" i="22"/>
  <c r="AR2" i="22"/>
  <c r="AQ2" i="22"/>
  <c r="AP2" i="22"/>
  <c r="AO2" i="22"/>
  <c r="AN2" i="22"/>
  <c r="AM2" i="22"/>
  <c r="AL2" i="22"/>
  <c r="AK2" i="22"/>
  <c r="AJ2" i="22"/>
  <c r="AI2" i="22"/>
  <c r="AH2" i="22"/>
  <c r="AG2" i="22"/>
  <c r="AF2" i="22"/>
  <c r="AE2" i="22"/>
  <c r="AD2" i="22"/>
  <c r="AC2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DP2" i="22" s="1"/>
  <c r="A2" i="22"/>
  <c r="CW2" i="22" s="1"/>
  <c r="CM1" i="22"/>
  <c r="BN1" i="22"/>
  <c r="BM1" i="22"/>
  <c r="BL1" i="22"/>
  <c r="BK1" i="22"/>
  <c r="BJ1" i="22"/>
  <c r="BI1" i="22"/>
  <c r="BH1" i="22"/>
  <c r="BG1" i="22"/>
  <c r="BF1" i="22"/>
  <c r="BE1" i="22"/>
  <c r="BD1" i="22"/>
  <c r="BC1" i="22"/>
  <c r="BB1" i="22"/>
  <c r="BA1" i="22"/>
  <c r="AZ1" i="22"/>
  <c r="AY1" i="22"/>
  <c r="AX1" i="22"/>
  <c r="AW1" i="22"/>
  <c r="AV1" i="22"/>
  <c r="AU1" i="22"/>
  <c r="AT1" i="22"/>
  <c r="AS1" i="22"/>
  <c r="AR1" i="22"/>
  <c r="AQ1" i="22"/>
  <c r="AP1" i="22"/>
  <c r="AO1" i="22"/>
  <c r="AN1" i="22"/>
  <c r="AM1" i="22"/>
  <c r="AL1" i="22"/>
  <c r="AK1" i="22"/>
  <c r="AJ1" i="22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D1" i="22"/>
  <c r="C1" i="22"/>
  <c r="B1" i="22"/>
  <c r="A1" i="22"/>
  <c r="FW2" i="20"/>
  <c r="EQ3" i="21"/>
  <c r="EQ4" i="21"/>
  <c r="EQ5" i="21"/>
  <c r="EQ6" i="21"/>
  <c r="EQ7" i="21"/>
  <c r="EQ8" i="21"/>
  <c r="EQ9" i="21"/>
  <c r="EQ10" i="21"/>
  <c r="EQ11" i="21"/>
  <c r="EQ12" i="21"/>
  <c r="EQ13" i="21"/>
  <c r="EQ14" i="21"/>
  <c r="EQ15" i="21"/>
  <c r="EU15" i="21" s="1"/>
  <c r="EQ16" i="21"/>
  <c r="EQ17" i="21"/>
  <c r="EU17" i="21" s="1"/>
  <c r="EQ18" i="21"/>
  <c r="EU18" i="21" s="1"/>
  <c r="EQ19" i="21"/>
  <c r="EQ20" i="21"/>
  <c r="EQ21" i="21"/>
  <c r="EQ22" i="21"/>
  <c r="EQ23" i="21"/>
  <c r="EQ24" i="21"/>
  <c r="EQ25" i="21"/>
  <c r="EQ26" i="21"/>
  <c r="EQ27" i="21"/>
  <c r="EQ28" i="21"/>
  <c r="EQ29" i="21"/>
  <c r="EQ30" i="21"/>
  <c r="EQ31" i="21"/>
  <c r="EQ32" i="21"/>
  <c r="EU32" i="21" s="1"/>
  <c r="EQ33" i="21"/>
  <c r="EU33" i="21" s="1"/>
  <c r="EQ34" i="21"/>
  <c r="EQ35" i="21"/>
  <c r="EQ36" i="21"/>
  <c r="EQ37" i="21"/>
  <c r="EQ38" i="21"/>
  <c r="EQ39" i="21"/>
  <c r="EQ40" i="21"/>
  <c r="EU40" i="21" s="1"/>
  <c r="EQ41" i="21"/>
  <c r="EQ42" i="21"/>
  <c r="EQ43" i="21"/>
  <c r="EQ44" i="21"/>
  <c r="EQ45" i="21"/>
  <c r="EQ46" i="21"/>
  <c r="EQ47" i="21"/>
  <c r="EQ48" i="21"/>
  <c r="EQ49" i="21"/>
  <c r="EQ50" i="21"/>
  <c r="EQ51" i="21"/>
  <c r="EQ52" i="21"/>
  <c r="EQ53" i="21"/>
  <c r="EQ54" i="21"/>
  <c r="EQ55" i="21"/>
  <c r="EQ56" i="21"/>
  <c r="EQ57" i="21"/>
  <c r="EQ58" i="21"/>
  <c r="EQ59" i="21"/>
  <c r="EU59" i="21" s="1"/>
  <c r="EQ60" i="21"/>
  <c r="EU60" i="21" s="1"/>
  <c r="EQ61" i="21"/>
  <c r="EQ62" i="21"/>
  <c r="EQ63" i="21"/>
  <c r="EQ64" i="21"/>
  <c r="EQ65" i="21"/>
  <c r="EQ66" i="21"/>
  <c r="EQ67" i="21"/>
  <c r="EQ68" i="21"/>
  <c r="EQ69" i="21"/>
  <c r="EQ70" i="21"/>
  <c r="EQ71" i="21"/>
  <c r="EQ72" i="21"/>
  <c r="EU72" i="21" s="1"/>
  <c r="EQ73" i="21"/>
  <c r="EU73" i="21" s="1"/>
  <c r="EQ74" i="21"/>
  <c r="EQ75" i="21"/>
  <c r="EQ76" i="21"/>
  <c r="EQ77" i="21"/>
  <c r="EQ78" i="21"/>
  <c r="EQ79" i="21"/>
  <c r="EQ80" i="21"/>
  <c r="EQ81" i="21"/>
  <c r="EQ82" i="21"/>
  <c r="EQ83" i="21"/>
  <c r="EQ84" i="21"/>
  <c r="EQ85" i="21"/>
  <c r="EQ86" i="21"/>
  <c r="EQ87" i="21"/>
  <c r="EQ88" i="21"/>
  <c r="EQ89" i="21"/>
  <c r="EQ90" i="21"/>
  <c r="EQ91" i="21"/>
  <c r="EQ92" i="21"/>
  <c r="EU92" i="21" s="1"/>
  <c r="EQ93" i="21"/>
  <c r="EQ94" i="21"/>
  <c r="EQ95" i="21"/>
  <c r="EQ96" i="21"/>
  <c r="EQ97" i="21"/>
  <c r="EQ98" i="21"/>
  <c r="EQ99" i="21"/>
  <c r="EQ100" i="21"/>
  <c r="EQ101" i="21"/>
  <c r="EQ2" i="21"/>
  <c r="EP3" i="21"/>
  <c r="EP4" i="21"/>
  <c r="EP5" i="21"/>
  <c r="EP6" i="21"/>
  <c r="EP7" i="21"/>
  <c r="EP8" i="21"/>
  <c r="EP9" i="21"/>
  <c r="EP10" i="21"/>
  <c r="EP11" i="21"/>
  <c r="EP12" i="21"/>
  <c r="EP13" i="21"/>
  <c r="EP14" i="21"/>
  <c r="EU14" i="21" s="1"/>
  <c r="EP15" i="21"/>
  <c r="EP16" i="21"/>
  <c r="EP17" i="21"/>
  <c r="EP18" i="21"/>
  <c r="EP19" i="21"/>
  <c r="EP20" i="21"/>
  <c r="EU20" i="21" s="1"/>
  <c r="EP21" i="21"/>
  <c r="EU21" i="21" s="1"/>
  <c r="EP22" i="21"/>
  <c r="EP23" i="21"/>
  <c r="EP24" i="21"/>
  <c r="EP25" i="21"/>
  <c r="EP26" i="21"/>
  <c r="EP27" i="21"/>
  <c r="EP28" i="21"/>
  <c r="EP29" i="21"/>
  <c r="EP30" i="21"/>
  <c r="EP31" i="21"/>
  <c r="EP32" i="21"/>
  <c r="EP33" i="21"/>
  <c r="EP34" i="21"/>
  <c r="EU34" i="21" s="1"/>
  <c r="EP35" i="21"/>
  <c r="EU35" i="21" s="1"/>
  <c r="EP36" i="21"/>
  <c r="EP37" i="21"/>
  <c r="EP38" i="21"/>
  <c r="EU38" i="21" s="1"/>
  <c r="EP39" i="21"/>
  <c r="EU39" i="21" s="1"/>
  <c r="EP40" i="21"/>
  <c r="EP41" i="21"/>
  <c r="EU41" i="21" s="1"/>
  <c r="EP42" i="21"/>
  <c r="EP43" i="21"/>
  <c r="EU43" i="21" s="1"/>
  <c r="EP44" i="21"/>
  <c r="EP45" i="21"/>
  <c r="EP46" i="21"/>
  <c r="EP47" i="21"/>
  <c r="EP48" i="21"/>
  <c r="EP49" i="21"/>
  <c r="EP50" i="21"/>
  <c r="EU50" i="21" s="1"/>
  <c r="EP51" i="21"/>
  <c r="EU51" i="21" s="1"/>
  <c r="EP52" i="21"/>
  <c r="EP53" i="21"/>
  <c r="EP54" i="21"/>
  <c r="EP55" i="21"/>
  <c r="EP56" i="21"/>
  <c r="EP57" i="21"/>
  <c r="EP58" i="21"/>
  <c r="EU58" i="21" s="1"/>
  <c r="EP59" i="21"/>
  <c r="EP60" i="21"/>
  <c r="EP61" i="21"/>
  <c r="EP62" i="21"/>
  <c r="EP63" i="21"/>
  <c r="EU63" i="21" s="1"/>
  <c r="EP64" i="21"/>
  <c r="EP65" i="21"/>
  <c r="EP66" i="21"/>
  <c r="EP67" i="21"/>
  <c r="EP68" i="21"/>
  <c r="EP69" i="21"/>
  <c r="EP70" i="21"/>
  <c r="EU70" i="21" s="1"/>
  <c r="EP71" i="21"/>
  <c r="EP72" i="21"/>
  <c r="EP73" i="21"/>
  <c r="EP74" i="21"/>
  <c r="EP75" i="21"/>
  <c r="EP76" i="21"/>
  <c r="EP77" i="21"/>
  <c r="EU77" i="21" s="1"/>
  <c r="EP78" i="21"/>
  <c r="EU78" i="21" s="1"/>
  <c r="EP79" i="21"/>
  <c r="EU79" i="21" s="1"/>
  <c r="EP80" i="21"/>
  <c r="EU80" i="21" s="1"/>
  <c r="EP81" i="21"/>
  <c r="EP82" i="21"/>
  <c r="EU82" i="21" s="1"/>
  <c r="EP83" i="21"/>
  <c r="EP84" i="21"/>
  <c r="EP85" i="21"/>
  <c r="EP86" i="21"/>
  <c r="EP87" i="21"/>
  <c r="EP88" i="21"/>
  <c r="EP89" i="21"/>
  <c r="EP90" i="21"/>
  <c r="EP91" i="21"/>
  <c r="EP92" i="21"/>
  <c r="EP93" i="21"/>
  <c r="EP94" i="21"/>
  <c r="EP95" i="21"/>
  <c r="EU95" i="21" s="1"/>
  <c r="EP96" i="21"/>
  <c r="EP97" i="21"/>
  <c r="EP98" i="21"/>
  <c r="EU98" i="21" s="1"/>
  <c r="EP99" i="21"/>
  <c r="EU99" i="21" s="1"/>
  <c r="EP100" i="21"/>
  <c r="EP101" i="21"/>
  <c r="EU101" i="21" s="1"/>
  <c r="EP2" i="21"/>
  <c r="DF3" i="21"/>
  <c r="DG3" i="21"/>
  <c r="DH3" i="21"/>
  <c r="DI3" i="21"/>
  <c r="DF4" i="21"/>
  <c r="DG4" i="21"/>
  <c r="DH4" i="21"/>
  <c r="DI4" i="21"/>
  <c r="DF5" i="21"/>
  <c r="DG5" i="21"/>
  <c r="DH5" i="21"/>
  <c r="DI5" i="21"/>
  <c r="DF6" i="21"/>
  <c r="DG6" i="21"/>
  <c r="DH6" i="21"/>
  <c r="DI6" i="21"/>
  <c r="DF7" i="21"/>
  <c r="DG7" i="21"/>
  <c r="DH7" i="21"/>
  <c r="DI7" i="21"/>
  <c r="DF8" i="21"/>
  <c r="DG8" i="21"/>
  <c r="DH8" i="21"/>
  <c r="DI8" i="21"/>
  <c r="DF9" i="21"/>
  <c r="DG9" i="21"/>
  <c r="DH9" i="21"/>
  <c r="DI9" i="21"/>
  <c r="DF10" i="21"/>
  <c r="DG10" i="21"/>
  <c r="DH10" i="21"/>
  <c r="DI10" i="21"/>
  <c r="DF11" i="21"/>
  <c r="DG11" i="21"/>
  <c r="DH11" i="21"/>
  <c r="DI11" i="21"/>
  <c r="DF12" i="21"/>
  <c r="DG12" i="21"/>
  <c r="DH12" i="21"/>
  <c r="DI12" i="21"/>
  <c r="DF13" i="21"/>
  <c r="DG13" i="21"/>
  <c r="DH13" i="21"/>
  <c r="DI13" i="21"/>
  <c r="DF14" i="21"/>
  <c r="DG14" i="21"/>
  <c r="DH14" i="21"/>
  <c r="DI14" i="21"/>
  <c r="DF15" i="21"/>
  <c r="DG15" i="21"/>
  <c r="DH15" i="21"/>
  <c r="DI15" i="21"/>
  <c r="DF16" i="21"/>
  <c r="DG16" i="21"/>
  <c r="DH16" i="21"/>
  <c r="DI16" i="21"/>
  <c r="DF17" i="21"/>
  <c r="DG17" i="21"/>
  <c r="DH17" i="21"/>
  <c r="DI17" i="21"/>
  <c r="DF18" i="21"/>
  <c r="DG18" i="21"/>
  <c r="DH18" i="21"/>
  <c r="DI18" i="21"/>
  <c r="DF19" i="21"/>
  <c r="DG19" i="21"/>
  <c r="DH19" i="21"/>
  <c r="DI19" i="21"/>
  <c r="DF20" i="21"/>
  <c r="DG20" i="21"/>
  <c r="DH20" i="21"/>
  <c r="DI20" i="21"/>
  <c r="DF21" i="21"/>
  <c r="DG21" i="21"/>
  <c r="DH21" i="21"/>
  <c r="DI21" i="21"/>
  <c r="DF22" i="21"/>
  <c r="DG22" i="21"/>
  <c r="DH22" i="21"/>
  <c r="DI22" i="21"/>
  <c r="DF23" i="21"/>
  <c r="DG23" i="21"/>
  <c r="DH23" i="21"/>
  <c r="DI23" i="21"/>
  <c r="DF24" i="21"/>
  <c r="DG24" i="21"/>
  <c r="DH24" i="21"/>
  <c r="DI24" i="21"/>
  <c r="DF25" i="21"/>
  <c r="DG25" i="21"/>
  <c r="DH25" i="21"/>
  <c r="DI25" i="21"/>
  <c r="DF26" i="21"/>
  <c r="DG26" i="21"/>
  <c r="DH26" i="21"/>
  <c r="DI26" i="21"/>
  <c r="DF27" i="21"/>
  <c r="DG27" i="21"/>
  <c r="DH27" i="21"/>
  <c r="DI27" i="21"/>
  <c r="DF28" i="21"/>
  <c r="DG28" i="21"/>
  <c r="DH28" i="21"/>
  <c r="DI28" i="21"/>
  <c r="DF29" i="21"/>
  <c r="DG29" i="21"/>
  <c r="DH29" i="21"/>
  <c r="DI29" i="21"/>
  <c r="DF30" i="21"/>
  <c r="DG30" i="21"/>
  <c r="DH30" i="21"/>
  <c r="DI30" i="21"/>
  <c r="DF31" i="21"/>
  <c r="DG31" i="21"/>
  <c r="DH31" i="21"/>
  <c r="DI31" i="21"/>
  <c r="DF32" i="21"/>
  <c r="DG32" i="21"/>
  <c r="DH32" i="21"/>
  <c r="DI32" i="21"/>
  <c r="DF33" i="21"/>
  <c r="DG33" i="21"/>
  <c r="DH33" i="21"/>
  <c r="DI33" i="21"/>
  <c r="DF34" i="21"/>
  <c r="DG34" i="21"/>
  <c r="DH34" i="21"/>
  <c r="DI34" i="21"/>
  <c r="DF35" i="21"/>
  <c r="DG35" i="21"/>
  <c r="DH35" i="21"/>
  <c r="DI35" i="21"/>
  <c r="DF36" i="21"/>
  <c r="DG36" i="21"/>
  <c r="DH36" i="21"/>
  <c r="DI36" i="21"/>
  <c r="DF37" i="21"/>
  <c r="DG37" i="21"/>
  <c r="DH37" i="21"/>
  <c r="DI37" i="21"/>
  <c r="DF38" i="21"/>
  <c r="DG38" i="21"/>
  <c r="DH38" i="21"/>
  <c r="DI38" i="21"/>
  <c r="DF39" i="21"/>
  <c r="DG39" i="21"/>
  <c r="DH39" i="21"/>
  <c r="DI39" i="21"/>
  <c r="DF40" i="21"/>
  <c r="DG40" i="21"/>
  <c r="DH40" i="21"/>
  <c r="DI40" i="21"/>
  <c r="DF41" i="21"/>
  <c r="DG41" i="21"/>
  <c r="DH41" i="21"/>
  <c r="DI41" i="21"/>
  <c r="DF42" i="21"/>
  <c r="DG42" i="21"/>
  <c r="DH42" i="21"/>
  <c r="DI42" i="21"/>
  <c r="DF43" i="21"/>
  <c r="DG43" i="21"/>
  <c r="DH43" i="21"/>
  <c r="DI43" i="21"/>
  <c r="DF44" i="21"/>
  <c r="DG44" i="21"/>
  <c r="DH44" i="21"/>
  <c r="DI44" i="21"/>
  <c r="DF45" i="21"/>
  <c r="DG45" i="21"/>
  <c r="DH45" i="21"/>
  <c r="DI45" i="21"/>
  <c r="DF46" i="21"/>
  <c r="DG46" i="21"/>
  <c r="DH46" i="21"/>
  <c r="DI46" i="21"/>
  <c r="DF47" i="21"/>
  <c r="DG47" i="21"/>
  <c r="DH47" i="21"/>
  <c r="DI47" i="21"/>
  <c r="DF48" i="21"/>
  <c r="DG48" i="21"/>
  <c r="DH48" i="21"/>
  <c r="DI48" i="21"/>
  <c r="DF49" i="21"/>
  <c r="DG49" i="21"/>
  <c r="DH49" i="21"/>
  <c r="DI49" i="21"/>
  <c r="DF50" i="21"/>
  <c r="DG50" i="21"/>
  <c r="DH50" i="21"/>
  <c r="DI50" i="21"/>
  <c r="DF51" i="21"/>
  <c r="DG51" i="21"/>
  <c r="DH51" i="21"/>
  <c r="DI51" i="21"/>
  <c r="DF52" i="21"/>
  <c r="DG52" i="21"/>
  <c r="DH52" i="21"/>
  <c r="DI52" i="21"/>
  <c r="DF53" i="21"/>
  <c r="DG53" i="21"/>
  <c r="DH53" i="21"/>
  <c r="DI53" i="21"/>
  <c r="DF54" i="21"/>
  <c r="DG54" i="21"/>
  <c r="DH54" i="21"/>
  <c r="DI54" i="21"/>
  <c r="DF55" i="21"/>
  <c r="DG55" i="21"/>
  <c r="DH55" i="21"/>
  <c r="DI55" i="21"/>
  <c r="DF56" i="21"/>
  <c r="DG56" i="21"/>
  <c r="DH56" i="21"/>
  <c r="DI56" i="21"/>
  <c r="DF57" i="21"/>
  <c r="DG57" i="21"/>
  <c r="DH57" i="21"/>
  <c r="DI57" i="21"/>
  <c r="DF58" i="21"/>
  <c r="DG58" i="21"/>
  <c r="DH58" i="21"/>
  <c r="DI58" i="21"/>
  <c r="DF59" i="21"/>
  <c r="DG59" i="21"/>
  <c r="DH59" i="21"/>
  <c r="DI59" i="21"/>
  <c r="DF60" i="21"/>
  <c r="DG60" i="21"/>
  <c r="DH60" i="21"/>
  <c r="DI60" i="21"/>
  <c r="DF61" i="21"/>
  <c r="DG61" i="21"/>
  <c r="DH61" i="21"/>
  <c r="DI61" i="21"/>
  <c r="DF62" i="21"/>
  <c r="DG62" i="21"/>
  <c r="DH62" i="21"/>
  <c r="DI62" i="21"/>
  <c r="DF63" i="21"/>
  <c r="DG63" i="21"/>
  <c r="DH63" i="21"/>
  <c r="DI63" i="21"/>
  <c r="DF64" i="21"/>
  <c r="DG64" i="21"/>
  <c r="DH64" i="21"/>
  <c r="DI64" i="21"/>
  <c r="DF65" i="21"/>
  <c r="DG65" i="21"/>
  <c r="DH65" i="21"/>
  <c r="DI65" i="21"/>
  <c r="DF66" i="21"/>
  <c r="DG66" i="21"/>
  <c r="DH66" i="21"/>
  <c r="DI66" i="21"/>
  <c r="DF67" i="21"/>
  <c r="DG67" i="21"/>
  <c r="DH67" i="21"/>
  <c r="DI67" i="21"/>
  <c r="DF68" i="21"/>
  <c r="DG68" i="21"/>
  <c r="DH68" i="21"/>
  <c r="DI68" i="21"/>
  <c r="DF69" i="21"/>
  <c r="DG69" i="21"/>
  <c r="DH69" i="21"/>
  <c r="DI69" i="21"/>
  <c r="DF70" i="21"/>
  <c r="DG70" i="21"/>
  <c r="DH70" i="21"/>
  <c r="DI70" i="21"/>
  <c r="DF71" i="21"/>
  <c r="DG71" i="21"/>
  <c r="DH71" i="21"/>
  <c r="DI71" i="21"/>
  <c r="DF72" i="21"/>
  <c r="DG72" i="21"/>
  <c r="DH72" i="21"/>
  <c r="DI72" i="21"/>
  <c r="DF73" i="21"/>
  <c r="DG73" i="21"/>
  <c r="DH73" i="21"/>
  <c r="DI73" i="21"/>
  <c r="DF74" i="21"/>
  <c r="DG74" i="21"/>
  <c r="DH74" i="21"/>
  <c r="DI74" i="21"/>
  <c r="DF75" i="21"/>
  <c r="DG75" i="21"/>
  <c r="DH75" i="21"/>
  <c r="DI75" i="21"/>
  <c r="DF76" i="21"/>
  <c r="DG76" i="21"/>
  <c r="DH76" i="21"/>
  <c r="DI76" i="21"/>
  <c r="DF77" i="21"/>
  <c r="DG77" i="21"/>
  <c r="DH77" i="21"/>
  <c r="DI77" i="21"/>
  <c r="DF78" i="21"/>
  <c r="DG78" i="21"/>
  <c r="DH78" i="21"/>
  <c r="DI78" i="21"/>
  <c r="DF79" i="21"/>
  <c r="DG79" i="21"/>
  <c r="DH79" i="21"/>
  <c r="DI79" i="21"/>
  <c r="DF80" i="21"/>
  <c r="DG80" i="21"/>
  <c r="DH80" i="21"/>
  <c r="DI80" i="21"/>
  <c r="DF81" i="21"/>
  <c r="DG81" i="21"/>
  <c r="DH81" i="21"/>
  <c r="DI81" i="21"/>
  <c r="DF82" i="21"/>
  <c r="DG82" i="21"/>
  <c r="DH82" i="21"/>
  <c r="DI82" i="21"/>
  <c r="DF83" i="21"/>
  <c r="DG83" i="21"/>
  <c r="DH83" i="21"/>
  <c r="DI83" i="21"/>
  <c r="DF84" i="21"/>
  <c r="DG84" i="21"/>
  <c r="DH84" i="21"/>
  <c r="DI84" i="21"/>
  <c r="DF85" i="21"/>
  <c r="DG85" i="21"/>
  <c r="DH85" i="21"/>
  <c r="DI85" i="21"/>
  <c r="DF86" i="21"/>
  <c r="DG86" i="21"/>
  <c r="DH86" i="21"/>
  <c r="DI86" i="21"/>
  <c r="DF87" i="21"/>
  <c r="DG87" i="21"/>
  <c r="DH87" i="21"/>
  <c r="DI87" i="21"/>
  <c r="DF88" i="21"/>
  <c r="DG88" i="21"/>
  <c r="DH88" i="21"/>
  <c r="DI88" i="21"/>
  <c r="DF89" i="21"/>
  <c r="DG89" i="21"/>
  <c r="DH89" i="21"/>
  <c r="DI89" i="21"/>
  <c r="DF90" i="21"/>
  <c r="DG90" i="21"/>
  <c r="DH90" i="21"/>
  <c r="DI90" i="21"/>
  <c r="DF91" i="21"/>
  <c r="DG91" i="21"/>
  <c r="DH91" i="21"/>
  <c r="DI91" i="21"/>
  <c r="DF92" i="21"/>
  <c r="DG92" i="21"/>
  <c r="DH92" i="21"/>
  <c r="DI92" i="21"/>
  <c r="DF93" i="21"/>
  <c r="DG93" i="21"/>
  <c r="DH93" i="21"/>
  <c r="DI93" i="21"/>
  <c r="DF94" i="21"/>
  <c r="DG94" i="21"/>
  <c r="DH94" i="21"/>
  <c r="DI94" i="21"/>
  <c r="DF95" i="21"/>
  <c r="DG95" i="21"/>
  <c r="DH95" i="21"/>
  <c r="DI95" i="21"/>
  <c r="DF96" i="21"/>
  <c r="DG96" i="21"/>
  <c r="DH96" i="21"/>
  <c r="DI96" i="21"/>
  <c r="DF97" i="21"/>
  <c r="DG97" i="21"/>
  <c r="DH97" i="21"/>
  <c r="DI97" i="21"/>
  <c r="DF98" i="21"/>
  <c r="DG98" i="21"/>
  <c r="DH98" i="21"/>
  <c r="DI98" i="21"/>
  <c r="DF99" i="21"/>
  <c r="DG99" i="21"/>
  <c r="DH99" i="21"/>
  <c r="DI99" i="21"/>
  <c r="DF100" i="21"/>
  <c r="DG100" i="21"/>
  <c r="DH100" i="21"/>
  <c r="DI100" i="21"/>
  <c r="DF101" i="21"/>
  <c r="DG101" i="21"/>
  <c r="DH101" i="21"/>
  <c r="DI101" i="21"/>
  <c r="DI2" i="21"/>
  <c r="DH2" i="21"/>
  <c r="DG2" i="21"/>
  <c r="EM2" i="20"/>
  <c r="DF2" i="21"/>
  <c r="FS101" i="21"/>
  <c r="FR101" i="21"/>
  <c r="FQ101" i="21"/>
  <c r="FP101" i="21"/>
  <c r="FO101" i="21"/>
  <c r="FN101" i="21"/>
  <c r="FM101" i="21"/>
  <c r="FL101" i="21"/>
  <c r="FK101" i="21"/>
  <c r="FJ101" i="21"/>
  <c r="FI101" i="21"/>
  <c r="FH101" i="21"/>
  <c r="FG101" i="21"/>
  <c r="FF101" i="21"/>
  <c r="FE101" i="21"/>
  <c r="FD101" i="21"/>
  <c r="FB101" i="21"/>
  <c r="EY101" i="21"/>
  <c r="EV101" i="21"/>
  <c r="ET101" i="21"/>
  <c r="ES101" i="21"/>
  <c r="ER101" i="21"/>
  <c r="EE101" i="21"/>
  <c r="ED101" i="21"/>
  <c r="EC101" i="21"/>
  <c r="EB101" i="21"/>
  <c r="EA101" i="21"/>
  <c r="DZ101" i="21"/>
  <c r="DY101" i="21"/>
  <c r="DX101" i="21"/>
  <c r="DW101" i="21"/>
  <c r="DV101" i="21"/>
  <c r="DU101" i="21"/>
  <c r="DT101" i="21"/>
  <c r="DS101" i="21"/>
  <c r="DR101" i="21"/>
  <c r="DQ101" i="21"/>
  <c r="DP101" i="21"/>
  <c r="DO101" i="21"/>
  <c r="DN101" i="21"/>
  <c r="DE101" i="21"/>
  <c r="DD101" i="21"/>
  <c r="DB101" i="21"/>
  <c r="DA101" i="21"/>
  <c r="CZ101" i="21"/>
  <c r="CW101" i="21"/>
  <c r="CV101" i="21"/>
  <c r="CU101" i="21"/>
  <c r="CN101" i="21"/>
  <c r="CO101" i="21" s="1"/>
  <c r="CP101" i="21" s="1"/>
  <c r="CX101" i="21" s="1"/>
  <c r="CM101" i="21"/>
  <c r="CL101" i="21"/>
  <c r="CK101" i="21"/>
  <c r="CJ101" i="21"/>
  <c r="CI101" i="21"/>
  <c r="CH101" i="21"/>
  <c r="CG101" i="21"/>
  <c r="CF101" i="21"/>
  <c r="BV101" i="21"/>
  <c r="BX101" i="21" s="1"/>
  <c r="BU101" i="21"/>
  <c r="BT101" i="21"/>
  <c r="CD101" i="21" s="1"/>
  <c r="DL101" i="21" s="1"/>
  <c r="BS101" i="21"/>
  <c r="BR101" i="21"/>
  <c r="BQ101" i="21"/>
  <c r="BP101" i="21"/>
  <c r="BO101" i="21"/>
  <c r="BN101" i="21"/>
  <c r="BM101" i="21"/>
  <c r="BL101" i="21"/>
  <c r="EH101" i="21" s="1"/>
  <c r="EJ101" i="21" s="1"/>
  <c r="EL101" i="21" s="1"/>
  <c r="BK101" i="21"/>
  <c r="BJ101" i="21"/>
  <c r="BI101" i="21"/>
  <c r="BH101" i="21"/>
  <c r="BG101" i="21"/>
  <c r="BF101" i="21"/>
  <c r="BE101" i="21"/>
  <c r="BD101" i="21"/>
  <c r="BC101" i="21"/>
  <c r="BB101" i="21"/>
  <c r="BA101" i="21"/>
  <c r="AZ101" i="21"/>
  <c r="AY101" i="21"/>
  <c r="AX101" i="21"/>
  <c r="AW101" i="21"/>
  <c r="AV101" i="21"/>
  <c r="AU101" i="21"/>
  <c r="AT101" i="21"/>
  <c r="AS101" i="21"/>
  <c r="AR101" i="21"/>
  <c r="AQ101" i="21"/>
  <c r="AP101" i="21"/>
  <c r="AO101" i="21"/>
  <c r="AN101" i="21"/>
  <c r="AM101" i="21"/>
  <c r="AL101" i="21"/>
  <c r="AK101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FW100" i="21"/>
  <c r="FT100" i="21"/>
  <c r="FS100" i="21"/>
  <c r="FR100" i="21"/>
  <c r="FQ100" i="21"/>
  <c r="FP100" i="21"/>
  <c r="FO100" i="21"/>
  <c r="FN100" i="21"/>
  <c r="FM100" i="21"/>
  <c r="FL100" i="21"/>
  <c r="FK100" i="21"/>
  <c r="FJ100" i="21"/>
  <c r="FI100" i="21"/>
  <c r="FH100" i="21"/>
  <c r="FG100" i="21"/>
  <c r="FF100" i="21"/>
  <c r="FE100" i="21"/>
  <c r="FD100" i="21"/>
  <c r="FB100" i="21"/>
  <c r="EY100" i="21"/>
  <c r="EV100" i="21"/>
  <c r="ET100" i="21"/>
  <c r="ES100" i="21"/>
  <c r="ER100" i="21"/>
  <c r="EH100" i="21"/>
  <c r="EJ100" i="21" s="1"/>
  <c r="EL100" i="21" s="1"/>
  <c r="EE100" i="21"/>
  <c r="ED100" i="21"/>
  <c r="EC100" i="21"/>
  <c r="EB100" i="21"/>
  <c r="EA100" i="21"/>
  <c r="DZ100" i="21"/>
  <c r="DY100" i="21"/>
  <c r="DX100" i="21"/>
  <c r="DW100" i="21"/>
  <c r="DV100" i="21"/>
  <c r="DU100" i="21"/>
  <c r="DT100" i="21"/>
  <c r="DS100" i="21"/>
  <c r="DR100" i="21"/>
  <c r="DQ100" i="21"/>
  <c r="DP100" i="21"/>
  <c r="DO100" i="21"/>
  <c r="DN100" i="21"/>
  <c r="DE100" i="21"/>
  <c r="DD100" i="21"/>
  <c r="DB100" i="21"/>
  <c r="DA100" i="21"/>
  <c r="CW100" i="21"/>
  <c r="CV100" i="21"/>
  <c r="CU100" i="21"/>
  <c r="CN100" i="21"/>
  <c r="CM100" i="21"/>
  <c r="CL100" i="21"/>
  <c r="CJ100" i="21"/>
  <c r="CZ100" i="21" s="1"/>
  <c r="CI100" i="21"/>
  <c r="CH100" i="21"/>
  <c r="CG100" i="21"/>
  <c r="CF100" i="21"/>
  <c r="BU100" i="21"/>
  <c r="CC100" i="21" s="1"/>
  <c r="DK100" i="21" s="1"/>
  <c r="BT100" i="21"/>
  <c r="CD100" i="21" s="1"/>
  <c r="DL100" i="21" s="1"/>
  <c r="BS100" i="21"/>
  <c r="BR100" i="21"/>
  <c r="BQ100" i="21"/>
  <c r="BP100" i="21"/>
  <c r="BO100" i="21"/>
  <c r="BN100" i="21"/>
  <c r="BM100" i="21"/>
  <c r="BL100" i="21"/>
  <c r="BK100" i="21"/>
  <c r="BJ100" i="21"/>
  <c r="BI100" i="21"/>
  <c r="BH100" i="21"/>
  <c r="BG100" i="21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FX99" i="21"/>
  <c r="FW99" i="21"/>
  <c r="FV99" i="21"/>
  <c r="FY99" i="21" s="1"/>
  <c r="FU99" i="21"/>
  <c r="FT99" i="21"/>
  <c r="FS99" i="21"/>
  <c r="FR99" i="21"/>
  <c r="FQ99" i="21"/>
  <c r="FP99" i="21"/>
  <c r="FO99" i="21"/>
  <c r="FN99" i="21"/>
  <c r="FM99" i="21"/>
  <c r="FL99" i="21"/>
  <c r="FK99" i="21"/>
  <c r="FJ99" i="21"/>
  <c r="FI99" i="21"/>
  <c r="FH99" i="21"/>
  <c r="FG99" i="21"/>
  <c r="FF99" i="21"/>
  <c r="FE99" i="21"/>
  <c r="FD99" i="21"/>
  <c r="FB99" i="21"/>
  <c r="EY99" i="21"/>
  <c r="EV99" i="21"/>
  <c r="ET99" i="21"/>
  <c r="ES99" i="21"/>
  <c r="ER99" i="21"/>
  <c r="EI99" i="21"/>
  <c r="EK99" i="21" s="1"/>
  <c r="EM99" i="21" s="1"/>
  <c r="EH99" i="21"/>
  <c r="EJ99" i="21" s="1"/>
  <c r="EL99" i="21" s="1"/>
  <c r="EE99" i="21"/>
  <c r="ED99" i="21"/>
  <c r="EC99" i="21"/>
  <c r="EB99" i="21"/>
  <c r="EA99" i="21"/>
  <c r="DZ99" i="21"/>
  <c r="DY99" i="21"/>
  <c r="DX99" i="21"/>
  <c r="DW99" i="21"/>
  <c r="DV99" i="21"/>
  <c r="DU99" i="21"/>
  <c r="DT99" i="21"/>
  <c r="DS99" i="21"/>
  <c r="DR99" i="21"/>
  <c r="DQ99" i="21"/>
  <c r="DP99" i="21"/>
  <c r="DO99" i="21"/>
  <c r="DN99" i="21"/>
  <c r="DL99" i="21"/>
  <c r="DK99" i="21"/>
  <c r="DJ99" i="21"/>
  <c r="DE99" i="21"/>
  <c r="DD99" i="21"/>
  <c r="DB99" i="21"/>
  <c r="DA99" i="21"/>
  <c r="CW99" i="21"/>
  <c r="CV99" i="21"/>
  <c r="CU99" i="21"/>
  <c r="CO99" i="21"/>
  <c r="CP99" i="21" s="1"/>
  <c r="CN99" i="21"/>
  <c r="CM99" i="21"/>
  <c r="CL99" i="21"/>
  <c r="CJ99" i="21"/>
  <c r="CK99" i="21" s="1"/>
  <c r="CI99" i="21"/>
  <c r="CH99" i="21"/>
  <c r="CG99" i="21"/>
  <c r="CF99" i="21"/>
  <c r="CB99" i="21"/>
  <c r="CA99" i="21"/>
  <c r="CE99" i="21" s="1"/>
  <c r="DM99" i="21" s="1"/>
  <c r="BZ99" i="21"/>
  <c r="BU99" i="21"/>
  <c r="CC99" i="21" s="1"/>
  <c r="BT99" i="21"/>
  <c r="CD99" i="21" s="1"/>
  <c r="BS99" i="21"/>
  <c r="BR99" i="21"/>
  <c r="BQ99" i="21"/>
  <c r="BP99" i="21"/>
  <c r="BO99" i="21"/>
  <c r="BN99" i="21"/>
  <c r="BM99" i="21"/>
  <c r="BL99" i="21"/>
  <c r="BK99" i="21"/>
  <c r="BJ99" i="21"/>
  <c r="BI99" i="21"/>
  <c r="BH99" i="21"/>
  <c r="BG99" i="21"/>
  <c r="BF99" i="21"/>
  <c r="BE99" i="21"/>
  <c r="BD99" i="21"/>
  <c r="BC99" i="21"/>
  <c r="BB99" i="21"/>
  <c r="BA99" i="21"/>
  <c r="BW99" i="21" s="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FS98" i="21"/>
  <c r="FR98" i="21"/>
  <c r="FQ98" i="21"/>
  <c r="FP98" i="21"/>
  <c r="FO98" i="21"/>
  <c r="FN98" i="21"/>
  <c r="FM98" i="21"/>
  <c r="FL98" i="21"/>
  <c r="FK98" i="21"/>
  <c r="FJ98" i="21"/>
  <c r="FI98" i="21"/>
  <c r="FH98" i="21"/>
  <c r="FG98" i="21"/>
  <c r="FF98" i="21"/>
  <c r="FE98" i="21"/>
  <c r="FD98" i="21"/>
  <c r="FB98" i="21"/>
  <c r="EY98" i="21"/>
  <c r="EV98" i="21"/>
  <c r="ET98" i="21"/>
  <c r="ES98" i="21"/>
  <c r="ER98" i="21"/>
  <c r="EI98" i="21"/>
  <c r="EE98" i="21"/>
  <c r="ED98" i="21"/>
  <c r="EC98" i="21"/>
  <c r="EB98" i="21"/>
  <c r="EA98" i="21"/>
  <c r="DZ98" i="21"/>
  <c r="DY98" i="21"/>
  <c r="DX98" i="21"/>
  <c r="DW98" i="21"/>
  <c r="DV98" i="21"/>
  <c r="DU98" i="21"/>
  <c r="DT98" i="21"/>
  <c r="DS98" i="21"/>
  <c r="DR98" i="21"/>
  <c r="DQ98" i="21"/>
  <c r="DP98" i="21"/>
  <c r="DO98" i="21"/>
  <c r="DN98" i="21"/>
  <c r="DM98" i="21"/>
  <c r="DE98" i="21"/>
  <c r="DD98" i="21"/>
  <c r="DB98" i="21"/>
  <c r="DA98" i="21"/>
  <c r="CW98" i="21"/>
  <c r="CV98" i="21"/>
  <c r="CU98" i="21"/>
  <c r="CN98" i="21"/>
  <c r="CM98" i="21"/>
  <c r="CL98" i="21"/>
  <c r="CI98" i="21"/>
  <c r="CH98" i="21"/>
  <c r="CG98" i="21"/>
  <c r="CF98" i="21"/>
  <c r="CD98" i="21"/>
  <c r="DL98" i="21" s="1"/>
  <c r="CB98" i="21"/>
  <c r="DJ98" i="21" s="1"/>
  <c r="BV98" i="21"/>
  <c r="BU98" i="21"/>
  <c r="CC98" i="21" s="1"/>
  <c r="DK98" i="21" s="1"/>
  <c r="BT98" i="21"/>
  <c r="BS98" i="21"/>
  <c r="BR98" i="21"/>
  <c r="BQ98" i="21"/>
  <c r="BP98" i="21"/>
  <c r="BO98" i="21"/>
  <c r="BN98" i="21"/>
  <c r="BM98" i="21"/>
  <c r="BL98" i="21"/>
  <c r="BK98" i="21"/>
  <c r="BJ98" i="21"/>
  <c r="BI98" i="21"/>
  <c r="BH98" i="21"/>
  <c r="BG98" i="21"/>
  <c r="BF98" i="21"/>
  <c r="BE98" i="21"/>
  <c r="BD98" i="21"/>
  <c r="BC98" i="21"/>
  <c r="BB98" i="21"/>
  <c r="BA98" i="21"/>
  <c r="CA98" i="21" s="1"/>
  <c r="CE98" i="21" s="1"/>
  <c r="AZ98" i="21"/>
  <c r="AY98" i="21"/>
  <c r="AX98" i="21"/>
  <c r="AW98" i="21"/>
  <c r="AV98" i="21"/>
  <c r="AU98" i="21"/>
  <c r="AT98" i="21"/>
  <c r="AS98" i="21"/>
  <c r="AR98" i="21"/>
  <c r="AQ98" i="21"/>
  <c r="AP98" i="21"/>
  <c r="BW98" i="21" s="1"/>
  <c r="BZ98" i="21" s="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FS97" i="21"/>
  <c r="FR97" i="21"/>
  <c r="FQ97" i="21"/>
  <c r="FP97" i="21"/>
  <c r="FO97" i="21"/>
  <c r="FN97" i="21"/>
  <c r="FM97" i="21"/>
  <c r="FL97" i="21"/>
  <c r="FK97" i="21"/>
  <c r="FJ97" i="21"/>
  <c r="FI97" i="21"/>
  <c r="FH97" i="21"/>
  <c r="FG97" i="21"/>
  <c r="FF97" i="21"/>
  <c r="FE97" i="21"/>
  <c r="FD97" i="21"/>
  <c r="FB97" i="21"/>
  <c r="EY97" i="21"/>
  <c r="EV97" i="21"/>
  <c r="ET97" i="21"/>
  <c r="ES97" i="21"/>
  <c r="ER97" i="21"/>
  <c r="EI97" i="21"/>
  <c r="EE97" i="21"/>
  <c r="ED97" i="21"/>
  <c r="EC97" i="21"/>
  <c r="EB97" i="21"/>
  <c r="EA97" i="21"/>
  <c r="DZ97" i="21"/>
  <c r="DY97" i="21"/>
  <c r="DX97" i="21"/>
  <c r="DW97" i="21"/>
  <c r="DV97" i="21"/>
  <c r="DU97" i="21"/>
  <c r="DT97" i="21"/>
  <c r="DS97" i="21"/>
  <c r="DR97" i="21"/>
  <c r="DQ97" i="21"/>
  <c r="DP97" i="21"/>
  <c r="DO97" i="21"/>
  <c r="DN97" i="21"/>
  <c r="DE97" i="21"/>
  <c r="DD97" i="21"/>
  <c r="DB97" i="21"/>
  <c r="DA97" i="21"/>
  <c r="CW97" i="21"/>
  <c r="CV97" i="21"/>
  <c r="CU97" i="21"/>
  <c r="CN97" i="21"/>
  <c r="CM97" i="21"/>
  <c r="CL97" i="21"/>
  <c r="CI97" i="21"/>
  <c r="CH97" i="21"/>
  <c r="CG97" i="21"/>
  <c r="CF97" i="21"/>
  <c r="CE97" i="21"/>
  <c r="DM97" i="21" s="1"/>
  <c r="CD97" i="21"/>
  <c r="DL97" i="21" s="1"/>
  <c r="CC97" i="21"/>
  <c r="DK97" i="21" s="1"/>
  <c r="CB97" i="21"/>
  <c r="DJ97" i="21" s="1"/>
  <c r="CA97" i="21"/>
  <c r="BT97" i="21"/>
  <c r="BS97" i="21"/>
  <c r="BR97" i="21"/>
  <c r="BQ97" i="21"/>
  <c r="BP97" i="21"/>
  <c r="BO97" i="21"/>
  <c r="BN97" i="21"/>
  <c r="BM97" i="21"/>
  <c r="BU97" i="21" s="1"/>
  <c r="BL97" i="21"/>
  <c r="BK97" i="21"/>
  <c r="BJ97" i="21"/>
  <c r="BI97" i="21"/>
  <c r="BH97" i="21"/>
  <c r="BG97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EH97" i="21" s="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FS96" i="21"/>
  <c r="FR96" i="21"/>
  <c r="FQ96" i="21"/>
  <c r="FP96" i="21"/>
  <c r="FO96" i="21"/>
  <c r="FN96" i="21"/>
  <c r="FM96" i="21"/>
  <c r="FL96" i="21"/>
  <c r="FK96" i="21"/>
  <c r="FJ96" i="21"/>
  <c r="FI96" i="21"/>
  <c r="FH96" i="21"/>
  <c r="FG96" i="21"/>
  <c r="FF96" i="21"/>
  <c r="FE96" i="21"/>
  <c r="FD96" i="21"/>
  <c r="FB96" i="21"/>
  <c r="EY96" i="21"/>
  <c r="EV96" i="21"/>
  <c r="ET96" i="21"/>
  <c r="ES96" i="21"/>
  <c r="ER96" i="21"/>
  <c r="EE96" i="21"/>
  <c r="ED96" i="21"/>
  <c r="EC96" i="21"/>
  <c r="EB96" i="21"/>
  <c r="EA96" i="21"/>
  <c r="DZ96" i="21"/>
  <c r="DY96" i="21"/>
  <c r="DX96" i="21"/>
  <c r="DW96" i="21"/>
  <c r="DV96" i="21"/>
  <c r="DU96" i="21"/>
  <c r="DT96" i="21"/>
  <c r="DS96" i="21"/>
  <c r="DR96" i="21"/>
  <c r="DQ96" i="21"/>
  <c r="DP96" i="21"/>
  <c r="DO96" i="21"/>
  <c r="DN96" i="21"/>
  <c r="DE96" i="21"/>
  <c r="DD96" i="21"/>
  <c r="DB96" i="21"/>
  <c r="DA96" i="21"/>
  <c r="CW96" i="21"/>
  <c r="CV96" i="21"/>
  <c r="CU96" i="21"/>
  <c r="CN96" i="21"/>
  <c r="CM96" i="21"/>
  <c r="CL96" i="21"/>
  <c r="CJ96" i="21"/>
  <c r="CI96" i="21"/>
  <c r="CH96" i="21"/>
  <c r="CG96" i="21"/>
  <c r="CF96" i="21"/>
  <c r="BT96" i="21"/>
  <c r="BS96" i="21"/>
  <c r="BR96" i="21"/>
  <c r="BQ96" i="21"/>
  <c r="BP96" i="21"/>
  <c r="BO96" i="21"/>
  <c r="BN96" i="21"/>
  <c r="BM96" i="21"/>
  <c r="BU96" i="21" s="1"/>
  <c r="BL96" i="21"/>
  <c r="BK96" i="21"/>
  <c r="BJ96" i="21"/>
  <c r="BI96" i="21"/>
  <c r="BH96" i="21"/>
  <c r="BG96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FS95" i="21"/>
  <c r="FR95" i="21"/>
  <c r="FQ95" i="21"/>
  <c r="FP95" i="21"/>
  <c r="FO95" i="21"/>
  <c r="FN95" i="21"/>
  <c r="FM95" i="21"/>
  <c r="FL95" i="21"/>
  <c r="FK95" i="21"/>
  <c r="FJ95" i="21"/>
  <c r="FI95" i="21"/>
  <c r="FH95" i="21"/>
  <c r="FG95" i="21"/>
  <c r="FF95" i="21"/>
  <c r="FE95" i="21"/>
  <c r="FD95" i="21"/>
  <c r="FB95" i="21"/>
  <c r="EY95" i="21"/>
  <c r="EV95" i="21"/>
  <c r="ET95" i="21"/>
  <c r="ES95" i="21"/>
  <c r="ER95" i="21"/>
  <c r="EE95" i="21"/>
  <c r="ED95" i="21"/>
  <c r="EC95" i="21"/>
  <c r="EB95" i="21"/>
  <c r="EA95" i="21"/>
  <c r="DZ95" i="21"/>
  <c r="DY95" i="21"/>
  <c r="DX95" i="21"/>
  <c r="DW95" i="21"/>
  <c r="DV95" i="21"/>
  <c r="DU95" i="21"/>
  <c r="DT95" i="21"/>
  <c r="DS95" i="21"/>
  <c r="DR95" i="21"/>
  <c r="DQ95" i="21"/>
  <c r="DP95" i="21"/>
  <c r="DO95" i="21"/>
  <c r="DN95" i="21"/>
  <c r="DE95" i="21"/>
  <c r="DD95" i="21"/>
  <c r="DB95" i="21"/>
  <c r="DA95" i="21"/>
  <c r="CZ95" i="21"/>
  <c r="CW95" i="21"/>
  <c r="CV95" i="21"/>
  <c r="CU95" i="21"/>
  <c r="CN95" i="21"/>
  <c r="CM95" i="21"/>
  <c r="CL95" i="21"/>
  <c r="CJ95" i="21"/>
  <c r="CK95" i="21" s="1"/>
  <c r="CI95" i="21"/>
  <c r="CH95" i="21"/>
  <c r="CG95" i="21"/>
  <c r="CF95" i="21"/>
  <c r="BT95" i="21"/>
  <c r="CD95" i="21" s="1"/>
  <c r="DL95" i="21" s="1"/>
  <c r="BS95" i="21"/>
  <c r="BR95" i="21"/>
  <c r="BQ95" i="21"/>
  <c r="BP95" i="21"/>
  <c r="BO95" i="21"/>
  <c r="BN95" i="21"/>
  <c r="BM95" i="21"/>
  <c r="BU95" i="21" s="1"/>
  <c r="BL95" i="21"/>
  <c r="BK95" i="21"/>
  <c r="BJ95" i="21"/>
  <c r="BI95" i="21"/>
  <c r="BH95" i="21"/>
  <c r="BG95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FT94" i="21"/>
  <c r="FS94" i="21"/>
  <c r="FR94" i="21"/>
  <c r="FQ94" i="21"/>
  <c r="FP94" i="21"/>
  <c r="FO94" i="21"/>
  <c r="FN94" i="21"/>
  <c r="FM94" i="21"/>
  <c r="FL94" i="21"/>
  <c r="FK94" i="21"/>
  <c r="FJ94" i="21"/>
  <c r="FI94" i="21"/>
  <c r="FH94" i="21"/>
  <c r="FG94" i="21"/>
  <c r="FF94" i="21"/>
  <c r="FE94" i="21"/>
  <c r="FD94" i="21"/>
  <c r="FB94" i="21"/>
  <c r="EY94" i="21"/>
  <c r="EV94" i="21"/>
  <c r="ET94" i="21"/>
  <c r="ES94" i="21"/>
  <c r="ER94" i="21"/>
  <c r="EU94" i="21"/>
  <c r="EE94" i="21"/>
  <c r="ED94" i="21"/>
  <c r="EC94" i="21"/>
  <c r="EB94" i="21"/>
  <c r="EA94" i="21"/>
  <c r="DZ94" i="21"/>
  <c r="DY94" i="21"/>
  <c r="DX94" i="21"/>
  <c r="DW94" i="21"/>
  <c r="DV94" i="21"/>
  <c r="DU94" i="21"/>
  <c r="DT94" i="21"/>
  <c r="DS94" i="21"/>
  <c r="DR94" i="21"/>
  <c r="DQ94" i="21"/>
  <c r="DP94" i="21"/>
  <c r="DO94" i="21"/>
  <c r="DN94" i="21"/>
  <c r="DJ94" i="21"/>
  <c r="DE94" i="21"/>
  <c r="DD94" i="21"/>
  <c r="DB94" i="21"/>
  <c r="DA94" i="21"/>
  <c r="CW94" i="21"/>
  <c r="CV94" i="21"/>
  <c r="CU94" i="21"/>
  <c r="CN94" i="21"/>
  <c r="CM94" i="21"/>
  <c r="CL94" i="21"/>
  <c r="CK94" i="21"/>
  <c r="CJ94" i="21"/>
  <c r="CI94" i="21"/>
  <c r="CH94" i="21"/>
  <c r="CG94" i="21"/>
  <c r="CF94" i="21"/>
  <c r="BT94" i="21"/>
  <c r="BS94" i="21"/>
  <c r="CB94" i="21" s="1"/>
  <c r="BR94" i="21"/>
  <c r="BQ94" i="21"/>
  <c r="BP94" i="21"/>
  <c r="BO94" i="21"/>
  <c r="BN94" i="21"/>
  <c r="BM94" i="21"/>
  <c r="BU94" i="21" s="1"/>
  <c r="BL94" i="21"/>
  <c r="EH94" i="21" s="1"/>
  <c r="EJ94" i="21" s="1"/>
  <c r="EL94" i="21" s="1"/>
  <c r="BK94" i="21"/>
  <c r="BJ94" i="21"/>
  <c r="BI94" i="21"/>
  <c r="BH94" i="21"/>
  <c r="BG94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FS93" i="21"/>
  <c r="FR93" i="21"/>
  <c r="FQ93" i="21"/>
  <c r="FP93" i="21"/>
  <c r="FO93" i="21"/>
  <c r="FN93" i="21"/>
  <c r="FM93" i="21"/>
  <c r="FL93" i="21"/>
  <c r="FK93" i="21"/>
  <c r="FJ93" i="21"/>
  <c r="FI93" i="21"/>
  <c r="FH93" i="21"/>
  <c r="FG93" i="21"/>
  <c r="FF93" i="21"/>
  <c r="FE93" i="21"/>
  <c r="FD93" i="21"/>
  <c r="FB93" i="21"/>
  <c r="EY93" i="21"/>
  <c r="EV93" i="21"/>
  <c r="ET93" i="21"/>
  <c r="ES93" i="21"/>
  <c r="ER93" i="21"/>
  <c r="EH93" i="21"/>
  <c r="FT93" i="21" s="1"/>
  <c r="EE93" i="21"/>
  <c r="ED93" i="21"/>
  <c r="EC93" i="21"/>
  <c r="EB93" i="21"/>
  <c r="EA93" i="21"/>
  <c r="DZ93" i="21"/>
  <c r="DY93" i="21"/>
  <c r="DX93" i="21"/>
  <c r="DW93" i="21"/>
  <c r="DV93" i="21"/>
  <c r="DU93" i="21"/>
  <c r="DT93" i="21"/>
  <c r="DS93" i="21"/>
  <c r="DR93" i="21"/>
  <c r="DQ93" i="21"/>
  <c r="DP93" i="21"/>
  <c r="DO93" i="21"/>
  <c r="DN93" i="21"/>
  <c r="DL93" i="21"/>
  <c r="DE93" i="21"/>
  <c r="DD93" i="21"/>
  <c r="DB93" i="21"/>
  <c r="DA93" i="21"/>
  <c r="CW93" i="21"/>
  <c r="CV93" i="21"/>
  <c r="CU93" i="21"/>
  <c r="CN93" i="21"/>
  <c r="CM93" i="21"/>
  <c r="CL93" i="21"/>
  <c r="CJ93" i="21"/>
  <c r="CZ93" i="21" s="1"/>
  <c r="CI93" i="21"/>
  <c r="CH93" i="21"/>
  <c r="CG93" i="21"/>
  <c r="CF93" i="21"/>
  <c r="BU93" i="21"/>
  <c r="BT93" i="21"/>
  <c r="CD93" i="21" s="1"/>
  <c r="BS93" i="21"/>
  <c r="BR93" i="21"/>
  <c r="BQ93" i="21"/>
  <c r="BP93" i="21"/>
  <c r="BO93" i="21"/>
  <c r="BN93" i="21"/>
  <c r="BM93" i="21"/>
  <c r="BL93" i="21"/>
  <c r="BK93" i="21"/>
  <c r="BJ93" i="21"/>
  <c r="BI93" i="21"/>
  <c r="BH93" i="21"/>
  <c r="BG93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FT92" i="21"/>
  <c r="FS92" i="21"/>
  <c r="FR92" i="21"/>
  <c r="FQ92" i="21"/>
  <c r="FP92" i="21"/>
  <c r="FO92" i="21"/>
  <c r="FN92" i="21"/>
  <c r="FM92" i="21"/>
  <c r="FL92" i="21"/>
  <c r="FK92" i="21"/>
  <c r="FJ92" i="21"/>
  <c r="FI92" i="21"/>
  <c r="FH92" i="21"/>
  <c r="FG92" i="21"/>
  <c r="FF92" i="21"/>
  <c r="FE92" i="21"/>
  <c r="FD92" i="21"/>
  <c r="FB92" i="21"/>
  <c r="EY92" i="21"/>
  <c r="EV92" i="21"/>
  <c r="ET92" i="21"/>
  <c r="ES92" i="21"/>
  <c r="ER92" i="21"/>
  <c r="EK92" i="21"/>
  <c r="EM92" i="21" s="1"/>
  <c r="FX92" i="21" s="1"/>
  <c r="EH92" i="21"/>
  <c r="EJ92" i="21" s="1"/>
  <c r="EL92" i="21" s="1"/>
  <c r="EE92" i="21"/>
  <c r="ED92" i="21"/>
  <c r="EC92" i="21"/>
  <c r="EB92" i="21"/>
  <c r="EA92" i="21"/>
  <c r="DZ92" i="21"/>
  <c r="DY92" i="21"/>
  <c r="DX92" i="21"/>
  <c r="DW92" i="21"/>
  <c r="DV92" i="21"/>
  <c r="DU92" i="21"/>
  <c r="DT92" i="21"/>
  <c r="DS92" i="21"/>
  <c r="DR92" i="21"/>
  <c r="DQ92" i="21"/>
  <c r="DP92" i="21"/>
  <c r="DO92" i="21"/>
  <c r="DN92" i="21"/>
  <c r="DE92" i="21"/>
  <c r="DD92" i="21"/>
  <c r="DB92" i="21"/>
  <c r="DA92" i="21"/>
  <c r="CW92" i="21"/>
  <c r="CV92" i="21"/>
  <c r="CU92" i="21"/>
  <c r="CN92" i="21"/>
  <c r="CM92" i="21"/>
  <c r="CL92" i="21"/>
  <c r="CI92" i="21"/>
  <c r="CH92" i="21"/>
  <c r="CG92" i="21"/>
  <c r="CF92" i="21"/>
  <c r="CB92" i="21"/>
  <c r="DJ92" i="21" s="1"/>
  <c r="CA92" i="21"/>
  <c r="CE92" i="21" s="1"/>
  <c r="DM92" i="21" s="1"/>
  <c r="BW92" i="21"/>
  <c r="BZ92" i="21" s="1"/>
  <c r="BU92" i="21"/>
  <c r="CC92" i="21" s="1"/>
  <c r="DK92" i="21" s="1"/>
  <c r="BT92" i="21"/>
  <c r="CD92" i="21" s="1"/>
  <c r="DL92" i="21" s="1"/>
  <c r="BS92" i="21"/>
  <c r="BR92" i="21"/>
  <c r="BQ92" i="21"/>
  <c r="BP92" i="21"/>
  <c r="BO92" i="21"/>
  <c r="BN92" i="21"/>
  <c r="BM92" i="21"/>
  <c r="BL92" i="21"/>
  <c r="CJ92" i="21" s="1"/>
  <c r="BK92" i="21"/>
  <c r="BJ92" i="21"/>
  <c r="BI92" i="21"/>
  <c r="BH92" i="21"/>
  <c r="BG92" i="21"/>
  <c r="BF92" i="21"/>
  <c r="BE92" i="21"/>
  <c r="BD92" i="21"/>
  <c r="BC92" i="21"/>
  <c r="BB92" i="21"/>
  <c r="BA92" i="21"/>
  <c r="EI92" i="21" s="1"/>
  <c r="FU92" i="21" s="1"/>
  <c r="FV92" i="21" s="1"/>
  <c r="AZ92" i="21"/>
  <c r="AY92" i="21"/>
  <c r="AX92" i="21"/>
  <c r="AW92" i="21"/>
  <c r="AV92" i="21"/>
  <c r="AU92" i="21"/>
  <c r="AT92" i="21"/>
  <c r="AS92" i="21"/>
  <c r="AR92" i="21"/>
  <c r="AQ92" i="21"/>
  <c r="AP92" i="21"/>
  <c r="AO92" i="21"/>
  <c r="AN92" i="21"/>
  <c r="AM92" i="21"/>
  <c r="AL92" i="21"/>
  <c r="AK92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FS91" i="21"/>
  <c r="FR91" i="21"/>
  <c r="FQ91" i="21"/>
  <c r="FP91" i="21"/>
  <c r="FO91" i="21"/>
  <c r="FN91" i="21"/>
  <c r="FM91" i="21"/>
  <c r="FL91" i="21"/>
  <c r="FK91" i="21"/>
  <c r="FJ91" i="21"/>
  <c r="FI91" i="21"/>
  <c r="FH91" i="21"/>
  <c r="FG91" i="21"/>
  <c r="FF91" i="21"/>
  <c r="FE91" i="21"/>
  <c r="FD91" i="21"/>
  <c r="FB91" i="21"/>
  <c r="EY91" i="21"/>
  <c r="EV91" i="21"/>
  <c r="ET91" i="21"/>
  <c r="ES91" i="21"/>
  <c r="ER91" i="21"/>
  <c r="EU91" i="21"/>
  <c r="EI91" i="21"/>
  <c r="FU91" i="21" s="1"/>
  <c r="EE91" i="21"/>
  <c r="ED91" i="21"/>
  <c r="EC91" i="21"/>
  <c r="EB91" i="21"/>
  <c r="EA91" i="21"/>
  <c r="DZ91" i="21"/>
  <c r="DY91" i="21"/>
  <c r="DX91" i="21"/>
  <c r="DW91" i="21"/>
  <c r="DV91" i="21"/>
  <c r="DU91" i="21"/>
  <c r="DT91" i="21"/>
  <c r="DS91" i="21"/>
  <c r="DR91" i="21"/>
  <c r="DQ91" i="21"/>
  <c r="DP91" i="21"/>
  <c r="DO91" i="21"/>
  <c r="DN91" i="21"/>
  <c r="DM91" i="21"/>
  <c r="DK91" i="21"/>
  <c r="DE91" i="21"/>
  <c r="DD91" i="21"/>
  <c r="DB91" i="21"/>
  <c r="DA91" i="21"/>
  <c r="CW91" i="21"/>
  <c r="CV91" i="21"/>
  <c r="CU91" i="21"/>
  <c r="CS91" i="21"/>
  <c r="CN91" i="21"/>
  <c r="CM91" i="21"/>
  <c r="CL91" i="21"/>
  <c r="CI91" i="21"/>
  <c r="CH91" i="21"/>
  <c r="CG91" i="21"/>
  <c r="CF91" i="21"/>
  <c r="CE91" i="21"/>
  <c r="CD91" i="21"/>
  <c r="DL91" i="21" s="1"/>
  <c r="CC91" i="21"/>
  <c r="CA91" i="21"/>
  <c r="BU91" i="21"/>
  <c r="BT91" i="21"/>
  <c r="BS91" i="21"/>
  <c r="BR91" i="21"/>
  <c r="BQ91" i="21"/>
  <c r="BP91" i="21"/>
  <c r="BO91" i="21"/>
  <c r="BN91" i="21"/>
  <c r="BM91" i="21"/>
  <c r="BL91" i="21"/>
  <c r="BK91" i="21"/>
  <c r="BJ91" i="21"/>
  <c r="BI91" i="21"/>
  <c r="BH91" i="21"/>
  <c r="BG91" i="21"/>
  <c r="BF91" i="21"/>
  <c r="BE91" i="21"/>
  <c r="BD91" i="21"/>
  <c r="BC91" i="21"/>
  <c r="BB91" i="21"/>
  <c r="BA91" i="21"/>
  <c r="AZ91" i="21"/>
  <c r="AY91" i="21"/>
  <c r="AX91" i="21"/>
  <c r="AW91" i="21"/>
  <c r="AV91" i="21"/>
  <c r="AU91" i="21"/>
  <c r="AT91" i="21"/>
  <c r="AS91" i="21"/>
  <c r="AR91" i="21"/>
  <c r="AQ91" i="21"/>
  <c r="AP91" i="21"/>
  <c r="BW91" i="21" s="1"/>
  <c r="BZ91" i="21" s="1"/>
  <c r="AO91" i="21"/>
  <c r="BV91" i="21" s="1"/>
  <c r="BX91" i="21" s="1"/>
  <c r="BY91" i="21" s="1"/>
  <c r="AN91" i="21"/>
  <c r="AM91" i="21"/>
  <c r="AL91" i="21"/>
  <c r="AK91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EH91" i="21" s="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FS90" i="21"/>
  <c r="FR90" i="21"/>
  <c r="FQ90" i="21"/>
  <c r="FP90" i="21"/>
  <c r="FO90" i="21"/>
  <c r="FN90" i="21"/>
  <c r="FM90" i="21"/>
  <c r="FL90" i="21"/>
  <c r="FK90" i="21"/>
  <c r="FJ90" i="21"/>
  <c r="FI90" i="21"/>
  <c r="FH90" i="21"/>
  <c r="FG90" i="21"/>
  <c r="FF90" i="21"/>
  <c r="FE90" i="21"/>
  <c r="FD90" i="21"/>
  <c r="FB90" i="21"/>
  <c r="EY90" i="21"/>
  <c r="EV90" i="21"/>
  <c r="ET90" i="21"/>
  <c r="ES90" i="21"/>
  <c r="ER90" i="21"/>
  <c r="EE90" i="21"/>
  <c r="ED90" i="21"/>
  <c r="EC90" i="21"/>
  <c r="EB90" i="21"/>
  <c r="EA90" i="21"/>
  <c r="DZ90" i="21"/>
  <c r="DY90" i="21"/>
  <c r="DX90" i="21"/>
  <c r="DW90" i="21"/>
  <c r="DV90" i="21"/>
  <c r="DU90" i="21"/>
  <c r="DT90" i="21"/>
  <c r="DS90" i="21"/>
  <c r="DR90" i="21"/>
  <c r="DQ90" i="21"/>
  <c r="DP90" i="21"/>
  <c r="DO90" i="21"/>
  <c r="DN90" i="21"/>
  <c r="DE90" i="21"/>
  <c r="DD90" i="21"/>
  <c r="DB90" i="21"/>
  <c r="DA90" i="21"/>
  <c r="CW90" i="21"/>
  <c r="CV90" i="21"/>
  <c r="CU90" i="21"/>
  <c r="CS90" i="21"/>
  <c r="CN90" i="21"/>
  <c r="CM90" i="21"/>
  <c r="CL90" i="21"/>
  <c r="CI90" i="21"/>
  <c r="CH90" i="21"/>
  <c r="CG90" i="21"/>
  <c r="CF90" i="21"/>
  <c r="CD90" i="21"/>
  <c r="DL90" i="21" s="1"/>
  <c r="BT90" i="21"/>
  <c r="BS90" i="21"/>
  <c r="BR90" i="21"/>
  <c r="BQ90" i="21"/>
  <c r="BP90" i="21"/>
  <c r="BO90" i="21"/>
  <c r="BN90" i="21"/>
  <c r="BM90" i="21"/>
  <c r="BU90" i="21" s="1"/>
  <c r="BL90" i="21"/>
  <c r="BK90" i="21"/>
  <c r="BJ90" i="21"/>
  <c r="BI90" i="21"/>
  <c r="BH90" i="21"/>
  <c r="BG90" i="21"/>
  <c r="BF90" i="21"/>
  <c r="BE90" i="21"/>
  <c r="BD90" i="21"/>
  <c r="BC90" i="21"/>
  <c r="BB90" i="21"/>
  <c r="BA90" i="21"/>
  <c r="AZ90" i="21"/>
  <c r="AY90" i="21"/>
  <c r="AX90" i="21"/>
  <c r="AW90" i="21"/>
  <c r="AV90" i="21"/>
  <c r="AU90" i="21"/>
  <c r="AT90" i="21"/>
  <c r="AS90" i="21"/>
  <c r="AR90" i="21"/>
  <c r="AQ90" i="21"/>
  <c r="AP90" i="21"/>
  <c r="AO90" i="21"/>
  <c r="AN90" i="21"/>
  <c r="AM90" i="21"/>
  <c r="AL90" i="21"/>
  <c r="AK90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FS89" i="21"/>
  <c r="FR89" i="21"/>
  <c r="FQ89" i="21"/>
  <c r="FP89" i="21"/>
  <c r="FO89" i="21"/>
  <c r="FN89" i="21"/>
  <c r="FM89" i="21"/>
  <c r="FL89" i="21"/>
  <c r="FK89" i="21"/>
  <c r="FJ89" i="21"/>
  <c r="FI89" i="21"/>
  <c r="FH89" i="21"/>
  <c r="FG89" i="21"/>
  <c r="FF89" i="21"/>
  <c r="FE89" i="21"/>
  <c r="FD89" i="21"/>
  <c r="FB89" i="21"/>
  <c r="EY89" i="21"/>
  <c r="EV89" i="21"/>
  <c r="EU89" i="21"/>
  <c r="ET89" i="21"/>
  <c r="ES89" i="21"/>
  <c r="ER89" i="21"/>
  <c r="EE89" i="21"/>
  <c r="ED89" i="21"/>
  <c r="EC89" i="21"/>
  <c r="EB89" i="21"/>
  <c r="EA89" i="21"/>
  <c r="DZ89" i="21"/>
  <c r="DY89" i="21"/>
  <c r="DX89" i="21"/>
  <c r="DW89" i="21"/>
  <c r="DV89" i="21"/>
  <c r="DU89" i="21"/>
  <c r="DT89" i="21"/>
  <c r="DS89" i="21"/>
  <c r="DR89" i="21"/>
  <c r="DQ89" i="21"/>
  <c r="DP89" i="21"/>
  <c r="DO89" i="21"/>
  <c r="DN89" i="21"/>
  <c r="DE89" i="21"/>
  <c r="DD89" i="21"/>
  <c r="DB89" i="21"/>
  <c r="DA89" i="21"/>
  <c r="CW89" i="21"/>
  <c r="CV89" i="21"/>
  <c r="CU89" i="21"/>
  <c r="CN89" i="21"/>
  <c r="CM89" i="21"/>
  <c r="CL89" i="21"/>
  <c r="CI89" i="21"/>
  <c r="CH89" i="21"/>
  <c r="CG89" i="21"/>
  <c r="CF89" i="21"/>
  <c r="CB89" i="21"/>
  <c r="DJ89" i="21" s="1"/>
  <c r="BT89" i="21"/>
  <c r="BS89" i="21"/>
  <c r="BR89" i="21"/>
  <c r="BQ89" i="21"/>
  <c r="BP89" i="21"/>
  <c r="BO89" i="21"/>
  <c r="BN89" i="21"/>
  <c r="BM89" i="21"/>
  <c r="BU89" i="21" s="1"/>
  <c r="BL89" i="21"/>
  <c r="BK89" i="21"/>
  <c r="BJ89" i="21"/>
  <c r="BI89" i="21"/>
  <c r="BH89" i="21"/>
  <c r="BG89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CJ89" i="21" s="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FS88" i="21"/>
  <c r="FR88" i="21"/>
  <c r="FQ88" i="21"/>
  <c r="FP88" i="21"/>
  <c r="FO88" i="21"/>
  <c r="FN88" i="21"/>
  <c r="FM88" i="21"/>
  <c r="FL88" i="21"/>
  <c r="FK88" i="21"/>
  <c r="FJ88" i="21"/>
  <c r="FI88" i="21"/>
  <c r="FH88" i="21"/>
  <c r="FG88" i="21"/>
  <c r="FF88" i="21"/>
  <c r="FE88" i="21"/>
  <c r="FD88" i="21"/>
  <c r="FB88" i="21"/>
  <c r="EY88" i="21"/>
  <c r="EV88" i="21"/>
  <c r="ET88" i="21"/>
  <c r="ES88" i="21"/>
  <c r="ER88" i="21"/>
  <c r="EU88" i="21"/>
  <c r="EE88" i="21"/>
  <c r="ED88" i="21"/>
  <c r="EC88" i="21"/>
  <c r="EB88" i="21"/>
  <c r="EA88" i="21"/>
  <c r="DZ88" i="21"/>
  <c r="DY88" i="21"/>
  <c r="DX88" i="21"/>
  <c r="DW88" i="21"/>
  <c r="DV88" i="21"/>
  <c r="DU88" i="21"/>
  <c r="DT88" i="21"/>
  <c r="DS88" i="21"/>
  <c r="DR88" i="21"/>
  <c r="DQ88" i="21"/>
  <c r="DP88" i="21"/>
  <c r="DO88" i="21"/>
  <c r="DN88" i="21"/>
  <c r="DE88" i="21"/>
  <c r="DD88" i="21"/>
  <c r="DB88" i="21"/>
  <c r="DA88" i="21"/>
  <c r="CW88" i="21"/>
  <c r="CV88" i="21"/>
  <c r="CU88" i="21"/>
  <c r="CN88" i="21"/>
  <c r="CO88" i="21" s="1"/>
  <c r="CP88" i="21" s="1"/>
  <c r="CM88" i="21"/>
  <c r="CL88" i="21"/>
  <c r="CK88" i="21"/>
  <c r="CJ88" i="21"/>
  <c r="CI88" i="21"/>
  <c r="CH88" i="21"/>
  <c r="CG88" i="21"/>
  <c r="CF88" i="21"/>
  <c r="BU88" i="21"/>
  <c r="BT88" i="21"/>
  <c r="CD88" i="21" s="1"/>
  <c r="DL88" i="21" s="1"/>
  <c r="BS88" i="21"/>
  <c r="BR88" i="21"/>
  <c r="BQ88" i="21"/>
  <c r="BP88" i="21"/>
  <c r="BO88" i="21"/>
  <c r="BN88" i="21"/>
  <c r="BM88" i="21"/>
  <c r="BL88" i="21"/>
  <c r="EH88" i="21" s="1"/>
  <c r="EJ88" i="21" s="1"/>
  <c r="EL88" i="21" s="1"/>
  <c r="BK88" i="21"/>
  <c r="BJ88" i="21"/>
  <c r="BI88" i="21"/>
  <c r="BH88" i="21"/>
  <c r="BG88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FW87" i="21"/>
  <c r="FT87" i="21"/>
  <c r="FS87" i="21"/>
  <c r="FR87" i="21"/>
  <c r="FQ87" i="21"/>
  <c r="FP87" i="21"/>
  <c r="FO87" i="21"/>
  <c r="FN87" i="21"/>
  <c r="FM87" i="21"/>
  <c r="FL87" i="21"/>
  <c r="FK87" i="21"/>
  <c r="FJ87" i="21"/>
  <c r="FI87" i="21"/>
  <c r="FH87" i="21"/>
  <c r="FG87" i="21"/>
  <c r="FF87" i="21"/>
  <c r="FE87" i="21"/>
  <c r="FD87" i="21"/>
  <c r="FB87" i="21"/>
  <c r="EY87" i="21"/>
  <c r="EV87" i="21"/>
  <c r="ET87" i="21"/>
  <c r="EU87" i="21" s="1"/>
  <c r="ES87" i="21"/>
  <c r="ER87" i="21"/>
  <c r="EH87" i="21"/>
  <c r="EJ87" i="21" s="1"/>
  <c r="EL87" i="21" s="1"/>
  <c r="EE87" i="21"/>
  <c r="ED87" i="21"/>
  <c r="EC87" i="21"/>
  <c r="EB87" i="21"/>
  <c r="EA87" i="21"/>
  <c r="DZ87" i="21"/>
  <c r="DY87" i="21"/>
  <c r="DX87" i="21"/>
  <c r="DW87" i="21"/>
  <c r="DV87" i="21"/>
  <c r="DU87" i="21"/>
  <c r="DT87" i="21"/>
  <c r="DS87" i="21"/>
  <c r="DR87" i="21"/>
  <c r="DQ87" i="21"/>
  <c r="DP87" i="21"/>
  <c r="DO87" i="21"/>
  <c r="DN87" i="21"/>
  <c r="DE87" i="21"/>
  <c r="DD87" i="21"/>
  <c r="DB87" i="21"/>
  <c r="DA87" i="21"/>
  <c r="CW87" i="21"/>
  <c r="CV87" i="21"/>
  <c r="CU87" i="21"/>
  <c r="CN87" i="21"/>
  <c r="CM87" i="21"/>
  <c r="CL87" i="21"/>
  <c r="CJ87" i="21"/>
  <c r="CZ87" i="21" s="1"/>
  <c r="CI87" i="21"/>
  <c r="CH87" i="21"/>
  <c r="CG87" i="21"/>
  <c r="CF87" i="21"/>
  <c r="BU87" i="21"/>
  <c r="BT87" i="21"/>
  <c r="CD87" i="21" s="1"/>
  <c r="DL87" i="21" s="1"/>
  <c r="BS87" i="21"/>
  <c r="BR87" i="21"/>
  <c r="BQ87" i="21"/>
  <c r="BP87" i="21"/>
  <c r="BO87" i="21"/>
  <c r="BN87" i="21"/>
  <c r="BM87" i="21"/>
  <c r="BL87" i="21"/>
  <c r="BK87" i="21"/>
  <c r="BJ87" i="21"/>
  <c r="BI87" i="21"/>
  <c r="BH87" i="21"/>
  <c r="BG87" i="21"/>
  <c r="BF87" i="21"/>
  <c r="BE87" i="21"/>
  <c r="BD87" i="21"/>
  <c r="BC87" i="21"/>
  <c r="BB87" i="21"/>
  <c r="BA87" i="21"/>
  <c r="BW87" i="21" s="1"/>
  <c r="BZ87" i="21" s="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FT86" i="21"/>
  <c r="FS86" i="21"/>
  <c r="FR86" i="21"/>
  <c r="FQ86" i="21"/>
  <c r="FP86" i="21"/>
  <c r="FO86" i="21"/>
  <c r="FN86" i="21"/>
  <c r="FM86" i="21"/>
  <c r="FL86" i="21"/>
  <c r="FK86" i="21"/>
  <c r="FJ86" i="21"/>
  <c r="FI86" i="21"/>
  <c r="FH86" i="21"/>
  <c r="FG86" i="21"/>
  <c r="FF86" i="21"/>
  <c r="FE86" i="21"/>
  <c r="FD86" i="21"/>
  <c r="FB86" i="21"/>
  <c r="EY86" i="21"/>
  <c r="EV86" i="21"/>
  <c r="EU86" i="21"/>
  <c r="ET86" i="21"/>
  <c r="ES86" i="21"/>
  <c r="ER86" i="21"/>
  <c r="EH86" i="21"/>
  <c r="EJ86" i="21" s="1"/>
  <c r="EL86" i="21" s="1"/>
  <c r="EE86" i="21"/>
  <c r="ED86" i="21"/>
  <c r="EC86" i="21"/>
  <c r="EB86" i="21"/>
  <c r="EA86" i="21"/>
  <c r="DZ86" i="21"/>
  <c r="DY86" i="21"/>
  <c r="DX86" i="21"/>
  <c r="DW86" i="21"/>
  <c r="DV86" i="21"/>
  <c r="DU86" i="21"/>
  <c r="DT86" i="21"/>
  <c r="DS86" i="21"/>
  <c r="DR86" i="21"/>
  <c r="DQ86" i="21"/>
  <c r="DP86" i="21"/>
  <c r="DO86" i="21"/>
  <c r="DN86" i="21"/>
  <c r="DL86" i="21"/>
  <c r="DJ86" i="21"/>
  <c r="DE86" i="21"/>
  <c r="DD86" i="21"/>
  <c r="DB86" i="21"/>
  <c r="DA86" i="21"/>
  <c r="CW86" i="21"/>
  <c r="CV86" i="21"/>
  <c r="CU86" i="21"/>
  <c r="CN86" i="21"/>
  <c r="CM86" i="21"/>
  <c r="CL86" i="21"/>
  <c r="CI86" i="21"/>
  <c r="CH86" i="21"/>
  <c r="CG86" i="21"/>
  <c r="CF86" i="21"/>
  <c r="CA86" i="21"/>
  <c r="CE86" i="21" s="1"/>
  <c r="DM86" i="21" s="1"/>
  <c r="BW86" i="21"/>
  <c r="BZ86" i="21" s="1"/>
  <c r="BU86" i="21"/>
  <c r="CC86" i="21" s="1"/>
  <c r="DK86" i="21" s="1"/>
  <c r="BT86" i="21"/>
  <c r="CD86" i="21" s="1"/>
  <c r="BS86" i="21"/>
  <c r="CB86" i="21" s="1"/>
  <c r="BR86" i="21"/>
  <c r="BQ86" i="21"/>
  <c r="BP86" i="21"/>
  <c r="BO86" i="21"/>
  <c r="BN86" i="21"/>
  <c r="BM86" i="21"/>
  <c r="BL86" i="21"/>
  <c r="CJ86" i="21" s="1"/>
  <c r="CZ86" i="21" s="1"/>
  <c r="BK86" i="21"/>
  <c r="BJ86" i="21"/>
  <c r="BI86" i="21"/>
  <c r="BH86" i="21"/>
  <c r="BG86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FS85" i="21"/>
  <c r="FR85" i="21"/>
  <c r="FQ85" i="21"/>
  <c r="FP85" i="21"/>
  <c r="FO85" i="21"/>
  <c r="FN85" i="21"/>
  <c r="FM85" i="21"/>
  <c r="FL85" i="21"/>
  <c r="FK85" i="21"/>
  <c r="FJ85" i="21"/>
  <c r="FI85" i="21"/>
  <c r="FH85" i="21"/>
  <c r="FG85" i="21"/>
  <c r="FF85" i="21"/>
  <c r="FE85" i="21"/>
  <c r="FD85" i="21"/>
  <c r="FB85" i="21"/>
  <c r="EY85" i="21"/>
  <c r="EV85" i="21"/>
  <c r="ET85" i="21"/>
  <c r="ES85" i="21"/>
  <c r="ER85" i="21"/>
  <c r="EU85" i="21"/>
  <c r="EK85" i="21"/>
  <c r="EM85" i="21" s="1"/>
  <c r="FX85" i="21" s="1"/>
  <c r="EJ85" i="21"/>
  <c r="EL85" i="21" s="1"/>
  <c r="EI85" i="21"/>
  <c r="FU85" i="21" s="1"/>
  <c r="EH85" i="21"/>
  <c r="FT85" i="21" s="1"/>
  <c r="EE85" i="21"/>
  <c r="ED85" i="21"/>
  <c r="EC85" i="21"/>
  <c r="EB85" i="21"/>
  <c r="EA85" i="21"/>
  <c r="DZ85" i="21"/>
  <c r="DY85" i="21"/>
  <c r="DX85" i="21"/>
  <c r="DW85" i="21"/>
  <c r="DV85" i="21"/>
  <c r="DU85" i="21"/>
  <c r="DT85" i="21"/>
  <c r="DS85" i="21"/>
  <c r="DR85" i="21"/>
  <c r="DQ85" i="21"/>
  <c r="DP85" i="21"/>
  <c r="DO85" i="21"/>
  <c r="DN85" i="21"/>
  <c r="DL85" i="21"/>
  <c r="DJ85" i="21"/>
  <c r="DE85" i="21"/>
  <c r="DD85" i="21"/>
  <c r="DB85" i="21"/>
  <c r="DA85" i="21"/>
  <c r="CW85" i="21"/>
  <c r="CV85" i="21"/>
  <c r="CU85" i="21"/>
  <c r="CS85" i="21"/>
  <c r="CN85" i="21"/>
  <c r="CM85" i="21"/>
  <c r="CL85" i="21"/>
  <c r="CI85" i="21"/>
  <c r="CH85" i="21"/>
  <c r="CG85" i="21"/>
  <c r="CF85" i="21"/>
  <c r="CB85" i="21"/>
  <c r="BV85" i="21"/>
  <c r="BX85" i="21" s="1"/>
  <c r="BU85" i="21"/>
  <c r="BT85" i="21"/>
  <c r="CD85" i="21" s="1"/>
  <c r="BS85" i="21"/>
  <c r="BR85" i="21"/>
  <c r="BQ85" i="21"/>
  <c r="BP85" i="21"/>
  <c r="BO85" i="21"/>
  <c r="BN85" i="21"/>
  <c r="BM85" i="21"/>
  <c r="BL85" i="21"/>
  <c r="CJ85" i="21" s="1"/>
  <c r="BK85" i="21"/>
  <c r="BJ85" i="21"/>
  <c r="BI85" i="21"/>
  <c r="BH85" i="21"/>
  <c r="BG85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FS84" i="21"/>
  <c r="FR84" i="21"/>
  <c r="FQ84" i="21"/>
  <c r="FP84" i="21"/>
  <c r="FO84" i="21"/>
  <c r="FN84" i="21"/>
  <c r="FM84" i="21"/>
  <c r="FL84" i="21"/>
  <c r="FK84" i="21"/>
  <c r="FJ84" i="21"/>
  <c r="FI84" i="21"/>
  <c r="FH84" i="21"/>
  <c r="FG84" i="21"/>
  <c r="FF84" i="21"/>
  <c r="FE84" i="21"/>
  <c r="FD84" i="21"/>
  <c r="FB84" i="21"/>
  <c r="EY84" i="21"/>
  <c r="EV84" i="21"/>
  <c r="ET84" i="21"/>
  <c r="ES84" i="21"/>
  <c r="ER84" i="21"/>
  <c r="EI84" i="21"/>
  <c r="FU84" i="21" s="1"/>
  <c r="EE84" i="21"/>
  <c r="ED84" i="21"/>
  <c r="EC84" i="21"/>
  <c r="EB84" i="21"/>
  <c r="EA84" i="21"/>
  <c r="DZ84" i="21"/>
  <c r="DY84" i="21"/>
  <c r="DX84" i="21"/>
  <c r="DW84" i="21"/>
  <c r="DV84" i="21"/>
  <c r="DU84" i="21"/>
  <c r="DT84" i="21"/>
  <c r="DS84" i="21"/>
  <c r="DR84" i="21"/>
  <c r="DQ84" i="21"/>
  <c r="DP84" i="21"/>
  <c r="DO84" i="21"/>
  <c r="DN84" i="21"/>
  <c r="DE84" i="21"/>
  <c r="DD84" i="21"/>
  <c r="DB84" i="21"/>
  <c r="DA84" i="21"/>
  <c r="CW84" i="21"/>
  <c r="CV84" i="21"/>
  <c r="CU84" i="21"/>
  <c r="CS84" i="21"/>
  <c r="CN84" i="21"/>
  <c r="CM84" i="21"/>
  <c r="CL84" i="21"/>
  <c r="CI84" i="21"/>
  <c r="CH84" i="21"/>
  <c r="CG84" i="21"/>
  <c r="CF84" i="21"/>
  <c r="CD84" i="21"/>
  <c r="DL84" i="21" s="1"/>
  <c r="CC84" i="21"/>
  <c r="DK84" i="21" s="1"/>
  <c r="CB84" i="21"/>
  <c r="DJ84" i="21" s="1"/>
  <c r="CA84" i="21"/>
  <c r="CE84" i="21" s="1"/>
  <c r="DM84" i="21" s="1"/>
  <c r="BW84" i="21"/>
  <c r="BZ84" i="21" s="1"/>
  <c r="BT84" i="21"/>
  <c r="BS84" i="21"/>
  <c r="BR84" i="21"/>
  <c r="BQ84" i="21"/>
  <c r="BP84" i="21"/>
  <c r="BO84" i="21"/>
  <c r="BN84" i="21"/>
  <c r="BM84" i="21"/>
  <c r="BU84" i="21" s="1"/>
  <c r="BL84" i="21"/>
  <c r="BK84" i="21"/>
  <c r="BJ84" i="21"/>
  <c r="BI84" i="21"/>
  <c r="BH84" i="21"/>
  <c r="BG84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FS83" i="21"/>
  <c r="FR83" i="21"/>
  <c r="FQ83" i="21"/>
  <c r="FP83" i="21"/>
  <c r="FO83" i="21"/>
  <c r="FN83" i="21"/>
  <c r="FM83" i="21"/>
  <c r="FL83" i="21"/>
  <c r="FK83" i="21"/>
  <c r="FJ83" i="21"/>
  <c r="FI83" i="21"/>
  <c r="FH83" i="21"/>
  <c r="FG83" i="21"/>
  <c r="FF83" i="21"/>
  <c r="FE83" i="21"/>
  <c r="FD83" i="21"/>
  <c r="FB83" i="21"/>
  <c r="EY83" i="21"/>
  <c r="EV83" i="21"/>
  <c r="ET83" i="21"/>
  <c r="ES83" i="21"/>
  <c r="ER83" i="21"/>
  <c r="EU83" i="21"/>
  <c r="EE83" i="21"/>
  <c r="ED83" i="21"/>
  <c r="EC83" i="21"/>
  <c r="EB83" i="21"/>
  <c r="EA83" i="21"/>
  <c r="DZ83" i="21"/>
  <c r="DY83" i="21"/>
  <c r="DX83" i="21"/>
  <c r="DW83" i="21"/>
  <c r="DV83" i="21"/>
  <c r="DU83" i="21"/>
  <c r="DT83" i="21"/>
  <c r="DS83" i="21"/>
  <c r="DR83" i="21"/>
  <c r="DQ83" i="21"/>
  <c r="DP83" i="21"/>
  <c r="DO83" i="21"/>
  <c r="DN83" i="21"/>
  <c r="DE83" i="21"/>
  <c r="DD83" i="21"/>
  <c r="DB83" i="21"/>
  <c r="DA83" i="21"/>
  <c r="CW83" i="21"/>
  <c r="CV83" i="21"/>
  <c r="CU83" i="21"/>
  <c r="CN83" i="21"/>
  <c r="CM83" i="21"/>
  <c r="CL83" i="21"/>
  <c r="CI83" i="21"/>
  <c r="CH83" i="21"/>
  <c r="CG83" i="21"/>
  <c r="CF83" i="21"/>
  <c r="BT83" i="21"/>
  <c r="BS83" i="21"/>
  <c r="BR83" i="21"/>
  <c r="BQ83" i="21"/>
  <c r="BP83" i="21"/>
  <c r="BO83" i="21"/>
  <c r="BN83" i="21"/>
  <c r="BM83" i="21"/>
  <c r="BU83" i="21" s="1"/>
  <c r="BL83" i="21"/>
  <c r="CJ83" i="21" s="1"/>
  <c r="CZ83" i="21" s="1"/>
  <c r="BK83" i="21"/>
  <c r="BJ83" i="21"/>
  <c r="BI83" i="21"/>
  <c r="BH83" i="21"/>
  <c r="BG83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FS82" i="21"/>
  <c r="FR82" i="21"/>
  <c r="FQ82" i="21"/>
  <c r="FP82" i="21"/>
  <c r="FO82" i="21"/>
  <c r="FN82" i="21"/>
  <c r="FM82" i="21"/>
  <c r="FL82" i="21"/>
  <c r="FK82" i="21"/>
  <c r="FJ82" i="21"/>
  <c r="FI82" i="21"/>
  <c r="FH82" i="21"/>
  <c r="FG82" i="21"/>
  <c r="FF82" i="21"/>
  <c r="FE82" i="21"/>
  <c r="FD82" i="21"/>
  <c r="FB82" i="21"/>
  <c r="EY82" i="21"/>
  <c r="EV82" i="21"/>
  <c r="ET82" i="21"/>
  <c r="ES82" i="21"/>
  <c r="ER82" i="21"/>
  <c r="EE82" i="21"/>
  <c r="ED82" i="21"/>
  <c r="EC82" i="21"/>
  <c r="EB82" i="21"/>
  <c r="EA82" i="21"/>
  <c r="DZ82" i="21"/>
  <c r="DY82" i="21"/>
  <c r="DX82" i="21"/>
  <c r="DW82" i="21"/>
  <c r="DV82" i="21"/>
  <c r="DU82" i="21"/>
  <c r="DT82" i="21"/>
  <c r="DS82" i="21"/>
  <c r="DR82" i="21"/>
  <c r="DQ82" i="21"/>
  <c r="DP82" i="21"/>
  <c r="DO82" i="21"/>
  <c r="DN82" i="21"/>
  <c r="DE82" i="21"/>
  <c r="DD82" i="21"/>
  <c r="DB82" i="21"/>
  <c r="DA82" i="21"/>
  <c r="CZ82" i="21"/>
  <c r="CY82" i="21"/>
  <c r="CW82" i="21"/>
  <c r="CV82" i="21"/>
  <c r="CU82" i="21"/>
  <c r="CN82" i="21"/>
  <c r="CM82" i="21"/>
  <c r="CL82" i="21"/>
  <c r="CJ82" i="21"/>
  <c r="CK82" i="21" s="1"/>
  <c r="CO82" i="21" s="1"/>
  <c r="CP82" i="21" s="1"/>
  <c r="CX82" i="21" s="1"/>
  <c r="CI82" i="21"/>
  <c r="CH82" i="21"/>
  <c r="CG82" i="21"/>
  <c r="CF82" i="21"/>
  <c r="CD82" i="21"/>
  <c r="DL82" i="21" s="1"/>
  <c r="CC82" i="21"/>
  <c r="DK82" i="21" s="1"/>
  <c r="BT82" i="21"/>
  <c r="BS82" i="21"/>
  <c r="BR82" i="21"/>
  <c r="BQ82" i="21"/>
  <c r="BP82" i="21"/>
  <c r="BO82" i="21"/>
  <c r="BN82" i="21"/>
  <c r="BM82" i="21"/>
  <c r="BU82" i="21" s="1"/>
  <c r="BL82" i="21"/>
  <c r="BK82" i="21"/>
  <c r="BJ82" i="21"/>
  <c r="BI82" i="21"/>
  <c r="BH82" i="21"/>
  <c r="BG82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FS81" i="21"/>
  <c r="FR81" i="21"/>
  <c r="FQ81" i="21"/>
  <c r="FP81" i="21"/>
  <c r="FO81" i="21"/>
  <c r="FN81" i="21"/>
  <c r="FM81" i="21"/>
  <c r="FL81" i="21"/>
  <c r="FK81" i="21"/>
  <c r="FJ81" i="21"/>
  <c r="FI81" i="21"/>
  <c r="FH81" i="21"/>
  <c r="FG81" i="21"/>
  <c r="FF81" i="21"/>
  <c r="FE81" i="21"/>
  <c r="FD81" i="21"/>
  <c r="FB81" i="21"/>
  <c r="EY81" i="21"/>
  <c r="EV81" i="21"/>
  <c r="ET81" i="21"/>
  <c r="ES81" i="21"/>
  <c r="ER81" i="21"/>
  <c r="EE81" i="21"/>
  <c r="ED81" i="21"/>
  <c r="EC81" i="21"/>
  <c r="EB81" i="21"/>
  <c r="EA81" i="21"/>
  <c r="DZ81" i="21"/>
  <c r="DY81" i="21"/>
  <c r="DX81" i="21"/>
  <c r="DW81" i="21"/>
  <c r="DV81" i="21"/>
  <c r="DU81" i="21"/>
  <c r="DT81" i="21"/>
  <c r="DS81" i="21"/>
  <c r="DR81" i="21"/>
  <c r="DQ81" i="21"/>
  <c r="DP81" i="21"/>
  <c r="DO81" i="21"/>
  <c r="DN81" i="21"/>
  <c r="DE81" i="21"/>
  <c r="DD81" i="21"/>
  <c r="DB81" i="21"/>
  <c r="DA81" i="21"/>
  <c r="CW81" i="21"/>
  <c r="CV81" i="21"/>
  <c r="CU81" i="21"/>
  <c r="CN81" i="21"/>
  <c r="CM81" i="21"/>
  <c r="CL81" i="21"/>
  <c r="CJ81" i="21"/>
  <c r="CI81" i="21"/>
  <c r="CH81" i="21"/>
  <c r="CG81" i="21"/>
  <c r="CF81" i="21"/>
  <c r="BT81" i="21"/>
  <c r="BS81" i="21"/>
  <c r="BR81" i="21"/>
  <c r="BQ81" i="21"/>
  <c r="BP81" i="21"/>
  <c r="BO81" i="21"/>
  <c r="BN81" i="21"/>
  <c r="BM81" i="21"/>
  <c r="BU81" i="21" s="1"/>
  <c r="BL81" i="21"/>
  <c r="EH81" i="21" s="1"/>
  <c r="BK81" i="21"/>
  <c r="BJ81" i="21"/>
  <c r="BI81" i="21"/>
  <c r="BH81" i="21"/>
  <c r="BG81" i="21"/>
  <c r="BF81" i="21"/>
  <c r="BE81" i="21"/>
  <c r="BD81" i="21"/>
  <c r="BC81" i="21"/>
  <c r="BB81" i="21"/>
  <c r="BA81" i="21"/>
  <c r="AZ81" i="21"/>
  <c r="AY81" i="21"/>
  <c r="AX81" i="21"/>
  <c r="AW81" i="21"/>
  <c r="AV81" i="21"/>
  <c r="AU81" i="21"/>
  <c r="AT81" i="21"/>
  <c r="AS81" i="21"/>
  <c r="AR81" i="21"/>
  <c r="AQ81" i="21"/>
  <c r="AP81" i="21"/>
  <c r="AO81" i="21"/>
  <c r="AN81" i="21"/>
  <c r="AM81" i="21"/>
  <c r="AL81" i="21"/>
  <c r="AK81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FX80" i="21"/>
  <c r="FV80" i="21"/>
  <c r="FY80" i="21" s="1"/>
  <c r="FU80" i="21"/>
  <c r="FT80" i="21"/>
  <c r="FS80" i="21"/>
  <c r="FR80" i="21"/>
  <c r="FQ80" i="21"/>
  <c r="FP80" i="21"/>
  <c r="FO80" i="21"/>
  <c r="FN80" i="21"/>
  <c r="FM80" i="21"/>
  <c r="FL80" i="21"/>
  <c r="FK80" i="21"/>
  <c r="FJ80" i="21"/>
  <c r="FI80" i="21"/>
  <c r="FH80" i="21"/>
  <c r="FG80" i="21"/>
  <c r="FF80" i="21"/>
  <c r="FE80" i="21"/>
  <c r="FD80" i="21"/>
  <c r="FB80" i="21"/>
  <c r="EY80" i="21"/>
  <c r="EV80" i="21"/>
  <c r="ET80" i="21"/>
  <c r="ES80" i="21"/>
  <c r="ER80" i="21"/>
  <c r="EI80" i="21"/>
  <c r="EK80" i="21" s="1"/>
  <c r="EM80" i="21" s="1"/>
  <c r="EH80" i="21"/>
  <c r="EJ80" i="21" s="1"/>
  <c r="EL80" i="21" s="1"/>
  <c r="FW80" i="21" s="1"/>
  <c r="EE80" i="21"/>
  <c r="ED80" i="21"/>
  <c r="EC80" i="21"/>
  <c r="EB80" i="21"/>
  <c r="EA80" i="21"/>
  <c r="DZ80" i="21"/>
  <c r="DY80" i="21"/>
  <c r="DX80" i="21"/>
  <c r="DW80" i="21"/>
  <c r="DV80" i="21"/>
  <c r="DU80" i="21"/>
  <c r="DT80" i="21"/>
  <c r="DS80" i="21"/>
  <c r="DR80" i="21"/>
  <c r="DQ80" i="21"/>
  <c r="DP80" i="21"/>
  <c r="DO80" i="21"/>
  <c r="DN80" i="21"/>
  <c r="DM80" i="21"/>
  <c r="DL80" i="21"/>
  <c r="DK80" i="21"/>
  <c r="DJ80" i="21"/>
  <c r="DE80" i="21"/>
  <c r="DD80" i="21"/>
  <c r="DB80" i="21"/>
  <c r="DA80" i="21"/>
  <c r="CW80" i="21"/>
  <c r="CV80" i="21"/>
  <c r="CU80" i="21"/>
  <c r="CN80" i="21"/>
  <c r="CM80" i="21"/>
  <c r="CL80" i="21"/>
  <c r="CJ80" i="21"/>
  <c r="CZ80" i="21" s="1"/>
  <c r="CI80" i="21"/>
  <c r="CH80" i="21"/>
  <c r="CG80" i="21"/>
  <c r="CF80" i="21"/>
  <c r="BU80" i="21"/>
  <c r="CC80" i="21" s="1"/>
  <c r="BT80" i="21"/>
  <c r="CD80" i="21" s="1"/>
  <c r="BS80" i="21"/>
  <c r="CB80" i="21" s="1"/>
  <c r="BR80" i="21"/>
  <c r="BQ80" i="21"/>
  <c r="BP80" i="21"/>
  <c r="BO80" i="21"/>
  <c r="BN80" i="21"/>
  <c r="BM80" i="21"/>
  <c r="BL80" i="21"/>
  <c r="BK80" i="21"/>
  <c r="BJ80" i="21"/>
  <c r="BI80" i="21"/>
  <c r="BH80" i="21"/>
  <c r="BG80" i="21"/>
  <c r="BF80" i="21"/>
  <c r="BE80" i="21"/>
  <c r="BD80" i="21"/>
  <c r="BC80" i="21"/>
  <c r="BB80" i="21"/>
  <c r="BA80" i="21"/>
  <c r="CA80" i="21" s="1"/>
  <c r="CE80" i="21" s="1"/>
  <c r="AZ80" i="21"/>
  <c r="AY80" i="21"/>
  <c r="AX80" i="21"/>
  <c r="AW80" i="21"/>
  <c r="AV80" i="21"/>
  <c r="AU80" i="21"/>
  <c r="AT80" i="21"/>
  <c r="AS80" i="21"/>
  <c r="AR80" i="21"/>
  <c r="AQ80" i="21"/>
  <c r="AP80" i="21"/>
  <c r="AO80" i="21"/>
  <c r="AN80" i="21"/>
  <c r="AM80" i="21"/>
  <c r="AL80" i="21"/>
  <c r="AK80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FS79" i="21"/>
  <c r="FR79" i="21"/>
  <c r="FQ79" i="21"/>
  <c r="FP79" i="21"/>
  <c r="FO79" i="21"/>
  <c r="FN79" i="21"/>
  <c r="FM79" i="21"/>
  <c r="FL79" i="21"/>
  <c r="FK79" i="21"/>
  <c r="FJ79" i="21"/>
  <c r="FI79" i="21"/>
  <c r="FH79" i="21"/>
  <c r="FG79" i="21"/>
  <c r="FF79" i="21"/>
  <c r="FE79" i="21"/>
  <c r="FD79" i="21"/>
  <c r="FB79" i="21"/>
  <c r="EY79" i="21"/>
  <c r="EV79" i="21"/>
  <c r="ET79" i="21"/>
  <c r="ES79" i="21"/>
  <c r="ER79" i="21"/>
  <c r="EI79" i="21"/>
  <c r="EH79" i="21"/>
  <c r="EE79" i="21"/>
  <c r="ED79" i="21"/>
  <c r="EC79" i="21"/>
  <c r="EB79" i="21"/>
  <c r="EA79" i="21"/>
  <c r="DZ79" i="21"/>
  <c r="DY79" i="21"/>
  <c r="DX79" i="21"/>
  <c r="DW79" i="21"/>
  <c r="DV79" i="21"/>
  <c r="DU79" i="21"/>
  <c r="DT79" i="21"/>
  <c r="DS79" i="21"/>
  <c r="DR79" i="21"/>
  <c r="DQ79" i="21"/>
  <c r="DP79" i="21"/>
  <c r="DO79" i="21"/>
  <c r="DN79" i="21"/>
  <c r="DM79" i="21"/>
  <c r="DL79" i="21"/>
  <c r="DE79" i="21"/>
  <c r="DD79" i="21"/>
  <c r="DB79" i="21"/>
  <c r="DA79" i="21"/>
  <c r="CW79" i="21"/>
  <c r="CV79" i="21"/>
  <c r="CU79" i="21"/>
  <c r="CT79" i="21"/>
  <c r="CS79" i="21"/>
  <c r="CN79" i="21"/>
  <c r="CM79" i="21"/>
  <c r="CL79" i="21"/>
  <c r="CI79" i="21"/>
  <c r="CH79" i="21"/>
  <c r="CG79" i="21"/>
  <c r="CF79" i="21"/>
  <c r="BW79" i="21"/>
  <c r="BZ79" i="21" s="1"/>
  <c r="BU79" i="21"/>
  <c r="BT79" i="21"/>
  <c r="CD79" i="21" s="1"/>
  <c r="BS79" i="21"/>
  <c r="BR79" i="21"/>
  <c r="BQ79" i="21"/>
  <c r="BP79" i="21"/>
  <c r="BO79" i="21"/>
  <c r="BN79" i="21"/>
  <c r="BM79" i="21"/>
  <c r="BL79" i="21"/>
  <c r="CJ79" i="21" s="1"/>
  <c r="BK79" i="21"/>
  <c r="BJ79" i="21"/>
  <c r="BI79" i="21"/>
  <c r="BH79" i="21"/>
  <c r="BG79" i="21"/>
  <c r="BF79" i="21"/>
  <c r="BE79" i="21"/>
  <c r="BD79" i="21"/>
  <c r="BC79" i="21"/>
  <c r="BB79" i="21"/>
  <c r="BA79" i="21"/>
  <c r="CA79" i="21" s="1"/>
  <c r="CE79" i="21" s="1"/>
  <c r="AZ79" i="21"/>
  <c r="AY79" i="21"/>
  <c r="AX79" i="21"/>
  <c r="AW79" i="21"/>
  <c r="AV79" i="21"/>
  <c r="AU79" i="21"/>
  <c r="AT79" i="21"/>
  <c r="AS79" i="21"/>
  <c r="AR79" i="21"/>
  <c r="AQ79" i="21"/>
  <c r="AP79" i="21"/>
  <c r="AO79" i="21"/>
  <c r="AN79" i="21"/>
  <c r="AM79" i="21"/>
  <c r="AL79" i="21"/>
  <c r="AK79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FW78" i="21"/>
  <c r="FU78" i="21"/>
  <c r="FT78" i="21"/>
  <c r="FV78" i="21" s="1"/>
  <c r="FS78" i="21"/>
  <c r="FR78" i="21"/>
  <c r="FQ78" i="21"/>
  <c r="FP78" i="21"/>
  <c r="FO78" i="21"/>
  <c r="FN78" i="21"/>
  <c r="FM78" i="21"/>
  <c r="FL78" i="21"/>
  <c r="FK78" i="21"/>
  <c r="FJ78" i="21"/>
  <c r="FI78" i="21"/>
  <c r="FH78" i="21"/>
  <c r="FG78" i="21"/>
  <c r="FF78" i="21"/>
  <c r="FE78" i="21"/>
  <c r="FD78" i="21"/>
  <c r="FB78" i="21"/>
  <c r="EY78" i="21"/>
  <c r="EV78" i="21"/>
  <c r="ET78" i="21"/>
  <c r="ES78" i="21"/>
  <c r="ER78" i="21"/>
  <c r="EI78" i="21"/>
  <c r="EK78" i="21" s="1"/>
  <c r="EM78" i="21" s="1"/>
  <c r="FX78" i="21" s="1"/>
  <c r="EE78" i="21"/>
  <c r="ED78" i="21"/>
  <c r="EC78" i="21"/>
  <c r="EB78" i="21"/>
  <c r="EA78" i="21"/>
  <c r="DZ78" i="21"/>
  <c r="DY78" i="21"/>
  <c r="DX78" i="21"/>
  <c r="DW78" i="21"/>
  <c r="DV78" i="21"/>
  <c r="DU78" i="21"/>
  <c r="DT78" i="21"/>
  <c r="DS78" i="21"/>
  <c r="DR78" i="21"/>
  <c r="DQ78" i="21"/>
  <c r="DP78" i="21"/>
  <c r="DO78" i="21"/>
  <c r="DN78" i="21"/>
  <c r="DE78" i="21"/>
  <c r="DD78" i="21"/>
  <c r="DB78" i="21"/>
  <c r="DA78" i="21"/>
  <c r="CW78" i="21"/>
  <c r="CV78" i="21"/>
  <c r="CU78" i="21"/>
  <c r="CT78" i="21"/>
  <c r="CN78" i="21"/>
  <c r="CM78" i="21"/>
  <c r="CL78" i="21"/>
  <c r="CI78" i="21"/>
  <c r="CH78" i="21"/>
  <c r="CG78" i="21"/>
  <c r="CF78" i="21"/>
  <c r="CD78" i="21"/>
  <c r="DL78" i="21" s="1"/>
  <c r="CC78" i="21"/>
  <c r="DK78" i="21" s="1"/>
  <c r="CB78" i="21"/>
  <c r="DJ78" i="21" s="1"/>
  <c r="CA78" i="21"/>
  <c r="CE78" i="21" s="1"/>
  <c r="DM78" i="21" s="1"/>
  <c r="BY78" i="21"/>
  <c r="BX78" i="21"/>
  <c r="BU78" i="21"/>
  <c r="BV78" i="21" s="1"/>
  <c r="BT78" i="21"/>
  <c r="BS78" i="21"/>
  <c r="BR78" i="21"/>
  <c r="BQ78" i="21"/>
  <c r="BP78" i="21"/>
  <c r="BO78" i="21"/>
  <c r="BN78" i="21"/>
  <c r="BM78" i="21"/>
  <c r="BL78" i="21"/>
  <c r="BK78" i="21"/>
  <c r="BJ78" i="21"/>
  <c r="BI78" i="21"/>
  <c r="BH78" i="21"/>
  <c r="BG78" i="21"/>
  <c r="BF78" i="21"/>
  <c r="BE78" i="21"/>
  <c r="BD78" i="21"/>
  <c r="BC78" i="21"/>
  <c r="BB78" i="21"/>
  <c r="BA78" i="21"/>
  <c r="CS78" i="21" s="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EH78" i="21" s="1"/>
  <c r="EJ78" i="21" s="1"/>
  <c r="EL78" i="21" s="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FS77" i="21"/>
  <c r="FR77" i="21"/>
  <c r="FQ77" i="21"/>
  <c r="FP77" i="21"/>
  <c r="FO77" i="21"/>
  <c r="FN77" i="21"/>
  <c r="FM77" i="21"/>
  <c r="FL77" i="21"/>
  <c r="FK77" i="21"/>
  <c r="FJ77" i="21"/>
  <c r="FI77" i="21"/>
  <c r="FH77" i="21"/>
  <c r="FG77" i="21"/>
  <c r="FF77" i="21"/>
  <c r="FE77" i="21"/>
  <c r="FD77" i="21"/>
  <c r="FB77" i="21"/>
  <c r="EY77" i="21"/>
  <c r="EV77" i="21"/>
  <c r="ET77" i="21"/>
  <c r="ES77" i="21"/>
  <c r="ER77" i="21"/>
  <c r="EI77" i="21"/>
  <c r="FU77" i="21" s="1"/>
  <c r="EE77" i="21"/>
  <c r="ED77" i="21"/>
  <c r="EC77" i="21"/>
  <c r="EB77" i="21"/>
  <c r="EA77" i="21"/>
  <c r="DZ77" i="21"/>
  <c r="DY77" i="21"/>
  <c r="DX77" i="21"/>
  <c r="DW77" i="21"/>
  <c r="DV77" i="21"/>
  <c r="DU77" i="21"/>
  <c r="DT77" i="21"/>
  <c r="DS77" i="21"/>
  <c r="DR77" i="21"/>
  <c r="DQ77" i="21"/>
  <c r="DP77" i="21"/>
  <c r="DO77" i="21"/>
  <c r="DN77" i="21"/>
  <c r="DE77" i="21"/>
  <c r="DD77" i="21"/>
  <c r="DB77" i="21"/>
  <c r="DA77" i="21"/>
  <c r="CW77" i="21"/>
  <c r="CV77" i="21"/>
  <c r="CU77" i="21"/>
  <c r="CN77" i="21"/>
  <c r="CM77" i="21"/>
  <c r="CL77" i="21"/>
  <c r="CI77" i="21"/>
  <c r="CH77" i="21"/>
  <c r="CG77" i="21"/>
  <c r="CF77" i="21"/>
  <c r="CD77" i="21"/>
  <c r="DL77" i="21" s="1"/>
  <c r="BT77" i="21"/>
  <c r="BS77" i="21"/>
  <c r="BR77" i="21"/>
  <c r="BQ77" i="21"/>
  <c r="BP77" i="21"/>
  <c r="BO77" i="21"/>
  <c r="BN77" i="21"/>
  <c r="BM77" i="21"/>
  <c r="BU77" i="21" s="1"/>
  <c r="BL77" i="21"/>
  <c r="BK77" i="21"/>
  <c r="BJ77" i="21"/>
  <c r="BI77" i="21"/>
  <c r="BH77" i="21"/>
  <c r="BG77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FS76" i="21"/>
  <c r="FR76" i="21"/>
  <c r="FQ76" i="21"/>
  <c r="FP76" i="21"/>
  <c r="FO76" i="21"/>
  <c r="FN76" i="21"/>
  <c r="FM76" i="21"/>
  <c r="FL76" i="21"/>
  <c r="FK76" i="21"/>
  <c r="FJ76" i="21"/>
  <c r="FI76" i="21"/>
  <c r="FH76" i="21"/>
  <c r="FG76" i="21"/>
  <c r="FF76" i="21"/>
  <c r="FE76" i="21"/>
  <c r="FD76" i="21"/>
  <c r="FB76" i="21"/>
  <c r="EY76" i="21"/>
  <c r="EV76" i="21"/>
  <c r="EU76" i="21"/>
  <c r="ET76" i="21"/>
  <c r="ES76" i="21"/>
  <c r="ER76" i="21"/>
  <c r="EE76" i="21"/>
  <c r="ED76" i="21"/>
  <c r="EC76" i="21"/>
  <c r="EB76" i="21"/>
  <c r="EA76" i="21"/>
  <c r="DZ76" i="21"/>
  <c r="DY76" i="21"/>
  <c r="DX76" i="21"/>
  <c r="DW76" i="21"/>
  <c r="DV76" i="21"/>
  <c r="DU76" i="21"/>
  <c r="DT76" i="21"/>
  <c r="DS76" i="21"/>
  <c r="DR76" i="21"/>
  <c r="DQ76" i="21"/>
  <c r="DP76" i="21"/>
  <c r="DO76" i="21"/>
  <c r="DN76" i="21"/>
  <c r="DE76" i="21"/>
  <c r="DD76" i="21"/>
  <c r="DB76" i="21"/>
  <c r="DA76" i="21"/>
  <c r="CW76" i="21"/>
  <c r="CV76" i="21"/>
  <c r="CU76" i="21"/>
  <c r="CN76" i="21"/>
  <c r="CM76" i="21"/>
  <c r="CL76" i="21"/>
  <c r="CI76" i="21"/>
  <c r="CH76" i="21"/>
  <c r="CG76" i="21"/>
  <c r="CF76" i="21"/>
  <c r="CC76" i="21"/>
  <c r="DK76" i="21" s="1"/>
  <c r="CB76" i="21"/>
  <c r="DJ76" i="21" s="1"/>
  <c r="BT76" i="21"/>
  <c r="BS76" i="21"/>
  <c r="BR76" i="21"/>
  <c r="BQ76" i="21"/>
  <c r="BP76" i="21"/>
  <c r="BO76" i="21"/>
  <c r="BN76" i="21"/>
  <c r="BM76" i="21"/>
  <c r="BU76" i="21" s="1"/>
  <c r="BL76" i="21"/>
  <c r="BK76" i="21"/>
  <c r="BJ76" i="21"/>
  <c r="BI76" i="21"/>
  <c r="BH76" i="21"/>
  <c r="BG76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CJ76" i="21" s="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FS75" i="21"/>
  <c r="FR75" i="21"/>
  <c r="FQ75" i="21"/>
  <c r="FP75" i="21"/>
  <c r="FO75" i="21"/>
  <c r="FN75" i="21"/>
  <c r="FM75" i="21"/>
  <c r="FL75" i="21"/>
  <c r="FK75" i="21"/>
  <c r="FJ75" i="21"/>
  <c r="FI75" i="21"/>
  <c r="FH75" i="21"/>
  <c r="FG75" i="21"/>
  <c r="FF75" i="21"/>
  <c r="FE75" i="21"/>
  <c r="FD75" i="21"/>
  <c r="FB75" i="21"/>
  <c r="EY75" i="21"/>
  <c r="EV75" i="21"/>
  <c r="ET75" i="21"/>
  <c r="ES75" i="21"/>
  <c r="ER75" i="21"/>
  <c r="EE75" i="21"/>
  <c r="ED75" i="21"/>
  <c r="EC75" i="21"/>
  <c r="EB75" i="21"/>
  <c r="EA75" i="21"/>
  <c r="DZ75" i="2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E75" i="21"/>
  <c r="DD75" i="21"/>
  <c r="DB75" i="21"/>
  <c r="DA75" i="21"/>
  <c r="CW75" i="21"/>
  <c r="CV75" i="21"/>
  <c r="CU75" i="21"/>
  <c r="CN75" i="21"/>
  <c r="CM75" i="21"/>
  <c r="CL75" i="21"/>
  <c r="CJ75" i="21"/>
  <c r="CI75" i="21"/>
  <c r="CH75" i="21"/>
  <c r="CG75" i="21"/>
  <c r="CF75" i="21"/>
  <c r="CD75" i="21"/>
  <c r="DL75" i="21" s="1"/>
  <c r="BT75" i="21"/>
  <c r="BS75" i="21"/>
  <c r="BR75" i="21"/>
  <c r="BQ75" i="21"/>
  <c r="BP75" i="21"/>
  <c r="BO75" i="21"/>
  <c r="BN75" i="21"/>
  <c r="BM75" i="21"/>
  <c r="BU75" i="21" s="1"/>
  <c r="BL75" i="21"/>
  <c r="BK75" i="21"/>
  <c r="BJ75" i="21"/>
  <c r="BI75" i="21"/>
  <c r="BH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FS74" i="21"/>
  <c r="FR74" i="21"/>
  <c r="FQ74" i="21"/>
  <c r="FP74" i="21"/>
  <c r="FO74" i="21"/>
  <c r="FN74" i="21"/>
  <c r="FM74" i="21"/>
  <c r="FL74" i="21"/>
  <c r="FK74" i="21"/>
  <c r="FJ74" i="21"/>
  <c r="FI74" i="21"/>
  <c r="FH74" i="21"/>
  <c r="FG74" i="21"/>
  <c r="FF74" i="21"/>
  <c r="FE74" i="21"/>
  <c r="FD74" i="21"/>
  <c r="FB74" i="21"/>
  <c r="EY74" i="21"/>
  <c r="EV74" i="21"/>
  <c r="ET74" i="21"/>
  <c r="ES74" i="21"/>
  <c r="ER74" i="21"/>
  <c r="EE74" i="21"/>
  <c r="ED74" i="21"/>
  <c r="EC74" i="21"/>
  <c r="EB74" i="21"/>
  <c r="EA74" i="21"/>
  <c r="DZ74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E74" i="21"/>
  <c r="DD74" i="21"/>
  <c r="DB74" i="21"/>
  <c r="DA74" i="21"/>
  <c r="CW74" i="21"/>
  <c r="CV74" i="21"/>
  <c r="CU74" i="21"/>
  <c r="CN74" i="21"/>
  <c r="CM74" i="21"/>
  <c r="CL74" i="21"/>
  <c r="CJ74" i="21"/>
  <c r="CZ74" i="21" s="1"/>
  <c r="CI74" i="21"/>
  <c r="CH74" i="21"/>
  <c r="CG74" i="21"/>
  <c r="CF74" i="21"/>
  <c r="BT74" i="21"/>
  <c r="BS74" i="21"/>
  <c r="CB74" i="21" s="1"/>
  <c r="DJ74" i="21" s="1"/>
  <c r="BR74" i="21"/>
  <c r="BQ74" i="21"/>
  <c r="BP74" i="21"/>
  <c r="BO74" i="21"/>
  <c r="BN74" i="21"/>
  <c r="BM74" i="21"/>
  <c r="BU74" i="21" s="1"/>
  <c r="BL74" i="21"/>
  <c r="EH74" i="21" s="1"/>
  <c r="BK74" i="21"/>
  <c r="BJ74" i="21"/>
  <c r="BI74" i="21"/>
  <c r="BH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FT73" i="21"/>
  <c r="FS73" i="21"/>
  <c r="FR73" i="21"/>
  <c r="FQ73" i="21"/>
  <c r="FP73" i="21"/>
  <c r="FO73" i="21"/>
  <c r="FN73" i="21"/>
  <c r="FM73" i="21"/>
  <c r="FL73" i="21"/>
  <c r="FK73" i="21"/>
  <c r="FJ73" i="21"/>
  <c r="FI73" i="21"/>
  <c r="FH73" i="21"/>
  <c r="FG73" i="21"/>
  <c r="FF73" i="21"/>
  <c r="FE73" i="21"/>
  <c r="FD73" i="21"/>
  <c r="FB73" i="21"/>
  <c r="EY73" i="21"/>
  <c r="EV73" i="21"/>
  <c r="ET73" i="21"/>
  <c r="ES73" i="21"/>
  <c r="ER73" i="21"/>
  <c r="EJ73" i="21"/>
  <c r="EL73" i="21" s="1"/>
  <c r="EH73" i="21"/>
  <c r="EE73" i="21"/>
  <c r="ED73" i="21"/>
  <c r="EC73" i="21"/>
  <c r="EB73" i="21"/>
  <c r="EA73" i="21"/>
  <c r="DZ73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E73" i="21"/>
  <c r="DD73" i="21"/>
  <c r="DB73" i="21"/>
  <c r="DA73" i="21"/>
  <c r="CW73" i="21"/>
  <c r="CV73" i="21"/>
  <c r="CY73" i="21" s="1"/>
  <c r="CU73" i="21"/>
  <c r="CR73" i="21"/>
  <c r="CQ73" i="21"/>
  <c r="CP73" i="21"/>
  <c r="CX73" i="21" s="1"/>
  <c r="CO73" i="21"/>
  <c r="CN73" i="21"/>
  <c r="CM73" i="21"/>
  <c r="CL73" i="21"/>
  <c r="CK73" i="21"/>
  <c r="CJ73" i="21"/>
  <c r="CZ73" i="21" s="1"/>
  <c r="CI73" i="21"/>
  <c r="CH73" i="21"/>
  <c r="CG73" i="21"/>
  <c r="CF73" i="21"/>
  <c r="BW73" i="21"/>
  <c r="BZ73" i="21" s="1"/>
  <c r="BV73" i="21"/>
  <c r="BX73" i="21" s="1"/>
  <c r="BU73" i="21"/>
  <c r="CC73" i="21" s="1"/>
  <c r="DK73" i="21" s="1"/>
  <c r="BT73" i="21"/>
  <c r="CD73" i="21" s="1"/>
  <c r="DL73" i="21" s="1"/>
  <c r="BS73" i="21"/>
  <c r="BR73" i="21"/>
  <c r="BQ73" i="21"/>
  <c r="BP73" i="21"/>
  <c r="BO73" i="21"/>
  <c r="BN73" i="21"/>
  <c r="BM73" i="21"/>
  <c r="BL73" i="21"/>
  <c r="BK73" i="21"/>
  <c r="BJ73" i="21"/>
  <c r="BI73" i="21"/>
  <c r="BH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FS72" i="21"/>
  <c r="FR72" i="21"/>
  <c r="FQ72" i="21"/>
  <c r="FP72" i="21"/>
  <c r="FO72" i="21"/>
  <c r="FN72" i="21"/>
  <c r="FM72" i="21"/>
  <c r="FL72" i="21"/>
  <c r="FK72" i="21"/>
  <c r="FJ72" i="21"/>
  <c r="FI72" i="21"/>
  <c r="FH72" i="21"/>
  <c r="FG72" i="21"/>
  <c r="FF72" i="21"/>
  <c r="FE72" i="21"/>
  <c r="FD72" i="21"/>
  <c r="FB72" i="21"/>
  <c r="EY72" i="21"/>
  <c r="EV72" i="21"/>
  <c r="ET72" i="21"/>
  <c r="ES72" i="21"/>
  <c r="ER72" i="21"/>
  <c r="EE72" i="21"/>
  <c r="ED72" i="21"/>
  <c r="EC72" i="21"/>
  <c r="EB72" i="21"/>
  <c r="EA72" i="21"/>
  <c r="DZ72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E72" i="21"/>
  <c r="DD72" i="21"/>
  <c r="DB72" i="21"/>
  <c r="DA72" i="21"/>
  <c r="CW72" i="21"/>
  <c r="CV72" i="21"/>
  <c r="CU72" i="21"/>
  <c r="CN72" i="21"/>
  <c r="CM72" i="21"/>
  <c r="CL72" i="21"/>
  <c r="CI72" i="21"/>
  <c r="CH72" i="21"/>
  <c r="CG72" i="21"/>
  <c r="CF72" i="21"/>
  <c r="BV72" i="21"/>
  <c r="BX72" i="21" s="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H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FW71" i="21"/>
  <c r="FS71" i="21"/>
  <c r="FR71" i="21"/>
  <c r="FQ71" i="21"/>
  <c r="FP71" i="21"/>
  <c r="FO71" i="21"/>
  <c r="FN71" i="21"/>
  <c r="FM71" i="21"/>
  <c r="FL71" i="21"/>
  <c r="FK71" i="21"/>
  <c r="FJ71" i="21"/>
  <c r="FI71" i="21"/>
  <c r="FH71" i="21"/>
  <c r="FG71" i="21"/>
  <c r="FF71" i="21"/>
  <c r="FE71" i="21"/>
  <c r="FD71" i="21"/>
  <c r="FB71" i="21"/>
  <c r="EY71" i="21"/>
  <c r="EV71" i="21"/>
  <c r="ET71" i="21"/>
  <c r="ES71" i="21"/>
  <c r="EU71" i="21" s="1"/>
  <c r="ER71" i="21"/>
  <c r="EH71" i="21"/>
  <c r="EJ71" i="21" s="1"/>
  <c r="EL71" i="21" s="1"/>
  <c r="EE71" i="21"/>
  <c r="ED71" i="21"/>
  <c r="EC71" i="21"/>
  <c r="EB71" i="21"/>
  <c r="EA71" i="21"/>
  <c r="DZ71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E71" i="21"/>
  <c r="DD71" i="21"/>
  <c r="DB71" i="21"/>
  <c r="DA71" i="21"/>
  <c r="CW71" i="21"/>
  <c r="CV71" i="21"/>
  <c r="CU71" i="21"/>
  <c r="CS71" i="21"/>
  <c r="CN71" i="21"/>
  <c r="CM71" i="21"/>
  <c r="CL71" i="21"/>
  <c r="CJ71" i="21"/>
  <c r="CZ71" i="21" s="1"/>
  <c r="CI71" i="21"/>
  <c r="CH71" i="21"/>
  <c r="CG71" i="21"/>
  <c r="CF71" i="21"/>
  <c r="BW71" i="21"/>
  <c r="BZ71" i="21" s="1"/>
  <c r="BV71" i="21"/>
  <c r="BX71" i="21" s="1"/>
  <c r="BU71" i="21"/>
  <c r="CC71" i="21" s="1"/>
  <c r="DK71" i="21" s="1"/>
  <c r="BT71" i="21"/>
  <c r="CD71" i="21" s="1"/>
  <c r="DL71" i="21" s="1"/>
  <c r="BS71" i="21"/>
  <c r="BR71" i="21"/>
  <c r="BQ71" i="21"/>
  <c r="BP71" i="21"/>
  <c r="BO71" i="21"/>
  <c r="BN71" i="21"/>
  <c r="BM71" i="21"/>
  <c r="BL71" i="21"/>
  <c r="BK71" i="21"/>
  <c r="BJ71" i="21"/>
  <c r="BI71" i="21"/>
  <c r="BH71" i="21"/>
  <c r="BG71" i="21"/>
  <c r="BF71" i="21"/>
  <c r="BE71" i="21"/>
  <c r="BD71" i="21"/>
  <c r="BC71" i="21"/>
  <c r="BB71" i="21"/>
  <c r="BA71" i="21"/>
  <c r="EI71" i="21" s="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FS70" i="21"/>
  <c r="FR70" i="21"/>
  <c r="FQ70" i="21"/>
  <c r="FP70" i="21"/>
  <c r="FO70" i="21"/>
  <c r="FN70" i="21"/>
  <c r="FM70" i="21"/>
  <c r="FL70" i="21"/>
  <c r="FK70" i="21"/>
  <c r="FJ70" i="21"/>
  <c r="FI70" i="21"/>
  <c r="FH70" i="21"/>
  <c r="FG70" i="21"/>
  <c r="FF70" i="21"/>
  <c r="FE70" i="21"/>
  <c r="FD70" i="21"/>
  <c r="FB70" i="21"/>
  <c r="EY70" i="21"/>
  <c r="EV70" i="21"/>
  <c r="ET70" i="21"/>
  <c r="ES70" i="21"/>
  <c r="ER70" i="21"/>
  <c r="EH70" i="21"/>
  <c r="EE70" i="21"/>
  <c r="ED70" i="21"/>
  <c r="EC70" i="21"/>
  <c r="EB70" i="21"/>
  <c r="EA70" i="21"/>
  <c r="DZ70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L70" i="21"/>
  <c r="DK70" i="21"/>
  <c r="DE70" i="21"/>
  <c r="DD70" i="21"/>
  <c r="DB70" i="21"/>
  <c r="DA70" i="21"/>
  <c r="CW70" i="21"/>
  <c r="CV70" i="21"/>
  <c r="CU70" i="21"/>
  <c r="CN70" i="21"/>
  <c r="CM70" i="21"/>
  <c r="CL70" i="21"/>
  <c r="CI70" i="21"/>
  <c r="CH70" i="21"/>
  <c r="CG70" i="21"/>
  <c r="CF70" i="21"/>
  <c r="CD70" i="21"/>
  <c r="CB70" i="21"/>
  <c r="DJ70" i="21" s="1"/>
  <c r="CA70" i="21"/>
  <c r="CE70" i="21" s="1"/>
  <c r="DM70" i="21" s="1"/>
  <c r="BU70" i="21"/>
  <c r="CC70" i="21" s="1"/>
  <c r="BT70" i="21"/>
  <c r="BS70" i="21"/>
  <c r="BR70" i="21"/>
  <c r="BQ70" i="21"/>
  <c r="BP70" i="21"/>
  <c r="BO70" i="21"/>
  <c r="BN70" i="21"/>
  <c r="BM70" i="21"/>
  <c r="BL70" i="21"/>
  <c r="CJ70" i="21" s="1"/>
  <c r="BK70" i="21"/>
  <c r="BJ70" i="21"/>
  <c r="BI70" i="21"/>
  <c r="BH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T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FS69" i="21"/>
  <c r="FR69" i="21"/>
  <c r="FQ69" i="21"/>
  <c r="FP69" i="21"/>
  <c r="FO69" i="21"/>
  <c r="FN69" i="21"/>
  <c r="FM69" i="21"/>
  <c r="FL69" i="21"/>
  <c r="FK69" i="21"/>
  <c r="FJ69" i="21"/>
  <c r="FI69" i="21"/>
  <c r="FH69" i="21"/>
  <c r="FG69" i="21"/>
  <c r="FF69" i="21"/>
  <c r="FE69" i="21"/>
  <c r="FD69" i="21"/>
  <c r="FB69" i="21"/>
  <c r="EY69" i="21"/>
  <c r="EV69" i="21"/>
  <c r="ET69" i="21"/>
  <c r="ES69" i="21"/>
  <c r="ER69" i="21"/>
  <c r="EU69" i="21"/>
  <c r="EE69" i="21"/>
  <c r="ED69" i="21"/>
  <c r="EC69" i="21"/>
  <c r="EB69" i="21"/>
  <c r="EA69" i="21"/>
  <c r="DZ69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E69" i="21"/>
  <c r="DD69" i="21"/>
  <c r="DB69" i="21"/>
  <c r="DA69" i="21"/>
  <c r="CW69" i="21"/>
  <c r="CV69" i="21"/>
  <c r="CU69" i="21"/>
  <c r="CN69" i="21"/>
  <c r="CM69" i="21"/>
  <c r="CL69" i="21"/>
  <c r="CI69" i="21"/>
  <c r="CH69" i="21"/>
  <c r="CG69" i="21"/>
  <c r="CF69" i="21"/>
  <c r="CD69" i="21"/>
  <c r="DL69" i="21" s="1"/>
  <c r="CB69" i="21"/>
  <c r="DJ69" i="21" s="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H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T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EH69" i="21" s="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FS68" i="21"/>
  <c r="FR68" i="21"/>
  <c r="FQ68" i="21"/>
  <c r="FP68" i="21"/>
  <c r="FO68" i="21"/>
  <c r="FN68" i="21"/>
  <c r="FM68" i="21"/>
  <c r="FL68" i="21"/>
  <c r="FK68" i="21"/>
  <c r="FJ68" i="21"/>
  <c r="FI68" i="21"/>
  <c r="FH68" i="21"/>
  <c r="FG68" i="21"/>
  <c r="FF68" i="21"/>
  <c r="FE68" i="21"/>
  <c r="FD68" i="21"/>
  <c r="FB68" i="21"/>
  <c r="EY68" i="21"/>
  <c r="EV68" i="21"/>
  <c r="ET68" i="21"/>
  <c r="EU68" i="21" s="1"/>
  <c r="ES68" i="21"/>
  <c r="ER68" i="21"/>
  <c r="EI68" i="21"/>
  <c r="EE68" i="21"/>
  <c r="ED68" i="21"/>
  <c r="EC68" i="21"/>
  <c r="EB68" i="21"/>
  <c r="EA68" i="21"/>
  <c r="DZ68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E68" i="21"/>
  <c r="DD68" i="21"/>
  <c r="DB68" i="21"/>
  <c r="DA68" i="21"/>
  <c r="CW68" i="21"/>
  <c r="CV68" i="21"/>
  <c r="CU68" i="21"/>
  <c r="CN68" i="21"/>
  <c r="CM68" i="21"/>
  <c r="CL68" i="21"/>
  <c r="CJ68" i="21"/>
  <c r="CI68" i="21"/>
  <c r="CH68" i="21"/>
  <c r="CG68" i="21"/>
  <c r="CF68" i="21"/>
  <c r="CE68" i="21"/>
  <c r="DM68" i="21" s="1"/>
  <c r="CD68" i="21"/>
  <c r="DL68" i="21" s="1"/>
  <c r="CA68" i="21"/>
  <c r="BT68" i="21"/>
  <c r="BS68" i="21"/>
  <c r="BR68" i="21"/>
  <c r="BQ68" i="21"/>
  <c r="BP68" i="21"/>
  <c r="BO68" i="21"/>
  <c r="BN68" i="21"/>
  <c r="BM68" i="21"/>
  <c r="BU68" i="21" s="1"/>
  <c r="BL68" i="21"/>
  <c r="BK68" i="21"/>
  <c r="BJ68" i="21"/>
  <c r="BI68" i="21"/>
  <c r="BH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T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FS67" i="21"/>
  <c r="FR67" i="21"/>
  <c r="FQ67" i="21"/>
  <c r="FP67" i="21"/>
  <c r="FO67" i="21"/>
  <c r="FN67" i="21"/>
  <c r="FM67" i="21"/>
  <c r="FL67" i="21"/>
  <c r="FK67" i="21"/>
  <c r="FJ67" i="21"/>
  <c r="FI67" i="21"/>
  <c r="FH67" i="21"/>
  <c r="FG67" i="21"/>
  <c r="FF67" i="21"/>
  <c r="FE67" i="21"/>
  <c r="FD67" i="21"/>
  <c r="FB67" i="21"/>
  <c r="EY67" i="21"/>
  <c r="EV67" i="21"/>
  <c r="ET67" i="21"/>
  <c r="ES67" i="21"/>
  <c r="ER67" i="21"/>
  <c r="EU67" i="21"/>
  <c r="EE67" i="21"/>
  <c r="ED67" i="21"/>
  <c r="EC67" i="21"/>
  <c r="EB67" i="21"/>
  <c r="EA67" i="21"/>
  <c r="DZ67" i="21"/>
  <c r="DY67" i="21"/>
  <c r="DX67" i="21"/>
  <c r="DW67" i="21"/>
  <c r="DV67" i="21"/>
  <c r="DU67" i="21"/>
  <c r="DT67" i="21"/>
  <c r="DS67" i="21"/>
  <c r="DR67" i="21"/>
  <c r="DQ67" i="21"/>
  <c r="DP67" i="21"/>
  <c r="DO67" i="21"/>
  <c r="DN67" i="21"/>
  <c r="DE67" i="21"/>
  <c r="DD67" i="21"/>
  <c r="DB67" i="21"/>
  <c r="DA67" i="21"/>
  <c r="CZ67" i="21"/>
  <c r="CW67" i="21"/>
  <c r="CV67" i="21"/>
  <c r="CU67" i="21"/>
  <c r="CN67" i="21"/>
  <c r="CM67" i="21"/>
  <c r="CL67" i="21"/>
  <c r="CI67" i="21"/>
  <c r="CH67" i="21"/>
  <c r="CG67" i="21"/>
  <c r="CF67" i="21"/>
  <c r="CD67" i="21"/>
  <c r="DL67" i="21" s="1"/>
  <c r="CC67" i="21"/>
  <c r="DK67" i="21" s="1"/>
  <c r="CB67" i="21"/>
  <c r="DJ67" i="21" s="1"/>
  <c r="CA67" i="21"/>
  <c r="CE67" i="21" s="1"/>
  <c r="DM67" i="21" s="1"/>
  <c r="BT67" i="21"/>
  <c r="BS67" i="21"/>
  <c r="BR67" i="21"/>
  <c r="BQ67" i="21"/>
  <c r="BP67" i="21"/>
  <c r="BO67" i="21"/>
  <c r="BN67" i="21"/>
  <c r="BM67" i="21"/>
  <c r="BU67" i="21" s="1"/>
  <c r="BL67" i="21"/>
  <c r="BK67" i="21"/>
  <c r="BJ67" i="21"/>
  <c r="BI67" i="21"/>
  <c r="BH67" i="21"/>
  <c r="BG67" i="21"/>
  <c r="BF67" i="21"/>
  <c r="BE67" i="21"/>
  <c r="BD67" i="21"/>
  <c r="BC67" i="21"/>
  <c r="BB67" i="21"/>
  <c r="BA67" i="21"/>
  <c r="AZ67" i="21"/>
  <c r="AY67" i="21"/>
  <c r="AX67" i="21"/>
  <c r="AW67" i="21"/>
  <c r="AV67" i="21"/>
  <c r="AU67" i="21"/>
  <c r="AT67" i="21"/>
  <c r="AS67" i="21"/>
  <c r="AR67" i="21"/>
  <c r="AQ67" i="21"/>
  <c r="AP67" i="21"/>
  <c r="AO67" i="21"/>
  <c r="AN67" i="21"/>
  <c r="AM67" i="21"/>
  <c r="AL67" i="21"/>
  <c r="AK67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CJ67" i="21" s="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FS66" i="21"/>
  <c r="FR66" i="21"/>
  <c r="FQ66" i="21"/>
  <c r="FP66" i="21"/>
  <c r="FO66" i="21"/>
  <c r="FN66" i="21"/>
  <c r="FM66" i="21"/>
  <c r="FL66" i="21"/>
  <c r="FK66" i="21"/>
  <c r="FJ66" i="21"/>
  <c r="FI66" i="21"/>
  <c r="FH66" i="21"/>
  <c r="FG66" i="21"/>
  <c r="FF66" i="21"/>
  <c r="FE66" i="21"/>
  <c r="FD66" i="21"/>
  <c r="FB66" i="21"/>
  <c r="EY66" i="21"/>
  <c r="EV66" i="21"/>
  <c r="ET66" i="21"/>
  <c r="ES66" i="21"/>
  <c r="ER66" i="21"/>
  <c r="EU66" i="21"/>
  <c r="EE66" i="21"/>
  <c r="ED66" i="21"/>
  <c r="EC66" i="21"/>
  <c r="EB66" i="21"/>
  <c r="EA66" i="21"/>
  <c r="DZ66" i="2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E66" i="21"/>
  <c r="DD66" i="21"/>
  <c r="DB66" i="21"/>
  <c r="DA66" i="21"/>
  <c r="CZ66" i="21"/>
  <c r="CW66" i="21"/>
  <c r="CV66" i="21"/>
  <c r="CU66" i="21"/>
  <c r="CN66" i="21"/>
  <c r="CM66" i="21"/>
  <c r="CL66" i="21"/>
  <c r="CI66" i="21"/>
  <c r="CH66" i="21"/>
  <c r="CG66" i="21"/>
  <c r="CF66" i="21"/>
  <c r="BW66" i="21"/>
  <c r="BZ66" i="21" s="1"/>
  <c r="BV66" i="21"/>
  <c r="BX66" i="21" s="1"/>
  <c r="BT66" i="21"/>
  <c r="CD66" i="21" s="1"/>
  <c r="DL66" i="21" s="1"/>
  <c r="BS66" i="21"/>
  <c r="CB66" i="21" s="1"/>
  <c r="DJ66" i="21" s="1"/>
  <c r="BR66" i="21"/>
  <c r="BQ66" i="21"/>
  <c r="BP66" i="21"/>
  <c r="BO66" i="21"/>
  <c r="BN66" i="21"/>
  <c r="BM66" i="21"/>
  <c r="BU66" i="21" s="1"/>
  <c r="BL66" i="21"/>
  <c r="CJ66" i="21" s="1"/>
  <c r="BK66" i="21"/>
  <c r="BJ66" i="21"/>
  <c r="BI66" i="21"/>
  <c r="BH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T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FS65" i="21"/>
  <c r="FR65" i="21"/>
  <c r="FQ65" i="21"/>
  <c r="FP65" i="21"/>
  <c r="FO65" i="21"/>
  <c r="FN65" i="21"/>
  <c r="FM65" i="21"/>
  <c r="FL65" i="21"/>
  <c r="FK65" i="21"/>
  <c r="FJ65" i="21"/>
  <c r="FI65" i="21"/>
  <c r="FH65" i="21"/>
  <c r="FG65" i="21"/>
  <c r="FF65" i="21"/>
  <c r="FE65" i="21"/>
  <c r="FD65" i="21"/>
  <c r="FB65" i="21"/>
  <c r="EY65" i="21"/>
  <c r="EV65" i="21"/>
  <c r="ET65" i="21"/>
  <c r="ES65" i="21"/>
  <c r="ER65" i="21"/>
  <c r="EU65" i="21"/>
  <c r="EJ65" i="21"/>
  <c r="EL65" i="21" s="1"/>
  <c r="EI65" i="21"/>
  <c r="EE65" i="21"/>
  <c r="ED65" i="21"/>
  <c r="EC65" i="21"/>
  <c r="EB65" i="21"/>
  <c r="EA65" i="21"/>
  <c r="DZ65" i="21"/>
  <c r="DY65" i="21"/>
  <c r="DX65" i="21"/>
  <c r="DW65" i="21"/>
  <c r="DV65" i="21"/>
  <c r="DU65" i="21"/>
  <c r="DT65" i="21"/>
  <c r="DS65" i="21"/>
  <c r="DR65" i="21"/>
  <c r="DQ65" i="21"/>
  <c r="DP65" i="21"/>
  <c r="DO65" i="21"/>
  <c r="DN65" i="21"/>
  <c r="DM65" i="21"/>
  <c r="DE65" i="21"/>
  <c r="DD65" i="21"/>
  <c r="DB65" i="21"/>
  <c r="DA65" i="21"/>
  <c r="CW65" i="21"/>
  <c r="CV65" i="21"/>
  <c r="CU65" i="21"/>
  <c r="CN65" i="21"/>
  <c r="CM65" i="21"/>
  <c r="CL65" i="21"/>
  <c r="CJ65" i="21"/>
  <c r="CZ65" i="21" s="1"/>
  <c r="CI65" i="21"/>
  <c r="CH65" i="21"/>
  <c r="CG65" i="21"/>
  <c r="CF65" i="21"/>
  <c r="BW65" i="21"/>
  <c r="BZ65" i="21" s="1"/>
  <c r="BV65" i="21"/>
  <c r="BX65" i="21" s="1"/>
  <c r="BU65" i="21"/>
  <c r="BT65" i="21"/>
  <c r="BS65" i="21"/>
  <c r="CB65" i="21" s="1"/>
  <c r="DJ65" i="21" s="1"/>
  <c r="BR65" i="21"/>
  <c r="BQ65" i="21"/>
  <c r="BP65" i="21"/>
  <c r="BO65" i="21"/>
  <c r="BN65" i="21"/>
  <c r="CA65" i="21" s="1"/>
  <c r="CE65" i="21" s="1"/>
  <c r="BM65" i="21"/>
  <c r="BL65" i="21"/>
  <c r="EH65" i="21" s="1"/>
  <c r="FT65" i="21" s="1"/>
  <c r="BK65" i="21"/>
  <c r="BJ65" i="21"/>
  <c r="BI65" i="21"/>
  <c r="BH65" i="21"/>
  <c r="BG65" i="21"/>
  <c r="BF65" i="21"/>
  <c r="BE65" i="21"/>
  <c r="BD65" i="21"/>
  <c r="BC65" i="21"/>
  <c r="BB65" i="21"/>
  <c r="BA65" i="21"/>
  <c r="AZ65" i="21"/>
  <c r="AY65" i="21"/>
  <c r="AX65" i="21"/>
  <c r="AW65" i="21"/>
  <c r="AV65" i="21"/>
  <c r="AU65" i="21"/>
  <c r="AT65" i="21"/>
  <c r="AS65" i="21"/>
  <c r="AR65" i="21"/>
  <c r="AQ65" i="21"/>
  <c r="AP65" i="21"/>
  <c r="AO65" i="21"/>
  <c r="AN65" i="21"/>
  <c r="AM65" i="21"/>
  <c r="AL65" i="21"/>
  <c r="AK65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FU64" i="21"/>
  <c r="FT64" i="21"/>
  <c r="FV64" i="21" s="1"/>
  <c r="FS64" i="21"/>
  <c r="FR64" i="21"/>
  <c r="FQ64" i="21"/>
  <c r="FP64" i="21"/>
  <c r="FO64" i="21"/>
  <c r="FN64" i="21"/>
  <c r="FM64" i="21"/>
  <c r="FL64" i="21"/>
  <c r="FK64" i="21"/>
  <c r="FJ64" i="21"/>
  <c r="FI64" i="21"/>
  <c r="FH64" i="21"/>
  <c r="FG64" i="21"/>
  <c r="FF64" i="21"/>
  <c r="FE64" i="21"/>
  <c r="FD64" i="21"/>
  <c r="FB64" i="21"/>
  <c r="EY64" i="21"/>
  <c r="EV64" i="21"/>
  <c r="EU64" i="21"/>
  <c r="ET64" i="21"/>
  <c r="ES64" i="21"/>
  <c r="ER64" i="21"/>
  <c r="EI64" i="21"/>
  <c r="EK64" i="21" s="1"/>
  <c r="EM64" i="21" s="1"/>
  <c r="FX64" i="21" s="1"/>
  <c r="EH64" i="21"/>
  <c r="EJ64" i="21" s="1"/>
  <c r="EL64" i="21" s="1"/>
  <c r="EE64" i="21"/>
  <c r="ED64" i="21"/>
  <c r="EC64" i="21"/>
  <c r="EB64" i="21"/>
  <c r="EA64" i="21"/>
  <c r="DZ64" i="21"/>
  <c r="DY64" i="21"/>
  <c r="DX64" i="21"/>
  <c r="DW64" i="21"/>
  <c r="DV64" i="21"/>
  <c r="DU64" i="21"/>
  <c r="DT64" i="21"/>
  <c r="DS64" i="21"/>
  <c r="DR64" i="21"/>
  <c r="DQ64" i="21"/>
  <c r="DP64" i="21"/>
  <c r="DO64" i="21"/>
  <c r="DN64" i="21"/>
  <c r="DM64" i="21"/>
  <c r="DL64" i="21"/>
  <c r="DE64" i="21"/>
  <c r="DD64" i="21"/>
  <c r="DB64" i="21"/>
  <c r="DA64" i="21"/>
  <c r="CW64" i="21"/>
  <c r="CV64" i="21"/>
  <c r="CU64" i="21"/>
  <c r="CT64" i="21"/>
  <c r="CS64" i="21"/>
  <c r="DC64" i="21" s="1"/>
  <c r="CN64" i="21"/>
  <c r="CM64" i="21"/>
  <c r="CL64" i="21"/>
  <c r="CJ64" i="21"/>
  <c r="CI64" i="21"/>
  <c r="CH64" i="21"/>
  <c r="CG64" i="21"/>
  <c r="CF64" i="21"/>
  <c r="CC64" i="21"/>
  <c r="DK64" i="21" s="1"/>
  <c r="CB64" i="21"/>
  <c r="DJ64" i="21" s="1"/>
  <c r="BZ64" i="21"/>
  <c r="BY64" i="21"/>
  <c r="BX64" i="21"/>
  <c r="BW64" i="21"/>
  <c r="BU64" i="21"/>
  <c r="BT64" i="21"/>
  <c r="CD64" i="21" s="1"/>
  <c r="BS64" i="21"/>
  <c r="BR64" i="21"/>
  <c r="BQ64" i="21"/>
  <c r="BP64" i="21"/>
  <c r="BO64" i="21"/>
  <c r="BN64" i="21"/>
  <c r="BM64" i="21"/>
  <c r="BL64" i="21"/>
  <c r="BK64" i="21"/>
  <c r="BJ64" i="21"/>
  <c r="BI64" i="21"/>
  <c r="BH64" i="21"/>
  <c r="BG64" i="21"/>
  <c r="BF64" i="21"/>
  <c r="BE64" i="21"/>
  <c r="BD64" i="21"/>
  <c r="BC64" i="21"/>
  <c r="BB64" i="21"/>
  <c r="BA64" i="21"/>
  <c r="CA64" i="21" s="1"/>
  <c r="CE64" i="21" s="1"/>
  <c r="AZ64" i="21"/>
  <c r="AY64" i="21"/>
  <c r="AX64" i="21"/>
  <c r="AW64" i="21"/>
  <c r="AV64" i="21"/>
  <c r="AU64" i="21"/>
  <c r="AT64" i="21"/>
  <c r="AS64" i="21"/>
  <c r="AR64" i="21"/>
  <c r="AQ64" i="21"/>
  <c r="AP64" i="21"/>
  <c r="AO64" i="21"/>
  <c r="AN64" i="21"/>
  <c r="BV64" i="21" s="1"/>
  <c r="AM64" i="21"/>
  <c r="AL64" i="21"/>
  <c r="AK64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FS63" i="21"/>
  <c r="FR63" i="21"/>
  <c r="FQ63" i="21"/>
  <c r="FP63" i="21"/>
  <c r="FO63" i="21"/>
  <c r="FN63" i="21"/>
  <c r="FM63" i="21"/>
  <c r="FL63" i="21"/>
  <c r="FK63" i="21"/>
  <c r="FJ63" i="21"/>
  <c r="FI63" i="21"/>
  <c r="FH63" i="21"/>
  <c r="FG63" i="21"/>
  <c r="FF63" i="21"/>
  <c r="FE63" i="21"/>
  <c r="FD63" i="21"/>
  <c r="FB63" i="21"/>
  <c r="EY63" i="21"/>
  <c r="EV63" i="21"/>
  <c r="ET63" i="21"/>
  <c r="ES63" i="21"/>
  <c r="ER63" i="21"/>
  <c r="EL63" i="21"/>
  <c r="EJ63" i="21"/>
  <c r="EH63" i="21"/>
  <c r="FT63" i="21" s="1"/>
  <c r="EE63" i="21"/>
  <c r="ED63" i="21"/>
  <c r="EC63" i="21"/>
  <c r="EB63" i="21"/>
  <c r="EA63" i="21"/>
  <c r="DZ63" i="21"/>
  <c r="DY63" i="21"/>
  <c r="DX63" i="21"/>
  <c r="DW63" i="21"/>
  <c r="DV63" i="21"/>
  <c r="DU63" i="21"/>
  <c r="DT63" i="21"/>
  <c r="DS63" i="21"/>
  <c r="DR63" i="21"/>
  <c r="DQ63" i="21"/>
  <c r="DP63" i="21"/>
  <c r="DO63" i="21"/>
  <c r="DN63" i="21"/>
  <c r="DE63" i="21"/>
  <c r="DD63" i="21"/>
  <c r="DB63" i="21"/>
  <c r="DA63" i="21"/>
  <c r="CW63" i="21"/>
  <c r="CV63" i="21"/>
  <c r="CU63" i="21"/>
  <c r="CT63" i="21"/>
  <c r="CS63" i="21"/>
  <c r="CN63" i="21"/>
  <c r="CM63" i="21"/>
  <c r="CL63" i="21"/>
  <c r="CI63" i="21"/>
  <c r="CH63" i="21"/>
  <c r="CG63" i="21"/>
  <c r="CF63" i="21"/>
  <c r="BW63" i="21"/>
  <c r="BZ63" i="21" s="1"/>
  <c r="BV63" i="21"/>
  <c r="BX63" i="21" s="1"/>
  <c r="BU63" i="21"/>
  <c r="BT63" i="21"/>
  <c r="CD63" i="21" s="1"/>
  <c r="DL63" i="21" s="1"/>
  <c r="BS63" i="21"/>
  <c r="BR63" i="21"/>
  <c r="BQ63" i="21"/>
  <c r="BP63" i="21"/>
  <c r="BO63" i="21"/>
  <c r="BN63" i="21"/>
  <c r="BM63" i="21"/>
  <c r="BL63" i="21"/>
  <c r="CJ63" i="21" s="1"/>
  <c r="CZ63" i="21" s="1"/>
  <c r="BK63" i="21"/>
  <c r="BJ63" i="21"/>
  <c r="BI63" i="21"/>
  <c r="BH63" i="21"/>
  <c r="BG63" i="21"/>
  <c r="BF63" i="21"/>
  <c r="BE63" i="21"/>
  <c r="BD63" i="21"/>
  <c r="BC63" i="21"/>
  <c r="BB63" i="21"/>
  <c r="BA63" i="21"/>
  <c r="AZ63" i="21"/>
  <c r="AY63" i="21"/>
  <c r="AX63" i="21"/>
  <c r="AW63" i="21"/>
  <c r="AV63" i="21"/>
  <c r="AU63" i="21"/>
  <c r="AT63" i="21"/>
  <c r="AS63" i="21"/>
  <c r="AR63" i="21"/>
  <c r="AQ63" i="21"/>
  <c r="AP63" i="21"/>
  <c r="AO63" i="21"/>
  <c r="AN63" i="21"/>
  <c r="AM63" i="21"/>
  <c r="AL63" i="21"/>
  <c r="AK63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FS62" i="21"/>
  <c r="FR62" i="21"/>
  <c r="FQ62" i="21"/>
  <c r="FP62" i="21"/>
  <c r="FO62" i="21"/>
  <c r="FN62" i="21"/>
  <c r="FM62" i="21"/>
  <c r="FL62" i="21"/>
  <c r="FK62" i="21"/>
  <c r="FJ62" i="21"/>
  <c r="FI62" i="21"/>
  <c r="FH62" i="21"/>
  <c r="FG62" i="21"/>
  <c r="FF62" i="21"/>
  <c r="FE62" i="21"/>
  <c r="FD62" i="21"/>
  <c r="FB62" i="21"/>
  <c r="EY62" i="21"/>
  <c r="EV62" i="21"/>
  <c r="ET62" i="21"/>
  <c r="ES62" i="21"/>
  <c r="ER62" i="21"/>
  <c r="EE62" i="21"/>
  <c r="ED62" i="21"/>
  <c r="EC62" i="21"/>
  <c r="EB62" i="21"/>
  <c r="EA62" i="21"/>
  <c r="DZ62" i="21"/>
  <c r="DY62" i="21"/>
  <c r="DX62" i="21"/>
  <c r="DW62" i="21"/>
  <c r="DV62" i="21"/>
  <c r="DU62" i="21"/>
  <c r="DT62" i="21"/>
  <c r="DS62" i="21"/>
  <c r="DR62" i="21"/>
  <c r="DQ62" i="21"/>
  <c r="DP62" i="21"/>
  <c r="DO62" i="21"/>
  <c r="DN62" i="21"/>
  <c r="DE62" i="21"/>
  <c r="DD62" i="21"/>
  <c r="DB62" i="21"/>
  <c r="DA62" i="21"/>
  <c r="CW62" i="21"/>
  <c r="CV62" i="21"/>
  <c r="CU62" i="21"/>
  <c r="CN62" i="21"/>
  <c r="CM62" i="21"/>
  <c r="CL62" i="21"/>
  <c r="CI62" i="21"/>
  <c r="CH62" i="21"/>
  <c r="CG62" i="21"/>
  <c r="CF62" i="21"/>
  <c r="BU62" i="21"/>
  <c r="BT62" i="21"/>
  <c r="BS62" i="21"/>
  <c r="BR62" i="21"/>
  <c r="BQ62" i="21"/>
  <c r="BP62" i="21"/>
  <c r="BO62" i="21"/>
  <c r="BN62" i="21"/>
  <c r="BM62" i="21"/>
  <c r="BL62" i="21"/>
  <c r="BK62" i="21"/>
  <c r="BJ62" i="21"/>
  <c r="BI62" i="21"/>
  <c r="BH62" i="21"/>
  <c r="BG62" i="21"/>
  <c r="BF62" i="21"/>
  <c r="BE62" i="21"/>
  <c r="BD62" i="21"/>
  <c r="BC62" i="21"/>
  <c r="BB62" i="21"/>
  <c r="BA62" i="21"/>
  <c r="AZ62" i="21"/>
  <c r="AY62" i="21"/>
  <c r="AX62" i="21"/>
  <c r="AW62" i="21"/>
  <c r="AV62" i="21"/>
  <c r="AU62" i="21"/>
  <c r="AT62" i="21"/>
  <c r="AS62" i="21"/>
  <c r="AR62" i="21"/>
  <c r="AQ62" i="21"/>
  <c r="AP62" i="21"/>
  <c r="AO62" i="21"/>
  <c r="AN62" i="21"/>
  <c r="AM62" i="21"/>
  <c r="BV62" i="21" s="1"/>
  <c r="AL62" i="21"/>
  <c r="AK62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FS61" i="21"/>
  <c r="FR61" i="21"/>
  <c r="FQ61" i="21"/>
  <c r="FP61" i="21"/>
  <c r="FO61" i="21"/>
  <c r="FN61" i="21"/>
  <c r="FM61" i="21"/>
  <c r="FL61" i="21"/>
  <c r="FK61" i="21"/>
  <c r="FJ61" i="21"/>
  <c r="FI61" i="21"/>
  <c r="FH61" i="21"/>
  <c r="FG61" i="21"/>
  <c r="FF61" i="21"/>
  <c r="FE61" i="21"/>
  <c r="FD61" i="21"/>
  <c r="FB61" i="21"/>
  <c r="EY61" i="21"/>
  <c r="EV61" i="21"/>
  <c r="ET61" i="21"/>
  <c r="ES61" i="21"/>
  <c r="ER61" i="21"/>
  <c r="EE61" i="21"/>
  <c r="ED61" i="21"/>
  <c r="EC61" i="21"/>
  <c r="EB61" i="21"/>
  <c r="EA61" i="21"/>
  <c r="DZ61" i="21"/>
  <c r="DY61" i="21"/>
  <c r="DX61" i="21"/>
  <c r="DW61" i="21"/>
  <c r="DV61" i="21"/>
  <c r="DU61" i="21"/>
  <c r="DT61" i="21"/>
  <c r="DS61" i="21"/>
  <c r="DR61" i="21"/>
  <c r="DQ61" i="21"/>
  <c r="DP61" i="21"/>
  <c r="DO61" i="21"/>
  <c r="DN61" i="21"/>
  <c r="DE61" i="21"/>
  <c r="DD61" i="21"/>
  <c r="DB61" i="21"/>
  <c r="DA61" i="21"/>
  <c r="CW61" i="21"/>
  <c r="CV61" i="21"/>
  <c r="CU61" i="21"/>
  <c r="CT61" i="21"/>
  <c r="CS61" i="21"/>
  <c r="CN61" i="21"/>
  <c r="CM61" i="21"/>
  <c r="CL61" i="21"/>
  <c r="CI61" i="21"/>
  <c r="CH61" i="21"/>
  <c r="CG61" i="21"/>
  <c r="CF61" i="21"/>
  <c r="BT61" i="21"/>
  <c r="BS61" i="21"/>
  <c r="BR61" i="21"/>
  <c r="BQ61" i="21"/>
  <c r="BP61" i="21"/>
  <c r="BO61" i="21"/>
  <c r="BN61" i="21"/>
  <c r="BM61" i="21"/>
  <c r="BU61" i="21" s="1"/>
  <c r="BL61" i="21"/>
  <c r="BK61" i="21"/>
  <c r="BJ61" i="21"/>
  <c r="BI61" i="21"/>
  <c r="BH61" i="21"/>
  <c r="BG61" i="21"/>
  <c r="BF61" i="21"/>
  <c r="BE61" i="21"/>
  <c r="BD61" i="21"/>
  <c r="BC61" i="21"/>
  <c r="BB61" i="21"/>
  <c r="BA61" i="21"/>
  <c r="AZ61" i="21"/>
  <c r="AY61" i="21"/>
  <c r="AX61" i="21"/>
  <c r="AW61" i="21"/>
  <c r="AV61" i="21"/>
  <c r="AU61" i="21"/>
  <c r="AT61" i="21"/>
  <c r="AS61" i="21"/>
  <c r="AR61" i="21"/>
  <c r="AQ61" i="21"/>
  <c r="AP61" i="21"/>
  <c r="AO61" i="21"/>
  <c r="AN61" i="21"/>
  <c r="AM61" i="21"/>
  <c r="AL61" i="21"/>
  <c r="AK61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FS60" i="21"/>
  <c r="FR60" i="21"/>
  <c r="FQ60" i="21"/>
  <c r="FP60" i="21"/>
  <c r="FO60" i="21"/>
  <c r="FN60" i="21"/>
  <c r="FM60" i="21"/>
  <c r="FL60" i="21"/>
  <c r="FK60" i="21"/>
  <c r="FJ60" i="21"/>
  <c r="FI60" i="21"/>
  <c r="FH60" i="21"/>
  <c r="FG60" i="21"/>
  <c r="FF60" i="21"/>
  <c r="FE60" i="21"/>
  <c r="FD60" i="21"/>
  <c r="FB60" i="21"/>
  <c r="EY60" i="21"/>
  <c r="EV60" i="21"/>
  <c r="ET60" i="21"/>
  <c r="ES60" i="21"/>
  <c r="ER60" i="21"/>
  <c r="EE60" i="21"/>
  <c r="ED60" i="21"/>
  <c r="EC60" i="21"/>
  <c r="EB60" i="21"/>
  <c r="EA60" i="21"/>
  <c r="DZ60" i="21"/>
  <c r="DY60" i="21"/>
  <c r="DX60" i="21"/>
  <c r="DW60" i="21"/>
  <c r="DV60" i="21"/>
  <c r="DU60" i="21"/>
  <c r="DT60" i="21"/>
  <c r="DS60" i="21"/>
  <c r="DR60" i="21"/>
  <c r="DQ60" i="21"/>
  <c r="DP60" i="21"/>
  <c r="DO60" i="21"/>
  <c r="DN60" i="21"/>
  <c r="DE60" i="21"/>
  <c r="DD60" i="21"/>
  <c r="DB60" i="21"/>
  <c r="DA60" i="21"/>
  <c r="CW60" i="21"/>
  <c r="CV60" i="21"/>
  <c r="CU60" i="21"/>
  <c r="CN60" i="21"/>
  <c r="CM60" i="21"/>
  <c r="CL60" i="21"/>
  <c r="CI60" i="21"/>
  <c r="CH60" i="21"/>
  <c r="CG60" i="21"/>
  <c r="CF60" i="21"/>
  <c r="CD60" i="21"/>
  <c r="DL60" i="21" s="1"/>
  <c r="CB60" i="21"/>
  <c r="DJ60" i="21" s="1"/>
  <c r="BU60" i="21"/>
  <c r="CC60" i="21" s="1"/>
  <c r="DK60" i="21" s="1"/>
  <c r="BT60" i="21"/>
  <c r="BS60" i="21"/>
  <c r="BR60" i="21"/>
  <c r="BQ60" i="21"/>
  <c r="BP60" i="21"/>
  <c r="BO60" i="21"/>
  <c r="BN60" i="21"/>
  <c r="BM60" i="21"/>
  <c r="BL60" i="21"/>
  <c r="BK60" i="21"/>
  <c r="BJ60" i="21"/>
  <c r="BI60" i="21"/>
  <c r="BH60" i="21"/>
  <c r="BG60" i="21"/>
  <c r="BF60" i="21"/>
  <c r="BE60" i="21"/>
  <c r="BD60" i="21"/>
  <c r="BC60" i="21"/>
  <c r="BB60" i="21"/>
  <c r="BA60" i="21"/>
  <c r="CS60" i="21" s="1"/>
  <c r="AZ60" i="21"/>
  <c r="AY60" i="21"/>
  <c r="AX60" i="21"/>
  <c r="AW60" i="21"/>
  <c r="AV60" i="21"/>
  <c r="AU60" i="21"/>
  <c r="AT60" i="21"/>
  <c r="AS60" i="21"/>
  <c r="AR60" i="21"/>
  <c r="AQ60" i="21"/>
  <c r="AP60" i="21"/>
  <c r="AO60" i="21"/>
  <c r="AN60" i="21"/>
  <c r="AM60" i="21"/>
  <c r="AL60" i="21"/>
  <c r="AK60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FW59" i="21"/>
  <c r="FT59" i="21"/>
  <c r="FS59" i="21"/>
  <c r="FR59" i="21"/>
  <c r="FQ59" i="21"/>
  <c r="FP59" i="21"/>
  <c r="FO59" i="21"/>
  <c r="FN59" i="21"/>
  <c r="FM59" i="21"/>
  <c r="FL59" i="21"/>
  <c r="FK59" i="21"/>
  <c r="FJ59" i="21"/>
  <c r="FI59" i="21"/>
  <c r="FH59" i="21"/>
  <c r="FG59" i="21"/>
  <c r="FF59" i="21"/>
  <c r="FE59" i="21"/>
  <c r="FD59" i="21"/>
  <c r="FB59" i="21"/>
  <c r="EY59" i="21"/>
  <c r="EV59" i="21"/>
  <c r="ET59" i="21"/>
  <c r="ES59" i="21"/>
  <c r="ER59" i="21"/>
  <c r="EH59" i="21"/>
  <c r="EJ59" i="21" s="1"/>
  <c r="EL59" i="21" s="1"/>
  <c r="EE59" i="21"/>
  <c r="ED59" i="21"/>
  <c r="EC59" i="21"/>
  <c r="EB59" i="21"/>
  <c r="EA59" i="21"/>
  <c r="DZ59" i="21"/>
  <c r="DY59" i="21"/>
  <c r="DX59" i="21"/>
  <c r="DW59" i="21"/>
  <c r="DV59" i="21"/>
  <c r="DU59" i="21"/>
  <c r="DT59" i="21"/>
  <c r="DS59" i="21"/>
  <c r="DR59" i="21"/>
  <c r="DQ59" i="21"/>
  <c r="DP59" i="21"/>
  <c r="DO59" i="21"/>
  <c r="DN59" i="21"/>
  <c r="DE59" i="21"/>
  <c r="DD59" i="21"/>
  <c r="DB59" i="21"/>
  <c r="DA59" i="21"/>
  <c r="CW59" i="21"/>
  <c r="CV59" i="21"/>
  <c r="CU59" i="21"/>
  <c r="CT59" i="21"/>
  <c r="CN59" i="21"/>
  <c r="CM59" i="21"/>
  <c r="CL59" i="21"/>
  <c r="CJ59" i="21"/>
  <c r="CI59" i="21"/>
  <c r="CH59" i="21"/>
  <c r="CG59" i="21"/>
  <c r="CF59" i="21"/>
  <c r="BW59" i="21"/>
  <c r="BZ59" i="21" s="1"/>
  <c r="BV59" i="21"/>
  <c r="BX59" i="21" s="1"/>
  <c r="BU59" i="21"/>
  <c r="BT59" i="21"/>
  <c r="CD59" i="21" s="1"/>
  <c r="DL59" i="21" s="1"/>
  <c r="BS59" i="21"/>
  <c r="CB59" i="21" s="1"/>
  <c r="DJ59" i="21" s="1"/>
  <c r="BR59" i="21"/>
  <c r="BQ59" i="21"/>
  <c r="BP59" i="21"/>
  <c r="BO59" i="21"/>
  <c r="BN59" i="21"/>
  <c r="BM59" i="21"/>
  <c r="BL59" i="21"/>
  <c r="BK59" i="21"/>
  <c r="BJ59" i="21"/>
  <c r="BI59" i="21"/>
  <c r="BH59" i="21"/>
  <c r="BG59" i="21"/>
  <c r="BF59" i="21"/>
  <c r="BE59" i="21"/>
  <c r="BD59" i="21"/>
  <c r="BC59" i="21"/>
  <c r="BB59" i="21"/>
  <c r="BA59" i="21"/>
  <c r="CS59" i="21" s="1"/>
  <c r="DC59" i="21" s="1"/>
  <c r="AZ59" i="21"/>
  <c r="AY59" i="21"/>
  <c r="AX59" i="21"/>
  <c r="AW59" i="21"/>
  <c r="AV59" i="21"/>
  <c r="AU59" i="21"/>
  <c r="AT59" i="21"/>
  <c r="AS59" i="21"/>
  <c r="AR59" i="21"/>
  <c r="AQ59" i="21"/>
  <c r="AP59" i="21"/>
  <c r="AO59" i="21"/>
  <c r="AN59" i="21"/>
  <c r="AM59" i="21"/>
  <c r="AL59" i="21"/>
  <c r="AK59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FX58" i="21"/>
  <c r="FU58" i="21"/>
  <c r="FS58" i="21"/>
  <c r="FR58" i="21"/>
  <c r="FQ58" i="21"/>
  <c r="FP58" i="21"/>
  <c r="FO58" i="21"/>
  <c r="FN58" i="21"/>
  <c r="FM58" i="21"/>
  <c r="FL58" i="21"/>
  <c r="FK58" i="21"/>
  <c r="FJ58" i="21"/>
  <c r="FI58" i="21"/>
  <c r="FH58" i="21"/>
  <c r="FG58" i="21"/>
  <c r="FF58" i="21"/>
  <c r="FE58" i="21"/>
  <c r="FD58" i="21"/>
  <c r="FB58" i="21"/>
  <c r="EY58" i="21"/>
  <c r="EV58" i="21"/>
  <c r="ET58" i="21"/>
  <c r="ES58" i="21"/>
  <c r="ER58" i="21"/>
  <c r="EK58" i="21"/>
  <c r="EM58" i="21" s="1"/>
  <c r="EI58" i="21"/>
  <c r="EH58" i="21"/>
  <c r="EE58" i="21"/>
  <c r="ED58" i="21"/>
  <c r="EC58" i="21"/>
  <c r="EB58" i="21"/>
  <c r="EA58" i="21"/>
  <c r="DZ58" i="21"/>
  <c r="DY58" i="21"/>
  <c r="DX58" i="21"/>
  <c r="DW58" i="21"/>
  <c r="DV58" i="21"/>
  <c r="DU58" i="21"/>
  <c r="DT58" i="21"/>
  <c r="DS58" i="21"/>
  <c r="DR58" i="21"/>
  <c r="DQ58" i="21"/>
  <c r="DP58" i="21"/>
  <c r="DO58" i="21"/>
  <c r="DN58" i="21"/>
  <c r="DL58" i="21"/>
  <c r="DK58" i="21"/>
  <c r="DJ58" i="21"/>
  <c r="DE58" i="21"/>
  <c r="DD58" i="21"/>
  <c r="DB58" i="21"/>
  <c r="DA58" i="21"/>
  <c r="CW58" i="21"/>
  <c r="CV58" i="21"/>
  <c r="CU58" i="21"/>
  <c r="CS58" i="21"/>
  <c r="DC58" i="21" s="1"/>
  <c r="CN58" i="21"/>
  <c r="CM58" i="21"/>
  <c r="CL58" i="21"/>
  <c r="CK58" i="21"/>
  <c r="CI58" i="21"/>
  <c r="CH58" i="21"/>
  <c r="CG58" i="21"/>
  <c r="CF58" i="21"/>
  <c r="CA58" i="21"/>
  <c r="CE58" i="21" s="1"/>
  <c r="DM58" i="21" s="1"/>
  <c r="BU58" i="21"/>
  <c r="CC58" i="21" s="1"/>
  <c r="BT58" i="21"/>
  <c r="CD58" i="21" s="1"/>
  <c r="BS58" i="21"/>
  <c r="CB58" i="21" s="1"/>
  <c r="BR58" i="21"/>
  <c r="BQ58" i="21"/>
  <c r="BP58" i="21"/>
  <c r="BO58" i="21"/>
  <c r="BN58" i="21"/>
  <c r="BM58" i="21"/>
  <c r="BL58" i="21"/>
  <c r="CJ58" i="21" s="1"/>
  <c r="BK58" i="21"/>
  <c r="BJ58" i="21"/>
  <c r="BI58" i="21"/>
  <c r="BH58" i="21"/>
  <c r="BG58" i="21"/>
  <c r="BF58" i="21"/>
  <c r="BE58" i="21"/>
  <c r="BD58" i="21"/>
  <c r="BC58" i="21"/>
  <c r="BB58" i="21"/>
  <c r="BA58" i="21"/>
  <c r="BW58" i="21" s="1"/>
  <c r="BZ58" i="21" s="1"/>
  <c r="AZ58" i="21"/>
  <c r="AY58" i="21"/>
  <c r="AX58" i="21"/>
  <c r="AW58" i="21"/>
  <c r="AV58" i="21"/>
  <c r="AU58" i="21"/>
  <c r="AT58" i="21"/>
  <c r="AS58" i="21"/>
  <c r="AR58" i="21"/>
  <c r="AQ58" i="21"/>
  <c r="AP58" i="21"/>
  <c r="AO58" i="21"/>
  <c r="AN58" i="21"/>
  <c r="AM58" i="21"/>
  <c r="BV58" i="21" s="1"/>
  <c r="BX58" i="21" s="1"/>
  <c r="BY58" i="21" s="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FS57" i="21"/>
  <c r="FR57" i="21"/>
  <c r="FQ57" i="21"/>
  <c r="FP57" i="21"/>
  <c r="FO57" i="21"/>
  <c r="FN57" i="21"/>
  <c r="FM57" i="21"/>
  <c r="FL57" i="21"/>
  <c r="FK57" i="21"/>
  <c r="FJ57" i="21"/>
  <c r="FI57" i="21"/>
  <c r="FH57" i="21"/>
  <c r="FG57" i="21"/>
  <c r="FF57" i="21"/>
  <c r="FE57" i="21"/>
  <c r="FD57" i="21"/>
  <c r="FB57" i="21"/>
  <c r="EY57" i="21"/>
  <c r="EV57" i="21"/>
  <c r="ET57" i="21"/>
  <c r="ES57" i="21"/>
  <c r="ER57" i="21"/>
  <c r="EH57" i="21"/>
  <c r="EE57" i="21"/>
  <c r="ED57" i="21"/>
  <c r="EC57" i="21"/>
  <c r="EB57" i="21"/>
  <c r="EA57" i="21"/>
  <c r="DZ57" i="21"/>
  <c r="DY57" i="21"/>
  <c r="DX57" i="21"/>
  <c r="DW57" i="21"/>
  <c r="DV57" i="21"/>
  <c r="DU57" i="21"/>
  <c r="DT57" i="21"/>
  <c r="DS57" i="21"/>
  <c r="DR57" i="21"/>
  <c r="DQ57" i="21"/>
  <c r="DP57" i="21"/>
  <c r="DO57" i="21"/>
  <c r="DN57" i="21"/>
  <c r="DE57" i="21"/>
  <c r="DD57" i="21"/>
  <c r="DB57" i="21"/>
  <c r="DA57" i="21"/>
  <c r="CW57" i="21"/>
  <c r="CV57" i="21"/>
  <c r="CU57" i="21"/>
  <c r="CT57" i="21"/>
  <c r="CS57" i="21"/>
  <c r="CN57" i="21"/>
  <c r="CM57" i="21"/>
  <c r="CL57" i="21"/>
  <c r="CI57" i="21"/>
  <c r="CH57" i="21"/>
  <c r="CG57" i="21"/>
  <c r="CF57" i="21"/>
  <c r="CB57" i="21"/>
  <c r="DJ57" i="21" s="1"/>
  <c r="BV57" i="21"/>
  <c r="BX57" i="21" s="1"/>
  <c r="BU57" i="21"/>
  <c r="BT57" i="21"/>
  <c r="CD57" i="21" s="1"/>
  <c r="DL57" i="21" s="1"/>
  <c r="BS57" i="21"/>
  <c r="BR57" i="21"/>
  <c r="BQ57" i="21"/>
  <c r="BP57" i="21"/>
  <c r="BO57" i="21"/>
  <c r="BN57" i="21"/>
  <c r="BM57" i="21"/>
  <c r="BL57" i="21"/>
  <c r="BK57" i="21"/>
  <c r="BJ57" i="21"/>
  <c r="BI57" i="21"/>
  <c r="BH57" i="21"/>
  <c r="BG57" i="21"/>
  <c r="BF57" i="21"/>
  <c r="BE57" i="21"/>
  <c r="BD57" i="21"/>
  <c r="BC57" i="21"/>
  <c r="BB57" i="21"/>
  <c r="BA57" i="21"/>
  <c r="AZ57" i="21"/>
  <c r="AY57" i="21"/>
  <c r="AX57" i="21"/>
  <c r="AW57" i="21"/>
  <c r="AV57" i="21"/>
  <c r="AU57" i="21"/>
  <c r="AT57" i="21"/>
  <c r="AS57" i="21"/>
  <c r="AR57" i="21"/>
  <c r="AQ57" i="21"/>
  <c r="AP57" i="21"/>
  <c r="AO57" i="21"/>
  <c r="AN57" i="21"/>
  <c r="AM57" i="21"/>
  <c r="AL57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FS56" i="21"/>
  <c r="FR56" i="21"/>
  <c r="FQ56" i="21"/>
  <c r="FP56" i="21"/>
  <c r="FO56" i="21"/>
  <c r="FN56" i="21"/>
  <c r="FM56" i="21"/>
  <c r="FL56" i="21"/>
  <c r="FK56" i="21"/>
  <c r="FJ56" i="21"/>
  <c r="FI56" i="21"/>
  <c r="FH56" i="21"/>
  <c r="FG56" i="21"/>
  <c r="FF56" i="21"/>
  <c r="FE56" i="21"/>
  <c r="FD56" i="21"/>
  <c r="FB56" i="21"/>
  <c r="EY56" i="21"/>
  <c r="EV56" i="21"/>
  <c r="ET56" i="21"/>
  <c r="ES56" i="21"/>
  <c r="ER56" i="21"/>
  <c r="EI56" i="21"/>
  <c r="FU56" i="21" s="1"/>
  <c r="EE56" i="21"/>
  <c r="ED56" i="21"/>
  <c r="EC56" i="21"/>
  <c r="EB56" i="21"/>
  <c r="EA56" i="21"/>
  <c r="DZ56" i="21"/>
  <c r="DY56" i="21"/>
  <c r="DX56" i="21"/>
  <c r="DW56" i="21"/>
  <c r="DV56" i="21"/>
  <c r="DU56" i="21"/>
  <c r="DT56" i="21"/>
  <c r="DS56" i="21"/>
  <c r="DR56" i="21"/>
  <c r="DQ56" i="21"/>
  <c r="DP56" i="21"/>
  <c r="DO56" i="21"/>
  <c r="DN56" i="21"/>
  <c r="DE56" i="21"/>
  <c r="DD56" i="21"/>
  <c r="DB56" i="21"/>
  <c r="DA56" i="21"/>
  <c r="CW56" i="21"/>
  <c r="CV56" i="21"/>
  <c r="CU56" i="21"/>
  <c r="CT56" i="21"/>
  <c r="CS56" i="21"/>
  <c r="CN56" i="21"/>
  <c r="CM56" i="21"/>
  <c r="CL56" i="21"/>
  <c r="CI56" i="21"/>
  <c r="CH56" i="21"/>
  <c r="CG56" i="21"/>
  <c r="CF56" i="21"/>
  <c r="CD56" i="21"/>
  <c r="DL56" i="21" s="1"/>
  <c r="CC56" i="21"/>
  <c r="DK56" i="21" s="1"/>
  <c r="CB56" i="21"/>
  <c r="DJ56" i="21" s="1"/>
  <c r="CA56" i="21"/>
  <c r="CE56" i="21" s="1"/>
  <c r="DM56" i="21" s="1"/>
  <c r="BW56" i="21"/>
  <c r="BZ56" i="21" s="1"/>
  <c r="BT56" i="21"/>
  <c r="BS56" i="21"/>
  <c r="BR56" i="21"/>
  <c r="BQ56" i="21"/>
  <c r="BP56" i="21"/>
  <c r="BO56" i="21"/>
  <c r="BN56" i="21"/>
  <c r="BM56" i="21"/>
  <c r="BU56" i="21" s="1"/>
  <c r="BL56" i="21"/>
  <c r="BK56" i="21"/>
  <c r="BJ56" i="21"/>
  <c r="BI56" i="21"/>
  <c r="BH56" i="21"/>
  <c r="BG56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FS55" i="21"/>
  <c r="FR55" i="21"/>
  <c r="FQ55" i="21"/>
  <c r="FP55" i="21"/>
  <c r="FO55" i="21"/>
  <c r="FN55" i="21"/>
  <c r="FM55" i="21"/>
  <c r="FL55" i="21"/>
  <c r="FK55" i="21"/>
  <c r="FJ55" i="21"/>
  <c r="FI55" i="21"/>
  <c r="FH55" i="21"/>
  <c r="FG55" i="21"/>
  <c r="FF55" i="21"/>
  <c r="FE55" i="21"/>
  <c r="FD55" i="21"/>
  <c r="FB55" i="21"/>
  <c r="EY55" i="21"/>
  <c r="EV55" i="21"/>
  <c r="ET55" i="21"/>
  <c r="ES55" i="21"/>
  <c r="ER55" i="21"/>
  <c r="EJ55" i="21"/>
  <c r="EL55" i="21" s="1"/>
  <c r="EE55" i="21"/>
  <c r="ED55" i="21"/>
  <c r="EC55" i="21"/>
  <c r="EB55" i="21"/>
  <c r="EA55" i="21"/>
  <c r="DZ55" i="21"/>
  <c r="DY55" i="21"/>
  <c r="DX55" i="21"/>
  <c r="DW55" i="21"/>
  <c r="DV55" i="21"/>
  <c r="DU55" i="21"/>
  <c r="DT55" i="21"/>
  <c r="DS55" i="21"/>
  <c r="DR55" i="21"/>
  <c r="DQ55" i="21"/>
  <c r="DP55" i="21"/>
  <c r="DO55" i="21"/>
  <c r="DN55" i="21"/>
  <c r="DE55" i="21"/>
  <c r="DD55" i="21"/>
  <c r="DB55" i="21"/>
  <c r="DA55" i="21"/>
  <c r="CW55" i="21"/>
  <c r="CV55" i="21"/>
  <c r="CU55" i="21"/>
  <c r="CN55" i="21"/>
  <c r="CM55" i="21"/>
  <c r="CL55" i="21"/>
  <c r="CI55" i="21"/>
  <c r="CH55" i="21"/>
  <c r="CG55" i="21"/>
  <c r="CF55" i="21"/>
  <c r="CB55" i="21"/>
  <c r="DJ55" i="21" s="1"/>
  <c r="BT55" i="21"/>
  <c r="BS55" i="21"/>
  <c r="BR55" i="21"/>
  <c r="BQ55" i="21"/>
  <c r="BP55" i="21"/>
  <c r="BO55" i="21"/>
  <c r="BN55" i="21"/>
  <c r="BM55" i="21"/>
  <c r="BU55" i="21" s="1"/>
  <c r="BL55" i="21"/>
  <c r="EH55" i="21" s="1"/>
  <c r="FT55" i="21" s="1"/>
  <c r="BK55" i="21"/>
  <c r="BJ55" i="21"/>
  <c r="BI55" i="21"/>
  <c r="BH55" i="21"/>
  <c r="BG55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FS54" i="21"/>
  <c r="FR54" i="21"/>
  <c r="FQ54" i="21"/>
  <c r="FP54" i="21"/>
  <c r="FO54" i="21"/>
  <c r="FN54" i="21"/>
  <c r="FM54" i="21"/>
  <c r="FL54" i="21"/>
  <c r="FK54" i="21"/>
  <c r="FJ54" i="21"/>
  <c r="FI54" i="21"/>
  <c r="FH54" i="21"/>
  <c r="FG54" i="21"/>
  <c r="FF54" i="21"/>
  <c r="FE54" i="21"/>
  <c r="FD54" i="21"/>
  <c r="FB54" i="21"/>
  <c r="EY54" i="21"/>
  <c r="EV54" i="21"/>
  <c r="ET54" i="21"/>
  <c r="ES54" i="21"/>
  <c r="ER54" i="21"/>
  <c r="EE54" i="21"/>
  <c r="ED54" i="21"/>
  <c r="EC54" i="21"/>
  <c r="EB54" i="21"/>
  <c r="EA54" i="21"/>
  <c r="DZ54" i="21"/>
  <c r="DY54" i="21"/>
  <c r="DX54" i="21"/>
  <c r="DW54" i="21"/>
  <c r="DV54" i="21"/>
  <c r="DU54" i="21"/>
  <c r="DT54" i="21"/>
  <c r="DS54" i="21"/>
  <c r="DR54" i="21"/>
  <c r="DQ54" i="21"/>
  <c r="DP54" i="21"/>
  <c r="DO54" i="21"/>
  <c r="DN54" i="21"/>
  <c r="DE54" i="21"/>
  <c r="DD54" i="21"/>
  <c r="DB54" i="21"/>
  <c r="DA54" i="21"/>
  <c r="CW54" i="21"/>
  <c r="CV54" i="21"/>
  <c r="CU54" i="21"/>
  <c r="CN54" i="21"/>
  <c r="CM54" i="21"/>
  <c r="CL54" i="21"/>
  <c r="CK54" i="21"/>
  <c r="CO54" i="21" s="1"/>
  <c r="CP54" i="21" s="1"/>
  <c r="CJ54" i="21"/>
  <c r="CZ54" i="21" s="1"/>
  <c r="CI54" i="21"/>
  <c r="CH54" i="21"/>
  <c r="CG54" i="21"/>
  <c r="CF54" i="21"/>
  <c r="CD54" i="21"/>
  <c r="DL54" i="21" s="1"/>
  <c r="CC54" i="21"/>
  <c r="DK54" i="21" s="1"/>
  <c r="BT54" i="21"/>
  <c r="BS54" i="21"/>
  <c r="EW54" i="21" s="1"/>
  <c r="BR54" i="21"/>
  <c r="BQ54" i="21"/>
  <c r="BP54" i="21"/>
  <c r="BO54" i="21"/>
  <c r="BN54" i="21"/>
  <c r="BM54" i="21"/>
  <c r="BU54" i="21" s="1"/>
  <c r="BL54" i="21"/>
  <c r="BK54" i="21"/>
  <c r="BJ54" i="21"/>
  <c r="BI54" i="21"/>
  <c r="BH54" i="21"/>
  <c r="BG54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FS53" i="21"/>
  <c r="FR53" i="21"/>
  <c r="FQ53" i="21"/>
  <c r="FP53" i="21"/>
  <c r="FO53" i="21"/>
  <c r="FN53" i="21"/>
  <c r="FM53" i="21"/>
  <c r="FL53" i="21"/>
  <c r="FK53" i="21"/>
  <c r="FJ53" i="21"/>
  <c r="FI53" i="21"/>
  <c r="FH53" i="21"/>
  <c r="FG53" i="21"/>
  <c r="FF53" i="21"/>
  <c r="FE53" i="21"/>
  <c r="FD53" i="21"/>
  <c r="FB53" i="21"/>
  <c r="EY53" i="21"/>
  <c r="EV53" i="21"/>
  <c r="ET53" i="21"/>
  <c r="ES53" i="21"/>
  <c r="ER53" i="21"/>
  <c r="EE53" i="21"/>
  <c r="ED53" i="21"/>
  <c r="EC53" i="21"/>
  <c r="EB53" i="21"/>
  <c r="EA53" i="21"/>
  <c r="DZ53" i="21"/>
  <c r="DY53" i="21"/>
  <c r="DX53" i="21"/>
  <c r="DW53" i="21"/>
  <c r="DV53" i="21"/>
  <c r="DU53" i="21"/>
  <c r="DT53" i="21"/>
  <c r="DS53" i="21"/>
  <c r="DR53" i="21"/>
  <c r="DQ53" i="21"/>
  <c r="DP53" i="21"/>
  <c r="DO53" i="21"/>
  <c r="DN53" i="21"/>
  <c r="DE53" i="21"/>
  <c r="DD53" i="21"/>
  <c r="DB53" i="21"/>
  <c r="DA53" i="21"/>
  <c r="CW53" i="21"/>
  <c r="CV53" i="21"/>
  <c r="CU53" i="21"/>
  <c r="CN53" i="21"/>
  <c r="CM53" i="21"/>
  <c r="CL53" i="21"/>
  <c r="CI53" i="21"/>
  <c r="CH53" i="21"/>
  <c r="CG53" i="21"/>
  <c r="CF53" i="21"/>
  <c r="BT53" i="21"/>
  <c r="CD53" i="21" s="1"/>
  <c r="DL53" i="21" s="1"/>
  <c r="BS53" i="21"/>
  <c r="BR53" i="21"/>
  <c r="BQ53" i="21"/>
  <c r="BP53" i="21"/>
  <c r="BO53" i="21"/>
  <c r="BN53" i="21"/>
  <c r="BM53" i="21"/>
  <c r="BU53" i="21" s="1"/>
  <c r="BL53" i="21"/>
  <c r="BK53" i="21"/>
  <c r="BJ53" i="21"/>
  <c r="BI53" i="21"/>
  <c r="BH53" i="21"/>
  <c r="BG53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FT52" i="21"/>
  <c r="FS52" i="21"/>
  <c r="FR52" i="21"/>
  <c r="FQ52" i="21"/>
  <c r="FP52" i="21"/>
  <c r="FO52" i="21"/>
  <c r="FN52" i="21"/>
  <c r="FM52" i="21"/>
  <c r="FL52" i="21"/>
  <c r="FK52" i="21"/>
  <c r="FJ52" i="21"/>
  <c r="FI52" i="21"/>
  <c r="FH52" i="21"/>
  <c r="FG52" i="21"/>
  <c r="FF52" i="21"/>
  <c r="FE52" i="21"/>
  <c r="FD52" i="21"/>
  <c r="FB52" i="21"/>
  <c r="EY52" i="21"/>
  <c r="EV52" i="21"/>
  <c r="EU52" i="21"/>
  <c r="ET52" i="21"/>
  <c r="ES52" i="21"/>
  <c r="ER52" i="21"/>
  <c r="EL52" i="21"/>
  <c r="EI52" i="21"/>
  <c r="EH52" i="21"/>
  <c r="EJ52" i="21" s="1"/>
  <c r="EE52" i="21"/>
  <c r="ED52" i="21"/>
  <c r="EC52" i="21"/>
  <c r="EB52" i="21"/>
  <c r="EA52" i="21"/>
  <c r="DZ52" i="21"/>
  <c r="DY52" i="21"/>
  <c r="DX52" i="21"/>
  <c r="DW52" i="21"/>
  <c r="DV52" i="21"/>
  <c r="DU52" i="21"/>
  <c r="DT52" i="21"/>
  <c r="DS52" i="21"/>
  <c r="DR52" i="21"/>
  <c r="DQ52" i="21"/>
  <c r="DP52" i="21"/>
  <c r="DO52" i="21"/>
  <c r="DN52" i="21"/>
  <c r="DE52" i="21"/>
  <c r="DD52" i="21"/>
  <c r="DC52" i="21"/>
  <c r="DB52" i="21"/>
  <c r="DA52" i="21"/>
  <c r="CW52" i="21"/>
  <c r="CV52" i="21"/>
  <c r="CU52" i="21"/>
  <c r="CS52" i="21"/>
  <c r="CN52" i="21"/>
  <c r="CM52" i="21"/>
  <c r="CL52" i="21"/>
  <c r="CJ52" i="21"/>
  <c r="CZ52" i="21" s="1"/>
  <c r="CI52" i="21"/>
  <c r="CH52" i="21"/>
  <c r="CG52" i="21"/>
  <c r="CF52" i="21"/>
  <c r="CC52" i="21"/>
  <c r="DK52" i="21" s="1"/>
  <c r="CB52" i="21"/>
  <c r="DJ52" i="21" s="1"/>
  <c r="BW52" i="21"/>
  <c r="BZ52" i="21" s="1"/>
  <c r="BV52" i="21"/>
  <c r="BX52" i="21" s="1"/>
  <c r="BY52" i="21" s="1"/>
  <c r="BU52" i="21"/>
  <c r="BT52" i="21"/>
  <c r="CD52" i="21" s="1"/>
  <c r="DL52" i="21" s="1"/>
  <c r="BS52" i="21"/>
  <c r="BR52" i="21"/>
  <c r="BQ52" i="21"/>
  <c r="BP52" i="21"/>
  <c r="BO52" i="21"/>
  <c r="BN52" i="21"/>
  <c r="BM52" i="21"/>
  <c r="BL52" i="21"/>
  <c r="BK52" i="21"/>
  <c r="BJ52" i="21"/>
  <c r="BI52" i="21"/>
  <c r="BH52" i="21"/>
  <c r="BG52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FX51" i="21"/>
  <c r="FU51" i="21"/>
  <c r="FS51" i="21"/>
  <c r="FR51" i="21"/>
  <c r="FQ51" i="21"/>
  <c r="FP51" i="21"/>
  <c r="FO51" i="21"/>
  <c r="FN51" i="21"/>
  <c r="FM51" i="21"/>
  <c r="FL51" i="21"/>
  <c r="FK51" i="21"/>
  <c r="FJ51" i="21"/>
  <c r="FI51" i="21"/>
  <c r="FH51" i="21"/>
  <c r="FG51" i="21"/>
  <c r="FF51" i="21"/>
  <c r="FE51" i="21"/>
  <c r="FD51" i="21"/>
  <c r="FB51" i="21"/>
  <c r="EY51" i="21"/>
  <c r="EV51" i="21"/>
  <c r="ET51" i="21"/>
  <c r="ES51" i="21"/>
  <c r="ER51" i="21"/>
  <c r="EI51" i="21"/>
  <c r="EK51" i="21" s="1"/>
  <c r="EM51" i="21" s="1"/>
  <c r="EE51" i="21"/>
  <c r="ED51" i="21"/>
  <c r="EC51" i="21"/>
  <c r="EB51" i="21"/>
  <c r="EA51" i="21"/>
  <c r="DZ51" i="21"/>
  <c r="DY51" i="21"/>
  <c r="DX51" i="21"/>
  <c r="DW51" i="21"/>
  <c r="DV51" i="21"/>
  <c r="DU51" i="21"/>
  <c r="DT51" i="21"/>
  <c r="DS51" i="21"/>
  <c r="DR51" i="21"/>
  <c r="DQ51" i="21"/>
  <c r="DP51" i="21"/>
  <c r="DO51" i="21"/>
  <c r="DN51" i="21"/>
  <c r="DL51" i="21"/>
  <c r="DE51" i="21"/>
  <c r="DD51" i="21"/>
  <c r="DB51" i="21"/>
  <c r="DA51" i="21"/>
  <c r="CW51" i="21"/>
  <c r="CV51" i="21"/>
  <c r="CU51" i="21"/>
  <c r="CN51" i="21"/>
  <c r="CM51" i="21"/>
  <c r="CL51" i="21"/>
  <c r="CI51" i="21"/>
  <c r="CH51" i="21"/>
  <c r="CG51" i="21"/>
  <c r="CF51" i="21"/>
  <c r="BU51" i="21"/>
  <c r="BT51" i="21"/>
  <c r="CD51" i="21" s="1"/>
  <c r="BS51" i="21"/>
  <c r="BR51" i="21"/>
  <c r="BQ51" i="21"/>
  <c r="BP51" i="21"/>
  <c r="BO51" i="21"/>
  <c r="BN51" i="21"/>
  <c r="BM51" i="21"/>
  <c r="BL51" i="21"/>
  <c r="CJ51" i="21" s="1"/>
  <c r="BK51" i="21"/>
  <c r="BJ51" i="21"/>
  <c r="BI51" i="21"/>
  <c r="BH51" i="21"/>
  <c r="BG51" i="21"/>
  <c r="BF51" i="21"/>
  <c r="BE51" i="21"/>
  <c r="BD51" i="21"/>
  <c r="BC51" i="21"/>
  <c r="BB51" i="21"/>
  <c r="BA51" i="21"/>
  <c r="CA51" i="21" s="1"/>
  <c r="CE51" i="21" s="1"/>
  <c r="DM51" i="21" s="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FS50" i="21"/>
  <c r="FR50" i="21"/>
  <c r="FQ50" i="21"/>
  <c r="FP50" i="21"/>
  <c r="FO50" i="21"/>
  <c r="FN50" i="21"/>
  <c r="FM50" i="21"/>
  <c r="FL50" i="21"/>
  <c r="FK50" i="21"/>
  <c r="FJ50" i="21"/>
  <c r="FI50" i="21"/>
  <c r="FH50" i="21"/>
  <c r="FG50" i="21"/>
  <c r="FF50" i="21"/>
  <c r="FE50" i="21"/>
  <c r="FD50" i="21"/>
  <c r="FB50" i="21"/>
  <c r="EY50" i="21"/>
  <c r="EV50" i="21"/>
  <c r="ET50" i="21"/>
  <c r="ES50" i="21"/>
  <c r="ER50" i="21"/>
  <c r="EE50" i="21"/>
  <c r="ED50" i="21"/>
  <c r="EC50" i="21"/>
  <c r="EB50" i="21"/>
  <c r="EA50" i="21"/>
  <c r="DZ50" i="21"/>
  <c r="DY50" i="21"/>
  <c r="DX50" i="21"/>
  <c r="DW50" i="21"/>
  <c r="DV50" i="21"/>
  <c r="DU50" i="21"/>
  <c r="DT50" i="21"/>
  <c r="DS50" i="21"/>
  <c r="DR50" i="21"/>
  <c r="DQ50" i="21"/>
  <c r="DP50" i="21"/>
  <c r="DO50" i="21"/>
  <c r="DN50" i="21"/>
  <c r="DE50" i="21"/>
  <c r="DD50" i="21"/>
  <c r="DC50" i="21"/>
  <c r="DB50" i="21"/>
  <c r="DA50" i="21"/>
  <c r="CW50" i="21"/>
  <c r="CV50" i="21"/>
  <c r="CU50" i="21"/>
  <c r="CS50" i="21"/>
  <c r="CN50" i="21"/>
  <c r="CM50" i="21"/>
  <c r="CL50" i="21"/>
  <c r="CI50" i="21"/>
  <c r="CH50" i="21"/>
  <c r="CG50" i="21"/>
  <c r="CF50" i="21"/>
  <c r="CD50" i="21"/>
  <c r="DL50" i="21" s="1"/>
  <c r="CC50" i="21"/>
  <c r="DK50" i="21" s="1"/>
  <c r="CB50" i="21"/>
  <c r="DJ50" i="21" s="1"/>
  <c r="CA50" i="21"/>
  <c r="CE50" i="21" s="1"/>
  <c r="DM50" i="21" s="1"/>
  <c r="BU50" i="21"/>
  <c r="BT50" i="21"/>
  <c r="BS50" i="21"/>
  <c r="BR50" i="21"/>
  <c r="BQ50" i="21"/>
  <c r="BP50" i="21"/>
  <c r="BO50" i="21"/>
  <c r="BN50" i="21"/>
  <c r="EI50" i="21" s="1"/>
  <c r="BM50" i="21"/>
  <c r="BL50" i="21"/>
  <c r="BK50" i="21"/>
  <c r="BJ50" i="21"/>
  <c r="BI50" i="21"/>
  <c r="BH50" i="21"/>
  <c r="BG50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FS49" i="21"/>
  <c r="FR49" i="21"/>
  <c r="FQ49" i="21"/>
  <c r="FP49" i="21"/>
  <c r="FO49" i="21"/>
  <c r="FN49" i="21"/>
  <c r="FM49" i="21"/>
  <c r="FL49" i="21"/>
  <c r="FK49" i="21"/>
  <c r="FJ49" i="21"/>
  <c r="FI49" i="21"/>
  <c r="FH49" i="21"/>
  <c r="FG49" i="21"/>
  <c r="FF49" i="21"/>
  <c r="FE49" i="21"/>
  <c r="FD49" i="21"/>
  <c r="FB49" i="21"/>
  <c r="EY49" i="21"/>
  <c r="EV49" i="21"/>
  <c r="ET49" i="21"/>
  <c r="ES49" i="21"/>
  <c r="ER49" i="21"/>
  <c r="EU49" i="21"/>
  <c r="EK49" i="21"/>
  <c r="EM49" i="21" s="1"/>
  <c r="FX49" i="21" s="1"/>
  <c r="EI49" i="21"/>
  <c r="FU49" i="21" s="1"/>
  <c r="EH49" i="21"/>
  <c r="FT49" i="21" s="1"/>
  <c r="FV49" i="21" s="1"/>
  <c r="EE49" i="21"/>
  <c r="ED49" i="21"/>
  <c r="EC49" i="21"/>
  <c r="EB49" i="21"/>
  <c r="EA49" i="21"/>
  <c r="DZ49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L49" i="21"/>
  <c r="DE49" i="21"/>
  <c r="DD49" i="21"/>
  <c r="DB49" i="21"/>
  <c r="DA49" i="21"/>
  <c r="CW49" i="21"/>
  <c r="CV49" i="21"/>
  <c r="CU49" i="21"/>
  <c r="CN49" i="21"/>
  <c r="CM49" i="21"/>
  <c r="CL49" i="21"/>
  <c r="CI49" i="21"/>
  <c r="CH49" i="21"/>
  <c r="CG49" i="21"/>
  <c r="CF49" i="21"/>
  <c r="CD49" i="21"/>
  <c r="CC49" i="21"/>
  <c r="DK49" i="21" s="1"/>
  <c r="BT49" i="21"/>
  <c r="BS49" i="21"/>
  <c r="BR49" i="21"/>
  <c r="BQ49" i="21"/>
  <c r="BP49" i="21"/>
  <c r="BO49" i="21"/>
  <c r="BN49" i="21"/>
  <c r="CS49" i="21" s="1"/>
  <c r="BM49" i="21"/>
  <c r="BU49" i="21" s="1"/>
  <c r="BL49" i="21"/>
  <c r="BK49" i="21"/>
  <c r="BJ49" i="21"/>
  <c r="BI49" i="21"/>
  <c r="BH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FS48" i="21"/>
  <c r="FR48" i="21"/>
  <c r="FQ48" i="21"/>
  <c r="FP48" i="21"/>
  <c r="FO48" i="21"/>
  <c r="FN48" i="21"/>
  <c r="FM48" i="21"/>
  <c r="FL48" i="21"/>
  <c r="FK48" i="21"/>
  <c r="FJ48" i="21"/>
  <c r="FI48" i="21"/>
  <c r="FH48" i="21"/>
  <c r="FG48" i="21"/>
  <c r="FF48" i="21"/>
  <c r="FE48" i="21"/>
  <c r="FD48" i="21"/>
  <c r="FB48" i="21"/>
  <c r="EY48" i="21"/>
  <c r="EV48" i="21"/>
  <c r="ET48" i="21"/>
  <c r="ES48" i="21"/>
  <c r="ER48" i="21"/>
  <c r="EH48" i="21"/>
  <c r="EE48" i="21"/>
  <c r="ED48" i="21"/>
  <c r="EC48" i="21"/>
  <c r="EB48" i="21"/>
  <c r="EA48" i="21"/>
  <c r="DZ48" i="21"/>
  <c r="DY48" i="21"/>
  <c r="DX48" i="21"/>
  <c r="DW48" i="21"/>
  <c r="DV48" i="21"/>
  <c r="DU48" i="21"/>
  <c r="DT48" i="21"/>
  <c r="DS48" i="21"/>
  <c r="DR48" i="21"/>
  <c r="DQ48" i="21"/>
  <c r="DP48" i="21"/>
  <c r="DO48" i="21"/>
  <c r="DN48" i="21"/>
  <c r="DL48" i="21"/>
  <c r="DJ48" i="21"/>
  <c r="DE48" i="21"/>
  <c r="DD48" i="21"/>
  <c r="DB48" i="21"/>
  <c r="DA48" i="21"/>
  <c r="CW48" i="21"/>
  <c r="CV48" i="21"/>
  <c r="CU48" i="21"/>
  <c r="CN48" i="21"/>
  <c r="CM48" i="21"/>
  <c r="CL48" i="21"/>
  <c r="CJ48" i="21"/>
  <c r="CI48" i="21"/>
  <c r="CH48" i="21"/>
  <c r="CG48" i="21"/>
  <c r="CF48" i="21"/>
  <c r="BT48" i="21"/>
  <c r="CD48" i="21" s="1"/>
  <c r="BS48" i="21"/>
  <c r="BR48" i="21"/>
  <c r="BQ48" i="21"/>
  <c r="BP48" i="21"/>
  <c r="BO48" i="21"/>
  <c r="BN48" i="21"/>
  <c r="BM48" i="21"/>
  <c r="BU48" i="21" s="1"/>
  <c r="BL48" i="21"/>
  <c r="CB48" i="21" s="1"/>
  <c r="BK48" i="21"/>
  <c r="BJ48" i="21"/>
  <c r="BI48" i="21"/>
  <c r="BH48" i="21"/>
  <c r="BG48" i="21"/>
  <c r="BF48" i="21"/>
  <c r="BE48" i="21"/>
  <c r="BD48" i="21"/>
  <c r="BC48" i="21"/>
  <c r="BB48" i="21"/>
  <c r="BA48" i="21"/>
  <c r="AZ48" i="21"/>
  <c r="AY48" i="21"/>
  <c r="AX48" i="21"/>
  <c r="AW48" i="21"/>
  <c r="AV48" i="21"/>
  <c r="AU48" i="21"/>
  <c r="AT48" i="21"/>
  <c r="AS48" i="21"/>
  <c r="AR48" i="21"/>
  <c r="AQ48" i="21"/>
  <c r="AP48" i="21"/>
  <c r="AO48" i="21"/>
  <c r="AN48" i="21"/>
  <c r="AM48" i="21"/>
  <c r="AL48" i="21"/>
  <c r="AK48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FS47" i="21"/>
  <c r="FR47" i="21"/>
  <c r="FQ47" i="21"/>
  <c r="FP47" i="21"/>
  <c r="FO47" i="21"/>
  <c r="FN47" i="21"/>
  <c r="FM47" i="21"/>
  <c r="FL47" i="21"/>
  <c r="FK47" i="21"/>
  <c r="FJ47" i="21"/>
  <c r="FI47" i="21"/>
  <c r="FH47" i="21"/>
  <c r="FG47" i="21"/>
  <c r="FF47" i="21"/>
  <c r="FE47" i="21"/>
  <c r="FD47" i="21"/>
  <c r="FB47" i="21"/>
  <c r="EY47" i="21"/>
  <c r="EV47" i="21"/>
  <c r="ET47" i="21"/>
  <c r="ES47" i="21"/>
  <c r="ER47" i="21"/>
  <c r="EU47" i="21" s="1"/>
  <c r="EI47" i="21"/>
  <c r="FU47" i="21" s="1"/>
  <c r="EH47" i="21"/>
  <c r="EE47" i="21"/>
  <c r="ED47" i="21"/>
  <c r="EC47" i="21"/>
  <c r="EB47" i="21"/>
  <c r="EA47" i="21"/>
  <c r="DZ47" i="21"/>
  <c r="DY47" i="21"/>
  <c r="DX47" i="21"/>
  <c r="DW47" i="21"/>
  <c r="DV47" i="21"/>
  <c r="DU47" i="21"/>
  <c r="DT47" i="21"/>
  <c r="DS47" i="21"/>
  <c r="DR47" i="21"/>
  <c r="DQ47" i="21"/>
  <c r="DP47" i="21"/>
  <c r="DO47" i="21"/>
  <c r="DN47" i="21"/>
  <c r="DE47" i="21"/>
  <c r="DD47" i="21"/>
  <c r="DC47" i="21"/>
  <c r="DB47" i="21"/>
  <c r="DA47" i="21"/>
  <c r="CZ47" i="21"/>
  <c r="CW47" i="21"/>
  <c r="CV47" i="21"/>
  <c r="CU47" i="21"/>
  <c r="CS47" i="21"/>
  <c r="CN47" i="21"/>
  <c r="CM47" i="21"/>
  <c r="CL47" i="21"/>
  <c r="CJ47" i="21"/>
  <c r="CK47" i="21" s="1"/>
  <c r="CI47" i="21"/>
  <c r="CH47" i="21"/>
  <c r="CG47" i="21"/>
  <c r="CF47" i="21"/>
  <c r="CE47" i="21"/>
  <c r="DM47" i="21" s="1"/>
  <c r="CA47" i="21"/>
  <c r="BW47" i="21"/>
  <c r="BZ47" i="21" s="1"/>
  <c r="BT47" i="21"/>
  <c r="CD47" i="21" s="1"/>
  <c r="DL47" i="21" s="1"/>
  <c r="BS47" i="21"/>
  <c r="CB47" i="21" s="1"/>
  <c r="DJ47" i="21" s="1"/>
  <c r="BR47" i="21"/>
  <c r="BQ47" i="21"/>
  <c r="BP47" i="21"/>
  <c r="BO47" i="21"/>
  <c r="BN47" i="21"/>
  <c r="BM47" i="21"/>
  <c r="BU47" i="21" s="1"/>
  <c r="BL47" i="21"/>
  <c r="BK47" i="21"/>
  <c r="BJ47" i="21"/>
  <c r="BI47" i="21"/>
  <c r="BH47" i="21"/>
  <c r="BG47" i="21"/>
  <c r="BF47" i="21"/>
  <c r="BE47" i="21"/>
  <c r="BD47" i="21"/>
  <c r="BC47" i="21"/>
  <c r="BB47" i="21"/>
  <c r="BA47" i="21"/>
  <c r="AZ47" i="21"/>
  <c r="AY47" i="21"/>
  <c r="AX47" i="21"/>
  <c r="AW47" i="21"/>
  <c r="AV47" i="21"/>
  <c r="AU47" i="21"/>
  <c r="AT47" i="21"/>
  <c r="AS47" i="21"/>
  <c r="AR47" i="21"/>
  <c r="AQ47" i="21"/>
  <c r="AP47" i="21"/>
  <c r="AO47" i="21"/>
  <c r="AN47" i="21"/>
  <c r="AM47" i="21"/>
  <c r="AL47" i="21"/>
  <c r="AK47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FS46" i="21"/>
  <c r="FR46" i="21"/>
  <c r="FQ46" i="21"/>
  <c r="FP46" i="21"/>
  <c r="FO46" i="21"/>
  <c r="FN46" i="21"/>
  <c r="FM46" i="21"/>
  <c r="FL46" i="21"/>
  <c r="FK46" i="21"/>
  <c r="FJ46" i="21"/>
  <c r="FI46" i="21"/>
  <c r="FH46" i="21"/>
  <c r="FG46" i="21"/>
  <c r="FF46" i="21"/>
  <c r="FE46" i="21"/>
  <c r="FD46" i="21"/>
  <c r="FB46" i="21"/>
  <c r="EY46" i="21"/>
  <c r="EV46" i="21"/>
  <c r="ET46" i="21"/>
  <c r="ES46" i="21"/>
  <c r="EU46" i="21" s="1"/>
  <c r="ER46" i="21"/>
  <c r="EE46" i="21"/>
  <c r="ED46" i="21"/>
  <c r="EC46" i="21"/>
  <c r="EB46" i="21"/>
  <c r="EA46" i="21"/>
  <c r="DZ46" i="21"/>
  <c r="DY46" i="21"/>
  <c r="DX46" i="21"/>
  <c r="DW46" i="21"/>
  <c r="DV46" i="21"/>
  <c r="DU46" i="21"/>
  <c r="DT46" i="21"/>
  <c r="DS46" i="21"/>
  <c r="DR46" i="21"/>
  <c r="DQ46" i="21"/>
  <c r="DP46" i="21"/>
  <c r="DO46" i="21"/>
  <c r="DN46" i="21"/>
  <c r="DE46" i="21"/>
  <c r="DD46" i="21"/>
  <c r="DB46" i="21"/>
  <c r="DA46" i="21"/>
  <c r="CW46" i="21"/>
  <c r="CV46" i="21"/>
  <c r="CU46" i="21"/>
  <c r="CN46" i="21"/>
  <c r="CM46" i="21"/>
  <c r="CL46" i="21"/>
  <c r="CI46" i="21"/>
  <c r="CH46" i="21"/>
  <c r="CG46" i="21"/>
  <c r="CF46" i="21"/>
  <c r="CA46" i="21"/>
  <c r="CE46" i="21" s="1"/>
  <c r="DM46" i="21" s="1"/>
  <c r="BT46" i="21"/>
  <c r="CD46" i="21" s="1"/>
  <c r="DL46" i="21" s="1"/>
  <c r="BS46" i="21"/>
  <c r="BR46" i="21"/>
  <c r="BQ46" i="21"/>
  <c r="BP46" i="21"/>
  <c r="BO46" i="21"/>
  <c r="BN46" i="21"/>
  <c r="BM46" i="21"/>
  <c r="BU46" i="21" s="1"/>
  <c r="BL46" i="21"/>
  <c r="BK46" i="21"/>
  <c r="BJ46" i="21"/>
  <c r="BI46" i="21"/>
  <c r="BH46" i="21"/>
  <c r="BG46" i="21"/>
  <c r="BF46" i="21"/>
  <c r="BE46" i="21"/>
  <c r="BD46" i="21"/>
  <c r="BC46" i="21"/>
  <c r="BB46" i="21"/>
  <c r="BA46" i="21"/>
  <c r="AZ46" i="21"/>
  <c r="AY46" i="21"/>
  <c r="AX46" i="21"/>
  <c r="AW46" i="21"/>
  <c r="AV46" i="21"/>
  <c r="AU46" i="21"/>
  <c r="AT46" i="21"/>
  <c r="AS46" i="21"/>
  <c r="AR46" i="21"/>
  <c r="AQ46" i="21"/>
  <c r="AP46" i="21"/>
  <c r="BW46" i="21" s="1"/>
  <c r="BZ46" i="21" s="1"/>
  <c r="AO46" i="21"/>
  <c r="AN46" i="21"/>
  <c r="AM46" i="21"/>
  <c r="AL46" i="21"/>
  <c r="AK46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CJ46" i="21" s="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FS45" i="21"/>
  <c r="FR45" i="21"/>
  <c r="FQ45" i="21"/>
  <c r="FP45" i="21"/>
  <c r="FO45" i="21"/>
  <c r="FN45" i="21"/>
  <c r="FM45" i="21"/>
  <c r="FL45" i="21"/>
  <c r="FK45" i="21"/>
  <c r="FJ45" i="21"/>
  <c r="FI45" i="21"/>
  <c r="FH45" i="21"/>
  <c r="FG45" i="21"/>
  <c r="FF45" i="21"/>
  <c r="FE45" i="21"/>
  <c r="FD45" i="21"/>
  <c r="FB45" i="21"/>
  <c r="EY45" i="21"/>
  <c r="EV45" i="21"/>
  <c r="ET45" i="21"/>
  <c r="ES45" i="21"/>
  <c r="ER45" i="21"/>
  <c r="EU45" i="21"/>
  <c r="EE45" i="21"/>
  <c r="ED45" i="21"/>
  <c r="EC45" i="21"/>
  <c r="EB45" i="21"/>
  <c r="EA45" i="21"/>
  <c r="DZ45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E45" i="21"/>
  <c r="DD45" i="21"/>
  <c r="DB45" i="21"/>
  <c r="DA45" i="21"/>
  <c r="CW45" i="21"/>
  <c r="CV45" i="21"/>
  <c r="CU45" i="21"/>
  <c r="CT45" i="21"/>
  <c r="CS45" i="21"/>
  <c r="CN45" i="21"/>
  <c r="CM45" i="21"/>
  <c r="CL45" i="21"/>
  <c r="CI45" i="21"/>
  <c r="CH45" i="21"/>
  <c r="CG45" i="21"/>
  <c r="CF45" i="21"/>
  <c r="CD45" i="21"/>
  <c r="DL45" i="21" s="1"/>
  <c r="BU45" i="21"/>
  <c r="CC45" i="21" s="1"/>
  <c r="DK45" i="21" s="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H45" i="21"/>
  <c r="BG45" i="21"/>
  <c r="BF45" i="21"/>
  <c r="BE45" i="21"/>
  <c r="BD45" i="21"/>
  <c r="BC45" i="21"/>
  <c r="BB45" i="21"/>
  <c r="BA45" i="21"/>
  <c r="EI45" i="21" s="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FS44" i="21"/>
  <c r="FR44" i="21"/>
  <c r="FQ44" i="21"/>
  <c r="FP44" i="21"/>
  <c r="FO44" i="21"/>
  <c r="FN44" i="21"/>
  <c r="FM44" i="21"/>
  <c r="FL44" i="21"/>
  <c r="FK44" i="21"/>
  <c r="FJ44" i="21"/>
  <c r="FI44" i="21"/>
  <c r="FH44" i="21"/>
  <c r="FG44" i="21"/>
  <c r="FF44" i="21"/>
  <c r="FE44" i="21"/>
  <c r="FD44" i="21"/>
  <c r="FB44" i="21"/>
  <c r="EY44" i="21"/>
  <c r="EV44" i="21"/>
  <c r="ET44" i="21"/>
  <c r="ES44" i="21"/>
  <c r="ER44" i="21"/>
  <c r="EH44" i="21"/>
  <c r="EE44" i="21"/>
  <c r="ED44" i="21"/>
  <c r="EC44" i="21"/>
  <c r="EB44" i="21"/>
  <c r="EA44" i="21"/>
  <c r="DZ44" i="21"/>
  <c r="DY44" i="21"/>
  <c r="DX44" i="21"/>
  <c r="DW44" i="21"/>
  <c r="DV44" i="21"/>
  <c r="DU44" i="21"/>
  <c r="DT44" i="21"/>
  <c r="DS44" i="21"/>
  <c r="DR44" i="21"/>
  <c r="DQ44" i="21"/>
  <c r="DP44" i="21"/>
  <c r="DO44" i="21"/>
  <c r="DN44" i="21"/>
  <c r="DL44" i="21"/>
  <c r="DK44" i="21"/>
  <c r="DE44" i="21"/>
  <c r="DD44" i="21"/>
  <c r="DB44" i="21"/>
  <c r="DA44" i="21"/>
  <c r="CW44" i="21"/>
  <c r="CV44" i="21"/>
  <c r="CU44" i="21"/>
  <c r="CS44" i="21"/>
  <c r="CN44" i="21"/>
  <c r="CM44" i="21"/>
  <c r="CL44" i="21"/>
  <c r="CJ44" i="21"/>
  <c r="CI44" i="21"/>
  <c r="CH44" i="21"/>
  <c r="CG44" i="21"/>
  <c r="CF44" i="21"/>
  <c r="CC44" i="21"/>
  <c r="CB44" i="21"/>
  <c r="DJ44" i="21" s="1"/>
  <c r="CA44" i="21"/>
  <c r="CE44" i="21" s="1"/>
  <c r="DM44" i="21" s="1"/>
  <c r="BT44" i="21"/>
  <c r="CD44" i="21" s="1"/>
  <c r="BS44" i="21"/>
  <c r="BR44" i="21"/>
  <c r="BQ44" i="21"/>
  <c r="BP44" i="21"/>
  <c r="BO44" i="21"/>
  <c r="BN44" i="21"/>
  <c r="BM44" i="21"/>
  <c r="BU44" i="21" s="1"/>
  <c r="BL44" i="21"/>
  <c r="BK44" i="21"/>
  <c r="BJ44" i="21"/>
  <c r="BI44" i="21"/>
  <c r="BH44" i="21"/>
  <c r="BG44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FS43" i="21"/>
  <c r="FR43" i="21"/>
  <c r="FQ43" i="21"/>
  <c r="FP43" i="21"/>
  <c r="FO43" i="21"/>
  <c r="FN43" i="21"/>
  <c r="FM43" i="21"/>
  <c r="FL43" i="21"/>
  <c r="FK43" i="21"/>
  <c r="FJ43" i="21"/>
  <c r="FI43" i="21"/>
  <c r="FH43" i="21"/>
  <c r="FG43" i="21"/>
  <c r="FF43" i="21"/>
  <c r="FE43" i="21"/>
  <c r="FD43" i="21"/>
  <c r="FB43" i="21"/>
  <c r="EY43" i="21"/>
  <c r="EV43" i="21"/>
  <c r="ET43" i="21"/>
  <c r="ES43" i="21"/>
  <c r="ER43" i="21"/>
  <c r="EE43" i="21"/>
  <c r="ED43" i="21"/>
  <c r="EC43" i="21"/>
  <c r="EB43" i="21"/>
  <c r="EA43" i="21"/>
  <c r="DZ43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E43" i="21"/>
  <c r="DD43" i="21"/>
  <c r="DB43" i="21"/>
  <c r="DA43" i="21"/>
  <c r="CW43" i="21"/>
  <c r="CV43" i="21"/>
  <c r="CU43" i="21"/>
  <c r="CN43" i="21"/>
  <c r="CM43" i="21"/>
  <c r="CL43" i="21"/>
  <c r="CI43" i="21"/>
  <c r="CH43" i="21"/>
  <c r="CG43" i="21"/>
  <c r="CF43" i="21"/>
  <c r="BT43" i="21"/>
  <c r="BS43" i="21"/>
  <c r="BR43" i="21"/>
  <c r="BQ43" i="21"/>
  <c r="BP43" i="21"/>
  <c r="BO43" i="21"/>
  <c r="BN43" i="21"/>
  <c r="BM43" i="21"/>
  <c r="BU43" i="21" s="1"/>
  <c r="BL43" i="21"/>
  <c r="BK43" i="21"/>
  <c r="BJ43" i="21"/>
  <c r="BI43" i="21"/>
  <c r="BH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FS42" i="21"/>
  <c r="FR42" i="21"/>
  <c r="FQ42" i="21"/>
  <c r="FP42" i="21"/>
  <c r="FO42" i="21"/>
  <c r="FN42" i="21"/>
  <c r="FM42" i="21"/>
  <c r="FL42" i="21"/>
  <c r="FK42" i="21"/>
  <c r="FJ42" i="21"/>
  <c r="FI42" i="21"/>
  <c r="FH42" i="21"/>
  <c r="FG42" i="21"/>
  <c r="FF42" i="21"/>
  <c r="FE42" i="21"/>
  <c r="FD42" i="21"/>
  <c r="FB42" i="21"/>
  <c r="EY42" i="21"/>
  <c r="EV42" i="21"/>
  <c r="ET42" i="21"/>
  <c r="ES42" i="21"/>
  <c r="ER42" i="21"/>
  <c r="EH42" i="21"/>
  <c r="FT42" i="21" s="1"/>
  <c r="EE42" i="21"/>
  <c r="ED42" i="21"/>
  <c r="EC42" i="21"/>
  <c r="EB42" i="21"/>
  <c r="EA42" i="21"/>
  <c r="DZ42" i="21"/>
  <c r="DY42" i="21"/>
  <c r="DX42" i="21"/>
  <c r="DW42" i="21"/>
  <c r="DV42" i="21"/>
  <c r="DU42" i="21"/>
  <c r="DT42" i="21"/>
  <c r="DS42" i="21"/>
  <c r="DR42" i="21"/>
  <c r="DQ42" i="21"/>
  <c r="DP42" i="21"/>
  <c r="DO42" i="21"/>
  <c r="DN42" i="21"/>
  <c r="DE42" i="21"/>
  <c r="DD42" i="21"/>
  <c r="DB42" i="21"/>
  <c r="DA42" i="21"/>
  <c r="CW42" i="21"/>
  <c r="CV42" i="21"/>
  <c r="CU42" i="21"/>
  <c r="CO42" i="21"/>
  <c r="CP42" i="21" s="1"/>
  <c r="CN42" i="21"/>
  <c r="CM42" i="21"/>
  <c r="CR42" i="21" s="1"/>
  <c r="CL42" i="21"/>
  <c r="CQ42" i="21" s="1"/>
  <c r="CK42" i="21"/>
  <c r="CJ42" i="21"/>
  <c r="CZ42" i="21" s="1"/>
  <c r="CI42" i="21"/>
  <c r="CH42" i="21"/>
  <c r="CG42" i="21"/>
  <c r="CF42" i="21"/>
  <c r="BW42" i="21"/>
  <c r="BZ42" i="21" s="1"/>
  <c r="BV42" i="21"/>
  <c r="BX42" i="21" s="1"/>
  <c r="BU42" i="21"/>
  <c r="BT42" i="21"/>
  <c r="CD42" i="21" s="1"/>
  <c r="DL42" i="21" s="1"/>
  <c r="BS42" i="21"/>
  <c r="BR42" i="21"/>
  <c r="BQ42" i="21"/>
  <c r="BP42" i="21"/>
  <c r="BO42" i="21"/>
  <c r="BN42" i="21"/>
  <c r="BM42" i="21"/>
  <c r="BL42" i="21"/>
  <c r="BK42" i="21"/>
  <c r="BJ42" i="21"/>
  <c r="BI42" i="21"/>
  <c r="BH42" i="21"/>
  <c r="BG42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FX41" i="21"/>
  <c r="FW41" i="21"/>
  <c r="FT41" i="21"/>
  <c r="FS41" i="21"/>
  <c r="FR41" i="21"/>
  <c r="FQ41" i="21"/>
  <c r="FP41" i="21"/>
  <c r="FO41" i="21"/>
  <c r="FN41" i="21"/>
  <c r="FM41" i="21"/>
  <c r="FL41" i="21"/>
  <c r="FK41" i="21"/>
  <c r="FJ41" i="21"/>
  <c r="FI41" i="21"/>
  <c r="FH41" i="21"/>
  <c r="FG41" i="21"/>
  <c r="FF41" i="21"/>
  <c r="FE41" i="21"/>
  <c r="FD41" i="21"/>
  <c r="FB41" i="21"/>
  <c r="EY41" i="21"/>
  <c r="EV41" i="21"/>
  <c r="ET41" i="21"/>
  <c r="ES41" i="21"/>
  <c r="ER41" i="21"/>
  <c r="EH41" i="21"/>
  <c r="EJ41" i="21" s="1"/>
  <c r="EL41" i="21" s="1"/>
  <c r="EE41" i="21"/>
  <c r="ED41" i="21"/>
  <c r="EC41" i="21"/>
  <c r="EB41" i="21"/>
  <c r="EA41" i="21"/>
  <c r="DZ41" i="21"/>
  <c r="DY41" i="21"/>
  <c r="DX41" i="21"/>
  <c r="DW41" i="21"/>
  <c r="DV41" i="21"/>
  <c r="DU41" i="21"/>
  <c r="DT41" i="21"/>
  <c r="DS41" i="21"/>
  <c r="DR41" i="21"/>
  <c r="DQ41" i="21"/>
  <c r="DP41" i="21"/>
  <c r="DO41" i="21"/>
  <c r="DN41" i="21"/>
  <c r="DE41" i="21"/>
  <c r="DD41" i="21"/>
  <c r="DB41" i="21"/>
  <c r="DA41" i="21"/>
  <c r="CW41" i="21"/>
  <c r="CV41" i="21"/>
  <c r="CU41" i="21"/>
  <c r="CN41" i="21"/>
  <c r="CM41" i="21"/>
  <c r="CL41" i="21"/>
  <c r="CQ41" i="21" s="1"/>
  <c r="CK41" i="21"/>
  <c r="CO41" i="21" s="1"/>
  <c r="CP41" i="21" s="1"/>
  <c r="CY41" i="21" s="1"/>
  <c r="CJ41" i="21"/>
  <c r="CZ41" i="21" s="1"/>
  <c r="CI41" i="21"/>
  <c r="CH41" i="21"/>
  <c r="CG41" i="21"/>
  <c r="CF41" i="21"/>
  <c r="BV41" i="21"/>
  <c r="BX41" i="21" s="1"/>
  <c r="BU41" i="21"/>
  <c r="BT41" i="21"/>
  <c r="CD41" i="21" s="1"/>
  <c r="DL41" i="21" s="1"/>
  <c r="BS41" i="21"/>
  <c r="BR41" i="21"/>
  <c r="BQ41" i="21"/>
  <c r="BP41" i="21"/>
  <c r="BO41" i="21"/>
  <c r="BN41" i="21"/>
  <c r="BM41" i="21"/>
  <c r="BL41" i="21"/>
  <c r="BK41" i="21"/>
  <c r="BJ41" i="21"/>
  <c r="BI41" i="21"/>
  <c r="BH41" i="21"/>
  <c r="BG41" i="21"/>
  <c r="BF41" i="21"/>
  <c r="BE41" i="21"/>
  <c r="BD41" i="21"/>
  <c r="BC41" i="21"/>
  <c r="BB41" i="21"/>
  <c r="BA41" i="21"/>
  <c r="EI41" i="21" s="1"/>
  <c r="EK41" i="21" s="1"/>
  <c r="EM41" i="21" s="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FS40" i="21"/>
  <c r="FR40" i="21"/>
  <c r="FQ40" i="21"/>
  <c r="FP40" i="21"/>
  <c r="FO40" i="21"/>
  <c r="FN40" i="21"/>
  <c r="FM40" i="21"/>
  <c r="FL40" i="21"/>
  <c r="FK40" i="21"/>
  <c r="FJ40" i="21"/>
  <c r="FI40" i="21"/>
  <c r="FH40" i="21"/>
  <c r="FG40" i="21"/>
  <c r="FF40" i="21"/>
  <c r="FE40" i="21"/>
  <c r="FD40" i="21"/>
  <c r="FB40" i="21"/>
  <c r="EY40" i="21"/>
  <c r="EV40" i="21"/>
  <c r="ET40" i="21"/>
  <c r="ES40" i="21"/>
  <c r="ER40" i="21"/>
  <c r="EE40" i="21"/>
  <c r="ED40" i="21"/>
  <c r="EC40" i="21"/>
  <c r="EB40" i="21"/>
  <c r="EA40" i="21"/>
  <c r="DZ40" i="21"/>
  <c r="DY40" i="21"/>
  <c r="DX40" i="21"/>
  <c r="DW40" i="21"/>
  <c r="DV40" i="21"/>
  <c r="DU40" i="21"/>
  <c r="DT40" i="21"/>
  <c r="DS40" i="21"/>
  <c r="DR40" i="21"/>
  <c r="DQ40" i="21"/>
  <c r="DP40" i="21"/>
  <c r="DO40" i="21"/>
  <c r="DN40" i="21"/>
  <c r="DE40" i="21"/>
  <c r="DD40" i="21"/>
  <c r="DB40" i="21"/>
  <c r="DA40" i="21"/>
  <c r="CW40" i="21"/>
  <c r="CV40" i="21"/>
  <c r="CU40" i="21"/>
  <c r="CN40" i="21"/>
  <c r="CM40" i="21"/>
  <c r="CL40" i="21"/>
  <c r="CI40" i="21"/>
  <c r="CH40" i="21"/>
  <c r="CG40" i="21"/>
  <c r="CF40" i="21"/>
  <c r="BT40" i="21"/>
  <c r="BS40" i="21"/>
  <c r="BR40" i="21"/>
  <c r="BQ40" i="21"/>
  <c r="BP40" i="21"/>
  <c r="BO40" i="21"/>
  <c r="BN40" i="21"/>
  <c r="BM40" i="21"/>
  <c r="BU40" i="21" s="1"/>
  <c r="BL40" i="21"/>
  <c r="BK40" i="21"/>
  <c r="BJ40" i="21"/>
  <c r="BI40" i="21"/>
  <c r="BH40" i="21"/>
  <c r="BG40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FU39" i="21"/>
  <c r="FS39" i="21"/>
  <c r="FR39" i="21"/>
  <c r="FQ39" i="21"/>
  <c r="FP39" i="21"/>
  <c r="FO39" i="21"/>
  <c r="FN39" i="21"/>
  <c r="FM39" i="21"/>
  <c r="FL39" i="21"/>
  <c r="FK39" i="21"/>
  <c r="FJ39" i="21"/>
  <c r="FI39" i="21"/>
  <c r="FH39" i="21"/>
  <c r="FG39" i="21"/>
  <c r="FF39" i="21"/>
  <c r="FE39" i="21"/>
  <c r="FD39" i="21"/>
  <c r="FB39" i="21"/>
  <c r="EY39" i="21"/>
  <c r="EV39" i="21"/>
  <c r="ET39" i="21"/>
  <c r="ES39" i="21"/>
  <c r="ER39" i="21"/>
  <c r="EI39" i="21"/>
  <c r="EK39" i="21" s="1"/>
  <c r="EM39" i="21" s="1"/>
  <c r="FX39" i="21" s="1"/>
  <c r="EE39" i="21"/>
  <c r="ED39" i="21"/>
  <c r="EC39" i="21"/>
  <c r="EB39" i="21"/>
  <c r="EA39" i="21"/>
  <c r="DZ39" i="21"/>
  <c r="DY39" i="21"/>
  <c r="DX39" i="21"/>
  <c r="DW39" i="21"/>
  <c r="DV39" i="21"/>
  <c r="DU39" i="21"/>
  <c r="DT39" i="21"/>
  <c r="DS39" i="21"/>
  <c r="DR39" i="21"/>
  <c r="DQ39" i="21"/>
  <c r="DP39" i="21"/>
  <c r="DO39" i="21"/>
  <c r="DN39" i="21"/>
  <c r="DE39" i="21"/>
  <c r="DD39" i="21"/>
  <c r="DC39" i="21"/>
  <c r="DB39" i="21"/>
  <c r="DA39" i="21"/>
  <c r="CW39" i="21"/>
  <c r="CV39" i="21"/>
  <c r="CU39" i="21"/>
  <c r="CT39" i="21"/>
  <c r="CS39" i="21"/>
  <c r="CN39" i="21"/>
  <c r="CM39" i="21"/>
  <c r="CL39" i="21"/>
  <c r="CI39" i="21"/>
  <c r="CH39" i="21"/>
  <c r="CG39" i="21"/>
  <c r="CF39" i="21"/>
  <c r="CD39" i="21"/>
  <c r="DL39" i="21" s="1"/>
  <c r="CA39" i="21"/>
  <c r="CE39" i="21" s="1"/>
  <c r="DM39" i="21" s="1"/>
  <c r="BZ39" i="21"/>
  <c r="BT39" i="21"/>
  <c r="BS39" i="21"/>
  <c r="BR39" i="21"/>
  <c r="BQ39" i="21"/>
  <c r="BP39" i="21"/>
  <c r="BO39" i="21"/>
  <c r="BN39" i="21"/>
  <c r="BM39" i="21"/>
  <c r="BU39" i="21" s="1"/>
  <c r="BL39" i="21"/>
  <c r="CB39" i="21" s="1"/>
  <c r="DJ39" i="21" s="1"/>
  <c r="BK39" i="21"/>
  <c r="BJ39" i="21"/>
  <c r="BI39" i="21"/>
  <c r="BH39" i="21"/>
  <c r="BG39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BW39" i="21" s="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FS38" i="21"/>
  <c r="FR38" i="21"/>
  <c r="FQ38" i="21"/>
  <c r="FP38" i="21"/>
  <c r="FO38" i="21"/>
  <c r="FN38" i="21"/>
  <c r="FM38" i="21"/>
  <c r="FL38" i="21"/>
  <c r="FK38" i="21"/>
  <c r="FJ38" i="21"/>
  <c r="FI38" i="21"/>
  <c r="FH38" i="21"/>
  <c r="FG38" i="21"/>
  <c r="FF38" i="21"/>
  <c r="FE38" i="21"/>
  <c r="FD38" i="21"/>
  <c r="FB38" i="21"/>
  <c r="EY38" i="21"/>
  <c r="EV38" i="21"/>
  <c r="ET38" i="21"/>
  <c r="ES38" i="21"/>
  <c r="ER38" i="21"/>
  <c r="EJ38" i="21"/>
  <c r="EL38" i="21" s="1"/>
  <c r="FW38" i="21" s="1"/>
  <c r="EI38" i="21"/>
  <c r="EE38" i="21"/>
  <c r="ED38" i="21"/>
  <c r="EC38" i="21"/>
  <c r="EB38" i="21"/>
  <c r="EA38" i="21"/>
  <c r="DZ38" i="21"/>
  <c r="DY38" i="21"/>
  <c r="DX38" i="21"/>
  <c r="DW38" i="21"/>
  <c r="DV38" i="21"/>
  <c r="DU38" i="21"/>
  <c r="DT38" i="21"/>
  <c r="DS38" i="21"/>
  <c r="DR38" i="21"/>
  <c r="DQ38" i="21"/>
  <c r="DP38" i="21"/>
  <c r="DO38" i="21"/>
  <c r="DN38" i="21"/>
  <c r="DM38" i="21"/>
  <c r="DE38" i="21"/>
  <c r="DD38" i="21"/>
  <c r="DB38" i="21"/>
  <c r="DA38" i="21"/>
  <c r="CW38" i="21"/>
  <c r="CV38" i="21"/>
  <c r="CU38" i="21"/>
  <c r="CS38" i="21"/>
  <c r="CN38" i="21"/>
  <c r="CM38" i="21"/>
  <c r="CL38" i="21"/>
  <c r="CJ38" i="21"/>
  <c r="CI38" i="21"/>
  <c r="CH38" i="21"/>
  <c r="CG38" i="21"/>
  <c r="CF38" i="21"/>
  <c r="BT38" i="21"/>
  <c r="CD38" i="21" s="1"/>
  <c r="DL38" i="21" s="1"/>
  <c r="BS38" i="21"/>
  <c r="BR38" i="21"/>
  <c r="BQ38" i="21"/>
  <c r="BP38" i="21"/>
  <c r="BO38" i="21"/>
  <c r="BN38" i="21"/>
  <c r="CA38" i="21" s="1"/>
  <c r="CE38" i="21" s="1"/>
  <c r="BM38" i="21"/>
  <c r="BU38" i="21" s="1"/>
  <c r="BL38" i="21"/>
  <c r="EH38" i="21" s="1"/>
  <c r="FT38" i="21" s="1"/>
  <c r="BK38" i="21"/>
  <c r="BJ38" i="21"/>
  <c r="BI38" i="21"/>
  <c r="BH38" i="21"/>
  <c r="BG38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FT37" i="21"/>
  <c r="FS37" i="21"/>
  <c r="FR37" i="21"/>
  <c r="FQ37" i="21"/>
  <c r="FP37" i="21"/>
  <c r="FO37" i="21"/>
  <c r="FN37" i="21"/>
  <c r="FM37" i="21"/>
  <c r="FL37" i="21"/>
  <c r="FK37" i="21"/>
  <c r="FJ37" i="21"/>
  <c r="FI37" i="21"/>
  <c r="FH37" i="21"/>
  <c r="FG37" i="21"/>
  <c r="FF37" i="21"/>
  <c r="FE37" i="21"/>
  <c r="FD37" i="21"/>
  <c r="FB37" i="21"/>
  <c r="EY37" i="21"/>
  <c r="EV37" i="21"/>
  <c r="ET37" i="21"/>
  <c r="ES37" i="21"/>
  <c r="ER37" i="21"/>
  <c r="EE37" i="21"/>
  <c r="ED37" i="21"/>
  <c r="EC37" i="21"/>
  <c r="EB37" i="21"/>
  <c r="EA37" i="21"/>
  <c r="DZ37" i="21"/>
  <c r="DY37" i="21"/>
  <c r="DX37" i="21"/>
  <c r="DW37" i="21"/>
  <c r="DV37" i="21"/>
  <c r="DU37" i="21"/>
  <c r="DT37" i="21"/>
  <c r="DS37" i="21"/>
  <c r="DR37" i="21"/>
  <c r="DQ37" i="21"/>
  <c r="DP37" i="21"/>
  <c r="DO37" i="21"/>
  <c r="DN37" i="21"/>
  <c r="DE37" i="21"/>
  <c r="DD37" i="21"/>
  <c r="DB37" i="21"/>
  <c r="DA37" i="21"/>
  <c r="CW37" i="21"/>
  <c r="CV37" i="21"/>
  <c r="CU37" i="21"/>
  <c r="CN37" i="21"/>
  <c r="CM37" i="21"/>
  <c r="CL37" i="21"/>
  <c r="CI37" i="21"/>
  <c r="CH37" i="21"/>
  <c r="CG37" i="21"/>
  <c r="CF37" i="21"/>
  <c r="CD37" i="21"/>
  <c r="DL37" i="21" s="1"/>
  <c r="BW37" i="21"/>
  <c r="BZ37" i="21" s="1"/>
  <c r="BV37" i="21"/>
  <c r="BX37" i="21" s="1"/>
  <c r="BU37" i="21"/>
  <c r="BT37" i="21"/>
  <c r="BS37" i="21"/>
  <c r="CB37" i="21" s="1"/>
  <c r="DJ37" i="21" s="1"/>
  <c r="BR37" i="21"/>
  <c r="BQ37" i="21"/>
  <c r="BP37" i="21"/>
  <c r="BO37" i="21"/>
  <c r="BN37" i="21"/>
  <c r="BM37" i="21"/>
  <c r="BL37" i="21"/>
  <c r="EH37" i="21" s="1"/>
  <c r="EJ37" i="21" s="1"/>
  <c r="EL37" i="21" s="1"/>
  <c r="BK37" i="21"/>
  <c r="BJ37" i="21"/>
  <c r="BI37" i="21"/>
  <c r="BH37" i="21"/>
  <c r="BG37" i="21"/>
  <c r="BF37" i="21"/>
  <c r="BE37" i="21"/>
  <c r="BD37" i="21"/>
  <c r="BC37" i="21"/>
  <c r="BB37" i="21"/>
  <c r="BA37" i="21"/>
  <c r="AZ37" i="21"/>
  <c r="AY37" i="21"/>
  <c r="AX37" i="21"/>
  <c r="AW37" i="21"/>
  <c r="AV37" i="21"/>
  <c r="AU37" i="21"/>
  <c r="AT37" i="21"/>
  <c r="AS37" i="21"/>
  <c r="AR37" i="21"/>
  <c r="AQ37" i="21"/>
  <c r="AP37" i="21"/>
  <c r="AO37" i="21"/>
  <c r="AN37" i="21"/>
  <c r="AM37" i="21"/>
  <c r="AL37" i="21"/>
  <c r="AK37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FS36" i="21"/>
  <c r="FR36" i="21"/>
  <c r="FQ36" i="21"/>
  <c r="FP36" i="21"/>
  <c r="FO36" i="21"/>
  <c r="FN36" i="21"/>
  <c r="FM36" i="21"/>
  <c r="FL36" i="21"/>
  <c r="FK36" i="21"/>
  <c r="FJ36" i="21"/>
  <c r="FI36" i="21"/>
  <c r="FH36" i="21"/>
  <c r="FG36" i="21"/>
  <c r="FF36" i="21"/>
  <c r="FE36" i="21"/>
  <c r="FD36" i="21"/>
  <c r="FB36" i="21"/>
  <c r="EY36" i="21"/>
  <c r="EV36" i="21"/>
  <c r="EU36" i="21"/>
  <c r="ET36" i="21"/>
  <c r="ES36" i="21"/>
  <c r="ER36" i="21"/>
  <c r="EH36" i="21"/>
  <c r="EE36" i="21"/>
  <c r="ED36" i="21"/>
  <c r="EC36" i="21"/>
  <c r="EB36" i="21"/>
  <c r="EA36" i="21"/>
  <c r="DZ36" i="21"/>
  <c r="DY36" i="21"/>
  <c r="DX36" i="21"/>
  <c r="DW36" i="21"/>
  <c r="DV36" i="21"/>
  <c r="DU36" i="21"/>
  <c r="DT36" i="21"/>
  <c r="DS36" i="21"/>
  <c r="DR36" i="21"/>
  <c r="DQ36" i="21"/>
  <c r="DP36" i="21"/>
  <c r="DO36" i="21"/>
  <c r="DN36" i="21"/>
  <c r="DE36" i="21"/>
  <c r="DD36" i="21"/>
  <c r="DB36" i="21"/>
  <c r="DA36" i="21"/>
  <c r="CW36" i="21"/>
  <c r="CV36" i="21"/>
  <c r="CU36" i="21"/>
  <c r="CN36" i="21"/>
  <c r="CO36" i="21" s="1"/>
  <c r="CM36" i="21"/>
  <c r="CL36" i="21"/>
  <c r="CK36" i="21"/>
  <c r="CJ36" i="21"/>
  <c r="CI36" i="21"/>
  <c r="CH36" i="21"/>
  <c r="CG36" i="21"/>
  <c r="CF36" i="21"/>
  <c r="BT36" i="21"/>
  <c r="BS36" i="21"/>
  <c r="BR36" i="21"/>
  <c r="BQ36" i="21"/>
  <c r="BP36" i="21"/>
  <c r="BO36" i="21"/>
  <c r="BN36" i="21"/>
  <c r="BM36" i="21"/>
  <c r="BU36" i="21" s="1"/>
  <c r="BL36" i="21"/>
  <c r="BK36" i="21"/>
  <c r="BJ36" i="21"/>
  <c r="BI36" i="21"/>
  <c r="BH36" i="21"/>
  <c r="BG36" i="21"/>
  <c r="BF36" i="21"/>
  <c r="BE36" i="21"/>
  <c r="BD36" i="21"/>
  <c r="BC36" i="21"/>
  <c r="BB36" i="21"/>
  <c r="BA36" i="21"/>
  <c r="AZ36" i="21"/>
  <c r="AY36" i="21"/>
  <c r="AX36" i="21"/>
  <c r="AW36" i="21"/>
  <c r="AV36" i="21"/>
  <c r="AU36" i="21"/>
  <c r="AT36" i="21"/>
  <c r="AS36" i="21"/>
  <c r="AR36" i="21"/>
  <c r="AQ36" i="21"/>
  <c r="AP36" i="21"/>
  <c r="AO36" i="21"/>
  <c r="AN36" i="21"/>
  <c r="AM36" i="21"/>
  <c r="AL36" i="21"/>
  <c r="AK36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FS35" i="21"/>
  <c r="FR35" i="21"/>
  <c r="FQ35" i="21"/>
  <c r="FP35" i="21"/>
  <c r="FO35" i="21"/>
  <c r="FN35" i="21"/>
  <c r="FM35" i="21"/>
  <c r="FL35" i="21"/>
  <c r="FK35" i="21"/>
  <c r="FJ35" i="21"/>
  <c r="FI35" i="21"/>
  <c r="FH35" i="21"/>
  <c r="FG35" i="21"/>
  <c r="FF35" i="21"/>
  <c r="FE35" i="21"/>
  <c r="FD35" i="21"/>
  <c r="FB35" i="21"/>
  <c r="EY35" i="21"/>
  <c r="EV35" i="21"/>
  <c r="ET35" i="21"/>
  <c r="ES35" i="21"/>
  <c r="ER35" i="21"/>
  <c r="EE35" i="21"/>
  <c r="ED35" i="21"/>
  <c r="EC35" i="21"/>
  <c r="EB35" i="21"/>
  <c r="EA35" i="21"/>
  <c r="DZ35" i="21"/>
  <c r="DY35" i="21"/>
  <c r="DX35" i="21"/>
  <c r="DW35" i="21"/>
  <c r="DV35" i="21"/>
  <c r="DU35" i="21"/>
  <c r="DT35" i="21"/>
  <c r="DS35" i="21"/>
  <c r="DR35" i="21"/>
  <c r="DQ35" i="21"/>
  <c r="DP35" i="21"/>
  <c r="DO35" i="21"/>
  <c r="DN35" i="21"/>
  <c r="DE35" i="21"/>
  <c r="DD35" i="21"/>
  <c r="DB35" i="21"/>
  <c r="DA35" i="21"/>
  <c r="CW35" i="21"/>
  <c r="CV35" i="21"/>
  <c r="CU35" i="21"/>
  <c r="CN35" i="21"/>
  <c r="CM35" i="21"/>
  <c r="CL35" i="21"/>
  <c r="CI35" i="21"/>
  <c r="CH35" i="21"/>
  <c r="CG35" i="21"/>
  <c r="CF35" i="21"/>
  <c r="BT35" i="21"/>
  <c r="BS35" i="21"/>
  <c r="BR35" i="21"/>
  <c r="BQ35" i="21"/>
  <c r="BP35" i="21"/>
  <c r="BO35" i="21"/>
  <c r="BN35" i="21"/>
  <c r="BM35" i="21"/>
  <c r="BU35" i="21" s="1"/>
  <c r="BL35" i="21"/>
  <c r="BK35" i="21"/>
  <c r="BJ35" i="21"/>
  <c r="BI35" i="21"/>
  <c r="BH35" i="21"/>
  <c r="BG35" i="21"/>
  <c r="BF35" i="21"/>
  <c r="BE35" i="21"/>
  <c r="BD35" i="21"/>
  <c r="BC35" i="21"/>
  <c r="BB35" i="21"/>
  <c r="BA35" i="21"/>
  <c r="AZ35" i="21"/>
  <c r="AY35" i="21"/>
  <c r="AX35" i="21"/>
  <c r="AW35" i="21"/>
  <c r="AV35" i="21"/>
  <c r="AU35" i="21"/>
  <c r="AT35" i="21"/>
  <c r="AS35" i="21"/>
  <c r="AR35" i="21"/>
  <c r="AQ35" i="21"/>
  <c r="AP35" i="21"/>
  <c r="AO35" i="21"/>
  <c r="AN35" i="21"/>
  <c r="AM35" i="21"/>
  <c r="AL35" i="21"/>
  <c r="AK35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FT34" i="21"/>
  <c r="FS34" i="21"/>
  <c r="FR34" i="21"/>
  <c r="FQ34" i="21"/>
  <c r="FP34" i="21"/>
  <c r="FO34" i="21"/>
  <c r="FN34" i="21"/>
  <c r="FM34" i="21"/>
  <c r="FL34" i="21"/>
  <c r="FK34" i="21"/>
  <c r="FJ34" i="21"/>
  <c r="FI34" i="21"/>
  <c r="FH34" i="21"/>
  <c r="FG34" i="21"/>
  <c r="FF34" i="21"/>
  <c r="FE34" i="21"/>
  <c r="FD34" i="21"/>
  <c r="FB34" i="21"/>
  <c r="EY34" i="21"/>
  <c r="EV34" i="21"/>
  <c r="ET34" i="21"/>
  <c r="ES34" i="21"/>
  <c r="ER34" i="21"/>
  <c r="EE34" i="21"/>
  <c r="ED34" i="21"/>
  <c r="EC34" i="21"/>
  <c r="EB34" i="21"/>
  <c r="EA34" i="21"/>
  <c r="DZ34" i="21"/>
  <c r="DY34" i="21"/>
  <c r="DX34" i="21"/>
  <c r="DW34" i="21"/>
  <c r="DV34" i="21"/>
  <c r="DU34" i="21"/>
  <c r="DT34" i="21"/>
  <c r="DS34" i="21"/>
  <c r="DR34" i="21"/>
  <c r="DQ34" i="21"/>
  <c r="DP34" i="21"/>
  <c r="DO34" i="21"/>
  <c r="DN34" i="21"/>
  <c r="DE34" i="21"/>
  <c r="DD34" i="21"/>
  <c r="DB34" i="21"/>
  <c r="DA34" i="21"/>
  <c r="CZ34" i="21"/>
  <c r="CY34" i="21"/>
  <c r="CW34" i="21"/>
  <c r="CV34" i="21"/>
  <c r="CU34" i="21"/>
  <c r="CN34" i="21"/>
  <c r="CM34" i="21"/>
  <c r="CL34" i="21"/>
  <c r="CJ34" i="21"/>
  <c r="CK34" i="21" s="1"/>
  <c r="CO34" i="21" s="1"/>
  <c r="CP34" i="21" s="1"/>
  <c r="CX34" i="21" s="1"/>
  <c r="CI34" i="21"/>
  <c r="CH34" i="21"/>
  <c r="CG34" i="21"/>
  <c r="CF34" i="21"/>
  <c r="BT34" i="21"/>
  <c r="BS34" i="21"/>
  <c r="CB34" i="21" s="1"/>
  <c r="DJ34" i="21" s="1"/>
  <c r="BR34" i="21"/>
  <c r="BQ34" i="21"/>
  <c r="BP34" i="21"/>
  <c r="BO34" i="21"/>
  <c r="BN34" i="21"/>
  <c r="BM34" i="21"/>
  <c r="BU34" i="21" s="1"/>
  <c r="BL34" i="21"/>
  <c r="EH34" i="21" s="1"/>
  <c r="EJ34" i="21" s="1"/>
  <c r="EL34" i="21" s="1"/>
  <c r="BK34" i="21"/>
  <c r="BJ34" i="21"/>
  <c r="BI34" i="21"/>
  <c r="BH34" i="21"/>
  <c r="BG34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FS33" i="21"/>
  <c r="FR33" i="21"/>
  <c r="FQ33" i="21"/>
  <c r="FP33" i="21"/>
  <c r="FO33" i="21"/>
  <c r="FN33" i="21"/>
  <c r="FM33" i="21"/>
  <c r="FL33" i="21"/>
  <c r="FK33" i="21"/>
  <c r="FJ33" i="21"/>
  <c r="FI33" i="21"/>
  <c r="FH33" i="21"/>
  <c r="FG33" i="21"/>
  <c r="FF33" i="21"/>
  <c r="FE33" i="21"/>
  <c r="FD33" i="21"/>
  <c r="FB33" i="21"/>
  <c r="EY33" i="21"/>
  <c r="EV33" i="21"/>
  <c r="ET33" i="21"/>
  <c r="ES33" i="21"/>
  <c r="ER33" i="21"/>
  <c r="EH33" i="21"/>
  <c r="EE33" i="21"/>
  <c r="ED33" i="21"/>
  <c r="EC33" i="21"/>
  <c r="EB33" i="21"/>
  <c r="EA33" i="21"/>
  <c r="DZ33" i="21"/>
  <c r="DY33" i="21"/>
  <c r="DX33" i="21"/>
  <c r="DW33" i="21"/>
  <c r="DV33" i="21"/>
  <c r="DU33" i="21"/>
  <c r="DT33" i="21"/>
  <c r="DS33" i="21"/>
  <c r="DR33" i="21"/>
  <c r="DQ33" i="21"/>
  <c r="DP33" i="21"/>
  <c r="DO33" i="21"/>
  <c r="DN33" i="21"/>
  <c r="DE33" i="21"/>
  <c r="DD33" i="21"/>
  <c r="DB33" i="21"/>
  <c r="DA33" i="21"/>
  <c r="CW33" i="21"/>
  <c r="CV33" i="21"/>
  <c r="CU33" i="21"/>
  <c r="CN33" i="21"/>
  <c r="CM33" i="21"/>
  <c r="CL33" i="21"/>
  <c r="CJ33" i="21"/>
  <c r="CI33" i="21"/>
  <c r="CH33" i="21"/>
  <c r="CG33" i="21"/>
  <c r="CF33" i="21"/>
  <c r="BV33" i="21"/>
  <c r="BX33" i="21" s="1"/>
  <c r="BU33" i="21"/>
  <c r="BT33" i="21"/>
  <c r="BS33" i="21"/>
  <c r="CB33" i="21" s="1"/>
  <c r="DJ33" i="21" s="1"/>
  <c r="BR33" i="21"/>
  <c r="BQ33" i="21"/>
  <c r="BP33" i="21"/>
  <c r="BO33" i="21"/>
  <c r="BN33" i="21"/>
  <c r="BM33" i="21"/>
  <c r="BL33" i="21"/>
  <c r="BK33" i="21"/>
  <c r="BJ33" i="21"/>
  <c r="BI33" i="21"/>
  <c r="BH33" i="21"/>
  <c r="BG33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FS32" i="21"/>
  <c r="FR32" i="21"/>
  <c r="FQ32" i="21"/>
  <c r="FP32" i="21"/>
  <c r="FO32" i="21"/>
  <c r="FN32" i="21"/>
  <c r="FM32" i="21"/>
  <c r="FL32" i="21"/>
  <c r="FK32" i="21"/>
  <c r="FJ32" i="21"/>
  <c r="FI32" i="21"/>
  <c r="FH32" i="21"/>
  <c r="FG32" i="21"/>
  <c r="FF32" i="21"/>
  <c r="FE32" i="21"/>
  <c r="FD32" i="21"/>
  <c r="FB32" i="21"/>
  <c r="EY32" i="21"/>
  <c r="EV32" i="21"/>
  <c r="ET32" i="21"/>
  <c r="ES32" i="21"/>
  <c r="ER32" i="21"/>
  <c r="EH32" i="21"/>
  <c r="FT32" i="21" s="1"/>
  <c r="EE32" i="21"/>
  <c r="ED32" i="21"/>
  <c r="EC32" i="21"/>
  <c r="EB32" i="21"/>
  <c r="EA32" i="21"/>
  <c r="DZ32" i="21"/>
  <c r="DY32" i="21"/>
  <c r="DX32" i="21"/>
  <c r="DW32" i="21"/>
  <c r="DV32" i="21"/>
  <c r="DU32" i="21"/>
  <c r="DT32" i="21"/>
  <c r="DS32" i="21"/>
  <c r="DR32" i="21"/>
  <c r="DQ32" i="21"/>
  <c r="DP32" i="21"/>
  <c r="DO32" i="21"/>
  <c r="DN32" i="21"/>
  <c r="DE32" i="21"/>
  <c r="DD32" i="21"/>
  <c r="DB32" i="21"/>
  <c r="DA32" i="21"/>
  <c r="CW32" i="21"/>
  <c r="CV32" i="21"/>
  <c r="CU32" i="21"/>
  <c r="CS32" i="21"/>
  <c r="CN32" i="21"/>
  <c r="CO32" i="21" s="1"/>
  <c r="CM32" i="21"/>
  <c r="CL32" i="21"/>
  <c r="CK32" i="21"/>
  <c r="CI32" i="21"/>
  <c r="CH32" i="21"/>
  <c r="CG32" i="21"/>
  <c r="CF32" i="21"/>
  <c r="BU32" i="21"/>
  <c r="CC32" i="21" s="1"/>
  <c r="DK32" i="21" s="1"/>
  <c r="BT32" i="21"/>
  <c r="CD32" i="21" s="1"/>
  <c r="DL32" i="21" s="1"/>
  <c r="BS32" i="21"/>
  <c r="BR32" i="21"/>
  <c r="BQ32" i="21"/>
  <c r="BP32" i="21"/>
  <c r="BO32" i="21"/>
  <c r="BN32" i="21"/>
  <c r="BM32" i="21"/>
  <c r="BL32" i="21"/>
  <c r="BK32" i="21"/>
  <c r="BJ32" i="21"/>
  <c r="BI32" i="21"/>
  <c r="BH32" i="21"/>
  <c r="BG32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CJ32" i="21" s="1"/>
  <c r="CZ32" i="21" s="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FS31" i="21"/>
  <c r="FR31" i="21"/>
  <c r="FQ31" i="21"/>
  <c r="FP31" i="21"/>
  <c r="FO31" i="21"/>
  <c r="FN31" i="21"/>
  <c r="FM31" i="21"/>
  <c r="FL31" i="21"/>
  <c r="FK31" i="21"/>
  <c r="FJ31" i="21"/>
  <c r="FI31" i="21"/>
  <c r="FH31" i="21"/>
  <c r="FG31" i="21"/>
  <c r="FF31" i="21"/>
  <c r="FE31" i="21"/>
  <c r="FD31" i="21"/>
  <c r="FB31" i="21"/>
  <c r="EY31" i="21"/>
  <c r="EV31" i="21"/>
  <c r="ET31" i="21"/>
  <c r="ES31" i="21"/>
  <c r="ER31" i="21"/>
  <c r="EU31" i="21"/>
  <c r="EE31" i="21"/>
  <c r="ED31" i="21"/>
  <c r="EC31" i="21"/>
  <c r="EB31" i="21"/>
  <c r="EA31" i="21"/>
  <c r="DZ31" i="21"/>
  <c r="DY31" i="21"/>
  <c r="DX31" i="21"/>
  <c r="DW31" i="21"/>
  <c r="DV31" i="21"/>
  <c r="DU31" i="21"/>
  <c r="DT31" i="21"/>
  <c r="DS31" i="21"/>
  <c r="DR31" i="21"/>
  <c r="DQ31" i="21"/>
  <c r="DP31" i="21"/>
  <c r="DO31" i="21"/>
  <c r="DN31" i="21"/>
  <c r="DE31" i="21"/>
  <c r="DD31" i="21"/>
  <c r="DB31" i="21"/>
  <c r="DA31" i="21"/>
  <c r="CW31" i="21"/>
  <c r="CV31" i="21"/>
  <c r="CU31" i="21"/>
  <c r="CN31" i="21"/>
  <c r="CM31" i="21"/>
  <c r="CL31" i="21"/>
  <c r="CI31" i="21"/>
  <c r="CH31" i="21"/>
  <c r="CG31" i="21"/>
  <c r="CF31" i="21"/>
  <c r="CD31" i="21"/>
  <c r="DL31" i="21" s="1"/>
  <c r="CA31" i="21"/>
  <c r="CE31" i="21" s="1"/>
  <c r="DM31" i="21" s="1"/>
  <c r="BT31" i="21"/>
  <c r="BS31" i="21"/>
  <c r="BR31" i="21"/>
  <c r="BQ31" i="21"/>
  <c r="BP31" i="21"/>
  <c r="BO31" i="21"/>
  <c r="BN31" i="21"/>
  <c r="BM31" i="21"/>
  <c r="BU31" i="21" s="1"/>
  <c r="BL31" i="21"/>
  <c r="BK31" i="21"/>
  <c r="BJ31" i="21"/>
  <c r="BI31" i="21"/>
  <c r="BH31" i="21"/>
  <c r="BG31" i="21"/>
  <c r="BF31" i="21"/>
  <c r="BE31" i="21"/>
  <c r="BD31" i="21"/>
  <c r="BC31" i="21"/>
  <c r="BB31" i="21"/>
  <c r="BA31" i="21"/>
  <c r="CS31" i="21" s="1"/>
  <c r="AZ31" i="21"/>
  <c r="AY31" i="21"/>
  <c r="AX31" i="21"/>
  <c r="AW31" i="21"/>
  <c r="AV31" i="21"/>
  <c r="AU31" i="21"/>
  <c r="AT31" i="21"/>
  <c r="AS31" i="21"/>
  <c r="AR31" i="21"/>
  <c r="AQ31" i="21"/>
  <c r="AP31" i="21"/>
  <c r="BW31" i="21" s="1"/>
  <c r="BZ31" i="21" s="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FS30" i="21"/>
  <c r="FR30" i="21"/>
  <c r="FQ30" i="21"/>
  <c r="FP30" i="21"/>
  <c r="FO30" i="21"/>
  <c r="FN30" i="21"/>
  <c r="FM30" i="21"/>
  <c r="FL30" i="21"/>
  <c r="FK30" i="21"/>
  <c r="FJ30" i="21"/>
  <c r="FI30" i="21"/>
  <c r="FH30" i="21"/>
  <c r="FG30" i="21"/>
  <c r="FF30" i="21"/>
  <c r="FE30" i="21"/>
  <c r="FD30" i="21"/>
  <c r="FB30" i="21"/>
  <c r="EY30" i="21"/>
  <c r="EV30" i="21"/>
  <c r="ET30" i="21"/>
  <c r="ES30" i="21"/>
  <c r="ER30" i="21"/>
  <c r="EI30" i="21"/>
  <c r="EH30" i="21"/>
  <c r="EE30" i="21"/>
  <c r="ED30" i="21"/>
  <c r="EC30" i="21"/>
  <c r="EB30" i="21"/>
  <c r="EA30" i="21"/>
  <c r="DZ30" i="21"/>
  <c r="DY30" i="21"/>
  <c r="DX30" i="21"/>
  <c r="DW30" i="21"/>
  <c r="DV30" i="21"/>
  <c r="DU30" i="21"/>
  <c r="DT30" i="21"/>
  <c r="DS30" i="21"/>
  <c r="DR30" i="21"/>
  <c r="DQ30" i="21"/>
  <c r="DP30" i="21"/>
  <c r="DO30" i="21"/>
  <c r="DN30" i="21"/>
  <c r="DL30" i="21"/>
  <c r="DE30" i="21"/>
  <c r="DD30" i="21"/>
  <c r="DB30" i="21"/>
  <c r="DA30" i="21"/>
  <c r="CW30" i="21"/>
  <c r="CV30" i="21"/>
  <c r="CU30" i="21"/>
  <c r="CS30" i="21"/>
  <c r="CN30" i="21"/>
  <c r="CM30" i="21"/>
  <c r="CL30" i="21"/>
  <c r="CJ30" i="21"/>
  <c r="CI30" i="21"/>
  <c r="CH30" i="21"/>
  <c r="CG30" i="21"/>
  <c r="CF30" i="21"/>
  <c r="CD30" i="21"/>
  <c r="CB30" i="21"/>
  <c r="DJ30" i="21" s="1"/>
  <c r="CA30" i="21"/>
  <c r="CE30" i="21" s="1"/>
  <c r="DM30" i="21" s="1"/>
  <c r="BW30" i="21"/>
  <c r="BZ30" i="21" s="1"/>
  <c r="BT30" i="21"/>
  <c r="BS30" i="21"/>
  <c r="BR30" i="21"/>
  <c r="BQ30" i="21"/>
  <c r="BP30" i="21"/>
  <c r="BO30" i="21"/>
  <c r="BN30" i="21"/>
  <c r="BM30" i="21"/>
  <c r="BU30" i="21" s="1"/>
  <c r="BL30" i="21"/>
  <c r="BK30" i="21"/>
  <c r="BJ30" i="21"/>
  <c r="BI30" i="21"/>
  <c r="BH30" i="21"/>
  <c r="BG30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FS29" i="21"/>
  <c r="FR29" i="21"/>
  <c r="FQ29" i="21"/>
  <c r="FP29" i="21"/>
  <c r="FO29" i="21"/>
  <c r="FN29" i="21"/>
  <c r="FM29" i="21"/>
  <c r="FL29" i="21"/>
  <c r="FK29" i="21"/>
  <c r="FJ29" i="21"/>
  <c r="FI29" i="21"/>
  <c r="FH29" i="21"/>
  <c r="FG29" i="21"/>
  <c r="FF29" i="21"/>
  <c r="FE29" i="21"/>
  <c r="FD29" i="21"/>
  <c r="FB29" i="21"/>
  <c r="EY29" i="21"/>
  <c r="EV29" i="21"/>
  <c r="ET29" i="21"/>
  <c r="ES29" i="21"/>
  <c r="ER29" i="21"/>
  <c r="EU29" i="21"/>
  <c r="EE29" i="21"/>
  <c r="ED29" i="21"/>
  <c r="EC29" i="21"/>
  <c r="EB29" i="21"/>
  <c r="EA29" i="21"/>
  <c r="DZ29" i="21"/>
  <c r="DY29" i="21"/>
  <c r="DX29" i="21"/>
  <c r="DW29" i="21"/>
  <c r="DV29" i="21"/>
  <c r="DU29" i="21"/>
  <c r="DT29" i="21"/>
  <c r="DS29" i="21"/>
  <c r="DR29" i="21"/>
  <c r="DQ29" i="21"/>
  <c r="DP29" i="21"/>
  <c r="DO29" i="21"/>
  <c r="DN29" i="21"/>
  <c r="DE29" i="21"/>
  <c r="DD29" i="21"/>
  <c r="DB29" i="21"/>
  <c r="DA29" i="21"/>
  <c r="CW29" i="21"/>
  <c r="CV29" i="21"/>
  <c r="CU29" i="21"/>
  <c r="CN29" i="21"/>
  <c r="CM29" i="21"/>
  <c r="CL29" i="21"/>
  <c r="CJ29" i="21"/>
  <c r="CI29" i="21"/>
  <c r="CH29" i="21"/>
  <c r="CG29" i="21"/>
  <c r="CF29" i="21"/>
  <c r="BT29" i="21"/>
  <c r="BS29" i="21"/>
  <c r="BR29" i="21"/>
  <c r="BQ29" i="21"/>
  <c r="BP29" i="21"/>
  <c r="BO29" i="21"/>
  <c r="BN29" i="21"/>
  <c r="BM29" i="21"/>
  <c r="BU29" i="21" s="1"/>
  <c r="BL29" i="21"/>
  <c r="BK29" i="21"/>
  <c r="BJ29" i="21"/>
  <c r="BI29" i="21"/>
  <c r="BH29" i="21"/>
  <c r="BG29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FS28" i="21"/>
  <c r="FR28" i="21"/>
  <c r="FQ28" i="21"/>
  <c r="FP28" i="21"/>
  <c r="FO28" i="21"/>
  <c r="FN28" i="21"/>
  <c r="FM28" i="21"/>
  <c r="FL28" i="21"/>
  <c r="FK28" i="21"/>
  <c r="FJ28" i="21"/>
  <c r="FI28" i="21"/>
  <c r="FH28" i="21"/>
  <c r="FG28" i="21"/>
  <c r="FF28" i="21"/>
  <c r="FE28" i="21"/>
  <c r="FD28" i="21"/>
  <c r="FB28" i="21"/>
  <c r="EY28" i="21"/>
  <c r="EV28" i="21"/>
  <c r="ET28" i="21"/>
  <c r="ES28" i="21"/>
  <c r="ER28" i="21"/>
  <c r="EU28" i="21"/>
  <c r="EE28" i="21"/>
  <c r="ED28" i="21"/>
  <c r="EC28" i="21"/>
  <c r="EB28" i="21"/>
  <c r="EA28" i="21"/>
  <c r="DZ28" i="21"/>
  <c r="DY28" i="21"/>
  <c r="DX28" i="21"/>
  <c r="DW28" i="21"/>
  <c r="DV28" i="21"/>
  <c r="DU28" i="21"/>
  <c r="DT28" i="21"/>
  <c r="DS28" i="21"/>
  <c r="DR28" i="21"/>
  <c r="DQ28" i="21"/>
  <c r="DP28" i="21"/>
  <c r="DO28" i="21"/>
  <c r="DN28" i="21"/>
  <c r="DE28" i="21"/>
  <c r="DD28" i="21"/>
  <c r="DB28" i="21"/>
  <c r="DA28" i="21"/>
  <c r="CW28" i="21"/>
  <c r="CV28" i="21"/>
  <c r="CU28" i="21"/>
  <c r="CN28" i="21"/>
  <c r="CM28" i="21"/>
  <c r="CL28" i="21"/>
  <c r="CJ28" i="21"/>
  <c r="CI28" i="21"/>
  <c r="CH28" i="21"/>
  <c r="CG28" i="21"/>
  <c r="CF28" i="21"/>
  <c r="BT28" i="21"/>
  <c r="BS28" i="21"/>
  <c r="BR28" i="21"/>
  <c r="BQ28" i="21"/>
  <c r="BP28" i="21"/>
  <c r="BO28" i="21"/>
  <c r="BN28" i="21"/>
  <c r="BM28" i="21"/>
  <c r="BU28" i="21" s="1"/>
  <c r="BL28" i="21"/>
  <c r="EH28" i="21" s="1"/>
  <c r="BK28" i="21"/>
  <c r="BJ28" i="21"/>
  <c r="BI28" i="21"/>
  <c r="BH28" i="21"/>
  <c r="BG28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FS27" i="21"/>
  <c r="FR27" i="21"/>
  <c r="FQ27" i="21"/>
  <c r="FP27" i="21"/>
  <c r="FO27" i="21"/>
  <c r="FN27" i="21"/>
  <c r="FM27" i="21"/>
  <c r="FL27" i="21"/>
  <c r="FK27" i="21"/>
  <c r="FJ27" i="21"/>
  <c r="FI27" i="21"/>
  <c r="FH27" i="21"/>
  <c r="FG27" i="21"/>
  <c r="FF27" i="21"/>
  <c r="FE27" i="21"/>
  <c r="FD27" i="21"/>
  <c r="FB27" i="21"/>
  <c r="EY27" i="21"/>
  <c r="EV27" i="21"/>
  <c r="EU27" i="21"/>
  <c r="ET27" i="21"/>
  <c r="ES27" i="21"/>
  <c r="ER27" i="21"/>
  <c r="EJ27" i="21"/>
  <c r="EL27" i="21" s="1"/>
  <c r="EH27" i="21"/>
  <c r="FT27" i="21" s="1"/>
  <c r="EE27" i="21"/>
  <c r="ED27" i="21"/>
  <c r="EC27" i="21"/>
  <c r="EB27" i="21"/>
  <c r="EA27" i="21"/>
  <c r="DZ27" i="21"/>
  <c r="DY27" i="21"/>
  <c r="DX27" i="21"/>
  <c r="DW27" i="21"/>
  <c r="DV27" i="21"/>
  <c r="DU27" i="21"/>
  <c r="DT27" i="21"/>
  <c r="DS27" i="21"/>
  <c r="DR27" i="21"/>
  <c r="DQ27" i="21"/>
  <c r="DP27" i="21"/>
  <c r="DO27" i="21"/>
  <c r="DN27" i="21"/>
  <c r="DE27" i="21"/>
  <c r="DD27" i="21"/>
  <c r="DB27" i="21"/>
  <c r="DA27" i="21"/>
  <c r="CZ27" i="21"/>
  <c r="CW27" i="21"/>
  <c r="CV27" i="21"/>
  <c r="CU27" i="21"/>
  <c r="CS27" i="21"/>
  <c r="CN27" i="21"/>
  <c r="CM27" i="21"/>
  <c r="CL27" i="21"/>
  <c r="CJ27" i="21"/>
  <c r="CK27" i="21" s="1"/>
  <c r="CO27" i="21" s="1"/>
  <c r="CI27" i="21"/>
  <c r="CH27" i="21"/>
  <c r="CG27" i="21"/>
  <c r="CF27" i="21"/>
  <c r="BU27" i="21"/>
  <c r="CC27" i="21" s="1"/>
  <c r="DK27" i="21" s="1"/>
  <c r="BT27" i="21"/>
  <c r="CD27" i="21" s="1"/>
  <c r="DL27" i="21" s="1"/>
  <c r="BS27" i="21"/>
  <c r="BR27" i="21"/>
  <c r="BQ27" i="21"/>
  <c r="BP27" i="21"/>
  <c r="BO27" i="21"/>
  <c r="BN27" i="21"/>
  <c r="BM27" i="21"/>
  <c r="BL27" i="21"/>
  <c r="BK27" i="21"/>
  <c r="BJ27" i="21"/>
  <c r="BI27" i="21"/>
  <c r="BH27" i="21"/>
  <c r="BG27" i="21"/>
  <c r="BF27" i="21"/>
  <c r="BE27" i="21"/>
  <c r="BD27" i="21"/>
  <c r="BC27" i="21"/>
  <c r="BB27" i="21"/>
  <c r="BA27" i="21"/>
  <c r="EI27" i="21" s="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FW26" i="21"/>
  <c r="FT26" i="21"/>
  <c r="FS26" i="21"/>
  <c r="FR26" i="21"/>
  <c r="FQ26" i="21"/>
  <c r="FP26" i="21"/>
  <c r="FO26" i="21"/>
  <c r="FN26" i="21"/>
  <c r="FM26" i="21"/>
  <c r="FL26" i="21"/>
  <c r="FK26" i="21"/>
  <c r="FJ26" i="21"/>
  <c r="FI26" i="21"/>
  <c r="FH26" i="21"/>
  <c r="FG26" i="21"/>
  <c r="FF26" i="21"/>
  <c r="FE26" i="21"/>
  <c r="FD26" i="21"/>
  <c r="FB26" i="21"/>
  <c r="EY26" i="21"/>
  <c r="EV26" i="21"/>
  <c r="ET26" i="21"/>
  <c r="EU26" i="21" s="1"/>
  <c r="ES26" i="21"/>
  <c r="ER26" i="21"/>
  <c r="EL26" i="21"/>
  <c r="EH26" i="21"/>
  <c r="EJ26" i="21" s="1"/>
  <c r="EE26" i="21"/>
  <c r="ED26" i="21"/>
  <c r="EC26" i="21"/>
  <c r="EB26" i="21"/>
  <c r="EA26" i="21"/>
  <c r="DZ26" i="21"/>
  <c r="DY26" i="21"/>
  <c r="DX26" i="21"/>
  <c r="DW26" i="21"/>
  <c r="DV26" i="21"/>
  <c r="DU26" i="21"/>
  <c r="DT26" i="21"/>
  <c r="DS26" i="21"/>
  <c r="DR26" i="21"/>
  <c r="DQ26" i="21"/>
  <c r="DP26" i="21"/>
  <c r="DO26" i="21"/>
  <c r="DN26" i="21"/>
  <c r="DK26" i="21"/>
  <c r="DJ26" i="21"/>
  <c r="DE26" i="21"/>
  <c r="DD26" i="21"/>
  <c r="DB26" i="21"/>
  <c r="DA26" i="21"/>
  <c r="CW26" i="21"/>
  <c r="CV26" i="21"/>
  <c r="CU26" i="21"/>
  <c r="CN26" i="21"/>
  <c r="CM26" i="21"/>
  <c r="CL26" i="21"/>
  <c r="CJ26" i="21"/>
  <c r="CI26" i="21"/>
  <c r="CH26" i="21"/>
  <c r="CG26" i="21"/>
  <c r="CF26" i="21"/>
  <c r="CC26" i="21"/>
  <c r="CB26" i="21"/>
  <c r="BU26" i="21"/>
  <c r="BT26" i="21"/>
  <c r="BS26" i="21"/>
  <c r="BR26" i="21"/>
  <c r="BQ26" i="21"/>
  <c r="BP26" i="21"/>
  <c r="BO26" i="21"/>
  <c r="BN26" i="21"/>
  <c r="BM26" i="21"/>
  <c r="BL26" i="21"/>
  <c r="BK26" i="21"/>
  <c r="BJ26" i="21"/>
  <c r="BI26" i="21"/>
  <c r="BH26" i="21"/>
  <c r="BG26" i="21"/>
  <c r="BF26" i="21"/>
  <c r="BE26" i="21"/>
  <c r="BD26" i="21"/>
  <c r="BC26" i="21"/>
  <c r="BB26" i="21"/>
  <c r="BA26" i="21"/>
  <c r="AZ26" i="21"/>
  <c r="AY26" i="21"/>
  <c r="AX26" i="21"/>
  <c r="AW26" i="21"/>
  <c r="AV26" i="21"/>
  <c r="AU26" i="21"/>
  <c r="AT26" i="21"/>
  <c r="AS26" i="21"/>
  <c r="AR26" i="21"/>
  <c r="AQ26" i="21"/>
  <c r="AP26" i="21"/>
  <c r="AO26" i="21"/>
  <c r="AN26" i="21"/>
  <c r="AM26" i="21"/>
  <c r="AL26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FS25" i="21"/>
  <c r="FR25" i="21"/>
  <c r="FQ25" i="21"/>
  <c r="FP25" i="21"/>
  <c r="FO25" i="21"/>
  <c r="FN25" i="21"/>
  <c r="FM25" i="21"/>
  <c r="FL25" i="21"/>
  <c r="FK25" i="21"/>
  <c r="FJ25" i="21"/>
  <c r="FI25" i="21"/>
  <c r="FH25" i="21"/>
  <c r="FG25" i="21"/>
  <c r="FF25" i="21"/>
  <c r="FE25" i="21"/>
  <c r="FD25" i="21"/>
  <c r="FB25" i="21"/>
  <c r="EY25" i="21"/>
  <c r="EV25" i="21"/>
  <c r="EU25" i="21"/>
  <c r="ET25" i="21"/>
  <c r="ES25" i="21"/>
  <c r="ER25" i="21"/>
  <c r="EE25" i="21"/>
  <c r="ED25" i="21"/>
  <c r="EC25" i="21"/>
  <c r="EB25" i="21"/>
  <c r="EA25" i="21"/>
  <c r="DZ25" i="21"/>
  <c r="DY25" i="21"/>
  <c r="DX25" i="21"/>
  <c r="DW25" i="21"/>
  <c r="DV25" i="21"/>
  <c r="DU25" i="21"/>
  <c r="DT25" i="21"/>
  <c r="DS25" i="21"/>
  <c r="DR25" i="21"/>
  <c r="DQ25" i="21"/>
  <c r="DP25" i="21"/>
  <c r="DO25" i="21"/>
  <c r="DN25" i="21"/>
  <c r="DE25" i="21"/>
  <c r="DD25" i="21"/>
  <c r="DB25" i="21"/>
  <c r="DA25" i="21"/>
  <c r="CW25" i="21"/>
  <c r="CV25" i="21"/>
  <c r="CU25" i="21"/>
  <c r="CT25" i="21"/>
  <c r="CN25" i="21"/>
  <c r="CM25" i="21"/>
  <c r="CL25" i="21"/>
  <c r="CI25" i="21"/>
  <c r="CH25" i="21"/>
  <c r="CG25" i="21"/>
  <c r="CF25" i="21"/>
  <c r="CD25" i="21"/>
  <c r="DL25" i="21" s="1"/>
  <c r="CB25" i="21"/>
  <c r="DJ25" i="21" s="1"/>
  <c r="CA25" i="21"/>
  <c r="CE25" i="21" s="1"/>
  <c r="DM25" i="21" s="1"/>
  <c r="BU25" i="21"/>
  <c r="BT25" i="21"/>
  <c r="BS25" i="21"/>
  <c r="BR25" i="21"/>
  <c r="BQ25" i="21"/>
  <c r="BP25" i="21"/>
  <c r="BO25" i="21"/>
  <c r="BN25" i="21"/>
  <c r="BM25" i="21"/>
  <c r="BL25" i="21"/>
  <c r="BK25" i="21"/>
  <c r="BJ25" i="21"/>
  <c r="BI25" i="21"/>
  <c r="BH25" i="21"/>
  <c r="BG25" i="21"/>
  <c r="BF25" i="21"/>
  <c r="BE25" i="21"/>
  <c r="BD25" i="21"/>
  <c r="BC25" i="21"/>
  <c r="BB25" i="21"/>
  <c r="BA25" i="21"/>
  <c r="CS25" i="21" s="1"/>
  <c r="AZ25" i="21"/>
  <c r="AY25" i="21"/>
  <c r="AX25" i="21"/>
  <c r="AW25" i="21"/>
  <c r="AV25" i="21"/>
  <c r="AU25" i="21"/>
  <c r="AT25" i="21"/>
  <c r="AS25" i="21"/>
  <c r="AR25" i="21"/>
  <c r="AQ25" i="21"/>
  <c r="AP25" i="21"/>
  <c r="AO25" i="21"/>
  <c r="AN25" i="2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FS24" i="21"/>
  <c r="FR24" i="21"/>
  <c r="FQ24" i="21"/>
  <c r="FP24" i="21"/>
  <c r="FO24" i="21"/>
  <c r="FN24" i="21"/>
  <c r="FM24" i="21"/>
  <c r="FL24" i="21"/>
  <c r="FK24" i="21"/>
  <c r="FJ24" i="21"/>
  <c r="FI24" i="21"/>
  <c r="FH24" i="21"/>
  <c r="FG24" i="21"/>
  <c r="FF24" i="21"/>
  <c r="FE24" i="21"/>
  <c r="FD24" i="21"/>
  <c r="FB24" i="21"/>
  <c r="EY24" i="21"/>
  <c r="EV24" i="21"/>
  <c r="ET24" i="21"/>
  <c r="ES24" i="21"/>
  <c r="ER24" i="21"/>
  <c r="EU24" i="21"/>
  <c r="EL24" i="21"/>
  <c r="EJ24" i="21"/>
  <c r="EI24" i="21"/>
  <c r="FU24" i="21" s="1"/>
  <c r="EE24" i="21"/>
  <c r="ED24" i="21"/>
  <c r="EC24" i="21"/>
  <c r="EB24" i="21"/>
  <c r="EA24" i="21"/>
  <c r="DZ24" i="21"/>
  <c r="DY24" i="21"/>
  <c r="DX24" i="21"/>
  <c r="DW24" i="21"/>
  <c r="DV24" i="21"/>
  <c r="DU24" i="21"/>
  <c r="DT24" i="21"/>
  <c r="DS24" i="21"/>
  <c r="DR24" i="21"/>
  <c r="DQ24" i="21"/>
  <c r="DP24" i="21"/>
  <c r="DO24" i="21"/>
  <c r="DN24" i="21"/>
  <c r="DE24" i="21"/>
  <c r="DD24" i="21"/>
  <c r="DB24" i="21"/>
  <c r="DA24" i="21"/>
  <c r="CW24" i="21"/>
  <c r="CV24" i="21"/>
  <c r="CU24" i="21"/>
  <c r="CN24" i="21"/>
  <c r="CM24" i="21"/>
  <c r="CL24" i="21"/>
  <c r="CI24" i="21"/>
  <c r="CH24" i="21"/>
  <c r="CG24" i="21"/>
  <c r="CF24" i="21"/>
  <c r="CB24" i="21"/>
  <c r="DJ24" i="21" s="1"/>
  <c r="BU24" i="21"/>
  <c r="CC24" i="21" s="1"/>
  <c r="DK24" i="21" s="1"/>
  <c r="BT24" i="21"/>
  <c r="CD24" i="21" s="1"/>
  <c r="DL24" i="21" s="1"/>
  <c r="BS24" i="21"/>
  <c r="BR24" i="21"/>
  <c r="BQ24" i="21"/>
  <c r="BP24" i="21"/>
  <c r="BO24" i="21"/>
  <c r="BN24" i="21"/>
  <c r="BM24" i="21"/>
  <c r="BL24" i="21"/>
  <c r="BK24" i="21"/>
  <c r="BJ24" i="21"/>
  <c r="BI24" i="21"/>
  <c r="BH24" i="21"/>
  <c r="BG24" i="21"/>
  <c r="BF24" i="21"/>
  <c r="BE24" i="21"/>
  <c r="BD24" i="21"/>
  <c r="BC24" i="21"/>
  <c r="BB24" i="21"/>
  <c r="BA24" i="21"/>
  <c r="CA24" i="21" s="1"/>
  <c r="CE24" i="21" s="1"/>
  <c r="DM24" i="21" s="1"/>
  <c r="AZ24" i="21"/>
  <c r="AY24" i="21"/>
  <c r="AX24" i="21"/>
  <c r="AW24" i="21"/>
  <c r="AV24" i="21"/>
  <c r="AU24" i="21"/>
  <c r="AT24" i="21"/>
  <c r="AS24" i="21"/>
  <c r="AR24" i="21"/>
  <c r="AQ24" i="21"/>
  <c r="AP24" i="21"/>
  <c r="AO24" i="21"/>
  <c r="AN24" i="21"/>
  <c r="AM24" i="21"/>
  <c r="AL24" i="21"/>
  <c r="AK24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EH24" i="21" s="1"/>
  <c r="FT24" i="21" s="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FS23" i="21"/>
  <c r="FR23" i="21"/>
  <c r="FQ23" i="21"/>
  <c r="FP23" i="21"/>
  <c r="FO23" i="21"/>
  <c r="FN23" i="21"/>
  <c r="FM23" i="21"/>
  <c r="FL23" i="21"/>
  <c r="FK23" i="21"/>
  <c r="FJ23" i="21"/>
  <c r="FI23" i="21"/>
  <c r="FH23" i="21"/>
  <c r="FG23" i="21"/>
  <c r="FF23" i="21"/>
  <c r="FE23" i="21"/>
  <c r="FD23" i="21"/>
  <c r="FB23" i="21"/>
  <c r="EY23" i="21"/>
  <c r="EV23" i="21"/>
  <c r="ET23" i="21"/>
  <c r="ES23" i="21"/>
  <c r="ER23" i="21"/>
  <c r="EU23" i="21"/>
  <c r="EI23" i="21"/>
  <c r="FU23" i="21" s="1"/>
  <c r="EE23" i="21"/>
  <c r="ED23" i="21"/>
  <c r="EC23" i="21"/>
  <c r="EB23" i="21"/>
  <c r="EA23" i="21"/>
  <c r="DZ23" i="21"/>
  <c r="DY23" i="21"/>
  <c r="DX23" i="21"/>
  <c r="DW23" i="21"/>
  <c r="DV23" i="21"/>
  <c r="DU23" i="21"/>
  <c r="DT23" i="21"/>
  <c r="DS23" i="21"/>
  <c r="DR23" i="21"/>
  <c r="DQ23" i="21"/>
  <c r="DP23" i="21"/>
  <c r="DO23" i="21"/>
  <c r="DN23" i="21"/>
  <c r="DE23" i="21"/>
  <c r="DD23" i="21"/>
  <c r="DB23" i="21"/>
  <c r="DA23" i="21"/>
  <c r="CW23" i="21"/>
  <c r="CV23" i="21"/>
  <c r="CU23" i="21"/>
  <c r="CN23" i="21"/>
  <c r="CM23" i="21"/>
  <c r="CL23" i="21"/>
  <c r="CK23" i="21"/>
  <c r="CO23" i="21" s="1"/>
  <c r="CJ23" i="21"/>
  <c r="CI23" i="21"/>
  <c r="CH23" i="21"/>
  <c r="CG23" i="21"/>
  <c r="CF23" i="21"/>
  <c r="BT23" i="21"/>
  <c r="BS23" i="21"/>
  <c r="BR23" i="21"/>
  <c r="BQ23" i="21"/>
  <c r="BP23" i="21"/>
  <c r="BO23" i="21"/>
  <c r="BN23" i="21"/>
  <c r="BM23" i="21"/>
  <c r="BU23" i="21" s="1"/>
  <c r="BL23" i="21"/>
  <c r="CB23" i="21" s="1"/>
  <c r="DJ23" i="21" s="1"/>
  <c r="BK23" i="21"/>
  <c r="BJ23" i="21"/>
  <c r="BI23" i="21"/>
  <c r="BH23" i="21"/>
  <c r="BG23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FS22" i="21"/>
  <c r="FR22" i="21"/>
  <c r="FQ22" i="21"/>
  <c r="FP22" i="21"/>
  <c r="FO22" i="21"/>
  <c r="FN22" i="21"/>
  <c r="FM22" i="21"/>
  <c r="FL22" i="21"/>
  <c r="FK22" i="21"/>
  <c r="FJ22" i="21"/>
  <c r="FI22" i="21"/>
  <c r="FH22" i="21"/>
  <c r="FG22" i="21"/>
  <c r="FF22" i="21"/>
  <c r="FE22" i="21"/>
  <c r="FD22" i="21"/>
  <c r="FB22" i="21"/>
  <c r="EY22" i="21"/>
  <c r="EV22" i="21"/>
  <c r="ET22" i="21"/>
  <c r="ES22" i="21"/>
  <c r="ER22" i="21"/>
  <c r="EE22" i="21"/>
  <c r="ED22" i="21"/>
  <c r="EC22" i="21"/>
  <c r="EB22" i="21"/>
  <c r="EA22" i="21"/>
  <c r="DZ22" i="21"/>
  <c r="DY22" i="21"/>
  <c r="DX22" i="21"/>
  <c r="DW22" i="21"/>
  <c r="DV22" i="21"/>
  <c r="DU22" i="21"/>
  <c r="DT22" i="21"/>
  <c r="DS22" i="21"/>
  <c r="DR22" i="21"/>
  <c r="DQ22" i="21"/>
  <c r="DP22" i="21"/>
  <c r="DO22" i="21"/>
  <c r="DN22" i="21"/>
  <c r="DE22" i="21"/>
  <c r="DD22" i="21"/>
  <c r="DB22" i="21"/>
  <c r="DA22" i="21"/>
  <c r="CW22" i="21"/>
  <c r="CV22" i="21"/>
  <c r="CU22" i="21"/>
  <c r="CN22" i="21"/>
  <c r="CM22" i="21"/>
  <c r="CL22" i="21"/>
  <c r="CI22" i="21"/>
  <c r="CH22" i="21"/>
  <c r="CG22" i="21"/>
  <c r="CF22" i="21"/>
  <c r="BU22" i="21"/>
  <c r="BT22" i="21"/>
  <c r="CD22" i="21" s="1"/>
  <c r="DL22" i="21" s="1"/>
  <c r="BS22" i="21"/>
  <c r="CB22" i="21" s="1"/>
  <c r="DJ22" i="21" s="1"/>
  <c r="BR22" i="21"/>
  <c r="BQ22" i="21"/>
  <c r="BP22" i="21"/>
  <c r="BO22" i="21"/>
  <c r="BN22" i="21"/>
  <c r="BM22" i="21"/>
  <c r="BL22" i="21"/>
  <c r="EH22" i="21" s="1"/>
  <c r="EJ22" i="21" s="1"/>
  <c r="EL22" i="21" s="1"/>
  <c r="FW22" i="21" s="1"/>
  <c r="BK22" i="21"/>
  <c r="BJ22" i="21"/>
  <c r="BI22" i="21"/>
  <c r="BH22" i="21"/>
  <c r="BG22" i="21"/>
  <c r="BF22" i="21"/>
  <c r="BE22" i="21"/>
  <c r="BD22" i="21"/>
  <c r="BC22" i="21"/>
  <c r="BB22" i="21"/>
  <c r="BA22" i="21"/>
  <c r="CA22" i="21" s="1"/>
  <c r="CE22" i="21" s="1"/>
  <c r="DM22" i="21" s="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FS21" i="21"/>
  <c r="FR21" i="21"/>
  <c r="FQ21" i="21"/>
  <c r="FP21" i="21"/>
  <c r="FO21" i="21"/>
  <c r="FN21" i="21"/>
  <c r="FM21" i="21"/>
  <c r="FL21" i="21"/>
  <c r="FK21" i="21"/>
  <c r="FJ21" i="21"/>
  <c r="FI21" i="21"/>
  <c r="FH21" i="21"/>
  <c r="FG21" i="21"/>
  <c r="FF21" i="21"/>
  <c r="FE21" i="21"/>
  <c r="FD21" i="21"/>
  <c r="FB21" i="21"/>
  <c r="EY21" i="21"/>
  <c r="EV21" i="21"/>
  <c r="ET21" i="21"/>
  <c r="ES21" i="21"/>
  <c r="ER21" i="21"/>
  <c r="EE21" i="21"/>
  <c r="ED21" i="21"/>
  <c r="EC21" i="21"/>
  <c r="EB21" i="21"/>
  <c r="EA21" i="21"/>
  <c r="DZ21" i="21"/>
  <c r="DY21" i="21"/>
  <c r="DX21" i="21"/>
  <c r="DW21" i="21"/>
  <c r="DV21" i="21"/>
  <c r="DU21" i="21"/>
  <c r="DT21" i="21"/>
  <c r="DS21" i="21"/>
  <c r="DR21" i="21"/>
  <c r="DQ21" i="21"/>
  <c r="DP21" i="21"/>
  <c r="DO21" i="21"/>
  <c r="DN21" i="21"/>
  <c r="DE21" i="21"/>
  <c r="DD21" i="21"/>
  <c r="DB21" i="21"/>
  <c r="DA21" i="21"/>
  <c r="CW21" i="21"/>
  <c r="CV21" i="21"/>
  <c r="CU21" i="21"/>
  <c r="CN21" i="21"/>
  <c r="CM21" i="21"/>
  <c r="CL21" i="21"/>
  <c r="CJ21" i="21"/>
  <c r="CI21" i="21"/>
  <c r="CH21" i="21"/>
  <c r="CG21" i="21"/>
  <c r="CF21" i="21"/>
  <c r="BT21" i="21"/>
  <c r="BS21" i="21"/>
  <c r="BR21" i="21"/>
  <c r="BQ21" i="21"/>
  <c r="BP21" i="21"/>
  <c r="BO21" i="21"/>
  <c r="BN21" i="21"/>
  <c r="BM21" i="21"/>
  <c r="BU21" i="21" s="1"/>
  <c r="BL21" i="21"/>
  <c r="BK21" i="21"/>
  <c r="BJ21" i="21"/>
  <c r="BI21" i="21"/>
  <c r="BH21" i="21"/>
  <c r="BG21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FS20" i="21"/>
  <c r="FR20" i="21"/>
  <c r="FQ20" i="21"/>
  <c r="FP20" i="21"/>
  <c r="FO20" i="21"/>
  <c r="FN20" i="21"/>
  <c r="FM20" i="21"/>
  <c r="FL20" i="21"/>
  <c r="FK20" i="21"/>
  <c r="FJ20" i="21"/>
  <c r="FI20" i="21"/>
  <c r="FH20" i="21"/>
  <c r="FG20" i="21"/>
  <c r="FF20" i="21"/>
  <c r="FE20" i="21"/>
  <c r="FD20" i="21"/>
  <c r="FB20" i="21"/>
  <c r="EY20" i="21"/>
  <c r="EV20" i="21"/>
  <c r="ET20" i="21"/>
  <c r="ES20" i="21"/>
  <c r="ER20" i="21"/>
  <c r="EE20" i="21"/>
  <c r="ED20" i="21"/>
  <c r="EC20" i="21"/>
  <c r="EB20" i="21"/>
  <c r="EA20" i="21"/>
  <c r="DZ20" i="21"/>
  <c r="DY20" i="21"/>
  <c r="DX20" i="21"/>
  <c r="DW20" i="21"/>
  <c r="DV20" i="21"/>
  <c r="DU20" i="21"/>
  <c r="DT20" i="21"/>
  <c r="DS20" i="21"/>
  <c r="DR20" i="21"/>
  <c r="DQ20" i="21"/>
  <c r="DP20" i="21"/>
  <c r="DO20" i="21"/>
  <c r="DN20" i="21"/>
  <c r="DE20" i="21"/>
  <c r="DD20" i="21"/>
  <c r="DB20" i="21"/>
  <c r="DA20" i="21"/>
  <c r="CW20" i="21"/>
  <c r="CV20" i="21"/>
  <c r="CU20" i="21"/>
  <c r="CN20" i="21"/>
  <c r="CM20" i="21"/>
  <c r="CL20" i="21"/>
  <c r="CI20" i="21"/>
  <c r="CH20" i="21"/>
  <c r="CG20" i="21"/>
  <c r="CF20" i="21"/>
  <c r="BU20" i="21"/>
  <c r="BT20" i="21"/>
  <c r="CD20" i="21" s="1"/>
  <c r="DL20" i="21" s="1"/>
  <c r="BS20" i="21"/>
  <c r="BR20" i="21"/>
  <c r="BQ20" i="21"/>
  <c r="BP20" i="21"/>
  <c r="BO20" i="21"/>
  <c r="BN20" i="21"/>
  <c r="BM20" i="21"/>
  <c r="BL20" i="21"/>
  <c r="BK20" i="21"/>
  <c r="BJ20" i="21"/>
  <c r="BI20" i="21"/>
  <c r="BH20" i="21"/>
  <c r="BG20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FS19" i="21"/>
  <c r="FR19" i="21"/>
  <c r="FQ19" i="21"/>
  <c r="FP19" i="21"/>
  <c r="FO19" i="21"/>
  <c r="FN19" i="21"/>
  <c r="FM19" i="21"/>
  <c r="FL19" i="21"/>
  <c r="FK19" i="21"/>
  <c r="FJ19" i="21"/>
  <c r="FI19" i="21"/>
  <c r="FH19" i="21"/>
  <c r="FG19" i="21"/>
  <c r="FF19" i="21"/>
  <c r="FE19" i="21"/>
  <c r="FD19" i="21"/>
  <c r="FB19" i="21"/>
  <c r="EY19" i="21"/>
  <c r="EV19" i="21"/>
  <c r="EU19" i="21"/>
  <c r="ET19" i="21"/>
  <c r="ES19" i="21"/>
  <c r="ER19" i="21"/>
  <c r="EH19" i="21"/>
  <c r="EE19" i="21"/>
  <c r="ED19" i="21"/>
  <c r="EC19" i="21"/>
  <c r="EB19" i="21"/>
  <c r="EA19" i="21"/>
  <c r="DZ19" i="21"/>
  <c r="DY19" i="21"/>
  <c r="DX19" i="21"/>
  <c r="DW19" i="21"/>
  <c r="DV19" i="21"/>
  <c r="DU19" i="21"/>
  <c r="DT19" i="21"/>
  <c r="DS19" i="21"/>
  <c r="DR19" i="21"/>
  <c r="DQ19" i="21"/>
  <c r="DP19" i="21"/>
  <c r="DO19" i="21"/>
  <c r="DN19" i="21"/>
  <c r="DE19" i="21"/>
  <c r="DD19" i="21"/>
  <c r="DB19" i="21"/>
  <c r="DA19" i="21"/>
  <c r="CW19" i="21"/>
  <c r="CV19" i="21"/>
  <c r="CU19" i="21"/>
  <c r="CN19" i="21"/>
  <c r="CO19" i="21" s="1"/>
  <c r="CM19" i="21"/>
  <c r="CL19" i="21"/>
  <c r="CK19" i="21"/>
  <c r="CJ19" i="21"/>
  <c r="CZ19" i="21" s="1"/>
  <c r="CI19" i="21"/>
  <c r="CH19" i="21"/>
  <c r="CG19" i="21"/>
  <c r="CF19" i="21"/>
  <c r="BU19" i="21"/>
  <c r="BT19" i="21"/>
  <c r="BS19" i="21"/>
  <c r="CB19" i="21" s="1"/>
  <c r="DJ19" i="21" s="1"/>
  <c r="BR19" i="21"/>
  <c r="BQ19" i="21"/>
  <c r="BP19" i="21"/>
  <c r="BO19" i="21"/>
  <c r="BN19" i="21"/>
  <c r="BM19" i="21"/>
  <c r="BL19" i="21"/>
  <c r="BK19" i="21"/>
  <c r="BJ19" i="21"/>
  <c r="BI19" i="21"/>
  <c r="BH19" i="21"/>
  <c r="BG19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FT18" i="21"/>
  <c r="FS18" i="21"/>
  <c r="FR18" i="21"/>
  <c r="FQ18" i="21"/>
  <c r="FP18" i="21"/>
  <c r="FO18" i="21"/>
  <c r="FN18" i="21"/>
  <c r="FM18" i="21"/>
  <c r="FL18" i="21"/>
  <c r="FK18" i="21"/>
  <c r="FJ18" i="21"/>
  <c r="FI18" i="21"/>
  <c r="FH18" i="21"/>
  <c r="FG18" i="21"/>
  <c r="FF18" i="21"/>
  <c r="FE18" i="21"/>
  <c r="FD18" i="21"/>
  <c r="FB18" i="21"/>
  <c r="EY18" i="21"/>
  <c r="EV18" i="21"/>
  <c r="ET18" i="21"/>
  <c r="ES18" i="21"/>
  <c r="ER18" i="21"/>
  <c r="EJ18" i="21"/>
  <c r="EL18" i="21" s="1"/>
  <c r="EH18" i="21"/>
  <c r="EE18" i="21"/>
  <c r="ED18" i="21"/>
  <c r="EC18" i="21"/>
  <c r="EB18" i="21"/>
  <c r="EA18" i="21"/>
  <c r="DZ18" i="21"/>
  <c r="DY18" i="21"/>
  <c r="DX18" i="21"/>
  <c r="DW18" i="21"/>
  <c r="DV18" i="21"/>
  <c r="DU18" i="21"/>
  <c r="DT18" i="21"/>
  <c r="DS18" i="21"/>
  <c r="DR18" i="21"/>
  <c r="DQ18" i="21"/>
  <c r="DP18" i="21"/>
  <c r="DO18" i="21"/>
  <c r="DN18" i="21"/>
  <c r="DE18" i="21"/>
  <c r="DD18" i="21"/>
  <c r="DB18" i="21"/>
  <c r="DA18" i="21"/>
  <c r="CW18" i="21"/>
  <c r="CV18" i="21"/>
  <c r="CU18" i="21"/>
  <c r="CS18" i="21"/>
  <c r="CN18" i="21"/>
  <c r="CM18" i="21"/>
  <c r="CL18" i="21"/>
  <c r="CI18" i="21"/>
  <c r="CH18" i="21"/>
  <c r="CG18" i="21"/>
  <c r="CF18" i="21"/>
  <c r="BU18" i="21"/>
  <c r="BT18" i="21"/>
  <c r="CD18" i="21" s="1"/>
  <c r="DL18" i="21" s="1"/>
  <c r="BS18" i="21"/>
  <c r="BR18" i="21"/>
  <c r="BQ18" i="21"/>
  <c r="BP18" i="21"/>
  <c r="BO18" i="21"/>
  <c r="BN18" i="21"/>
  <c r="BM18" i="21"/>
  <c r="BL18" i="21"/>
  <c r="BK18" i="21"/>
  <c r="BJ18" i="21"/>
  <c r="BI18" i="21"/>
  <c r="BH18" i="21"/>
  <c r="BG18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CJ18" i="21" s="1"/>
  <c r="CZ18" i="21" s="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FU17" i="21"/>
  <c r="FS17" i="21"/>
  <c r="FR17" i="21"/>
  <c r="FQ17" i="21"/>
  <c r="FP17" i="21"/>
  <c r="FO17" i="21"/>
  <c r="FN17" i="21"/>
  <c r="FM17" i="21"/>
  <c r="FL17" i="21"/>
  <c r="FK17" i="21"/>
  <c r="FJ17" i="21"/>
  <c r="FI17" i="21"/>
  <c r="FH17" i="21"/>
  <c r="FG17" i="21"/>
  <c r="FF17" i="21"/>
  <c r="FE17" i="21"/>
  <c r="FD17" i="21"/>
  <c r="FB17" i="21"/>
  <c r="EY17" i="21"/>
  <c r="EV17" i="21"/>
  <c r="ET17" i="21"/>
  <c r="ES17" i="21"/>
  <c r="ER17" i="21"/>
  <c r="EI17" i="21"/>
  <c r="EK17" i="21" s="1"/>
  <c r="EM17" i="21" s="1"/>
  <c r="FX17" i="21" s="1"/>
  <c r="EE17" i="21"/>
  <c r="ED17" i="21"/>
  <c r="EC17" i="21"/>
  <c r="EB17" i="21"/>
  <c r="EA17" i="21"/>
  <c r="DZ17" i="21"/>
  <c r="DY17" i="21"/>
  <c r="DX17" i="21"/>
  <c r="DW17" i="21"/>
  <c r="DV17" i="21"/>
  <c r="DU17" i="21"/>
  <c r="DT17" i="21"/>
  <c r="DS17" i="21"/>
  <c r="DR17" i="21"/>
  <c r="DQ17" i="21"/>
  <c r="DP17" i="21"/>
  <c r="DO17" i="21"/>
  <c r="DN17" i="21"/>
  <c r="DK17" i="21"/>
  <c r="DJ17" i="21"/>
  <c r="DE17" i="21"/>
  <c r="DD17" i="21"/>
  <c r="DB17" i="21"/>
  <c r="DA17" i="21"/>
  <c r="CW17" i="21"/>
  <c r="CV17" i="21"/>
  <c r="CU17" i="21"/>
  <c r="CN17" i="21"/>
  <c r="CM17" i="21"/>
  <c r="CL17" i="21"/>
  <c r="CI17" i="21"/>
  <c r="CH17" i="21"/>
  <c r="CG17" i="21"/>
  <c r="CF17" i="21"/>
  <c r="CD17" i="21"/>
  <c r="DL17" i="21" s="1"/>
  <c r="CC17" i="21"/>
  <c r="CB17" i="21"/>
  <c r="BU17" i="21"/>
  <c r="BT17" i="21"/>
  <c r="BS17" i="21"/>
  <c r="BR17" i="21"/>
  <c r="BQ17" i="21"/>
  <c r="BP17" i="21"/>
  <c r="BO17" i="21"/>
  <c r="BN17" i="21"/>
  <c r="BM17" i="21"/>
  <c r="BL17" i="21"/>
  <c r="CJ17" i="21" s="1"/>
  <c r="BK17" i="21"/>
  <c r="BJ17" i="21"/>
  <c r="BI17" i="21"/>
  <c r="BH17" i="21"/>
  <c r="BG17" i="21"/>
  <c r="BF17" i="21"/>
  <c r="BE17" i="21"/>
  <c r="BD17" i="21"/>
  <c r="BC17" i="21"/>
  <c r="BB17" i="21"/>
  <c r="BA17" i="21"/>
  <c r="CA17" i="21" s="1"/>
  <c r="CE17" i="21" s="1"/>
  <c r="DM17" i="21" s="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EH17" i="21" s="1"/>
  <c r="EJ17" i="21" s="1"/>
  <c r="EL17" i="21" s="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FS16" i="21"/>
  <c r="FR16" i="21"/>
  <c r="FQ16" i="21"/>
  <c r="FP16" i="21"/>
  <c r="FO16" i="21"/>
  <c r="FN16" i="21"/>
  <c r="FM16" i="21"/>
  <c r="FL16" i="21"/>
  <c r="FK16" i="21"/>
  <c r="FJ16" i="21"/>
  <c r="FI16" i="21"/>
  <c r="FH16" i="21"/>
  <c r="FG16" i="21"/>
  <c r="FF16" i="21"/>
  <c r="FE16" i="21"/>
  <c r="FD16" i="21"/>
  <c r="FB16" i="21"/>
  <c r="EY16" i="21"/>
  <c r="EV16" i="21"/>
  <c r="ET16" i="21"/>
  <c r="ES16" i="21"/>
  <c r="ER16" i="21"/>
  <c r="EU16" i="21"/>
  <c r="EI16" i="21"/>
  <c r="FU16" i="21" s="1"/>
  <c r="EE16" i="21"/>
  <c r="ED16" i="21"/>
  <c r="EC16" i="21"/>
  <c r="EB16" i="21"/>
  <c r="EA16" i="21"/>
  <c r="DZ16" i="21"/>
  <c r="DY16" i="21"/>
  <c r="DX16" i="21"/>
  <c r="DW16" i="21"/>
  <c r="DV16" i="21"/>
  <c r="DU16" i="21"/>
  <c r="DT16" i="21"/>
  <c r="DS16" i="21"/>
  <c r="DR16" i="21"/>
  <c r="DQ16" i="21"/>
  <c r="DP16" i="21"/>
  <c r="DO16" i="21"/>
  <c r="DN16" i="21"/>
  <c r="DE16" i="21"/>
  <c r="DD16" i="21"/>
  <c r="DB16" i="21"/>
  <c r="DA16" i="21"/>
  <c r="CW16" i="21"/>
  <c r="CV16" i="21"/>
  <c r="CU16" i="21"/>
  <c r="CT16" i="21"/>
  <c r="CS16" i="21"/>
  <c r="CN16" i="21"/>
  <c r="CM16" i="21"/>
  <c r="CL16" i="21"/>
  <c r="CI16" i="21"/>
  <c r="CH16" i="21"/>
  <c r="CG16" i="21"/>
  <c r="CF16" i="21"/>
  <c r="CD16" i="21"/>
  <c r="DL16" i="21" s="1"/>
  <c r="CC16" i="21"/>
  <c r="DK16" i="21" s="1"/>
  <c r="CA16" i="21"/>
  <c r="CE16" i="21" s="1"/>
  <c r="DM16" i="21" s="1"/>
  <c r="BW16" i="21"/>
  <c r="BZ16" i="21" s="1"/>
  <c r="BT16" i="21"/>
  <c r="BS16" i="21"/>
  <c r="BR16" i="21"/>
  <c r="BQ16" i="21"/>
  <c r="BP16" i="21"/>
  <c r="BO16" i="21"/>
  <c r="BN16" i="21"/>
  <c r="BM16" i="21"/>
  <c r="BU16" i="21" s="1"/>
  <c r="BL16" i="21"/>
  <c r="EH16" i="21" s="1"/>
  <c r="BK16" i="21"/>
  <c r="BJ16" i="21"/>
  <c r="BI16" i="21"/>
  <c r="BH16" i="21"/>
  <c r="BG16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FS15" i="21"/>
  <c r="FR15" i="21"/>
  <c r="FQ15" i="21"/>
  <c r="FP15" i="21"/>
  <c r="FO15" i="21"/>
  <c r="FN15" i="21"/>
  <c r="FM15" i="21"/>
  <c r="FL15" i="21"/>
  <c r="FK15" i="21"/>
  <c r="FJ15" i="21"/>
  <c r="FI15" i="21"/>
  <c r="FH15" i="21"/>
  <c r="FG15" i="21"/>
  <c r="FF15" i="21"/>
  <c r="FE15" i="21"/>
  <c r="FD15" i="21"/>
  <c r="FB15" i="21"/>
  <c r="EY15" i="21"/>
  <c r="EV15" i="21"/>
  <c r="ET15" i="21"/>
  <c r="ES15" i="21"/>
  <c r="ER15" i="21"/>
  <c r="EE15" i="21"/>
  <c r="ED15" i="21"/>
  <c r="EC15" i="21"/>
  <c r="EB15" i="21"/>
  <c r="EA15" i="21"/>
  <c r="DZ15" i="21"/>
  <c r="DY15" i="21"/>
  <c r="DX15" i="21"/>
  <c r="DW15" i="21"/>
  <c r="DV15" i="21"/>
  <c r="DU15" i="21"/>
  <c r="DT15" i="21"/>
  <c r="DS15" i="21"/>
  <c r="DR15" i="21"/>
  <c r="DQ15" i="21"/>
  <c r="DP15" i="21"/>
  <c r="DO15" i="21"/>
  <c r="DN15" i="21"/>
  <c r="DE15" i="21"/>
  <c r="DD15" i="21"/>
  <c r="DB15" i="21"/>
  <c r="DA15" i="21"/>
  <c r="CW15" i="21"/>
  <c r="CV15" i="21"/>
  <c r="CU15" i="21"/>
  <c r="CN15" i="21"/>
  <c r="CM15" i="21"/>
  <c r="CL15" i="21"/>
  <c r="CI15" i="21"/>
  <c r="CH15" i="21"/>
  <c r="CG15" i="21"/>
  <c r="CF15" i="21"/>
  <c r="BT15" i="21"/>
  <c r="BS15" i="21"/>
  <c r="BR15" i="21"/>
  <c r="BQ15" i="21"/>
  <c r="BP15" i="21"/>
  <c r="BO15" i="21"/>
  <c r="BN15" i="21"/>
  <c r="BM15" i="21"/>
  <c r="BU15" i="21" s="1"/>
  <c r="BL15" i="21"/>
  <c r="BK15" i="21"/>
  <c r="BJ15" i="21"/>
  <c r="BI15" i="21"/>
  <c r="BH15" i="21"/>
  <c r="BG15" i="21"/>
  <c r="BF15" i="21"/>
  <c r="BE15" i="21"/>
  <c r="BD15" i="21"/>
  <c r="BC15" i="21"/>
  <c r="BB15" i="21"/>
  <c r="BA15" i="21"/>
  <c r="AZ15" i="21"/>
  <c r="AY15" i="21"/>
  <c r="AX15" i="21"/>
  <c r="AW15" i="21"/>
  <c r="AV15" i="21"/>
  <c r="AU15" i="21"/>
  <c r="AT15" i="21"/>
  <c r="AS15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FS14" i="21"/>
  <c r="FR14" i="21"/>
  <c r="FQ14" i="21"/>
  <c r="FP14" i="21"/>
  <c r="FO14" i="21"/>
  <c r="FN14" i="21"/>
  <c r="FM14" i="21"/>
  <c r="FL14" i="21"/>
  <c r="FK14" i="21"/>
  <c r="FJ14" i="21"/>
  <c r="FI14" i="21"/>
  <c r="FH14" i="21"/>
  <c r="FG14" i="21"/>
  <c r="FF14" i="21"/>
  <c r="FE14" i="21"/>
  <c r="FD14" i="21"/>
  <c r="FB14" i="21"/>
  <c r="EY14" i="21"/>
  <c r="EV14" i="21"/>
  <c r="ET14" i="21"/>
  <c r="ES14" i="21"/>
  <c r="ER14" i="21"/>
  <c r="EE14" i="21"/>
  <c r="ED14" i="21"/>
  <c r="EC14" i="21"/>
  <c r="EB14" i="21"/>
  <c r="EA14" i="21"/>
  <c r="DZ14" i="21"/>
  <c r="DY14" i="21"/>
  <c r="DX14" i="21"/>
  <c r="DW14" i="21"/>
  <c r="DV14" i="21"/>
  <c r="DU14" i="21"/>
  <c r="DT14" i="21"/>
  <c r="DS14" i="21"/>
  <c r="DR14" i="21"/>
  <c r="DQ14" i="21"/>
  <c r="DP14" i="21"/>
  <c r="DO14" i="21"/>
  <c r="DN14" i="21"/>
  <c r="DE14" i="21"/>
  <c r="DD14" i="21"/>
  <c r="DB14" i="21"/>
  <c r="DA14" i="21"/>
  <c r="CW14" i="21"/>
  <c r="CV14" i="21"/>
  <c r="CU14" i="21"/>
  <c r="CN14" i="21"/>
  <c r="CM14" i="21"/>
  <c r="CL14" i="21"/>
  <c r="CJ14" i="21"/>
  <c r="CI14" i="21"/>
  <c r="CH14" i="21"/>
  <c r="CG14" i="21"/>
  <c r="CF14" i="21"/>
  <c r="BT14" i="21"/>
  <c r="BS14" i="21"/>
  <c r="BR14" i="21"/>
  <c r="BQ14" i="21"/>
  <c r="BP14" i="21"/>
  <c r="BO14" i="21"/>
  <c r="BN14" i="21"/>
  <c r="CD14" i="21" s="1"/>
  <c r="DL14" i="21" s="1"/>
  <c r="BM14" i="21"/>
  <c r="BU14" i="21" s="1"/>
  <c r="BL14" i="21"/>
  <c r="BK14" i="21"/>
  <c r="BJ14" i="21"/>
  <c r="BI14" i="21"/>
  <c r="BH14" i="21"/>
  <c r="BG14" i="21"/>
  <c r="BF14" i="21"/>
  <c r="BE14" i="21"/>
  <c r="BD14" i="21"/>
  <c r="BC14" i="21"/>
  <c r="BB14" i="21"/>
  <c r="BA14" i="21"/>
  <c r="AZ14" i="21"/>
  <c r="AY14" i="21"/>
  <c r="AX14" i="21"/>
  <c r="AW14" i="21"/>
  <c r="AV14" i="21"/>
  <c r="AU14" i="21"/>
  <c r="AT14" i="21"/>
  <c r="AS14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FX13" i="21"/>
  <c r="FU13" i="21"/>
  <c r="FS13" i="21"/>
  <c r="FR13" i="21"/>
  <c r="FQ13" i="21"/>
  <c r="FP13" i="21"/>
  <c r="FO13" i="21"/>
  <c r="FN13" i="21"/>
  <c r="FM13" i="21"/>
  <c r="FL13" i="21"/>
  <c r="FK13" i="21"/>
  <c r="FJ13" i="21"/>
  <c r="FI13" i="21"/>
  <c r="FH13" i="21"/>
  <c r="FG13" i="21"/>
  <c r="FF13" i="21"/>
  <c r="FE13" i="21"/>
  <c r="FD13" i="21"/>
  <c r="FB13" i="21"/>
  <c r="EY13" i="21"/>
  <c r="EV13" i="21"/>
  <c r="ET13" i="21"/>
  <c r="ES13" i="21"/>
  <c r="ER13" i="21"/>
  <c r="EU13" i="21"/>
  <c r="EI13" i="21"/>
  <c r="EK13" i="21" s="1"/>
  <c r="EM13" i="21" s="1"/>
  <c r="EE13" i="21"/>
  <c r="ED13" i="21"/>
  <c r="EC13" i="21"/>
  <c r="EB13" i="21"/>
  <c r="EA13" i="21"/>
  <c r="DZ13" i="21"/>
  <c r="DY13" i="21"/>
  <c r="DX13" i="21"/>
  <c r="DW13" i="21"/>
  <c r="DV13" i="21"/>
  <c r="DU13" i="21"/>
  <c r="DT13" i="21"/>
  <c r="DS13" i="21"/>
  <c r="DR13" i="21"/>
  <c r="DQ13" i="21"/>
  <c r="DP13" i="21"/>
  <c r="DO13" i="21"/>
  <c r="DN13" i="21"/>
  <c r="DL13" i="21"/>
  <c r="DE13" i="21"/>
  <c r="DD13" i="21"/>
  <c r="DC13" i="21"/>
  <c r="DB13" i="21"/>
  <c r="DA13" i="21"/>
  <c r="CW13" i="21"/>
  <c r="CV13" i="21"/>
  <c r="CU13" i="21"/>
  <c r="CS13" i="21"/>
  <c r="CT13" i="21" s="1"/>
  <c r="CN13" i="21"/>
  <c r="CM13" i="21"/>
  <c r="CL13" i="21"/>
  <c r="CK13" i="21"/>
  <c r="CJ13" i="21"/>
  <c r="CZ13" i="21" s="1"/>
  <c r="CI13" i="21"/>
  <c r="CH13" i="21"/>
  <c r="CG13" i="21"/>
  <c r="CF13" i="21"/>
  <c r="BT13" i="21"/>
  <c r="CD13" i="21" s="1"/>
  <c r="BS13" i="21"/>
  <c r="BR13" i="21"/>
  <c r="BQ13" i="21"/>
  <c r="BP13" i="21"/>
  <c r="BO13" i="21"/>
  <c r="BN13" i="21"/>
  <c r="BM13" i="21"/>
  <c r="BU13" i="21" s="1"/>
  <c r="BL13" i="21"/>
  <c r="EH13" i="21" s="1"/>
  <c r="BK13" i="21"/>
  <c r="BJ13" i="21"/>
  <c r="BI13" i="21"/>
  <c r="BH13" i="21"/>
  <c r="BG13" i="21"/>
  <c r="BF13" i="21"/>
  <c r="BE13" i="21"/>
  <c r="BD13" i="21"/>
  <c r="BC13" i="21"/>
  <c r="BB13" i="21"/>
  <c r="BA13" i="21"/>
  <c r="AZ13" i="21"/>
  <c r="AY13" i="21"/>
  <c r="AX13" i="21"/>
  <c r="AW13" i="21"/>
  <c r="AV13" i="21"/>
  <c r="AU13" i="21"/>
  <c r="AT13" i="21"/>
  <c r="AS13" i="21"/>
  <c r="AR13" i="21"/>
  <c r="AQ13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FS12" i="21"/>
  <c r="FR12" i="21"/>
  <c r="FQ12" i="21"/>
  <c r="FP12" i="21"/>
  <c r="FO12" i="21"/>
  <c r="FN12" i="21"/>
  <c r="FM12" i="21"/>
  <c r="FL12" i="21"/>
  <c r="FK12" i="21"/>
  <c r="FJ12" i="21"/>
  <c r="FI12" i="21"/>
  <c r="FH12" i="21"/>
  <c r="FG12" i="21"/>
  <c r="FF12" i="21"/>
  <c r="FE12" i="21"/>
  <c r="FD12" i="21"/>
  <c r="FB12" i="21"/>
  <c r="EY12" i="21"/>
  <c r="EV12" i="21"/>
  <c r="ET12" i="21"/>
  <c r="ES12" i="21"/>
  <c r="ER12" i="21"/>
  <c r="EH12" i="21"/>
  <c r="EE12" i="21"/>
  <c r="ED12" i="21"/>
  <c r="EC12" i="21"/>
  <c r="EB12" i="21"/>
  <c r="EA12" i="21"/>
  <c r="DZ12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E12" i="21"/>
  <c r="DD12" i="21"/>
  <c r="DB12" i="21"/>
  <c r="DA12" i="21"/>
  <c r="CW12" i="21"/>
  <c r="CV12" i="21"/>
  <c r="CU12" i="21"/>
  <c r="CN12" i="21"/>
  <c r="CM12" i="21"/>
  <c r="CL12" i="21"/>
  <c r="CJ12" i="21"/>
  <c r="CI12" i="21"/>
  <c r="CH12" i="21"/>
  <c r="CG12" i="21"/>
  <c r="CF12" i="21"/>
  <c r="BU12" i="21"/>
  <c r="CC12" i="21" s="1"/>
  <c r="DK12" i="21" s="1"/>
  <c r="BT12" i="21"/>
  <c r="CD12" i="21" s="1"/>
  <c r="DL12" i="21" s="1"/>
  <c r="BS12" i="21"/>
  <c r="BR12" i="21"/>
  <c r="BQ12" i="21"/>
  <c r="BP12" i="21"/>
  <c r="BO12" i="21"/>
  <c r="BN12" i="21"/>
  <c r="BM12" i="21"/>
  <c r="BL12" i="21"/>
  <c r="BK12" i="21"/>
  <c r="BJ12" i="21"/>
  <c r="BI12" i="21"/>
  <c r="BH12" i="21"/>
  <c r="BG12" i="21"/>
  <c r="BF12" i="21"/>
  <c r="BE12" i="21"/>
  <c r="BD12" i="21"/>
  <c r="BC12" i="21"/>
  <c r="BB12" i="21"/>
  <c r="BA12" i="21"/>
  <c r="CA12" i="21" s="1"/>
  <c r="CE12" i="21" s="1"/>
  <c r="DM12" i="21" s="1"/>
  <c r="AZ12" i="21"/>
  <c r="AY12" i="21"/>
  <c r="AX12" i="21"/>
  <c r="AW12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FS11" i="21"/>
  <c r="FR11" i="21"/>
  <c r="FQ11" i="21"/>
  <c r="FP11" i="21"/>
  <c r="FO11" i="21"/>
  <c r="FN11" i="21"/>
  <c r="FM11" i="21"/>
  <c r="FL11" i="21"/>
  <c r="FK11" i="21"/>
  <c r="FJ11" i="21"/>
  <c r="FI11" i="21"/>
  <c r="FH11" i="21"/>
  <c r="FG11" i="21"/>
  <c r="FF11" i="21"/>
  <c r="FE11" i="21"/>
  <c r="FD11" i="21"/>
  <c r="FB11" i="21"/>
  <c r="EY11" i="21"/>
  <c r="EV11" i="21"/>
  <c r="ET11" i="21"/>
  <c r="ES11" i="21"/>
  <c r="ER11" i="21"/>
  <c r="EU11" i="21"/>
  <c r="EE11" i="21"/>
  <c r="ED11" i="21"/>
  <c r="EC11" i="21"/>
  <c r="EB11" i="21"/>
  <c r="EA11" i="21"/>
  <c r="DZ11" i="21"/>
  <c r="DY11" i="21"/>
  <c r="DX11" i="21"/>
  <c r="DW11" i="21"/>
  <c r="DV11" i="21"/>
  <c r="DU11" i="21"/>
  <c r="DT11" i="21"/>
  <c r="DS11" i="21"/>
  <c r="DR11" i="21"/>
  <c r="DQ11" i="21"/>
  <c r="DP11" i="21"/>
  <c r="DO11" i="21"/>
  <c r="DN11" i="21"/>
  <c r="DE11" i="21"/>
  <c r="DD11" i="21"/>
  <c r="DB11" i="21"/>
  <c r="DA11" i="21"/>
  <c r="CW11" i="21"/>
  <c r="CV11" i="21"/>
  <c r="CU11" i="21"/>
  <c r="CN11" i="21"/>
  <c r="CM11" i="21"/>
  <c r="CL11" i="21"/>
  <c r="CI11" i="21"/>
  <c r="CH11" i="21"/>
  <c r="CG11" i="21"/>
  <c r="CF11" i="21"/>
  <c r="CD11" i="21"/>
  <c r="DL11" i="21" s="1"/>
  <c r="BU11" i="21"/>
  <c r="BT11" i="21"/>
  <c r="BS11" i="21"/>
  <c r="CB11" i="21" s="1"/>
  <c r="DJ11" i="21" s="1"/>
  <c r="BR11" i="21"/>
  <c r="BQ11" i="21"/>
  <c r="BP11" i="21"/>
  <c r="BO11" i="21"/>
  <c r="BN11" i="21"/>
  <c r="BM11" i="21"/>
  <c r="BL11" i="21"/>
  <c r="BK11" i="21"/>
  <c r="BJ11" i="21"/>
  <c r="BI11" i="21"/>
  <c r="BH11" i="21"/>
  <c r="BG11" i="21"/>
  <c r="BF11" i="21"/>
  <c r="BE11" i="21"/>
  <c r="BD11" i="21"/>
  <c r="BC11" i="21"/>
  <c r="BB11" i="21"/>
  <c r="BA11" i="21"/>
  <c r="CA11" i="21" s="1"/>
  <c r="CE11" i="21" s="1"/>
  <c r="DM11" i="21" s="1"/>
  <c r="AZ11" i="21"/>
  <c r="AY11" i="21"/>
  <c r="AX11" i="21"/>
  <c r="AW11" i="21"/>
  <c r="AV11" i="21"/>
  <c r="AU11" i="21"/>
  <c r="AT11" i="21"/>
  <c r="AS11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FU10" i="21"/>
  <c r="FS10" i="21"/>
  <c r="FR10" i="21"/>
  <c r="FQ10" i="21"/>
  <c r="FP10" i="21"/>
  <c r="FO10" i="21"/>
  <c r="FN10" i="21"/>
  <c r="FM10" i="21"/>
  <c r="FL10" i="21"/>
  <c r="FK10" i="21"/>
  <c r="FJ10" i="21"/>
  <c r="FI10" i="21"/>
  <c r="FH10" i="21"/>
  <c r="FG10" i="21"/>
  <c r="FF10" i="21"/>
  <c r="FE10" i="21"/>
  <c r="FD10" i="21"/>
  <c r="FB10" i="21"/>
  <c r="EY10" i="21"/>
  <c r="EV10" i="21"/>
  <c r="ET10" i="21"/>
  <c r="ES10" i="21"/>
  <c r="ER10" i="21"/>
  <c r="EM10" i="21"/>
  <c r="FX10" i="21" s="1"/>
  <c r="EI10" i="21"/>
  <c r="EK10" i="21" s="1"/>
  <c r="EE10" i="21"/>
  <c r="ED10" i="21"/>
  <c r="EC10" i="21"/>
  <c r="EB10" i="21"/>
  <c r="EA10" i="21"/>
  <c r="DZ10" i="21"/>
  <c r="DY10" i="21"/>
  <c r="DX10" i="21"/>
  <c r="DW10" i="21"/>
  <c r="DV10" i="21"/>
  <c r="DU10" i="21"/>
  <c r="DT10" i="21"/>
  <c r="DS10" i="21"/>
  <c r="DR10" i="21"/>
  <c r="DQ10" i="21"/>
  <c r="DP10" i="21"/>
  <c r="DO10" i="21"/>
  <c r="DN10" i="21"/>
  <c r="DE10" i="21"/>
  <c r="DD10" i="21"/>
  <c r="DB10" i="21"/>
  <c r="DA10" i="21"/>
  <c r="CW10" i="21"/>
  <c r="CV10" i="21"/>
  <c r="CU10" i="21"/>
  <c r="CS10" i="21"/>
  <c r="CN10" i="21"/>
  <c r="CM10" i="21"/>
  <c r="CL10" i="21"/>
  <c r="CI10" i="21"/>
  <c r="CH10" i="21"/>
  <c r="CG10" i="21"/>
  <c r="CF10" i="21"/>
  <c r="CD10" i="21"/>
  <c r="DL10" i="21" s="1"/>
  <c r="CC10" i="21"/>
  <c r="DK10" i="21" s="1"/>
  <c r="CB10" i="21"/>
  <c r="DJ10" i="21" s="1"/>
  <c r="CA10" i="21"/>
  <c r="CE10" i="21" s="1"/>
  <c r="DM10" i="21" s="1"/>
  <c r="BW10" i="21"/>
  <c r="BZ10" i="21" s="1"/>
  <c r="BT10" i="21"/>
  <c r="BS10" i="21"/>
  <c r="BR10" i="21"/>
  <c r="BQ10" i="21"/>
  <c r="BP10" i="21"/>
  <c r="BO10" i="21"/>
  <c r="BN10" i="21"/>
  <c r="BM10" i="21"/>
  <c r="BU10" i="21" s="1"/>
  <c r="BL10" i="21"/>
  <c r="BK10" i="21"/>
  <c r="BJ10" i="21"/>
  <c r="BI10" i="21"/>
  <c r="BH10" i="21"/>
  <c r="BG10" i="21"/>
  <c r="BF10" i="21"/>
  <c r="BE10" i="21"/>
  <c r="BD10" i="21"/>
  <c r="BC10" i="21"/>
  <c r="BB10" i="21"/>
  <c r="BA10" i="21"/>
  <c r="AZ10" i="21"/>
  <c r="AY10" i="21"/>
  <c r="AX10" i="21"/>
  <c r="AW10" i="21"/>
  <c r="AV10" i="21"/>
  <c r="AU10" i="21"/>
  <c r="AT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FS9" i="21"/>
  <c r="FR9" i="21"/>
  <c r="FQ9" i="21"/>
  <c r="FP9" i="21"/>
  <c r="FO9" i="21"/>
  <c r="FN9" i="21"/>
  <c r="FM9" i="21"/>
  <c r="FL9" i="21"/>
  <c r="FK9" i="21"/>
  <c r="FJ9" i="21"/>
  <c r="FI9" i="21"/>
  <c r="FH9" i="21"/>
  <c r="FG9" i="21"/>
  <c r="FF9" i="21"/>
  <c r="FE9" i="21"/>
  <c r="FD9" i="21"/>
  <c r="FB9" i="21"/>
  <c r="EY9" i="21"/>
  <c r="EV9" i="21"/>
  <c r="ET9" i="21"/>
  <c r="ES9" i="21"/>
  <c r="ER9" i="21"/>
  <c r="EU9" i="21"/>
  <c r="EH9" i="21"/>
  <c r="FT9" i="21" s="1"/>
  <c r="EE9" i="21"/>
  <c r="ED9" i="21"/>
  <c r="EC9" i="21"/>
  <c r="EB9" i="21"/>
  <c r="EA9" i="21"/>
  <c r="DZ9" i="21"/>
  <c r="DY9" i="21"/>
  <c r="DX9" i="21"/>
  <c r="DW9" i="21"/>
  <c r="DV9" i="21"/>
  <c r="DU9" i="21"/>
  <c r="DT9" i="21"/>
  <c r="DS9" i="21"/>
  <c r="DR9" i="21"/>
  <c r="DQ9" i="21"/>
  <c r="DP9" i="21"/>
  <c r="DO9" i="21"/>
  <c r="DN9" i="21"/>
  <c r="DE9" i="21"/>
  <c r="DD9" i="21"/>
  <c r="DB9" i="21"/>
  <c r="DA9" i="21"/>
  <c r="CW9" i="21"/>
  <c r="CV9" i="21"/>
  <c r="CU9" i="21"/>
  <c r="CO9" i="21"/>
  <c r="CN9" i="21"/>
  <c r="CM9" i="21"/>
  <c r="CL9" i="21"/>
  <c r="CK9" i="21"/>
  <c r="CJ9" i="21"/>
  <c r="CZ9" i="21" s="1"/>
  <c r="CI9" i="21"/>
  <c r="CH9" i="21"/>
  <c r="CG9" i="21"/>
  <c r="CF9" i="21"/>
  <c r="CB9" i="21"/>
  <c r="DJ9" i="21" s="1"/>
  <c r="BT9" i="21"/>
  <c r="BS9" i="21"/>
  <c r="BR9" i="21"/>
  <c r="BQ9" i="21"/>
  <c r="BP9" i="21"/>
  <c r="BO9" i="21"/>
  <c r="BN9" i="21"/>
  <c r="CD9" i="21" s="1"/>
  <c r="DL9" i="21" s="1"/>
  <c r="BM9" i="21"/>
  <c r="BU9" i="21" s="1"/>
  <c r="BL9" i="21"/>
  <c r="BK9" i="21"/>
  <c r="BJ9" i="21"/>
  <c r="BI9" i="21"/>
  <c r="BH9" i="21"/>
  <c r="BG9" i="21"/>
  <c r="BF9" i="21"/>
  <c r="BE9" i="21"/>
  <c r="BD9" i="21"/>
  <c r="BC9" i="21"/>
  <c r="BB9" i="21"/>
  <c r="BA9" i="21"/>
  <c r="AZ9" i="21"/>
  <c r="AY9" i="21"/>
  <c r="AX9" i="21"/>
  <c r="AW9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FS8" i="21"/>
  <c r="FR8" i="21"/>
  <c r="FQ8" i="21"/>
  <c r="FP8" i="21"/>
  <c r="FO8" i="21"/>
  <c r="FN8" i="21"/>
  <c r="FM8" i="21"/>
  <c r="FL8" i="21"/>
  <c r="FK8" i="21"/>
  <c r="FJ8" i="21"/>
  <c r="FI8" i="21"/>
  <c r="FH8" i="21"/>
  <c r="FG8" i="21"/>
  <c r="FF8" i="21"/>
  <c r="FE8" i="21"/>
  <c r="FD8" i="21"/>
  <c r="FB8" i="21"/>
  <c r="EY8" i="21"/>
  <c r="EV8" i="21"/>
  <c r="ET8" i="21"/>
  <c r="ES8" i="21"/>
  <c r="ER8" i="21"/>
  <c r="EU8" i="21"/>
  <c r="EE8" i="21"/>
  <c r="ED8" i="21"/>
  <c r="EC8" i="21"/>
  <c r="EB8" i="21"/>
  <c r="EA8" i="21"/>
  <c r="DZ8" i="21"/>
  <c r="DY8" i="21"/>
  <c r="DX8" i="21"/>
  <c r="DW8" i="21"/>
  <c r="DV8" i="21"/>
  <c r="DU8" i="21"/>
  <c r="DT8" i="21"/>
  <c r="DS8" i="21"/>
  <c r="DR8" i="21"/>
  <c r="DQ8" i="21"/>
  <c r="DP8" i="21"/>
  <c r="DO8" i="21"/>
  <c r="DN8" i="21"/>
  <c r="DE8" i="21"/>
  <c r="DD8" i="21"/>
  <c r="DB8" i="21"/>
  <c r="DA8" i="21"/>
  <c r="CW8" i="21"/>
  <c r="CV8" i="21"/>
  <c r="CU8" i="21"/>
  <c r="CN8" i="21"/>
  <c r="CM8" i="21"/>
  <c r="CL8" i="21"/>
  <c r="CI8" i="21"/>
  <c r="CH8" i="21"/>
  <c r="CG8" i="21"/>
  <c r="CF8" i="21"/>
  <c r="CD8" i="21"/>
  <c r="DL8" i="21" s="1"/>
  <c r="CC8" i="21"/>
  <c r="DK8" i="21" s="1"/>
  <c r="CB8" i="21"/>
  <c r="DJ8" i="21" s="1"/>
  <c r="CA8" i="21"/>
  <c r="CE8" i="21" s="1"/>
  <c r="DM8" i="21" s="1"/>
  <c r="BU8" i="21"/>
  <c r="BT8" i="21"/>
  <c r="BS8" i="21"/>
  <c r="BR8" i="21"/>
  <c r="BQ8" i="21"/>
  <c r="BP8" i="21"/>
  <c r="BO8" i="21"/>
  <c r="BN8" i="21"/>
  <c r="BM8" i="21"/>
  <c r="BL8" i="21"/>
  <c r="EH8" i="21" s="1"/>
  <c r="BK8" i="21"/>
  <c r="BJ8" i="21"/>
  <c r="BI8" i="21"/>
  <c r="BH8" i="21"/>
  <c r="BG8" i="21"/>
  <c r="BF8" i="21"/>
  <c r="BE8" i="21"/>
  <c r="BD8" i="21"/>
  <c r="BC8" i="21"/>
  <c r="BB8" i="21"/>
  <c r="BA8" i="21"/>
  <c r="AZ8" i="21"/>
  <c r="AY8" i="21"/>
  <c r="AX8" i="21"/>
  <c r="AW8" i="21"/>
  <c r="AV8" i="21"/>
  <c r="AU8" i="21"/>
  <c r="AT8" i="21"/>
  <c r="AS8" i="21"/>
  <c r="AR8" i="21"/>
  <c r="AQ8" i="21"/>
  <c r="AP8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FS7" i="21"/>
  <c r="FR7" i="21"/>
  <c r="FQ7" i="21"/>
  <c r="FP7" i="21"/>
  <c r="FO7" i="21"/>
  <c r="FN7" i="21"/>
  <c r="FM7" i="21"/>
  <c r="FL7" i="21"/>
  <c r="FK7" i="21"/>
  <c r="FJ7" i="21"/>
  <c r="FI7" i="21"/>
  <c r="FH7" i="21"/>
  <c r="FG7" i="21"/>
  <c r="FF7" i="21"/>
  <c r="FE7" i="21"/>
  <c r="FD7" i="21"/>
  <c r="FB7" i="21"/>
  <c r="EY7" i="21"/>
  <c r="EV7" i="21"/>
  <c r="ET7" i="21"/>
  <c r="ES7" i="21"/>
  <c r="ER7" i="21"/>
  <c r="EU7" i="21"/>
  <c r="EE7" i="21"/>
  <c r="ED7" i="21"/>
  <c r="EC7" i="21"/>
  <c r="EB7" i="21"/>
  <c r="EA7" i="21"/>
  <c r="DZ7" i="21"/>
  <c r="DY7" i="21"/>
  <c r="DX7" i="21"/>
  <c r="DW7" i="21"/>
  <c r="DV7" i="21"/>
  <c r="DU7" i="21"/>
  <c r="DT7" i="21"/>
  <c r="DS7" i="21"/>
  <c r="DR7" i="21"/>
  <c r="DQ7" i="21"/>
  <c r="DP7" i="21"/>
  <c r="DO7" i="21"/>
  <c r="DN7" i="21"/>
  <c r="DE7" i="21"/>
  <c r="DD7" i="21"/>
  <c r="DB7" i="21"/>
  <c r="DA7" i="21"/>
  <c r="CW7" i="21"/>
  <c r="CV7" i="21"/>
  <c r="CU7" i="21"/>
  <c r="CN7" i="21"/>
  <c r="CM7" i="21"/>
  <c r="CL7" i="21"/>
  <c r="CK7" i="21"/>
  <c r="CI7" i="21"/>
  <c r="CH7" i="21"/>
  <c r="CG7" i="21"/>
  <c r="CF7" i="21"/>
  <c r="BT7" i="21"/>
  <c r="BS7" i="21"/>
  <c r="BR7" i="21"/>
  <c r="BQ7" i="21"/>
  <c r="BP7" i="21"/>
  <c r="BO7" i="21"/>
  <c r="BN7" i="21"/>
  <c r="BM7" i="21"/>
  <c r="BU7" i="21" s="1"/>
  <c r="BL7" i="21"/>
  <c r="CJ7" i="21" s="1"/>
  <c r="CZ7" i="21" s="1"/>
  <c r="BK7" i="21"/>
  <c r="BJ7" i="21"/>
  <c r="BI7" i="21"/>
  <c r="BH7" i="21"/>
  <c r="BG7" i="21"/>
  <c r="BF7" i="21"/>
  <c r="BE7" i="21"/>
  <c r="BD7" i="21"/>
  <c r="BC7" i="21"/>
  <c r="BB7" i="21"/>
  <c r="BA7" i="21"/>
  <c r="AZ7" i="21"/>
  <c r="AY7" i="21"/>
  <c r="AX7" i="21"/>
  <c r="AW7" i="21"/>
  <c r="AV7" i="21"/>
  <c r="AU7" i="21"/>
  <c r="AT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EH7" i="21" s="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FS6" i="21"/>
  <c r="FR6" i="21"/>
  <c r="FQ6" i="21"/>
  <c r="FP6" i="21"/>
  <c r="FO6" i="21"/>
  <c r="FN6" i="21"/>
  <c r="FM6" i="21"/>
  <c r="FL6" i="21"/>
  <c r="FK6" i="21"/>
  <c r="FJ6" i="21"/>
  <c r="FI6" i="21"/>
  <c r="FH6" i="21"/>
  <c r="FG6" i="21"/>
  <c r="FF6" i="21"/>
  <c r="FE6" i="21"/>
  <c r="FD6" i="21"/>
  <c r="FB6" i="21"/>
  <c r="EY6" i="21"/>
  <c r="EV6" i="21"/>
  <c r="ET6" i="21"/>
  <c r="ES6" i="21"/>
  <c r="ER6" i="21"/>
  <c r="EU6" i="21"/>
  <c r="EI6" i="21"/>
  <c r="FU6" i="21" s="1"/>
  <c r="EE6" i="21"/>
  <c r="ED6" i="21"/>
  <c r="EC6" i="21"/>
  <c r="EB6" i="21"/>
  <c r="EA6" i="21"/>
  <c r="DZ6" i="21"/>
  <c r="DY6" i="21"/>
  <c r="DX6" i="21"/>
  <c r="DW6" i="21"/>
  <c r="DV6" i="21"/>
  <c r="DU6" i="21"/>
  <c r="DT6" i="21"/>
  <c r="DS6" i="21"/>
  <c r="DR6" i="21"/>
  <c r="DQ6" i="21"/>
  <c r="DP6" i="21"/>
  <c r="DO6" i="21"/>
  <c r="DN6" i="21"/>
  <c r="DE6" i="21"/>
  <c r="DD6" i="21"/>
  <c r="DB6" i="21"/>
  <c r="DA6" i="21"/>
  <c r="CW6" i="21"/>
  <c r="CV6" i="21"/>
  <c r="CU6" i="21"/>
  <c r="CN6" i="21"/>
  <c r="CM6" i="21"/>
  <c r="CL6" i="21"/>
  <c r="CI6" i="21"/>
  <c r="CH6" i="21"/>
  <c r="CG6" i="21"/>
  <c r="CF6" i="21"/>
  <c r="BV6" i="21"/>
  <c r="BX6" i="21" s="1"/>
  <c r="BU6" i="21"/>
  <c r="BT6" i="21"/>
  <c r="CD6" i="21" s="1"/>
  <c r="DL6" i="21" s="1"/>
  <c r="BS6" i="21"/>
  <c r="BR6" i="21"/>
  <c r="BQ6" i="21"/>
  <c r="BP6" i="21"/>
  <c r="BO6" i="21"/>
  <c r="BN6" i="21"/>
  <c r="BM6" i="21"/>
  <c r="BL6" i="21"/>
  <c r="BK6" i="21"/>
  <c r="BJ6" i="21"/>
  <c r="BI6" i="21"/>
  <c r="BH6" i="21"/>
  <c r="BG6" i="21"/>
  <c r="BF6" i="21"/>
  <c r="BE6" i="21"/>
  <c r="BD6" i="21"/>
  <c r="BC6" i="21"/>
  <c r="BB6" i="21"/>
  <c r="BA6" i="21"/>
  <c r="AZ6" i="21"/>
  <c r="AY6" i="21"/>
  <c r="AX6" i="21"/>
  <c r="AW6" i="21"/>
  <c r="AV6" i="21"/>
  <c r="AU6" i="21"/>
  <c r="AT6" i="21"/>
  <c r="AS6" i="21"/>
  <c r="AR6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FU5" i="21"/>
  <c r="FS5" i="21"/>
  <c r="FR5" i="21"/>
  <c r="FQ5" i="21"/>
  <c r="FP5" i="21"/>
  <c r="FO5" i="21"/>
  <c r="FN5" i="21"/>
  <c r="FM5" i="21"/>
  <c r="FL5" i="21"/>
  <c r="FK5" i="21"/>
  <c r="FJ5" i="21"/>
  <c r="FI5" i="21"/>
  <c r="FH5" i="21"/>
  <c r="FG5" i="21"/>
  <c r="FF5" i="21"/>
  <c r="FE5" i="21"/>
  <c r="FD5" i="21"/>
  <c r="FB5" i="21"/>
  <c r="EY5" i="21"/>
  <c r="EV5" i="21"/>
  <c r="ET5" i="21"/>
  <c r="EU5" i="21" s="1"/>
  <c r="ES5" i="21"/>
  <c r="ER5" i="21"/>
  <c r="EE5" i="21"/>
  <c r="ED5" i="21"/>
  <c r="EC5" i="21"/>
  <c r="EB5" i="21"/>
  <c r="EA5" i="21"/>
  <c r="DZ5" i="21"/>
  <c r="DY5" i="21"/>
  <c r="DX5" i="21"/>
  <c r="DW5" i="21"/>
  <c r="DV5" i="21"/>
  <c r="DU5" i="21"/>
  <c r="DT5" i="21"/>
  <c r="DS5" i="21"/>
  <c r="DR5" i="21"/>
  <c r="DQ5" i="21"/>
  <c r="DP5" i="21"/>
  <c r="DO5" i="21"/>
  <c r="DN5" i="21"/>
  <c r="DE5" i="21"/>
  <c r="DD5" i="21"/>
  <c r="DC5" i="21"/>
  <c r="DB5" i="21"/>
  <c r="DA5" i="21"/>
  <c r="CW5" i="21"/>
  <c r="CV5" i="21"/>
  <c r="CU5" i="21"/>
  <c r="CS5" i="21"/>
  <c r="CT5" i="21" s="1"/>
  <c r="CN5" i="21"/>
  <c r="CM5" i="21"/>
  <c r="CL5" i="21"/>
  <c r="CJ5" i="21"/>
  <c r="CI5" i="21"/>
  <c r="CH5" i="21"/>
  <c r="CG5" i="21"/>
  <c r="CF5" i="21"/>
  <c r="BT5" i="21"/>
  <c r="CD5" i="21" s="1"/>
  <c r="DL5" i="21" s="1"/>
  <c r="BS5" i="21"/>
  <c r="CB5" i="21" s="1"/>
  <c r="DJ5" i="21" s="1"/>
  <c r="BR5" i="21"/>
  <c r="BQ5" i="21"/>
  <c r="BP5" i="21"/>
  <c r="BO5" i="21"/>
  <c r="BN5" i="21"/>
  <c r="CA5" i="21" s="1"/>
  <c r="CE5" i="21" s="1"/>
  <c r="DM5" i="21" s="1"/>
  <c r="BM5" i="21"/>
  <c r="BU5" i="21" s="1"/>
  <c r="BL5" i="21"/>
  <c r="BK5" i="21"/>
  <c r="BJ5" i="21"/>
  <c r="BI5" i="21"/>
  <c r="BH5" i="21"/>
  <c r="BG5" i="21"/>
  <c r="BF5" i="21"/>
  <c r="BE5" i="21"/>
  <c r="BD5" i="21"/>
  <c r="BC5" i="21"/>
  <c r="BB5" i="21"/>
  <c r="BA5" i="21"/>
  <c r="EI5" i="21" s="1"/>
  <c r="EK5" i="21" s="1"/>
  <c r="EM5" i="21" s="1"/>
  <c r="FX5" i="21" s="1"/>
  <c r="AZ5" i="21"/>
  <c r="AY5" i="21"/>
  <c r="AX5" i="21"/>
  <c r="AW5" i="21"/>
  <c r="AV5" i="21"/>
  <c r="AU5" i="21"/>
  <c r="AT5" i="21"/>
  <c r="AS5" i="21"/>
  <c r="AR5" i="21"/>
  <c r="AQ5" i="21"/>
  <c r="AP5" i="21"/>
  <c r="BW5" i="21" s="1"/>
  <c r="BZ5" i="21" s="1"/>
  <c r="AO5" i="21"/>
  <c r="AN5" i="21"/>
  <c r="AM5" i="21"/>
  <c r="AL5" i="21"/>
  <c r="AK5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EH5" i="21" s="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FS4" i="21"/>
  <c r="FR4" i="21"/>
  <c r="FQ4" i="21"/>
  <c r="FP4" i="21"/>
  <c r="FO4" i="21"/>
  <c r="FN4" i="21"/>
  <c r="FM4" i="21"/>
  <c r="FL4" i="21"/>
  <c r="FK4" i="21"/>
  <c r="FJ4" i="21"/>
  <c r="FI4" i="21"/>
  <c r="FH4" i="21"/>
  <c r="FG4" i="21"/>
  <c r="FF4" i="21"/>
  <c r="FE4" i="21"/>
  <c r="FD4" i="21"/>
  <c r="FB4" i="21"/>
  <c r="EY4" i="21"/>
  <c r="EV4" i="21"/>
  <c r="ET4" i="21"/>
  <c r="ES4" i="21"/>
  <c r="ER4" i="21"/>
  <c r="EE4" i="21"/>
  <c r="ED4" i="21"/>
  <c r="EC4" i="21"/>
  <c r="EB4" i="21"/>
  <c r="EA4" i="21"/>
  <c r="DZ4" i="21"/>
  <c r="DY4" i="21"/>
  <c r="DX4" i="21"/>
  <c r="DW4" i="21"/>
  <c r="DV4" i="21"/>
  <c r="DU4" i="21"/>
  <c r="DT4" i="21"/>
  <c r="DS4" i="21"/>
  <c r="DR4" i="21"/>
  <c r="DQ4" i="21"/>
  <c r="DP4" i="21"/>
  <c r="DO4" i="21"/>
  <c r="DN4" i="21"/>
  <c r="DE4" i="21"/>
  <c r="DD4" i="21"/>
  <c r="DB4" i="21"/>
  <c r="DA4" i="21"/>
  <c r="CW4" i="21"/>
  <c r="CV4" i="21"/>
  <c r="CU4" i="21"/>
  <c r="CN4" i="21"/>
  <c r="CM4" i="21"/>
  <c r="CL4" i="21"/>
  <c r="CI4" i="21"/>
  <c r="CH4" i="21"/>
  <c r="CG4" i="21"/>
  <c r="CF4" i="21"/>
  <c r="CE4" i="21"/>
  <c r="DM4" i="21" s="1"/>
  <c r="CC4" i="21"/>
  <c r="DK4" i="21" s="1"/>
  <c r="CB4" i="21"/>
  <c r="DJ4" i="21" s="1"/>
  <c r="CA4" i="21"/>
  <c r="BT4" i="21"/>
  <c r="CD4" i="21" s="1"/>
  <c r="DL4" i="21" s="1"/>
  <c r="BS4" i="21"/>
  <c r="BR4" i="21"/>
  <c r="BQ4" i="21"/>
  <c r="BP4" i="21"/>
  <c r="BO4" i="21"/>
  <c r="BN4" i="21"/>
  <c r="BM4" i="21"/>
  <c r="BU4" i="21" s="1"/>
  <c r="BL4" i="21"/>
  <c r="BK4" i="21"/>
  <c r="BJ4" i="21"/>
  <c r="BI4" i="21"/>
  <c r="BH4" i="21"/>
  <c r="BG4" i="21"/>
  <c r="BF4" i="21"/>
  <c r="BE4" i="21"/>
  <c r="BD4" i="21"/>
  <c r="BC4" i="21"/>
  <c r="BB4" i="21"/>
  <c r="BA4" i="21"/>
  <c r="CS4" i="21" s="1"/>
  <c r="AZ4" i="21"/>
  <c r="AY4" i="21"/>
  <c r="AX4" i="21"/>
  <c r="AW4" i="21"/>
  <c r="AV4" i="21"/>
  <c r="AU4" i="21"/>
  <c r="AT4" i="21"/>
  <c r="AS4" i="21"/>
  <c r="AR4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FS3" i="21"/>
  <c r="FR3" i="21"/>
  <c r="FQ3" i="21"/>
  <c r="FP3" i="21"/>
  <c r="FO3" i="21"/>
  <c r="FN3" i="21"/>
  <c r="FM3" i="21"/>
  <c r="FL3" i="21"/>
  <c r="FK3" i="21"/>
  <c r="FJ3" i="21"/>
  <c r="FI3" i="21"/>
  <c r="FH3" i="21"/>
  <c r="FG3" i="21"/>
  <c r="FF3" i="21"/>
  <c r="FE3" i="21"/>
  <c r="FD3" i="21"/>
  <c r="FB3" i="21"/>
  <c r="EY3" i="21"/>
  <c r="EV3" i="21"/>
  <c r="ET3" i="21"/>
  <c r="ES3" i="21"/>
  <c r="ER3" i="21"/>
  <c r="EE3" i="21"/>
  <c r="ED3" i="21"/>
  <c r="EC3" i="21"/>
  <c r="EB3" i="21"/>
  <c r="EA3" i="21"/>
  <c r="DZ3" i="21"/>
  <c r="DY3" i="21"/>
  <c r="DX3" i="21"/>
  <c r="DW3" i="21"/>
  <c r="DV3" i="21"/>
  <c r="DU3" i="21"/>
  <c r="DT3" i="21"/>
  <c r="DS3" i="21"/>
  <c r="DR3" i="21"/>
  <c r="DQ3" i="21"/>
  <c r="DP3" i="21"/>
  <c r="DO3" i="21"/>
  <c r="DN3" i="21"/>
  <c r="DE3" i="21"/>
  <c r="DD3" i="21"/>
  <c r="DB3" i="21"/>
  <c r="DA3" i="21"/>
  <c r="CW3" i="21"/>
  <c r="CV3" i="21"/>
  <c r="CU3" i="21"/>
  <c r="CS3" i="21"/>
  <c r="CN3" i="21"/>
  <c r="CM3" i="21"/>
  <c r="CL3" i="21"/>
  <c r="CI3" i="21"/>
  <c r="CH3" i="21"/>
  <c r="CG3" i="21"/>
  <c r="CF3" i="21"/>
  <c r="CE3" i="21"/>
  <c r="DM3" i="21" s="1"/>
  <c r="CD3" i="21"/>
  <c r="DL3" i="21" s="1"/>
  <c r="CB3" i="21"/>
  <c r="DJ3" i="21" s="1"/>
  <c r="CA3" i="21"/>
  <c r="BU3" i="21"/>
  <c r="BT3" i="21"/>
  <c r="BS3" i="21"/>
  <c r="BR3" i="21"/>
  <c r="BQ3" i="21"/>
  <c r="BP3" i="21"/>
  <c r="BO3" i="21"/>
  <c r="BN3" i="21"/>
  <c r="BW3" i="21" s="1"/>
  <c r="BZ3" i="21" s="1"/>
  <c r="BM3" i="21"/>
  <c r="BL3" i="21"/>
  <c r="EH3" i="21" s="1"/>
  <c r="BK3" i="21"/>
  <c r="BJ3" i="21"/>
  <c r="BI3" i="21"/>
  <c r="BH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3" i="21"/>
  <c r="FS2" i="21"/>
  <c r="FR2" i="21"/>
  <c r="FQ2" i="21"/>
  <c r="FP2" i="21"/>
  <c r="FO2" i="21"/>
  <c r="FN2" i="21"/>
  <c r="FM2" i="21"/>
  <c r="FL2" i="21"/>
  <c r="FK2" i="21"/>
  <c r="FJ2" i="21"/>
  <c r="FI2" i="21"/>
  <c r="FH2" i="21"/>
  <c r="FG2" i="21"/>
  <c r="FF2" i="21"/>
  <c r="FE2" i="21"/>
  <c r="FD2" i="21"/>
  <c r="FB2" i="21"/>
  <c r="EY2" i="21"/>
  <c r="EV2" i="21"/>
  <c r="ET2" i="21"/>
  <c r="ES2" i="21"/>
  <c r="ER2" i="21"/>
  <c r="EE2" i="21"/>
  <c r="ED2" i="21"/>
  <c r="EC2" i="21"/>
  <c r="EB2" i="21"/>
  <c r="EA2" i="21"/>
  <c r="DZ2" i="21"/>
  <c r="DY2" i="21"/>
  <c r="DX2" i="21"/>
  <c r="DW2" i="21"/>
  <c r="DV2" i="21"/>
  <c r="DU2" i="21"/>
  <c r="DT2" i="21"/>
  <c r="DS2" i="21"/>
  <c r="DR2" i="21"/>
  <c r="DQ2" i="21"/>
  <c r="DP2" i="21"/>
  <c r="DO2" i="21"/>
  <c r="DN2" i="21"/>
  <c r="DE2" i="21"/>
  <c r="DD2" i="21"/>
  <c r="DB2" i="21"/>
  <c r="DA2" i="21"/>
  <c r="CW2" i="21"/>
  <c r="CV2" i="21"/>
  <c r="CU2" i="21"/>
  <c r="CN2" i="21"/>
  <c r="CM2" i="21"/>
  <c r="CL2" i="21"/>
  <c r="CI2" i="21"/>
  <c r="CH2" i="21"/>
  <c r="CG2" i="21"/>
  <c r="CF2" i="21"/>
  <c r="CB2" i="21"/>
  <c r="DJ2" i="21" s="1"/>
  <c r="BT2" i="21"/>
  <c r="BS2" i="21"/>
  <c r="BR2" i="21"/>
  <c r="BQ2" i="21"/>
  <c r="BP2" i="21"/>
  <c r="BO2" i="21"/>
  <c r="BN2" i="21"/>
  <c r="BM2" i="21"/>
  <c r="BU2" i="21" s="1"/>
  <c r="BL2" i="21"/>
  <c r="BK2" i="21"/>
  <c r="BJ2" i="21"/>
  <c r="BI2" i="21"/>
  <c r="BH2" i="21"/>
  <c r="BG2" i="21"/>
  <c r="BF2" i="21"/>
  <c r="BE2" i="21"/>
  <c r="BD2" i="21"/>
  <c r="BC2" i="21"/>
  <c r="BB2" i="21"/>
  <c r="BA2" i="21"/>
  <c r="AZ2" i="21"/>
  <c r="AY2" i="21"/>
  <c r="AX2" i="21"/>
  <c r="AW2" i="21"/>
  <c r="AV2" i="21"/>
  <c r="AU2" i="21"/>
  <c r="AT2" i="21"/>
  <c r="AS2" i="21"/>
  <c r="AR2" i="21"/>
  <c r="AQ2" i="21"/>
  <c r="AP2" i="21"/>
  <c r="AO2" i="21"/>
  <c r="AN2" i="21"/>
  <c r="AM2" i="21"/>
  <c r="AL2" i="21"/>
  <c r="AK2" i="21"/>
  <c r="AJ2" i="21"/>
  <c r="AI2" i="21"/>
  <c r="AH2" i="21"/>
  <c r="AG2" i="21"/>
  <c r="AF2" i="21"/>
  <c r="AE2" i="21"/>
  <c r="AD2" i="21"/>
  <c r="AC2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H2" i="21"/>
  <c r="G2" i="21"/>
  <c r="F2" i="21"/>
  <c r="E2" i="21"/>
  <c r="D2" i="21"/>
  <c r="C2" i="21"/>
  <c r="B2" i="21"/>
  <c r="A2" i="21"/>
  <c r="FS1" i="21"/>
  <c r="FR1" i="21"/>
  <c r="FQ1" i="21"/>
  <c r="FP1" i="21"/>
  <c r="FO1" i="21"/>
  <c r="FN1" i="21"/>
  <c r="FM1" i="21"/>
  <c r="FL1" i="21"/>
  <c r="FK1" i="21"/>
  <c r="FJ1" i="21"/>
  <c r="FI1" i="21"/>
  <c r="FH1" i="21"/>
  <c r="FG1" i="21"/>
  <c r="FF1" i="21"/>
  <c r="FE1" i="21"/>
  <c r="FD1" i="21"/>
  <c r="FA1" i="21"/>
  <c r="EZ1" i="21"/>
  <c r="EY1" i="21"/>
  <c r="EX1" i="21"/>
  <c r="EW1" i="21"/>
  <c r="EV1" i="21"/>
  <c r="EU1" i="21"/>
  <c r="ET1" i="21"/>
  <c r="ES1" i="21"/>
  <c r="ER1" i="21"/>
  <c r="EQ1" i="21"/>
  <c r="EP1" i="21"/>
  <c r="EE1" i="21"/>
  <c r="ED1" i="21"/>
  <c r="EC1" i="21"/>
  <c r="EB1" i="21"/>
  <c r="EA1" i="21"/>
  <c r="DZ1" i="21"/>
  <c r="DY1" i="21"/>
  <c r="DX1" i="21"/>
  <c r="DW1" i="21"/>
  <c r="DV1" i="21"/>
  <c r="DU1" i="21"/>
  <c r="DT1" i="21"/>
  <c r="DS1" i="21"/>
  <c r="DR1" i="21"/>
  <c r="DQ1" i="21"/>
  <c r="DP1" i="21"/>
  <c r="DO1" i="21"/>
  <c r="DN1" i="21"/>
  <c r="BR1" i="21"/>
  <c r="BQ1" i="21"/>
  <c r="BP1" i="21"/>
  <c r="BO1" i="21"/>
  <c r="BN1" i="21"/>
  <c r="BM1" i="21"/>
  <c r="BL1" i="21"/>
  <c r="BK1" i="21"/>
  <c r="BJ1" i="21"/>
  <c r="BI1" i="21"/>
  <c r="BH1" i="21"/>
  <c r="BG1" i="21"/>
  <c r="BF1" i="21"/>
  <c r="BE1" i="21"/>
  <c r="BD1" i="21"/>
  <c r="BC1" i="21"/>
  <c r="BB1" i="21"/>
  <c r="BA1" i="21"/>
  <c r="AZ1" i="21"/>
  <c r="AY1" i="21"/>
  <c r="AX1" i="21"/>
  <c r="AW1" i="21"/>
  <c r="AV1" i="21"/>
  <c r="AU1" i="21"/>
  <c r="AT1" i="21"/>
  <c r="AS1" i="21"/>
  <c r="AR1" i="21"/>
  <c r="AQ1" i="21"/>
  <c r="AP1" i="21"/>
  <c r="AO1" i="21"/>
  <c r="AN1" i="21"/>
  <c r="AM1" i="21"/>
  <c r="AL1" i="21"/>
  <c r="AK1" i="21"/>
  <c r="AJ1" i="21"/>
  <c r="AI1" i="21"/>
  <c r="AH1" i="21"/>
  <c r="AG1" i="21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A1" i="14"/>
  <c r="FS2" i="20"/>
  <c r="EQ3" i="20"/>
  <c r="EQ4" i="20"/>
  <c r="EQ5" i="20"/>
  <c r="EQ6" i="20"/>
  <c r="EQ7" i="20"/>
  <c r="EQ8" i="20"/>
  <c r="EQ9" i="20"/>
  <c r="EQ10" i="20"/>
  <c r="EQ11" i="20"/>
  <c r="EQ12" i="20"/>
  <c r="EQ13" i="20"/>
  <c r="EQ14" i="20"/>
  <c r="EQ15" i="20"/>
  <c r="EQ16" i="20"/>
  <c r="EQ17" i="20"/>
  <c r="EQ18" i="20"/>
  <c r="EQ19" i="20"/>
  <c r="EQ20" i="20"/>
  <c r="EQ21" i="20"/>
  <c r="EQ22" i="20"/>
  <c r="EQ23" i="20"/>
  <c r="EQ24" i="20"/>
  <c r="EQ25" i="20"/>
  <c r="EQ26" i="20"/>
  <c r="EQ27" i="20"/>
  <c r="EQ28" i="20"/>
  <c r="EQ29" i="20"/>
  <c r="EQ30" i="20"/>
  <c r="EQ31" i="20"/>
  <c r="EQ32" i="20"/>
  <c r="EQ33" i="20"/>
  <c r="EQ34" i="20"/>
  <c r="EQ35" i="20"/>
  <c r="EQ36" i="20"/>
  <c r="EQ37" i="20"/>
  <c r="EQ38" i="20"/>
  <c r="EQ39" i="20"/>
  <c r="EQ40" i="20"/>
  <c r="EQ41" i="20"/>
  <c r="EQ42" i="20"/>
  <c r="EQ43" i="20"/>
  <c r="EQ44" i="20"/>
  <c r="EQ45" i="20"/>
  <c r="EQ46" i="20"/>
  <c r="EQ47" i="20"/>
  <c r="EQ48" i="20"/>
  <c r="EQ49" i="20"/>
  <c r="EQ50" i="20"/>
  <c r="EQ51" i="20"/>
  <c r="EQ52" i="20"/>
  <c r="EQ53" i="20"/>
  <c r="EQ54" i="20"/>
  <c r="EQ55" i="20"/>
  <c r="EQ56" i="20"/>
  <c r="EQ57" i="20"/>
  <c r="EQ58" i="20"/>
  <c r="EQ59" i="20"/>
  <c r="EQ60" i="20"/>
  <c r="EQ61" i="20"/>
  <c r="EQ62" i="20"/>
  <c r="EQ63" i="20"/>
  <c r="EQ64" i="20"/>
  <c r="EQ65" i="20"/>
  <c r="EQ66" i="20"/>
  <c r="EQ67" i="20"/>
  <c r="EQ68" i="20"/>
  <c r="EQ69" i="20"/>
  <c r="EQ70" i="20"/>
  <c r="EQ71" i="20"/>
  <c r="EQ72" i="20"/>
  <c r="EQ73" i="20"/>
  <c r="EQ74" i="20"/>
  <c r="EQ75" i="20"/>
  <c r="EQ76" i="20"/>
  <c r="EQ77" i="20"/>
  <c r="EQ78" i="20"/>
  <c r="EQ79" i="20"/>
  <c r="EQ80" i="20"/>
  <c r="EQ81" i="20"/>
  <c r="EQ82" i="20"/>
  <c r="EQ83" i="20"/>
  <c r="EQ84" i="20"/>
  <c r="EQ85" i="20"/>
  <c r="EQ86" i="20"/>
  <c r="EQ87" i="20"/>
  <c r="EQ88" i="20"/>
  <c r="EQ89" i="20"/>
  <c r="EQ90" i="20"/>
  <c r="EQ91" i="20"/>
  <c r="EQ92" i="20"/>
  <c r="EQ93" i="20"/>
  <c r="EQ94" i="20"/>
  <c r="EQ95" i="20"/>
  <c r="EQ96" i="20"/>
  <c r="EQ97" i="20"/>
  <c r="EQ98" i="20"/>
  <c r="EQ99" i="20"/>
  <c r="EQ100" i="20"/>
  <c r="EQ101" i="20"/>
  <c r="EQ2" i="20"/>
  <c r="EP3" i="20"/>
  <c r="EP4" i="20"/>
  <c r="EP5" i="20"/>
  <c r="EP6" i="20"/>
  <c r="EP7" i="20"/>
  <c r="EP8" i="20"/>
  <c r="EP9" i="20"/>
  <c r="EP10" i="20"/>
  <c r="EP11" i="20"/>
  <c r="EP12" i="20"/>
  <c r="EP13" i="20"/>
  <c r="EP14" i="20"/>
  <c r="EP15" i="20"/>
  <c r="EP16" i="20"/>
  <c r="EP17" i="20"/>
  <c r="EP18" i="20"/>
  <c r="EP19" i="20"/>
  <c r="EP20" i="20"/>
  <c r="EP21" i="20"/>
  <c r="EP22" i="20"/>
  <c r="EP23" i="20"/>
  <c r="EP24" i="20"/>
  <c r="EP25" i="20"/>
  <c r="EP26" i="20"/>
  <c r="EP27" i="20"/>
  <c r="EP28" i="20"/>
  <c r="EP29" i="20"/>
  <c r="EP30" i="20"/>
  <c r="EP31" i="20"/>
  <c r="EP32" i="20"/>
  <c r="EP33" i="20"/>
  <c r="EP34" i="20"/>
  <c r="EP35" i="20"/>
  <c r="EP36" i="20"/>
  <c r="EP37" i="20"/>
  <c r="EP38" i="20"/>
  <c r="EP39" i="20"/>
  <c r="EP40" i="20"/>
  <c r="EP41" i="20"/>
  <c r="EP42" i="20"/>
  <c r="EP43" i="20"/>
  <c r="EP44" i="20"/>
  <c r="EP45" i="20"/>
  <c r="EP46" i="20"/>
  <c r="EP47" i="20"/>
  <c r="EP48" i="20"/>
  <c r="EP49" i="20"/>
  <c r="EP50" i="20"/>
  <c r="EP51" i="20"/>
  <c r="EP52" i="20"/>
  <c r="EP53" i="20"/>
  <c r="EP54" i="20"/>
  <c r="EP55" i="20"/>
  <c r="EP56" i="20"/>
  <c r="EP57" i="20"/>
  <c r="EP58" i="20"/>
  <c r="EP59" i="20"/>
  <c r="EP60" i="20"/>
  <c r="EP61" i="20"/>
  <c r="EP62" i="20"/>
  <c r="EP63" i="20"/>
  <c r="EP64" i="20"/>
  <c r="EP65" i="20"/>
  <c r="EP66" i="20"/>
  <c r="EP67" i="20"/>
  <c r="EP68" i="20"/>
  <c r="EP69" i="20"/>
  <c r="EP70" i="20"/>
  <c r="EP71" i="20"/>
  <c r="EP72" i="20"/>
  <c r="EP73" i="20"/>
  <c r="EP74" i="20"/>
  <c r="EP75" i="20"/>
  <c r="EP76" i="20"/>
  <c r="EP77" i="20"/>
  <c r="EP78" i="20"/>
  <c r="EP79" i="20"/>
  <c r="EP80" i="20"/>
  <c r="EP81" i="20"/>
  <c r="EP82" i="20"/>
  <c r="EP83" i="20"/>
  <c r="EP84" i="20"/>
  <c r="EP85" i="20"/>
  <c r="EP86" i="20"/>
  <c r="EP87" i="20"/>
  <c r="EP88" i="20"/>
  <c r="EP89" i="20"/>
  <c r="EP90" i="20"/>
  <c r="EP91" i="20"/>
  <c r="EP92" i="20"/>
  <c r="EP93" i="20"/>
  <c r="EP94" i="20"/>
  <c r="EP95" i="20"/>
  <c r="EP96" i="20"/>
  <c r="EP97" i="20"/>
  <c r="EP98" i="20"/>
  <c r="EP99" i="20"/>
  <c r="EP100" i="20"/>
  <c r="EP101" i="20"/>
  <c r="EP2" i="20"/>
  <c r="N29" i="15"/>
  <c r="N28" i="15"/>
  <c r="C36" i="3"/>
  <c r="H18" i="3"/>
  <c r="N24" i="15"/>
  <c r="N25" i="15" s="1"/>
  <c r="N26" i="15"/>
  <c r="DF7" i="20" s="1"/>
  <c r="DH3" i="20"/>
  <c r="DI3" i="20"/>
  <c r="DH4" i="20"/>
  <c r="DI4" i="20"/>
  <c r="DF5" i="20"/>
  <c r="DG5" i="20"/>
  <c r="DH5" i="20"/>
  <c r="DI5" i="20"/>
  <c r="DF6" i="20"/>
  <c r="DG6" i="20"/>
  <c r="DH6" i="20"/>
  <c r="DI6" i="20"/>
  <c r="DH7" i="20"/>
  <c r="DI7" i="20"/>
  <c r="DH8" i="20"/>
  <c r="DI8" i="20"/>
  <c r="DH9" i="20"/>
  <c r="DI9" i="20"/>
  <c r="DG10" i="20"/>
  <c r="DH10" i="20"/>
  <c r="DI10" i="20"/>
  <c r="DF11" i="20"/>
  <c r="DG11" i="20"/>
  <c r="DH11" i="20"/>
  <c r="DI11" i="20"/>
  <c r="DH12" i="20"/>
  <c r="DI12" i="20"/>
  <c r="DF13" i="20"/>
  <c r="DG13" i="20"/>
  <c r="DH13" i="20"/>
  <c r="DI13" i="20"/>
  <c r="DF14" i="20"/>
  <c r="DH14" i="20"/>
  <c r="DI14" i="20"/>
  <c r="DH15" i="20"/>
  <c r="DI15" i="20"/>
  <c r="DF16" i="20"/>
  <c r="DG16" i="20"/>
  <c r="DH16" i="20"/>
  <c r="DI16" i="20"/>
  <c r="DF17" i="20"/>
  <c r="DH17" i="20"/>
  <c r="DI17" i="20"/>
  <c r="DF18" i="20"/>
  <c r="DG18" i="20"/>
  <c r="DH18" i="20"/>
  <c r="DI18" i="20"/>
  <c r="DG19" i="20"/>
  <c r="DH19" i="20"/>
  <c r="DI19" i="20"/>
  <c r="DH20" i="20"/>
  <c r="DI20" i="20"/>
  <c r="DF21" i="20"/>
  <c r="DG21" i="20"/>
  <c r="DH21" i="20"/>
  <c r="DI21" i="20"/>
  <c r="DF22" i="20"/>
  <c r="DH22" i="20"/>
  <c r="DI22" i="20"/>
  <c r="DF23" i="20"/>
  <c r="DG23" i="20"/>
  <c r="DH23" i="20"/>
  <c r="DI23" i="20"/>
  <c r="DH24" i="20"/>
  <c r="DI24" i="20"/>
  <c r="DF25" i="20"/>
  <c r="DH25" i="20"/>
  <c r="DI25" i="20"/>
  <c r="DG26" i="20"/>
  <c r="DH26" i="20"/>
  <c r="DI26" i="20"/>
  <c r="DF27" i="20"/>
  <c r="DG27" i="20"/>
  <c r="DH27" i="20"/>
  <c r="DI27" i="20"/>
  <c r="DF28" i="20"/>
  <c r="DG28" i="20"/>
  <c r="DH28" i="20"/>
  <c r="DI28" i="20"/>
  <c r="DH29" i="20"/>
  <c r="DI29" i="20"/>
  <c r="DF30" i="20"/>
  <c r="DH30" i="20"/>
  <c r="DI30" i="20"/>
  <c r="DG31" i="20"/>
  <c r="DH31" i="20"/>
  <c r="DI31" i="20"/>
  <c r="DF32" i="20"/>
  <c r="DG32" i="20"/>
  <c r="DH32" i="20"/>
  <c r="DI32" i="20"/>
  <c r="DF33" i="20"/>
  <c r="DG33" i="20"/>
  <c r="DH33" i="20"/>
  <c r="DI33" i="20"/>
  <c r="DH34" i="20"/>
  <c r="DI34" i="20"/>
  <c r="DF35" i="20"/>
  <c r="DH35" i="20"/>
  <c r="DI35" i="20"/>
  <c r="DG36" i="20"/>
  <c r="DH36" i="20"/>
  <c r="DI36" i="20"/>
  <c r="DF37" i="20"/>
  <c r="DG37" i="20"/>
  <c r="DH37" i="20"/>
  <c r="DI37" i="20"/>
  <c r="DF38" i="20"/>
  <c r="DG38" i="20"/>
  <c r="DH38" i="20"/>
  <c r="DI38" i="20"/>
  <c r="DH39" i="20"/>
  <c r="DI39" i="20"/>
  <c r="DF40" i="20"/>
  <c r="DH40" i="20"/>
  <c r="DI40" i="20"/>
  <c r="DG41" i="20"/>
  <c r="DH41" i="20"/>
  <c r="DI41" i="20"/>
  <c r="DF42" i="20"/>
  <c r="DG42" i="20"/>
  <c r="DH42" i="20"/>
  <c r="DI42" i="20"/>
  <c r="DF43" i="20"/>
  <c r="DG43" i="20"/>
  <c r="DH43" i="20"/>
  <c r="DI43" i="20"/>
  <c r="DH44" i="20"/>
  <c r="DI44" i="20"/>
  <c r="DF45" i="20"/>
  <c r="DH45" i="20"/>
  <c r="DI45" i="20"/>
  <c r="DG46" i="20"/>
  <c r="DH46" i="20"/>
  <c r="DI46" i="20"/>
  <c r="DF47" i="20"/>
  <c r="DG47" i="20"/>
  <c r="DH47" i="20"/>
  <c r="DI47" i="20"/>
  <c r="DF48" i="20"/>
  <c r="DG48" i="20"/>
  <c r="DH48" i="20"/>
  <c r="DI48" i="20"/>
  <c r="DH49" i="20"/>
  <c r="DI49" i="20"/>
  <c r="DF50" i="20"/>
  <c r="DH50" i="20"/>
  <c r="DI50" i="20"/>
  <c r="DG51" i="20"/>
  <c r="DH51" i="20"/>
  <c r="DI51" i="20"/>
  <c r="DF52" i="20"/>
  <c r="DG52" i="20"/>
  <c r="DH52" i="20"/>
  <c r="DI52" i="20"/>
  <c r="DF53" i="20"/>
  <c r="DG53" i="20"/>
  <c r="DH53" i="20"/>
  <c r="DI53" i="20"/>
  <c r="DH54" i="20"/>
  <c r="DI54" i="20"/>
  <c r="DF55" i="20"/>
  <c r="DH55" i="20"/>
  <c r="DI55" i="20"/>
  <c r="DG56" i="20"/>
  <c r="DH56" i="20"/>
  <c r="DI56" i="20"/>
  <c r="DF57" i="20"/>
  <c r="DG57" i="20"/>
  <c r="DH57" i="20"/>
  <c r="DI57" i="20"/>
  <c r="DF58" i="20"/>
  <c r="DG58" i="20"/>
  <c r="DH58" i="20"/>
  <c r="DI58" i="20"/>
  <c r="DH59" i="20"/>
  <c r="DI59" i="20"/>
  <c r="DF60" i="20"/>
  <c r="DH60" i="20"/>
  <c r="DI60" i="20"/>
  <c r="DG61" i="20"/>
  <c r="DH61" i="20"/>
  <c r="DI61" i="20"/>
  <c r="DF62" i="20"/>
  <c r="DG62" i="20"/>
  <c r="DH62" i="20"/>
  <c r="DI62" i="20"/>
  <c r="DF63" i="20"/>
  <c r="DG63" i="20"/>
  <c r="DH63" i="20"/>
  <c r="DI63" i="20"/>
  <c r="DH64" i="20"/>
  <c r="DI64" i="20"/>
  <c r="DF65" i="20"/>
  <c r="DH65" i="20"/>
  <c r="DI65" i="20"/>
  <c r="DG66" i="20"/>
  <c r="DH66" i="20"/>
  <c r="DI66" i="20"/>
  <c r="DF67" i="20"/>
  <c r="DG67" i="20"/>
  <c r="DH67" i="20"/>
  <c r="DI67" i="20"/>
  <c r="DF68" i="20"/>
  <c r="DG68" i="20"/>
  <c r="DH68" i="20"/>
  <c r="DI68" i="20"/>
  <c r="DH69" i="20"/>
  <c r="DI69" i="20"/>
  <c r="DF70" i="20"/>
  <c r="DH70" i="20"/>
  <c r="DI70" i="20"/>
  <c r="DG71" i="20"/>
  <c r="DH71" i="20"/>
  <c r="DI71" i="20"/>
  <c r="DF72" i="20"/>
  <c r="DG72" i="20"/>
  <c r="DH72" i="20"/>
  <c r="DI72" i="20"/>
  <c r="DF73" i="20"/>
  <c r="DG73" i="20"/>
  <c r="DH73" i="20"/>
  <c r="DI73" i="20"/>
  <c r="DH74" i="20"/>
  <c r="DI74" i="20"/>
  <c r="DF75" i="20"/>
  <c r="DH75" i="20"/>
  <c r="DI75" i="20"/>
  <c r="DG76" i="20"/>
  <c r="DH76" i="20"/>
  <c r="DI76" i="20"/>
  <c r="DF77" i="20"/>
  <c r="DG77" i="20"/>
  <c r="DH77" i="20"/>
  <c r="DI77" i="20"/>
  <c r="DF78" i="20"/>
  <c r="DG78" i="20"/>
  <c r="DH78" i="20"/>
  <c r="DI78" i="20"/>
  <c r="DH79" i="20"/>
  <c r="DI79" i="20"/>
  <c r="DF80" i="20"/>
  <c r="DH80" i="20"/>
  <c r="DI80" i="20"/>
  <c r="DG81" i="20"/>
  <c r="DH81" i="20"/>
  <c r="DI81" i="20"/>
  <c r="DF82" i="20"/>
  <c r="DG82" i="20"/>
  <c r="DH82" i="20"/>
  <c r="DI82" i="20"/>
  <c r="DF83" i="20"/>
  <c r="DG83" i="20"/>
  <c r="DH83" i="20"/>
  <c r="DI83" i="20"/>
  <c r="DH84" i="20"/>
  <c r="DI84" i="20"/>
  <c r="DF85" i="20"/>
  <c r="DH85" i="20"/>
  <c r="DI85" i="20"/>
  <c r="DG86" i="20"/>
  <c r="DH86" i="20"/>
  <c r="DI86" i="20"/>
  <c r="DF87" i="20"/>
  <c r="DG87" i="20"/>
  <c r="DH87" i="20"/>
  <c r="DI87" i="20"/>
  <c r="DF88" i="20"/>
  <c r="DG88" i="20"/>
  <c r="DH88" i="20"/>
  <c r="DI88" i="20"/>
  <c r="DH89" i="20"/>
  <c r="DI89" i="20"/>
  <c r="DF90" i="20"/>
  <c r="DH90" i="20"/>
  <c r="DI90" i="20"/>
  <c r="DG91" i="20"/>
  <c r="DH91" i="20"/>
  <c r="DI91" i="20"/>
  <c r="DF92" i="20"/>
  <c r="DG92" i="20"/>
  <c r="DH92" i="20"/>
  <c r="DI92" i="20"/>
  <c r="DF93" i="20"/>
  <c r="DG93" i="20"/>
  <c r="DH93" i="20"/>
  <c r="DI93" i="20"/>
  <c r="DH94" i="20"/>
  <c r="DI94" i="20"/>
  <c r="DF95" i="20"/>
  <c r="DH95" i="20"/>
  <c r="DI95" i="20"/>
  <c r="DG96" i="20"/>
  <c r="DH96" i="20"/>
  <c r="DI96" i="20"/>
  <c r="DF97" i="20"/>
  <c r="DG97" i="20"/>
  <c r="DH97" i="20"/>
  <c r="DI97" i="20"/>
  <c r="DF98" i="20"/>
  <c r="DG98" i="20"/>
  <c r="DH98" i="20"/>
  <c r="DI98" i="20"/>
  <c r="DH99" i="20"/>
  <c r="DI99" i="20"/>
  <c r="DF100" i="20"/>
  <c r="DH100" i="20"/>
  <c r="DI100" i="20"/>
  <c r="DG101" i="20"/>
  <c r="DH101" i="20"/>
  <c r="DI101" i="20"/>
  <c r="DG2" i="20"/>
  <c r="DF2" i="20"/>
  <c r="DI2" i="20"/>
  <c r="DH2" i="20"/>
  <c r="FS101" i="20"/>
  <c r="FR101" i="20"/>
  <c r="FQ101" i="20"/>
  <c r="FP101" i="20"/>
  <c r="FO101" i="20"/>
  <c r="FN101" i="20"/>
  <c r="FM101" i="20"/>
  <c r="FL101" i="20"/>
  <c r="FK101" i="20"/>
  <c r="FJ101" i="20"/>
  <c r="FI101" i="20"/>
  <c r="FH101" i="20"/>
  <c r="FG101" i="20"/>
  <c r="FF101" i="20"/>
  <c r="FE101" i="20"/>
  <c r="FD101" i="20"/>
  <c r="FB101" i="20"/>
  <c r="EY101" i="20"/>
  <c r="EV101" i="20"/>
  <c r="ES101" i="20"/>
  <c r="ER101" i="20"/>
  <c r="EE101" i="20"/>
  <c r="ED101" i="20"/>
  <c r="EC101" i="20"/>
  <c r="EB101" i="20"/>
  <c r="EA101" i="20"/>
  <c r="DZ101" i="20"/>
  <c r="DY101" i="20"/>
  <c r="DX101" i="20"/>
  <c r="DW101" i="20"/>
  <c r="DV101" i="20"/>
  <c r="DU101" i="20"/>
  <c r="DT101" i="20"/>
  <c r="DS101" i="20"/>
  <c r="DR101" i="20"/>
  <c r="DQ101" i="20"/>
  <c r="DP101" i="20"/>
  <c r="DO101" i="20"/>
  <c r="DN101" i="20"/>
  <c r="DE101" i="20"/>
  <c r="DD101" i="20"/>
  <c r="DB101" i="20"/>
  <c r="DA101" i="20"/>
  <c r="CW101" i="20"/>
  <c r="CV101" i="20"/>
  <c r="CU101" i="20"/>
  <c r="CN101" i="20"/>
  <c r="CM101" i="20"/>
  <c r="CL101" i="20"/>
  <c r="CI101" i="20"/>
  <c r="CG101" i="20"/>
  <c r="CF101" i="20"/>
  <c r="BT101" i="20"/>
  <c r="BS101" i="20"/>
  <c r="BR101" i="20"/>
  <c r="BQ101" i="20"/>
  <c r="BP101" i="20"/>
  <c r="BO101" i="20"/>
  <c r="BN101" i="20"/>
  <c r="BM101" i="20"/>
  <c r="BU101" i="20" s="1"/>
  <c r="BL101" i="20"/>
  <c r="BK101" i="20"/>
  <c r="BJ101" i="20"/>
  <c r="BI101" i="20"/>
  <c r="BH101" i="20"/>
  <c r="BG101" i="20"/>
  <c r="BF101" i="20"/>
  <c r="BE101" i="20"/>
  <c r="BD101" i="20"/>
  <c r="BC101" i="20"/>
  <c r="BB101" i="20"/>
  <c r="BA101" i="20"/>
  <c r="AZ101" i="20"/>
  <c r="AY101" i="20"/>
  <c r="AX101" i="20"/>
  <c r="AW101" i="20"/>
  <c r="AV101" i="20"/>
  <c r="AU101" i="20"/>
  <c r="AT101" i="20"/>
  <c r="AS101" i="20"/>
  <c r="AR101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A101" i="20"/>
  <c r="FS100" i="20"/>
  <c r="FR100" i="20"/>
  <c r="FQ100" i="20"/>
  <c r="FP100" i="20"/>
  <c r="FO100" i="20"/>
  <c r="FN100" i="20"/>
  <c r="FM100" i="20"/>
  <c r="FL100" i="20"/>
  <c r="FK100" i="20"/>
  <c r="FJ100" i="20"/>
  <c r="FI100" i="20"/>
  <c r="FH100" i="20"/>
  <c r="FG100" i="20"/>
  <c r="FF100" i="20"/>
  <c r="FE100" i="20"/>
  <c r="FD100" i="20"/>
  <c r="FB100" i="20"/>
  <c r="EY100" i="20"/>
  <c r="EV100" i="20"/>
  <c r="ES100" i="20"/>
  <c r="ER100" i="20"/>
  <c r="EE100" i="20"/>
  <c r="ED100" i="20"/>
  <c r="EC100" i="20"/>
  <c r="EB100" i="20"/>
  <c r="EA100" i="20"/>
  <c r="DZ100" i="20"/>
  <c r="DY100" i="20"/>
  <c r="DX100" i="20"/>
  <c r="DW100" i="20"/>
  <c r="DV100" i="20"/>
  <c r="DU100" i="20"/>
  <c r="DT100" i="20"/>
  <c r="DS100" i="20"/>
  <c r="DR100" i="20"/>
  <c r="DQ100" i="20"/>
  <c r="DP100" i="20"/>
  <c r="DO100" i="20"/>
  <c r="DN100" i="20"/>
  <c r="DE100" i="20"/>
  <c r="DD100" i="20"/>
  <c r="DB100" i="20"/>
  <c r="DA100" i="20"/>
  <c r="CW100" i="20"/>
  <c r="CV100" i="20"/>
  <c r="CU100" i="20"/>
  <c r="CN100" i="20"/>
  <c r="CM100" i="20"/>
  <c r="CL100" i="20"/>
  <c r="CJ100" i="20"/>
  <c r="CZ100" i="20" s="1"/>
  <c r="CI100" i="20"/>
  <c r="CG100" i="20"/>
  <c r="CF100" i="20"/>
  <c r="BT100" i="20"/>
  <c r="CD100" i="20" s="1"/>
  <c r="DL100" i="20" s="1"/>
  <c r="BS100" i="20"/>
  <c r="CB100" i="20" s="1"/>
  <c r="DJ100" i="20" s="1"/>
  <c r="BR100" i="20"/>
  <c r="BQ100" i="20"/>
  <c r="BP100" i="20"/>
  <c r="BO100" i="20"/>
  <c r="BN100" i="20"/>
  <c r="BM100" i="20"/>
  <c r="BU100" i="20" s="1"/>
  <c r="BL100" i="20"/>
  <c r="BK100" i="20"/>
  <c r="BJ100" i="20"/>
  <c r="BI100" i="20"/>
  <c r="BH100" i="20"/>
  <c r="BG100" i="20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A100" i="20"/>
  <c r="FS99" i="20"/>
  <c r="FR99" i="20"/>
  <c r="FQ99" i="20"/>
  <c r="FP99" i="20"/>
  <c r="FO99" i="20"/>
  <c r="FN99" i="20"/>
  <c r="FM99" i="20"/>
  <c r="FL99" i="20"/>
  <c r="FK99" i="20"/>
  <c r="FJ99" i="20"/>
  <c r="FI99" i="20"/>
  <c r="FH99" i="20"/>
  <c r="FG99" i="20"/>
  <c r="FF99" i="20"/>
  <c r="FE99" i="20"/>
  <c r="FD99" i="20"/>
  <c r="FB99" i="20"/>
  <c r="EY99" i="20"/>
  <c r="EV99" i="20"/>
  <c r="ES99" i="20"/>
  <c r="ER99" i="20"/>
  <c r="EE99" i="20"/>
  <c r="ED99" i="20"/>
  <c r="EC99" i="20"/>
  <c r="EB99" i="20"/>
  <c r="EA99" i="20"/>
  <c r="DZ99" i="20"/>
  <c r="DY99" i="20"/>
  <c r="DX99" i="20"/>
  <c r="DW99" i="20"/>
  <c r="DV99" i="20"/>
  <c r="DU99" i="20"/>
  <c r="DT99" i="20"/>
  <c r="DS99" i="20"/>
  <c r="DR99" i="20"/>
  <c r="DQ99" i="20"/>
  <c r="DP99" i="20"/>
  <c r="DO99" i="20"/>
  <c r="DN99" i="20"/>
  <c r="DE99" i="20"/>
  <c r="DD99" i="20"/>
  <c r="DB99" i="20"/>
  <c r="DA99" i="20"/>
  <c r="CW99" i="20"/>
  <c r="CV99" i="20"/>
  <c r="CU99" i="20"/>
  <c r="CN99" i="20"/>
  <c r="CM99" i="20"/>
  <c r="CL99" i="20"/>
  <c r="CK99" i="20"/>
  <c r="CO99" i="20" s="1"/>
  <c r="CJ99" i="20"/>
  <c r="CI99" i="20"/>
  <c r="CG99" i="20"/>
  <c r="CF99" i="20"/>
  <c r="BT99" i="20"/>
  <c r="BS99" i="20"/>
  <c r="BR99" i="20"/>
  <c r="BQ99" i="20"/>
  <c r="BP99" i="20"/>
  <c r="BO99" i="20"/>
  <c r="BN99" i="20"/>
  <c r="BM99" i="20"/>
  <c r="BU99" i="20" s="1"/>
  <c r="BL99" i="20"/>
  <c r="EH99" i="20" s="1"/>
  <c r="BK99" i="20"/>
  <c r="BJ99" i="20"/>
  <c r="BI99" i="20"/>
  <c r="BH99" i="20"/>
  <c r="BG99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A99" i="20"/>
  <c r="FT98" i="20"/>
  <c r="FS98" i="20"/>
  <c r="FR98" i="20"/>
  <c r="FQ98" i="20"/>
  <c r="FP98" i="20"/>
  <c r="FO98" i="20"/>
  <c r="FN98" i="20"/>
  <c r="FM98" i="20"/>
  <c r="FL98" i="20"/>
  <c r="FK98" i="20"/>
  <c r="FJ98" i="20"/>
  <c r="FI98" i="20"/>
  <c r="FH98" i="20"/>
  <c r="FG98" i="20"/>
  <c r="FF98" i="20"/>
  <c r="FE98" i="20"/>
  <c r="FD98" i="20"/>
  <c r="FB98" i="20"/>
  <c r="EY98" i="20"/>
  <c r="EV98" i="20"/>
  <c r="ES98" i="20"/>
  <c r="ER98" i="20"/>
  <c r="EH98" i="20"/>
  <c r="EJ98" i="20" s="1"/>
  <c r="EL98" i="20" s="1"/>
  <c r="EE98" i="20"/>
  <c r="ED98" i="20"/>
  <c r="EC98" i="20"/>
  <c r="EB98" i="20"/>
  <c r="EA98" i="20"/>
  <c r="DZ98" i="20"/>
  <c r="DY98" i="20"/>
  <c r="DX98" i="20"/>
  <c r="DW98" i="20"/>
  <c r="DV98" i="20"/>
  <c r="DU98" i="20"/>
  <c r="DT98" i="20"/>
  <c r="DS98" i="20"/>
  <c r="DR98" i="20"/>
  <c r="DQ98" i="20"/>
  <c r="DP98" i="20"/>
  <c r="DO98" i="20"/>
  <c r="DN98" i="20"/>
  <c r="DL98" i="20"/>
  <c r="DE98" i="20"/>
  <c r="DD98" i="20"/>
  <c r="DB98" i="20"/>
  <c r="DA98" i="20"/>
  <c r="CW98" i="20"/>
  <c r="CV98" i="20"/>
  <c r="CU98" i="20"/>
  <c r="CS98" i="20"/>
  <c r="CR98" i="20"/>
  <c r="CN98" i="20"/>
  <c r="CO98" i="20" s="1"/>
  <c r="CP98" i="20" s="1"/>
  <c r="CY98" i="20" s="1"/>
  <c r="CM98" i="20"/>
  <c r="CL98" i="20"/>
  <c r="CK98" i="20"/>
  <c r="CJ98" i="20"/>
  <c r="CZ98" i="20" s="1"/>
  <c r="CI98" i="20"/>
  <c r="CG98" i="20"/>
  <c r="CF98" i="20"/>
  <c r="BU98" i="20"/>
  <c r="BT98" i="20"/>
  <c r="CD98" i="20" s="1"/>
  <c r="BS98" i="20"/>
  <c r="BR98" i="20"/>
  <c r="BQ98" i="20"/>
  <c r="BP98" i="20"/>
  <c r="BO98" i="20"/>
  <c r="BN98" i="20"/>
  <c r="BM98" i="20"/>
  <c r="BL98" i="20"/>
  <c r="BK98" i="20"/>
  <c r="BJ98" i="20"/>
  <c r="BI98" i="20"/>
  <c r="BH98" i="20"/>
  <c r="BG98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A98" i="20"/>
  <c r="FX97" i="20"/>
  <c r="FU97" i="20"/>
  <c r="FS97" i="20"/>
  <c r="FR97" i="20"/>
  <c r="FQ97" i="20"/>
  <c r="FP97" i="20"/>
  <c r="FO97" i="20"/>
  <c r="FN97" i="20"/>
  <c r="FM97" i="20"/>
  <c r="FL97" i="20"/>
  <c r="FK97" i="20"/>
  <c r="FJ97" i="20"/>
  <c r="FI97" i="20"/>
  <c r="FH97" i="20"/>
  <c r="FG97" i="20"/>
  <c r="FF97" i="20"/>
  <c r="FE97" i="20"/>
  <c r="FD97" i="20"/>
  <c r="FB97" i="20"/>
  <c r="EY97" i="20"/>
  <c r="EV97" i="20"/>
  <c r="ES97" i="20"/>
  <c r="ER97" i="20"/>
  <c r="EI97" i="20"/>
  <c r="EK97" i="20" s="1"/>
  <c r="EM97" i="20" s="1"/>
  <c r="EE97" i="20"/>
  <c r="ED97" i="20"/>
  <c r="EC97" i="20"/>
  <c r="EB97" i="20"/>
  <c r="EA97" i="20"/>
  <c r="DZ97" i="20"/>
  <c r="DY97" i="20"/>
  <c r="DX97" i="20"/>
  <c r="DW97" i="20"/>
  <c r="DV97" i="20"/>
  <c r="DU97" i="20"/>
  <c r="DT97" i="20"/>
  <c r="DS97" i="20"/>
  <c r="DR97" i="20"/>
  <c r="DQ97" i="20"/>
  <c r="DP97" i="20"/>
  <c r="DO97" i="20"/>
  <c r="DN97" i="20"/>
  <c r="DE97" i="20"/>
  <c r="DD97" i="20"/>
  <c r="DB97" i="20"/>
  <c r="DA97" i="20"/>
  <c r="CW97" i="20"/>
  <c r="CV97" i="20"/>
  <c r="CU97" i="20"/>
  <c r="CN97" i="20"/>
  <c r="CM97" i="20"/>
  <c r="CL97" i="20"/>
  <c r="CI97" i="20"/>
  <c r="CG97" i="20"/>
  <c r="CF97" i="20"/>
  <c r="BU97" i="20"/>
  <c r="CC97" i="20" s="1"/>
  <c r="DK97" i="20" s="1"/>
  <c r="BT97" i="20"/>
  <c r="CD97" i="20" s="1"/>
  <c r="DL97" i="20" s="1"/>
  <c r="BS97" i="20"/>
  <c r="BR97" i="20"/>
  <c r="BQ97" i="20"/>
  <c r="BP97" i="20"/>
  <c r="BO97" i="20"/>
  <c r="BN97" i="20"/>
  <c r="BM97" i="20"/>
  <c r="BL97" i="20"/>
  <c r="BK97" i="20"/>
  <c r="BJ97" i="20"/>
  <c r="BI97" i="20"/>
  <c r="BH97" i="20"/>
  <c r="BG97" i="20"/>
  <c r="BF97" i="20"/>
  <c r="BE97" i="20"/>
  <c r="BD97" i="20"/>
  <c r="BC97" i="20"/>
  <c r="BB97" i="20"/>
  <c r="BA97" i="20"/>
  <c r="CA97" i="20" s="1"/>
  <c r="CE97" i="20" s="1"/>
  <c r="DM97" i="20" s="1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A97" i="20"/>
  <c r="FS96" i="20"/>
  <c r="FR96" i="20"/>
  <c r="FQ96" i="20"/>
  <c r="FP96" i="20"/>
  <c r="FO96" i="20"/>
  <c r="FN96" i="20"/>
  <c r="FM96" i="20"/>
  <c r="FL96" i="20"/>
  <c r="FK96" i="20"/>
  <c r="FJ96" i="20"/>
  <c r="FI96" i="20"/>
  <c r="FH96" i="20"/>
  <c r="FG96" i="20"/>
  <c r="FF96" i="20"/>
  <c r="FE96" i="20"/>
  <c r="FD96" i="20"/>
  <c r="FB96" i="20"/>
  <c r="EY96" i="20"/>
  <c r="EV96" i="20"/>
  <c r="ES96" i="20"/>
  <c r="ER96" i="20"/>
  <c r="EE96" i="20"/>
  <c r="ED96" i="20"/>
  <c r="EC96" i="20"/>
  <c r="EB96" i="20"/>
  <c r="EA96" i="20"/>
  <c r="DZ96" i="20"/>
  <c r="DY96" i="20"/>
  <c r="DX96" i="20"/>
  <c r="DW96" i="20"/>
  <c r="DV96" i="20"/>
  <c r="DU96" i="20"/>
  <c r="DT96" i="20"/>
  <c r="DS96" i="20"/>
  <c r="DR96" i="20"/>
  <c r="DQ96" i="20"/>
  <c r="DP96" i="20"/>
  <c r="DO96" i="20"/>
  <c r="DN96" i="20"/>
  <c r="DE96" i="20"/>
  <c r="DD96" i="20"/>
  <c r="DB96" i="20"/>
  <c r="DA96" i="20"/>
  <c r="CW96" i="20"/>
  <c r="CV96" i="20"/>
  <c r="CU96" i="20"/>
  <c r="CN96" i="20"/>
  <c r="CM96" i="20"/>
  <c r="CL96" i="20"/>
  <c r="CI96" i="20"/>
  <c r="CG96" i="20"/>
  <c r="CF96" i="20"/>
  <c r="CD96" i="20"/>
  <c r="DL96" i="20" s="1"/>
  <c r="CC96" i="20"/>
  <c r="DK96" i="20" s="1"/>
  <c r="CA96" i="20"/>
  <c r="CE96" i="20" s="1"/>
  <c r="DM96" i="20" s="1"/>
  <c r="BT96" i="20"/>
  <c r="BS96" i="20"/>
  <c r="BR96" i="20"/>
  <c r="BQ96" i="20"/>
  <c r="BP96" i="20"/>
  <c r="BO96" i="20"/>
  <c r="BN96" i="20"/>
  <c r="BM96" i="20"/>
  <c r="BU96" i="20" s="1"/>
  <c r="BL96" i="20"/>
  <c r="BK96" i="20"/>
  <c r="BJ96" i="20"/>
  <c r="BI96" i="20"/>
  <c r="BH96" i="20"/>
  <c r="BG96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A96" i="20"/>
  <c r="FS95" i="20"/>
  <c r="FR95" i="20"/>
  <c r="FQ95" i="20"/>
  <c r="FP95" i="20"/>
  <c r="FO95" i="20"/>
  <c r="FN95" i="20"/>
  <c r="FM95" i="20"/>
  <c r="FL95" i="20"/>
  <c r="FK95" i="20"/>
  <c r="FJ95" i="20"/>
  <c r="FI95" i="20"/>
  <c r="FH95" i="20"/>
  <c r="FG95" i="20"/>
  <c r="FF95" i="20"/>
  <c r="FE95" i="20"/>
  <c r="FD95" i="20"/>
  <c r="FB95" i="20"/>
  <c r="EY95" i="20"/>
  <c r="EV95" i="20"/>
  <c r="ES95" i="20"/>
  <c r="ER95" i="20"/>
  <c r="EI95" i="20"/>
  <c r="EH95" i="20"/>
  <c r="EE95" i="20"/>
  <c r="ED95" i="20"/>
  <c r="EC95" i="20"/>
  <c r="EB95" i="20"/>
  <c r="EA95" i="20"/>
  <c r="DZ95" i="20"/>
  <c r="DY95" i="20"/>
  <c r="DX95" i="20"/>
  <c r="DW95" i="20"/>
  <c r="DV95" i="20"/>
  <c r="DU95" i="20"/>
  <c r="DT95" i="20"/>
  <c r="DS95" i="20"/>
  <c r="DR95" i="20"/>
  <c r="DQ95" i="20"/>
  <c r="DP95" i="20"/>
  <c r="DO95" i="20"/>
  <c r="DN95" i="20"/>
  <c r="DL95" i="20"/>
  <c r="DE95" i="20"/>
  <c r="DD95" i="20"/>
  <c r="DB95" i="20"/>
  <c r="DA95" i="20"/>
  <c r="CW95" i="20"/>
  <c r="CV95" i="20"/>
  <c r="CU95" i="20"/>
  <c r="CS95" i="20"/>
  <c r="CN95" i="20"/>
  <c r="CM95" i="20"/>
  <c r="CL95" i="20"/>
  <c r="CJ95" i="20"/>
  <c r="CI95" i="20"/>
  <c r="CG95" i="20"/>
  <c r="CF95" i="20"/>
  <c r="CD95" i="20"/>
  <c r="BT95" i="20"/>
  <c r="BS95" i="20"/>
  <c r="BR95" i="20"/>
  <c r="BQ95" i="20"/>
  <c r="BP95" i="20"/>
  <c r="BO95" i="20"/>
  <c r="BN95" i="20"/>
  <c r="BM95" i="20"/>
  <c r="BU95" i="20" s="1"/>
  <c r="BL95" i="20"/>
  <c r="CB95" i="20" s="1"/>
  <c r="DJ95" i="20" s="1"/>
  <c r="BK95" i="20"/>
  <c r="BJ95" i="20"/>
  <c r="BI95" i="20"/>
  <c r="BH95" i="20"/>
  <c r="BG95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A95" i="20"/>
  <c r="FS94" i="20"/>
  <c r="FR94" i="20"/>
  <c r="FQ94" i="20"/>
  <c r="FP94" i="20"/>
  <c r="FO94" i="20"/>
  <c r="FN94" i="20"/>
  <c r="FM94" i="20"/>
  <c r="FL94" i="20"/>
  <c r="FK94" i="20"/>
  <c r="FJ94" i="20"/>
  <c r="FI94" i="20"/>
  <c r="FH94" i="20"/>
  <c r="FG94" i="20"/>
  <c r="FF94" i="20"/>
  <c r="FE94" i="20"/>
  <c r="FD94" i="20"/>
  <c r="FB94" i="20"/>
  <c r="EY94" i="20"/>
  <c r="EV94" i="20"/>
  <c r="ES94" i="20"/>
  <c r="ER94" i="20"/>
  <c r="EE94" i="20"/>
  <c r="ED94" i="20"/>
  <c r="EC94" i="20"/>
  <c r="EB94" i="20"/>
  <c r="EA94" i="20"/>
  <c r="DZ94" i="20"/>
  <c r="DY94" i="20"/>
  <c r="DX94" i="20"/>
  <c r="DW94" i="20"/>
  <c r="DV94" i="20"/>
  <c r="DU94" i="20"/>
  <c r="DT94" i="20"/>
  <c r="DS94" i="20"/>
  <c r="DR94" i="20"/>
  <c r="DQ94" i="20"/>
  <c r="DP94" i="20"/>
  <c r="DO94" i="20"/>
  <c r="DN94" i="20"/>
  <c r="DE94" i="20"/>
  <c r="DD94" i="20"/>
  <c r="DB94" i="20"/>
  <c r="DA94" i="20"/>
  <c r="CW94" i="20"/>
  <c r="CV94" i="20"/>
  <c r="CU94" i="20"/>
  <c r="CN94" i="20"/>
  <c r="CM94" i="20"/>
  <c r="CL94" i="20"/>
  <c r="CJ94" i="20"/>
  <c r="CI94" i="20"/>
  <c r="CG94" i="20"/>
  <c r="CF94" i="20"/>
  <c r="CD94" i="20"/>
  <c r="DL94" i="20" s="1"/>
  <c r="BT94" i="20"/>
  <c r="BS94" i="20"/>
  <c r="BR94" i="20"/>
  <c r="BQ94" i="20"/>
  <c r="BP94" i="20"/>
  <c r="BO94" i="20"/>
  <c r="BN94" i="20"/>
  <c r="BM94" i="20"/>
  <c r="BU94" i="20" s="1"/>
  <c r="BL94" i="20"/>
  <c r="BK94" i="20"/>
  <c r="BJ94" i="20"/>
  <c r="BI94" i="20"/>
  <c r="BH94" i="20"/>
  <c r="BG94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A94" i="20"/>
  <c r="FS93" i="20"/>
  <c r="FR93" i="20"/>
  <c r="FQ93" i="20"/>
  <c r="FP93" i="20"/>
  <c r="FO93" i="20"/>
  <c r="FN93" i="20"/>
  <c r="FM93" i="20"/>
  <c r="FL93" i="20"/>
  <c r="FK93" i="20"/>
  <c r="FJ93" i="20"/>
  <c r="FI93" i="20"/>
  <c r="FH93" i="20"/>
  <c r="FG93" i="20"/>
  <c r="FF93" i="20"/>
  <c r="FE93" i="20"/>
  <c r="FD93" i="20"/>
  <c r="FB93" i="20"/>
  <c r="EY93" i="20"/>
  <c r="EV93" i="20"/>
  <c r="ES93" i="20"/>
  <c r="ER93" i="20"/>
  <c r="EE93" i="20"/>
  <c r="ED93" i="20"/>
  <c r="EC93" i="20"/>
  <c r="EB93" i="20"/>
  <c r="EA93" i="20"/>
  <c r="DZ93" i="20"/>
  <c r="DY93" i="20"/>
  <c r="DX93" i="20"/>
  <c r="DW93" i="20"/>
  <c r="DV93" i="20"/>
  <c r="DU93" i="20"/>
  <c r="DT93" i="20"/>
  <c r="DS93" i="20"/>
  <c r="DR93" i="20"/>
  <c r="DQ93" i="20"/>
  <c r="DP93" i="20"/>
  <c r="DO93" i="20"/>
  <c r="DN93" i="20"/>
  <c r="DE93" i="20"/>
  <c r="DD93" i="20"/>
  <c r="DB93" i="20"/>
  <c r="DA93" i="20"/>
  <c r="CW93" i="20"/>
  <c r="CV93" i="20"/>
  <c r="CU93" i="20"/>
  <c r="CN93" i="20"/>
  <c r="CM93" i="20"/>
  <c r="CL93" i="20"/>
  <c r="CJ93" i="20"/>
  <c r="CI93" i="20"/>
  <c r="CG93" i="20"/>
  <c r="CF93" i="20"/>
  <c r="CC93" i="20"/>
  <c r="DK93" i="20" s="1"/>
  <c r="BT93" i="20"/>
  <c r="BS93" i="20"/>
  <c r="BR93" i="20"/>
  <c r="BQ93" i="20"/>
  <c r="BP93" i="20"/>
  <c r="BO93" i="20"/>
  <c r="BN93" i="20"/>
  <c r="BM93" i="20"/>
  <c r="BU93" i="20" s="1"/>
  <c r="BL93" i="20"/>
  <c r="BK93" i="20"/>
  <c r="BJ93" i="20"/>
  <c r="BI93" i="20"/>
  <c r="BH93" i="20"/>
  <c r="BG93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A93" i="20"/>
  <c r="FS92" i="20"/>
  <c r="FR92" i="20"/>
  <c r="FQ92" i="20"/>
  <c r="FP92" i="20"/>
  <c r="FO92" i="20"/>
  <c r="FN92" i="20"/>
  <c r="FM92" i="20"/>
  <c r="FL92" i="20"/>
  <c r="FK92" i="20"/>
  <c r="FJ92" i="20"/>
  <c r="FI92" i="20"/>
  <c r="FH92" i="20"/>
  <c r="FG92" i="20"/>
  <c r="FF92" i="20"/>
  <c r="FE92" i="20"/>
  <c r="FD92" i="20"/>
  <c r="FB92" i="20"/>
  <c r="EY92" i="20"/>
  <c r="EV92" i="20"/>
  <c r="ES92" i="20"/>
  <c r="ER92" i="20"/>
  <c r="EI92" i="20"/>
  <c r="EE92" i="20"/>
  <c r="ED92" i="20"/>
  <c r="EC92" i="20"/>
  <c r="EB92" i="20"/>
  <c r="EA92" i="20"/>
  <c r="DZ92" i="20"/>
  <c r="DY92" i="20"/>
  <c r="DX92" i="20"/>
  <c r="DW92" i="20"/>
  <c r="DV92" i="20"/>
  <c r="DU92" i="20"/>
  <c r="DT92" i="20"/>
  <c r="DS92" i="20"/>
  <c r="DR92" i="20"/>
  <c r="DQ92" i="20"/>
  <c r="DP92" i="20"/>
  <c r="DO92" i="20"/>
  <c r="DN92" i="20"/>
  <c r="DE92" i="20"/>
  <c r="DD92" i="20"/>
  <c r="DB92" i="20"/>
  <c r="DA92" i="20"/>
  <c r="CW92" i="20"/>
  <c r="CV92" i="20"/>
  <c r="CU92" i="20"/>
  <c r="CS92" i="20"/>
  <c r="CN92" i="20"/>
  <c r="CM92" i="20"/>
  <c r="CL92" i="20"/>
  <c r="CI92" i="20"/>
  <c r="CG92" i="20"/>
  <c r="CF92" i="20"/>
  <c r="BT92" i="20"/>
  <c r="BS92" i="20"/>
  <c r="BR92" i="20"/>
  <c r="BQ92" i="20"/>
  <c r="BP92" i="20"/>
  <c r="BO92" i="20"/>
  <c r="BN92" i="20"/>
  <c r="BM92" i="20"/>
  <c r="BU92" i="20" s="1"/>
  <c r="BL92" i="20"/>
  <c r="BK92" i="20"/>
  <c r="BJ92" i="20"/>
  <c r="BI92" i="20"/>
  <c r="BH92" i="20"/>
  <c r="BG92" i="20"/>
  <c r="BF92" i="20"/>
  <c r="BE92" i="20"/>
  <c r="BD92" i="20"/>
  <c r="BC92" i="20"/>
  <c r="BB92" i="20"/>
  <c r="BA92" i="20"/>
  <c r="AZ92" i="20"/>
  <c r="AY92" i="20"/>
  <c r="AX92" i="20"/>
  <c r="AW92" i="20"/>
  <c r="AV92" i="20"/>
  <c r="AU92" i="20"/>
  <c r="AT92" i="20"/>
  <c r="AS92" i="20"/>
  <c r="AR92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B92" i="20"/>
  <c r="A92" i="20"/>
  <c r="FT91" i="20"/>
  <c r="FS91" i="20"/>
  <c r="FR91" i="20"/>
  <c r="FQ91" i="20"/>
  <c r="FP91" i="20"/>
  <c r="FO91" i="20"/>
  <c r="FN91" i="20"/>
  <c r="FM91" i="20"/>
  <c r="FL91" i="20"/>
  <c r="FK91" i="20"/>
  <c r="FJ91" i="20"/>
  <c r="FI91" i="20"/>
  <c r="FH91" i="20"/>
  <c r="FG91" i="20"/>
  <c r="FF91" i="20"/>
  <c r="FE91" i="20"/>
  <c r="FD91" i="20"/>
  <c r="FB91" i="20"/>
  <c r="EY91" i="20"/>
  <c r="EV91" i="20"/>
  <c r="ES91" i="20"/>
  <c r="ER91" i="20"/>
  <c r="EL91" i="20"/>
  <c r="EJ91" i="20"/>
  <c r="EH91" i="20"/>
  <c r="EE91" i="20"/>
  <c r="ED91" i="20"/>
  <c r="EC91" i="20"/>
  <c r="EB91" i="20"/>
  <c r="EA91" i="20"/>
  <c r="DZ91" i="20"/>
  <c r="DY91" i="20"/>
  <c r="DX91" i="20"/>
  <c r="DW91" i="20"/>
  <c r="DV91" i="20"/>
  <c r="DU91" i="20"/>
  <c r="DT91" i="20"/>
  <c r="DS91" i="20"/>
  <c r="DR91" i="20"/>
  <c r="DQ91" i="20"/>
  <c r="DP91" i="20"/>
  <c r="DO91" i="20"/>
  <c r="DN91" i="20"/>
  <c r="DJ91" i="20"/>
  <c r="DE91" i="20"/>
  <c r="DD91" i="20"/>
  <c r="DB91" i="20"/>
  <c r="DA91" i="20"/>
  <c r="CW91" i="20"/>
  <c r="CV91" i="20"/>
  <c r="CU91" i="20"/>
  <c r="CN91" i="20"/>
  <c r="CM91" i="20"/>
  <c r="CL91" i="20"/>
  <c r="CJ91" i="20"/>
  <c r="CZ91" i="20" s="1"/>
  <c r="CI91" i="20"/>
  <c r="CG91" i="20"/>
  <c r="CF91" i="20"/>
  <c r="CB91" i="20"/>
  <c r="BU91" i="20"/>
  <c r="CC91" i="20" s="1"/>
  <c r="DK91" i="20" s="1"/>
  <c r="BT91" i="20"/>
  <c r="CD91" i="20" s="1"/>
  <c r="DL91" i="20" s="1"/>
  <c r="BS91" i="20"/>
  <c r="BR91" i="20"/>
  <c r="BQ91" i="20"/>
  <c r="BP91" i="20"/>
  <c r="BO91" i="20"/>
  <c r="BN91" i="20"/>
  <c r="BM91" i="20"/>
  <c r="BL91" i="20"/>
  <c r="BK91" i="20"/>
  <c r="BJ91" i="20"/>
  <c r="BI91" i="20"/>
  <c r="BH91" i="20"/>
  <c r="BG91" i="20"/>
  <c r="BF91" i="20"/>
  <c r="BE91" i="20"/>
  <c r="BD91" i="20"/>
  <c r="BC91" i="20"/>
  <c r="BB91" i="20"/>
  <c r="BA91" i="20"/>
  <c r="AZ91" i="20"/>
  <c r="AY91" i="20"/>
  <c r="AX91" i="20"/>
  <c r="AW91" i="20"/>
  <c r="AV91" i="20"/>
  <c r="AU91" i="20"/>
  <c r="AT91" i="20"/>
  <c r="AS91" i="20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B91" i="20"/>
  <c r="A91" i="20"/>
  <c r="FS90" i="20"/>
  <c r="FR90" i="20"/>
  <c r="FQ90" i="20"/>
  <c r="FP90" i="20"/>
  <c r="FO90" i="20"/>
  <c r="FN90" i="20"/>
  <c r="FM90" i="20"/>
  <c r="FL90" i="20"/>
  <c r="FK90" i="20"/>
  <c r="FJ90" i="20"/>
  <c r="FI90" i="20"/>
  <c r="FH90" i="20"/>
  <c r="FG90" i="20"/>
  <c r="FF90" i="20"/>
  <c r="FE90" i="20"/>
  <c r="FD90" i="20"/>
  <c r="FB90" i="20"/>
  <c r="EY90" i="20"/>
  <c r="EV90" i="20"/>
  <c r="ES90" i="20"/>
  <c r="ER90" i="20"/>
  <c r="EI90" i="20"/>
  <c r="FU90" i="20" s="1"/>
  <c r="EH90" i="20"/>
  <c r="FT90" i="20" s="1"/>
  <c r="EE90" i="20"/>
  <c r="ED90" i="20"/>
  <c r="EC90" i="20"/>
  <c r="EB90" i="20"/>
  <c r="EA90" i="20"/>
  <c r="DZ90" i="20"/>
  <c r="DY90" i="20"/>
  <c r="DX90" i="20"/>
  <c r="DW90" i="20"/>
  <c r="DV90" i="20"/>
  <c r="DU90" i="20"/>
  <c r="DT90" i="20"/>
  <c r="DS90" i="20"/>
  <c r="DR90" i="20"/>
  <c r="DQ90" i="20"/>
  <c r="DP90" i="20"/>
  <c r="DO90" i="20"/>
  <c r="DN90" i="20"/>
  <c r="DL90" i="20"/>
  <c r="DE90" i="20"/>
  <c r="DD90" i="20"/>
  <c r="DB90" i="20"/>
  <c r="DA90" i="20"/>
  <c r="CW90" i="20"/>
  <c r="CV90" i="20"/>
  <c r="CU90" i="20"/>
  <c r="CS90" i="20"/>
  <c r="CN90" i="20"/>
  <c r="CM90" i="20"/>
  <c r="CL90" i="20"/>
  <c r="CI90" i="20"/>
  <c r="CG90" i="20"/>
  <c r="CF90" i="20"/>
  <c r="CB90" i="20"/>
  <c r="DJ90" i="20" s="1"/>
  <c r="BU90" i="20"/>
  <c r="BT90" i="20"/>
  <c r="CD90" i="20" s="1"/>
  <c r="BS90" i="20"/>
  <c r="BR90" i="20"/>
  <c r="BQ90" i="20"/>
  <c r="BP90" i="20"/>
  <c r="BO90" i="20"/>
  <c r="BN90" i="20"/>
  <c r="BM90" i="20"/>
  <c r="BL90" i="20"/>
  <c r="BK90" i="20"/>
  <c r="BJ90" i="20"/>
  <c r="BI90" i="20"/>
  <c r="BH90" i="20"/>
  <c r="BG90" i="20"/>
  <c r="BF90" i="20"/>
  <c r="BE90" i="20"/>
  <c r="BD90" i="20"/>
  <c r="BC90" i="20"/>
  <c r="BB90" i="20"/>
  <c r="BA90" i="20"/>
  <c r="AZ90" i="20"/>
  <c r="AY90" i="20"/>
  <c r="AX90" i="20"/>
  <c r="AW90" i="20"/>
  <c r="AV90" i="20"/>
  <c r="AU90" i="20"/>
  <c r="AT90" i="20"/>
  <c r="AS90" i="20"/>
  <c r="AR90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CJ90" i="20" s="1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B90" i="20"/>
  <c r="A90" i="20"/>
  <c r="FS89" i="20"/>
  <c r="FR89" i="20"/>
  <c r="FQ89" i="20"/>
  <c r="FP89" i="20"/>
  <c r="FO89" i="20"/>
  <c r="FN89" i="20"/>
  <c r="FM89" i="20"/>
  <c r="FL89" i="20"/>
  <c r="FK89" i="20"/>
  <c r="FJ89" i="20"/>
  <c r="FI89" i="20"/>
  <c r="FH89" i="20"/>
  <c r="FG89" i="20"/>
  <c r="FF89" i="20"/>
  <c r="FE89" i="20"/>
  <c r="FD89" i="20"/>
  <c r="FB89" i="20"/>
  <c r="EY89" i="20"/>
  <c r="EV89" i="20"/>
  <c r="ES89" i="20"/>
  <c r="ER89" i="20"/>
  <c r="EK89" i="20"/>
  <c r="EM89" i="20" s="1"/>
  <c r="FX89" i="20" s="1"/>
  <c r="EJ89" i="20"/>
  <c r="EL89" i="20" s="1"/>
  <c r="EH89" i="20"/>
  <c r="FT89" i="20" s="1"/>
  <c r="EE89" i="20"/>
  <c r="ED89" i="20"/>
  <c r="EC89" i="20"/>
  <c r="EB89" i="20"/>
  <c r="EA89" i="20"/>
  <c r="DZ89" i="20"/>
  <c r="DY89" i="20"/>
  <c r="DX89" i="20"/>
  <c r="DW89" i="20"/>
  <c r="DV89" i="20"/>
  <c r="DU89" i="20"/>
  <c r="DT89" i="20"/>
  <c r="DS89" i="20"/>
  <c r="DR89" i="20"/>
  <c r="DQ89" i="20"/>
  <c r="DP89" i="20"/>
  <c r="DO89" i="20"/>
  <c r="DN89" i="20"/>
  <c r="DE89" i="20"/>
  <c r="DD89" i="20"/>
  <c r="DB89" i="20"/>
  <c r="DA89" i="20"/>
  <c r="CW89" i="20"/>
  <c r="CV89" i="20"/>
  <c r="CU89" i="20"/>
  <c r="CN89" i="20"/>
  <c r="CM89" i="20"/>
  <c r="CL89" i="20"/>
  <c r="CI89" i="20"/>
  <c r="CG89" i="20"/>
  <c r="CF89" i="20"/>
  <c r="CB89" i="20"/>
  <c r="DJ89" i="20" s="1"/>
  <c r="BU89" i="20"/>
  <c r="BT89" i="20"/>
  <c r="BS89" i="20"/>
  <c r="BR89" i="20"/>
  <c r="BQ89" i="20"/>
  <c r="BP89" i="20"/>
  <c r="BO89" i="20"/>
  <c r="BN89" i="20"/>
  <c r="BM89" i="20"/>
  <c r="BL89" i="20"/>
  <c r="CJ89" i="20" s="1"/>
  <c r="CZ89" i="20" s="1"/>
  <c r="BK89" i="20"/>
  <c r="BJ89" i="20"/>
  <c r="BI89" i="20"/>
  <c r="BH89" i="20"/>
  <c r="BG89" i="20"/>
  <c r="BF89" i="20"/>
  <c r="BE89" i="20"/>
  <c r="BD89" i="20"/>
  <c r="BC89" i="20"/>
  <c r="BB89" i="20"/>
  <c r="BA89" i="20"/>
  <c r="EI89" i="20" s="1"/>
  <c r="FU89" i="20" s="1"/>
  <c r="FV89" i="20" s="1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A89" i="20"/>
  <c r="FS88" i="20"/>
  <c r="FR88" i="20"/>
  <c r="FQ88" i="20"/>
  <c r="FP88" i="20"/>
  <c r="FO88" i="20"/>
  <c r="FN88" i="20"/>
  <c r="FM88" i="20"/>
  <c r="FL88" i="20"/>
  <c r="FK88" i="20"/>
  <c r="FJ88" i="20"/>
  <c r="FI88" i="20"/>
  <c r="FH88" i="20"/>
  <c r="FG88" i="20"/>
  <c r="FF88" i="20"/>
  <c r="FE88" i="20"/>
  <c r="FD88" i="20"/>
  <c r="FB88" i="20"/>
  <c r="EY88" i="20"/>
  <c r="EV88" i="20"/>
  <c r="ES88" i="20"/>
  <c r="ER88" i="20"/>
  <c r="EI88" i="20"/>
  <c r="EH88" i="20"/>
  <c r="EE88" i="20"/>
  <c r="ED88" i="20"/>
  <c r="EC88" i="20"/>
  <c r="EB88" i="20"/>
  <c r="EA88" i="20"/>
  <c r="DZ88" i="20"/>
  <c r="DY88" i="20"/>
  <c r="DX88" i="20"/>
  <c r="DW88" i="20"/>
  <c r="DV88" i="20"/>
  <c r="DU88" i="20"/>
  <c r="DT88" i="20"/>
  <c r="DS88" i="20"/>
  <c r="DR88" i="20"/>
  <c r="DQ88" i="20"/>
  <c r="DP88" i="20"/>
  <c r="DO88" i="20"/>
  <c r="DN88" i="20"/>
  <c r="DM88" i="20"/>
  <c r="DL88" i="20"/>
  <c r="DE88" i="20"/>
  <c r="DD88" i="20"/>
  <c r="DB88" i="20"/>
  <c r="DA88" i="20"/>
  <c r="CW88" i="20"/>
  <c r="CV88" i="20"/>
  <c r="CU88" i="20"/>
  <c r="CT88" i="20"/>
  <c r="CS88" i="20"/>
  <c r="CN88" i="20"/>
  <c r="CM88" i="20"/>
  <c r="CL88" i="20"/>
  <c r="CJ88" i="20"/>
  <c r="CI88" i="20"/>
  <c r="CG88" i="20"/>
  <c r="CF88" i="20"/>
  <c r="CD88" i="20"/>
  <c r="CC88" i="20"/>
  <c r="DK88" i="20" s="1"/>
  <c r="CB88" i="20"/>
  <c r="DJ88" i="20" s="1"/>
  <c r="CA88" i="20"/>
  <c r="CE88" i="20" s="1"/>
  <c r="BT88" i="20"/>
  <c r="BS88" i="20"/>
  <c r="BR88" i="20"/>
  <c r="BQ88" i="20"/>
  <c r="BP88" i="20"/>
  <c r="BO88" i="20"/>
  <c r="BN88" i="20"/>
  <c r="BM88" i="20"/>
  <c r="BU88" i="20" s="1"/>
  <c r="BL88" i="20"/>
  <c r="BK88" i="20"/>
  <c r="BJ88" i="20"/>
  <c r="BI88" i="20"/>
  <c r="BH88" i="20"/>
  <c r="BG88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A88" i="20"/>
  <c r="FS87" i="20"/>
  <c r="FR87" i="20"/>
  <c r="FQ87" i="20"/>
  <c r="FP87" i="20"/>
  <c r="FO87" i="20"/>
  <c r="FN87" i="20"/>
  <c r="FM87" i="20"/>
  <c r="FL87" i="20"/>
  <c r="FK87" i="20"/>
  <c r="FJ87" i="20"/>
  <c r="FI87" i="20"/>
  <c r="FH87" i="20"/>
  <c r="FG87" i="20"/>
  <c r="FF87" i="20"/>
  <c r="FE87" i="20"/>
  <c r="FD87" i="20"/>
  <c r="FB87" i="20"/>
  <c r="EY87" i="20"/>
  <c r="EV87" i="20"/>
  <c r="ES87" i="20"/>
  <c r="ER87" i="20"/>
  <c r="EE87" i="20"/>
  <c r="ED87" i="20"/>
  <c r="EC87" i="20"/>
  <c r="EB87" i="20"/>
  <c r="EA87" i="20"/>
  <c r="DZ87" i="20"/>
  <c r="DY87" i="20"/>
  <c r="DX87" i="20"/>
  <c r="DW87" i="20"/>
  <c r="DV87" i="20"/>
  <c r="DU87" i="20"/>
  <c r="DT87" i="20"/>
  <c r="DS87" i="20"/>
  <c r="DR87" i="20"/>
  <c r="DQ87" i="20"/>
  <c r="DP87" i="20"/>
  <c r="DO87" i="20"/>
  <c r="DN87" i="20"/>
  <c r="DE87" i="20"/>
  <c r="DD87" i="20"/>
  <c r="DB87" i="20"/>
  <c r="DA87" i="20"/>
  <c r="CW87" i="20"/>
  <c r="CV87" i="20"/>
  <c r="CU87" i="20"/>
  <c r="CN87" i="20"/>
  <c r="CM87" i="20"/>
  <c r="CL87" i="20"/>
  <c r="CI87" i="20"/>
  <c r="CG87" i="20"/>
  <c r="CF87" i="20"/>
  <c r="BT87" i="20"/>
  <c r="BS87" i="20"/>
  <c r="CB87" i="20" s="1"/>
  <c r="DJ87" i="20" s="1"/>
  <c r="BR87" i="20"/>
  <c r="BQ87" i="20"/>
  <c r="BP87" i="20"/>
  <c r="BO87" i="20"/>
  <c r="BN87" i="20"/>
  <c r="BM87" i="20"/>
  <c r="BU87" i="20" s="1"/>
  <c r="BL87" i="20"/>
  <c r="BK87" i="20"/>
  <c r="BJ87" i="20"/>
  <c r="BI87" i="20"/>
  <c r="BH87" i="20"/>
  <c r="BG87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87" i="20"/>
  <c r="FS86" i="20"/>
  <c r="FR86" i="20"/>
  <c r="FQ86" i="20"/>
  <c r="FP86" i="20"/>
  <c r="FO86" i="20"/>
  <c r="FN86" i="20"/>
  <c r="FM86" i="20"/>
  <c r="FL86" i="20"/>
  <c r="FK86" i="20"/>
  <c r="FJ86" i="20"/>
  <c r="FI86" i="20"/>
  <c r="FH86" i="20"/>
  <c r="FG86" i="20"/>
  <c r="FF86" i="20"/>
  <c r="FE86" i="20"/>
  <c r="FD86" i="20"/>
  <c r="FB86" i="20"/>
  <c r="EY86" i="20"/>
  <c r="EV86" i="20"/>
  <c r="ES86" i="20"/>
  <c r="ER86" i="20"/>
  <c r="EE86" i="20"/>
  <c r="ED86" i="20"/>
  <c r="EC86" i="20"/>
  <c r="EB86" i="20"/>
  <c r="EA86" i="20"/>
  <c r="DZ86" i="20"/>
  <c r="DY86" i="20"/>
  <c r="DX86" i="20"/>
  <c r="DW86" i="20"/>
  <c r="DV86" i="20"/>
  <c r="DU86" i="20"/>
  <c r="DT86" i="20"/>
  <c r="DS86" i="20"/>
  <c r="DR86" i="20"/>
  <c r="DQ86" i="20"/>
  <c r="DP86" i="20"/>
  <c r="DO86" i="20"/>
  <c r="DN86" i="20"/>
  <c r="DE86" i="20"/>
  <c r="DD86" i="20"/>
  <c r="DB86" i="20"/>
  <c r="DA86" i="20"/>
  <c r="CW86" i="20"/>
  <c r="CV86" i="20"/>
  <c r="CU86" i="20"/>
  <c r="CN86" i="20"/>
  <c r="CM86" i="20"/>
  <c r="CL86" i="20"/>
  <c r="CI86" i="20"/>
  <c r="CG86" i="20"/>
  <c r="CF86" i="20"/>
  <c r="BT86" i="20"/>
  <c r="CD86" i="20" s="1"/>
  <c r="DL86" i="20" s="1"/>
  <c r="BS86" i="20"/>
  <c r="BR86" i="20"/>
  <c r="BQ86" i="20"/>
  <c r="BP86" i="20"/>
  <c r="BO86" i="20"/>
  <c r="BN86" i="20"/>
  <c r="BM86" i="20"/>
  <c r="BU86" i="20" s="1"/>
  <c r="BL86" i="20"/>
  <c r="BK86" i="20"/>
  <c r="BJ86" i="20"/>
  <c r="BI86" i="20"/>
  <c r="BH86" i="20"/>
  <c r="BG86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A86" i="20"/>
  <c r="FT85" i="20"/>
  <c r="FS85" i="20"/>
  <c r="FR85" i="20"/>
  <c r="FQ85" i="20"/>
  <c r="FP85" i="20"/>
  <c r="FO85" i="20"/>
  <c r="FN85" i="20"/>
  <c r="FM85" i="20"/>
  <c r="FL85" i="20"/>
  <c r="FK85" i="20"/>
  <c r="FJ85" i="20"/>
  <c r="FI85" i="20"/>
  <c r="FH85" i="20"/>
  <c r="FG85" i="20"/>
  <c r="FF85" i="20"/>
  <c r="FE85" i="20"/>
  <c r="FD85" i="20"/>
  <c r="FB85" i="20"/>
  <c r="EY85" i="20"/>
  <c r="EV85" i="20"/>
  <c r="ES85" i="20"/>
  <c r="ER85" i="20"/>
  <c r="EJ85" i="20"/>
  <c r="EL85" i="20" s="1"/>
  <c r="EI85" i="20"/>
  <c r="EH85" i="20"/>
  <c r="EE85" i="20"/>
  <c r="ED85" i="20"/>
  <c r="EC85" i="20"/>
  <c r="EB85" i="20"/>
  <c r="EA85" i="20"/>
  <c r="DZ85" i="20"/>
  <c r="DY85" i="20"/>
  <c r="DX85" i="20"/>
  <c r="DW85" i="20"/>
  <c r="DV85" i="20"/>
  <c r="DU85" i="20"/>
  <c r="DT85" i="20"/>
  <c r="DS85" i="20"/>
  <c r="DR85" i="20"/>
  <c r="DQ85" i="20"/>
  <c r="DP85" i="20"/>
  <c r="DO85" i="20"/>
  <c r="DN85" i="20"/>
  <c r="DE85" i="20"/>
  <c r="DD85" i="20"/>
  <c r="DB85" i="20"/>
  <c r="DA85" i="20"/>
  <c r="CW85" i="20"/>
  <c r="CV85" i="20"/>
  <c r="CU85" i="20"/>
  <c r="CT85" i="20"/>
  <c r="CS85" i="20"/>
  <c r="CN85" i="20"/>
  <c r="CM85" i="20"/>
  <c r="CL85" i="20"/>
  <c r="CQ85" i="20" s="1"/>
  <c r="CK85" i="20"/>
  <c r="CO85" i="20" s="1"/>
  <c r="CR85" i="20" s="1"/>
  <c r="CJ85" i="20"/>
  <c r="CZ85" i="20" s="1"/>
  <c r="CI85" i="20"/>
  <c r="CG85" i="20"/>
  <c r="CF85" i="20"/>
  <c r="BT85" i="20"/>
  <c r="CD85" i="20" s="1"/>
  <c r="DL85" i="20" s="1"/>
  <c r="BS85" i="20"/>
  <c r="CB85" i="20" s="1"/>
  <c r="DJ85" i="20" s="1"/>
  <c r="BR85" i="20"/>
  <c r="BQ85" i="20"/>
  <c r="BP85" i="20"/>
  <c r="BO85" i="20"/>
  <c r="BN85" i="20"/>
  <c r="BM85" i="20"/>
  <c r="BU85" i="20" s="1"/>
  <c r="BL85" i="20"/>
  <c r="BK85" i="20"/>
  <c r="BJ85" i="20"/>
  <c r="BI85" i="20"/>
  <c r="BH85" i="20"/>
  <c r="BG85" i="20"/>
  <c r="BF85" i="20"/>
  <c r="BE85" i="20"/>
  <c r="BD85" i="20"/>
  <c r="BC85" i="20"/>
  <c r="BB85" i="20"/>
  <c r="BA85" i="20"/>
  <c r="BW85" i="20" s="1"/>
  <c r="BZ85" i="20" s="1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A85" i="20"/>
  <c r="FS84" i="20"/>
  <c r="FR84" i="20"/>
  <c r="FQ84" i="20"/>
  <c r="FP84" i="20"/>
  <c r="FO84" i="20"/>
  <c r="FN84" i="20"/>
  <c r="FM84" i="20"/>
  <c r="FL84" i="20"/>
  <c r="FK84" i="20"/>
  <c r="FJ84" i="20"/>
  <c r="FI84" i="20"/>
  <c r="FH84" i="20"/>
  <c r="FG84" i="20"/>
  <c r="FF84" i="20"/>
  <c r="FE84" i="20"/>
  <c r="FD84" i="20"/>
  <c r="FB84" i="20"/>
  <c r="EY84" i="20"/>
  <c r="EV84" i="20"/>
  <c r="ES84" i="20"/>
  <c r="ER84" i="20"/>
  <c r="EJ84" i="20"/>
  <c r="EL84" i="20" s="1"/>
  <c r="EI84" i="20"/>
  <c r="EH84" i="20"/>
  <c r="FT84" i="20" s="1"/>
  <c r="EE84" i="20"/>
  <c r="ED84" i="20"/>
  <c r="EC84" i="20"/>
  <c r="EB84" i="20"/>
  <c r="EA84" i="20"/>
  <c r="DZ84" i="20"/>
  <c r="DY84" i="20"/>
  <c r="DX84" i="20"/>
  <c r="DW84" i="20"/>
  <c r="DV84" i="20"/>
  <c r="DU84" i="20"/>
  <c r="DT84" i="20"/>
  <c r="DS84" i="20"/>
  <c r="DR84" i="20"/>
  <c r="DQ84" i="20"/>
  <c r="DP84" i="20"/>
  <c r="DO84" i="20"/>
  <c r="DN84" i="20"/>
  <c r="DM84" i="20"/>
  <c r="DL84" i="20"/>
  <c r="DK84" i="20"/>
  <c r="DE84" i="20"/>
  <c r="DD84" i="20"/>
  <c r="DB84" i="20"/>
  <c r="DA84" i="20"/>
  <c r="CW84" i="20"/>
  <c r="CV84" i="20"/>
  <c r="CU84" i="20"/>
  <c r="CN84" i="20"/>
  <c r="CM84" i="20"/>
  <c r="CL84" i="20"/>
  <c r="CJ84" i="20"/>
  <c r="CI84" i="20"/>
  <c r="CG84" i="20"/>
  <c r="CF84" i="20"/>
  <c r="BU84" i="20"/>
  <c r="CC84" i="20" s="1"/>
  <c r="BT84" i="20"/>
  <c r="CD84" i="20" s="1"/>
  <c r="BS84" i="20"/>
  <c r="BR84" i="20"/>
  <c r="BQ84" i="20"/>
  <c r="BP84" i="20"/>
  <c r="BO84" i="20"/>
  <c r="BN84" i="20"/>
  <c r="BM84" i="20"/>
  <c r="BL84" i="20"/>
  <c r="BK84" i="20"/>
  <c r="BJ84" i="20"/>
  <c r="BI84" i="20"/>
  <c r="BH84" i="20"/>
  <c r="BG84" i="20"/>
  <c r="BF84" i="20"/>
  <c r="BE84" i="20"/>
  <c r="BD84" i="20"/>
  <c r="BC84" i="20"/>
  <c r="BB84" i="20"/>
  <c r="BA84" i="20"/>
  <c r="CA84" i="20" s="1"/>
  <c r="CE84" i="20" s="1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A84" i="20"/>
  <c r="FS83" i="20"/>
  <c r="FR83" i="20"/>
  <c r="FQ83" i="20"/>
  <c r="FP83" i="20"/>
  <c r="FO83" i="20"/>
  <c r="FN83" i="20"/>
  <c r="FM83" i="20"/>
  <c r="FL83" i="20"/>
  <c r="FK83" i="20"/>
  <c r="FJ83" i="20"/>
  <c r="FI83" i="20"/>
  <c r="FH83" i="20"/>
  <c r="FG83" i="20"/>
  <c r="FF83" i="20"/>
  <c r="FE83" i="20"/>
  <c r="FD83" i="20"/>
  <c r="FB83" i="20"/>
  <c r="EY83" i="20"/>
  <c r="EV83" i="20"/>
  <c r="ES83" i="20"/>
  <c r="ER83" i="20"/>
  <c r="EK83" i="20"/>
  <c r="EM83" i="20" s="1"/>
  <c r="FX83" i="20" s="1"/>
  <c r="EE83" i="20"/>
  <c r="ED83" i="20"/>
  <c r="EC83" i="20"/>
  <c r="EB83" i="20"/>
  <c r="EA83" i="20"/>
  <c r="DZ83" i="20"/>
  <c r="DY83" i="20"/>
  <c r="DX83" i="20"/>
  <c r="DW83" i="20"/>
  <c r="DV83" i="20"/>
  <c r="DU83" i="20"/>
  <c r="DT83" i="20"/>
  <c r="DS83" i="20"/>
  <c r="DR83" i="20"/>
  <c r="DQ83" i="20"/>
  <c r="DP83" i="20"/>
  <c r="DO83" i="20"/>
  <c r="DN83" i="20"/>
  <c r="DE83" i="20"/>
  <c r="DD83" i="20"/>
  <c r="DB83" i="20"/>
  <c r="DA83" i="20"/>
  <c r="CW83" i="20"/>
  <c r="CV83" i="20"/>
  <c r="CU83" i="20"/>
  <c r="CS83" i="20"/>
  <c r="DC83" i="20" s="1"/>
  <c r="CN83" i="20"/>
  <c r="CM83" i="20"/>
  <c r="CL83" i="20"/>
  <c r="CI83" i="20"/>
  <c r="CG83" i="20"/>
  <c r="CF83" i="20"/>
  <c r="CE83" i="20"/>
  <c r="DM83" i="20" s="1"/>
  <c r="CD83" i="20"/>
  <c r="DL83" i="20" s="1"/>
  <c r="CC83" i="20"/>
  <c r="DK83" i="20" s="1"/>
  <c r="CB83" i="20"/>
  <c r="DJ83" i="20" s="1"/>
  <c r="CA83" i="20"/>
  <c r="BU83" i="20"/>
  <c r="BT83" i="20"/>
  <c r="BS83" i="20"/>
  <c r="BR83" i="20"/>
  <c r="BQ83" i="20"/>
  <c r="BP83" i="20"/>
  <c r="BO83" i="20"/>
  <c r="BN83" i="20"/>
  <c r="BM83" i="20"/>
  <c r="BL83" i="20"/>
  <c r="BK83" i="20"/>
  <c r="BJ83" i="20"/>
  <c r="BI83" i="20"/>
  <c r="BH83" i="20"/>
  <c r="BG83" i="20"/>
  <c r="BF83" i="20"/>
  <c r="BE83" i="20"/>
  <c r="BD83" i="20"/>
  <c r="BC83" i="20"/>
  <c r="BB83" i="20"/>
  <c r="BA83" i="20"/>
  <c r="EI83" i="20" s="1"/>
  <c r="FU83" i="20" s="1"/>
  <c r="AZ83" i="20"/>
  <c r="AY83" i="20"/>
  <c r="AX83" i="20"/>
  <c r="AW83" i="20"/>
  <c r="AV83" i="20"/>
  <c r="AU83" i="20"/>
  <c r="AT83" i="20"/>
  <c r="AS83" i="20"/>
  <c r="AR83" i="20"/>
  <c r="AQ83" i="20"/>
  <c r="AP83" i="20"/>
  <c r="BW83" i="20" s="1"/>
  <c r="BZ83" i="20" s="1"/>
  <c r="AO83" i="20"/>
  <c r="AN83" i="20"/>
  <c r="BV83" i="20" s="1"/>
  <c r="BX83" i="20" s="1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A83" i="20"/>
  <c r="FS82" i="20"/>
  <c r="FR82" i="20"/>
  <c r="FQ82" i="20"/>
  <c r="FP82" i="20"/>
  <c r="FO82" i="20"/>
  <c r="FN82" i="20"/>
  <c r="FM82" i="20"/>
  <c r="FL82" i="20"/>
  <c r="FK82" i="20"/>
  <c r="FJ82" i="20"/>
  <c r="FI82" i="20"/>
  <c r="FH82" i="20"/>
  <c r="FG82" i="20"/>
  <c r="FF82" i="20"/>
  <c r="FE82" i="20"/>
  <c r="FD82" i="20"/>
  <c r="FB82" i="20"/>
  <c r="EY82" i="20"/>
  <c r="EV82" i="20"/>
  <c r="ES82" i="20"/>
  <c r="ER82" i="20"/>
  <c r="EM82" i="20"/>
  <c r="FX82" i="20" s="1"/>
  <c r="EK82" i="20"/>
  <c r="EE82" i="20"/>
  <c r="ED82" i="20"/>
  <c r="EC82" i="20"/>
  <c r="EB82" i="20"/>
  <c r="EA82" i="20"/>
  <c r="DZ82" i="20"/>
  <c r="DY82" i="20"/>
  <c r="DX82" i="20"/>
  <c r="DW82" i="20"/>
  <c r="DV82" i="20"/>
  <c r="DU82" i="20"/>
  <c r="DT82" i="20"/>
  <c r="DS82" i="20"/>
  <c r="DR82" i="20"/>
  <c r="DQ82" i="20"/>
  <c r="DP82" i="20"/>
  <c r="DO82" i="20"/>
  <c r="DN82" i="20"/>
  <c r="DE82" i="20"/>
  <c r="DD82" i="20"/>
  <c r="DB82" i="20"/>
  <c r="DA82" i="20"/>
  <c r="CW82" i="20"/>
  <c r="CV82" i="20"/>
  <c r="CU82" i="20"/>
  <c r="CS82" i="20"/>
  <c r="CN82" i="20"/>
  <c r="CM82" i="20"/>
  <c r="CL82" i="20"/>
  <c r="CI82" i="20"/>
  <c r="CG82" i="20"/>
  <c r="CF82" i="20"/>
  <c r="CD82" i="20"/>
  <c r="DL82" i="20" s="1"/>
  <c r="CC82" i="20"/>
  <c r="DK82" i="20" s="1"/>
  <c r="CB82" i="20"/>
  <c r="DJ82" i="20" s="1"/>
  <c r="CA82" i="20"/>
  <c r="CE82" i="20" s="1"/>
  <c r="DM82" i="20" s="1"/>
  <c r="BX82" i="20"/>
  <c r="BY82" i="20" s="1"/>
  <c r="BW82" i="20"/>
  <c r="BZ82" i="20" s="1"/>
  <c r="BV82" i="20"/>
  <c r="BT82" i="20"/>
  <c r="BS82" i="20"/>
  <c r="BR82" i="20"/>
  <c r="BQ82" i="20"/>
  <c r="BP82" i="20"/>
  <c r="BO82" i="20"/>
  <c r="BN82" i="20"/>
  <c r="EI82" i="20" s="1"/>
  <c r="FU82" i="20" s="1"/>
  <c r="BM82" i="20"/>
  <c r="BU82" i="20" s="1"/>
  <c r="BL82" i="20"/>
  <c r="BK82" i="20"/>
  <c r="BJ82" i="20"/>
  <c r="BI82" i="20"/>
  <c r="BH82" i="20"/>
  <c r="BG82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A82" i="20"/>
  <c r="FS81" i="20"/>
  <c r="FR81" i="20"/>
  <c r="FQ81" i="20"/>
  <c r="FP81" i="20"/>
  <c r="FO81" i="20"/>
  <c r="FN81" i="20"/>
  <c r="FM81" i="20"/>
  <c r="FL81" i="20"/>
  <c r="FK81" i="20"/>
  <c r="FJ81" i="20"/>
  <c r="FI81" i="20"/>
  <c r="FH81" i="20"/>
  <c r="FG81" i="20"/>
  <c r="FF81" i="20"/>
  <c r="FE81" i="20"/>
  <c r="FD81" i="20"/>
  <c r="FB81" i="20"/>
  <c r="EY81" i="20"/>
  <c r="EV81" i="20"/>
  <c r="ES81" i="20"/>
  <c r="ER81" i="20"/>
  <c r="EE81" i="20"/>
  <c r="ED81" i="20"/>
  <c r="EC81" i="20"/>
  <c r="EB81" i="20"/>
  <c r="EA81" i="20"/>
  <c r="DZ81" i="20"/>
  <c r="DY81" i="20"/>
  <c r="DX81" i="20"/>
  <c r="DW81" i="20"/>
  <c r="DV81" i="20"/>
  <c r="DU81" i="20"/>
  <c r="DT81" i="20"/>
  <c r="DS81" i="20"/>
  <c r="DR81" i="20"/>
  <c r="DQ81" i="20"/>
  <c r="DP81" i="20"/>
  <c r="DO81" i="20"/>
  <c r="DN81" i="20"/>
  <c r="DE81" i="20"/>
  <c r="DD81" i="20"/>
  <c r="DB81" i="20"/>
  <c r="DA81" i="20"/>
  <c r="CW81" i="20"/>
  <c r="CV81" i="20"/>
  <c r="CU81" i="20"/>
  <c r="CN81" i="20"/>
  <c r="CM81" i="20"/>
  <c r="CL81" i="20"/>
  <c r="CI81" i="20"/>
  <c r="CG81" i="20"/>
  <c r="CF81" i="20"/>
  <c r="CD81" i="20"/>
  <c r="DL81" i="20" s="1"/>
  <c r="CC81" i="20"/>
  <c r="DK81" i="20" s="1"/>
  <c r="CB81" i="20"/>
  <c r="DJ81" i="20" s="1"/>
  <c r="BT81" i="20"/>
  <c r="BS81" i="20"/>
  <c r="BR81" i="20"/>
  <c r="BQ81" i="20"/>
  <c r="BP81" i="20"/>
  <c r="BO81" i="20"/>
  <c r="BN81" i="20"/>
  <c r="BM81" i="20"/>
  <c r="BU81" i="20" s="1"/>
  <c r="BL81" i="20"/>
  <c r="BK81" i="20"/>
  <c r="BJ81" i="20"/>
  <c r="BI81" i="20"/>
  <c r="BH81" i="20"/>
  <c r="BG81" i="20"/>
  <c r="BF81" i="20"/>
  <c r="BE81" i="20"/>
  <c r="BD81" i="20"/>
  <c r="BC81" i="20"/>
  <c r="BB81" i="20"/>
  <c r="BA81" i="20"/>
  <c r="AZ81" i="20"/>
  <c r="AY81" i="20"/>
  <c r="AX81" i="20"/>
  <c r="AW81" i="20"/>
  <c r="AV81" i="20"/>
  <c r="AU81" i="20"/>
  <c r="AT81" i="20"/>
  <c r="AS81" i="20"/>
  <c r="AR81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B81" i="20"/>
  <c r="A81" i="20"/>
  <c r="FS80" i="20"/>
  <c r="FR80" i="20"/>
  <c r="FQ80" i="20"/>
  <c r="FP80" i="20"/>
  <c r="FO80" i="20"/>
  <c r="FN80" i="20"/>
  <c r="FM80" i="20"/>
  <c r="FL80" i="20"/>
  <c r="FK80" i="20"/>
  <c r="FJ80" i="20"/>
  <c r="FI80" i="20"/>
  <c r="FH80" i="20"/>
  <c r="FG80" i="20"/>
  <c r="FF80" i="20"/>
  <c r="FE80" i="20"/>
  <c r="FD80" i="20"/>
  <c r="FB80" i="20"/>
  <c r="EY80" i="20"/>
  <c r="EV80" i="20"/>
  <c r="ES80" i="20"/>
  <c r="ER80" i="20"/>
  <c r="EE80" i="20"/>
  <c r="ED80" i="20"/>
  <c r="EC80" i="20"/>
  <c r="EB80" i="20"/>
  <c r="EA80" i="20"/>
  <c r="DZ80" i="20"/>
  <c r="DY80" i="20"/>
  <c r="DX80" i="20"/>
  <c r="DW80" i="20"/>
  <c r="DV80" i="20"/>
  <c r="DU80" i="20"/>
  <c r="DT80" i="20"/>
  <c r="DS80" i="20"/>
  <c r="DR80" i="20"/>
  <c r="DQ80" i="20"/>
  <c r="DP80" i="20"/>
  <c r="DO80" i="20"/>
  <c r="DN80" i="20"/>
  <c r="DE80" i="20"/>
  <c r="DD80" i="20"/>
  <c r="DB80" i="20"/>
  <c r="DA80" i="20"/>
  <c r="CZ80" i="20"/>
  <c r="CW80" i="20"/>
  <c r="CV80" i="20"/>
  <c r="CU80" i="20"/>
  <c r="CN80" i="20"/>
  <c r="CM80" i="20"/>
  <c r="CL80" i="20"/>
  <c r="CI80" i="20"/>
  <c r="CG80" i="20"/>
  <c r="CF80" i="20"/>
  <c r="CD80" i="20"/>
  <c r="DL80" i="20" s="1"/>
  <c r="BU80" i="20"/>
  <c r="BT80" i="20"/>
  <c r="BS80" i="20"/>
  <c r="BR80" i="20"/>
  <c r="BQ80" i="20"/>
  <c r="BP80" i="20"/>
  <c r="BO80" i="20"/>
  <c r="BN80" i="20"/>
  <c r="BM80" i="20"/>
  <c r="BL80" i="20"/>
  <c r="BK80" i="20"/>
  <c r="BJ80" i="20"/>
  <c r="BI80" i="20"/>
  <c r="BH80" i="20"/>
  <c r="BG80" i="20"/>
  <c r="BF80" i="20"/>
  <c r="BE80" i="20"/>
  <c r="BD80" i="20"/>
  <c r="BC80" i="20"/>
  <c r="BB80" i="20"/>
  <c r="BA80" i="20"/>
  <c r="AZ80" i="20"/>
  <c r="AY80" i="20"/>
  <c r="AX80" i="20"/>
  <c r="AW80" i="20"/>
  <c r="AV80" i="20"/>
  <c r="AU80" i="20"/>
  <c r="AT80" i="20"/>
  <c r="AS80" i="20"/>
  <c r="AR80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CJ80" i="20" s="1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80" i="20"/>
  <c r="FS79" i="20"/>
  <c r="FR79" i="20"/>
  <c r="FQ79" i="20"/>
  <c r="FP79" i="20"/>
  <c r="FO79" i="20"/>
  <c r="FN79" i="20"/>
  <c r="FM79" i="20"/>
  <c r="FL79" i="20"/>
  <c r="FK79" i="20"/>
  <c r="FJ79" i="20"/>
  <c r="FI79" i="20"/>
  <c r="FH79" i="20"/>
  <c r="FG79" i="20"/>
  <c r="FF79" i="20"/>
  <c r="FE79" i="20"/>
  <c r="FD79" i="20"/>
  <c r="FB79" i="20"/>
  <c r="EY79" i="20"/>
  <c r="EV79" i="20"/>
  <c r="ES79" i="20"/>
  <c r="ER79" i="20"/>
  <c r="EE79" i="20"/>
  <c r="ED79" i="20"/>
  <c r="EC79" i="20"/>
  <c r="EB79" i="20"/>
  <c r="EA79" i="20"/>
  <c r="DZ79" i="20"/>
  <c r="DY79" i="20"/>
  <c r="DX79" i="20"/>
  <c r="DW79" i="20"/>
  <c r="DV79" i="20"/>
  <c r="DU79" i="20"/>
  <c r="DT79" i="20"/>
  <c r="DS79" i="20"/>
  <c r="DR79" i="20"/>
  <c r="DQ79" i="20"/>
  <c r="DP79" i="20"/>
  <c r="DO79" i="20"/>
  <c r="DN79" i="20"/>
  <c r="DE79" i="20"/>
  <c r="DD79" i="20"/>
  <c r="DB79" i="20"/>
  <c r="DA79" i="20"/>
  <c r="CW79" i="20"/>
  <c r="CV79" i="20"/>
  <c r="CU79" i="20"/>
  <c r="CN79" i="20"/>
  <c r="CM79" i="20"/>
  <c r="CL79" i="20"/>
  <c r="CK79" i="20"/>
  <c r="CO79" i="20" s="1"/>
  <c r="CJ79" i="20"/>
  <c r="CI79" i="20"/>
  <c r="CG79" i="20"/>
  <c r="CF79" i="20"/>
  <c r="BU79" i="20"/>
  <c r="BT79" i="20"/>
  <c r="CD79" i="20" s="1"/>
  <c r="DL79" i="20" s="1"/>
  <c r="BS79" i="20"/>
  <c r="BR79" i="20"/>
  <c r="BQ79" i="20"/>
  <c r="BP79" i="20"/>
  <c r="BO79" i="20"/>
  <c r="BN79" i="20"/>
  <c r="BM79" i="20"/>
  <c r="BL79" i="20"/>
  <c r="EH79" i="20" s="1"/>
  <c r="BK79" i="20"/>
  <c r="BJ79" i="20"/>
  <c r="BI79" i="20"/>
  <c r="BH79" i="20"/>
  <c r="BG79" i="20"/>
  <c r="BF79" i="20"/>
  <c r="BE79" i="20"/>
  <c r="BD79" i="20"/>
  <c r="BC79" i="20"/>
  <c r="BB79" i="20"/>
  <c r="BA79" i="20"/>
  <c r="AZ79" i="20"/>
  <c r="AY79" i="20"/>
  <c r="AX79" i="20"/>
  <c r="AW79" i="20"/>
  <c r="AV79" i="20"/>
  <c r="AU79" i="20"/>
  <c r="AT79" i="20"/>
  <c r="AS79" i="20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A79" i="20"/>
  <c r="FT78" i="20"/>
  <c r="FS78" i="20"/>
  <c r="FR78" i="20"/>
  <c r="FQ78" i="20"/>
  <c r="FP78" i="20"/>
  <c r="FO78" i="20"/>
  <c r="FN78" i="20"/>
  <c r="FM78" i="20"/>
  <c r="FL78" i="20"/>
  <c r="FK78" i="20"/>
  <c r="FJ78" i="20"/>
  <c r="FI78" i="20"/>
  <c r="FH78" i="20"/>
  <c r="FG78" i="20"/>
  <c r="FF78" i="20"/>
  <c r="FE78" i="20"/>
  <c r="FD78" i="20"/>
  <c r="FB78" i="20"/>
  <c r="EY78" i="20"/>
  <c r="EV78" i="20"/>
  <c r="ES78" i="20"/>
  <c r="ER78" i="20"/>
  <c r="EJ78" i="20"/>
  <c r="EL78" i="20" s="1"/>
  <c r="EI78" i="20"/>
  <c r="FU78" i="20" s="1"/>
  <c r="FV78" i="20" s="1"/>
  <c r="EH78" i="20"/>
  <c r="EE78" i="20"/>
  <c r="ED78" i="20"/>
  <c r="EC78" i="20"/>
  <c r="EB78" i="20"/>
  <c r="EA78" i="20"/>
  <c r="DZ78" i="20"/>
  <c r="DY78" i="20"/>
  <c r="DX78" i="20"/>
  <c r="DW78" i="20"/>
  <c r="DV78" i="20"/>
  <c r="DU78" i="20"/>
  <c r="DT78" i="20"/>
  <c r="DS78" i="20"/>
  <c r="DR78" i="20"/>
  <c r="DQ78" i="20"/>
  <c r="DP78" i="20"/>
  <c r="DO78" i="20"/>
  <c r="DN78" i="20"/>
  <c r="DK78" i="20"/>
  <c r="DE78" i="20"/>
  <c r="DD78" i="20"/>
  <c r="DB78" i="20"/>
  <c r="DA78" i="20"/>
  <c r="CW78" i="20"/>
  <c r="CV78" i="20"/>
  <c r="CU78" i="20"/>
  <c r="CN78" i="20"/>
  <c r="CM78" i="20"/>
  <c r="CL78" i="20"/>
  <c r="CJ78" i="20"/>
  <c r="CI78" i="20"/>
  <c r="CG78" i="20"/>
  <c r="CF78" i="20"/>
  <c r="BU78" i="20"/>
  <c r="CC78" i="20" s="1"/>
  <c r="BT78" i="20"/>
  <c r="BS78" i="20"/>
  <c r="CB78" i="20" s="1"/>
  <c r="DJ78" i="20" s="1"/>
  <c r="BR78" i="20"/>
  <c r="BQ78" i="20"/>
  <c r="BP78" i="20"/>
  <c r="BO78" i="20"/>
  <c r="BN78" i="20"/>
  <c r="BM78" i="20"/>
  <c r="BL78" i="20"/>
  <c r="BK78" i="20"/>
  <c r="BJ78" i="20"/>
  <c r="BI78" i="20"/>
  <c r="BH78" i="20"/>
  <c r="BG78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A78" i="20"/>
  <c r="FS77" i="20"/>
  <c r="FR77" i="20"/>
  <c r="FQ77" i="20"/>
  <c r="FP77" i="20"/>
  <c r="FO77" i="20"/>
  <c r="FN77" i="20"/>
  <c r="FM77" i="20"/>
  <c r="FL77" i="20"/>
  <c r="FK77" i="20"/>
  <c r="FJ77" i="20"/>
  <c r="FI77" i="20"/>
  <c r="FH77" i="20"/>
  <c r="FG77" i="20"/>
  <c r="FF77" i="20"/>
  <c r="FE77" i="20"/>
  <c r="FD77" i="20"/>
  <c r="FB77" i="20"/>
  <c r="EY77" i="20"/>
  <c r="EV77" i="20"/>
  <c r="ES77" i="20"/>
  <c r="ER77" i="20"/>
  <c r="EJ77" i="20"/>
  <c r="EL77" i="20" s="1"/>
  <c r="EI77" i="20"/>
  <c r="EE77" i="20"/>
  <c r="ED77" i="20"/>
  <c r="EC77" i="20"/>
  <c r="EB77" i="20"/>
  <c r="EA77" i="20"/>
  <c r="DZ77" i="20"/>
  <c r="DY77" i="20"/>
  <c r="DX77" i="20"/>
  <c r="DW77" i="20"/>
  <c r="DV77" i="20"/>
  <c r="DU77" i="20"/>
  <c r="DT77" i="20"/>
  <c r="DS77" i="20"/>
  <c r="DR77" i="20"/>
  <c r="DQ77" i="20"/>
  <c r="DP77" i="20"/>
  <c r="DO77" i="20"/>
  <c r="DN77" i="20"/>
  <c r="DM77" i="20"/>
  <c r="DE77" i="20"/>
  <c r="DD77" i="20"/>
  <c r="DB77" i="20"/>
  <c r="DA77" i="20"/>
  <c r="CW77" i="20"/>
  <c r="CV77" i="20"/>
  <c r="CU77" i="20"/>
  <c r="CT77" i="20"/>
  <c r="CS77" i="20"/>
  <c r="DC77" i="20" s="1"/>
  <c r="CN77" i="20"/>
  <c r="CM77" i="20"/>
  <c r="CL77" i="20"/>
  <c r="CI77" i="20"/>
  <c r="CG77" i="20"/>
  <c r="CF77" i="20"/>
  <c r="CD77" i="20"/>
  <c r="DL77" i="20" s="1"/>
  <c r="CB77" i="20"/>
  <c r="DJ77" i="20" s="1"/>
  <c r="CA77" i="20"/>
  <c r="CE77" i="20" s="1"/>
  <c r="BW77" i="20"/>
  <c r="BZ77" i="20" s="1"/>
  <c r="BV77" i="20"/>
  <c r="BX77" i="20" s="1"/>
  <c r="BU77" i="20"/>
  <c r="CC77" i="20" s="1"/>
  <c r="DK77" i="20" s="1"/>
  <c r="BT77" i="20"/>
  <c r="BS77" i="20"/>
  <c r="BR77" i="20"/>
  <c r="BQ77" i="20"/>
  <c r="BP77" i="20"/>
  <c r="BO77" i="20"/>
  <c r="BN77" i="20"/>
  <c r="BM77" i="20"/>
  <c r="BL77" i="20"/>
  <c r="BK77" i="20"/>
  <c r="BJ77" i="20"/>
  <c r="BI77" i="20"/>
  <c r="BH77" i="20"/>
  <c r="BG77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EH77" i="20" s="1"/>
  <c r="FT77" i="20" s="1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77" i="20"/>
  <c r="FS76" i="20"/>
  <c r="FR76" i="20"/>
  <c r="FQ76" i="20"/>
  <c r="FP76" i="20"/>
  <c r="FO76" i="20"/>
  <c r="FN76" i="20"/>
  <c r="FM76" i="20"/>
  <c r="FL76" i="20"/>
  <c r="FK76" i="20"/>
  <c r="FJ76" i="20"/>
  <c r="FI76" i="20"/>
  <c r="FH76" i="20"/>
  <c r="FG76" i="20"/>
  <c r="FF76" i="20"/>
  <c r="FE76" i="20"/>
  <c r="FD76" i="20"/>
  <c r="FB76" i="20"/>
  <c r="EY76" i="20"/>
  <c r="EV76" i="20"/>
  <c r="ES76" i="20"/>
  <c r="ER76" i="20"/>
  <c r="EH76" i="20"/>
  <c r="FT76" i="20" s="1"/>
  <c r="EE76" i="20"/>
  <c r="ED76" i="20"/>
  <c r="EC76" i="20"/>
  <c r="EB76" i="20"/>
  <c r="EA76" i="20"/>
  <c r="DZ76" i="20"/>
  <c r="DY76" i="20"/>
  <c r="DX76" i="20"/>
  <c r="DW76" i="20"/>
  <c r="DV76" i="20"/>
  <c r="DU76" i="20"/>
  <c r="DT76" i="20"/>
  <c r="DS76" i="20"/>
  <c r="DR76" i="20"/>
  <c r="DQ76" i="20"/>
  <c r="DP76" i="20"/>
  <c r="DO76" i="20"/>
  <c r="DN76" i="20"/>
  <c r="DE76" i="20"/>
  <c r="DD76" i="20"/>
  <c r="DB76" i="20"/>
  <c r="DA76" i="20"/>
  <c r="CW76" i="20"/>
  <c r="CV76" i="20"/>
  <c r="CU76" i="20"/>
  <c r="CS76" i="20"/>
  <c r="CN76" i="20"/>
  <c r="CM76" i="20"/>
  <c r="CL76" i="20"/>
  <c r="CI76" i="20"/>
  <c r="CG76" i="20"/>
  <c r="CF76" i="20"/>
  <c r="BU76" i="20"/>
  <c r="BT76" i="20"/>
  <c r="CD76" i="20" s="1"/>
  <c r="DL76" i="20" s="1"/>
  <c r="BS76" i="20"/>
  <c r="BR76" i="20"/>
  <c r="BQ76" i="20"/>
  <c r="BP76" i="20"/>
  <c r="BO76" i="20"/>
  <c r="BN76" i="20"/>
  <c r="BM76" i="20"/>
  <c r="BL76" i="20"/>
  <c r="BK76" i="20"/>
  <c r="BJ76" i="20"/>
  <c r="BI76" i="20"/>
  <c r="BH76" i="20"/>
  <c r="BG76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76" i="20"/>
  <c r="FS75" i="20"/>
  <c r="FR75" i="20"/>
  <c r="FQ75" i="20"/>
  <c r="FP75" i="20"/>
  <c r="FO75" i="20"/>
  <c r="FN75" i="20"/>
  <c r="FM75" i="20"/>
  <c r="FL75" i="20"/>
  <c r="FK75" i="20"/>
  <c r="FJ75" i="20"/>
  <c r="FI75" i="20"/>
  <c r="FH75" i="20"/>
  <c r="FG75" i="20"/>
  <c r="FF75" i="20"/>
  <c r="FE75" i="20"/>
  <c r="FD75" i="20"/>
  <c r="FB75" i="20"/>
  <c r="EY75" i="20"/>
  <c r="EV75" i="20"/>
  <c r="ES75" i="20"/>
  <c r="ER75" i="20"/>
  <c r="EE75" i="20"/>
  <c r="ED75" i="20"/>
  <c r="EC75" i="20"/>
  <c r="EB75" i="20"/>
  <c r="EA75" i="20"/>
  <c r="DZ75" i="20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E75" i="20"/>
  <c r="DD75" i="20"/>
  <c r="DB75" i="20"/>
  <c r="DA75" i="20"/>
  <c r="CW75" i="20"/>
  <c r="CV75" i="20"/>
  <c r="CU75" i="20"/>
  <c r="CN75" i="20"/>
  <c r="CM75" i="20"/>
  <c r="CL75" i="20"/>
  <c r="CI75" i="20"/>
  <c r="CG75" i="20"/>
  <c r="CF75" i="20"/>
  <c r="CD75" i="20"/>
  <c r="DL75" i="20" s="1"/>
  <c r="CA75" i="20"/>
  <c r="CE75" i="20" s="1"/>
  <c r="DM75" i="20" s="1"/>
  <c r="BT75" i="20"/>
  <c r="BS75" i="20"/>
  <c r="BR75" i="20"/>
  <c r="BQ75" i="20"/>
  <c r="BP75" i="20"/>
  <c r="BO75" i="20"/>
  <c r="BN75" i="20"/>
  <c r="BM75" i="20"/>
  <c r="BU75" i="20" s="1"/>
  <c r="BL75" i="20"/>
  <c r="BK75" i="20"/>
  <c r="BJ75" i="20"/>
  <c r="BI75" i="20"/>
  <c r="BH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A75" i="20"/>
  <c r="FS74" i="20"/>
  <c r="FR74" i="20"/>
  <c r="FQ74" i="20"/>
  <c r="FP74" i="20"/>
  <c r="FO74" i="20"/>
  <c r="FN74" i="20"/>
  <c r="FM74" i="20"/>
  <c r="FL74" i="20"/>
  <c r="FK74" i="20"/>
  <c r="FJ74" i="20"/>
  <c r="FI74" i="20"/>
  <c r="FH74" i="20"/>
  <c r="FG74" i="20"/>
  <c r="FF74" i="20"/>
  <c r="FE74" i="20"/>
  <c r="FD74" i="20"/>
  <c r="FB74" i="20"/>
  <c r="EY74" i="20"/>
  <c r="EV74" i="20"/>
  <c r="ES74" i="20"/>
  <c r="ER74" i="20"/>
  <c r="EE74" i="20"/>
  <c r="ED74" i="20"/>
  <c r="EC74" i="20"/>
  <c r="EB74" i="20"/>
  <c r="EA74" i="20"/>
  <c r="DZ74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E74" i="20"/>
  <c r="DD74" i="20"/>
  <c r="DB74" i="20"/>
  <c r="DA74" i="20"/>
  <c r="CZ74" i="20"/>
  <c r="CW74" i="20"/>
  <c r="CV74" i="20"/>
  <c r="CU74" i="20"/>
  <c r="CN74" i="20"/>
  <c r="CM74" i="20"/>
  <c r="CL74" i="20"/>
  <c r="CI74" i="20"/>
  <c r="CG74" i="20"/>
  <c r="CF74" i="20"/>
  <c r="CE74" i="20"/>
  <c r="DM74" i="20" s="1"/>
  <c r="CD74" i="20"/>
  <c r="DL74" i="20" s="1"/>
  <c r="CC74" i="20"/>
  <c r="DK74" i="20" s="1"/>
  <c r="CB74" i="20"/>
  <c r="DJ74" i="20" s="1"/>
  <c r="CA74" i="20"/>
  <c r="BT74" i="20"/>
  <c r="BS74" i="20"/>
  <c r="BR74" i="20"/>
  <c r="BQ74" i="20"/>
  <c r="BP74" i="20"/>
  <c r="BO74" i="20"/>
  <c r="BN74" i="20"/>
  <c r="BM74" i="20"/>
  <c r="BU74" i="20" s="1"/>
  <c r="BL74" i="20"/>
  <c r="BK74" i="20"/>
  <c r="BJ74" i="20"/>
  <c r="BI74" i="20"/>
  <c r="BH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CJ74" i="20" s="1"/>
  <c r="CK74" i="20" s="1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A74" i="20"/>
  <c r="FS73" i="20"/>
  <c r="FR73" i="20"/>
  <c r="FQ73" i="20"/>
  <c r="FP73" i="20"/>
  <c r="FO73" i="20"/>
  <c r="FN73" i="20"/>
  <c r="FM73" i="20"/>
  <c r="FL73" i="20"/>
  <c r="FK73" i="20"/>
  <c r="FJ73" i="20"/>
  <c r="FI73" i="20"/>
  <c r="FH73" i="20"/>
  <c r="FG73" i="20"/>
  <c r="FF73" i="20"/>
  <c r="FE73" i="20"/>
  <c r="FD73" i="20"/>
  <c r="FB73" i="20"/>
  <c r="EY73" i="20"/>
  <c r="EV73" i="20"/>
  <c r="ES73" i="20"/>
  <c r="ER73" i="20"/>
  <c r="EE73" i="20"/>
  <c r="ED73" i="20"/>
  <c r="EC73" i="20"/>
  <c r="EB73" i="20"/>
  <c r="EA73" i="20"/>
  <c r="DZ73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E73" i="20"/>
  <c r="DD73" i="20"/>
  <c r="DB73" i="20"/>
  <c r="DA73" i="20"/>
  <c r="CW73" i="20"/>
  <c r="CV73" i="20"/>
  <c r="CU73" i="20"/>
  <c r="CN73" i="20"/>
  <c r="CM73" i="20"/>
  <c r="CL73" i="20"/>
  <c r="CI73" i="20"/>
  <c r="CG73" i="20"/>
  <c r="CF73" i="20"/>
  <c r="BT73" i="20"/>
  <c r="CD73" i="20" s="1"/>
  <c r="DL73" i="20" s="1"/>
  <c r="BS73" i="20"/>
  <c r="BR73" i="20"/>
  <c r="BQ73" i="20"/>
  <c r="BP73" i="20"/>
  <c r="BO73" i="20"/>
  <c r="BN73" i="20"/>
  <c r="BM73" i="20"/>
  <c r="BU73" i="20" s="1"/>
  <c r="BL73" i="20"/>
  <c r="CC73" i="20" s="1"/>
  <c r="DK73" i="20" s="1"/>
  <c r="BK73" i="20"/>
  <c r="BJ73" i="20"/>
  <c r="BI73" i="20"/>
  <c r="BH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A73" i="20"/>
  <c r="FS72" i="20"/>
  <c r="FR72" i="20"/>
  <c r="FQ72" i="20"/>
  <c r="FP72" i="20"/>
  <c r="FO72" i="20"/>
  <c r="FN72" i="20"/>
  <c r="FM72" i="20"/>
  <c r="FL72" i="20"/>
  <c r="FK72" i="20"/>
  <c r="FJ72" i="20"/>
  <c r="FI72" i="20"/>
  <c r="FH72" i="20"/>
  <c r="FG72" i="20"/>
  <c r="FF72" i="20"/>
  <c r="FE72" i="20"/>
  <c r="FD72" i="20"/>
  <c r="FB72" i="20"/>
  <c r="EY72" i="20"/>
  <c r="EV72" i="20"/>
  <c r="ES72" i="20"/>
  <c r="ER72" i="20"/>
  <c r="EE72" i="20"/>
  <c r="ED72" i="20"/>
  <c r="EC72" i="20"/>
  <c r="EB72" i="20"/>
  <c r="EA72" i="20"/>
  <c r="DZ72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L72" i="20"/>
  <c r="DE72" i="20"/>
  <c r="DD72" i="20"/>
  <c r="DB72" i="20"/>
  <c r="DA72" i="20"/>
  <c r="CW72" i="20"/>
  <c r="CV72" i="20"/>
  <c r="CU72" i="20"/>
  <c r="CN72" i="20"/>
  <c r="CM72" i="20"/>
  <c r="CL72" i="20"/>
  <c r="CI72" i="20"/>
  <c r="CG72" i="20"/>
  <c r="CF72" i="20"/>
  <c r="CD72" i="20"/>
  <c r="CC72" i="20"/>
  <c r="DK72" i="20" s="1"/>
  <c r="CB72" i="20"/>
  <c r="DJ72" i="20" s="1"/>
  <c r="CA72" i="20"/>
  <c r="CE72" i="20" s="1"/>
  <c r="DM72" i="20" s="1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H72" i="20"/>
  <c r="BG72" i="20"/>
  <c r="BF72" i="20"/>
  <c r="BE72" i="20"/>
  <c r="BD72" i="20"/>
  <c r="BC72" i="20"/>
  <c r="BB72" i="20"/>
  <c r="BA72" i="20"/>
  <c r="CS72" i="20" s="1"/>
  <c r="DC72" i="20" s="1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EH72" i="20" s="1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72" i="20"/>
  <c r="FS71" i="20"/>
  <c r="FR71" i="20"/>
  <c r="FQ71" i="20"/>
  <c r="FP71" i="20"/>
  <c r="FO71" i="20"/>
  <c r="FN71" i="20"/>
  <c r="FM71" i="20"/>
  <c r="FL71" i="20"/>
  <c r="FK71" i="20"/>
  <c r="FJ71" i="20"/>
  <c r="FI71" i="20"/>
  <c r="FH71" i="20"/>
  <c r="FG71" i="20"/>
  <c r="FF71" i="20"/>
  <c r="FE71" i="20"/>
  <c r="FD71" i="20"/>
  <c r="FB71" i="20"/>
  <c r="EY71" i="20"/>
  <c r="EV71" i="20"/>
  <c r="ES71" i="20"/>
  <c r="ER71" i="20"/>
  <c r="EE71" i="20"/>
  <c r="ED71" i="20"/>
  <c r="EC71" i="20"/>
  <c r="EB71" i="20"/>
  <c r="EA71" i="20"/>
  <c r="DZ71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E71" i="20"/>
  <c r="DD71" i="20"/>
  <c r="DB71" i="20"/>
  <c r="DA71" i="20"/>
  <c r="CW71" i="20"/>
  <c r="CV71" i="20"/>
  <c r="CU71" i="20"/>
  <c r="CT71" i="20"/>
  <c r="CS71" i="20"/>
  <c r="CN71" i="20"/>
  <c r="CM71" i="20"/>
  <c r="CL71" i="20"/>
  <c r="CI71" i="20"/>
  <c r="CG71" i="20"/>
  <c r="CF71" i="20"/>
  <c r="BT71" i="20"/>
  <c r="BS71" i="20"/>
  <c r="BR71" i="20"/>
  <c r="BQ71" i="20"/>
  <c r="BP71" i="20"/>
  <c r="BO71" i="20"/>
  <c r="BN71" i="20"/>
  <c r="BM71" i="20"/>
  <c r="BU71" i="20" s="1"/>
  <c r="BL71" i="20"/>
  <c r="BK71" i="20"/>
  <c r="BJ71" i="20"/>
  <c r="BI71" i="20"/>
  <c r="BH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A71" i="20"/>
  <c r="FS70" i="20"/>
  <c r="FR70" i="20"/>
  <c r="FQ70" i="20"/>
  <c r="FP70" i="20"/>
  <c r="FO70" i="20"/>
  <c r="FN70" i="20"/>
  <c r="FM70" i="20"/>
  <c r="FL70" i="20"/>
  <c r="FK70" i="20"/>
  <c r="FJ70" i="20"/>
  <c r="FI70" i="20"/>
  <c r="FH70" i="20"/>
  <c r="FG70" i="20"/>
  <c r="FF70" i="20"/>
  <c r="FE70" i="20"/>
  <c r="FD70" i="20"/>
  <c r="FB70" i="20"/>
  <c r="EY70" i="20"/>
  <c r="EV70" i="20"/>
  <c r="ES70" i="20"/>
  <c r="ER70" i="20"/>
  <c r="EE70" i="20"/>
  <c r="ED70" i="20"/>
  <c r="EC70" i="20"/>
  <c r="EB70" i="20"/>
  <c r="EA70" i="20"/>
  <c r="DZ70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E70" i="20"/>
  <c r="DD70" i="20"/>
  <c r="DB70" i="20"/>
  <c r="DA70" i="20"/>
  <c r="CW70" i="20"/>
  <c r="CV70" i="20"/>
  <c r="CU70" i="20"/>
  <c r="CN70" i="20"/>
  <c r="CM70" i="20"/>
  <c r="CL70" i="20"/>
  <c r="CI70" i="20"/>
  <c r="CG70" i="20"/>
  <c r="CF70" i="20"/>
  <c r="CD70" i="20"/>
  <c r="DL70" i="20" s="1"/>
  <c r="CB70" i="20"/>
  <c r="DJ70" i="20" s="1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H70" i="20"/>
  <c r="BG70" i="20"/>
  <c r="BF70" i="20"/>
  <c r="BE70" i="20"/>
  <c r="BD70" i="20"/>
  <c r="BC70" i="20"/>
  <c r="BB70" i="20"/>
  <c r="BA70" i="20"/>
  <c r="CA70" i="20" s="1"/>
  <c r="CE70" i="20" s="1"/>
  <c r="DM70" i="20" s="1"/>
  <c r="AZ70" i="20"/>
  <c r="AY70" i="20"/>
  <c r="AX70" i="20"/>
  <c r="AW70" i="20"/>
  <c r="AV70" i="20"/>
  <c r="AU70" i="20"/>
  <c r="AT70" i="20"/>
  <c r="AS70" i="20"/>
  <c r="AR70" i="20"/>
  <c r="AQ70" i="20"/>
  <c r="AP70" i="20"/>
  <c r="BW70" i="20" s="1"/>
  <c r="BZ70" i="20" s="1"/>
  <c r="AO70" i="20"/>
  <c r="BV70" i="20" s="1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A70" i="20"/>
  <c r="FS69" i="20"/>
  <c r="FR69" i="20"/>
  <c r="FQ69" i="20"/>
  <c r="FP69" i="20"/>
  <c r="FO69" i="20"/>
  <c r="FN69" i="20"/>
  <c r="FM69" i="20"/>
  <c r="FL69" i="20"/>
  <c r="FK69" i="20"/>
  <c r="FJ69" i="20"/>
  <c r="FI69" i="20"/>
  <c r="FH69" i="20"/>
  <c r="FG69" i="20"/>
  <c r="FF69" i="20"/>
  <c r="FE69" i="20"/>
  <c r="FD69" i="20"/>
  <c r="FB69" i="20"/>
  <c r="EY69" i="20"/>
  <c r="EV69" i="20"/>
  <c r="ES69" i="20"/>
  <c r="ER69" i="20"/>
  <c r="EE69" i="20"/>
  <c r="ED69" i="20"/>
  <c r="EC69" i="20"/>
  <c r="EB69" i="20"/>
  <c r="EA69" i="20"/>
  <c r="DZ69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E69" i="20"/>
  <c r="DD69" i="20"/>
  <c r="DB69" i="20"/>
  <c r="DA69" i="20"/>
  <c r="CZ69" i="20"/>
  <c r="CW69" i="20"/>
  <c r="CV69" i="20"/>
  <c r="CU69" i="20"/>
  <c r="CN69" i="20"/>
  <c r="CM69" i="20"/>
  <c r="CL69" i="20"/>
  <c r="CI69" i="20"/>
  <c r="CG69" i="20"/>
  <c r="CF69" i="20"/>
  <c r="BT69" i="20"/>
  <c r="BS69" i="20"/>
  <c r="BR69" i="20"/>
  <c r="BQ69" i="20"/>
  <c r="BP69" i="20"/>
  <c r="BO69" i="20"/>
  <c r="BN69" i="20"/>
  <c r="BM69" i="20"/>
  <c r="BU69" i="20" s="1"/>
  <c r="BL69" i="20"/>
  <c r="EH69" i="20" s="1"/>
  <c r="BK69" i="20"/>
  <c r="BJ69" i="20"/>
  <c r="BI69" i="20"/>
  <c r="BH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T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CJ69" i="20" s="1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A69" i="20"/>
  <c r="FS68" i="20"/>
  <c r="FR68" i="20"/>
  <c r="FQ68" i="20"/>
  <c r="FP68" i="20"/>
  <c r="FO68" i="20"/>
  <c r="FN68" i="20"/>
  <c r="FM68" i="20"/>
  <c r="FL68" i="20"/>
  <c r="FK68" i="20"/>
  <c r="FJ68" i="20"/>
  <c r="FI68" i="20"/>
  <c r="FH68" i="20"/>
  <c r="FG68" i="20"/>
  <c r="FF68" i="20"/>
  <c r="FE68" i="20"/>
  <c r="FD68" i="20"/>
  <c r="FB68" i="20"/>
  <c r="EY68" i="20"/>
  <c r="EV68" i="20"/>
  <c r="ES68" i="20"/>
  <c r="ER68" i="20"/>
  <c r="EH68" i="20"/>
  <c r="EE68" i="20"/>
  <c r="ED68" i="20"/>
  <c r="EC68" i="20"/>
  <c r="EB68" i="20"/>
  <c r="EA68" i="20"/>
  <c r="DZ68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J68" i="20"/>
  <c r="DE68" i="20"/>
  <c r="DD68" i="20"/>
  <c r="DB68" i="20"/>
  <c r="DA68" i="20"/>
  <c r="CW68" i="20"/>
  <c r="CV68" i="20"/>
  <c r="CU68" i="20"/>
  <c r="CN68" i="20"/>
  <c r="CM68" i="20"/>
  <c r="CL68" i="20"/>
  <c r="CJ68" i="20"/>
  <c r="CI68" i="20"/>
  <c r="CG68" i="20"/>
  <c r="CF68" i="20"/>
  <c r="CB68" i="20"/>
  <c r="BT68" i="20"/>
  <c r="BS68" i="20"/>
  <c r="BR68" i="20"/>
  <c r="BQ68" i="20"/>
  <c r="BP68" i="20"/>
  <c r="BO68" i="20"/>
  <c r="BN68" i="20"/>
  <c r="BM68" i="20"/>
  <c r="BU68" i="20" s="1"/>
  <c r="BL68" i="20"/>
  <c r="BK68" i="20"/>
  <c r="BJ68" i="20"/>
  <c r="BI68" i="20"/>
  <c r="BH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T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A68" i="20"/>
  <c r="FS67" i="20"/>
  <c r="FR67" i="20"/>
  <c r="FQ67" i="20"/>
  <c r="FP67" i="20"/>
  <c r="FO67" i="20"/>
  <c r="FN67" i="20"/>
  <c r="FM67" i="20"/>
  <c r="FL67" i="20"/>
  <c r="FK67" i="20"/>
  <c r="FJ67" i="20"/>
  <c r="FI67" i="20"/>
  <c r="FH67" i="20"/>
  <c r="FG67" i="20"/>
  <c r="FF67" i="20"/>
  <c r="FE67" i="20"/>
  <c r="FD67" i="20"/>
  <c r="FB67" i="20"/>
  <c r="EY67" i="20"/>
  <c r="EV67" i="20"/>
  <c r="ES67" i="20"/>
  <c r="ER67" i="20"/>
  <c r="EI67" i="20"/>
  <c r="EE67" i="20"/>
  <c r="ED67" i="20"/>
  <c r="EC67" i="20"/>
  <c r="EB67" i="20"/>
  <c r="EA67" i="20"/>
  <c r="DZ67" i="20"/>
  <c r="DY67" i="20"/>
  <c r="DX67" i="20"/>
  <c r="DW67" i="20"/>
  <c r="DV67" i="20"/>
  <c r="DU67" i="20"/>
  <c r="DT67" i="20"/>
  <c r="DS67" i="20"/>
  <c r="DR67" i="20"/>
  <c r="DQ67" i="20"/>
  <c r="DP67" i="20"/>
  <c r="DO67" i="20"/>
  <c r="DN67" i="20"/>
  <c r="DE67" i="20"/>
  <c r="DD67" i="20"/>
  <c r="DB67" i="20"/>
  <c r="DA67" i="20"/>
  <c r="CW67" i="20"/>
  <c r="CV67" i="20"/>
  <c r="CU67" i="20"/>
  <c r="CS67" i="20"/>
  <c r="CN67" i="20"/>
  <c r="CM67" i="20"/>
  <c r="CL67" i="20"/>
  <c r="CI67" i="20"/>
  <c r="CG67" i="20"/>
  <c r="CF67" i="20"/>
  <c r="CE67" i="20"/>
  <c r="DM67" i="20" s="1"/>
  <c r="CD67" i="20"/>
  <c r="DL67" i="20" s="1"/>
  <c r="CA67" i="20"/>
  <c r="BX67" i="20"/>
  <c r="BY67" i="20" s="1"/>
  <c r="BU67" i="20"/>
  <c r="BT67" i="20"/>
  <c r="BS67" i="20"/>
  <c r="BR67" i="20"/>
  <c r="BQ67" i="20"/>
  <c r="BP67" i="20"/>
  <c r="BO67" i="20"/>
  <c r="BN67" i="20"/>
  <c r="BM67" i="20"/>
  <c r="BL67" i="20"/>
  <c r="BK67" i="20"/>
  <c r="BJ67" i="20"/>
  <c r="BI67" i="20"/>
  <c r="BH67" i="20"/>
  <c r="BG67" i="20"/>
  <c r="BF67" i="20"/>
  <c r="BE67" i="20"/>
  <c r="BD67" i="20"/>
  <c r="BC67" i="20"/>
  <c r="BB67" i="20"/>
  <c r="BA67" i="20"/>
  <c r="AZ67" i="20"/>
  <c r="AY67" i="20"/>
  <c r="AX67" i="20"/>
  <c r="AW67" i="20"/>
  <c r="AV67" i="20"/>
  <c r="AU67" i="20"/>
  <c r="AT67" i="20"/>
  <c r="AS67" i="20"/>
  <c r="AR67" i="20"/>
  <c r="AQ67" i="20"/>
  <c r="AP67" i="20"/>
  <c r="AO67" i="20"/>
  <c r="AN67" i="20"/>
  <c r="AM67" i="20"/>
  <c r="BV67" i="20" s="1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A67" i="20"/>
  <c r="FS66" i="20"/>
  <c r="FR66" i="20"/>
  <c r="FQ66" i="20"/>
  <c r="FP66" i="20"/>
  <c r="FO66" i="20"/>
  <c r="FN66" i="20"/>
  <c r="FM66" i="20"/>
  <c r="FL66" i="20"/>
  <c r="FK66" i="20"/>
  <c r="FJ66" i="20"/>
  <c r="FI66" i="20"/>
  <c r="FH66" i="20"/>
  <c r="FG66" i="20"/>
  <c r="FF66" i="20"/>
  <c r="FE66" i="20"/>
  <c r="FD66" i="20"/>
  <c r="FB66" i="20"/>
  <c r="EY66" i="20"/>
  <c r="EV66" i="20"/>
  <c r="ES66" i="20"/>
  <c r="ER66" i="20"/>
  <c r="EI66" i="20"/>
  <c r="EH66" i="20"/>
  <c r="EE66" i="20"/>
  <c r="ED66" i="20"/>
  <c r="EC66" i="20"/>
  <c r="EB66" i="20"/>
  <c r="EA66" i="20"/>
  <c r="DZ66" i="20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E66" i="20"/>
  <c r="DD66" i="20"/>
  <c r="DB66" i="20"/>
  <c r="DA66" i="20"/>
  <c r="CW66" i="20"/>
  <c r="CV66" i="20"/>
  <c r="CU66" i="20"/>
  <c r="CN66" i="20"/>
  <c r="CM66" i="20"/>
  <c r="CL66" i="20"/>
  <c r="CI66" i="20"/>
  <c r="CG66" i="20"/>
  <c r="CF66" i="20"/>
  <c r="CD66" i="20"/>
  <c r="DL66" i="20" s="1"/>
  <c r="CC66" i="20"/>
  <c r="DK66" i="20" s="1"/>
  <c r="CA66" i="20"/>
  <c r="CE66" i="20" s="1"/>
  <c r="DM66" i="20" s="1"/>
  <c r="BZ66" i="20"/>
  <c r="BV66" i="20"/>
  <c r="BX66" i="20" s="1"/>
  <c r="BY66" i="20" s="1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H66" i="20"/>
  <c r="BG66" i="20"/>
  <c r="BF66" i="20"/>
  <c r="BE66" i="20"/>
  <c r="BD66" i="20"/>
  <c r="BC66" i="20"/>
  <c r="BB66" i="20"/>
  <c r="BA66" i="20"/>
  <c r="CS66" i="20" s="1"/>
  <c r="AZ66" i="20"/>
  <c r="AY66" i="20"/>
  <c r="AX66" i="20"/>
  <c r="AW66" i="20"/>
  <c r="AV66" i="20"/>
  <c r="AU66" i="20"/>
  <c r="AT66" i="20"/>
  <c r="AS66" i="20"/>
  <c r="AR66" i="20"/>
  <c r="AQ66" i="20"/>
  <c r="AP66" i="20"/>
  <c r="BW66" i="20" s="1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A66" i="20"/>
  <c r="FT65" i="20"/>
  <c r="FS65" i="20"/>
  <c r="FR65" i="20"/>
  <c r="FQ65" i="20"/>
  <c r="FP65" i="20"/>
  <c r="FO65" i="20"/>
  <c r="FN65" i="20"/>
  <c r="FM65" i="20"/>
  <c r="FL65" i="20"/>
  <c r="FK65" i="20"/>
  <c r="FJ65" i="20"/>
  <c r="FI65" i="20"/>
  <c r="FH65" i="20"/>
  <c r="FG65" i="20"/>
  <c r="FF65" i="20"/>
  <c r="FE65" i="20"/>
  <c r="FD65" i="20"/>
  <c r="FB65" i="20"/>
  <c r="EY65" i="20"/>
  <c r="EV65" i="20"/>
  <c r="ES65" i="20"/>
  <c r="ER65" i="20"/>
  <c r="EE65" i="20"/>
  <c r="ED65" i="20"/>
  <c r="EC65" i="20"/>
  <c r="EB65" i="20"/>
  <c r="EA65" i="20"/>
  <c r="DZ65" i="20"/>
  <c r="DY65" i="20"/>
  <c r="DX65" i="20"/>
  <c r="DW65" i="20"/>
  <c r="DV65" i="20"/>
  <c r="DU65" i="20"/>
  <c r="DT65" i="20"/>
  <c r="DS65" i="20"/>
  <c r="DR65" i="20"/>
  <c r="DQ65" i="20"/>
  <c r="DP65" i="20"/>
  <c r="DO65" i="20"/>
  <c r="DN65" i="20"/>
  <c r="DE65" i="20"/>
  <c r="DD65" i="20"/>
  <c r="DB65" i="20"/>
  <c r="DA65" i="20"/>
  <c r="CW65" i="20"/>
  <c r="CV65" i="20"/>
  <c r="CU65" i="20"/>
  <c r="CS65" i="20"/>
  <c r="CN65" i="20"/>
  <c r="CM65" i="20"/>
  <c r="CL65" i="20"/>
  <c r="CI65" i="20"/>
  <c r="CG65" i="20"/>
  <c r="CF65" i="20"/>
  <c r="BW65" i="20"/>
  <c r="BZ65" i="20" s="1"/>
  <c r="BU65" i="20"/>
  <c r="CC65" i="20" s="1"/>
  <c r="DK65" i="20" s="1"/>
  <c r="BT65" i="20"/>
  <c r="CD65" i="20" s="1"/>
  <c r="DL65" i="20" s="1"/>
  <c r="BS65" i="20"/>
  <c r="BR65" i="20"/>
  <c r="BQ65" i="20"/>
  <c r="BP65" i="20"/>
  <c r="BO65" i="20"/>
  <c r="BN65" i="20"/>
  <c r="BM65" i="20"/>
  <c r="BL65" i="20"/>
  <c r="EH65" i="20" s="1"/>
  <c r="EJ65" i="20" s="1"/>
  <c r="EL65" i="20" s="1"/>
  <c r="BK65" i="20"/>
  <c r="BJ65" i="20"/>
  <c r="BI65" i="20"/>
  <c r="BH65" i="20"/>
  <c r="BG65" i="20"/>
  <c r="BF65" i="20"/>
  <c r="BE65" i="20"/>
  <c r="BD65" i="20"/>
  <c r="BC65" i="20"/>
  <c r="BB65" i="20"/>
  <c r="BA65" i="20"/>
  <c r="CA65" i="20" s="1"/>
  <c r="CE65" i="20" s="1"/>
  <c r="DM65" i="20" s="1"/>
  <c r="AZ65" i="20"/>
  <c r="AY65" i="20"/>
  <c r="AX65" i="20"/>
  <c r="AW65" i="20"/>
  <c r="AV65" i="20"/>
  <c r="AU65" i="20"/>
  <c r="AT65" i="20"/>
  <c r="AS65" i="20"/>
  <c r="AR65" i="20"/>
  <c r="AQ65" i="20"/>
  <c r="AP65" i="20"/>
  <c r="AO65" i="20"/>
  <c r="AN65" i="20"/>
  <c r="BV65" i="20" s="1"/>
  <c r="BX65" i="20" s="1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A65" i="20"/>
  <c r="FS64" i="20"/>
  <c r="FR64" i="20"/>
  <c r="FQ64" i="20"/>
  <c r="FP64" i="20"/>
  <c r="FO64" i="20"/>
  <c r="FN64" i="20"/>
  <c r="FM64" i="20"/>
  <c r="FL64" i="20"/>
  <c r="FK64" i="20"/>
  <c r="FJ64" i="20"/>
  <c r="FI64" i="20"/>
  <c r="FH64" i="20"/>
  <c r="FG64" i="20"/>
  <c r="FF64" i="20"/>
  <c r="FE64" i="20"/>
  <c r="FD64" i="20"/>
  <c r="FB64" i="20"/>
  <c r="EY64" i="20"/>
  <c r="EV64" i="20"/>
  <c r="ES64" i="20"/>
  <c r="ER64" i="20"/>
  <c r="EI64" i="20"/>
  <c r="EH64" i="20"/>
  <c r="EE64" i="20"/>
  <c r="ED64" i="20"/>
  <c r="EC64" i="20"/>
  <c r="EB64" i="20"/>
  <c r="EA64" i="20"/>
  <c r="DZ64" i="20"/>
  <c r="DY64" i="20"/>
  <c r="DX64" i="20"/>
  <c r="DW64" i="20"/>
  <c r="DV64" i="20"/>
  <c r="DU64" i="20"/>
  <c r="DT64" i="20"/>
  <c r="DS64" i="20"/>
  <c r="DR64" i="20"/>
  <c r="DQ64" i="20"/>
  <c r="DP64" i="20"/>
  <c r="DO64" i="20"/>
  <c r="DN64" i="20"/>
  <c r="DE64" i="20"/>
  <c r="DD64" i="20"/>
  <c r="DB64" i="20"/>
  <c r="DA64" i="20"/>
  <c r="CW64" i="20"/>
  <c r="CV64" i="20"/>
  <c r="CU64" i="20"/>
  <c r="CN64" i="20"/>
  <c r="CM64" i="20"/>
  <c r="CL64" i="20"/>
  <c r="CI64" i="20"/>
  <c r="CG64" i="20"/>
  <c r="CF64" i="20"/>
  <c r="BU64" i="20"/>
  <c r="BT64" i="20"/>
  <c r="CD64" i="20" s="1"/>
  <c r="DL64" i="20" s="1"/>
  <c r="BS64" i="20"/>
  <c r="CB64" i="20" s="1"/>
  <c r="DJ64" i="20" s="1"/>
  <c r="BR64" i="20"/>
  <c r="BQ64" i="20"/>
  <c r="BP64" i="20"/>
  <c r="BO64" i="20"/>
  <c r="BN64" i="20"/>
  <c r="BM64" i="20"/>
  <c r="BL64" i="20"/>
  <c r="CJ64" i="20" s="1"/>
  <c r="BK64" i="20"/>
  <c r="BJ64" i="20"/>
  <c r="BI64" i="20"/>
  <c r="BH64" i="20"/>
  <c r="BG64" i="20"/>
  <c r="BF64" i="20"/>
  <c r="BE64" i="20"/>
  <c r="BD64" i="20"/>
  <c r="BC64" i="20"/>
  <c r="BB64" i="20"/>
  <c r="BA64" i="20"/>
  <c r="AZ64" i="20"/>
  <c r="AY64" i="20"/>
  <c r="AX64" i="20"/>
  <c r="AW64" i="20"/>
  <c r="AV64" i="20"/>
  <c r="AU64" i="20"/>
  <c r="AT64" i="20"/>
  <c r="AS64" i="20"/>
  <c r="AR64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A64" i="20"/>
  <c r="FS63" i="20"/>
  <c r="FR63" i="20"/>
  <c r="FQ63" i="20"/>
  <c r="FP63" i="20"/>
  <c r="FO63" i="20"/>
  <c r="FN63" i="20"/>
  <c r="FM63" i="20"/>
  <c r="FL63" i="20"/>
  <c r="FK63" i="20"/>
  <c r="FJ63" i="20"/>
  <c r="FI63" i="20"/>
  <c r="FH63" i="20"/>
  <c r="FG63" i="20"/>
  <c r="FF63" i="20"/>
  <c r="FE63" i="20"/>
  <c r="FD63" i="20"/>
  <c r="FB63" i="20"/>
  <c r="EY63" i="20"/>
  <c r="EV63" i="20"/>
  <c r="ES63" i="20"/>
  <c r="ER63" i="20"/>
  <c r="EH63" i="20"/>
  <c r="EE63" i="20"/>
  <c r="ED63" i="20"/>
  <c r="EC63" i="20"/>
  <c r="EB63" i="20"/>
  <c r="EA63" i="20"/>
  <c r="DZ63" i="20"/>
  <c r="DY63" i="20"/>
  <c r="DX63" i="20"/>
  <c r="DW63" i="20"/>
  <c r="DV63" i="20"/>
  <c r="DU63" i="20"/>
  <c r="DT63" i="20"/>
  <c r="DS63" i="20"/>
  <c r="DR63" i="20"/>
  <c r="DQ63" i="20"/>
  <c r="DP63" i="20"/>
  <c r="DO63" i="20"/>
  <c r="DN63" i="20"/>
  <c r="DL63" i="20"/>
  <c r="DE63" i="20"/>
  <c r="DD63" i="20"/>
  <c r="DB63" i="20"/>
  <c r="DA63" i="20"/>
  <c r="CW63" i="20"/>
  <c r="CV63" i="20"/>
  <c r="CU63" i="20"/>
  <c r="CN63" i="20"/>
  <c r="CM63" i="20"/>
  <c r="CL63" i="20"/>
  <c r="CI63" i="20"/>
  <c r="CG63" i="20"/>
  <c r="CF63" i="20"/>
  <c r="CD63" i="20"/>
  <c r="CB63" i="20"/>
  <c r="DJ63" i="20" s="1"/>
  <c r="BT63" i="20"/>
  <c r="BS63" i="20"/>
  <c r="BR63" i="20"/>
  <c r="BQ63" i="20"/>
  <c r="BP63" i="20"/>
  <c r="BO63" i="20"/>
  <c r="BN63" i="20"/>
  <c r="BM63" i="20"/>
  <c r="BU63" i="20" s="1"/>
  <c r="BL63" i="20"/>
  <c r="CJ63" i="20" s="1"/>
  <c r="BK63" i="20"/>
  <c r="BJ63" i="20"/>
  <c r="BI63" i="20"/>
  <c r="BH63" i="20"/>
  <c r="BG63" i="20"/>
  <c r="BF63" i="20"/>
  <c r="BE63" i="20"/>
  <c r="BD63" i="20"/>
  <c r="BC63" i="20"/>
  <c r="BB63" i="20"/>
  <c r="BA63" i="20"/>
  <c r="AZ63" i="20"/>
  <c r="AY63" i="20"/>
  <c r="AX63" i="20"/>
  <c r="AW63" i="20"/>
  <c r="AV63" i="20"/>
  <c r="AU63" i="20"/>
  <c r="AT63" i="20"/>
  <c r="AS63" i="20"/>
  <c r="AR63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B63" i="20"/>
  <c r="A63" i="20"/>
  <c r="FS62" i="20"/>
  <c r="FR62" i="20"/>
  <c r="FQ62" i="20"/>
  <c r="FP62" i="20"/>
  <c r="FO62" i="20"/>
  <c r="FN62" i="20"/>
  <c r="FM62" i="20"/>
  <c r="FL62" i="20"/>
  <c r="FK62" i="20"/>
  <c r="FJ62" i="20"/>
  <c r="FI62" i="20"/>
  <c r="FH62" i="20"/>
  <c r="FG62" i="20"/>
  <c r="FF62" i="20"/>
  <c r="FE62" i="20"/>
  <c r="FD62" i="20"/>
  <c r="FB62" i="20"/>
  <c r="EY62" i="20"/>
  <c r="EV62" i="20"/>
  <c r="ES62" i="20"/>
  <c r="ER62" i="20"/>
  <c r="EJ62" i="20"/>
  <c r="EL62" i="20" s="1"/>
  <c r="EH62" i="20"/>
  <c r="FT62" i="20" s="1"/>
  <c r="EE62" i="20"/>
  <c r="ED62" i="20"/>
  <c r="EC62" i="20"/>
  <c r="EB62" i="20"/>
  <c r="EA62" i="20"/>
  <c r="DZ62" i="20"/>
  <c r="DY62" i="20"/>
  <c r="DX62" i="20"/>
  <c r="DW62" i="20"/>
  <c r="DV62" i="20"/>
  <c r="DU62" i="20"/>
  <c r="DT62" i="20"/>
  <c r="DS62" i="20"/>
  <c r="DR62" i="20"/>
  <c r="DQ62" i="20"/>
  <c r="DP62" i="20"/>
  <c r="DO62" i="20"/>
  <c r="DN62" i="20"/>
  <c r="DL62" i="20"/>
  <c r="DE62" i="20"/>
  <c r="DD62" i="20"/>
  <c r="DB62" i="20"/>
  <c r="DA62" i="20"/>
  <c r="CW62" i="20"/>
  <c r="CV62" i="20"/>
  <c r="CU62" i="20"/>
  <c r="CN62" i="20"/>
  <c r="CM62" i="20"/>
  <c r="CL62" i="20"/>
  <c r="CJ62" i="20"/>
  <c r="CI62" i="20"/>
  <c r="CG62" i="20"/>
  <c r="CF62" i="20"/>
  <c r="CD62" i="20"/>
  <c r="BU62" i="20"/>
  <c r="BT62" i="20"/>
  <c r="BS62" i="20"/>
  <c r="BR62" i="20"/>
  <c r="BQ62" i="20"/>
  <c r="BP62" i="20"/>
  <c r="BO62" i="20"/>
  <c r="BN62" i="20"/>
  <c r="BM62" i="20"/>
  <c r="BL62" i="20"/>
  <c r="CB62" i="20" s="1"/>
  <c r="DJ62" i="20" s="1"/>
  <c r="BK62" i="20"/>
  <c r="BJ62" i="20"/>
  <c r="BI62" i="20"/>
  <c r="BH62" i="20"/>
  <c r="BG62" i="20"/>
  <c r="BF62" i="20"/>
  <c r="BE62" i="20"/>
  <c r="BD62" i="20"/>
  <c r="BC62" i="20"/>
  <c r="BB62" i="20"/>
  <c r="BA62" i="20"/>
  <c r="CA62" i="20" s="1"/>
  <c r="CE62" i="20" s="1"/>
  <c r="DM62" i="20" s="1"/>
  <c r="AZ62" i="20"/>
  <c r="AY62" i="20"/>
  <c r="AX62" i="20"/>
  <c r="AW62" i="20"/>
  <c r="AV62" i="20"/>
  <c r="AU62" i="20"/>
  <c r="AT62" i="20"/>
  <c r="AS62" i="20"/>
  <c r="AR62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A62" i="20"/>
  <c r="FS61" i="20"/>
  <c r="FR61" i="20"/>
  <c r="FQ61" i="20"/>
  <c r="FP61" i="20"/>
  <c r="FO61" i="20"/>
  <c r="FN61" i="20"/>
  <c r="FM61" i="20"/>
  <c r="FL61" i="20"/>
  <c r="FK61" i="20"/>
  <c r="FJ61" i="20"/>
  <c r="FI61" i="20"/>
  <c r="FH61" i="20"/>
  <c r="FG61" i="20"/>
  <c r="FF61" i="20"/>
  <c r="FE61" i="20"/>
  <c r="FD61" i="20"/>
  <c r="FB61" i="20"/>
  <c r="EY61" i="20"/>
  <c r="EV61" i="20"/>
  <c r="ES61" i="20"/>
  <c r="ER61" i="20"/>
  <c r="EE61" i="20"/>
  <c r="ED61" i="20"/>
  <c r="EC61" i="20"/>
  <c r="EB61" i="20"/>
  <c r="EA61" i="20"/>
  <c r="DZ61" i="20"/>
  <c r="DY61" i="20"/>
  <c r="DX61" i="20"/>
  <c r="DW61" i="20"/>
  <c r="DV61" i="20"/>
  <c r="DU61" i="20"/>
  <c r="DT61" i="20"/>
  <c r="DS61" i="20"/>
  <c r="DR61" i="20"/>
  <c r="DQ61" i="20"/>
  <c r="DP61" i="20"/>
  <c r="DO61" i="20"/>
  <c r="DN61" i="20"/>
  <c r="DE61" i="20"/>
  <c r="DD61" i="20"/>
  <c r="DB61" i="20"/>
  <c r="DA61" i="20"/>
  <c r="CW61" i="20"/>
  <c r="CV61" i="20"/>
  <c r="CU61" i="20"/>
  <c r="CN61" i="20"/>
  <c r="CM61" i="20"/>
  <c r="CL61" i="20"/>
  <c r="CI61" i="20"/>
  <c r="CG61" i="20"/>
  <c r="CF61" i="20"/>
  <c r="BT61" i="20"/>
  <c r="BS61" i="20"/>
  <c r="BR61" i="20"/>
  <c r="BQ61" i="20"/>
  <c r="BP61" i="20"/>
  <c r="BO61" i="20"/>
  <c r="BN61" i="20"/>
  <c r="BM61" i="20"/>
  <c r="BU61" i="20" s="1"/>
  <c r="BL61" i="20"/>
  <c r="BK61" i="20"/>
  <c r="BJ61" i="20"/>
  <c r="BI61" i="20"/>
  <c r="BH61" i="20"/>
  <c r="BG61" i="20"/>
  <c r="BF61" i="20"/>
  <c r="BE61" i="20"/>
  <c r="BD61" i="20"/>
  <c r="BC61" i="20"/>
  <c r="BB61" i="20"/>
  <c r="BA61" i="20"/>
  <c r="AZ61" i="20"/>
  <c r="AY61" i="20"/>
  <c r="AX61" i="20"/>
  <c r="AW61" i="20"/>
  <c r="AV61" i="20"/>
  <c r="AU61" i="20"/>
  <c r="AT61" i="20"/>
  <c r="AS61" i="20"/>
  <c r="AR61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B61" i="20"/>
  <c r="A61" i="20"/>
  <c r="FS60" i="20"/>
  <c r="FR60" i="20"/>
  <c r="FQ60" i="20"/>
  <c r="FP60" i="20"/>
  <c r="FO60" i="20"/>
  <c r="FN60" i="20"/>
  <c r="FM60" i="20"/>
  <c r="FL60" i="20"/>
  <c r="FK60" i="20"/>
  <c r="FJ60" i="20"/>
  <c r="FI60" i="20"/>
  <c r="FH60" i="20"/>
  <c r="FG60" i="20"/>
  <c r="FF60" i="20"/>
  <c r="FE60" i="20"/>
  <c r="FD60" i="20"/>
  <c r="FB60" i="20"/>
  <c r="EY60" i="20"/>
  <c r="EV60" i="20"/>
  <c r="ES60" i="20"/>
  <c r="ER60" i="20"/>
  <c r="EE60" i="20"/>
  <c r="ED60" i="20"/>
  <c r="EC60" i="20"/>
  <c r="EB60" i="20"/>
  <c r="EA60" i="20"/>
  <c r="DZ60" i="20"/>
  <c r="DY60" i="20"/>
  <c r="DX60" i="20"/>
  <c r="DW60" i="20"/>
  <c r="DV60" i="20"/>
  <c r="DU60" i="20"/>
  <c r="DT60" i="20"/>
  <c r="DS60" i="20"/>
  <c r="DR60" i="20"/>
  <c r="DQ60" i="20"/>
  <c r="DP60" i="20"/>
  <c r="DO60" i="20"/>
  <c r="DN60" i="20"/>
  <c r="DE60" i="20"/>
  <c r="DD60" i="20"/>
  <c r="DB60" i="20"/>
  <c r="DA60" i="20"/>
  <c r="CZ60" i="20"/>
  <c r="CW60" i="20"/>
  <c r="CV60" i="20"/>
  <c r="CU60" i="20"/>
  <c r="CN60" i="20"/>
  <c r="CM60" i="20"/>
  <c r="CL60" i="20"/>
  <c r="CI60" i="20"/>
  <c r="CG60" i="20"/>
  <c r="CF60" i="20"/>
  <c r="CA60" i="20"/>
  <c r="CE60" i="20" s="1"/>
  <c r="DM60" i="20" s="1"/>
  <c r="BW60" i="20"/>
  <c r="BZ60" i="20" s="1"/>
  <c r="BV60" i="20"/>
  <c r="BX60" i="20" s="1"/>
  <c r="BT60" i="20"/>
  <c r="CD60" i="20" s="1"/>
  <c r="DL60" i="20" s="1"/>
  <c r="BS60" i="20"/>
  <c r="BR60" i="20"/>
  <c r="BQ60" i="20"/>
  <c r="BP60" i="20"/>
  <c r="BO60" i="20"/>
  <c r="BN60" i="20"/>
  <c r="BM60" i="20"/>
  <c r="BU60" i="20" s="1"/>
  <c r="BL60" i="20"/>
  <c r="CJ60" i="20" s="1"/>
  <c r="CK60" i="20" s="1"/>
  <c r="BK60" i="20"/>
  <c r="BJ60" i="20"/>
  <c r="BI60" i="20"/>
  <c r="BH60" i="20"/>
  <c r="BG60" i="20"/>
  <c r="BF60" i="20"/>
  <c r="BE60" i="20"/>
  <c r="BD60" i="20"/>
  <c r="BC60" i="20"/>
  <c r="BB60" i="20"/>
  <c r="BA60" i="20"/>
  <c r="AZ60" i="20"/>
  <c r="AY60" i="20"/>
  <c r="AX60" i="20"/>
  <c r="AW60" i="20"/>
  <c r="AV60" i="20"/>
  <c r="AU60" i="20"/>
  <c r="AT60" i="20"/>
  <c r="AS60" i="20"/>
  <c r="AR60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A60" i="20"/>
  <c r="FS59" i="20"/>
  <c r="FR59" i="20"/>
  <c r="FQ59" i="20"/>
  <c r="FP59" i="20"/>
  <c r="FO59" i="20"/>
  <c r="FN59" i="20"/>
  <c r="FM59" i="20"/>
  <c r="FL59" i="20"/>
  <c r="FK59" i="20"/>
  <c r="FJ59" i="20"/>
  <c r="FI59" i="20"/>
  <c r="FH59" i="20"/>
  <c r="FG59" i="20"/>
  <c r="FF59" i="20"/>
  <c r="FE59" i="20"/>
  <c r="FD59" i="20"/>
  <c r="FB59" i="20"/>
  <c r="EY59" i="20"/>
  <c r="EV59" i="20"/>
  <c r="ES59" i="20"/>
  <c r="ER59" i="20"/>
  <c r="EE59" i="20"/>
  <c r="ED59" i="20"/>
  <c r="EC59" i="20"/>
  <c r="EB59" i="20"/>
  <c r="EA59" i="20"/>
  <c r="DZ59" i="20"/>
  <c r="DY59" i="20"/>
  <c r="DX59" i="20"/>
  <c r="DW59" i="20"/>
  <c r="DV59" i="20"/>
  <c r="DU59" i="20"/>
  <c r="DT59" i="20"/>
  <c r="DS59" i="20"/>
  <c r="DR59" i="20"/>
  <c r="DQ59" i="20"/>
  <c r="DP59" i="20"/>
  <c r="DO59" i="20"/>
  <c r="DN59" i="20"/>
  <c r="DE59" i="20"/>
  <c r="DD59" i="20"/>
  <c r="DB59" i="20"/>
  <c r="DA59" i="20"/>
  <c r="CW59" i="20"/>
  <c r="CV59" i="20"/>
  <c r="CU59" i="20"/>
  <c r="CN59" i="20"/>
  <c r="CM59" i="20"/>
  <c r="CL59" i="20"/>
  <c r="CI59" i="20"/>
  <c r="CG59" i="20"/>
  <c r="CF59" i="20"/>
  <c r="BU59" i="20"/>
  <c r="BT59" i="20"/>
  <c r="CD59" i="20" s="1"/>
  <c r="DL59" i="20" s="1"/>
  <c r="BS59" i="20"/>
  <c r="BR59" i="20"/>
  <c r="BQ59" i="20"/>
  <c r="BP59" i="20"/>
  <c r="BO59" i="20"/>
  <c r="BN59" i="20"/>
  <c r="BM59" i="20"/>
  <c r="BL59" i="20"/>
  <c r="BK59" i="20"/>
  <c r="BJ59" i="20"/>
  <c r="BI59" i="20"/>
  <c r="BH59" i="20"/>
  <c r="BG59" i="20"/>
  <c r="BF59" i="20"/>
  <c r="BE59" i="20"/>
  <c r="BD59" i="20"/>
  <c r="BC59" i="20"/>
  <c r="BB59" i="20"/>
  <c r="BA59" i="20"/>
  <c r="CS59" i="20" s="1"/>
  <c r="AZ59" i="20"/>
  <c r="AY59" i="20"/>
  <c r="AX59" i="20"/>
  <c r="AW59" i="20"/>
  <c r="AV59" i="20"/>
  <c r="AU59" i="20"/>
  <c r="AT59" i="20"/>
  <c r="AS59" i="20"/>
  <c r="AR59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CJ59" i="20" s="1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A59" i="20"/>
  <c r="FS58" i="20"/>
  <c r="FR58" i="20"/>
  <c r="FQ58" i="20"/>
  <c r="FP58" i="20"/>
  <c r="FO58" i="20"/>
  <c r="FN58" i="20"/>
  <c r="FM58" i="20"/>
  <c r="FL58" i="20"/>
  <c r="FK58" i="20"/>
  <c r="FJ58" i="20"/>
  <c r="FI58" i="20"/>
  <c r="FH58" i="20"/>
  <c r="FG58" i="20"/>
  <c r="FF58" i="20"/>
  <c r="FE58" i="20"/>
  <c r="FD58" i="20"/>
  <c r="FB58" i="20"/>
  <c r="EY58" i="20"/>
  <c r="EV58" i="20"/>
  <c r="ES58" i="20"/>
  <c r="ER58" i="20"/>
  <c r="EE58" i="20"/>
  <c r="ED58" i="20"/>
  <c r="EC58" i="20"/>
  <c r="EB58" i="20"/>
  <c r="EA58" i="20"/>
  <c r="DZ58" i="20"/>
  <c r="DY58" i="20"/>
  <c r="DX58" i="20"/>
  <c r="DW58" i="20"/>
  <c r="DV58" i="20"/>
  <c r="DU58" i="20"/>
  <c r="DT58" i="20"/>
  <c r="DS58" i="20"/>
  <c r="DR58" i="20"/>
  <c r="DQ58" i="20"/>
  <c r="DP58" i="20"/>
  <c r="DO58" i="20"/>
  <c r="DN58" i="20"/>
  <c r="DL58" i="20"/>
  <c r="DE58" i="20"/>
  <c r="DD58" i="20"/>
  <c r="DB58" i="20"/>
  <c r="DA58" i="20"/>
  <c r="CW58" i="20"/>
  <c r="CV58" i="20"/>
  <c r="CU58" i="20"/>
  <c r="CN58" i="20"/>
  <c r="CM58" i="20"/>
  <c r="CL58" i="20"/>
  <c r="CI58" i="20"/>
  <c r="CG58" i="20"/>
  <c r="CF58" i="20"/>
  <c r="BU58" i="20"/>
  <c r="BT58" i="20"/>
  <c r="CD58" i="20" s="1"/>
  <c r="BS58" i="20"/>
  <c r="BR58" i="20"/>
  <c r="BQ58" i="20"/>
  <c r="BP58" i="20"/>
  <c r="BO58" i="20"/>
  <c r="BN58" i="20"/>
  <c r="BM58" i="20"/>
  <c r="BL58" i="20"/>
  <c r="BK58" i="20"/>
  <c r="BJ58" i="20"/>
  <c r="BI58" i="20"/>
  <c r="BH58" i="20"/>
  <c r="BG58" i="20"/>
  <c r="BF58" i="20"/>
  <c r="BE58" i="20"/>
  <c r="BD58" i="20"/>
  <c r="BC58" i="20"/>
  <c r="BB58" i="20"/>
  <c r="BA58" i="20"/>
  <c r="AZ58" i="20"/>
  <c r="AY58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A58" i="20"/>
  <c r="FS57" i="20"/>
  <c r="FR57" i="20"/>
  <c r="FQ57" i="20"/>
  <c r="FP57" i="20"/>
  <c r="FO57" i="20"/>
  <c r="FN57" i="20"/>
  <c r="FM57" i="20"/>
  <c r="FL57" i="20"/>
  <c r="FK57" i="20"/>
  <c r="FJ57" i="20"/>
  <c r="FI57" i="20"/>
  <c r="FH57" i="20"/>
  <c r="FG57" i="20"/>
  <c r="FF57" i="20"/>
  <c r="FE57" i="20"/>
  <c r="FD57" i="20"/>
  <c r="FB57" i="20"/>
  <c r="EY57" i="20"/>
  <c r="EV57" i="20"/>
  <c r="ES57" i="20"/>
  <c r="ER57" i="20"/>
  <c r="EI57" i="20"/>
  <c r="EH57" i="20"/>
  <c r="EE57" i="20"/>
  <c r="ED57" i="20"/>
  <c r="EC57" i="20"/>
  <c r="EB57" i="20"/>
  <c r="EA57" i="20"/>
  <c r="DZ57" i="20"/>
  <c r="DY57" i="20"/>
  <c r="DX57" i="20"/>
  <c r="DW57" i="20"/>
  <c r="DV57" i="20"/>
  <c r="DU57" i="20"/>
  <c r="DT57" i="20"/>
  <c r="DS57" i="20"/>
  <c r="DR57" i="20"/>
  <c r="DQ57" i="20"/>
  <c r="DP57" i="20"/>
  <c r="DO57" i="20"/>
  <c r="DN57" i="20"/>
  <c r="DE57" i="20"/>
  <c r="DD57" i="20"/>
  <c r="DB57" i="20"/>
  <c r="DA57" i="20"/>
  <c r="CW57" i="20"/>
  <c r="CV57" i="20"/>
  <c r="CU57" i="20"/>
  <c r="CN57" i="20"/>
  <c r="CM57" i="20"/>
  <c r="CL57" i="20"/>
  <c r="CJ57" i="20"/>
  <c r="CI57" i="20"/>
  <c r="CG57" i="20"/>
  <c r="CF57" i="20"/>
  <c r="BT57" i="20"/>
  <c r="BS57" i="20"/>
  <c r="BR57" i="20"/>
  <c r="BQ57" i="20"/>
  <c r="BP57" i="20"/>
  <c r="BO57" i="20"/>
  <c r="BN57" i="20"/>
  <c r="CS57" i="20" s="1"/>
  <c r="BM57" i="20"/>
  <c r="BU57" i="20" s="1"/>
  <c r="BL57" i="20"/>
  <c r="BK57" i="20"/>
  <c r="BJ57" i="20"/>
  <c r="BI57" i="20"/>
  <c r="BH57" i="20"/>
  <c r="BG57" i="20"/>
  <c r="BF57" i="20"/>
  <c r="BE57" i="20"/>
  <c r="BD57" i="20"/>
  <c r="BC57" i="20"/>
  <c r="BB57" i="20"/>
  <c r="BA57" i="20"/>
  <c r="AZ57" i="20"/>
  <c r="AY57" i="20"/>
  <c r="AX57" i="20"/>
  <c r="AW57" i="20"/>
  <c r="AV57" i="20"/>
  <c r="AU57" i="20"/>
  <c r="AT57" i="20"/>
  <c r="AS57" i="20"/>
  <c r="AR57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A57" i="20"/>
  <c r="FT56" i="20"/>
  <c r="FS56" i="20"/>
  <c r="FR56" i="20"/>
  <c r="FQ56" i="20"/>
  <c r="FP56" i="20"/>
  <c r="FO56" i="20"/>
  <c r="FN56" i="20"/>
  <c r="FM56" i="20"/>
  <c r="FL56" i="20"/>
  <c r="FK56" i="20"/>
  <c r="FJ56" i="20"/>
  <c r="FI56" i="20"/>
  <c r="FH56" i="20"/>
  <c r="FG56" i="20"/>
  <c r="FF56" i="20"/>
  <c r="FE56" i="20"/>
  <c r="FD56" i="20"/>
  <c r="FB56" i="20"/>
  <c r="EY56" i="20"/>
  <c r="EV56" i="20"/>
  <c r="ES56" i="20"/>
  <c r="ER56" i="20"/>
  <c r="EL56" i="20"/>
  <c r="EH56" i="20"/>
  <c r="EJ56" i="20" s="1"/>
  <c r="EE56" i="20"/>
  <c r="ED56" i="20"/>
  <c r="EC56" i="20"/>
  <c r="EB56" i="20"/>
  <c r="EA56" i="20"/>
  <c r="DZ56" i="20"/>
  <c r="DY56" i="20"/>
  <c r="DX56" i="20"/>
  <c r="DW56" i="20"/>
  <c r="DV56" i="20"/>
  <c r="DU56" i="20"/>
  <c r="DT56" i="20"/>
  <c r="DS56" i="20"/>
  <c r="DR56" i="20"/>
  <c r="DQ56" i="20"/>
  <c r="DP56" i="20"/>
  <c r="DO56" i="20"/>
  <c r="DN56" i="20"/>
  <c r="DE56" i="20"/>
  <c r="DD56" i="20"/>
  <c r="DB56" i="20"/>
  <c r="DA56" i="20"/>
  <c r="CW56" i="20"/>
  <c r="CV56" i="20"/>
  <c r="CU56" i="20"/>
  <c r="CS56" i="20"/>
  <c r="CR56" i="20"/>
  <c r="CN56" i="20"/>
  <c r="CM56" i="20"/>
  <c r="CL56" i="20"/>
  <c r="CK56" i="20"/>
  <c r="CO56" i="20" s="1"/>
  <c r="CJ56" i="20"/>
  <c r="CZ56" i="20" s="1"/>
  <c r="CI56" i="20"/>
  <c r="CG56" i="20"/>
  <c r="CF56" i="20"/>
  <c r="CB56" i="20"/>
  <c r="DJ56" i="20" s="1"/>
  <c r="BU56" i="20"/>
  <c r="BT56" i="20"/>
  <c r="CD56" i="20" s="1"/>
  <c r="DL56" i="20" s="1"/>
  <c r="BS56" i="20"/>
  <c r="BR56" i="20"/>
  <c r="BQ56" i="20"/>
  <c r="BP56" i="20"/>
  <c r="BO56" i="20"/>
  <c r="BN56" i="20"/>
  <c r="BM56" i="20"/>
  <c r="BL56" i="20"/>
  <c r="BK56" i="20"/>
  <c r="BJ56" i="20"/>
  <c r="BI56" i="20"/>
  <c r="BH56" i="20"/>
  <c r="BG56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56" i="20"/>
  <c r="FS55" i="20"/>
  <c r="FR55" i="20"/>
  <c r="FQ55" i="20"/>
  <c r="FP55" i="20"/>
  <c r="FO55" i="20"/>
  <c r="FN55" i="20"/>
  <c r="FM55" i="20"/>
  <c r="FL55" i="20"/>
  <c r="FK55" i="20"/>
  <c r="FJ55" i="20"/>
  <c r="FI55" i="20"/>
  <c r="FH55" i="20"/>
  <c r="FG55" i="20"/>
  <c r="FF55" i="20"/>
  <c r="FE55" i="20"/>
  <c r="FD55" i="20"/>
  <c r="FB55" i="20"/>
  <c r="EY55" i="20"/>
  <c r="EV55" i="20"/>
  <c r="ES55" i="20"/>
  <c r="ER55" i="20"/>
  <c r="EE55" i="20"/>
  <c r="ED55" i="20"/>
  <c r="EC55" i="20"/>
  <c r="EB55" i="20"/>
  <c r="EA55" i="20"/>
  <c r="DZ55" i="20"/>
  <c r="DY55" i="20"/>
  <c r="DX55" i="20"/>
  <c r="DW55" i="20"/>
  <c r="DV55" i="20"/>
  <c r="DU55" i="20"/>
  <c r="DT55" i="20"/>
  <c r="DS55" i="20"/>
  <c r="DR55" i="20"/>
  <c r="DQ55" i="20"/>
  <c r="DP55" i="20"/>
  <c r="DO55" i="20"/>
  <c r="DN55" i="20"/>
  <c r="DE55" i="20"/>
  <c r="DD55" i="20"/>
  <c r="DB55" i="20"/>
  <c r="DA55" i="20"/>
  <c r="CW55" i="20"/>
  <c r="CV55" i="20"/>
  <c r="CU55" i="20"/>
  <c r="CT55" i="20"/>
  <c r="CS55" i="20"/>
  <c r="CN55" i="20"/>
  <c r="CM55" i="20"/>
  <c r="CL55" i="20"/>
  <c r="CI55" i="20"/>
  <c r="CG55" i="20"/>
  <c r="CF55" i="20"/>
  <c r="CB55" i="20"/>
  <c r="DJ55" i="20" s="1"/>
  <c r="BZ55" i="20"/>
  <c r="BW55" i="20"/>
  <c r="BV55" i="20"/>
  <c r="BX55" i="20" s="1"/>
  <c r="BU55" i="20"/>
  <c r="BT55" i="20"/>
  <c r="CD55" i="20" s="1"/>
  <c r="DL55" i="20" s="1"/>
  <c r="BS55" i="20"/>
  <c r="BR55" i="20"/>
  <c r="BQ55" i="20"/>
  <c r="BP55" i="20"/>
  <c r="BO55" i="20"/>
  <c r="BN55" i="20"/>
  <c r="BM55" i="20"/>
  <c r="BL55" i="20"/>
  <c r="BK55" i="20"/>
  <c r="BJ55" i="20"/>
  <c r="BI55" i="20"/>
  <c r="BH55" i="20"/>
  <c r="BG55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EH55" i="20" s="1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A55" i="20"/>
  <c r="FT54" i="20"/>
  <c r="FS54" i="20"/>
  <c r="FR54" i="20"/>
  <c r="FQ54" i="20"/>
  <c r="FP54" i="20"/>
  <c r="FO54" i="20"/>
  <c r="FN54" i="20"/>
  <c r="FM54" i="20"/>
  <c r="FL54" i="20"/>
  <c r="FK54" i="20"/>
  <c r="FJ54" i="20"/>
  <c r="FI54" i="20"/>
  <c r="FH54" i="20"/>
  <c r="FG54" i="20"/>
  <c r="FF54" i="20"/>
  <c r="FE54" i="20"/>
  <c r="FD54" i="20"/>
  <c r="FB54" i="20"/>
  <c r="EY54" i="20"/>
  <c r="EV54" i="20"/>
  <c r="ES54" i="20"/>
  <c r="ER54" i="20"/>
  <c r="EJ54" i="20"/>
  <c r="EL54" i="20" s="1"/>
  <c r="EH54" i="20"/>
  <c r="EE54" i="20"/>
  <c r="ED54" i="20"/>
  <c r="EC54" i="20"/>
  <c r="EB54" i="20"/>
  <c r="EA54" i="20"/>
  <c r="DZ54" i="20"/>
  <c r="DY54" i="20"/>
  <c r="DX54" i="20"/>
  <c r="DW54" i="20"/>
  <c r="DV54" i="20"/>
  <c r="DU54" i="20"/>
  <c r="DT54" i="20"/>
  <c r="DS54" i="20"/>
  <c r="DR54" i="20"/>
  <c r="DQ54" i="20"/>
  <c r="DP54" i="20"/>
  <c r="DO54" i="20"/>
  <c r="DN54" i="20"/>
  <c r="DJ54" i="20"/>
  <c r="DE54" i="20"/>
  <c r="DD54" i="20"/>
  <c r="DB54" i="20"/>
  <c r="DA54" i="20"/>
  <c r="CW54" i="20"/>
  <c r="CV54" i="20"/>
  <c r="CU54" i="20"/>
  <c r="CS54" i="20"/>
  <c r="CN54" i="20"/>
  <c r="CM54" i="20"/>
  <c r="CL54" i="20"/>
  <c r="CI54" i="20"/>
  <c r="CG54" i="20"/>
  <c r="CF54" i="20"/>
  <c r="CB54" i="20"/>
  <c r="CA54" i="20"/>
  <c r="CE54" i="20" s="1"/>
  <c r="DM54" i="20" s="1"/>
  <c r="BX54" i="20"/>
  <c r="BV54" i="20"/>
  <c r="BU54" i="20"/>
  <c r="BT54" i="20"/>
  <c r="BS54" i="20"/>
  <c r="BR54" i="20"/>
  <c r="BQ54" i="20"/>
  <c r="BP54" i="20"/>
  <c r="BO54" i="20"/>
  <c r="BN54" i="20"/>
  <c r="BM54" i="20"/>
  <c r="BL54" i="20"/>
  <c r="CJ54" i="20" s="1"/>
  <c r="CZ54" i="20" s="1"/>
  <c r="BK54" i="20"/>
  <c r="BJ54" i="20"/>
  <c r="BI54" i="20"/>
  <c r="BH54" i="20"/>
  <c r="BG54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A54" i="20"/>
  <c r="FS53" i="20"/>
  <c r="FR53" i="20"/>
  <c r="FQ53" i="20"/>
  <c r="FP53" i="20"/>
  <c r="FO53" i="20"/>
  <c r="FN53" i="20"/>
  <c r="FM53" i="20"/>
  <c r="FL53" i="20"/>
  <c r="FK53" i="20"/>
  <c r="FJ53" i="20"/>
  <c r="FI53" i="20"/>
  <c r="FH53" i="20"/>
  <c r="FG53" i="20"/>
  <c r="FF53" i="20"/>
  <c r="FE53" i="20"/>
  <c r="FD53" i="20"/>
  <c r="FB53" i="20"/>
  <c r="EY53" i="20"/>
  <c r="EV53" i="20"/>
  <c r="ES53" i="20"/>
  <c r="ER53" i="20"/>
  <c r="EE53" i="20"/>
  <c r="ED53" i="20"/>
  <c r="EC53" i="20"/>
  <c r="EB53" i="20"/>
  <c r="EA53" i="20"/>
  <c r="DZ53" i="20"/>
  <c r="DY53" i="20"/>
  <c r="DX53" i="20"/>
  <c r="DW53" i="20"/>
  <c r="DV53" i="20"/>
  <c r="DU53" i="20"/>
  <c r="DT53" i="20"/>
  <c r="DS53" i="20"/>
  <c r="DR53" i="20"/>
  <c r="DQ53" i="20"/>
  <c r="DP53" i="20"/>
  <c r="DO53" i="20"/>
  <c r="DN53" i="20"/>
  <c r="DE53" i="20"/>
  <c r="DD53" i="20"/>
  <c r="DB53" i="20"/>
  <c r="DA53" i="20"/>
  <c r="CW53" i="20"/>
  <c r="CV53" i="20"/>
  <c r="CU53" i="20"/>
  <c r="CS53" i="20"/>
  <c r="CN53" i="20"/>
  <c r="CM53" i="20"/>
  <c r="CL53" i="20"/>
  <c r="CI53" i="20"/>
  <c r="CG53" i="20"/>
  <c r="CF53" i="20"/>
  <c r="CE53" i="20"/>
  <c r="DM53" i="20" s="1"/>
  <c r="CD53" i="20"/>
  <c r="DL53" i="20" s="1"/>
  <c r="CB53" i="20"/>
  <c r="DJ53" i="20" s="1"/>
  <c r="CA53" i="20"/>
  <c r="BT53" i="20"/>
  <c r="BS53" i="20"/>
  <c r="BR53" i="20"/>
  <c r="BQ53" i="20"/>
  <c r="BP53" i="20"/>
  <c r="BO53" i="20"/>
  <c r="BN53" i="20"/>
  <c r="BM53" i="20"/>
  <c r="BU53" i="20" s="1"/>
  <c r="BL53" i="20"/>
  <c r="BK53" i="20"/>
  <c r="BJ53" i="20"/>
  <c r="BI53" i="20"/>
  <c r="BH53" i="20"/>
  <c r="BG53" i="20"/>
  <c r="BF53" i="20"/>
  <c r="BE53" i="20"/>
  <c r="BD53" i="20"/>
  <c r="BC53" i="20"/>
  <c r="BB53" i="20"/>
  <c r="BA53" i="20"/>
  <c r="EI53" i="20" s="1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EH53" i="20" s="1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A53" i="20"/>
  <c r="FS52" i="20"/>
  <c r="FR52" i="20"/>
  <c r="FQ52" i="20"/>
  <c r="FP52" i="20"/>
  <c r="FO52" i="20"/>
  <c r="FN52" i="20"/>
  <c r="FM52" i="20"/>
  <c r="FL52" i="20"/>
  <c r="FK52" i="20"/>
  <c r="FJ52" i="20"/>
  <c r="FI52" i="20"/>
  <c r="FH52" i="20"/>
  <c r="FG52" i="20"/>
  <c r="FF52" i="20"/>
  <c r="FE52" i="20"/>
  <c r="FD52" i="20"/>
  <c r="FB52" i="20"/>
  <c r="EY52" i="20"/>
  <c r="EV52" i="20"/>
  <c r="ES52" i="20"/>
  <c r="ER52" i="20"/>
  <c r="EE52" i="20"/>
  <c r="ED52" i="20"/>
  <c r="EC52" i="20"/>
  <c r="EB52" i="20"/>
  <c r="EA52" i="20"/>
  <c r="DZ52" i="20"/>
  <c r="DY52" i="20"/>
  <c r="DX52" i="20"/>
  <c r="DW52" i="20"/>
  <c r="DV52" i="20"/>
  <c r="DU52" i="20"/>
  <c r="DT52" i="20"/>
  <c r="DS52" i="20"/>
  <c r="DR52" i="20"/>
  <c r="DQ52" i="20"/>
  <c r="DP52" i="20"/>
  <c r="DO52" i="20"/>
  <c r="DN52" i="20"/>
  <c r="DE52" i="20"/>
  <c r="DD52" i="20"/>
  <c r="DB52" i="20"/>
  <c r="DA52" i="20"/>
  <c r="CW52" i="20"/>
  <c r="CV52" i="20"/>
  <c r="CU52" i="20"/>
  <c r="CN52" i="20"/>
  <c r="CM52" i="20"/>
  <c r="CL52" i="20"/>
  <c r="CI52" i="20"/>
  <c r="CG52" i="20"/>
  <c r="CF52" i="20"/>
  <c r="CD52" i="20"/>
  <c r="DL52" i="20" s="1"/>
  <c r="BT52" i="20"/>
  <c r="BS52" i="20"/>
  <c r="BR52" i="20"/>
  <c r="BQ52" i="20"/>
  <c r="BP52" i="20"/>
  <c r="BO52" i="20"/>
  <c r="BN52" i="20"/>
  <c r="BM52" i="20"/>
  <c r="BU52" i="20" s="1"/>
  <c r="BL52" i="20"/>
  <c r="BK52" i="20"/>
  <c r="BJ52" i="20"/>
  <c r="BI52" i="20"/>
  <c r="BH52" i="20"/>
  <c r="BG52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BW52" i="20" s="1"/>
  <c r="BZ52" i="20" s="1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EH52" i="20" s="1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52" i="20"/>
  <c r="FS51" i="20"/>
  <c r="FR51" i="20"/>
  <c r="FQ51" i="20"/>
  <c r="FP51" i="20"/>
  <c r="FO51" i="20"/>
  <c r="FN51" i="20"/>
  <c r="FM51" i="20"/>
  <c r="FL51" i="20"/>
  <c r="FK51" i="20"/>
  <c r="FJ51" i="20"/>
  <c r="FI51" i="20"/>
  <c r="FH51" i="20"/>
  <c r="FG51" i="20"/>
  <c r="FF51" i="20"/>
  <c r="FE51" i="20"/>
  <c r="FD51" i="20"/>
  <c r="FB51" i="20"/>
  <c r="EY51" i="20"/>
  <c r="EV51" i="20"/>
  <c r="ES51" i="20"/>
  <c r="ER51" i="20"/>
  <c r="EJ51" i="20"/>
  <c r="EL51" i="20" s="1"/>
  <c r="FW51" i="20" s="1"/>
  <c r="EE51" i="20"/>
  <c r="ED51" i="20"/>
  <c r="EC51" i="20"/>
  <c r="EB51" i="20"/>
  <c r="EA51" i="20"/>
  <c r="DZ51" i="20"/>
  <c r="DY51" i="20"/>
  <c r="DX51" i="20"/>
  <c r="DW51" i="20"/>
  <c r="DV51" i="20"/>
  <c r="DU51" i="20"/>
  <c r="DT51" i="20"/>
  <c r="DS51" i="20"/>
  <c r="DR51" i="20"/>
  <c r="DQ51" i="20"/>
  <c r="DP51" i="20"/>
  <c r="DO51" i="20"/>
  <c r="DN51" i="20"/>
  <c r="DE51" i="20"/>
  <c r="DD51" i="20"/>
  <c r="DB51" i="20"/>
  <c r="DA51" i="20"/>
  <c r="CW51" i="20"/>
  <c r="CV51" i="20"/>
  <c r="CU51" i="20"/>
  <c r="CN51" i="20"/>
  <c r="CM51" i="20"/>
  <c r="CL51" i="20"/>
  <c r="CI51" i="20"/>
  <c r="CG51" i="20"/>
  <c r="CF51" i="20"/>
  <c r="BW51" i="20"/>
  <c r="BZ51" i="20" s="1"/>
  <c r="BT51" i="20"/>
  <c r="CD51" i="20" s="1"/>
  <c r="DL51" i="20" s="1"/>
  <c r="BS51" i="20"/>
  <c r="BR51" i="20"/>
  <c r="BQ51" i="20"/>
  <c r="BP51" i="20"/>
  <c r="BO51" i="20"/>
  <c r="BN51" i="20"/>
  <c r="BM51" i="20"/>
  <c r="BU51" i="20" s="1"/>
  <c r="BL51" i="20"/>
  <c r="EH51" i="20" s="1"/>
  <c r="FT51" i="20" s="1"/>
  <c r="BK51" i="20"/>
  <c r="BJ51" i="20"/>
  <c r="BI51" i="20"/>
  <c r="BH51" i="20"/>
  <c r="BG51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A51" i="20"/>
  <c r="FS50" i="20"/>
  <c r="FR50" i="20"/>
  <c r="FQ50" i="20"/>
  <c r="FP50" i="20"/>
  <c r="FO50" i="20"/>
  <c r="FN50" i="20"/>
  <c r="FM50" i="20"/>
  <c r="FL50" i="20"/>
  <c r="FK50" i="20"/>
  <c r="FJ50" i="20"/>
  <c r="FI50" i="20"/>
  <c r="FH50" i="20"/>
  <c r="FG50" i="20"/>
  <c r="FF50" i="20"/>
  <c r="FE50" i="20"/>
  <c r="FD50" i="20"/>
  <c r="FB50" i="20"/>
  <c r="EY50" i="20"/>
  <c r="EV50" i="20"/>
  <c r="ES50" i="20"/>
  <c r="ER50" i="20"/>
  <c r="EE50" i="20"/>
  <c r="ED50" i="20"/>
  <c r="EC50" i="20"/>
  <c r="EB50" i="20"/>
  <c r="EA50" i="20"/>
  <c r="DZ50" i="20"/>
  <c r="DY50" i="20"/>
  <c r="DX50" i="20"/>
  <c r="DW50" i="20"/>
  <c r="DV50" i="20"/>
  <c r="DU50" i="20"/>
  <c r="DT50" i="20"/>
  <c r="DS50" i="20"/>
  <c r="DR50" i="20"/>
  <c r="DQ50" i="20"/>
  <c r="DP50" i="20"/>
  <c r="DO50" i="20"/>
  <c r="DN50" i="20"/>
  <c r="DE50" i="20"/>
  <c r="DD50" i="20"/>
  <c r="DC50" i="20"/>
  <c r="DB50" i="20"/>
  <c r="DA50" i="20"/>
  <c r="CW50" i="20"/>
  <c r="CV50" i="20"/>
  <c r="CU50" i="20"/>
  <c r="CN50" i="20"/>
  <c r="CM50" i="20"/>
  <c r="CL50" i="20"/>
  <c r="CI50" i="20"/>
  <c r="CG50" i="20"/>
  <c r="CF50" i="20"/>
  <c r="CD50" i="20"/>
  <c r="DL50" i="20" s="1"/>
  <c r="BW50" i="20"/>
  <c r="BZ50" i="20" s="1"/>
  <c r="BU50" i="20"/>
  <c r="BT50" i="20"/>
  <c r="BS50" i="20"/>
  <c r="BR50" i="20"/>
  <c r="BQ50" i="20"/>
  <c r="BP50" i="20"/>
  <c r="BO50" i="20"/>
  <c r="BN50" i="20"/>
  <c r="BM50" i="20"/>
  <c r="BL50" i="20"/>
  <c r="EH50" i="20" s="1"/>
  <c r="BK50" i="20"/>
  <c r="BJ50" i="20"/>
  <c r="BI50" i="20"/>
  <c r="BH50" i="20"/>
  <c r="BG50" i="20"/>
  <c r="BF50" i="20"/>
  <c r="BE50" i="20"/>
  <c r="BD50" i="20"/>
  <c r="BC50" i="20"/>
  <c r="BB50" i="20"/>
  <c r="BA50" i="20"/>
  <c r="CS50" i="20" s="1"/>
  <c r="CT50" i="20" s="1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A50" i="20"/>
  <c r="FS49" i="20"/>
  <c r="FR49" i="20"/>
  <c r="FQ49" i="20"/>
  <c r="FP49" i="20"/>
  <c r="FO49" i="20"/>
  <c r="FN49" i="20"/>
  <c r="FM49" i="20"/>
  <c r="FL49" i="20"/>
  <c r="FK49" i="20"/>
  <c r="FJ49" i="20"/>
  <c r="FI49" i="20"/>
  <c r="FH49" i="20"/>
  <c r="FG49" i="20"/>
  <c r="FF49" i="20"/>
  <c r="FE49" i="20"/>
  <c r="FD49" i="20"/>
  <c r="FB49" i="20"/>
  <c r="EY49" i="20"/>
  <c r="EV49" i="20"/>
  <c r="ES49" i="20"/>
  <c r="ER49" i="20"/>
  <c r="EH49" i="20"/>
  <c r="EE49" i="20"/>
  <c r="ED49" i="20"/>
  <c r="EC49" i="20"/>
  <c r="EB49" i="20"/>
  <c r="EA49" i="20"/>
  <c r="DZ49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E49" i="20"/>
  <c r="DD49" i="20"/>
  <c r="DB49" i="20"/>
  <c r="DA49" i="20"/>
  <c r="CZ49" i="20"/>
  <c r="CW49" i="20"/>
  <c r="CV49" i="20"/>
  <c r="CU49" i="20"/>
  <c r="CN49" i="20"/>
  <c r="CM49" i="20"/>
  <c r="CL49" i="20"/>
  <c r="CI49" i="20"/>
  <c r="CG49" i="20"/>
  <c r="CF49" i="20"/>
  <c r="BW49" i="20"/>
  <c r="BZ49" i="20" s="1"/>
  <c r="BV49" i="20"/>
  <c r="BX49" i="20" s="1"/>
  <c r="BU49" i="20"/>
  <c r="BT49" i="20"/>
  <c r="CD49" i="20" s="1"/>
  <c r="DL49" i="20" s="1"/>
  <c r="BS49" i="20"/>
  <c r="BR49" i="20"/>
  <c r="BQ49" i="20"/>
  <c r="BP49" i="20"/>
  <c r="BO49" i="20"/>
  <c r="BN49" i="20"/>
  <c r="BM49" i="20"/>
  <c r="BL49" i="20"/>
  <c r="CJ49" i="20" s="1"/>
  <c r="BK49" i="20"/>
  <c r="BJ49" i="20"/>
  <c r="BI49" i="20"/>
  <c r="BH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A49" i="20"/>
  <c r="FW48" i="20"/>
  <c r="FT48" i="20"/>
  <c r="FS48" i="20"/>
  <c r="FR48" i="20"/>
  <c r="FQ48" i="20"/>
  <c r="FP48" i="20"/>
  <c r="FO48" i="20"/>
  <c r="FN48" i="20"/>
  <c r="FM48" i="20"/>
  <c r="FL48" i="20"/>
  <c r="FK48" i="20"/>
  <c r="FJ48" i="20"/>
  <c r="FI48" i="20"/>
  <c r="FH48" i="20"/>
  <c r="FG48" i="20"/>
  <c r="FF48" i="20"/>
  <c r="FE48" i="20"/>
  <c r="FD48" i="20"/>
  <c r="FB48" i="20"/>
  <c r="EY48" i="20"/>
  <c r="EV48" i="20"/>
  <c r="ES48" i="20"/>
  <c r="ER48" i="20"/>
  <c r="EE48" i="20"/>
  <c r="ED48" i="20"/>
  <c r="EC48" i="20"/>
  <c r="EB48" i="20"/>
  <c r="EA48" i="20"/>
  <c r="DZ48" i="20"/>
  <c r="DY48" i="20"/>
  <c r="DX48" i="20"/>
  <c r="DW48" i="20"/>
  <c r="DV48" i="20"/>
  <c r="DU48" i="20"/>
  <c r="DT48" i="20"/>
  <c r="DS48" i="20"/>
  <c r="DR48" i="20"/>
  <c r="DQ48" i="20"/>
  <c r="DP48" i="20"/>
  <c r="DO48" i="20"/>
  <c r="DN48" i="20"/>
  <c r="DE48" i="20"/>
  <c r="DD48" i="20"/>
  <c r="DB48" i="20"/>
  <c r="DA48" i="20"/>
  <c r="CW48" i="20"/>
  <c r="CV48" i="20"/>
  <c r="CU48" i="20"/>
  <c r="CN48" i="20"/>
  <c r="CM48" i="20"/>
  <c r="CL48" i="20"/>
  <c r="CI48" i="20"/>
  <c r="CG48" i="20"/>
  <c r="CF48" i="20"/>
  <c r="CD48" i="20"/>
  <c r="DL48" i="20" s="1"/>
  <c r="BV48" i="20"/>
  <c r="BX48" i="20" s="1"/>
  <c r="BU48" i="20"/>
  <c r="BT48" i="20"/>
  <c r="BS48" i="20"/>
  <c r="CB48" i="20" s="1"/>
  <c r="DJ48" i="20" s="1"/>
  <c r="BR48" i="20"/>
  <c r="BQ48" i="20"/>
  <c r="BP48" i="20"/>
  <c r="BO48" i="20"/>
  <c r="BN48" i="20"/>
  <c r="BM48" i="20"/>
  <c r="BL48" i="20"/>
  <c r="CJ48" i="20" s="1"/>
  <c r="BK48" i="20"/>
  <c r="BJ48" i="20"/>
  <c r="BI48" i="20"/>
  <c r="BH48" i="20"/>
  <c r="BG48" i="20"/>
  <c r="BF48" i="20"/>
  <c r="BE48" i="20"/>
  <c r="BD48" i="20"/>
  <c r="BC48" i="20"/>
  <c r="BB48" i="20"/>
  <c r="BA48" i="20"/>
  <c r="AZ48" i="20"/>
  <c r="AY48" i="20"/>
  <c r="AX48" i="20"/>
  <c r="AW48" i="20"/>
  <c r="AV48" i="20"/>
  <c r="AU48" i="20"/>
  <c r="AT48" i="20"/>
  <c r="AS48" i="20"/>
  <c r="AR48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EH48" i="20" s="1"/>
  <c r="EJ48" i="20" s="1"/>
  <c r="EL48" i="20" s="1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48" i="20"/>
  <c r="FU47" i="20"/>
  <c r="FS47" i="20"/>
  <c r="FR47" i="20"/>
  <c r="FQ47" i="20"/>
  <c r="FP47" i="20"/>
  <c r="FO47" i="20"/>
  <c r="FN47" i="20"/>
  <c r="FM47" i="20"/>
  <c r="FL47" i="20"/>
  <c r="FK47" i="20"/>
  <c r="FJ47" i="20"/>
  <c r="FI47" i="20"/>
  <c r="FH47" i="20"/>
  <c r="FG47" i="20"/>
  <c r="FF47" i="20"/>
  <c r="FE47" i="20"/>
  <c r="FD47" i="20"/>
  <c r="FB47" i="20"/>
  <c r="EY47" i="20"/>
  <c r="EV47" i="20"/>
  <c r="ES47" i="20"/>
  <c r="ER47" i="20"/>
  <c r="EM47" i="20"/>
  <c r="FX47" i="20" s="1"/>
  <c r="EI47" i="20"/>
  <c r="EK47" i="20" s="1"/>
  <c r="EE47" i="20"/>
  <c r="ED47" i="20"/>
  <c r="EC47" i="20"/>
  <c r="EB47" i="20"/>
  <c r="EA47" i="20"/>
  <c r="DZ47" i="20"/>
  <c r="DY47" i="20"/>
  <c r="DX47" i="20"/>
  <c r="DW47" i="20"/>
  <c r="DV47" i="20"/>
  <c r="DU47" i="20"/>
  <c r="DT47" i="20"/>
  <c r="DS47" i="20"/>
  <c r="DR47" i="20"/>
  <c r="DQ47" i="20"/>
  <c r="DP47" i="20"/>
  <c r="DO47" i="20"/>
  <c r="DN47" i="20"/>
  <c r="DE47" i="20"/>
  <c r="DD47" i="20"/>
  <c r="DB47" i="20"/>
  <c r="DA47" i="20"/>
  <c r="CW47" i="20"/>
  <c r="CV47" i="20"/>
  <c r="CU47" i="20"/>
  <c r="CN47" i="20"/>
  <c r="CM47" i="20"/>
  <c r="CL47" i="20"/>
  <c r="CI47" i="20"/>
  <c r="CG47" i="20"/>
  <c r="CF47" i="20"/>
  <c r="CD47" i="20"/>
  <c r="DL47" i="20" s="1"/>
  <c r="CC47" i="20"/>
  <c r="DK47" i="20" s="1"/>
  <c r="CA47" i="20"/>
  <c r="CE47" i="20" s="1"/>
  <c r="DM47" i="20" s="1"/>
  <c r="BT47" i="20"/>
  <c r="BS47" i="20"/>
  <c r="BR47" i="20"/>
  <c r="BQ47" i="20"/>
  <c r="BP47" i="20"/>
  <c r="BO47" i="20"/>
  <c r="BN47" i="20"/>
  <c r="BM47" i="20"/>
  <c r="BU47" i="20" s="1"/>
  <c r="BL47" i="20"/>
  <c r="BK47" i="20"/>
  <c r="BJ47" i="20"/>
  <c r="BI47" i="20"/>
  <c r="BH47" i="20"/>
  <c r="BG47" i="20"/>
  <c r="BF47" i="20"/>
  <c r="BE47" i="20"/>
  <c r="BD47" i="20"/>
  <c r="BC47" i="20"/>
  <c r="BB47" i="20"/>
  <c r="BA47" i="20"/>
  <c r="AZ47" i="20"/>
  <c r="AY47" i="20"/>
  <c r="AX47" i="20"/>
  <c r="AW47" i="20"/>
  <c r="AV47" i="20"/>
  <c r="AU47" i="20"/>
  <c r="AT47" i="20"/>
  <c r="AS47" i="20"/>
  <c r="AR47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A47" i="20"/>
  <c r="FS46" i="20"/>
  <c r="FR46" i="20"/>
  <c r="FQ46" i="20"/>
  <c r="FP46" i="20"/>
  <c r="FO46" i="20"/>
  <c r="FN46" i="20"/>
  <c r="FM46" i="20"/>
  <c r="FL46" i="20"/>
  <c r="FK46" i="20"/>
  <c r="FJ46" i="20"/>
  <c r="FI46" i="20"/>
  <c r="FH46" i="20"/>
  <c r="FG46" i="20"/>
  <c r="FF46" i="20"/>
  <c r="FE46" i="20"/>
  <c r="FD46" i="20"/>
  <c r="FB46" i="20"/>
  <c r="EY46" i="20"/>
  <c r="EV46" i="20"/>
  <c r="ES46" i="20"/>
  <c r="ER46" i="20"/>
  <c r="EE46" i="20"/>
  <c r="ED46" i="20"/>
  <c r="EC46" i="20"/>
  <c r="EB46" i="20"/>
  <c r="EA46" i="20"/>
  <c r="DZ46" i="20"/>
  <c r="DY46" i="20"/>
  <c r="DX46" i="20"/>
  <c r="DW46" i="20"/>
  <c r="DV46" i="20"/>
  <c r="DU46" i="20"/>
  <c r="DT46" i="20"/>
  <c r="DS46" i="20"/>
  <c r="DR46" i="20"/>
  <c r="DQ46" i="20"/>
  <c r="DP46" i="20"/>
  <c r="DO46" i="20"/>
  <c r="DN46" i="20"/>
  <c r="DE46" i="20"/>
  <c r="DD46" i="20"/>
  <c r="DB46" i="20"/>
  <c r="DA46" i="20"/>
  <c r="CW46" i="20"/>
  <c r="CV46" i="20"/>
  <c r="CU46" i="20"/>
  <c r="CN46" i="20"/>
  <c r="CM46" i="20"/>
  <c r="CL46" i="20"/>
  <c r="CI46" i="20"/>
  <c r="CG46" i="20"/>
  <c r="CF46" i="20"/>
  <c r="CD46" i="20"/>
  <c r="DL46" i="20" s="1"/>
  <c r="CC46" i="20"/>
  <c r="DK46" i="20" s="1"/>
  <c r="CB46" i="20"/>
  <c r="DJ46" i="20" s="1"/>
  <c r="BT46" i="20"/>
  <c r="BS46" i="20"/>
  <c r="BR46" i="20"/>
  <c r="BQ46" i="20"/>
  <c r="BP46" i="20"/>
  <c r="BO46" i="20"/>
  <c r="BN46" i="20"/>
  <c r="BM46" i="20"/>
  <c r="BU46" i="20" s="1"/>
  <c r="BL46" i="20"/>
  <c r="EH46" i="20" s="1"/>
  <c r="FT46" i="20" s="1"/>
  <c r="BK46" i="20"/>
  <c r="BJ46" i="20"/>
  <c r="BI46" i="20"/>
  <c r="BH46" i="20"/>
  <c r="BG46" i="20"/>
  <c r="BF46" i="20"/>
  <c r="BE46" i="20"/>
  <c r="BD46" i="20"/>
  <c r="BC46" i="20"/>
  <c r="BB46" i="20"/>
  <c r="BA46" i="20"/>
  <c r="AZ46" i="20"/>
  <c r="AY46" i="20"/>
  <c r="AX46" i="20"/>
  <c r="AW46" i="20"/>
  <c r="AV46" i="20"/>
  <c r="AU46" i="20"/>
  <c r="AT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A46" i="20"/>
  <c r="FS45" i="20"/>
  <c r="FR45" i="20"/>
  <c r="FQ45" i="20"/>
  <c r="FP45" i="20"/>
  <c r="FO45" i="20"/>
  <c r="FN45" i="20"/>
  <c r="FM45" i="20"/>
  <c r="FL45" i="20"/>
  <c r="FK45" i="20"/>
  <c r="FJ45" i="20"/>
  <c r="FI45" i="20"/>
  <c r="FH45" i="20"/>
  <c r="FG45" i="20"/>
  <c r="FF45" i="20"/>
  <c r="FE45" i="20"/>
  <c r="FD45" i="20"/>
  <c r="FB45" i="20"/>
  <c r="EY45" i="20"/>
  <c r="EV45" i="20"/>
  <c r="ES45" i="20"/>
  <c r="ER45" i="20"/>
  <c r="EE45" i="20"/>
  <c r="ED45" i="20"/>
  <c r="EC45" i="20"/>
  <c r="EB45" i="20"/>
  <c r="EA45" i="20"/>
  <c r="DZ45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E45" i="20"/>
  <c r="DD45" i="20"/>
  <c r="DB45" i="20"/>
  <c r="DA45" i="20"/>
  <c r="CZ45" i="20"/>
  <c r="CW45" i="20"/>
  <c r="CV45" i="20"/>
  <c r="CU45" i="20"/>
  <c r="CN45" i="20"/>
  <c r="CM45" i="20"/>
  <c r="CL45" i="20"/>
  <c r="CJ45" i="20"/>
  <c r="CK45" i="20" s="1"/>
  <c r="CI45" i="20"/>
  <c r="CG45" i="20"/>
  <c r="CF45" i="20"/>
  <c r="CB45" i="20"/>
  <c r="DJ45" i="20" s="1"/>
  <c r="BT45" i="20"/>
  <c r="BS45" i="20"/>
  <c r="BR45" i="20"/>
  <c r="BQ45" i="20"/>
  <c r="BP45" i="20"/>
  <c r="BO45" i="20"/>
  <c r="BN45" i="20"/>
  <c r="BM45" i="20"/>
  <c r="BU45" i="20" s="1"/>
  <c r="BL45" i="20"/>
  <c r="BK45" i="20"/>
  <c r="BJ45" i="20"/>
  <c r="BI45" i="20"/>
  <c r="BH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A45" i="20"/>
  <c r="FS44" i="20"/>
  <c r="FR44" i="20"/>
  <c r="FQ44" i="20"/>
  <c r="FP44" i="20"/>
  <c r="FO44" i="20"/>
  <c r="FN44" i="20"/>
  <c r="FM44" i="20"/>
  <c r="FL44" i="20"/>
  <c r="FK44" i="20"/>
  <c r="FJ44" i="20"/>
  <c r="FI44" i="20"/>
  <c r="FH44" i="20"/>
  <c r="FG44" i="20"/>
  <c r="FF44" i="20"/>
  <c r="FE44" i="20"/>
  <c r="FD44" i="20"/>
  <c r="FB44" i="20"/>
  <c r="EY44" i="20"/>
  <c r="EV44" i="20"/>
  <c r="ES44" i="20"/>
  <c r="ER44" i="20"/>
  <c r="EE44" i="20"/>
  <c r="ED44" i="20"/>
  <c r="EC44" i="20"/>
  <c r="EB44" i="20"/>
  <c r="EA44" i="20"/>
  <c r="DZ44" i="20"/>
  <c r="DY44" i="20"/>
  <c r="DX44" i="20"/>
  <c r="DW44" i="20"/>
  <c r="DV44" i="20"/>
  <c r="DU44" i="20"/>
  <c r="DT44" i="20"/>
  <c r="DS44" i="20"/>
  <c r="DR44" i="20"/>
  <c r="DQ44" i="20"/>
  <c r="DP44" i="20"/>
  <c r="DO44" i="20"/>
  <c r="DN44" i="20"/>
  <c r="DE44" i="20"/>
  <c r="DD44" i="20"/>
  <c r="DB44" i="20"/>
  <c r="DA44" i="20"/>
  <c r="CW44" i="20"/>
  <c r="CV44" i="20"/>
  <c r="CU44" i="20"/>
  <c r="CT44" i="20"/>
  <c r="CS44" i="20"/>
  <c r="CN44" i="20"/>
  <c r="CM44" i="20"/>
  <c r="CL44" i="20"/>
  <c r="CI44" i="20"/>
  <c r="CG44" i="20"/>
  <c r="CF44" i="20"/>
  <c r="BU44" i="20"/>
  <c r="CC44" i="20" s="1"/>
  <c r="DK44" i="20" s="1"/>
  <c r="BT44" i="20"/>
  <c r="CD44" i="20" s="1"/>
  <c r="DL44" i="20" s="1"/>
  <c r="BS44" i="20"/>
  <c r="BR44" i="20"/>
  <c r="BQ44" i="20"/>
  <c r="BP44" i="20"/>
  <c r="BO44" i="20"/>
  <c r="BN44" i="20"/>
  <c r="BM44" i="20"/>
  <c r="BL44" i="20"/>
  <c r="BK44" i="20"/>
  <c r="BJ44" i="20"/>
  <c r="BI44" i="20"/>
  <c r="BH44" i="20"/>
  <c r="BG44" i="20"/>
  <c r="BF44" i="20"/>
  <c r="BE44" i="20"/>
  <c r="BD44" i="20"/>
  <c r="BC44" i="20"/>
  <c r="BB44" i="20"/>
  <c r="BA44" i="20"/>
  <c r="EI44" i="20" s="1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A44" i="20"/>
  <c r="FU43" i="20"/>
  <c r="FT43" i="20"/>
  <c r="FV43" i="20" s="1"/>
  <c r="FS43" i="20"/>
  <c r="FR43" i="20"/>
  <c r="FQ43" i="20"/>
  <c r="FP43" i="20"/>
  <c r="FO43" i="20"/>
  <c r="FN43" i="20"/>
  <c r="FM43" i="20"/>
  <c r="FL43" i="20"/>
  <c r="FK43" i="20"/>
  <c r="FJ43" i="20"/>
  <c r="FI43" i="20"/>
  <c r="FH43" i="20"/>
  <c r="FG43" i="20"/>
  <c r="FF43" i="20"/>
  <c r="FE43" i="20"/>
  <c r="FD43" i="20"/>
  <c r="FB43" i="20"/>
  <c r="EY43" i="20"/>
  <c r="EV43" i="20"/>
  <c r="ES43" i="20"/>
  <c r="ER43" i="20"/>
  <c r="EL43" i="20"/>
  <c r="EI43" i="20"/>
  <c r="EK43" i="20" s="1"/>
  <c r="EM43" i="20" s="1"/>
  <c r="FX43" i="20" s="1"/>
  <c r="EH43" i="20"/>
  <c r="EJ43" i="20" s="1"/>
  <c r="EE43" i="20"/>
  <c r="ED43" i="20"/>
  <c r="EC43" i="20"/>
  <c r="EB43" i="20"/>
  <c r="EA43" i="20"/>
  <c r="DZ43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E43" i="20"/>
  <c r="DD43" i="20"/>
  <c r="DB43" i="20"/>
  <c r="DA43" i="20"/>
  <c r="CW43" i="20"/>
  <c r="CV43" i="20"/>
  <c r="CU43" i="20"/>
  <c r="CT43" i="20"/>
  <c r="CS43" i="20"/>
  <c r="CN43" i="20"/>
  <c r="CM43" i="20"/>
  <c r="CL43" i="20"/>
  <c r="CK43" i="20"/>
  <c r="CJ43" i="20"/>
  <c r="CZ43" i="20" s="1"/>
  <c r="CI43" i="20"/>
  <c r="CG43" i="20"/>
  <c r="CF43" i="20"/>
  <c r="BW43" i="20"/>
  <c r="BZ43" i="20" s="1"/>
  <c r="BV43" i="20"/>
  <c r="BX43" i="20" s="1"/>
  <c r="BU43" i="20"/>
  <c r="CC43" i="20" s="1"/>
  <c r="DK43" i="20" s="1"/>
  <c r="BT43" i="20"/>
  <c r="BS43" i="20"/>
  <c r="CB43" i="20" s="1"/>
  <c r="DJ43" i="20" s="1"/>
  <c r="BR43" i="20"/>
  <c r="BQ43" i="20"/>
  <c r="BP43" i="20"/>
  <c r="BO43" i="20"/>
  <c r="BN43" i="20"/>
  <c r="CA43" i="20" s="1"/>
  <c r="CE43" i="20" s="1"/>
  <c r="BM43" i="20"/>
  <c r="BL43" i="20"/>
  <c r="BK43" i="20"/>
  <c r="BJ43" i="20"/>
  <c r="BI43" i="20"/>
  <c r="BH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A43" i="20"/>
  <c r="FS42" i="20"/>
  <c r="FR42" i="20"/>
  <c r="FQ42" i="20"/>
  <c r="FP42" i="20"/>
  <c r="FO42" i="20"/>
  <c r="FN42" i="20"/>
  <c r="FM42" i="20"/>
  <c r="FL42" i="20"/>
  <c r="FK42" i="20"/>
  <c r="FJ42" i="20"/>
  <c r="FI42" i="20"/>
  <c r="FH42" i="20"/>
  <c r="FG42" i="20"/>
  <c r="FF42" i="20"/>
  <c r="FE42" i="20"/>
  <c r="FD42" i="20"/>
  <c r="FB42" i="20"/>
  <c r="EY42" i="20"/>
  <c r="EV42" i="20"/>
  <c r="ES42" i="20"/>
  <c r="ER42" i="20"/>
  <c r="EE42" i="20"/>
  <c r="ED42" i="20"/>
  <c r="EC42" i="20"/>
  <c r="EB42" i="20"/>
  <c r="EA42" i="20"/>
  <c r="DZ42" i="20"/>
  <c r="DY42" i="20"/>
  <c r="DX42" i="20"/>
  <c r="DW42" i="20"/>
  <c r="DV42" i="20"/>
  <c r="DU42" i="20"/>
  <c r="DT42" i="20"/>
  <c r="DS42" i="20"/>
  <c r="DR42" i="20"/>
  <c r="DQ42" i="20"/>
  <c r="DP42" i="20"/>
  <c r="DO42" i="20"/>
  <c r="DN42" i="20"/>
  <c r="DE42" i="20"/>
  <c r="DD42" i="20"/>
  <c r="DB42" i="20"/>
  <c r="DA42" i="20"/>
  <c r="CW42" i="20"/>
  <c r="CV42" i="20"/>
  <c r="CU42" i="20"/>
  <c r="CS42" i="20"/>
  <c r="CN42" i="20"/>
  <c r="CM42" i="20"/>
  <c r="CL42" i="20"/>
  <c r="CI42" i="20"/>
  <c r="CG42" i="20"/>
  <c r="CF42" i="20"/>
  <c r="CE42" i="20"/>
  <c r="DM42" i="20" s="1"/>
  <c r="CC42" i="20"/>
  <c r="DK42" i="20" s="1"/>
  <c r="CA42" i="20"/>
  <c r="BU42" i="20"/>
  <c r="BT42" i="20"/>
  <c r="CD42" i="20" s="1"/>
  <c r="DL42" i="20" s="1"/>
  <c r="BS42" i="20"/>
  <c r="BR42" i="20"/>
  <c r="BQ42" i="20"/>
  <c r="BP42" i="20"/>
  <c r="BO42" i="20"/>
  <c r="BN42" i="20"/>
  <c r="BM42" i="20"/>
  <c r="BL42" i="20"/>
  <c r="BK42" i="20"/>
  <c r="BJ42" i="20"/>
  <c r="BI42" i="20"/>
  <c r="BH42" i="20"/>
  <c r="BG42" i="20"/>
  <c r="BF42" i="20"/>
  <c r="BE42" i="20"/>
  <c r="BD42" i="20"/>
  <c r="BC42" i="20"/>
  <c r="BB42" i="20"/>
  <c r="BA42" i="20"/>
  <c r="EI42" i="20" s="1"/>
  <c r="AZ42" i="20"/>
  <c r="AY42" i="20"/>
  <c r="AX42" i="20"/>
  <c r="AW42" i="20"/>
  <c r="AV42" i="20"/>
  <c r="AU42" i="20"/>
  <c r="AT42" i="20"/>
  <c r="AS42" i="20"/>
  <c r="AR42" i="20"/>
  <c r="AQ42" i="20"/>
  <c r="BW42" i="20" s="1"/>
  <c r="BZ42" i="20" s="1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A42" i="20"/>
  <c r="FS41" i="20"/>
  <c r="FR41" i="20"/>
  <c r="FQ41" i="20"/>
  <c r="FP41" i="20"/>
  <c r="FO41" i="20"/>
  <c r="FN41" i="20"/>
  <c r="FM41" i="20"/>
  <c r="FL41" i="20"/>
  <c r="FK41" i="20"/>
  <c r="FJ41" i="20"/>
  <c r="FI41" i="20"/>
  <c r="FH41" i="20"/>
  <c r="FG41" i="20"/>
  <c r="FF41" i="20"/>
  <c r="FE41" i="20"/>
  <c r="FD41" i="20"/>
  <c r="FB41" i="20"/>
  <c r="EY41" i="20"/>
  <c r="EV41" i="20"/>
  <c r="ES41" i="20"/>
  <c r="ER41" i="20"/>
  <c r="EE41" i="20"/>
  <c r="ED41" i="20"/>
  <c r="EC41" i="20"/>
  <c r="EB41" i="20"/>
  <c r="EA41" i="20"/>
  <c r="DZ41" i="20"/>
  <c r="DY41" i="20"/>
  <c r="DX41" i="20"/>
  <c r="DW41" i="20"/>
  <c r="DV41" i="20"/>
  <c r="DU41" i="20"/>
  <c r="DT41" i="20"/>
  <c r="DS41" i="20"/>
  <c r="DR41" i="20"/>
  <c r="DQ41" i="20"/>
  <c r="DP41" i="20"/>
  <c r="DO41" i="20"/>
  <c r="DN41" i="20"/>
  <c r="DL41" i="20"/>
  <c r="DE41" i="20"/>
  <c r="DD41" i="20"/>
  <c r="DB41" i="20"/>
  <c r="DA41" i="20"/>
  <c r="CW41" i="20"/>
  <c r="CV41" i="20"/>
  <c r="CU41" i="20"/>
  <c r="CS41" i="20"/>
  <c r="CN41" i="20"/>
  <c r="CM41" i="20"/>
  <c r="CL41" i="20"/>
  <c r="CI41" i="20"/>
  <c r="CG41" i="20"/>
  <c r="CF41" i="20"/>
  <c r="BV41" i="20"/>
  <c r="BU41" i="20"/>
  <c r="BT41" i="20"/>
  <c r="CD41" i="20" s="1"/>
  <c r="BS41" i="20"/>
  <c r="BR41" i="20"/>
  <c r="BQ41" i="20"/>
  <c r="BP41" i="20"/>
  <c r="BO41" i="20"/>
  <c r="BN41" i="20"/>
  <c r="BM41" i="20"/>
  <c r="BL41" i="20"/>
  <c r="BK41" i="20"/>
  <c r="BJ41" i="20"/>
  <c r="BI41" i="20"/>
  <c r="BH41" i="20"/>
  <c r="BG41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A41" i="20"/>
  <c r="FS40" i="20"/>
  <c r="FR40" i="20"/>
  <c r="FQ40" i="20"/>
  <c r="FP40" i="20"/>
  <c r="FO40" i="20"/>
  <c r="FN40" i="20"/>
  <c r="FM40" i="20"/>
  <c r="FL40" i="20"/>
  <c r="FK40" i="20"/>
  <c r="FJ40" i="20"/>
  <c r="FI40" i="20"/>
  <c r="FH40" i="20"/>
  <c r="FG40" i="20"/>
  <c r="FF40" i="20"/>
  <c r="FE40" i="20"/>
  <c r="FD40" i="20"/>
  <c r="FB40" i="20"/>
  <c r="EY40" i="20"/>
  <c r="EV40" i="20"/>
  <c r="ES40" i="20"/>
  <c r="ER40" i="20"/>
  <c r="EE40" i="20"/>
  <c r="ED40" i="20"/>
  <c r="EC40" i="20"/>
  <c r="EB40" i="20"/>
  <c r="EA40" i="20"/>
  <c r="DZ40" i="20"/>
  <c r="DY40" i="20"/>
  <c r="DX40" i="20"/>
  <c r="DW40" i="20"/>
  <c r="DV40" i="20"/>
  <c r="DU40" i="20"/>
  <c r="DT40" i="20"/>
  <c r="DS40" i="20"/>
  <c r="DR40" i="20"/>
  <c r="DQ40" i="20"/>
  <c r="DP40" i="20"/>
  <c r="DO40" i="20"/>
  <c r="DN40" i="20"/>
  <c r="DE40" i="20"/>
  <c r="DD40" i="20"/>
  <c r="DB40" i="20"/>
  <c r="DA40" i="20"/>
  <c r="CW40" i="20"/>
  <c r="CV40" i="20"/>
  <c r="CU40" i="20"/>
  <c r="CN40" i="20"/>
  <c r="CM40" i="20"/>
  <c r="CL40" i="20"/>
  <c r="CI40" i="20"/>
  <c r="CG40" i="20"/>
  <c r="CF40" i="20"/>
  <c r="BT40" i="20"/>
  <c r="BS40" i="20"/>
  <c r="BR40" i="20"/>
  <c r="BQ40" i="20"/>
  <c r="BP40" i="20"/>
  <c r="BO40" i="20"/>
  <c r="BN40" i="20"/>
  <c r="BM40" i="20"/>
  <c r="BU40" i="20" s="1"/>
  <c r="BL40" i="20"/>
  <c r="BK40" i="20"/>
  <c r="BJ40" i="20"/>
  <c r="BI40" i="20"/>
  <c r="BH40" i="20"/>
  <c r="BG40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A40" i="20"/>
  <c r="FS39" i="20"/>
  <c r="FR39" i="20"/>
  <c r="FQ39" i="20"/>
  <c r="FP39" i="20"/>
  <c r="FO39" i="20"/>
  <c r="FN39" i="20"/>
  <c r="FM39" i="20"/>
  <c r="FL39" i="20"/>
  <c r="FK39" i="20"/>
  <c r="FJ39" i="20"/>
  <c r="FI39" i="20"/>
  <c r="FH39" i="20"/>
  <c r="FG39" i="20"/>
  <c r="FF39" i="20"/>
  <c r="FE39" i="20"/>
  <c r="FD39" i="20"/>
  <c r="FB39" i="20"/>
  <c r="EY39" i="20"/>
  <c r="EV39" i="20"/>
  <c r="ES39" i="20"/>
  <c r="ER39" i="20"/>
  <c r="EE39" i="20"/>
  <c r="ED39" i="20"/>
  <c r="EC39" i="20"/>
  <c r="EB39" i="20"/>
  <c r="EA39" i="20"/>
  <c r="DZ39" i="20"/>
  <c r="DY39" i="20"/>
  <c r="DX39" i="20"/>
  <c r="DW39" i="20"/>
  <c r="DV39" i="20"/>
  <c r="DU39" i="20"/>
  <c r="DT39" i="20"/>
  <c r="DS39" i="20"/>
  <c r="DR39" i="20"/>
  <c r="DQ39" i="20"/>
  <c r="DP39" i="20"/>
  <c r="DO39" i="20"/>
  <c r="DN39" i="20"/>
  <c r="DE39" i="20"/>
  <c r="DD39" i="20"/>
  <c r="DB39" i="20"/>
  <c r="DA39" i="20"/>
  <c r="CZ39" i="20"/>
  <c r="CW39" i="20"/>
  <c r="CV39" i="20"/>
  <c r="CU39" i="20"/>
  <c r="CN39" i="20"/>
  <c r="CM39" i="20"/>
  <c r="CL39" i="20"/>
  <c r="CI39" i="20"/>
  <c r="CG39" i="20"/>
  <c r="CF39" i="20"/>
  <c r="CD39" i="20"/>
  <c r="DL39" i="20" s="1"/>
  <c r="CB39" i="20"/>
  <c r="DJ39" i="20" s="1"/>
  <c r="BY39" i="20"/>
  <c r="BU39" i="20"/>
  <c r="BV39" i="20" s="1"/>
  <c r="BX39" i="20" s="1"/>
  <c r="BT39" i="20"/>
  <c r="BS39" i="20"/>
  <c r="BR39" i="20"/>
  <c r="BQ39" i="20"/>
  <c r="BP39" i="20"/>
  <c r="BO39" i="20"/>
  <c r="BN39" i="20"/>
  <c r="BM39" i="20"/>
  <c r="BL39" i="20"/>
  <c r="BK39" i="20"/>
  <c r="BJ39" i="20"/>
  <c r="BI39" i="20"/>
  <c r="BH39" i="20"/>
  <c r="BG39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CJ39" i="20" s="1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A39" i="20"/>
  <c r="FS38" i="20"/>
  <c r="FR38" i="20"/>
  <c r="FQ38" i="20"/>
  <c r="FP38" i="20"/>
  <c r="FO38" i="20"/>
  <c r="FN38" i="20"/>
  <c r="FM38" i="20"/>
  <c r="FL38" i="20"/>
  <c r="FK38" i="20"/>
  <c r="FJ38" i="20"/>
  <c r="FI38" i="20"/>
  <c r="FH38" i="20"/>
  <c r="FG38" i="20"/>
  <c r="FF38" i="20"/>
  <c r="FE38" i="20"/>
  <c r="FD38" i="20"/>
  <c r="FB38" i="20"/>
  <c r="EY38" i="20"/>
  <c r="EV38" i="20"/>
  <c r="ES38" i="20"/>
  <c r="ER38" i="20"/>
  <c r="EE38" i="20"/>
  <c r="ED38" i="20"/>
  <c r="EC38" i="20"/>
  <c r="EB38" i="20"/>
  <c r="EA38" i="20"/>
  <c r="DZ38" i="20"/>
  <c r="DY38" i="20"/>
  <c r="DX38" i="20"/>
  <c r="DW38" i="20"/>
  <c r="DV38" i="20"/>
  <c r="DU38" i="20"/>
  <c r="DT38" i="20"/>
  <c r="DS38" i="20"/>
  <c r="DR38" i="20"/>
  <c r="DQ38" i="20"/>
  <c r="DP38" i="20"/>
  <c r="DO38" i="20"/>
  <c r="DN38" i="20"/>
  <c r="DE38" i="20"/>
  <c r="DD38" i="20"/>
  <c r="DB38" i="20"/>
  <c r="DA38" i="20"/>
  <c r="CW38" i="20"/>
  <c r="CV38" i="20"/>
  <c r="CU38" i="20"/>
  <c r="CN38" i="20"/>
  <c r="CM38" i="20"/>
  <c r="CL38" i="20"/>
  <c r="CI38" i="20"/>
  <c r="CG38" i="20"/>
  <c r="CF38" i="20"/>
  <c r="CD38" i="20"/>
  <c r="DL38" i="20" s="1"/>
  <c r="BT38" i="20"/>
  <c r="BS38" i="20"/>
  <c r="BR38" i="20"/>
  <c r="BQ38" i="20"/>
  <c r="BP38" i="20"/>
  <c r="BO38" i="20"/>
  <c r="BN38" i="20"/>
  <c r="BM38" i="20"/>
  <c r="BU38" i="20" s="1"/>
  <c r="BL38" i="20"/>
  <c r="BK38" i="20"/>
  <c r="BJ38" i="20"/>
  <c r="BI38" i="20"/>
  <c r="BH38" i="20"/>
  <c r="BG38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38" i="20"/>
  <c r="FS37" i="20"/>
  <c r="FR37" i="20"/>
  <c r="FQ37" i="20"/>
  <c r="FP37" i="20"/>
  <c r="FO37" i="20"/>
  <c r="FN37" i="20"/>
  <c r="FM37" i="20"/>
  <c r="FL37" i="20"/>
  <c r="FK37" i="20"/>
  <c r="FJ37" i="20"/>
  <c r="FI37" i="20"/>
  <c r="FH37" i="20"/>
  <c r="FG37" i="20"/>
  <c r="FF37" i="20"/>
  <c r="FE37" i="20"/>
  <c r="FD37" i="20"/>
  <c r="FB37" i="20"/>
  <c r="EY37" i="20"/>
  <c r="EV37" i="20"/>
  <c r="ES37" i="20"/>
  <c r="ER37" i="20"/>
  <c r="EE37" i="20"/>
  <c r="ED37" i="20"/>
  <c r="EC37" i="20"/>
  <c r="EB37" i="20"/>
  <c r="EA37" i="20"/>
  <c r="DZ37" i="20"/>
  <c r="DY37" i="20"/>
  <c r="DX37" i="20"/>
  <c r="DW37" i="20"/>
  <c r="DV37" i="20"/>
  <c r="DU37" i="20"/>
  <c r="DT37" i="20"/>
  <c r="DS37" i="20"/>
  <c r="DR37" i="20"/>
  <c r="DQ37" i="20"/>
  <c r="DP37" i="20"/>
  <c r="DO37" i="20"/>
  <c r="DN37" i="20"/>
  <c r="DE37" i="20"/>
  <c r="DD37" i="20"/>
  <c r="DB37" i="20"/>
  <c r="DA37" i="20"/>
  <c r="CW37" i="20"/>
  <c r="CV37" i="20"/>
  <c r="CU37" i="20"/>
  <c r="CN37" i="20"/>
  <c r="CM37" i="20"/>
  <c r="CL37" i="20"/>
  <c r="CI37" i="20"/>
  <c r="CG37" i="20"/>
  <c r="CF37" i="20"/>
  <c r="BU37" i="20"/>
  <c r="CC37" i="20" s="1"/>
  <c r="DK37" i="20" s="1"/>
  <c r="BT37" i="20"/>
  <c r="CD37" i="20" s="1"/>
  <c r="DL37" i="20" s="1"/>
  <c r="BS37" i="20"/>
  <c r="BR37" i="20"/>
  <c r="BQ37" i="20"/>
  <c r="BP37" i="20"/>
  <c r="BO37" i="20"/>
  <c r="BN37" i="20"/>
  <c r="BM37" i="20"/>
  <c r="BL37" i="20"/>
  <c r="BK37" i="20"/>
  <c r="BJ37" i="20"/>
  <c r="BI37" i="20"/>
  <c r="BH37" i="20"/>
  <c r="BG37" i="20"/>
  <c r="BF37" i="20"/>
  <c r="BE37" i="20"/>
  <c r="BD37" i="20"/>
  <c r="BC37" i="20"/>
  <c r="BB37" i="20"/>
  <c r="BA37" i="20"/>
  <c r="AZ37" i="20"/>
  <c r="AY37" i="20"/>
  <c r="AX37" i="20"/>
  <c r="AW37" i="20"/>
  <c r="AV37" i="20"/>
  <c r="AU37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A37" i="20"/>
  <c r="FS36" i="20"/>
  <c r="FR36" i="20"/>
  <c r="FQ36" i="20"/>
  <c r="FP36" i="20"/>
  <c r="FO36" i="20"/>
  <c r="FN36" i="20"/>
  <c r="FM36" i="20"/>
  <c r="FL36" i="20"/>
  <c r="FK36" i="20"/>
  <c r="FJ36" i="20"/>
  <c r="FI36" i="20"/>
  <c r="FH36" i="20"/>
  <c r="FG36" i="20"/>
  <c r="FF36" i="20"/>
  <c r="FE36" i="20"/>
  <c r="FD36" i="20"/>
  <c r="FB36" i="20"/>
  <c r="EY36" i="20"/>
  <c r="EV36" i="20"/>
  <c r="ES36" i="20"/>
  <c r="ER36" i="20"/>
  <c r="EJ36" i="20"/>
  <c r="EL36" i="20" s="1"/>
  <c r="EH36" i="20"/>
  <c r="FT36" i="20" s="1"/>
  <c r="EE36" i="20"/>
  <c r="ED36" i="20"/>
  <c r="EC36" i="20"/>
  <c r="EB36" i="20"/>
  <c r="EA36" i="20"/>
  <c r="DZ36" i="20"/>
  <c r="DY36" i="20"/>
  <c r="DX36" i="20"/>
  <c r="DW36" i="20"/>
  <c r="DV36" i="20"/>
  <c r="DU36" i="20"/>
  <c r="DT36" i="20"/>
  <c r="DS36" i="20"/>
  <c r="DR36" i="20"/>
  <c r="DQ36" i="20"/>
  <c r="DP36" i="20"/>
  <c r="DO36" i="20"/>
  <c r="DN36" i="20"/>
  <c r="DL36" i="20"/>
  <c r="DE36" i="20"/>
  <c r="DD36" i="20"/>
  <c r="DB36" i="20"/>
  <c r="DA36" i="20"/>
  <c r="CW36" i="20"/>
  <c r="CV36" i="20"/>
  <c r="CU36" i="20"/>
  <c r="CN36" i="20"/>
  <c r="CM36" i="20"/>
  <c r="CL36" i="20"/>
  <c r="CK36" i="20"/>
  <c r="CI36" i="20"/>
  <c r="CG36" i="20"/>
  <c r="CF36" i="20"/>
  <c r="BU36" i="20"/>
  <c r="CC36" i="20" s="1"/>
  <c r="DK36" i="20" s="1"/>
  <c r="BT36" i="20"/>
  <c r="CD36" i="20" s="1"/>
  <c r="BS36" i="20"/>
  <c r="BR36" i="20"/>
  <c r="BQ36" i="20"/>
  <c r="BP36" i="20"/>
  <c r="BO36" i="20"/>
  <c r="BN36" i="20"/>
  <c r="BM36" i="20"/>
  <c r="BL36" i="20"/>
  <c r="BK36" i="20"/>
  <c r="BJ36" i="20"/>
  <c r="BI36" i="20"/>
  <c r="BH36" i="20"/>
  <c r="BG36" i="20"/>
  <c r="BF36" i="20"/>
  <c r="BE36" i="20"/>
  <c r="BD36" i="20"/>
  <c r="BC36" i="20"/>
  <c r="BB36" i="20"/>
  <c r="BA36" i="20"/>
  <c r="BW36" i="20" s="1"/>
  <c r="BZ36" i="20" s="1"/>
  <c r="AZ36" i="20"/>
  <c r="AY36" i="20"/>
  <c r="AX36" i="20"/>
  <c r="AW36" i="20"/>
  <c r="AV36" i="20"/>
  <c r="AU36" i="20"/>
  <c r="AT36" i="20"/>
  <c r="AS36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CJ36" i="20" s="1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A36" i="20"/>
  <c r="FX35" i="20"/>
  <c r="FW35" i="20"/>
  <c r="FU35" i="20"/>
  <c r="FT35" i="20"/>
  <c r="FV35" i="20" s="1"/>
  <c r="FY35" i="20" s="1"/>
  <c r="FS35" i="20"/>
  <c r="FR35" i="20"/>
  <c r="FQ35" i="20"/>
  <c r="FP35" i="20"/>
  <c r="FO35" i="20"/>
  <c r="FN35" i="20"/>
  <c r="FM35" i="20"/>
  <c r="FL35" i="20"/>
  <c r="FK35" i="20"/>
  <c r="FJ35" i="20"/>
  <c r="FI35" i="20"/>
  <c r="FH35" i="20"/>
  <c r="FG35" i="20"/>
  <c r="FF35" i="20"/>
  <c r="FE35" i="20"/>
  <c r="FD35" i="20"/>
  <c r="FB35" i="20"/>
  <c r="EY35" i="20"/>
  <c r="EV35" i="20"/>
  <c r="ES35" i="20"/>
  <c r="ER35" i="20"/>
  <c r="EI35" i="20"/>
  <c r="EK35" i="20" s="1"/>
  <c r="EM35" i="20" s="1"/>
  <c r="EH35" i="20"/>
  <c r="EJ35" i="20" s="1"/>
  <c r="EL35" i="20" s="1"/>
  <c r="EE35" i="20"/>
  <c r="ED35" i="20"/>
  <c r="EC35" i="20"/>
  <c r="EB35" i="20"/>
  <c r="EA35" i="20"/>
  <c r="DZ35" i="20"/>
  <c r="DY35" i="20"/>
  <c r="DX35" i="20"/>
  <c r="DW35" i="20"/>
  <c r="DV35" i="20"/>
  <c r="DU35" i="20"/>
  <c r="DT35" i="20"/>
  <c r="DS35" i="20"/>
  <c r="DR35" i="20"/>
  <c r="DQ35" i="20"/>
  <c r="DP35" i="20"/>
  <c r="DO35" i="20"/>
  <c r="DN35" i="20"/>
  <c r="DM35" i="20"/>
  <c r="DL35" i="20"/>
  <c r="DJ35" i="20"/>
  <c r="DE35" i="20"/>
  <c r="DD35" i="20"/>
  <c r="DB35" i="20"/>
  <c r="DA35" i="20"/>
  <c r="CW35" i="20"/>
  <c r="CV35" i="20"/>
  <c r="CU35" i="20"/>
  <c r="CT35" i="20"/>
  <c r="CS35" i="20"/>
  <c r="DC35" i="20" s="1"/>
  <c r="CN35" i="20"/>
  <c r="CM35" i="20"/>
  <c r="CL35" i="20"/>
  <c r="CJ35" i="20"/>
  <c r="CI35" i="20"/>
  <c r="CG35" i="20"/>
  <c r="CF35" i="20"/>
  <c r="BW35" i="20"/>
  <c r="BZ35" i="20" s="1"/>
  <c r="BU35" i="20"/>
  <c r="BT35" i="20"/>
  <c r="CD35" i="20" s="1"/>
  <c r="BS35" i="20"/>
  <c r="CB35" i="20" s="1"/>
  <c r="BR35" i="20"/>
  <c r="BQ35" i="20"/>
  <c r="BP35" i="20"/>
  <c r="BO35" i="20"/>
  <c r="BN35" i="20"/>
  <c r="BM35" i="20"/>
  <c r="BL35" i="20"/>
  <c r="BK35" i="20"/>
  <c r="BJ35" i="20"/>
  <c r="BI35" i="20"/>
  <c r="BH35" i="20"/>
  <c r="BG35" i="20"/>
  <c r="BF35" i="20"/>
  <c r="BE35" i="20"/>
  <c r="BD35" i="20"/>
  <c r="BC35" i="20"/>
  <c r="BB35" i="20"/>
  <c r="BA35" i="20"/>
  <c r="CA35" i="20" s="1"/>
  <c r="CE35" i="20" s="1"/>
  <c r="AZ35" i="20"/>
  <c r="AY35" i="20"/>
  <c r="AX35" i="20"/>
  <c r="AW35" i="20"/>
  <c r="AV35" i="20"/>
  <c r="AU35" i="20"/>
  <c r="AT35" i="20"/>
  <c r="AS35" i="20"/>
  <c r="AR35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A35" i="20"/>
  <c r="FU34" i="20"/>
  <c r="FS34" i="20"/>
  <c r="FR34" i="20"/>
  <c r="FQ34" i="20"/>
  <c r="FP34" i="20"/>
  <c r="FO34" i="20"/>
  <c r="FN34" i="20"/>
  <c r="FM34" i="20"/>
  <c r="FL34" i="20"/>
  <c r="FK34" i="20"/>
  <c r="FJ34" i="20"/>
  <c r="FI34" i="20"/>
  <c r="FH34" i="20"/>
  <c r="FG34" i="20"/>
  <c r="FF34" i="20"/>
  <c r="FE34" i="20"/>
  <c r="FD34" i="20"/>
  <c r="FB34" i="20"/>
  <c r="EY34" i="20"/>
  <c r="EV34" i="20"/>
  <c r="ES34" i="20"/>
  <c r="ER34" i="20"/>
  <c r="EI34" i="20"/>
  <c r="EK34" i="20" s="1"/>
  <c r="EM34" i="20" s="1"/>
  <c r="FX34" i="20" s="1"/>
  <c r="EH34" i="20"/>
  <c r="EJ34" i="20" s="1"/>
  <c r="EL34" i="20" s="1"/>
  <c r="FW34" i="20" s="1"/>
  <c r="EE34" i="20"/>
  <c r="ED34" i="20"/>
  <c r="EC34" i="20"/>
  <c r="EB34" i="20"/>
  <c r="EA34" i="20"/>
  <c r="DZ34" i="20"/>
  <c r="DY34" i="20"/>
  <c r="DX34" i="20"/>
  <c r="DW34" i="20"/>
  <c r="DV34" i="20"/>
  <c r="DU34" i="20"/>
  <c r="DT34" i="20"/>
  <c r="DS34" i="20"/>
  <c r="DR34" i="20"/>
  <c r="DQ34" i="20"/>
  <c r="DP34" i="20"/>
  <c r="DO34" i="20"/>
  <c r="DN34" i="20"/>
  <c r="DL34" i="20"/>
  <c r="DE34" i="20"/>
  <c r="DD34" i="20"/>
  <c r="DB34" i="20"/>
  <c r="DA34" i="20"/>
  <c r="CW34" i="20"/>
  <c r="CV34" i="20"/>
  <c r="CU34" i="20"/>
  <c r="CN34" i="20"/>
  <c r="CM34" i="20"/>
  <c r="CL34" i="20"/>
  <c r="CJ34" i="20"/>
  <c r="CI34" i="20"/>
  <c r="CG34" i="20"/>
  <c r="CF34" i="20"/>
  <c r="CB34" i="20"/>
  <c r="DJ34" i="20" s="1"/>
  <c r="CA34" i="20"/>
  <c r="CE34" i="20" s="1"/>
  <c r="DM34" i="20" s="1"/>
  <c r="BW34" i="20"/>
  <c r="BZ34" i="20" s="1"/>
  <c r="BU34" i="20"/>
  <c r="CC34" i="20" s="1"/>
  <c r="DK34" i="20" s="1"/>
  <c r="BT34" i="20"/>
  <c r="BS34" i="20"/>
  <c r="BR34" i="20"/>
  <c r="BQ34" i="20"/>
  <c r="BP34" i="20"/>
  <c r="BO34" i="20"/>
  <c r="BN34" i="20"/>
  <c r="CD34" i="20" s="1"/>
  <c r="BM34" i="20"/>
  <c r="BL34" i="20"/>
  <c r="BK34" i="20"/>
  <c r="BJ34" i="20"/>
  <c r="BI34" i="20"/>
  <c r="BH34" i="20"/>
  <c r="BG34" i="20"/>
  <c r="BF34" i="20"/>
  <c r="BE34" i="20"/>
  <c r="BD34" i="20"/>
  <c r="BC34" i="20"/>
  <c r="BB34" i="20"/>
  <c r="BA34" i="20"/>
  <c r="CS34" i="20" s="1"/>
  <c r="CT34" i="20" s="1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A34" i="20"/>
  <c r="FS33" i="20"/>
  <c r="FR33" i="20"/>
  <c r="FQ33" i="20"/>
  <c r="FP33" i="20"/>
  <c r="FO33" i="20"/>
  <c r="FN33" i="20"/>
  <c r="FM33" i="20"/>
  <c r="FL33" i="20"/>
  <c r="FK33" i="20"/>
  <c r="FJ33" i="20"/>
  <c r="FI33" i="20"/>
  <c r="FH33" i="20"/>
  <c r="FG33" i="20"/>
  <c r="FF33" i="20"/>
  <c r="FE33" i="20"/>
  <c r="FD33" i="20"/>
  <c r="FB33" i="20"/>
  <c r="EY33" i="20"/>
  <c r="EV33" i="20"/>
  <c r="ES33" i="20"/>
  <c r="ER33" i="20"/>
  <c r="EK33" i="20"/>
  <c r="EM33" i="20" s="1"/>
  <c r="FX33" i="20" s="1"/>
  <c r="EI33" i="20"/>
  <c r="FU33" i="20" s="1"/>
  <c r="EE33" i="20"/>
  <c r="ED33" i="20"/>
  <c r="EC33" i="20"/>
  <c r="EB33" i="20"/>
  <c r="EA33" i="20"/>
  <c r="DZ33" i="20"/>
  <c r="DY33" i="20"/>
  <c r="DX33" i="20"/>
  <c r="DW33" i="20"/>
  <c r="DV33" i="20"/>
  <c r="DU33" i="20"/>
  <c r="DT33" i="20"/>
  <c r="DS33" i="20"/>
  <c r="DR33" i="20"/>
  <c r="DQ33" i="20"/>
  <c r="DP33" i="20"/>
  <c r="DO33" i="20"/>
  <c r="DN33" i="20"/>
  <c r="DE33" i="20"/>
  <c r="DD33" i="20"/>
  <c r="DB33" i="20"/>
  <c r="DA33" i="20"/>
  <c r="CW33" i="20"/>
  <c r="CV33" i="20"/>
  <c r="CU33" i="20"/>
  <c r="CN33" i="20"/>
  <c r="CM33" i="20"/>
  <c r="CL33" i="20"/>
  <c r="CK33" i="20"/>
  <c r="CJ33" i="20"/>
  <c r="CI33" i="20"/>
  <c r="CG33" i="20"/>
  <c r="CF33" i="20"/>
  <c r="BT33" i="20"/>
  <c r="BS33" i="20"/>
  <c r="BR33" i="20"/>
  <c r="BQ33" i="20"/>
  <c r="BP33" i="20"/>
  <c r="BO33" i="20"/>
  <c r="BN33" i="20"/>
  <c r="BM33" i="20"/>
  <c r="BU33" i="20" s="1"/>
  <c r="BL33" i="20"/>
  <c r="CB33" i="20" s="1"/>
  <c r="DJ33" i="20" s="1"/>
  <c r="BK33" i="20"/>
  <c r="BJ33" i="20"/>
  <c r="BI33" i="20"/>
  <c r="BH33" i="20"/>
  <c r="BG33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A33" i="20"/>
  <c r="FS32" i="20"/>
  <c r="FR32" i="20"/>
  <c r="FQ32" i="20"/>
  <c r="FP32" i="20"/>
  <c r="FO32" i="20"/>
  <c r="FN32" i="20"/>
  <c r="FM32" i="20"/>
  <c r="FL32" i="20"/>
  <c r="FK32" i="20"/>
  <c r="FJ32" i="20"/>
  <c r="FI32" i="20"/>
  <c r="FH32" i="20"/>
  <c r="FG32" i="20"/>
  <c r="FF32" i="20"/>
  <c r="FE32" i="20"/>
  <c r="FD32" i="20"/>
  <c r="FB32" i="20"/>
  <c r="EY32" i="20"/>
  <c r="EV32" i="20"/>
  <c r="ES32" i="20"/>
  <c r="ER32" i="20"/>
  <c r="EL32" i="20"/>
  <c r="EI32" i="20"/>
  <c r="EE32" i="20"/>
  <c r="ED32" i="20"/>
  <c r="EC32" i="20"/>
  <c r="EB32" i="20"/>
  <c r="EA32" i="20"/>
  <c r="DZ32" i="20"/>
  <c r="DY32" i="20"/>
  <c r="DX32" i="20"/>
  <c r="DW32" i="20"/>
  <c r="DV32" i="20"/>
  <c r="DU32" i="20"/>
  <c r="DT32" i="20"/>
  <c r="DS32" i="20"/>
  <c r="DR32" i="20"/>
  <c r="DQ32" i="20"/>
  <c r="DP32" i="20"/>
  <c r="DO32" i="20"/>
  <c r="DN32" i="20"/>
  <c r="DE32" i="20"/>
  <c r="DD32" i="20"/>
  <c r="DC32" i="20"/>
  <c r="DB32" i="20"/>
  <c r="DA32" i="20"/>
  <c r="CZ32" i="20"/>
  <c r="CY32" i="20"/>
  <c r="CX32" i="20"/>
  <c r="CW32" i="20"/>
  <c r="CV32" i="20"/>
  <c r="CU32" i="20"/>
  <c r="CS32" i="20"/>
  <c r="CN32" i="20"/>
  <c r="CO32" i="20" s="1"/>
  <c r="CP32" i="20" s="1"/>
  <c r="CM32" i="20"/>
  <c r="CR32" i="20" s="1"/>
  <c r="CL32" i="20"/>
  <c r="CJ32" i="20"/>
  <c r="CK32" i="20" s="1"/>
  <c r="CI32" i="20"/>
  <c r="CG32" i="20"/>
  <c r="CF32" i="20"/>
  <c r="CD32" i="20"/>
  <c r="DL32" i="20" s="1"/>
  <c r="CC32" i="20"/>
  <c r="DK32" i="20" s="1"/>
  <c r="CB32" i="20"/>
  <c r="DJ32" i="20" s="1"/>
  <c r="CA32" i="20"/>
  <c r="CE32" i="20" s="1"/>
  <c r="DM32" i="20" s="1"/>
  <c r="BY32" i="20"/>
  <c r="BV32" i="20"/>
  <c r="BX32" i="20" s="1"/>
  <c r="BU32" i="20"/>
  <c r="BT32" i="20"/>
  <c r="BS32" i="20"/>
  <c r="BR32" i="20"/>
  <c r="BQ32" i="20"/>
  <c r="BP32" i="20"/>
  <c r="BO32" i="20"/>
  <c r="BN32" i="20"/>
  <c r="BM32" i="20"/>
  <c r="BL32" i="20"/>
  <c r="EH32" i="20" s="1"/>
  <c r="EJ32" i="20" s="1"/>
  <c r="BK32" i="20"/>
  <c r="BJ32" i="20"/>
  <c r="BI32" i="20"/>
  <c r="BH32" i="20"/>
  <c r="BG32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A32" i="20"/>
  <c r="FS31" i="20"/>
  <c r="FR31" i="20"/>
  <c r="FQ31" i="20"/>
  <c r="FP31" i="20"/>
  <c r="FO31" i="20"/>
  <c r="FN31" i="20"/>
  <c r="FM31" i="20"/>
  <c r="FL31" i="20"/>
  <c r="FK31" i="20"/>
  <c r="FJ31" i="20"/>
  <c r="FI31" i="20"/>
  <c r="FH31" i="20"/>
  <c r="FG31" i="20"/>
  <c r="FF31" i="20"/>
  <c r="FE31" i="20"/>
  <c r="FD31" i="20"/>
  <c r="FB31" i="20"/>
  <c r="EY31" i="20"/>
  <c r="EV31" i="20"/>
  <c r="ES31" i="20"/>
  <c r="ER31" i="20"/>
  <c r="EE31" i="20"/>
  <c r="ED31" i="20"/>
  <c r="EC31" i="20"/>
  <c r="EB31" i="20"/>
  <c r="EA31" i="20"/>
  <c r="DZ31" i="20"/>
  <c r="DY31" i="20"/>
  <c r="DX31" i="20"/>
  <c r="DW31" i="20"/>
  <c r="DV31" i="20"/>
  <c r="DU31" i="20"/>
  <c r="DT31" i="20"/>
  <c r="DS31" i="20"/>
  <c r="DR31" i="20"/>
  <c r="DQ31" i="20"/>
  <c r="DP31" i="20"/>
  <c r="DO31" i="20"/>
  <c r="DN31" i="20"/>
  <c r="DE31" i="20"/>
  <c r="DD31" i="20"/>
  <c r="DB31" i="20"/>
  <c r="DA31" i="20"/>
  <c r="CW31" i="20"/>
  <c r="CV31" i="20"/>
  <c r="CU31" i="20"/>
  <c r="CN31" i="20"/>
  <c r="CM31" i="20"/>
  <c r="CL31" i="20"/>
  <c r="CI31" i="20"/>
  <c r="CG31" i="20"/>
  <c r="CF31" i="20"/>
  <c r="BT31" i="20"/>
  <c r="BS31" i="20"/>
  <c r="BR31" i="20"/>
  <c r="BQ31" i="20"/>
  <c r="BP31" i="20"/>
  <c r="BO31" i="20"/>
  <c r="BN31" i="20"/>
  <c r="BM31" i="20"/>
  <c r="BU31" i="20" s="1"/>
  <c r="BL31" i="20"/>
  <c r="BK31" i="20"/>
  <c r="BJ31" i="20"/>
  <c r="BI31" i="20"/>
  <c r="BH31" i="20"/>
  <c r="BG31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A31" i="20"/>
  <c r="FT30" i="20"/>
  <c r="FS30" i="20"/>
  <c r="FR30" i="20"/>
  <c r="FQ30" i="20"/>
  <c r="FP30" i="20"/>
  <c r="FO30" i="20"/>
  <c r="FN30" i="20"/>
  <c r="FM30" i="20"/>
  <c r="FL30" i="20"/>
  <c r="FK30" i="20"/>
  <c r="FJ30" i="20"/>
  <c r="FI30" i="20"/>
  <c r="FH30" i="20"/>
  <c r="FG30" i="20"/>
  <c r="FF30" i="20"/>
  <c r="FE30" i="20"/>
  <c r="FD30" i="20"/>
  <c r="FB30" i="20"/>
  <c r="EY30" i="20"/>
  <c r="EV30" i="20"/>
  <c r="ES30" i="20"/>
  <c r="ER30" i="20"/>
  <c r="EH30" i="20"/>
  <c r="EJ30" i="20" s="1"/>
  <c r="EL30" i="20" s="1"/>
  <c r="EE30" i="20"/>
  <c r="ED30" i="20"/>
  <c r="EC30" i="20"/>
  <c r="EB30" i="20"/>
  <c r="EA30" i="20"/>
  <c r="DZ30" i="20"/>
  <c r="DY30" i="20"/>
  <c r="DX30" i="20"/>
  <c r="DW30" i="20"/>
  <c r="DV30" i="20"/>
  <c r="DU30" i="20"/>
  <c r="DT30" i="20"/>
  <c r="DS30" i="20"/>
  <c r="DR30" i="20"/>
  <c r="DQ30" i="20"/>
  <c r="DP30" i="20"/>
  <c r="DO30" i="20"/>
  <c r="DN30" i="20"/>
  <c r="DE30" i="20"/>
  <c r="DD30" i="20"/>
  <c r="DB30" i="20"/>
  <c r="DA30" i="20"/>
  <c r="CW30" i="20"/>
  <c r="CV30" i="20"/>
  <c r="CU30" i="20"/>
  <c r="CN30" i="20"/>
  <c r="CM30" i="20"/>
  <c r="CL30" i="20"/>
  <c r="CJ30" i="20"/>
  <c r="CI30" i="20"/>
  <c r="CG30" i="20"/>
  <c r="CF30" i="20"/>
  <c r="CB30" i="20"/>
  <c r="DJ30" i="20" s="1"/>
  <c r="CA30" i="20"/>
  <c r="CE30" i="20" s="1"/>
  <c r="DM30" i="20" s="1"/>
  <c r="BT30" i="20"/>
  <c r="BS30" i="20"/>
  <c r="BR30" i="20"/>
  <c r="BQ30" i="20"/>
  <c r="BP30" i="20"/>
  <c r="BO30" i="20"/>
  <c r="BN30" i="20"/>
  <c r="BM30" i="20"/>
  <c r="BU30" i="20" s="1"/>
  <c r="BL30" i="20"/>
  <c r="BK30" i="20"/>
  <c r="BJ30" i="20"/>
  <c r="BI30" i="20"/>
  <c r="BH30" i="20"/>
  <c r="BG30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A30" i="20"/>
  <c r="FS29" i="20"/>
  <c r="FR29" i="20"/>
  <c r="FQ29" i="20"/>
  <c r="FP29" i="20"/>
  <c r="FO29" i="20"/>
  <c r="FN29" i="20"/>
  <c r="FM29" i="20"/>
  <c r="FL29" i="20"/>
  <c r="FK29" i="20"/>
  <c r="FJ29" i="20"/>
  <c r="FI29" i="20"/>
  <c r="FH29" i="20"/>
  <c r="FG29" i="20"/>
  <c r="FF29" i="20"/>
  <c r="FE29" i="20"/>
  <c r="FD29" i="20"/>
  <c r="FB29" i="20"/>
  <c r="EY29" i="20"/>
  <c r="EV29" i="20"/>
  <c r="ES29" i="20"/>
  <c r="ER29" i="20"/>
  <c r="EJ29" i="20"/>
  <c r="EL29" i="20" s="1"/>
  <c r="EE29" i="20"/>
  <c r="ED29" i="20"/>
  <c r="EC29" i="20"/>
  <c r="EB29" i="20"/>
  <c r="EA29" i="20"/>
  <c r="DZ29" i="20"/>
  <c r="DY29" i="20"/>
  <c r="DX29" i="20"/>
  <c r="DW29" i="20"/>
  <c r="DV29" i="20"/>
  <c r="DU29" i="20"/>
  <c r="DT29" i="20"/>
  <c r="DS29" i="20"/>
  <c r="DR29" i="20"/>
  <c r="DQ29" i="20"/>
  <c r="DP29" i="20"/>
  <c r="DO29" i="20"/>
  <c r="DN29" i="20"/>
  <c r="DE29" i="20"/>
  <c r="DD29" i="20"/>
  <c r="DB29" i="20"/>
  <c r="DA29" i="20"/>
  <c r="CW29" i="20"/>
  <c r="CV29" i="20"/>
  <c r="CU29" i="20"/>
  <c r="CS29" i="20"/>
  <c r="CN29" i="20"/>
  <c r="CM29" i="20"/>
  <c r="CL29" i="20"/>
  <c r="CI29" i="20"/>
  <c r="CG29" i="20"/>
  <c r="CF29" i="20"/>
  <c r="CC29" i="20"/>
  <c r="DK29" i="20" s="1"/>
  <c r="CB29" i="20"/>
  <c r="DJ29" i="20" s="1"/>
  <c r="BU29" i="20"/>
  <c r="BT29" i="20"/>
  <c r="BS29" i="20"/>
  <c r="BR29" i="20"/>
  <c r="BQ29" i="20"/>
  <c r="BP29" i="20"/>
  <c r="BO29" i="20"/>
  <c r="BN29" i="20"/>
  <c r="BM29" i="20"/>
  <c r="BL29" i="20"/>
  <c r="BK29" i="20"/>
  <c r="BJ29" i="20"/>
  <c r="BI29" i="20"/>
  <c r="BH29" i="20"/>
  <c r="BG29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BV29" i="20" s="1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EH29" i="20" s="1"/>
  <c r="FT29" i="20" s="1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A29" i="20"/>
  <c r="FS28" i="20"/>
  <c r="FR28" i="20"/>
  <c r="FQ28" i="20"/>
  <c r="FP28" i="20"/>
  <c r="FO28" i="20"/>
  <c r="FN28" i="20"/>
  <c r="FM28" i="20"/>
  <c r="FL28" i="20"/>
  <c r="FK28" i="20"/>
  <c r="FJ28" i="20"/>
  <c r="FI28" i="20"/>
  <c r="FH28" i="20"/>
  <c r="FG28" i="20"/>
  <c r="FF28" i="20"/>
  <c r="FE28" i="20"/>
  <c r="FD28" i="20"/>
  <c r="FB28" i="20"/>
  <c r="EY28" i="20"/>
  <c r="EV28" i="20"/>
  <c r="ES28" i="20"/>
  <c r="ER28" i="20"/>
  <c r="EE28" i="20"/>
  <c r="ED28" i="20"/>
  <c r="EC28" i="20"/>
  <c r="EB28" i="20"/>
  <c r="EA28" i="20"/>
  <c r="DZ28" i="20"/>
  <c r="DY28" i="20"/>
  <c r="DX28" i="20"/>
  <c r="DW28" i="20"/>
  <c r="DV28" i="20"/>
  <c r="DU28" i="20"/>
  <c r="DT28" i="20"/>
  <c r="DS28" i="20"/>
  <c r="DR28" i="20"/>
  <c r="DQ28" i="20"/>
  <c r="DP28" i="20"/>
  <c r="DO28" i="20"/>
  <c r="DN28" i="20"/>
  <c r="DE28" i="20"/>
  <c r="DD28" i="20"/>
  <c r="DB28" i="20"/>
  <c r="DA28" i="20"/>
  <c r="CW28" i="20"/>
  <c r="CV28" i="20"/>
  <c r="CU28" i="20"/>
  <c r="CN28" i="20"/>
  <c r="CM28" i="20"/>
  <c r="CL28" i="20"/>
  <c r="CI28" i="20"/>
  <c r="CG28" i="20"/>
  <c r="CF28" i="20"/>
  <c r="CD28" i="20"/>
  <c r="DL28" i="20" s="1"/>
  <c r="BV28" i="20"/>
  <c r="BX28" i="20" s="1"/>
  <c r="BT28" i="20"/>
  <c r="BS28" i="20"/>
  <c r="BR28" i="20"/>
  <c r="BQ28" i="20"/>
  <c r="BP28" i="20"/>
  <c r="BO28" i="20"/>
  <c r="BN28" i="20"/>
  <c r="BM28" i="20"/>
  <c r="BU28" i="20" s="1"/>
  <c r="BL28" i="20"/>
  <c r="BK28" i="20"/>
  <c r="BJ28" i="20"/>
  <c r="BI28" i="20"/>
  <c r="BH28" i="20"/>
  <c r="BG28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A28" i="20"/>
  <c r="FS27" i="20"/>
  <c r="FR27" i="20"/>
  <c r="FQ27" i="20"/>
  <c r="FP27" i="20"/>
  <c r="FO27" i="20"/>
  <c r="FN27" i="20"/>
  <c r="FM27" i="20"/>
  <c r="FL27" i="20"/>
  <c r="FK27" i="20"/>
  <c r="FJ27" i="20"/>
  <c r="FI27" i="20"/>
  <c r="FH27" i="20"/>
  <c r="FG27" i="20"/>
  <c r="FF27" i="20"/>
  <c r="FE27" i="20"/>
  <c r="FD27" i="20"/>
  <c r="FB27" i="20"/>
  <c r="EY27" i="20"/>
  <c r="EV27" i="20"/>
  <c r="ES27" i="20"/>
  <c r="ER27" i="20"/>
  <c r="EL27" i="20"/>
  <c r="FW27" i="20" s="1"/>
  <c r="EJ27" i="20"/>
  <c r="EE27" i="20"/>
  <c r="ED27" i="20"/>
  <c r="EC27" i="20"/>
  <c r="EB27" i="20"/>
  <c r="EA27" i="20"/>
  <c r="DZ27" i="20"/>
  <c r="DY27" i="20"/>
  <c r="DX27" i="20"/>
  <c r="DW27" i="20"/>
  <c r="DV27" i="20"/>
  <c r="DU27" i="20"/>
  <c r="DT27" i="20"/>
  <c r="DS27" i="20"/>
  <c r="DR27" i="20"/>
  <c r="DQ27" i="20"/>
  <c r="DP27" i="20"/>
  <c r="DO27" i="20"/>
  <c r="DN27" i="20"/>
  <c r="DE27" i="20"/>
  <c r="DD27" i="20"/>
  <c r="DB27" i="20"/>
  <c r="DA27" i="20"/>
  <c r="CZ27" i="20"/>
  <c r="CW27" i="20"/>
  <c r="CV27" i="20"/>
  <c r="CU27" i="20"/>
  <c r="CS27" i="20"/>
  <c r="CN27" i="20"/>
  <c r="CM27" i="20"/>
  <c r="CL27" i="20"/>
  <c r="CJ27" i="20"/>
  <c r="CI27" i="20"/>
  <c r="CG27" i="20"/>
  <c r="CF27" i="20"/>
  <c r="CC27" i="20"/>
  <c r="DK27" i="20" s="1"/>
  <c r="CB27" i="20"/>
  <c r="DJ27" i="20" s="1"/>
  <c r="BX27" i="20"/>
  <c r="BY27" i="20" s="1"/>
  <c r="BW27" i="20"/>
  <c r="BZ27" i="20" s="1"/>
  <c r="BV27" i="20"/>
  <c r="BT27" i="20"/>
  <c r="BS27" i="20"/>
  <c r="BR27" i="20"/>
  <c r="BQ27" i="20"/>
  <c r="BP27" i="20"/>
  <c r="BO27" i="20"/>
  <c r="BN27" i="20"/>
  <c r="BM27" i="20"/>
  <c r="BU27" i="20" s="1"/>
  <c r="BL27" i="20"/>
  <c r="EH27" i="20" s="1"/>
  <c r="FT27" i="20" s="1"/>
  <c r="BK27" i="20"/>
  <c r="BJ27" i="20"/>
  <c r="BI27" i="20"/>
  <c r="BH27" i="20"/>
  <c r="BG27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27" i="20"/>
  <c r="FS26" i="20"/>
  <c r="FR26" i="20"/>
  <c r="FQ26" i="20"/>
  <c r="FP26" i="20"/>
  <c r="FO26" i="20"/>
  <c r="FN26" i="20"/>
  <c r="FM26" i="20"/>
  <c r="FL26" i="20"/>
  <c r="FK26" i="20"/>
  <c r="FJ26" i="20"/>
  <c r="FI26" i="20"/>
  <c r="FH26" i="20"/>
  <c r="FG26" i="20"/>
  <c r="FF26" i="20"/>
  <c r="FE26" i="20"/>
  <c r="FD26" i="20"/>
  <c r="FB26" i="20"/>
  <c r="EY26" i="20"/>
  <c r="EV26" i="20"/>
  <c r="ES26" i="20"/>
  <c r="ER26" i="20"/>
  <c r="EI26" i="20"/>
  <c r="EE26" i="20"/>
  <c r="ED26" i="20"/>
  <c r="EC26" i="20"/>
  <c r="EB26" i="20"/>
  <c r="EA26" i="20"/>
  <c r="DZ26" i="20"/>
  <c r="DY26" i="20"/>
  <c r="DX26" i="20"/>
  <c r="DW26" i="20"/>
  <c r="DV26" i="20"/>
  <c r="DU26" i="20"/>
  <c r="DT26" i="20"/>
  <c r="DS26" i="20"/>
  <c r="DR26" i="20"/>
  <c r="DQ26" i="20"/>
  <c r="DP26" i="20"/>
  <c r="DO26" i="20"/>
  <c r="DN26" i="20"/>
  <c r="DE26" i="20"/>
  <c r="DD26" i="20"/>
  <c r="DB26" i="20"/>
  <c r="DA26" i="20"/>
  <c r="CW26" i="20"/>
  <c r="CV26" i="20"/>
  <c r="CU26" i="20"/>
  <c r="CN26" i="20"/>
  <c r="CM26" i="20"/>
  <c r="CL26" i="20"/>
  <c r="CJ26" i="20"/>
  <c r="CI26" i="20"/>
  <c r="CG26" i="20"/>
  <c r="CF26" i="20"/>
  <c r="CD26" i="20"/>
  <c r="DL26" i="20" s="1"/>
  <c r="CA26" i="20"/>
  <c r="CE26" i="20" s="1"/>
  <c r="DM26" i="20" s="1"/>
  <c r="BT26" i="20"/>
  <c r="BS26" i="20"/>
  <c r="BR26" i="20"/>
  <c r="BQ26" i="20"/>
  <c r="BP26" i="20"/>
  <c r="BO26" i="20"/>
  <c r="BN26" i="20"/>
  <c r="BM26" i="20"/>
  <c r="BU26" i="20" s="1"/>
  <c r="BL26" i="20"/>
  <c r="BK26" i="20"/>
  <c r="BJ26" i="20"/>
  <c r="BI26" i="20"/>
  <c r="BH26" i="20"/>
  <c r="BG26" i="20"/>
  <c r="BF26" i="20"/>
  <c r="BE26" i="20"/>
  <c r="BD26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26" i="20"/>
  <c r="FS25" i="20"/>
  <c r="FR25" i="20"/>
  <c r="FQ25" i="20"/>
  <c r="FP25" i="20"/>
  <c r="FO25" i="20"/>
  <c r="FN25" i="20"/>
  <c r="FM25" i="20"/>
  <c r="FL25" i="20"/>
  <c r="FK25" i="20"/>
  <c r="FJ25" i="20"/>
  <c r="FI25" i="20"/>
  <c r="FH25" i="20"/>
  <c r="FG25" i="20"/>
  <c r="FF25" i="20"/>
  <c r="FE25" i="20"/>
  <c r="FD25" i="20"/>
  <c r="FB25" i="20"/>
  <c r="EY25" i="20"/>
  <c r="EV25" i="20"/>
  <c r="ES25" i="20"/>
  <c r="ER25" i="20"/>
  <c r="EE25" i="20"/>
  <c r="ED25" i="20"/>
  <c r="EC25" i="20"/>
  <c r="EB25" i="20"/>
  <c r="EA25" i="20"/>
  <c r="DZ25" i="20"/>
  <c r="DY25" i="20"/>
  <c r="DX25" i="20"/>
  <c r="DW25" i="20"/>
  <c r="DV25" i="20"/>
  <c r="DU25" i="20"/>
  <c r="DT25" i="20"/>
  <c r="DS25" i="20"/>
  <c r="DR25" i="20"/>
  <c r="DQ25" i="20"/>
  <c r="DP25" i="20"/>
  <c r="DO25" i="20"/>
  <c r="DN25" i="20"/>
  <c r="DE25" i="20"/>
  <c r="DD25" i="20"/>
  <c r="DB25" i="20"/>
  <c r="DA25" i="20"/>
  <c r="CW25" i="20"/>
  <c r="CV25" i="20"/>
  <c r="CU25" i="20"/>
  <c r="CN25" i="20"/>
  <c r="CM25" i="20"/>
  <c r="CL25" i="20"/>
  <c r="CJ25" i="20"/>
  <c r="CI25" i="20"/>
  <c r="CG25" i="20"/>
  <c r="CF25" i="20"/>
  <c r="CD25" i="20"/>
  <c r="DL25" i="20" s="1"/>
  <c r="CB25" i="20"/>
  <c r="DJ25" i="20" s="1"/>
  <c r="BU25" i="20"/>
  <c r="BT25" i="20"/>
  <c r="BS25" i="20"/>
  <c r="BR25" i="20"/>
  <c r="BQ25" i="20"/>
  <c r="BP25" i="20"/>
  <c r="BO25" i="20"/>
  <c r="BN25" i="20"/>
  <c r="BM25" i="20"/>
  <c r="BL25" i="20"/>
  <c r="BK25" i="20"/>
  <c r="BJ25" i="20"/>
  <c r="BI25" i="20"/>
  <c r="BH25" i="20"/>
  <c r="BG25" i="20"/>
  <c r="BF25" i="20"/>
  <c r="BE25" i="20"/>
  <c r="BD25" i="20"/>
  <c r="BC25" i="20"/>
  <c r="BB25" i="20"/>
  <c r="BA25" i="20"/>
  <c r="EI25" i="20" s="1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EH25" i="20" s="1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A25" i="20"/>
  <c r="FS24" i="20"/>
  <c r="FR24" i="20"/>
  <c r="FQ24" i="20"/>
  <c r="FP24" i="20"/>
  <c r="FO24" i="20"/>
  <c r="FN24" i="20"/>
  <c r="FM24" i="20"/>
  <c r="FL24" i="20"/>
  <c r="FK24" i="20"/>
  <c r="FJ24" i="20"/>
  <c r="FI24" i="20"/>
  <c r="FH24" i="20"/>
  <c r="FG24" i="20"/>
  <c r="FF24" i="20"/>
  <c r="FE24" i="20"/>
  <c r="FD24" i="20"/>
  <c r="FB24" i="20"/>
  <c r="EY24" i="20"/>
  <c r="EV24" i="20"/>
  <c r="ES24" i="20"/>
  <c r="ER24" i="20"/>
  <c r="EJ24" i="20"/>
  <c r="EL24" i="20" s="1"/>
  <c r="EI24" i="20"/>
  <c r="FU24" i="20" s="1"/>
  <c r="EE24" i="20"/>
  <c r="ED24" i="20"/>
  <c r="EC24" i="20"/>
  <c r="EB24" i="20"/>
  <c r="EA24" i="20"/>
  <c r="DZ24" i="20"/>
  <c r="DY24" i="20"/>
  <c r="DX24" i="20"/>
  <c r="DW24" i="20"/>
  <c r="DV24" i="20"/>
  <c r="DU24" i="20"/>
  <c r="DT24" i="20"/>
  <c r="DS24" i="20"/>
  <c r="DR24" i="20"/>
  <c r="DQ24" i="20"/>
  <c r="DP24" i="20"/>
  <c r="DO24" i="20"/>
  <c r="DN24" i="20"/>
  <c r="DM24" i="20"/>
  <c r="DE24" i="20"/>
  <c r="DD24" i="20"/>
  <c r="DB24" i="20"/>
  <c r="DA24" i="20"/>
  <c r="CW24" i="20"/>
  <c r="CV24" i="20"/>
  <c r="CU24" i="20"/>
  <c r="CS24" i="20"/>
  <c r="CN24" i="20"/>
  <c r="CM24" i="20"/>
  <c r="CL24" i="20"/>
  <c r="CJ24" i="20"/>
  <c r="CI24" i="20"/>
  <c r="CG24" i="20"/>
  <c r="CF24" i="20"/>
  <c r="CD24" i="20"/>
  <c r="DL24" i="20" s="1"/>
  <c r="CB24" i="20"/>
  <c r="DJ24" i="20" s="1"/>
  <c r="CA24" i="20"/>
  <c r="CE24" i="20" s="1"/>
  <c r="BW24" i="20"/>
  <c r="BZ24" i="20" s="1"/>
  <c r="BT24" i="20"/>
  <c r="BS24" i="20"/>
  <c r="BR24" i="20"/>
  <c r="BQ24" i="20"/>
  <c r="BP24" i="20"/>
  <c r="BO24" i="20"/>
  <c r="BN24" i="20"/>
  <c r="BM24" i="20"/>
  <c r="BU24" i="20" s="1"/>
  <c r="CC24" i="20" s="1"/>
  <c r="DK24" i="20" s="1"/>
  <c r="BL24" i="20"/>
  <c r="EH24" i="20" s="1"/>
  <c r="FT24" i="20" s="1"/>
  <c r="BK24" i="20"/>
  <c r="BJ24" i="20"/>
  <c r="BI24" i="20"/>
  <c r="BH24" i="20"/>
  <c r="BG24" i="20"/>
  <c r="BF24" i="20"/>
  <c r="BE24" i="20"/>
  <c r="BD24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BV24" i="20" s="1"/>
  <c r="BX24" i="20" s="1"/>
  <c r="BY24" i="20" s="1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A24" i="20"/>
  <c r="FS23" i="20"/>
  <c r="FR23" i="20"/>
  <c r="FQ23" i="20"/>
  <c r="FP23" i="20"/>
  <c r="FO23" i="20"/>
  <c r="FN23" i="20"/>
  <c r="FM23" i="20"/>
  <c r="FL23" i="20"/>
  <c r="FK23" i="20"/>
  <c r="FJ23" i="20"/>
  <c r="FI23" i="20"/>
  <c r="FH23" i="20"/>
  <c r="FG23" i="20"/>
  <c r="FF23" i="20"/>
  <c r="FE23" i="20"/>
  <c r="FD23" i="20"/>
  <c r="FB23" i="20"/>
  <c r="EY23" i="20"/>
  <c r="EV23" i="20"/>
  <c r="ES23" i="20"/>
  <c r="ER23" i="20"/>
  <c r="EM23" i="20"/>
  <c r="FX23" i="20" s="1"/>
  <c r="EK23" i="20"/>
  <c r="EI23" i="20"/>
  <c r="FU23" i="20" s="1"/>
  <c r="EE23" i="20"/>
  <c r="ED23" i="20"/>
  <c r="EC23" i="20"/>
  <c r="EB23" i="20"/>
  <c r="EA23" i="20"/>
  <c r="DZ23" i="20"/>
  <c r="DY23" i="20"/>
  <c r="DX23" i="20"/>
  <c r="DW23" i="20"/>
  <c r="DV23" i="20"/>
  <c r="DU23" i="20"/>
  <c r="DT23" i="20"/>
  <c r="DS23" i="20"/>
  <c r="DR23" i="20"/>
  <c r="DQ23" i="20"/>
  <c r="DP23" i="20"/>
  <c r="DO23" i="20"/>
  <c r="DN23" i="20"/>
  <c r="DE23" i="20"/>
  <c r="DD23" i="20"/>
  <c r="DB23" i="20"/>
  <c r="DA23" i="20"/>
  <c r="CW23" i="20"/>
  <c r="CV23" i="20"/>
  <c r="CU23" i="20"/>
  <c r="CS23" i="20"/>
  <c r="CN23" i="20"/>
  <c r="CM23" i="20"/>
  <c r="CL23" i="20"/>
  <c r="CI23" i="20"/>
  <c r="CG23" i="20"/>
  <c r="CF23" i="20"/>
  <c r="CC23" i="20"/>
  <c r="DK23" i="20" s="1"/>
  <c r="CA23" i="20"/>
  <c r="CE23" i="20" s="1"/>
  <c r="DM23" i="20" s="1"/>
  <c r="BW23" i="20"/>
  <c r="BZ23" i="20" s="1"/>
  <c r="BV23" i="20"/>
  <c r="BX23" i="20" s="1"/>
  <c r="BY23" i="20" s="1"/>
  <c r="BT23" i="20"/>
  <c r="CD23" i="20" s="1"/>
  <c r="DL23" i="20" s="1"/>
  <c r="BS23" i="20"/>
  <c r="BR23" i="20"/>
  <c r="BQ23" i="20"/>
  <c r="BP23" i="20"/>
  <c r="BO23" i="20"/>
  <c r="BN23" i="20"/>
  <c r="BM23" i="20"/>
  <c r="BU23" i="20" s="1"/>
  <c r="BL23" i="20"/>
  <c r="BK23" i="20"/>
  <c r="BJ23" i="20"/>
  <c r="BI23" i="20"/>
  <c r="BH23" i="20"/>
  <c r="BG23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23" i="20"/>
  <c r="FX22" i="20"/>
  <c r="FU22" i="20"/>
  <c r="FS22" i="20"/>
  <c r="FR22" i="20"/>
  <c r="FQ22" i="20"/>
  <c r="FP22" i="20"/>
  <c r="FO22" i="20"/>
  <c r="FN22" i="20"/>
  <c r="FM22" i="20"/>
  <c r="FL22" i="20"/>
  <c r="FK22" i="20"/>
  <c r="FJ22" i="20"/>
  <c r="FI22" i="20"/>
  <c r="FH22" i="20"/>
  <c r="FG22" i="20"/>
  <c r="FF22" i="20"/>
  <c r="FE22" i="20"/>
  <c r="FD22" i="20"/>
  <c r="FB22" i="20"/>
  <c r="EY22" i="20"/>
  <c r="EV22" i="20"/>
  <c r="ES22" i="20"/>
  <c r="ER22" i="20"/>
  <c r="EI22" i="20"/>
  <c r="EK22" i="20" s="1"/>
  <c r="EM22" i="20" s="1"/>
  <c r="EE22" i="20"/>
  <c r="ED22" i="20"/>
  <c r="EC22" i="20"/>
  <c r="EB22" i="20"/>
  <c r="EA22" i="20"/>
  <c r="DZ22" i="20"/>
  <c r="DY22" i="20"/>
  <c r="DX22" i="20"/>
  <c r="DW22" i="20"/>
  <c r="DV22" i="20"/>
  <c r="DU22" i="20"/>
  <c r="DT22" i="20"/>
  <c r="DS22" i="20"/>
  <c r="DR22" i="20"/>
  <c r="DQ22" i="20"/>
  <c r="DP22" i="20"/>
  <c r="DO22" i="20"/>
  <c r="DN22" i="20"/>
  <c r="DE22" i="20"/>
  <c r="DD22" i="20"/>
  <c r="DB22" i="20"/>
  <c r="DA22" i="20"/>
  <c r="CW22" i="20"/>
  <c r="CV22" i="20"/>
  <c r="CU22" i="20"/>
  <c r="CN22" i="20"/>
  <c r="CM22" i="20"/>
  <c r="CL22" i="20"/>
  <c r="CI22" i="20"/>
  <c r="CG22" i="20"/>
  <c r="CF22" i="20"/>
  <c r="BT22" i="20"/>
  <c r="BS22" i="20"/>
  <c r="CB22" i="20" s="1"/>
  <c r="DJ22" i="20" s="1"/>
  <c r="BR22" i="20"/>
  <c r="BQ22" i="20"/>
  <c r="BP22" i="20"/>
  <c r="BO22" i="20"/>
  <c r="BN22" i="20"/>
  <c r="BM22" i="20"/>
  <c r="BU22" i="20" s="1"/>
  <c r="BL22" i="20"/>
  <c r="BK22" i="20"/>
  <c r="BJ22" i="20"/>
  <c r="BI22" i="20"/>
  <c r="BH22" i="20"/>
  <c r="BG22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BW22" i="20" s="1"/>
  <c r="BZ22" i="20" s="1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CJ22" i="20" s="1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A22" i="20"/>
  <c r="FS21" i="20"/>
  <c r="FR21" i="20"/>
  <c r="FQ21" i="20"/>
  <c r="FP21" i="20"/>
  <c r="FO21" i="20"/>
  <c r="FN21" i="20"/>
  <c r="FM21" i="20"/>
  <c r="FL21" i="20"/>
  <c r="FK21" i="20"/>
  <c r="FJ21" i="20"/>
  <c r="FI21" i="20"/>
  <c r="FH21" i="20"/>
  <c r="FG21" i="20"/>
  <c r="FF21" i="20"/>
  <c r="FE21" i="20"/>
  <c r="FD21" i="20"/>
  <c r="FB21" i="20"/>
  <c r="EY21" i="20"/>
  <c r="EV21" i="20"/>
  <c r="ES21" i="20"/>
  <c r="ER21" i="20"/>
  <c r="EE21" i="20"/>
  <c r="ED21" i="20"/>
  <c r="EC21" i="20"/>
  <c r="EB21" i="20"/>
  <c r="EA21" i="20"/>
  <c r="DZ21" i="20"/>
  <c r="DY21" i="20"/>
  <c r="DX21" i="20"/>
  <c r="DW21" i="20"/>
  <c r="DV21" i="20"/>
  <c r="DU21" i="20"/>
  <c r="DT21" i="20"/>
  <c r="DS21" i="20"/>
  <c r="DR21" i="20"/>
  <c r="DQ21" i="20"/>
  <c r="DP21" i="20"/>
  <c r="DO21" i="20"/>
  <c r="DN21" i="20"/>
  <c r="DE21" i="20"/>
  <c r="DD21" i="20"/>
  <c r="DB21" i="20"/>
  <c r="DA21" i="20"/>
  <c r="CW21" i="20"/>
  <c r="CV21" i="20"/>
  <c r="CU21" i="20"/>
  <c r="CS21" i="20"/>
  <c r="CN21" i="20"/>
  <c r="CM21" i="20"/>
  <c r="CL21" i="20"/>
  <c r="CI21" i="20"/>
  <c r="CG21" i="20"/>
  <c r="CF21" i="20"/>
  <c r="CB21" i="20"/>
  <c r="DJ21" i="20" s="1"/>
  <c r="BU21" i="20"/>
  <c r="CC21" i="20" s="1"/>
  <c r="DK21" i="20" s="1"/>
  <c r="BT21" i="20"/>
  <c r="CD21" i="20" s="1"/>
  <c r="DL21" i="20" s="1"/>
  <c r="BS21" i="20"/>
  <c r="BR21" i="20"/>
  <c r="BQ21" i="20"/>
  <c r="BP21" i="20"/>
  <c r="BO21" i="20"/>
  <c r="BN21" i="20"/>
  <c r="BM21" i="20"/>
  <c r="BL21" i="20"/>
  <c r="BK21" i="20"/>
  <c r="BJ21" i="20"/>
  <c r="BI21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BV21" i="20" s="1"/>
  <c r="BX21" i="20" s="1"/>
  <c r="BY21" i="20" s="1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CJ21" i="20" s="1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A21" i="20"/>
  <c r="FS20" i="20"/>
  <c r="FR20" i="20"/>
  <c r="FQ20" i="20"/>
  <c r="FP20" i="20"/>
  <c r="FO20" i="20"/>
  <c r="FN20" i="20"/>
  <c r="FM20" i="20"/>
  <c r="FL20" i="20"/>
  <c r="FK20" i="20"/>
  <c r="FJ20" i="20"/>
  <c r="FI20" i="20"/>
  <c r="FH20" i="20"/>
  <c r="FG20" i="20"/>
  <c r="FF20" i="20"/>
  <c r="FE20" i="20"/>
  <c r="FD20" i="20"/>
  <c r="FB20" i="20"/>
  <c r="EY20" i="20"/>
  <c r="EV20" i="20"/>
  <c r="ES20" i="20"/>
  <c r="ER20" i="20"/>
  <c r="EE20" i="20"/>
  <c r="ED20" i="20"/>
  <c r="EC20" i="20"/>
  <c r="EB20" i="20"/>
  <c r="EA20" i="20"/>
  <c r="DZ20" i="20"/>
  <c r="DY20" i="20"/>
  <c r="DX20" i="20"/>
  <c r="DW20" i="20"/>
  <c r="DV20" i="20"/>
  <c r="DU20" i="20"/>
  <c r="DT20" i="20"/>
  <c r="DS20" i="20"/>
  <c r="DR20" i="20"/>
  <c r="DQ20" i="20"/>
  <c r="DP20" i="20"/>
  <c r="DO20" i="20"/>
  <c r="DN20" i="20"/>
  <c r="DE20" i="20"/>
  <c r="DD20" i="20"/>
  <c r="DB20" i="20"/>
  <c r="DA20" i="20"/>
  <c r="CW20" i="20"/>
  <c r="CV20" i="20"/>
  <c r="CU20" i="20"/>
  <c r="CN20" i="20"/>
  <c r="CM20" i="20"/>
  <c r="CL20" i="20"/>
  <c r="CJ20" i="20"/>
  <c r="CI20" i="20"/>
  <c r="CG20" i="20"/>
  <c r="CF20" i="20"/>
  <c r="CB20" i="20"/>
  <c r="DJ20" i="20" s="1"/>
  <c r="BU20" i="20"/>
  <c r="CC20" i="20" s="1"/>
  <c r="DK20" i="20" s="1"/>
  <c r="BT20" i="20"/>
  <c r="BS20" i="20"/>
  <c r="BR20" i="20"/>
  <c r="BQ20" i="20"/>
  <c r="BP20" i="20"/>
  <c r="BO20" i="20"/>
  <c r="BN20" i="20"/>
  <c r="BM20" i="20"/>
  <c r="BL20" i="20"/>
  <c r="EH20" i="20" s="1"/>
  <c r="BK20" i="20"/>
  <c r="BJ20" i="20"/>
  <c r="BI20" i="20"/>
  <c r="BH20" i="20"/>
  <c r="BG20" i="20"/>
  <c r="BF20" i="20"/>
  <c r="BE20" i="20"/>
  <c r="BD20" i="20"/>
  <c r="BC20" i="20"/>
  <c r="BB20" i="20"/>
  <c r="BA20" i="20"/>
  <c r="CS20" i="20" s="1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A20" i="20"/>
  <c r="FS19" i="20"/>
  <c r="FR19" i="20"/>
  <c r="FQ19" i="20"/>
  <c r="FP19" i="20"/>
  <c r="FO19" i="20"/>
  <c r="FN19" i="20"/>
  <c r="FM19" i="20"/>
  <c r="FL19" i="20"/>
  <c r="FK19" i="20"/>
  <c r="FJ19" i="20"/>
  <c r="FI19" i="20"/>
  <c r="FH19" i="20"/>
  <c r="FG19" i="20"/>
  <c r="FF19" i="20"/>
  <c r="FE19" i="20"/>
  <c r="FD19" i="20"/>
  <c r="FB19" i="20"/>
  <c r="EY19" i="20"/>
  <c r="EV19" i="20"/>
  <c r="ES19" i="20"/>
  <c r="ER19" i="20"/>
  <c r="EE19" i="20"/>
  <c r="ED19" i="20"/>
  <c r="EC19" i="20"/>
  <c r="EB19" i="20"/>
  <c r="EA19" i="20"/>
  <c r="DZ19" i="20"/>
  <c r="DY19" i="20"/>
  <c r="DX19" i="20"/>
  <c r="DW19" i="20"/>
  <c r="DV19" i="20"/>
  <c r="DU19" i="20"/>
  <c r="DT19" i="20"/>
  <c r="DS19" i="20"/>
  <c r="DR19" i="20"/>
  <c r="DQ19" i="20"/>
  <c r="DP19" i="20"/>
  <c r="DO19" i="20"/>
  <c r="DN19" i="20"/>
  <c r="DE19" i="20"/>
  <c r="DD19" i="20"/>
  <c r="DB19" i="20"/>
  <c r="DA19" i="20"/>
  <c r="CW19" i="20"/>
  <c r="CV19" i="20"/>
  <c r="CU19" i="20"/>
  <c r="CN19" i="20"/>
  <c r="CM19" i="20"/>
  <c r="CL19" i="20"/>
  <c r="CK19" i="20"/>
  <c r="CJ19" i="20"/>
  <c r="CI19" i="20"/>
  <c r="CG19" i="20"/>
  <c r="CF19" i="20"/>
  <c r="BU19" i="20"/>
  <c r="BT19" i="20"/>
  <c r="BS19" i="20"/>
  <c r="BR19" i="20"/>
  <c r="BQ19" i="20"/>
  <c r="BP19" i="20"/>
  <c r="BO19" i="20"/>
  <c r="BN19" i="20"/>
  <c r="BM19" i="20"/>
  <c r="BL19" i="20"/>
  <c r="EH19" i="20" s="1"/>
  <c r="EJ19" i="20" s="1"/>
  <c r="EL19" i="20" s="1"/>
  <c r="BK19" i="20"/>
  <c r="BJ19" i="20"/>
  <c r="BI19" i="20"/>
  <c r="BH19" i="20"/>
  <c r="BG19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A19" i="20"/>
  <c r="FW18" i="20"/>
  <c r="FS18" i="20"/>
  <c r="FR18" i="20"/>
  <c r="FQ18" i="20"/>
  <c r="FP18" i="20"/>
  <c r="FO18" i="20"/>
  <c r="FN18" i="20"/>
  <c r="FM18" i="20"/>
  <c r="FL18" i="20"/>
  <c r="FK18" i="20"/>
  <c r="FJ18" i="20"/>
  <c r="FI18" i="20"/>
  <c r="FH18" i="20"/>
  <c r="FG18" i="20"/>
  <c r="FF18" i="20"/>
  <c r="FE18" i="20"/>
  <c r="FD18" i="20"/>
  <c r="FB18" i="20"/>
  <c r="EY18" i="20"/>
  <c r="EV18" i="20"/>
  <c r="ES18" i="20"/>
  <c r="ER18" i="20"/>
  <c r="EH18" i="20"/>
  <c r="EJ18" i="20" s="1"/>
  <c r="EL18" i="20" s="1"/>
  <c r="EE18" i="20"/>
  <c r="ED18" i="20"/>
  <c r="EC18" i="20"/>
  <c r="EB18" i="20"/>
  <c r="EA18" i="20"/>
  <c r="DZ18" i="20"/>
  <c r="DY18" i="20"/>
  <c r="DX18" i="20"/>
  <c r="DW18" i="20"/>
  <c r="DV18" i="20"/>
  <c r="DU18" i="20"/>
  <c r="DT18" i="20"/>
  <c r="DS18" i="20"/>
  <c r="DR18" i="20"/>
  <c r="DQ18" i="20"/>
  <c r="DP18" i="20"/>
  <c r="DO18" i="20"/>
  <c r="DN18" i="20"/>
  <c r="DE18" i="20"/>
  <c r="DD18" i="20"/>
  <c r="DB18" i="20"/>
  <c r="DA18" i="20"/>
  <c r="CW18" i="20"/>
  <c r="CV18" i="20"/>
  <c r="CU18" i="20"/>
  <c r="CN18" i="20"/>
  <c r="CM18" i="20"/>
  <c r="CL18" i="20"/>
  <c r="CI18" i="20"/>
  <c r="CG18" i="20"/>
  <c r="CF18" i="20"/>
  <c r="BU18" i="20"/>
  <c r="BT18" i="20"/>
  <c r="BS18" i="20"/>
  <c r="CB18" i="20" s="1"/>
  <c r="DJ18" i="20" s="1"/>
  <c r="BR18" i="20"/>
  <c r="BQ18" i="20"/>
  <c r="BP18" i="20"/>
  <c r="BO18" i="20"/>
  <c r="BN18" i="20"/>
  <c r="CD18" i="20" s="1"/>
  <c r="DL18" i="20" s="1"/>
  <c r="BM18" i="20"/>
  <c r="BL18" i="20"/>
  <c r="BK18" i="20"/>
  <c r="BJ18" i="20"/>
  <c r="BI18" i="20"/>
  <c r="BH18" i="20"/>
  <c r="BG18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18" i="20"/>
  <c r="FS17" i="20"/>
  <c r="FR17" i="20"/>
  <c r="FQ17" i="20"/>
  <c r="FP17" i="20"/>
  <c r="FO17" i="20"/>
  <c r="FN17" i="20"/>
  <c r="FM17" i="20"/>
  <c r="FL17" i="20"/>
  <c r="FK17" i="20"/>
  <c r="FJ17" i="20"/>
  <c r="FI17" i="20"/>
  <c r="FH17" i="20"/>
  <c r="FG17" i="20"/>
  <c r="FF17" i="20"/>
  <c r="FE17" i="20"/>
  <c r="FD17" i="20"/>
  <c r="FB17" i="20"/>
  <c r="EY17" i="20"/>
  <c r="EV17" i="20"/>
  <c r="ES17" i="20"/>
  <c r="ER17" i="20"/>
  <c r="EI17" i="20"/>
  <c r="EH17" i="20"/>
  <c r="EE17" i="20"/>
  <c r="ED17" i="20"/>
  <c r="EC17" i="20"/>
  <c r="EB17" i="20"/>
  <c r="EA17" i="20"/>
  <c r="DZ17" i="20"/>
  <c r="DY17" i="20"/>
  <c r="DX17" i="20"/>
  <c r="DW17" i="20"/>
  <c r="DV17" i="20"/>
  <c r="DU17" i="20"/>
  <c r="DT17" i="20"/>
  <c r="DS17" i="20"/>
  <c r="DR17" i="20"/>
  <c r="DQ17" i="20"/>
  <c r="DP17" i="20"/>
  <c r="DO17" i="20"/>
  <c r="DN17" i="20"/>
  <c r="DE17" i="20"/>
  <c r="DD17" i="20"/>
  <c r="DB17" i="20"/>
  <c r="DA17" i="20"/>
  <c r="CW17" i="20"/>
  <c r="CV17" i="20"/>
  <c r="CU17" i="20"/>
  <c r="CN17" i="20"/>
  <c r="CM17" i="20"/>
  <c r="CL17" i="20"/>
  <c r="CI17" i="20"/>
  <c r="CG17" i="20"/>
  <c r="CF17" i="20"/>
  <c r="BT17" i="20"/>
  <c r="CD17" i="20" s="1"/>
  <c r="DL17" i="20" s="1"/>
  <c r="BS17" i="20"/>
  <c r="BR17" i="20"/>
  <c r="BQ17" i="20"/>
  <c r="BP17" i="20"/>
  <c r="BO17" i="20"/>
  <c r="BN17" i="20"/>
  <c r="BM17" i="20"/>
  <c r="BU17" i="20" s="1"/>
  <c r="BL17" i="20"/>
  <c r="BK17" i="20"/>
  <c r="BJ17" i="20"/>
  <c r="BI17" i="20"/>
  <c r="BH17" i="20"/>
  <c r="BG17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17" i="20"/>
  <c r="FS16" i="20"/>
  <c r="FR16" i="20"/>
  <c r="FQ16" i="20"/>
  <c r="FP16" i="20"/>
  <c r="FO16" i="20"/>
  <c r="FN16" i="20"/>
  <c r="FM16" i="20"/>
  <c r="FL16" i="20"/>
  <c r="FK16" i="20"/>
  <c r="FJ16" i="20"/>
  <c r="FI16" i="20"/>
  <c r="FH16" i="20"/>
  <c r="FG16" i="20"/>
  <c r="FF16" i="20"/>
  <c r="FE16" i="20"/>
  <c r="FD16" i="20"/>
  <c r="FB16" i="20"/>
  <c r="EY16" i="20"/>
  <c r="EV16" i="20"/>
  <c r="ES16" i="20"/>
  <c r="ER16" i="20"/>
  <c r="EE16" i="20"/>
  <c r="ED16" i="20"/>
  <c r="EC16" i="20"/>
  <c r="EB16" i="20"/>
  <c r="EA16" i="20"/>
  <c r="DZ16" i="20"/>
  <c r="DY16" i="20"/>
  <c r="DX16" i="20"/>
  <c r="DW16" i="20"/>
  <c r="DV16" i="20"/>
  <c r="DU16" i="20"/>
  <c r="DT16" i="20"/>
  <c r="DS16" i="20"/>
  <c r="DR16" i="20"/>
  <c r="DQ16" i="20"/>
  <c r="DP16" i="20"/>
  <c r="DO16" i="20"/>
  <c r="DN16" i="20"/>
  <c r="DE16" i="20"/>
  <c r="DD16" i="20"/>
  <c r="DB16" i="20"/>
  <c r="DA16" i="20"/>
  <c r="CW16" i="20"/>
  <c r="CV16" i="20"/>
  <c r="CU16" i="20"/>
  <c r="CN16" i="20"/>
  <c r="CM16" i="20"/>
  <c r="CL16" i="20"/>
  <c r="CK16" i="20"/>
  <c r="CO16" i="20" s="1"/>
  <c r="CP16" i="20" s="1"/>
  <c r="CX16" i="20" s="1"/>
  <c r="CJ16" i="20"/>
  <c r="CI16" i="20"/>
  <c r="CG16" i="20"/>
  <c r="CF16" i="20"/>
  <c r="CD16" i="20"/>
  <c r="DL16" i="20" s="1"/>
  <c r="CC16" i="20"/>
  <c r="DK16" i="20" s="1"/>
  <c r="BT16" i="20"/>
  <c r="BS16" i="20"/>
  <c r="BR16" i="20"/>
  <c r="BQ16" i="20"/>
  <c r="BP16" i="20"/>
  <c r="BO16" i="20"/>
  <c r="BN16" i="20"/>
  <c r="BM16" i="20"/>
  <c r="BU16" i="20" s="1"/>
  <c r="BL16" i="20"/>
  <c r="BK16" i="20"/>
  <c r="BJ16" i="20"/>
  <c r="BI16" i="20"/>
  <c r="BH16" i="20"/>
  <c r="BG16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A16" i="20"/>
  <c r="FS15" i="20"/>
  <c r="FR15" i="20"/>
  <c r="FQ15" i="20"/>
  <c r="FP15" i="20"/>
  <c r="FO15" i="20"/>
  <c r="FN15" i="20"/>
  <c r="FM15" i="20"/>
  <c r="FL15" i="20"/>
  <c r="FK15" i="20"/>
  <c r="FJ15" i="20"/>
  <c r="FI15" i="20"/>
  <c r="FH15" i="20"/>
  <c r="FG15" i="20"/>
  <c r="FF15" i="20"/>
  <c r="FE15" i="20"/>
  <c r="FD15" i="20"/>
  <c r="FB15" i="20"/>
  <c r="EY15" i="20"/>
  <c r="EV15" i="20"/>
  <c r="ES15" i="20"/>
  <c r="ER15" i="20"/>
  <c r="EE15" i="20"/>
  <c r="ED15" i="20"/>
  <c r="EC15" i="20"/>
  <c r="EB15" i="20"/>
  <c r="EA15" i="20"/>
  <c r="DZ15" i="20"/>
  <c r="DY15" i="20"/>
  <c r="DX15" i="20"/>
  <c r="DW15" i="20"/>
  <c r="DV15" i="20"/>
  <c r="DU15" i="20"/>
  <c r="DT15" i="20"/>
  <c r="DS15" i="20"/>
  <c r="DR15" i="20"/>
  <c r="DQ15" i="20"/>
  <c r="DP15" i="20"/>
  <c r="DO15" i="20"/>
  <c r="DN15" i="20"/>
  <c r="DE15" i="20"/>
  <c r="DD15" i="20"/>
  <c r="DB15" i="20"/>
  <c r="DA15" i="20"/>
  <c r="CW15" i="20"/>
  <c r="CV15" i="20"/>
  <c r="CU15" i="20"/>
  <c r="CN15" i="20"/>
  <c r="CM15" i="20"/>
  <c r="CL15" i="20"/>
  <c r="CJ15" i="20"/>
  <c r="CK15" i="20" s="1"/>
  <c r="CI15" i="20"/>
  <c r="CG15" i="20"/>
  <c r="CF15" i="20"/>
  <c r="BT15" i="20"/>
  <c r="BS15" i="20"/>
  <c r="BR15" i="20"/>
  <c r="BQ15" i="20"/>
  <c r="BP15" i="20"/>
  <c r="BO15" i="20"/>
  <c r="BN15" i="20"/>
  <c r="CS15" i="20" s="1"/>
  <c r="BM15" i="20"/>
  <c r="BU15" i="20" s="1"/>
  <c r="BL15" i="20"/>
  <c r="BK15" i="20"/>
  <c r="BJ15" i="20"/>
  <c r="BI15" i="20"/>
  <c r="BH15" i="20"/>
  <c r="BG15" i="20"/>
  <c r="BF15" i="20"/>
  <c r="BE15" i="20"/>
  <c r="BD15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A15" i="20"/>
  <c r="FS14" i="20"/>
  <c r="FR14" i="20"/>
  <c r="FQ14" i="20"/>
  <c r="FP14" i="20"/>
  <c r="FO14" i="20"/>
  <c r="FN14" i="20"/>
  <c r="FM14" i="20"/>
  <c r="FL14" i="20"/>
  <c r="FK14" i="20"/>
  <c r="FJ14" i="20"/>
  <c r="FI14" i="20"/>
  <c r="FH14" i="20"/>
  <c r="FG14" i="20"/>
  <c r="FF14" i="20"/>
  <c r="FE14" i="20"/>
  <c r="FD14" i="20"/>
  <c r="FB14" i="20"/>
  <c r="EY14" i="20"/>
  <c r="EV14" i="20"/>
  <c r="ES14" i="20"/>
  <c r="ER14" i="20"/>
  <c r="EH14" i="20"/>
  <c r="EE14" i="20"/>
  <c r="ED14" i="20"/>
  <c r="EC14" i="20"/>
  <c r="EB14" i="20"/>
  <c r="EA14" i="20"/>
  <c r="DZ14" i="20"/>
  <c r="DY14" i="20"/>
  <c r="DX14" i="20"/>
  <c r="DW14" i="20"/>
  <c r="DV14" i="20"/>
  <c r="DU14" i="20"/>
  <c r="DT14" i="20"/>
  <c r="DS14" i="20"/>
  <c r="DR14" i="20"/>
  <c r="DQ14" i="20"/>
  <c r="DP14" i="20"/>
  <c r="DO14" i="20"/>
  <c r="DN14" i="20"/>
  <c r="DE14" i="20"/>
  <c r="DD14" i="20"/>
  <c r="DB14" i="20"/>
  <c r="DA14" i="20"/>
  <c r="CW14" i="20"/>
  <c r="CV14" i="20"/>
  <c r="CU14" i="20"/>
  <c r="CN14" i="20"/>
  <c r="CM14" i="20"/>
  <c r="CL14" i="20"/>
  <c r="CI14" i="20"/>
  <c r="CG14" i="20"/>
  <c r="CF14" i="20"/>
  <c r="BV14" i="20"/>
  <c r="BX14" i="20" s="1"/>
  <c r="BT14" i="20"/>
  <c r="BS14" i="20"/>
  <c r="BR14" i="20"/>
  <c r="BQ14" i="20"/>
  <c r="BP14" i="20"/>
  <c r="BO14" i="20"/>
  <c r="BN14" i="20"/>
  <c r="BM14" i="20"/>
  <c r="BU14" i="20" s="1"/>
  <c r="BL14" i="20"/>
  <c r="CJ14" i="20" s="1"/>
  <c r="BK14" i="20"/>
  <c r="BJ14" i="20"/>
  <c r="BI14" i="20"/>
  <c r="BH14" i="20"/>
  <c r="BG14" i="20"/>
  <c r="BF14" i="20"/>
  <c r="BE14" i="20"/>
  <c r="BD14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A14" i="20"/>
  <c r="FS13" i="20"/>
  <c r="FR13" i="20"/>
  <c r="FQ13" i="20"/>
  <c r="FP13" i="20"/>
  <c r="FO13" i="20"/>
  <c r="FN13" i="20"/>
  <c r="FM13" i="20"/>
  <c r="FL13" i="20"/>
  <c r="FK13" i="20"/>
  <c r="FJ13" i="20"/>
  <c r="FI13" i="20"/>
  <c r="FH13" i="20"/>
  <c r="FG13" i="20"/>
  <c r="FF13" i="20"/>
  <c r="FE13" i="20"/>
  <c r="FD13" i="20"/>
  <c r="FB13" i="20"/>
  <c r="EY13" i="20"/>
  <c r="EV13" i="20"/>
  <c r="ES13" i="20"/>
  <c r="ER13" i="20"/>
  <c r="EE13" i="20"/>
  <c r="ED13" i="20"/>
  <c r="EC13" i="20"/>
  <c r="EB13" i="20"/>
  <c r="EA13" i="20"/>
  <c r="DZ13" i="20"/>
  <c r="DY13" i="20"/>
  <c r="DX13" i="20"/>
  <c r="DW13" i="20"/>
  <c r="DV13" i="20"/>
  <c r="DU13" i="20"/>
  <c r="DT13" i="20"/>
  <c r="DS13" i="20"/>
  <c r="DR13" i="20"/>
  <c r="DQ13" i="20"/>
  <c r="DP13" i="20"/>
  <c r="DO13" i="20"/>
  <c r="DN13" i="20"/>
  <c r="DJ13" i="20"/>
  <c r="DE13" i="20"/>
  <c r="DD13" i="20"/>
  <c r="DB13" i="20"/>
  <c r="DA13" i="20"/>
  <c r="CW13" i="20"/>
  <c r="CV13" i="20"/>
  <c r="CU13" i="20"/>
  <c r="CN13" i="20"/>
  <c r="CM13" i="20"/>
  <c r="CL13" i="20"/>
  <c r="CK13" i="20"/>
  <c r="CJ13" i="20"/>
  <c r="CZ13" i="20" s="1"/>
  <c r="CI13" i="20"/>
  <c r="CG13" i="20"/>
  <c r="CF13" i="20"/>
  <c r="BW13" i="20"/>
  <c r="BZ13" i="20" s="1"/>
  <c r="BV13" i="20"/>
  <c r="BX13" i="20" s="1"/>
  <c r="BU13" i="20"/>
  <c r="CC13" i="20" s="1"/>
  <c r="DK13" i="20" s="1"/>
  <c r="BT13" i="20"/>
  <c r="BS13" i="20"/>
  <c r="CB13" i="20" s="1"/>
  <c r="BR13" i="20"/>
  <c r="BQ13" i="20"/>
  <c r="BP13" i="20"/>
  <c r="BO13" i="20"/>
  <c r="BN13" i="20"/>
  <c r="BM13" i="20"/>
  <c r="BL13" i="20"/>
  <c r="BK13" i="20"/>
  <c r="BJ13" i="20"/>
  <c r="BI13" i="20"/>
  <c r="BH13" i="20"/>
  <c r="BG13" i="20"/>
  <c r="BF13" i="20"/>
  <c r="BE13" i="20"/>
  <c r="BD13" i="20"/>
  <c r="BC13" i="20"/>
  <c r="BB13" i="20"/>
  <c r="BA13" i="20"/>
  <c r="CA13" i="20" s="1"/>
  <c r="CE13" i="20" s="1"/>
  <c r="DM13" i="20" s="1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EH13" i="20" s="1"/>
  <c r="EJ13" i="20" s="1"/>
  <c r="EL13" i="20" s="1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A13" i="20"/>
  <c r="FS12" i="20"/>
  <c r="FR12" i="20"/>
  <c r="FQ12" i="20"/>
  <c r="FP12" i="20"/>
  <c r="FO12" i="20"/>
  <c r="FN12" i="20"/>
  <c r="FM12" i="20"/>
  <c r="FL12" i="20"/>
  <c r="FK12" i="20"/>
  <c r="FJ12" i="20"/>
  <c r="FI12" i="20"/>
  <c r="FH12" i="20"/>
  <c r="FG12" i="20"/>
  <c r="FF12" i="20"/>
  <c r="FE12" i="20"/>
  <c r="FD12" i="20"/>
  <c r="FB12" i="20"/>
  <c r="EY12" i="20"/>
  <c r="EV12" i="20"/>
  <c r="ES12" i="20"/>
  <c r="ER12" i="20"/>
  <c r="EH12" i="20"/>
  <c r="EE12" i="20"/>
  <c r="ED12" i="20"/>
  <c r="EC12" i="20"/>
  <c r="EB12" i="20"/>
  <c r="EA12" i="20"/>
  <c r="DZ12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E12" i="20"/>
  <c r="DD12" i="20"/>
  <c r="DB12" i="20"/>
  <c r="DA12" i="20"/>
  <c r="CW12" i="20"/>
  <c r="CV12" i="20"/>
  <c r="CU12" i="20"/>
  <c r="CN12" i="20"/>
  <c r="CM12" i="20"/>
  <c r="CL12" i="20"/>
  <c r="CJ12" i="20"/>
  <c r="CZ12" i="20" s="1"/>
  <c r="CI12" i="20"/>
  <c r="CG12" i="20"/>
  <c r="CF12" i="20"/>
  <c r="BU12" i="20"/>
  <c r="BV12" i="20" s="1"/>
  <c r="BX12" i="20" s="1"/>
  <c r="BT12" i="20"/>
  <c r="CD12" i="20" s="1"/>
  <c r="DL12" i="20" s="1"/>
  <c r="BS12" i="20"/>
  <c r="BR12" i="20"/>
  <c r="BQ12" i="20"/>
  <c r="BP12" i="20"/>
  <c r="BO12" i="20"/>
  <c r="BN12" i="20"/>
  <c r="BM12" i="20"/>
  <c r="BL12" i="20"/>
  <c r="BK12" i="20"/>
  <c r="BJ12" i="20"/>
  <c r="BI12" i="20"/>
  <c r="BH12" i="20"/>
  <c r="BG12" i="20"/>
  <c r="BF12" i="20"/>
  <c r="BE12" i="20"/>
  <c r="BD12" i="20"/>
  <c r="BC12" i="20"/>
  <c r="BB12" i="20"/>
  <c r="BA12" i="20"/>
  <c r="CA12" i="20" s="1"/>
  <c r="CE12" i="20" s="1"/>
  <c r="DM12" i="20" s="1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A12" i="20"/>
  <c r="FS11" i="20"/>
  <c r="FR11" i="20"/>
  <c r="FQ11" i="20"/>
  <c r="FP11" i="20"/>
  <c r="FO11" i="20"/>
  <c r="FN11" i="20"/>
  <c r="FM11" i="20"/>
  <c r="FL11" i="20"/>
  <c r="FK11" i="20"/>
  <c r="FJ11" i="20"/>
  <c r="FI11" i="20"/>
  <c r="FH11" i="20"/>
  <c r="FG11" i="20"/>
  <c r="FF11" i="20"/>
  <c r="FE11" i="20"/>
  <c r="FD11" i="20"/>
  <c r="FB11" i="20"/>
  <c r="EY11" i="20"/>
  <c r="EV11" i="20"/>
  <c r="ES11" i="20"/>
  <c r="ER11" i="20"/>
  <c r="EE11" i="20"/>
  <c r="ED11" i="20"/>
  <c r="EC11" i="20"/>
  <c r="EB11" i="20"/>
  <c r="EA11" i="20"/>
  <c r="DZ11" i="20"/>
  <c r="DY11" i="20"/>
  <c r="DX11" i="20"/>
  <c r="DW11" i="20"/>
  <c r="DV11" i="20"/>
  <c r="DU11" i="20"/>
  <c r="DT11" i="20"/>
  <c r="DS11" i="20"/>
  <c r="DR11" i="20"/>
  <c r="DQ11" i="20"/>
  <c r="DP11" i="20"/>
  <c r="DO11" i="20"/>
  <c r="DN11" i="20"/>
  <c r="DL11" i="20"/>
  <c r="DE11" i="20"/>
  <c r="DD11" i="20"/>
  <c r="DB11" i="20"/>
  <c r="DA11" i="20"/>
  <c r="CW11" i="20"/>
  <c r="CV11" i="20"/>
  <c r="CU11" i="20"/>
  <c r="CN11" i="20"/>
  <c r="CM11" i="20"/>
  <c r="CL11" i="20"/>
  <c r="CI11" i="20"/>
  <c r="CG11" i="20"/>
  <c r="CF11" i="20"/>
  <c r="CD11" i="20"/>
  <c r="BU11" i="20"/>
  <c r="CC11" i="20" s="1"/>
  <c r="DK11" i="20" s="1"/>
  <c r="BT11" i="20"/>
  <c r="BS11" i="20"/>
  <c r="BR11" i="20"/>
  <c r="BQ11" i="20"/>
  <c r="BP11" i="20"/>
  <c r="BO11" i="20"/>
  <c r="BN11" i="20"/>
  <c r="BM11" i="20"/>
  <c r="BL11" i="20"/>
  <c r="BK11" i="20"/>
  <c r="BJ11" i="20"/>
  <c r="BI11" i="20"/>
  <c r="BH11" i="20"/>
  <c r="BG11" i="20"/>
  <c r="BF11" i="20"/>
  <c r="BE11" i="20"/>
  <c r="BD11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EH11" i="20" s="1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A11" i="20"/>
  <c r="FU10" i="20"/>
  <c r="FV10" i="20" s="1"/>
  <c r="FS10" i="20"/>
  <c r="FR10" i="20"/>
  <c r="FQ10" i="20"/>
  <c r="FP10" i="20"/>
  <c r="FO10" i="20"/>
  <c r="FN10" i="20"/>
  <c r="FM10" i="20"/>
  <c r="FL10" i="20"/>
  <c r="FK10" i="20"/>
  <c r="FJ10" i="20"/>
  <c r="FI10" i="20"/>
  <c r="FH10" i="20"/>
  <c r="FG10" i="20"/>
  <c r="FF10" i="20"/>
  <c r="FE10" i="20"/>
  <c r="FD10" i="20"/>
  <c r="FB10" i="20"/>
  <c r="EY10" i="20"/>
  <c r="EV10" i="20"/>
  <c r="ES10" i="20"/>
  <c r="ER10" i="20"/>
  <c r="EJ10" i="20"/>
  <c r="EL10" i="20" s="1"/>
  <c r="EI10" i="20"/>
  <c r="EK10" i="20" s="1"/>
  <c r="EM10" i="20" s="1"/>
  <c r="FX10" i="20" s="1"/>
  <c r="EH10" i="20"/>
  <c r="FT10" i="20" s="1"/>
  <c r="EE10" i="20"/>
  <c r="ED10" i="20"/>
  <c r="EC10" i="20"/>
  <c r="EB10" i="20"/>
  <c r="EA10" i="20"/>
  <c r="DZ10" i="20"/>
  <c r="DY10" i="20"/>
  <c r="DX10" i="20"/>
  <c r="DW10" i="20"/>
  <c r="DV10" i="20"/>
  <c r="DU10" i="20"/>
  <c r="DT10" i="20"/>
  <c r="DS10" i="20"/>
  <c r="DR10" i="20"/>
  <c r="DQ10" i="20"/>
  <c r="DP10" i="20"/>
  <c r="DO10" i="20"/>
  <c r="DN10" i="20"/>
  <c r="DK10" i="20"/>
  <c r="DE10" i="20"/>
  <c r="DD10" i="20"/>
  <c r="DB10" i="20"/>
  <c r="DA10" i="20"/>
  <c r="CW10" i="20"/>
  <c r="CV10" i="20"/>
  <c r="CU10" i="20"/>
  <c r="CS10" i="20"/>
  <c r="DC10" i="20" s="1"/>
  <c r="CN10" i="20"/>
  <c r="CM10" i="20"/>
  <c r="CL10" i="20"/>
  <c r="CJ10" i="20"/>
  <c r="CI10" i="20"/>
  <c r="CG10" i="20"/>
  <c r="CF10" i="20"/>
  <c r="CC10" i="20"/>
  <c r="CA10" i="20"/>
  <c r="CE10" i="20" s="1"/>
  <c r="DM10" i="20" s="1"/>
  <c r="BW10" i="20"/>
  <c r="BZ10" i="20" s="1"/>
  <c r="BV10" i="20"/>
  <c r="BX10" i="20" s="1"/>
  <c r="BY10" i="20" s="1"/>
  <c r="BT10" i="20"/>
  <c r="CD10" i="20" s="1"/>
  <c r="DL10" i="20" s="1"/>
  <c r="BS10" i="20"/>
  <c r="BR10" i="20"/>
  <c r="BQ10" i="20"/>
  <c r="BP10" i="20"/>
  <c r="BO10" i="20"/>
  <c r="BN10" i="20"/>
  <c r="BM10" i="20"/>
  <c r="BU10" i="20" s="1"/>
  <c r="BL10" i="20"/>
  <c r="BK10" i="20"/>
  <c r="BJ10" i="20"/>
  <c r="BI10" i="20"/>
  <c r="BH10" i="20"/>
  <c r="BG10" i="20"/>
  <c r="BF10" i="20"/>
  <c r="BE10" i="20"/>
  <c r="BD10" i="20"/>
  <c r="BC10" i="20"/>
  <c r="BB10" i="20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10" i="20"/>
  <c r="A10" i="20"/>
  <c r="FS9" i="20"/>
  <c r="FR9" i="20"/>
  <c r="FQ9" i="20"/>
  <c r="FP9" i="20"/>
  <c r="FO9" i="20"/>
  <c r="FN9" i="20"/>
  <c r="FM9" i="20"/>
  <c r="FL9" i="20"/>
  <c r="FK9" i="20"/>
  <c r="FJ9" i="20"/>
  <c r="FI9" i="20"/>
  <c r="FH9" i="20"/>
  <c r="FG9" i="20"/>
  <c r="FF9" i="20"/>
  <c r="FE9" i="20"/>
  <c r="FD9" i="20"/>
  <c r="FB9" i="20"/>
  <c r="EY9" i="20"/>
  <c r="EV9" i="20"/>
  <c r="ES9" i="20"/>
  <c r="ER9" i="20"/>
  <c r="EE9" i="20"/>
  <c r="ED9" i="20"/>
  <c r="EC9" i="20"/>
  <c r="EB9" i="20"/>
  <c r="EA9" i="20"/>
  <c r="DZ9" i="20"/>
  <c r="DY9" i="20"/>
  <c r="DX9" i="20"/>
  <c r="DW9" i="20"/>
  <c r="DV9" i="20"/>
  <c r="DU9" i="20"/>
  <c r="DT9" i="20"/>
  <c r="DS9" i="20"/>
  <c r="DR9" i="20"/>
  <c r="DQ9" i="20"/>
  <c r="DP9" i="20"/>
  <c r="DO9" i="20"/>
  <c r="DN9" i="20"/>
  <c r="DE9" i="20"/>
  <c r="DD9" i="20"/>
  <c r="DB9" i="20"/>
  <c r="DA9" i="20"/>
  <c r="CW9" i="20"/>
  <c r="CV9" i="20"/>
  <c r="CU9" i="20"/>
  <c r="CN9" i="20"/>
  <c r="CM9" i="20"/>
  <c r="CL9" i="20"/>
  <c r="CI9" i="20"/>
  <c r="CG9" i="20"/>
  <c r="CF9" i="20"/>
  <c r="BT9" i="20"/>
  <c r="BS9" i="20"/>
  <c r="BR9" i="20"/>
  <c r="BQ9" i="20"/>
  <c r="BP9" i="20"/>
  <c r="BO9" i="20"/>
  <c r="BN9" i="20"/>
  <c r="BM9" i="20"/>
  <c r="BU9" i="20" s="1"/>
  <c r="BL9" i="20"/>
  <c r="CB9" i="20" s="1"/>
  <c r="DJ9" i="20" s="1"/>
  <c r="BK9" i="20"/>
  <c r="BJ9" i="20"/>
  <c r="BI9" i="20"/>
  <c r="BH9" i="20"/>
  <c r="BG9" i="20"/>
  <c r="BF9" i="20"/>
  <c r="BE9" i="20"/>
  <c r="BD9" i="20"/>
  <c r="BC9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A9" i="20"/>
  <c r="FS8" i="20"/>
  <c r="FR8" i="20"/>
  <c r="FQ8" i="20"/>
  <c r="FP8" i="20"/>
  <c r="FO8" i="20"/>
  <c r="FN8" i="20"/>
  <c r="FM8" i="20"/>
  <c r="FL8" i="20"/>
  <c r="FK8" i="20"/>
  <c r="FJ8" i="20"/>
  <c r="FI8" i="20"/>
  <c r="FH8" i="20"/>
  <c r="FG8" i="20"/>
  <c r="FF8" i="20"/>
  <c r="FE8" i="20"/>
  <c r="FD8" i="20"/>
  <c r="FB8" i="20"/>
  <c r="EY8" i="20"/>
  <c r="EV8" i="20"/>
  <c r="ES8" i="20"/>
  <c r="ER8" i="20"/>
  <c r="EE8" i="20"/>
  <c r="ED8" i="20"/>
  <c r="EC8" i="20"/>
  <c r="EB8" i="20"/>
  <c r="EA8" i="20"/>
  <c r="DZ8" i="20"/>
  <c r="DY8" i="20"/>
  <c r="DX8" i="20"/>
  <c r="DW8" i="20"/>
  <c r="DV8" i="20"/>
  <c r="DU8" i="20"/>
  <c r="DT8" i="20"/>
  <c r="DS8" i="20"/>
  <c r="DR8" i="20"/>
  <c r="DQ8" i="20"/>
  <c r="DP8" i="20"/>
  <c r="DO8" i="20"/>
  <c r="DN8" i="20"/>
  <c r="DE8" i="20"/>
  <c r="DD8" i="20"/>
  <c r="DB8" i="20"/>
  <c r="DA8" i="20"/>
  <c r="CW8" i="20"/>
  <c r="CV8" i="20"/>
  <c r="CU8" i="20"/>
  <c r="CN8" i="20"/>
  <c r="CM8" i="20"/>
  <c r="CL8" i="20"/>
  <c r="CI8" i="20"/>
  <c r="CG8" i="20"/>
  <c r="CF8" i="20"/>
  <c r="CD8" i="20"/>
  <c r="DL8" i="20" s="1"/>
  <c r="CB8" i="20"/>
  <c r="DJ8" i="20" s="1"/>
  <c r="BT8" i="20"/>
  <c r="BS8" i="20"/>
  <c r="BR8" i="20"/>
  <c r="BQ8" i="20"/>
  <c r="BP8" i="20"/>
  <c r="BO8" i="20"/>
  <c r="BN8" i="20"/>
  <c r="BM8" i="20"/>
  <c r="BU8" i="20" s="1"/>
  <c r="BL8" i="20"/>
  <c r="EH8" i="20" s="1"/>
  <c r="BK8" i="20"/>
  <c r="BJ8" i="20"/>
  <c r="BI8" i="20"/>
  <c r="BH8" i="20"/>
  <c r="BG8" i="20"/>
  <c r="BF8" i="20"/>
  <c r="BE8" i="20"/>
  <c r="BD8" i="20"/>
  <c r="BC8" i="20"/>
  <c r="BB8" i="20"/>
  <c r="BA8" i="20"/>
  <c r="AZ8" i="20"/>
  <c r="AY8" i="20"/>
  <c r="AX8" i="20"/>
  <c r="AW8" i="20"/>
  <c r="AV8" i="20"/>
  <c r="AU8" i="20"/>
  <c r="AT8" i="20"/>
  <c r="AS8" i="20"/>
  <c r="AR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B8" i="20"/>
  <c r="A8" i="20"/>
  <c r="FS7" i="20"/>
  <c r="FR7" i="20"/>
  <c r="FQ7" i="20"/>
  <c r="FP7" i="20"/>
  <c r="FO7" i="20"/>
  <c r="FN7" i="20"/>
  <c r="FM7" i="20"/>
  <c r="FL7" i="20"/>
  <c r="FK7" i="20"/>
  <c r="FJ7" i="20"/>
  <c r="FI7" i="20"/>
  <c r="FH7" i="20"/>
  <c r="FG7" i="20"/>
  <c r="FF7" i="20"/>
  <c r="FE7" i="20"/>
  <c r="FD7" i="20"/>
  <c r="FB7" i="20"/>
  <c r="EY7" i="20"/>
  <c r="EV7" i="20"/>
  <c r="ES7" i="20"/>
  <c r="ER7" i="20"/>
  <c r="EE7" i="20"/>
  <c r="ED7" i="20"/>
  <c r="EC7" i="20"/>
  <c r="EB7" i="20"/>
  <c r="EA7" i="20"/>
  <c r="DZ7" i="20"/>
  <c r="DY7" i="20"/>
  <c r="DX7" i="20"/>
  <c r="DW7" i="20"/>
  <c r="DV7" i="20"/>
  <c r="DU7" i="20"/>
  <c r="DT7" i="20"/>
  <c r="DS7" i="20"/>
  <c r="DR7" i="20"/>
  <c r="DQ7" i="20"/>
  <c r="DP7" i="20"/>
  <c r="DO7" i="20"/>
  <c r="DN7" i="20"/>
  <c r="DE7" i="20"/>
  <c r="DD7" i="20"/>
  <c r="DB7" i="20"/>
  <c r="DA7" i="20"/>
  <c r="CW7" i="20"/>
  <c r="CV7" i="20"/>
  <c r="CU7" i="20"/>
  <c r="CN7" i="20"/>
  <c r="CM7" i="20"/>
  <c r="CL7" i="20"/>
  <c r="CI7" i="20"/>
  <c r="CG7" i="20"/>
  <c r="CF7" i="20"/>
  <c r="CC7" i="20"/>
  <c r="DK7" i="20" s="1"/>
  <c r="CB7" i="20"/>
  <c r="DJ7" i="20" s="1"/>
  <c r="CA7" i="20"/>
  <c r="CE7" i="20" s="1"/>
  <c r="DM7" i="20" s="1"/>
  <c r="BT7" i="20"/>
  <c r="BS7" i="20"/>
  <c r="BR7" i="20"/>
  <c r="BQ7" i="20"/>
  <c r="BP7" i="20"/>
  <c r="BO7" i="20"/>
  <c r="BN7" i="20"/>
  <c r="BM7" i="20"/>
  <c r="BU7" i="20" s="1"/>
  <c r="BL7" i="20"/>
  <c r="BK7" i="20"/>
  <c r="BJ7" i="20"/>
  <c r="BI7" i="20"/>
  <c r="BH7" i="20"/>
  <c r="BG7" i="20"/>
  <c r="BF7" i="20"/>
  <c r="BE7" i="20"/>
  <c r="BD7" i="20"/>
  <c r="BC7" i="20"/>
  <c r="BB7" i="20"/>
  <c r="BA7" i="20"/>
  <c r="AZ7" i="20"/>
  <c r="AY7" i="20"/>
  <c r="AX7" i="20"/>
  <c r="AW7" i="20"/>
  <c r="AV7" i="20"/>
  <c r="AU7" i="20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A7" i="20"/>
  <c r="FS6" i="20"/>
  <c r="FR6" i="20"/>
  <c r="FQ6" i="20"/>
  <c r="FP6" i="20"/>
  <c r="FO6" i="20"/>
  <c r="FN6" i="20"/>
  <c r="FM6" i="20"/>
  <c r="FL6" i="20"/>
  <c r="FK6" i="20"/>
  <c r="FJ6" i="20"/>
  <c r="FI6" i="20"/>
  <c r="FH6" i="20"/>
  <c r="FG6" i="20"/>
  <c r="FF6" i="20"/>
  <c r="FE6" i="20"/>
  <c r="FD6" i="20"/>
  <c r="FB6" i="20"/>
  <c r="EY6" i="20"/>
  <c r="EV6" i="20"/>
  <c r="ES6" i="20"/>
  <c r="ER6" i="20"/>
  <c r="EE6" i="20"/>
  <c r="ED6" i="20"/>
  <c r="EC6" i="20"/>
  <c r="EB6" i="20"/>
  <c r="EA6" i="20"/>
  <c r="DZ6" i="20"/>
  <c r="DY6" i="20"/>
  <c r="DX6" i="20"/>
  <c r="DW6" i="20"/>
  <c r="DV6" i="20"/>
  <c r="DU6" i="20"/>
  <c r="DT6" i="20"/>
  <c r="DS6" i="20"/>
  <c r="DR6" i="20"/>
  <c r="DQ6" i="20"/>
  <c r="DP6" i="20"/>
  <c r="DO6" i="20"/>
  <c r="DN6" i="20"/>
  <c r="DE6" i="20"/>
  <c r="DD6" i="20"/>
  <c r="DB6" i="20"/>
  <c r="DA6" i="20"/>
  <c r="CW6" i="20"/>
  <c r="CV6" i="20"/>
  <c r="CU6" i="20"/>
  <c r="CN6" i="20"/>
  <c r="CM6" i="20"/>
  <c r="CL6" i="20"/>
  <c r="CI6" i="20"/>
  <c r="CG6" i="20"/>
  <c r="CF6" i="20"/>
  <c r="BT6" i="20"/>
  <c r="CD6" i="20" s="1"/>
  <c r="DL6" i="20" s="1"/>
  <c r="BS6" i="20"/>
  <c r="BR6" i="20"/>
  <c r="BQ6" i="20"/>
  <c r="BP6" i="20"/>
  <c r="BO6" i="20"/>
  <c r="BN6" i="20"/>
  <c r="BM6" i="20"/>
  <c r="BU6" i="20" s="1"/>
  <c r="CC6" i="20" s="1"/>
  <c r="DK6" i="20" s="1"/>
  <c r="BL6" i="20"/>
  <c r="EH6" i="20" s="1"/>
  <c r="BK6" i="20"/>
  <c r="BJ6" i="20"/>
  <c r="BI6" i="20"/>
  <c r="BH6" i="20"/>
  <c r="BG6" i="20"/>
  <c r="BF6" i="20"/>
  <c r="BE6" i="20"/>
  <c r="BD6" i="20"/>
  <c r="BC6" i="20"/>
  <c r="BB6" i="20"/>
  <c r="BA6" i="20"/>
  <c r="AZ6" i="20"/>
  <c r="AY6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A6" i="20"/>
  <c r="FS5" i="20"/>
  <c r="FR5" i="20"/>
  <c r="FQ5" i="20"/>
  <c r="FP5" i="20"/>
  <c r="FO5" i="20"/>
  <c r="FN5" i="20"/>
  <c r="FM5" i="20"/>
  <c r="FL5" i="20"/>
  <c r="FK5" i="20"/>
  <c r="FJ5" i="20"/>
  <c r="FI5" i="20"/>
  <c r="FH5" i="20"/>
  <c r="FG5" i="20"/>
  <c r="FF5" i="20"/>
  <c r="FE5" i="20"/>
  <c r="FD5" i="20"/>
  <c r="FB5" i="20"/>
  <c r="EY5" i="20"/>
  <c r="EV5" i="20"/>
  <c r="ES5" i="20"/>
  <c r="ER5" i="20"/>
  <c r="EE5" i="20"/>
  <c r="ED5" i="20"/>
  <c r="EC5" i="20"/>
  <c r="EB5" i="20"/>
  <c r="EA5" i="20"/>
  <c r="DZ5" i="20"/>
  <c r="DY5" i="20"/>
  <c r="DX5" i="20"/>
  <c r="DW5" i="20"/>
  <c r="DV5" i="20"/>
  <c r="DU5" i="20"/>
  <c r="DT5" i="20"/>
  <c r="DS5" i="20"/>
  <c r="DR5" i="20"/>
  <c r="DQ5" i="20"/>
  <c r="DP5" i="20"/>
  <c r="DO5" i="20"/>
  <c r="DN5" i="20"/>
  <c r="DE5" i="20"/>
  <c r="DD5" i="20"/>
  <c r="DB5" i="20"/>
  <c r="DA5" i="20"/>
  <c r="CW5" i="20"/>
  <c r="CV5" i="20"/>
  <c r="CU5" i="20"/>
  <c r="CN5" i="20"/>
  <c r="CM5" i="20"/>
  <c r="CL5" i="20"/>
  <c r="CI5" i="20"/>
  <c r="CG5" i="20"/>
  <c r="CF5" i="20"/>
  <c r="BW5" i="20"/>
  <c r="BZ5" i="20" s="1"/>
  <c r="BT5" i="20"/>
  <c r="CD5" i="20" s="1"/>
  <c r="DL5" i="20" s="1"/>
  <c r="BS5" i="20"/>
  <c r="CB5" i="20" s="1"/>
  <c r="DJ5" i="20" s="1"/>
  <c r="BR5" i="20"/>
  <c r="BQ5" i="20"/>
  <c r="BP5" i="20"/>
  <c r="BO5" i="20"/>
  <c r="BN5" i="20"/>
  <c r="BM5" i="20"/>
  <c r="BU5" i="20" s="1"/>
  <c r="BL5" i="20"/>
  <c r="BK5" i="20"/>
  <c r="BJ5" i="20"/>
  <c r="BI5" i="20"/>
  <c r="BH5" i="20"/>
  <c r="BG5" i="20"/>
  <c r="BF5" i="20"/>
  <c r="BE5" i="20"/>
  <c r="BD5" i="20"/>
  <c r="BC5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A5" i="20"/>
  <c r="FT4" i="20"/>
  <c r="FS4" i="20"/>
  <c r="FR4" i="20"/>
  <c r="FQ4" i="20"/>
  <c r="FP4" i="20"/>
  <c r="FO4" i="20"/>
  <c r="FN4" i="20"/>
  <c r="FM4" i="20"/>
  <c r="FL4" i="20"/>
  <c r="FK4" i="20"/>
  <c r="FJ4" i="20"/>
  <c r="FI4" i="20"/>
  <c r="FH4" i="20"/>
  <c r="FG4" i="20"/>
  <c r="FF4" i="20"/>
  <c r="FE4" i="20"/>
  <c r="FD4" i="20"/>
  <c r="FB4" i="20"/>
  <c r="EY4" i="20"/>
  <c r="EV4" i="20"/>
  <c r="ES4" i="20"/>
  <c r="ER4" i="20"/>
  <c r="EJ4" i="20"/>
  <c r="EL4" i="20" s="1"/>
  <c r="EH4" i="20"/>
  <c r="EE4" i="20"/>
  <c r="ED4" i="20"/>
  <c r="EC4" i="20"/>
  <c r="EB4" i="20"/>
  <c r="EA4" i="20"/>
  <c r="DZ4" i="20"/>
  <c r="DY4" i="20"/>
  <c r="DX4" i="20"/>
  <c r="DW4" i="20"/>
  <c r="DV4" i="20"/>
  <c r="DU4" i="20"/>
  <c r="DT4" i="20"/>
  <c r="DS4" i="20"/>
  <c r="DR4" i="20"/>
  <c r="DQ4" i="20"/>
  <c r="DP4" i="20"/>
  <c r="DO4" i="20"/>
  <c r="DN4" i="20"/>
  <c r="DE4" i="20"/>
  <c r="DD4" i="20"/>
  <c r="DB4" i="20"/>
  <c r="DA4" i="20"/>
  <c r="CW4" i="20"/>
  <c r="CV4" i="20"/>
  <c r="CU4" i="20"/>
  <c r="CN4" i="20"/>
  <c r="CM4" i="20"/>
  <c r="CL4" i="20"/>
  <c r="CJ4" i="20"/>
  <c r="CZ4" i="20" s="1"/>
  <c r="CI4" i="20"/>
  <c r="CG4" i="20"/>
  <c r="CF4" i="20"/>
  <c r="BU4" i="20"/>
  <c r="BT4" i="20"/>
  <c r="BS4" i="20"/>
  <c r="CB4" i="20" s="1"/>
  <c r="DJ4" i="20" s="1"/>
  <c r="BR4" i="20"/>
  <c r="BQ4" i="20"/>
  <c r="BP4" i="20"/>
  <c r="BO4" i="20"/>
  <c r="BN4" i="20"/>
  <c r="BW4" i="20" s="1"/>
  <c r="BZ4" i="20" s="1"/>
  <c r="BM4" i="20"/>
  <c r="BL4" i="20"/>
  <c r="BK4" i="20"/>
  <c r="BJ4" i="20"/>
  <c r="BI4" i="20"/>
  <c r="BH4" i="20"/>
  <c r="BG4" i="20"/>
  <c r="BF4" i="20"/>
  <c r="BE4" i="20"/>
  <c r="BD4" i="20"/>
  <c r="BC4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A4" i="20"/>
  <c r="FT3" i="20"/>
  <c r="FS3" i="20"/>
  <c r="FR3" i="20"/>
  <c r="FQ3" i="20"/>
  <c r="FP3" i="20"/>
  <c r="FO3" i="20"/>
  <c r="FN3" i="20"/>
  <c r="FM3" i="20"/>
  <c r="FL3" i="20"/>
  <c r="FK3" i="20"/>
  <c r="FJ3" i="20"/>
  <c r="FI3" i="20"/>
  <c r="FH3" i="20"/>
  <c r="FG3" i="20"/>
  <c r="FF3" i="20"/>
  <c r="FE3" i="20"/>
  <c r="FD3" i="20"/>
  <c r="FB3" i="20"/>
  <c r="EY3" i="20"/>
  <c r="EV3" i="20"/>
  <c r="ES3" i="20"/>
  <c r="ER3" i="20"/>
  <c r="EJ3" i="20"/>
  <c r="EL3" i="20" s="1"/>
  <c r="FW3" i="20" s="1"/>
  <c r="EI3" i="20"/>
  <c r="EH3" i="20"/>
  <c r="EE3" i="20"/>
  <c r="ED3" i="20"/>
  <c r="EC3" i="20"/>
  <c r="EB3" i="20"/>
  <c r="EA3" i="20"/>
  <c r="DZ3" i="20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E3" i="20"/>
  <c r="DD3" i="20"/>
  <c r="DB3" i="20"/>
  <c r="DA3" i="20"/>
  <c r="CW3" i="20"/>
  <c r="CV3" i="20"/>
  <c r="CU3" i="20"/>
  <c r="CS3" i="20"/>
  <c r="DC3" i="20" s="1"/>
  <c r="CN3" i="20"/>
  <c r="CM3" i="20"/>
  <c r="CL3" i="20"/>
  <c r="CI3" i="20"/>
  <c r="CG3" i="20"/>
  <c r="CF3" i="20"/>
  <c r="CC3" i="20"/>
  <c r="DK3" i="20" s="1"/>
  <c r="BW3" i="20"/>
  <c r="BZ3" i="20" s="1"/>
  <c r="BV3" i="20"/>
  <c r="BX3" i="20" s="1"/>
  <c r="EX3" i="20" s="1"/>
  <c r="BU3" i="20"/>
  <c r="BY3" i="20" s="1"/>
  <c r="BT3" i="20"/>
  <c r="CD3" i="20" s="1"/>
  <c r="DL3" i="20" s="1"/>
  <c r="BS3" i="20"/>
  <c r="CB3" i="20" s="1"/>
  <c r="DJ3" i="20" s="1"/>
  <c r="BR3" i="20"/>
  <c r="BQ3" i="20"/>
  <c r="BP3" i="20"/>
  <c r="BO3" i="20"/>
  <c r="BN3" i="20"/>
  <c r="BM3" i="20"/>
  <c r="BL3" i="20"/>
  <c r="CJ3" i="20" s="1"/>
  <c r="CZ3" i="20" s="1"/>
  <c r="BK3" i="20"/>
  <c r="BJ3" i="20"/>
  <c r="BI3" i="20"/>
  <c r="BH3" i="20"/>
  <c r="BG3" i="20"/>
  <c r="BF3" i="20"/>
  <c r="BE3" i="20"/>
  <c r="BD3" i="20"/>
  <c r="BC3" i="20"/>
  <c r="BB3" i="20"/>
  <c r="BA3" i="20"/>
  <c r="CA3" i="20" s="1"/>
  <c r="CE3" i="20" s="1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3" i="20"/>
  <c r="FU2" i="20"/>
  <c r="FR2" i="20"/>
  <c r="FQ2" i="20"/>
  <c r="FP2" i="20"/>
  <c r="FO2" i="20"/>
  <c r="FN2" i="20"/>
  <c r="FM2" i="20"/>
  <c r="FL2" i="20"/>
  <c r="FK2" i="20"/>
  <c r="FJ2" i="20"/>
  <c r="FI2" i="20"/>
  <c r="FH2" i="20"/>
  <c r="FG2" i="20"/>
  <c r="FF2" i="20"/>
  <c r="FE2" i="20"/>
  <c r="FD2" i="20"/>
  <c r="FB2" i="20"/>
  <c r="EY2" i="20"/>
  <c r="EV2" i="20"/>
  <c r="ES2" i="20"/>
  <c r="ER2" i="20"/>
  <c r="EK2" i="20"/>
  <c r="FX2" i="20" s="1"/>
  <c r="EI2" i="20"/>
  <c r="EE2" i="20"/>
  <c r="ED2" i="20"/>
  <c r="EC2" i="20"/>
  <c r="EB2" i="20"/>
  <c r="EA2" i="20"/>
  <c r="DZ2" i="20"/>
  <c r="DY2" i="20"/>
  <c r="DX2" i="20"/>
  <c r="DW2" i="20"/>
  <c r="DV2" i="20"/>
  <c r="DU2" i="20"/>
  <c r="DT2" i="20"/>
  <c r="DS2" i="20"/>
  <c r="DR2" i="20"/>
  <c r="DQ2" i="20"/>
  <c r="DP2" i="20"/>
  <c r="DO2" i="20"/>
  <c r="DN2" i="20"/>
  <c r="DL2" i="20"/>
  <c r="DE2" i="20"/>
  <c r="DD2" i="20"/>
  <c r="DB2" i="20"/>
  <c r="DA2" i="20"/>
  <c r="CZ2" i="20"/>
  <c r="CW2" i="20"/>
  <c r="CV2" i="20"/>
  <c r="CU2" i="20"/>
  <c r="CN2" i="20"/>
  <c r="CM2" i="20"/>
  <c r="CL2" i="20"/>
  <c r="CI2" i="20"/>
  <c r="CG2" i="20"/>
  <c r="CF2" i="20"/>
  <c r="CB2" i="20"/>
  <c r="DJ2" i="20" s="1"/>
  <c r="CA2" i="20"/>
  <c r="CE2" i="20" s="1"/>
  <c r="DM2" i="20" s="1"/>
  <c r="BW2" i="20"/>
  <c r="BZ2" i="20" s="1"/>
  <c r="BU2" i="20"/>
  <c r="BT2" i="20"/>
  <c r="CD2" i="20" s="1"/>
  <c r="BS2" i="20"/>
  <c r="BR2" i="20"/>
  <c r="BQ2" i="20"/>
  <c r="BP2" i="20"/>
  <c r="BO2" i="20"/>
  <c r="BN2" i="20"/>
  <c r="BM2" i="20"/>
  <c r="BL2" i="20"/>
  <c r="CJ2" i="20" s="1"/>
  <c r="BK2" i="20"/>
  <c r="BJ2" i="20"/>
  <c r="BI2" i="20"/>
  <c r="BH2" i="20"/>
  <c r="BG2" i="20"/>
  <c r="BF2" i="20"/>
  <c r="BE2" i="20"/>
  <c r="BD2" i="20"/>
  <c r="BC2" i="20"/>
  <c r="BB2" i="20"/>
  <c r="BA2" i="20"/>
  <c r="CS2" i="20" s="1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BV2" i="20" s="1"/>
  <c r="BX2" i="20" s="1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2" i="20"/>
  <c r="A2" i="20"/>
  <c r="FS1" i="20"/>
  <c r="FR1" i="20"/>
  <c r="FQ1" i="20"/>
  <c r="FP1" i="20"/>
  <c r="FO1" i="20"/>
  <c r="FN1" i="20"/>
  <c r="FM1" i="20"/>
  <c r="FL1" i="20"/>
  <c r="FK1" i="20"/>
  <c r="FJ1" i="20"/>
  <c r="FI1" i="20"/>
  <c r="FH1" i="20"/>
  <c r="FG1" i="20"/>
  <c r="FF1" i="20"/>
  <c r="FE1" i="20"/>
  <c r="FD1" i="20"/>
  <c r="FA1" i="20"/>
  <c r="EZ1" i="20"/>
  <c r="EY1" i="20"/>
  <c r="EX1" i="20"/>
  <c r="EW1" i="20"/>
  <c r="EV1" i="20"/>
  <c r="EU1" i="20"/>
  <c r="ET1" i="20"/>
  <c r="ES1" i="20"/>
  <c r="ER1" i="20"/>
  <c r="EQ1" i="20"/>
  <c r="EP1" i="20"/>
  <c r="EE1" i="20"/>
  <c r="ED1" i="20"/>
  <c r="EC1" i="20"/>
  <c r="EB1" i="20"/>
  <c r="EA1" i="20"/>
  <c r="DZ1" i="20"/>
  <c r="DY1" i="20"/>
  <c r="DX1" i="20"/>
  <c r="DW1" i="20"/>
  <c r="DV1" i="20"/>
  <c r="DU1" i="20"/>
  <c r="DT1" i="20"/>
  <c r="DS1" i="20"/>
  <c r="DR1" i="20"/>
  <c r="DQ1" i="20"/>
  <c r="DP1" i="20"/>
  <c r="DO1" i="20"/>
  <c r="DN1" i="20"/>
  <c r="BR1" i="20"/>
  <c r="BQ1" i="20"/>
  <c r="BP1" i="20"/>
  <c r="BO1" i="20"/>
  <c r="BN1" i="20"/>
  <c r="BM1" i="20"/>
  <c r="BL1" i="20"/>
  <c r="BK1" i="20"/>
  <c r="BJ1" i="20"/>
  <c r="BI1" i="20"/>
  <c r="BH1" i="20"/>
  <c r="BG1" i="20"/>
  <c r="BF1" i="20"/>
  <c r="BE1" i="20"/>
  <c r="BD1" i="20"/>
  <c r="BC1" i="20"/>
  <c r="BB1" i="20"/>
  <c r="BA1" i="20"/>
  <c r="AZ1" i="20"/>
  <c r="AY1" i="20"/>
  <c r="AX1" i="20"/>
  <c r="AW1" i="20"/>
  <c r="AV1" i="20"/>
  <c r="AU1" i="20"/>
  <c r="AT1" i="20"/>
  <c r="AS1" i="20"/>
  <c r="AR1" i="20"/>
  <c r="AQ1" i="20"/>
  <c r="AP1" i="20"/>
  <c r="AO1" i="20"/>
  <c r="AN1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R21" i="13"/>
  <c r="FY3" i="14"/>
  <c r="FY4" i="14"/>
  <c r="FY5" i="14"/>
  <c r="FY6" i="14"/>
  <c r="FY7" i="14"/>
  <c r="FY8" i="14"/>
  <c r="FY9" i="14"/>
  <c r="FY10" i="14"/>
  <c r="FY11" i="14"/>
  <c r="FY12" i="14"/>
  <c r="FY13" i="14"/>
  <c r="FY14" i="14"/>
  <c r="FY15" i="14"/>
  <c r="FY16" i="14"/>
  <c r="FY17" i="14"/>
  <c r="FY18" i="14"/>
  <c r="FY19" i="14"/>
  <c r="FY20" i="14"/>
  <c r="FY21" i="14"/>
  <c r="FY22" i="14"/>
  <c r="FY23" i="14"/>
  <c r="FY24" i="14"/>
  <c r="FY25" i="14"/>
  <c r="FY26" i="14"/>
  <c r="FY27" i="14"/>
  <c r="FY28" i="14"/>
  <c r="FY29" i="14"/>
  <c r="FY30" i="14"/>
  <c r="FY31" i="14"/>
  <c r="FY32" i="14"/>
  <c r="FY33" i="14"/>
  <c r="FY34" i="14"/>
  <c r="FY35" i="14"/>
  <c r="FY36" i="14"/>
  <c r="FY37" i="14"/>
  <c r="FY38" i="14"/>
  <c r="FY39" i="14"/>
  <c r="FY40" i="14"/>
  <c r="FY41" i="14"/>
  <c r="FY42" i="14"/>
  <c r="FY43" i="14"/>
  <c r="FY44" i="14"/>
  <c r="FY45" i="14"/>
  <c r="FY46" i="14"/>
  <c r="FY47" i="14"/>
  <c r="FY48" i="14"/>
  <c r="FY49" i="14"/>
  <c r="FY50" i="14"/>
  <c r="FY51" i="14"/>
  <c r="FY52" i="14"/>
  <c r="FY53" i="14"/>
  <c r="FY54" i="14"/>
  <c r="FY55" i="14"/>
  <c r="FY56" i="14"/>
  <c r="FY57" i="14"/>
  <c r="FY58" i="14"/>
  <c r="FY59" i="14"/>
  <c r="FY60" i="14"/>
  <c r="FY61" i="14"/>
  <c r="FY62" i="14"/>
  <c r="FY63" i="14"/>
  <c r="FY64" i="14"/>
  <c r="FY65" i="14"/>
  <c r="FY66" i="14"/>
  <c r="FY67" i="14"/>
  <c r="FY68" i="14"/>
  <c r="FY69" i="14"/>
  <c r="FY70" i="14"/>
  <c r="FY71" i="14"/>
  <c r="FY72" i="14"/>
  <c r="FY73" i="14"/>
  <c r="FY74" i="14"/>
  <c r="FY75" i="14"/>
  <c r="FY76" i="14"/>
  <c r="FY77" i="14"/>
  <c r="FY78" i="14"/>
  <c r="FY79" i="14"/>
  <c r="FY80" i="14"/>
  <c r="FY81" i="14"/>
  <c r="FY82" i="14"/>
  <c r="FY83" i="14"/>
  <c r="FY84" i="14"/>
  <c r="FY85" i="14"/>
  <c r="FY86" i="14"/>
  <c r="FY87" i="14"/>
  <c r="FY88" i="14"/>
  <c r="FY89" i="14"/>
  <c r="FY90" i="14"/>
  <c r="FY91" i="14"/>
  <c r="FY92" i="14"/>
  <c r="FY93" i="14"/>
  <c r="FY94" i="14"/>
  <c r="FY95" i="14"/>
  <c r="FY96" i="14"/>
  <c r="FY97" i="14"/>
  <c r="FY98" i="14"/>
  <c r="FY99" i="14"/>
  <c r="FY100" i="14"/>
  <c r="FY101" i="14"/>
  <c r="FY2" i="14"/>
  <c r="FW3" i="14"/>
  <c r="FX3" i="14"/>
  <c r="FW4" i="14"/>
  <c r="FX4" i="14"/>
  <c r="FW5" i="14"/>
  <c r="FX5" i="14"/>
  <c r="FW6" i="14"/>
  <c r="FX6" i="14"/>
  <c r="FW7" i="14"/>
  <c r="FX7" i="14"/>
  <c r="FW8" i="14"/>
  <c r="FX8" i="14"/>
  <c r="FW9" i="14"/>
  <c r="FX9" i="14"/>
  <c r="FW10" i="14"/>
  <c r="FX10" i="14"/>
  <c r="FW11" i="14"/>
  <c r="FX11" i="14"/>
  <c r="FW12" i="14"/>
  <c r="FX12" i="14"/>
  <c r="FW13" i="14"/>
  <c r="FX13" i="14"/>
  <c r="FW14" i="14"/>
  <c r="FX14" i="14"/>
  <c r="FW15" i="14"/>
  <c r="FX15" i="14"/>
  <c r="FW16" i="14"/>
  <c r="FX16" i="14"/>
  <c r="FW17" i="14"/>
  <c r="FX17" i="14"/>
  <c r="FW18" i="14"/>
  <c r="FX18" i="14"/>
  <c r="FW19" i="14"/>
  <c r="FX19" i="14"/>
  <c r="FW20" i="14"/>
  <c r="FX20" i="14"/>
  <c r="FW21" i="14"/>
  <c r="FX21" i="14"/>
  <c r="FW22" i="14"/>
  <c r="FX22" i="14"/>
  <c r="FW23" i="14"/>
  <c r="FX23" i="14"/>
  <c r="FW24" i="14"/>
  <c r="FX24" i="14"/>
  <c r="FW25" i="14"/>
  <c r="FX25" i="14"/>
  <c r="FW26" i="14"/>
  <c r="FX26" i="14"/>
  <c r="FW27" i="14"/>
  <c r="FX27" i="14"/>
  <c r="FW28" i="14"/>
  <c r="FX28" i="14"/>
  <c r="FW29" i="14"/>
  <c r="FX29" i="14"/>
  <c r="FW30" i="14"/>
  <c r="FX30" i="14"/>
  <c r="FW31" i="14"/>
  <c r="FX31" i="14"/>
  <c r="FW32" i="14"/>
  <c r="FX32" i="14"/>
  <c r="FW33" i="14"/>
  <c r="FX33" i="14"/>
  <c r="FW34" i="14"/>
  <c r="FX34" i="14"/>
  <c r="FW35" i="14"/>
  <c r="FX35" i="14"/>
  <c r="FW36" i="14"/>
  <c r="FX36" i="14"/>
  <c r="FW37" i="14"/>
  <c r="FX37" i="14"/>
  <c r="FW38" i="14"/>
  <c r="FX38" i="14"/>
  <c r="FW39" i="14"/>
  <c r="FX39" i="14"/>
  <c r="FW40" i="14"/>
  <c r="FX40" i="14"/>
  <c r="FW41" i="14"/>
  <c r="FX41" i="14"/>
  <c r="FW42" i="14"/>
  <c r="FX42" i="14"/>
  <c r="FW43" i="14"/>
  <c r="FX43" i="14"/>
  <c r="FW44" i="14"/>
  <c r="FX44" i="14"/>
  <c r="FW45" i="14"/>
  <c r="FX45" i="14"/>
  <c r="FW46" i="14"/>
  <c r="FX46" i="14"/>
  <c r="FW47" i="14"/>
  <c r="FX47" i="14"/>
  <c r="FW48" i="14"/>
  <c r="FX48" i="14"/>
  <c r="FW49" i="14"/>
  <c r="FX49" i="14"/>
  <c r="FW50" i="14"/>
  <c r="FX50" i="14"/>
  <c r="FW51" i="14"/>
  <c r="FX51" i="14"/>
  <c r="FW52" i="14"/>
  <c r="FX52" i="14"/>
  <c r="FW53" i="14"/>
  <c r="FX53" i="14"/>
  <c r="FW54" i="14"/>
  <c r="FX54" i="14"/>
  <c r="FW55" i="14"/>
  <c r="FX55" i="14"/>
  <c r="FW56" i="14"/>
  <c r="FX56" i="14"/>
  <c r="FW57" i="14"/>
  <c r="FX57" i="14"/>
  <c r="FW58" i="14"/>
  <c r="FX58" i="14"/>
  <c r="FW59" i="14"/>
  <c r="FX59" i="14"/>
  <c r="FW60" i="14"/>
  <c r="FX60" i="14"/>
  <c r="FW61" i="14"/>
  <c r="FX61" i="14"/>
  <c r="FW62" i="14"/>
  <c r="FX62" i="14"/>
  <c r="FW63" i="14"/>
  <c r="FX63" i="14"/>
  <c r="FW64" i="14"/>
  <c r="FX64" i="14"/>
  <c r="FW65" i="14"/>
  <c r="FX65" i="14"/>
  <c r="FW66" i="14"/>
  <c r="FX66" i="14"/>
  <c r="FW67" i="14"/>
  <c r="FX67" i="14"/>
  <c r="FW68" i="14"/>
  <c r="FX68" i="14"/>
  <c r="FW69" i="14"/>
  <c r="FX69" i="14"/>
  <c r="FW70" i="14"/>
  <c r="FX70" i="14"/>
  <c r="FW71" i="14"/>
  <c r="FX71" i="14"/>
  <c r="FW72" i="14"/>
  <c r="FX72" i="14"/>
  <c r="FW73" i="14"/>
  <c r="FX73" i="14"/>
  <c r="FW74" i="14"/>
  <c r="FX74" i="14"/>
  <c r="FW75" i="14"/>
  <c r="FX75" i="14"/>
  <c r="FW76" i="14"/>
  <c r="FX76" i="14"/>
  <c r="FW77" i="14"/>
  <c r="FX77" i="14"/>
  <c r="FW78" i="14"/>
  <c r="FX78" i="14"/>
  <c r="FW79" i="14"/>
  <c r="FX79" i="14"/>
  <c r="FW80" i="14"/>
  <c r="FX80" i="14"/>
  <c r="FW81" i="14"/>
  <c r="FX81" i="14"/>
  <c r="FW82" i="14"/>
  <c r="FX82" i="14"/>
  <c r="FW83" i="14"/>
  <c r="FX83" i="14"/>
  <c r="FW84" i="14"/>
  <c r="FX84" i="14"/>
  <c r="FW85" i="14"/>
  <c r="FX85" i="14"/>
  <c r="FW86" i="14"/>
  <c r="FX86" i="14"/>
  <c r="FW87" i="14"/>
  <c r="FX87" i="14"/>
  <c r="FW88" i="14"/>
  <c r="FX88" i="14"/>
  <c r="FW89" i="14"/>
  <c r="FX89" i="14"/>
  <c r="FW90" i="14"/>
  <c r="FX90" i="14"/>
  <c r="FW91" i="14"/>
  <c r="FX91" i="14"/>
  <c r="FW92" i="14"/>
  <c r="FX92" i="14"/>
  <c r="FW93" i="14"/>
  <c r="FX93" i="14"/>
  <c r="FW94" i="14"/>
  <c r="FX94" i="14"/>
  <c r="FW95" i="14"/>
  <c r="FX95" i="14"/>
  <c r="FW96" i="14"/>
  <c r="FX96" i="14"/>
  <c r="FW97" i="14"/>
  <c r="FX97" i="14"/>
  <c r="FW98" i="14"/>
  <c r="FX98" i="14"/>
  <c r="FW99" i="14"/>
  <c r="FX99" i="14"/>
  <c r="FW100" i="14"/>
  <c r="FX100" i="14"/>
  <c r="FW101" i="14"/>
  <c r="FX101" i="14"/>
  <c r="FX2" i="14"/>
  <c r="FW2" i="14"/>
  <c r="FV3" i="14"/>
  <c r="FV4" i="14"/>
  <c r="FV5" i="14"/>
  <c r="FV6" i="14"/>
  <c r="FV7" i="14"/>
  <c r="FV8" i="14"/>
  <c r="FV9" i="14"/>
  <c r="FV10" i="14"/>
  <c r="FV11" i="14"/>
  <c r="FV12" i="14"/>
  <c r="FV13" i="14"/>
  <c r="FV14" i="14"/>
  <c r="FV15" i="14"/>
  <c r="FV16" i="14"/>
  <c r="FV17" i="14"/>
  <c r="FV18" i="14"/>
  <c r="FV19" i="14"/>
  <c r="FV20" i="14"/>
  <c r="FV21" i="14"/>
  <c r="FV22" i="14"/>
  <c r="FV23" i="14"/>
  <c r="FV24" i="14"/>
  <c r="FV25" i="14"/>
  <c r="FV26" i="14"/>
  <c r="FV27" i="14"/>
  <c r="FV28" i="14"/>
  <c r="FV29" i="14"/>
  <c r="FV30" i="14"/>
  <c r="FV31" i="14"/>
  <c r="FV32" i="14"/>
  <c r="FV33" i="14"/>
  <c r="FV34" i="14"/>
  <c r="FV35" i="14"/>
  <c r="FV36" i="14"/>
  <c r="FV37" i="14"/>
  <c r="FV38" i="14"/>
  <c r="FV39" i="14"/>
  <c r="FV40" i="14"/>
  <c r="FV41" i="14"/>
  <c r="FV42" i="14"/>
  <c r="FV43" i="14"/>
  <c r="FV44" i="14"/>
  <c r="FV45" i="14"/>
  <c r="FV46" i="14"/>
  <c r="FV47" i="14"/>
  <c r="FV48" i="14"/>
  <c r="FV49" i="14"/>
  <c r="FV50" i="14"/>
  <c r="FV51" i="14"/>
  <c r="FV52" i="14"/>
  <c r="FV53" i="14"/>
  <c r="FV54" i="14"/>
  <c r="FV55" i="14"/>
  <c r="FV56" i="14"/>
  <c r="FV57" i="14"/>
  <c r="FV58" i="14"/>
  <c r="FV59" i="14"/>
  <c r="FV60" i="14"/>
  <c r="FV61" i="14"/>
  <c r="FV62" i="14"/>
  <c r="FV63" i="14"/>
  <c r="FV64" i="14"/>
  <c r="FV65" i="14"/>
  <c r="FV66" i="14"/>
  <c r="FV67" i="14"/>
  <c r="FV68" i="14"/>
  <c r="FV69" i="14"/>
  <c r="FV70" i="14"/>
  <c r="FV71" i="14"/>
  <c r="FV72" i="14"/>
  <c r="FV73" i="14"/>
  <c r="FV74" i="14"/>
  <c r="FV75" i="14"/>
  <c r="FV76" i="14"/>
  <c r="FV77" i="14"/>
  <c r="FV78" i="14"/>
  <c r="FV79" i="14"/>
  <c r="FV80" i="14"/>
  <c r="FV81" i="14"/>
  <c r="FV82" i="14"/>
  <c r="FV83" i="14"/>
  <c r="FV84" i="14"/>
  <c r="FV85" i="14"/>
  <c r="FV86" i="14"/>
  <c r="FV87" i="14"/>
  <c r="FV88" i="14"/>
  <c r="FV89" i="14"/>
  <c r="FV90" i="14"/>
  <c r="FV91" i="14"/>
  <c r="FV92" i="14"/>
  <c r="FV93" i="14"/>
  <c r="FV94" i="14"/>
  <c r="FV95" i="14"/>
  <c r="FV96" i="14"/>
  <c r="FV97" i="14"/>
  <c r="FV98" i="14"/>
  <c r="FV99" i="14"/>
  <c r="FV100" i="14"/>
  <c r="FV101" i="14"/>
  <c r="FV2" i="14"/>
  <c r="FU3" i="14"/>
  <c r="FU4" i="14"/>
  <c r="FU5" i="14"/>
  <c r="FU6" i="14"/>
  <c r="FU7" i="14"/>
  <c r="FU8" i="14"/>
  <c r="FU9" i="14"/>
  <c r="FU10" i="14"/>
  <c r="FU11" i="14"/>
  <c r="FU12" i="14"/>
  <c r="FU13" i="14"/>
  <c r="FU14" i="14"/>
  <c r="FU15" i="14"/>
  <c r="FU16" i="14"/>
  <c r="FU17" i="14"/>
  <c r="FU18" i="14"/>
  <c r="FU19" i="14"/>
  <c r="FU20" i="14"/>
  <c r="FU21" i="14"/>
  <c r="FU22" i="14"/>
  <c r="FU23" i="14"/>
  <c r="FU24" i="14"/>
  <c r="FU25" i="14"/>
  <c r="FU26" i="14"/>
  <c r="FU27" i="14"/>
  <c r="FU28" i="14"/>
  <c r="FU29" i="14"/>
  <c r="FU30" i="14"/>
  <c r="FU31" i="14"/>
  <c r="FU32" i="14"/>
  <c r="FU33" i="14"/>
  <c r="FU34" i="14"/>
  <c r="FU35" i="14"/>
  <c r="FU36" i="14"/>
  <c r="FU37" i="14"/>
  <c r="FU38" i="14"/>
  <c r="FU39" i="14"/>
  <c r="FU40" i="14"/>
  <c r="FU41" i="14"/>
  <c r="FU42" i="14"/>
  <c r="FU43" i="14"/>
  <c r="FU44" i="14"/>
  <c r="FU45" i="14"/>
  <c r="FU46" i="14"/>
  <c r="FU47" i="14"/>
  <c r="FU48" i="14"/>
  <c r="FU49" i="14"/>
  <c r="FU50" i="14"/>
  <c r="FU51" i="14"/>
  <c r="FU52" i="14"/>
  <c r="FU53" i="14"/>
  <c r="FU54" i="14"/>
  <c r="FU55" i="14"/>
  <c r="FU56" i="14"/>
  <c r="FU57" i="14"/>
  <c r="FU58" i="14"/>
  <c r="FU59" i="14"/>
  <c r="FU60" i="14"/>
  <c r="FU61" i="14"/>
  <c r="FU62" i="14"/>
  <c r="FU63" i="14"/>
  <c r="FU64" i="14"/>
  <c r="FU65" i="14"/>
  <c r="FU66" i="14"/>
  <c r="FU67" i="14"/>
  <c r="FU68" i="14"/>
  <c r="FU69" i="14"/>
  <c r="FU70" i="14"/>
  <c r="FU71" i="14"/>
  <c r="FU72" i="14"/>
  <c r="FU73" i="14"/>
  <c r="FU74" i="14"/>
  <c r="FU75" i="14"/>
  <c r="FU76" i="14"/>
  <c r="FU77" i="14"/>
  <c r="FU78" i="14"/>
  <c r="FU79" i="14"/>
  <c r="FU80" i="14"/>
  <c r="FU81" i="14"/>
  <c r="FU82" i="14"/>
  <c r="FU83" i="14"/>
  <c r="FU84" i="14"/>
  <c r="FU85" i="14"/>
  <c r="FU86" i="14"/>
  <c r="FU87" i="14"/>
  <c r="FU88" i="14"/>
  <c r="FU89" i="14"/>
  <c r="FU90" i="14"/>
  <c r="FU91" i="14"/>
  <c r="FU92" i="14"/>
  <c r="FU93" i="14"/>
  <c r="FU94" i="14"/>
  <c r="FU95" i="14"/>
  <c r="FU96" i="14"/>
  <c r="FU97" i="14"/>
  <c r="FU98" i="14"/>
  <c r="FU99" i="14"/>
  <c r="FU100" i="14"/>
  <c r="FU101" i="14"/>
  <c r="FU2" i="14"/>
  <c r="FT3" i="14"/>
  <c r="FT4" i="14"/>
  <c r="FT5" i="14"/>
  <c r="FT6" i="14"/>
  <c r="FT7" i="14"/>
  <c r="FT8" i="14"/>
  <c r="FT9" i="14"/>
  <c r="FT10" i="14"/>
  <c r="FT11" i="14"/>
  <c r="FT12" i="14"/>
  <c r="FT13" i="14"/>
  <c r="FT14" i="14"/>
  <c r="FT15" i="14"/>
  <c r="FT16" i="14"/>
  <c r="FT17" i="14"/>
  <c r="FT18" i="14"/>
  <c r="FT19" i="14"/>
  <c r="FT20" i="14"/>
  <c r="FT21" i="14"/>
  <c r="FT22" i="14"/>
  <c r="FT23" i="14"/>
  <c r="FT24" i="14"/>
  <c r="FT25" i="14"/>
  <c r="FT26" i="14"/>
  <c r="FT27" i="14"/>
  <c r="FT28" i="14"/>
  <c r="FT29" i="14"/>
  <c r="FT30" i="14"/>
  <c r="FT31" i="14"/>
  <c r="FT32" i="14"/>
  <c r="FT33" i="14"/>
  <c r="FT34" i="14"/>
  <c r="FT35" i="14"/>
  <c r="FT36" i="14"/>
  <c r="FT37" i="14"/>
  <c r="FT38" i="14"/>
  <c r="FT39" i="14"/>
  <c r="FT40" i="14"/>
  <c r="FT41" i="14"/>
  <c r="FT42" i="14"/>
  <c r="FT43" i="14"/>
  <c r="FT44" i="14"/>
  <c r="FT45" i="14"/>
  <c r="FT46" i="14"/>
  <c r="FT47" i="14"/>
  <c r="FT48" i="14"/>
  <c r="FT49" i="14"/>
  <c r="FT50" i="14"/>
  <c r="FT51" i="14"/>
  <c r="FT52" i="14"/>
  <c r="FT53" i="14"/>
  <c r="FT54" i="14"/>
  <c r="FT55" i="14"/>
  <c r="FT56" i="14"/>
  <c r="FT57" i="14"/>
  <c r="FT58" i="14"/>
  <c r="FT59" i="14"/>
  <c r="FT60" i="14"/>
  <c r="FT61" i="14"/>
  <c r="FT62" i="14"/>
  <c r="FT63" i="14"/>
  <c r="FT64" i="14"/>
  <c r="FT65" i="14"/>
  <c r="FT66" i="14"/>
  <c r="FT67" i="14"/>
  <c r="FT68" i="14"/>
  <c r="FT69" i="14"/>
  <c r="FT70" i="14"/>
  <c r="FT71" i="14"/>
  <c r="FT72" i="14"/>
  <c r="FT73" i="14"/>
  <c r="FT74" i="14"/>
  <c r="FT75" i="14"/>
  <c r="FT76" i="14"/>
  <c r="FT77" i="14"/>
  <c r="FT78" i="14"/>
  <c r="FT79" i="14"/>
  <c r="FT80" i="14"/>
  <c r="FT81" i="14"/>
  <c r="FT82" i="14"/>
  <c r="FT83" i="14"/>
  <c r="FT84" i="14"/>
  <c r="FT85" i="14"/>
  <c r="FT86" i="14"/>
  <c r="FT87" i="14"/>
  <c r="FT88" i="14"/>
  <c r="FT89" i="14"/>
  <c r="FT90" i="14"/>
  <c r="FT91" i="14"/>
  <c r="FT92" i="14"/>
  <c r="FT93" i="14"/>
  <c r="FT94" i="14"/>
  <c r="FT95" i="14"/>
  <c r="FT96" i="14"/>
  <c r="FT97" i="14"/>
  <c r="FT98" i="14"/>
  <c r="FT99" i="14"/>
  <c r="FT100" i="14"/>
  <c r="FT101" i="14"/>
  <c r="FT2" i="14"/>
  <c r="FD2" i="14"/>
  <c r="FE2" i="14"/>
  <c r="FF2" i="14"/>
  <c r="FG2" i="14"/>
  <c r="FH2" i="14"/>
  <c r="FI2" i="14"/>
  <c r="FJ2" i="14"/>
  <c r="FK2" i="14"/>
  <c r="FL2" i="14"/>
  <c r="FM2" i="14"/>
  <c r="FN2" i="14"/>
  <c r="FO2" i="14"/>
  <c r="FP2" i="14"/>
  <c r="FQ2" i="14"/>
  <c r="FR2" i="14"/>
  <c r="FS2" i="14"/>
  <c r="FD3" i="14"/>
  <c r="FE3" i="14"/>
  <c r="FF3" i="14"/>
  <c r="FG3" i="14"/>
  <c r="FH3" i="14"/>
  <c r="FI3" i="14"/>
  <c r="FJ3" i="14"/>
  <c r="FK3" i="14"/>
  <c r="FL3" i="14"/>
  <c r="FM3" i="14"/>
  <c r="FN3" i="14"/>
  <c r="FO3" i="14"/>
  <c r="FP3" i="14"/>
  <c r="FQ3" i="14"/>
  <c r="FR3" i="14"/>
  <c r="FS3" i="14"/>
  <c r="FD4" i="14"/>
  <c r="FE4" i="14"/>
  <c r="FF4" i="14"/>
  <c r="FG4" i="14"/>
  <c r="FH4" i="14"/>
  <c r="FI4" i="14"/>
  <c r="FJ4" i="14"/>
  <c r="FK4" i="14"/>
  <c r="FL4" i="14"/>
  <c r="FM4" i="14"/>
  <c r="FN4" i="14"/>
  <c r="FO4" i="14"/>
  <c r="FP4" i="14"/>
  <c r="FQ4" i="14"/>
  <c r="FR4" i="14"/>
  <c r="FS4" i="14"/>
  <c r="FD5" i="14"/>
  <c r="FE5" i="14"/>
  <c r="FF5" i="14"/>
  <c r="FG5" i="14"/>
  <c r="FH5" i="14"/>
  <c r="FI5" i="14"/>
  <c r="FJ5" i="14"/>
  <c r="FK5" i="14"/>
  <c r="FL5" i="14"/>
  <c r="FM5" i="14"/>
  <c r="FN5" i="14"/>
  <c r="FO5" i="14"/>
  <c r="FP5" i="14"/>
  <c r="FQ5" i="14"/>
  <c r="FR5" i="14"/>
  <c r="FS5" i="14"/>
  <c r="FD6" i="14"/>
  <c r="FE6" i="14"/>
  <c r="FF6" i="14"/>
  <c r="FG6" i="14"/>
  <c r="FH6" i="14"/>
  <c r="FI6" i="14"/>
  <c r="FJ6" i="14"/>
  <c r="FK6" i="14"/>
  <c r="FL6" i="14"/>
  <c r="FM6" i="14"/>
  <c r="FN6" i="14"/>
  <c r="FO6" i="14"/>
  <c r="FP6" i="14"/>
  <c r="FQ6" i="14"/>
  <c r="FR6" i="14"/>
  <c r="FS6" i="14"/>
  <c r="FD7" i="14"/>
  <c r="FE7" i="14"/>
  <c r="FF7" i="14"/>
  <c r="FG7" i="14"/>
  <c r="FH7" i="14"/>
  <c r="FI7" i="14"/>
  <c r="FJ7" i="14"/>
  <c r="FK7" i="14"/>
  <c r="FL7" i="14"/>
  <c r="FM7" i="14"/>
  <c r="FN7" i="14"/>
  <c r="FO7" i="14"/>
  <c r="FP7" i="14"/>
  <c r="FQ7" i="14"/>
  <c r="FR7" i="14"/>
  <c r="FS7" i="14"/>
  <c r="FD8" i="14"/>
  <c r="FE8" i="14"/>
  <c r="FF8" i="14"/>
  <c r="FG8" i="14"/>
  <c r="FH8" i="14"/>
  <c r="FI8" i="14"/>
  <c r="FJ8" i="14"/>
  <c r="FK8" i="14"/>
  <c r="FL8" i="14"/>
  <c r="FM8" i="14"/>
  <c r="FN8" i="14"/>
  <c r="FO8" i="14"/>
  <c r="FP8" i="14"/>
  <c r="FQ8" i="14"/>
  <c r="FR8" i="14"/>
  <c r="FS8" i="14"/>
  <c r="FD9" i="14"/>
  <c r="FE9" i="14"/>
  <c r="FF9" i="14"/>
  <c r="FG9" i="14"/>
  <c r="FH9" i="14"/>
  <c r="FI9" i="14"/>
  <c r="FJ9" i="14"/>
  <c r="FK9" i="14"/>
  <c r="FL9" i="14"/>
  <c r="FM9" i="14"/>
  <c r="FN9" i="14"/>
  <c r="FO9" i="14"/>
  <c r="FP9" i="14"/>
  <c r="FQ9" i="14"/>
  <c r="FR9" i="14"/>
  <c r="FS9" i="14"/>
  <c r="FD10" i="14"/>
  <c r="FE10" i="14"/>
  <c r="FF10" i="14"/>
  <c r="FG10" i="14"/>
  <c r="FH10" i="14"/>
  <c r="FI10" i="14"/>
  <c r="FJ10" i="14"/>
  <c r="FK10" i="14"/>
  <c r="FL10" i="14"/>
  <c r="FM10" i="14"/>
  <c r="FN10" i="14"/>
  <c r="FO10" i="14"/>
  <c r="FP10" i="14"/>
  <c r="FQ10" i="14"/>
  <c r="FR10" i="14"/>
  <c r="FS10" i="14"/>
  <c r="FD11" i="14"/>
  <c r="FE11" i="14"/>
  <c r="FF11" i="14"/>
  <c r="FG11" i="14"/>
  <c r="FH11" i="14"/>
  <c r="FI11" i="14"/>
  <c r="FJ11" i="14"/>
  <c r="FK11" i="14"/>
  <c r="FL11" i="14"/>
  <c r="FM11" i="14"/>
  <c r="FN11" i="14"/>
  <c r="FO11" i="14"/>
  <c r="FP11" i="14"/>
  <c r="FQ11" i="14"/>
  <c r="FR11" i="14"/>
  <c r="FS11" i="14"/>
  <c r="FD12" i="14"/>
  <c r="FE12" i="14"/>
  <c r="FF12" i="14"/>
  <c r="FG12" i="14"/>
  <c r="FH12" i="14"/>
  <c r="FI12" i="14"/>
  <c r="FJ12" i="14"/>
  <c r="FK12" i="14"/>
  <c r="FL12" i="14"/>
  <c r="FM12" i="14"/>
  <c r="FN12" i="14"/>
  <c r="FO12" i="14"/>
  <c r="FP12" i="14"/>
  <c r="FQ12" i="14"/>
  <c r="FR12" i="14"/>
  <c r="FS12" i="14"/>
  <c r="FD13" i="14"/>
  <c r="FE13" i="14"/>
  <c r="FF13" i="14"/>
  <c r="FG13" i="14"/>
  <c r="FH13" i="14"/>
  <c r="FI13" i="14"/>
  <c r="FJ13" i="14"/>
  <c r="FK13" i="14"/>
  <c r="FL13" i="14"/>
  <c r="FM13" i="14"/>
  <c r="FN13" i="14"/>
  <c r="FO13" i="14"/>
  <c r="FP13" i="14"/>
  <c r="FQ13" i="14"/>
  <c r="FR13" i="14"/>
  <c r="FS13" i="14"/>
  <c r="FD14" i="14"/>
  <c r="FE14" i="14"/>
  <c r="FF14" i="14"/>
  <c r="FG14" i="14"/>
  <c r="FH14" i="14"/>
  <c r="FI14" i="14"/>
  <c r="FJ14" i="14"/>
  <c r="FK14" i="14"/>
  <c r="FL14" i="14"/>
  <c r="FM14" i="14"/>
  <c r="FN14" i="14"/>
  <c r="FO14" i="14"/>
  <c r="FP14" i="14"/>
  <c r="FQ14" i="14"/>
  <c r="FR14" i="14"/>
  <c r="FS14" i="14"/>
  <c r="FD15" i="14"/>
  <c r="FE15" i="14"/>
  <c r="FF15" i="14"/>
  <c r="FG15" i="14"/>
  <c r="FH15" i="14"/>
  <c r="FI15" i="14"/>
  <c r="FJ15" i="14"/>
  <c r="FK15" i="14"/>
  <c r="FL15" i="14"/>
  <c r="FM15" i="14"/>
  <c r="FN15" i="14"/>
  <c r="FO15" i="14"/>
  <c r="FP15" i="14"/>
  <c r="FQ15" i="14"/>
  <c r="FR15" i="14"/>
  <c r="FS15" i="14"/>
  <c r="FD16" i="14"/>
  <c r="FE16" i="14"/>
  <c r="FF16" i="14"/>
  <c r="FG16" i="14"/>
  <c r="FH16" i="14"/>
  <c r="FI16" i="14"/>
  <c r="FJ16" i="14"/>
  <c r="FK16" i="14"/>
  <c r="FL16" i="14"/>
  <c r="FM16" i="14"/>
  <c r="FN16" i="14"/>
  <c r="FO16" i="14"/>
  <c r="FP16" i="14"/>
  <c r="FQ16" i="14"/>
  <c r="FR16" i="14"/>
  <c r="FS16" i="14"/>
  <c r="FD17" i="14"/>
  <c r="FE17" i="14"/>
  <c r="FF17" i="14"/>
  <c r="FG17" i="14"/>
  <c r="FH17" i="14"/>
  <c r="FI17" i="14"/>
  <c r="FJ17" i="14"/>
  <c r="FK17" i="14"/>
  <c r="FL17" i="14"/>
  <c r="FM17" i="14"/>
  <c r="FN17" i="14"/>
  <c r="FO17" i="14"/>
  <c r="FP17" i="14"/>
  <c r="FQ17" i="14"/>
  <c r="FR17" i="14"/>
  <c r="FS17" i="14"/>
  <c r="FD18" i="14"/>
  <c r="FE18" i="14"/>
  <c r="FF18" i="14"/>
  <c r="FG18" i="14"/>
  <c r="FH18" i="14"/>
  <c r="FI18" i="14"/>
  <c r="FJ18" i="14"/>
  <c r="FK18" i="14"/>
  <c r="FL18" i="14"/>
  <c r="FM18" i="14"/>
  <c r="FN18" i="14"/>
  <c r="FO18" i="14"/>
  <c r="FP18" i="14"/>
  <c r="FQ18" i="14"/>
  <c r="FR18" i="14"/>
  <c r="FS18" i="14"/>
  <c r="FD19" i="14"/>
  <c r="FE19" i="14"/>
  <c r="FF19" i="14"/>
  <c r="FG19" i="14"/>
  <c r="FH19" i="14"/>
  <c r="FI19" i="14"/>
  <c r="FJ19" i="14"/>
  <c r="FK19" i="14"/>
  <c r="FL19" i="14"/>
  <c r="FM19" i="14"/>
  <c r="FN19" i="14"/>
  <c r="FO19" i="14"/>
  <c r="FP19" i="14"/>
  <c r="FQ19" i="14"/>
  <c r="FR19" i="14"/>
  <c r="FS19" i="14"/>
  <c r="FD20" i="14"/>
  <c r="FE20" i="14"/>
  <c r="FF20" i="14"/>
  <c r="FG20" i="14"/>
  <c r="FH20" i="14"/>
  <c r="FI20" i="14"/>
  <c r="FJ20" i="14"/>
  <c r="FK20" i="14"/>
  <c r="FL20" i="14"/>
  <c r="FM20" i="14"/>
  <c r="FN20" i="14"/>
  <c r="FO20" i="14"/>
  <c r="FP20" i="14"/>
  <c r="FQ20" i="14"/>
  <c r="FR20" i="14"/>
  <c r="FS20" i="14"/>
  <c r="FD21" i="14"/>
  <c r="FE21" i="14"/>
  <c r="FF21" i="14"/>
  <c r="FG21" i="14"/>
  <c r="FH21" i="14"/>
  <c r="FI21" i="14"/>
  <c r="FJ21" i="14"/>
  <c r="FK21" i="14"/>
  <c r="FL21" i="14"/>
  <c r="FM21" i="14"/>
  <c r="FN21" i="14"/>
  <c r="FO21" i="14"/>
  <c r="FP21" i="14"/>
  <c r="FQ21" i="14"/>
  <c r="FR21" i="14"/>
  <c r="FS21" i="14"/>
  <c r="FD22" i="14"/>
  <c r="FE22" i="14"/>
  <c r="FF22" i="14"/>
  <c r="FG22" i="14"/>
  <c r="FH22" i="14"/>
  <c r="FI22" i="14"/>
  <c r="FJ22" i="14"/>
  <c r="FK22" i="14"/>
  <c r="FL22" i="14"/>
  <c r="FM22" i="14"/>
  <c r="FN22" i="14"/>
  <c r="FO22" i="14"/>
  <c r="FP22" i="14"/>
  <c r="FQ22" i="14"/>
  <c r="FR22" i="14"/>
  <c r="FS22" i="14"/>
  <c r="FD23" i="14"/>
  <c r="FE23" i="14"/>
  <c r="FF23" i="14"/>
  <c r="FG23" i="14"/>
  <c r="FH23" i="14"/>
  <c r="FI23" i="14"/>
  <c r="FJ23" i="14"/>
  <c r="FK23" i="14"/>
  <c r="FL23" i="14"/>
  <c r="FM23" i="14"/>
  <c r="FN23" i="14"/>
  <c r="FO23" i="14"/>
  <c r="FP23" i="14"/>
  <c r="FQ23" i="14"/>
  <c r="FR23" i="14"/>
  <c r="FS23" i="14"/>
  <c r="FD24" i="14"/>
  <c r="FE24" i="14"/>
  <c r="FF24" i="14"/>
  <c r="FG24" i="14"/>
  <c r="FH24" i="14"/>
  <c r="FI24" i="14"/>
  <c r="FJ24" i="14"/>
  <c r="FK24" i="14"/>
  <c r="FL24" i="14"/>
  <c r="FM24" i="14"/>
  <c r="FN24" i="14"/>
  <c r="FO24" i="14"/>
  <c r="FP24" i="14"/>
  <c r="FQ24" i="14"/>
  <c r="FR24" i="14"/>
  <c r="FS24" i="14"/>
  <c r="FD25" i="14"/>
  <c r="FE25" i="14"/>
  <c r="FF25" i="14"/>
  <c r="FG25" i="14"/>
  <c r="FH25" i="14"/>
  <c r="FI25" i="14"/>
  <c r="FJ25" i="14"/>
  <c r="FK25" i="14"/>
  <c r="FL25" i="14"/>
  <c r="FM25" i="14"/>
  <c r="FN25" i="14"/>
  <c r="FO25" i="14"/>
  <c r="FP25" i="14"/>
  <c r="FQ25" i="14"/>
  <c r="FR25" i="14"/>
  <c r="FS25" i="14"/>
  <c r="FD26" i="14"/>
  <c r="FE26" i="14"/>
  <c r="FF26" i="14"/>
  <c r="FG26" i="14"/>
  <c r="FH26" i="14"/>
  <c r="FI26" i="14"/>
  <c r="FJ26" i="14"/>
  <c r="FK26" i="14"/>
  <c r="FL26" i="14"/>
  <c r="FM26" i="14"/>
  <c r="FN26" i="14"/>
  <c r="FO26" i="14"/>
  <c r="FP26" i="14"/>
  <c r="FQ26" i="14"/>
  <c r="FR26" i="14"/>
  <c r="FS26" i="14"/>
  <c r="FD27" i="14"/>
  <c r="FE27" i="14"/>
  <c r="FF27" i="14"/>
  <c r="FG27" i="14"/>
  <c r="FH27" i="14"/>
  <c r="FI27" i="14"/>
  <c r="FJ27" i="14"/>
  <c r="FK27" i="14"/>
  <c r="FL27" i="14"/>
  <c r="FM27" i="14"/>
  <c r="FN27" i="14"/>
  <c r="FO27" i="14"/>
  <c r="FP27" i="14"/>
  <c r="FQ27" i="14"/>
  <c r="FR27" i="14"/>
  <c r="FS27" i="14"/>
  <c r="FD28" i="14"/>
  <c r="FE28" i="14"/>
  <c r="FF28" i="14"/>
  <c r="FG28" i="14"/>
  <c r="FH28" i="14"/>
  <c r="FI28" i="14"/>
  <c r="FJ28" i="14"/>
  <c r="FK28" i="14"/>
  <c r="FL28" i="14"/>
  <c r="FM28" i="14"/>
  <c r="FN28" i="14"/>
  <c r="FO28" i="14"/>
  <c r="FP28" i="14"/>
  <c r="FQ28" i="14"/>
  <c r="FR28" i="14"/>
  <c r="FS28" i="14"/>
  <c r="FD29" i="14"/>
  <c r="FE29" i="14"/>
  <c r="FF29" i="14"/>
  <c r="FG29" i="14"/>
  <c r="FH29" i="14"/>
  <c r="FI29" i="14"/>
  <c r="FJ29" i="14"/>
  <c r="FK29" i="14"/>
  <c r="FL29" i="14"/>
  <c r="FM29" i="14"/>
  <c r="FN29" i="14"/>
  <c r="FO29" i="14"/>
  <c r="FP29" i="14"/>
  <c r="FQ29" i="14"/>
  <c r="FR29" i="14"/>
  <c r="FS29" i="14"/>
  <c r="FD30" i="14"/>
  <c r="FE30" i="14"/>
  <c r="FF30" i="14"/>
  <c r="FG30" i="14"/>
  <c r="FH30" i="14"/>
  <c r="FI30" i="14"/>
  <c r="FJ30" i="14"/>
  <c r="FK30" i="14"/>
  <c r="FL30" i="14"/>
  <c r="FM30" i="14"/>
  <c r="FN30" i="14"/>
  <c r="FO30" i="14"/>
  <c r="FP30" i="14"/>
  <c r="FQ30" i="14"/>
  <c r="FR30" i="14"/>
  <c r="FS30" i="14"/>
  <c r="FD31" i="14"/>
  <c r="FE31" i="14"/>
  <c r="FF31" i="14"/>
  <c r="FG31" i="14"/>
  <c r="FH31" i="14"/>
  <c r="FI31" i="14"/>
  <c r="FJ31" i="14"/>
  <c r="FK31" i="14"/>
  <c r="FL31" i="14"/>
  <c r="FM31" i="14"/>
  <c r="FN31" i="14"/>
  <c r="FO31" i="14"/>
  <c r="FP31" i="14"/>
  <c r="FQ31" i="14"/>
  <c r="FR31" i="14"/>
  <c r="FS31" i="14"/>
  <c r="FD32" i="14"/>
  <c r="FE32" i="14"/>
  <c r="FF32" i="14"/>
  <c r="FG32" i="14"/>
  <c r="FH32" i="14"/>
  <c r="FI32" i="14"/>
  <c r="FJ32" i="14"/>
  <c r="FK32" i="14"/>
  <c r="FL32" i="14"/>
  <c r="FM32" i="14"/>
  <c r="FN32" i="14"/>
  <c r="FO32" i="14"/>
  <c r="FP32" i="14"/>
  <c r="FQ32" i="14"/>
  <c r="FR32" i="14"/>
  <c r="FS32" i="14"/>
  <c r="FD33" i="14"/>
  <c r="FE33" i="14"/>
  <c r="FF33" i="14"/>
  <c r="FG33" i="14"/>
  <c r="FH33" i="14"/>
  <c r="FI33" i="14"/>
  <c r="FJ33" i="14"/>
  <c r="FK33" i="14"/>
  <c r="FL33" i="14"/>
  <c r="FM33" i="14"/>
  <c r="FN33" i="14"/>
  <c r="FO33" i="14"/>
  <c r="FP33" i="14"/>
  <c r="FQ33" i="14"/>
  <c r="FR33" i="14"/>
  <c r="FS33" i="14"/>
  <c r="FD34" i="14"/>
  <c r="FE34" i="14"/>
  <c r="FF34" i="14"/>
  <c r="FG34" i="14"/>
  <c r="FH34" i="14"/>
  <c r="FI34" i="14"/>
  <c r="FJ34" i="14"/>
  <c r="FK34" i="14"/>
  <c r="FL34" i="14"/>
  <c r="FM34" i="14"/>
  <c r="FN34" i="14"/>
  <c r="FO34" i="14"/>
  <c r="FP34" i="14"/>
  <c r="FQ34" i="14"/>
  <c r="FR34" i="14"/>
  <c r="FS34" i="14"/>
  <c r="FD35" i="14"/>
  <c r="FE35" i="14"/>
  <c r="FF35" i="14"/>
  <c r="FG35" i="14"/>
  <c r="FH35" i="14"/>
  <c r="FI35" i="14"/>
  <c r="FJ35" i="14"/>
  <c r="FK35" i="14"/>
  <c r="FL35" i="14"/>
  <c r="FM35" i="14"/>
  <c r="FN35" i="14"/>
  <c r="FO35" i="14"/>
  <c r="FP35" i="14"/>
  <c r="FQ35" i="14"/>
  <c r="FR35" i="14"/>
  <c r="FS35" i="14"/>
  <c r="FD36" i="14"/>
  <c r="FE36" i="14"/>
  <c r="FF36" i="14"/>
  <c r="FG36" i="14"/>
  <c r="FH36" i="14"/>
  <c r="FI36" i="14"/>
  <c r="FJ36" i="14"/>
  <c r="FK36" i="14"/>
  <c r="FL36" i="14"/>
  <c r="FM36" i="14"/>
  <c r="FN36" i="14"/>
  <c r="FO36" i="14"/>
  <c r="FP36" i="14"/>
  <c r="FQ36" i="14"/>
  <c r="FR36" i="14"/>
  <c r="FS36" i="14"/>
  <c r="FD37" i="14"/>
  <c r="FE37" i="14"/>
  <c r="FF37" i="14"/>
  <c r="FG37" i="14"/>
  <c r="FH37" i="14"/>
  <c r="FI37" i="14"/>
  <c r="FJ37" i="14"/>
  <c r="FK37" i="14"/>
  <c r="FL37" i="14"/>
  <c r="FM37" i="14"/>
  <c r="FN37" i="14"/>
  <c r="FO37" i="14"/>
  <c r="FP37" i="14"/>
  <c r="FQ37" i="14"/>
  <c r="FR37" i="14"/>
  <c r="FS37" i="14"/>
  <c r="FD38" i="14"/>
  <c r="FE38" i="14"/>
  <c r="FF38" i="14"/>
  <c r="FG38" i="14"/>
  <c r="FH38" i="14"/>
  <c r="FI38" i="14"/>
  <c r="FJ38" i="14"/>
  <c r="FK38" i="14"/>
  <c r="FL38" i="14"/>
  <c r="FM38" i="14"/>
  <c r="FN38" i="14"/>
  <c r="FO38" i="14"/>
  <c r="FP38" i="14"/>
  <c r="FQ38" i="14"/>
  <c r="FR38" i="14"/>
  <c r="FS38" i="14"/>
  <c r="FD39" i="14"/>
  <c r="FE39" i="14"/>
  <c r="FF39" i="14"/>
  <c r="FG39" i="14"/>
  <c r="FH39" i="14"/>
  <c r="FI39" i="14"/>
  <c r="FJ39" i="14"/>
  <c r="FK39" i="14"/>
  <c r="FL39" i="14"/>
  <c r="FM39" i="14"/>
  <c r="FN39" i="14"/>
  <c r="FO39" i="14"/>
  <c r="FP39" i="14"/>
  <c r="FQ39" i="14"/>
  <c r="FR39" i="14"/>
  <c r="FS39" i="14"/>
  <c r="FD40" i="14"/>
  <c r="FE40" i="14"/>
  <c r="FF40" i="14"/>
  <c r="FG40" i="14"/>
  <c r="FH40" i="14"/>
  <c r="FI40" i="14"/>
  <c r="FJ40" i="14"/>
  <c r="FK40" i="14"/>
  <c r="FL40" i="14"/>
  <c r="FM40" i="14"/>
  <c r="FN40" i="14"/>
  <c r="FO40" i="14"/>
  <c r="FP40" i="14"/>
  <c r="FQ40" i="14"/>
  <c r="FR40" i="14"/>
  <c r="FS40" i="14"/>
  <c r="FD41" i="14"/>
  <c r="FE41" i="14"/>
  <c r="FF41" i="14"/>
  <c r="FG41" i="14"/>
  <c r="FH41" i="14"/>
  <c r="FI41" i="14"/>
  <c r="FJ41" i="14"/>
  <c r="FK41" i="14"/>
  <c r="FL41" i="14"/>
  <c r="FM41" i="14"/>
  <c r="FN41" i="14"/>
  <c r="FO41" i="14"/>
  <c r="FP41" i="14"/>
  <c r="FQ41" i="14"/>
  <c r="FR41" i="14"/>
  <c r="FS41" i="14"/>
  <c r="FD42" i="14"/>
  <c r="FE42" i="14"/>
  <c r="FF42" i="14"/>
  <c r="FG42" i="14"/>
  <c r="FH42" i="14"/>
  <c r="FI42" i="14"/>
  <c r="FJ42" i="14"/>
  <c r="FK42" i="14"/>
  <c r="FL42" i="14"/>
  <c r="FM42" i="14"/>
  <c r="FN42" i="14"/>
  <c r="FO42" i="14"/>
  <c r="FP42" i="14"/>
  <c r="FQ42" i="14"/>
  <c r="FR42" i="14"/>
  <c r="FS42" i="14"/>
  <c r="FD43" i="14"/>
  <c r="FE43" i="14"/>
  <c r="FF43" i="14"/>
  <c r="FG43" i="14"/>
  <c r="FH43" i="14"/>
  <c r="FI43" i="14"/>
  <c r="FJ43" i="14"/>
  <c r="FK43" i="14"/>
  <c r="FL43" i="14"/>
  <c r="FM43" i="14"/>
  <c r="FN43" i="14"/>
  <c r="FO43" i="14"/>
  <c r="FP43" i="14"/>
  <c r="FQ43" i="14"/>
  <c r="FR43" i="14"/>
  <c r="FS43" i="14"/>
  <c r="FD44" i="14"/>
  <c r="FE44" i="14"/>
  <c r="FF44" i="14"/>
  <c r="FG44" i="14"/>
  <c r="FH44" i="14"/>
  <c r="FI44" i="14"/>
  <c r="FJ44" i="14"/>
  <c r="FK44" i="14"/>
  <c r="FL44" i="14"/>
  <c r="FM44" i="14"/>
  <c r="FN44" i="14"/>
  <c r="FO44" i="14"/>
  <c r="FP44" i="14"/>
  <c r="FQ44" i="14"/>
  <c r="FR44" i="14"/>
  <c r="FS44" i="14"/>
  <c r="FD45" i="14"/>
  <c r="FE45" i="14"/>
  <c r="FF45" i="14"/>
  <c r="FG45" i="14"/>
  <c r="FH45" i="14"/>
  <c r="FI45" i="14"/>
  <c r="FJ45" i="14"/>
  <c r="FK45" i="14"/>
  <c r="FL45" i="14"/>
  <c r="FM45" i="14"/>
  <c r="FN45" i="14"/>
  <c r="FO45" i="14"/>
  <c r="FP45" i="14"/>
  <c r="FQ45" i="14"/>
  <c r="FR45" i="14"/>
  <c r="FS45" i="14"/>
  <c r="FD46" i="14"/>
  <c r="FE46" i="14"/>
  <c r="FF46" i="14"/>
  <c r="FG46" i="14"/>
  <c r="FH46" i="14"/>
  <c r="FI46" i="14"/>
  <c r="FJ46" i="14"/>
  <c r="FK46" i="14"/>
  <c r="FL46" i="14"/>
  <c r="FM46" i="14"/>
  <c r="FN46" i="14"/>
  <c r="FO46" i="14"/>
  <c r="FP46" i="14"/>
  <c r="FQ46" i="14"/>
  <c r="FR46" i="14"/>
  <c r="FS46" i="14"/>
  <c r="FD47" i="14"/>
  <c r="FE47" i="14"/>
  <c r="FF47" i="14"/>
  <c r="FG47" i="14"/>
  <c r="FH47" i="14"/>
  <c r="FI47" i="14"/>
  <c r="FJ47" i="14"/>
  <c r="FK47" i="14"/>
  <c r="FL47" i="14"/>
  <c r="FM47" i="14"/>
  <c r="FN47" i="14"/>
  <c r="FO47" i="14"/>
  <c r="FP47" i="14"/>
  <c r="FQ47" i="14"/>
  <c r="FR47" i="14"/>
  <c r="FS47" i="14"/>
  <c r="FD48" i="14"/>
  <c r="FE48" i="14"/>
  <c r="FF48" i="14"/>
  <c r="FG48" i="14"/>
  <c r="FH48" i="14"/>
  <c r="FI48" i="14"/>
  <c r="FJ48" i="14"/>
  <c r="FK48" i="14"/>
  <c r="FL48" i="14"/>
  <c r="FM48" i="14"/>
  <c r="FN48" i="14"/>
  <c r="FO48" i="14"/>
  <c r="FP48" i="14"/>
  <c r="FQ48" i="14"/>
  <c r="FR48" i="14"/>
  <c r="FS48" i="14"/>
  <c r="FD49" i="14"/>
  <c r="FE49" i="14"/>
  <c r="FF49" i="14"/>
  <c r="FG49" i="14"/>
  <c r="FH49" i="14"/>
  <c r="FI49" i="14"/>
  <c r="FJ49" i="14"/>
  <c r="FK49" i="14"/>
  <c r="FL49" i="14"/>
  <c r="FM49" i="14"/>
  <c r="FN49" i="14"/>
  <c r="FO49" i="14"/>
  <c r="FP49" i="14"/>
  <c r="FQ49" i="14"/>
  <c r="FR49" i="14"/>
  <c r="FS49" i="14"/>
  <c r="FD50" i="14"/>
  <c r="FE50" i="14"/>
  <c r="FF50" i="14"/>
  <c r="FG50" i="14"/>
  <c r="FH50" i="14"/>
  <c r="FI50" i="14"/>
  <c r="FJ50" i="14"/>
  <c r="FK50" i="14"/>
  <c r="FL50" i="14"/>
  <c r="FM50" i="14"/>
  <c r="FN50" i="14"/>
  <c r="FO50" i="14"/>
  <c r="FP50" i="14"/>
  <c r="FQ50" i="14"/>
  <c r="FR50" i="14"/>
  <c r="FS50" i="14"/>
  <c r="FD51" i="14"/>
  <c r="FE51" i="14"/>
  <c r="FF51" i="14"/>
  <c r="FG51" i="14"/>
  <c r="FH51" i="14"/>
  <c r="FI51" i="14"/>
  <c r="FJ51" i="14"/>
  <c r="FK51" i="14"/>
  <c r="FL51" i="14"/>
  <c r="FM51" i="14"/>
  <c r="FN51" i="14"/>
  <c r="FO51" i="14"/>
  <c r="FP51" i="14"/>
  <c r="FQ51" i="14"/>
  <c r="FR51" i="14"/>
  <c r="FS51" i="14"/>
  <c r="FD52" i="14"/>
  <c r="FE52" i="14"/>
  <c r="FF52" i="14"/>
  <c r="FG52" i="14"/>
  <c r="FH52" i="14"/>
  <c r="FI52" i="14"/>
  <c r="FJ52" i="14"/>
  <c r="FK52" i="14"/>
  <c r="FL52" i="14"/>
  <c r="FM52" i="14"/>
  <c r="FN52" i="14"/>
  <c r="FO52" i="14"/>
  <c r="FP52" i="14"/>
  <c r="FQ52" i="14"/>
  <c r="FR52" i="14"/>
  <c r="FS52" i="14"/>
  <c r="FD53" i="14"/>
  <c r="FE53" i="14"/>
  <c r="FF53" i="14"/>
  <c r="FG53" i="14"/>
  <c r="FH53" i="14"/>
  <c r="FI53" i="14"/>
  <c r="FJ53" i="14"/>
  <c r="FK53" i="14"/>
  <c r="FL53" i="14"/>
  <c r="FM53" i="14"/>
  <c r="FN53" i="14"/>
  <c r="FO53" i="14"/>
  <c r="FP53" i="14"/>
  <c r="FQ53" i="14"/>
  <c r="FR53" i="14"/>
  <c r="FS53" i="14"/>
  <c r="FD54" i="14"/>
  <c r="FE54" i="14"/>
  <c r="FF54" i="14"/>
  <c r="FG54" i="14"/>
  <c r="FH54" i="14"/>
  <c r="FI54" i="14"/>
  <c r="FJ54" i="14"/>
  <c r="FK54" i="14"/>
  <c r="FL54" i="14"/>
  <c r="FM54" i="14"/>
  <c r="FN54" i="14"/>
  <c r="FO54" i="14"/>
  <c r="FP54" i="14"/>
  <c r="FQ54" i="14"/>
  <c r="FR54" i="14"/>
  <c r="FS54" i="14"/>
  <c r="FD55" i="14"/>
  <c r="FE55" i="14"/>
  <c r="FF55" i="14"/>
  <c r="FG55" i="14"/>
  <c r="FH55" i="14"/>
  <c r="FI55" i="14"/>
  <c r="FJ55" i="14"/>
  <c r="FK55" i="14"/>
  <c r="FL55" i="14"/>
  <c r="FM55" i="14"/>
  <c r="FN55" i="14"/>
  <c r="FO55" i="14"/>
  <c r="FP55" i="14"/>
  <c r="FQ55" i="14"/>
  <c r="FR55" i="14"/>
  <c r="FS55" i="14"/>
  <c r="FD56" i="14"/>
  <c r="FE56" i="14"/>
  <c r="FF56" i="14"/>
  <c r="FG56" i="14"/>
  <c r="FH56" i="14"/>
  <c r="FI56" i="14"/>
  <c r="FJ56" i="14"/>
  <c r="FK56" i="14"/>
  <c r="FL56" i="14"/>
  <c r="FM56" i="14"/>
  <c r="FN56" i="14"/>
  <c r="FO56" i="14"/>
  <c r="FP56" i="14"/>
  <c r="FQ56" i="14"/>
  <c r="FR56" i="14"/>
  <c r="FS56" i="14"/>
  <c r="FD57" i="14"/>
  <c r="FE57" i="14"/>
  <c r="FF57" i="14"/>
  <c r="FG57" i="14"/>
  <c r="FH57" i="14"/>
  <c r="FI57" i="14"/>
  <c r="FJ57" i="14"/>
  <c r="FK57" i="14"/>
  <c r="FL57" i="14"/>
  <c r="FM57" i="14"/>
  <c r="FN57" i="14"/>
  <c r="FO57" i="14"/>
  <c r="FP57" i="14"/>
  <c r="FQ57" i="14"/>
  <c r="FR57" i="14"/>
  <c r="FS57" i="14"/>
  <c r="FD58" i="14"/>
  <c r="FE58" i="14"/>
  <c r="FF58" i="14"/>
  <c r="FG58" i="14"/>
  <c r="FH58" i="14"/>
  <c r="FI58" i="14"/>
  <c r="FJ58" i="14"/>
  <c r="FK58" i="14"/>
  <c r="FL58" i="14"/>
  <c r="FM58" i="14"/>
  <c r="FN58" i="14"/>
  <c r="FO58" i="14"/>
  <c r="FP58" i="14"/>
  <c r="FQ58" i="14"/>
  <c r="FR58" i="14"/>
  <c r="FS58" i="14"/>
  <c r="FD59" i="14"/>
  <c r="FE59" i="14"/>
  <c r="FF59" i="14"/>
  <c r="FG59" i="14"/>
  <c r="FH59" i="14"/>
  <c r="FI59" i="14"/>
  <c r="FJ59" i="14"/>
  <c r="FK59" i="14"/>
  <c r="FL59" i="14"/>
  <c r="FM59" i="14"/>
  <c r="FN59" i="14"/>
  <c r="FO59" i="14"/>
  <c r="FP59" i="14"/>
  <c r="FQ59" i="14"/>
  <c r="FR59" i="14"/>
  <c r="FS59" i="14"/>
  <c r="FD60" i="14"/>
  <c r="FE60" i="14"/>
  <c r="FF60" i="14"/>
  <c r="FG60" i="14"/>
  <c r="FH60" i="14"/>
  <c r="FI60" i="14"/>
  <c r="FJ60" i="14"/>
  <c r="FK60" i="14"/>
  <c r="FL60" i="14"/>
  <c r="FM60" i="14"/>
  <c r="FN60" i="14"/>
  <c r="FO60" i="14"/>
  <c r="FP60" i="14"/>
  <c r="FQ60" i="14"/>
  <c r="FR60" i="14"/>
  <c r="FS60" i="14"/>
  <c r="FD61" i="14"/>
  <c r="FE61" i="14"/>
  <c r="FF61" i="14"/>
  <c r="FG61" i="14"/>
  <c r="FH61" i="14"/>
  <c r="FI61" i="14"/>
  <c r="FJ61" i="14"/>
  <c r="FK61" i="14"/>
  <c r="FL61" i="14"/>
  <c r="FM61" i="14"/>
  <c r="FN61" i="14"/>
  <c r="FO61" i="14"/>
  <c r="FP61" i="14"/>
  <c r="FQ61" i="14"/>
  <c r="FR61" i="14"/>
  <c r="FS61" i="14"/>
  <c r="FD62" i="14"/>
  <c r="FE62" i="14"/>
  <c r="FF62" i="14"/>
  <c r="FG62" i="14"/>
  <c r="FH62" i="14"/>
  <c r="FI62" i="14"/>
  <c r="FJ62" i="14"/>
  <c r="FK62" i="14"/>
  <c r="FL62" i="14"/>
  <c r="FM62" i="14"/>
  <c r="FN62" i="14"/>
  <c r="FO62" i="14"/>
  <c r="FP62" i="14"/>
  <c r="FQ62" i="14"/>
  <c r="FR62" i="14"/>
  <c r="FS62" i="14"/>
  <c r="FD63" i="14"/>
  <c r="FE63" i="14"/>
  <c r="FF63" i="14"/>
  <c r="FG63" i="14"/>
  <c r="FH63" i="14"/>
  <c r="FI63" i="14"/>
  <c r="FJ63" i="14"/>
  <c r="FK63" i="14"/>
  <c r="FL63" i="14"/>
  <c r="FM63" i="14"/>
  <c r="FN63" i="14"/>
  <c r="FO63" i="14"/>
  <c r="FP63" i="14"/>
  <c r="FQ63" i="14"/>
  <c r="FR63" i="14"/>
  <c r="FS63" i="14"/>
  <c r="FD64" i="14"/>
  <c r="FE64" i="14"/>
  <c r="FF64" i="14"/>
  <c r="FG64" i="14"/>
  <c r="FH64" i="14"/>
  <c r="FI64" i="14"/>
  <c r="FJ64" i="14"/>
  <c r="FK64" i="14"/>
  <c r="FL64" i="14"/>
  <c r="FM64" i="14"/>
  <c r="FN64" i="14"/>
  <c r="FO64" i="14"/>
  <c r="FP64" i="14"/>
  <c r="FQ64" i="14"/>
  <c r="FR64" i="14"/>
  <c r="FS64" i="14"/>
  <c r="FD65" i="14"/>
  <c r="FE65" i="14"/>
  <c r="FF65" i="14"/>
  <c r="FG65" i="14"/>
  <c r="FH65" i="14"/>
  <c r="FI65" i="14"/>
  <c r="FJ65" i="14"/>
  <c r="FK65" i="14"/>
  <c r="FL65" i="14"/>
  <c r="FM65" i="14"/>
  <c r="FN65" i="14"/>
  <c r="FO65" i="14"/>
  <c r="FP65" i="14"/>
  <c r="FQ65" i="14"/>
  <c r="FR65" i="14"/>
  <c r="FS65" i="14"/>
  <c r="FD66" i="14"/>
  <c r="FE66" i="14"/>
  <c r="FF66" i="14"/>
  <c r="FG66" i="14"/>
  <c r="FH66" i="14"/>
  <c r="FI66" i="14"/>
  <c r="FJ66" i="14"/>
  <c r="FK66" i="14"/>
  <c r="FL66" i="14"/>
  <c r="FM66" i="14"/>
  <c r="FN66" i="14"/>
  <c r="FO66" i="14"/>
  <c r="FP66" i="14"/>
  <c r="FQ66" i="14"/>
  <c r="FR66" i="14"/>
  <c r="FS66" i="14"/>
  <c r="FD67" i="14"/>
  <c r="FE67" i="14"/>
  <c r="FF67" i="14"/>
  <c r="FG67" i="14"/>
  <c r="FH67" i="14"/>
  <c r="FI67" i="14"/>
  <c r="FJ67" i="14"/>
  <c r="FK67" i="14"/>
  <c r="FL67" i="14"/>
  <c r="FM67" i="14"/>
  <c r="FN67" i="14"/>
  <c r="FO67" i="14"/>
  <c r="FP67" i="14"/>
  <c r="FQ67" i="14"/>
  <c r="FR67" i="14"/>
  <c r="FS67" i="14"/>
  <c r="FD68" i="14"/>
  <c r="FE68" i="14"/>
  <c r="FF68" i="14"/>
  <c r="FG68" i="14"/>
  <c r="FH68" i="14"/>
  <c r="FI68" i="14"/>
  <c r="FJ68" i="14"/>
  <c r="FK68" i="14"/>
  <c r="FL68" i="14"/>
  <c r="FM68" i="14"/>
  <c r="FN68" i="14"/>
  <c r="FO68" i="14"/>
  <c r="FP68" i="14"/>
  <c r="FQ68" i="14"/>
  <c r="FR68" i="14"/>
  <c r="FS68" i="14"/>
  <c r="FD69" i="14"/>
  <c r="FE69" i="14"/>
  <c r="FF69" i="14"/>
  <c r="FG69" i="14"/>
  <c r="FH69" i="14"/>
  <c r="FI69" i="14"/>
  <c r="FJ69" i="14"/>
  <c r="FK69" i="14"/>
  <c r="FL69" i="14"/>
  <c r="FM69" i="14"/>
  <c r="FN69" i="14"/>
  <c r="FO69" i="14"/>
  <c r="FP69" i="14"/>
  <c r="FQ69" i="14"/>
  <c r="FR69" i="14"/>
  <c r="FS69" i="14"/>
  <c r="FD70" i="14"/>
  <c r="FE70" i="14"/>
  <c r="FF70" i="14"/>
  <c r="FG70" i="14"/>
  <c r="FH70" i="14"/>
  <c r="FI70" i="14"/>
  <c r="FJ70" i="14"/>
  <c r="FK70" i="14"/>
  <c r="FL70" i="14"/>
  <c r="FM70" i="14"/>
  <c r="FN70" i="14"/>
  <c r="FO70" i="14"/>
  <c r="FP70" i="14"/>
  <c r="FQ70" i="14"/>
  <c r="FR70" i="14"/>
  <c r="FS70" i="14"/>
  <c r="FD71" i="14"/>
  <c r="FE71" i="14"/>
  <c r="FF71" i="14"/>
  <c r="FG71" i="14"/>
  <c r="FH71" i="14"/>
  <c r="FI71" i="14"/>
  <c r="FJ71" i="14"/>
  <c r="FK71" i="14"/>
  <c r="FL71" i="14"/>
  <c r="FM71" i="14"/>
  <c r="FN71" i="14"/>
  <c r="FO71" i="14"/>
  <c r="FP71" i="14"/>
  <c r="FQ71" i="14"/>
  <c r="FR71" i="14"/>
  <c r="FS71" i="14"/>
  <c r="FD72" i="14"/>
  <c r="FE72" i="14"/>
  <c r="FF72" i="14"/>
  <c r="FG72" i="14"/>
  <c r="FH72" i="14"/>
  <c r="FI72" i="14"/>
  <c r="FJ72" i="14"/>
  <c r="FK72" i="14"/>
  <c r="FL72" i="14"/>
  <c r="FM72" i="14"/>
  <c r="FN72" i="14"/>
  <c r="FO72" i="14"/>
  <c r="FP72" i="14"/>
  <c r="FQ72" i="14"/>
  <c r="FR72" i="14"/>
  <c r="FS72" i="14"/>
  <c r="FD73" i="14"/>
  <c r="FE73" i="14"/>
  <c r="FF73" i="14"/>
  <c r="FG73" i="14"/>
  <c r="FH73" i="14"/>
  <c r="FI73" i="14"/>
  <c r="FJ73" i="14"/>
  <c r="FK73" i="14"/>
  <c r="FL73" i="14"/>
  <c r="FM73" i="14"/>
  <c r="FN73" i="14"/>
  <c r="FO73" i="14"/>
  <c r="FP73" i="14"/>
  <c r="FQ73" i="14"/>
  <c r="FR73" i="14"/>
  <c r="FS73" i="14"/>
  <c r="FD74" i="14"/>
  <c r="FE74" i="14"/>
  <c r="FF74" i="14"/>
  <c r="FG74" i="14"/>
  <c r="FH74" i="14"/>
  <c r="FI74" i="14"/>
  <c r="FJ74" i="14"/>
  <c r="FK74" i="14"/>
  <c r="FL74" i="14"/>
  <c r="FM74" i="14"/>
  <c r="FN74" i="14"/>
  <c r="FO74" i="14"/>
  <c r="FP74" i="14"/>
  <c r="FQ74" i="14"/>
  <c r="FR74" i="14"/>
  <c r="FS74" i="14"/>
  <c r="FD75" i="14"/>
  <c r="FE75" i="14"/>
  <c r="FF75" i="14"/>
  <c r="FG75" i="14"/>
  <c r="FH75" i="14"/>
  <c r="FI75" i="14"/>
  <c r="FJ75" i="14"/>
  <c r="FK75" i="14"/>
  <c r="FL75" i="14"/>
  <c r="FM75" i="14"/>
  <c r="FN75" i="14"/>
  <c r="FO75" i="14"/>
  <c r="FP75" i="14"/>
  <c r="FQ75" i="14"/>
  <c r="FR75" i="14"/>
  <c r="FS75" i="14"/>
  <c r="FD76" i="14"/>
  <c r="FE76" i="14"/>
  <c r="FF76" i="14"/>
  <c r="FG76" i="14"/>
  <c r="FH76" i="14"/>
  <c r="FI76" i="14"/>
  <c r="FJ76" i="14"/>
  <c r="FK76" i="14"/>
  <c r="FL76" i="14"/>
  <c r="FM76" i="14"/>
  <c r="FN76" i="14"/>
  <c r="FO76" i="14"/>
  <c r="FP76" i="14"/>
  <c r="FQ76" i="14"/>
  <c r="FR76" i="14"/>
  <c r="FS76" i="14"/>
  <c r="FD77" i="14"/>
  <c r="FE77" i="14"/>
  <c r="FF77" i="14"/>
  <c r="FG77" i="14"/>
  <c r="FH77" i="14"/>
  <c r="FI77" i="14"/>
  <c r="FJ77" i="14"/>
  <c r="FK77" i="14"/>
  <c r="FL77" i="14"/>
  <c r="FM77" i="14"/>
  <c r="FN77" i="14"/>
  <c r="FO77" i="14"/>
  <c r="FP77" i="14"/>
  <c r="FQ77" i="14"/>
  <c r="FR77" i="14"/>
  <c r="FS77" i="14"/>
  <c r="FD78" i="14"/>
  <c r="FE78" i="14"/>
  <c r="FF78" i="14"/>
  <c r="FG78" i="14"/>
  <c r="FH78" i="14"/>
  <c r="FI78" i="14"/>
  <c r="FJ78" i="14"/>
  <c r="FK78" i="14"/>
  <c r="FL78" i="14"/>
  <c r="FM78" i="14"/>
  <c r="FN78" i="14"/>
  <c r="FO78" i="14"/>
  <c r="FP78" i="14"/>
  <c r="FQ78" i="14"/>
  <c r="FR78" i="14"/>
  <c r="FS78" i="14"/>
  <c r="FD79" i="14"/>
  <c r="FE79" i="14"/>
  <c r="FF79" i="14"/>
  <c r="FG79" i="14"/>
  <c r="FH79" i="14"/>
  <c r="FI79" i="14"/>
  <c r="FJ79" i="14"/>
  <c r="FK79" i="14"/>
  <c r="FL79" i="14"/>
  <c r="FM79" i="14"/>
  <c r="FN79" i="14"/>
  <c r="FO79" i="14"/>
  <c r="FP79" i="14"/>
  <c r="FQ79" i="14"/>
  <c r="FR79" i="14"/>
  <c r="FS79" i="14"/>
  <c r="FD80" i="14"/>
  <c r="FE80" i="14"/>
  <c r="FF80" i="14"/>
  <c r="FG80" i="14"/>
  <c r="FH80" i="14"/>
  <c r="FI80" i="14"/>
  <c r="FJ80" i="14"/>
  <c r="FK80" i="14"/>
  <c r="FL80" i="14"/>
  <c r="FM80" i="14"/>
  <c r="FN80" i="14"/>
  <c r="FO80" i="14"/>
  <c r="FP80" i="14"/>
  <c r="FQ80" i="14"/>
  <c r="FR80" i="14"/>
  <c r="FS80" i="14"/>
  <c r="FD81" i="14"/>
  <c r="FE81" i="14"/>
  <c r="FF81" i="14"/>
  <c r="FG81" i="14"/>
  <c r="FH81" i="14"/>
  <c r="FI81" i="14"/>
  <c r="FJ81" i="14"/>
  <c r="FK81" i="14"/>
  <c r="FL81" i="14"/>
  <c r="FM81" i="14"/>
  <c r="FN81" i="14"/>
  <c r="FO81" i="14"/>
  <c r="FP81" i="14"/>
  <c r="FQ81" i="14"/>
  <c r="FR81" i="14"/>
  <c r="FS81" i="14"/>
  <c r="FD82" i="14"/>
  <c r="FE82" i="14"/>
  <c r="FF82" i="14"/>
  <c r="FG82" i="14"/>
  <c r="FH82" i="14"/>
  <c r="FI82" i="14"/>
  <c r="FJ82" i="14"/>
  <c r="FK82" i="14"/>
  <c r="FL82" i="14"/>
  <c r="FM82" i="14"/>
  <c r="FN82" i="14"/>
  <c r="FO82" i="14"/>
  <c r="FP82" i="14"/>
  <c r="FQ82" i="14"/>
  <c r="FR82" i="14"/>
  <c r="FS82" i="14"/>
  <c r="FD83" i="14"/>
  <c r="FE83" i="14"/>
  <c r="FF83" i="14"/>
  <c r="FG83" i="14"/>
  <c r="FH83" i="14"/>
  <c r="FI83" i="14"/>
  <c r="FJ83" i="14"/>
  <c r="FK83" i="14"/>
  <c r="FL83" i="14"/>
  <c r="FM83" i="14"/>
  <c r="FN83" i="14"/>
  <c r="FO83" i="14"/>
  <c r="FP83" i="14"/>
  <c r="FQ83" i="14"/>
  <c r="FR83" i="14"/>
  <c r="FS83" i="14"/>
  <c r="FD84" i="14"/>
  <c r="FE84" i="14"/>
  <c r="FF84" i="14"/>
  <c r="FG84" i="14"/>
  <c r="FH84" i="14"/>
  <c r="FI84" i="14"/>
  <c r="FJ84" i="14"/>
  <c r="FK84" i="14"/>
  <c r="FL84" i="14"/>
  <c r="FM84" i="14"/>
  <c r="FN84" i="14"/>
  <c r="FO84" i="14"/>
  <c r="FP84" i="14"/>
  <c r="FQ84" i="14"/>
  <c r="FR84" i="14"/>
  <c r="FS84" i="14"/>
  <c r="FD85" i="14"/>
  <c r="FE85" i="14"/>
  <c r="FF85" i="14"/>
  <c r="FG85" i="14"/>
  <c r="FH85" i="14"/>
  <c r="FI85" i="14"/>
  <c r="FJ85" i="14"/>
  <c r="FK85" i="14"/>
  <c r="FL85" i="14"/>
  <c r="FM85" i="14"/>
  <c r="FN85" i="14"/>
  <c r="FO85" i="14"/>
  <c r="FP85" i="14"/>
  <c r="FQ85" i="14"/>
  <c r="FR85" i="14"/>
  <c r="FS85" i="14"/>
  <c r="FD86" i="14"/>
  <c r="FE86" i="14"/>
  <c r="FF86" i="14"/>
  <c r="FG86" i="14"/>
  <c r="FH86" i="14"/>
  <c r="FI86" i="14"/>
  <c r="FJ86" i="14"/>
  <c r="FK86" i="14"/>
  <c r="FL86" i="14"/>
  <c r="FM86" i="14"/>
  <c r="FN86" i="14"/>
  <c r="FO86" i="14"/>
  <c r="FP86" i="14"/>
  <c r="FQ86" i="14"/>
  <c r="FR86" i="14"/>
  <c r="FS86" i="14"/>
  <c r="FD87" i="14"/>
  <c r="FE87" i="14"/>
  <c r="FF87" i="14"/>
  <c r="FG87" i="14"/>
  <c r="FH87" i="14"/>
  <c r="FI87" i="14"/>
  <c r="FJ87" i="14"/>
  <c r="FK87" i="14"/>
  <c r="FL87" i="14"/>
  <c r="FM87" i="14"/>
  <c r="FN87" i="14"/>
  <c r="FO87" i="14"/>
  <c r="FP87" i="14"/>
  <c r="FQ87" i="14"/>
  <c r="FR87" i="14"/>
  <c r="FS87" i="14"/>
  <c r="FD88" i="14"/>
  <c r="FE88" i="14"/>
  <c r="FF88" i="14"/>
  <c r="FG88" i="14"/>
  <c r="FH88" i="14"/>
  <c r="FI88" i="14"/>
  <c r="FJ88" i="14"/>
  <c r="FK88" i="14"/>
  <c r="FL88" i="14"/>
  <c r="FM88" i="14"/>
  <c r="FN88" i="14"/>
  <c r="FO88" i="14"/>
  <c r="FP88" i="14"/>
  <c r="FQ88" i="14"/>
  <c r="FR88" i="14"/>
  <c r="FS88" i="14"/>
  <c r="FD89" i="14"/>
  <c r="FE89" i="14"/>
  <c r="FF89" i="14"/>
  <c r="FG89" i="14"/>
  <c r="FH89" i="14"/>
  <c r="FI89" i="14"/>
  <c r="FJ89" i="14"/>
  <c r="FK89" i="14"/>
  <c r="FL89" i="14"/>
  <c r="FM89" i="14"/>
  <c r="FN89" i="14"/>
  <c r="FO89" i="14"/>
  <c r="FP89" i="14"/>
  <c r="FQ89" i="14"/>
  <c r="FR89" i="14"/>
  <c r="FS89" i="14"/>
  <c r="FD90" i="14"/>
  <c r="FE90" i="14"/>
  <c r="FF90" i="14"/>
  <c r="FG90" i="14"/>
  <c r="FH90" i="14"/>
  <c r="FI90" i="14"/>
  <c r="FJ90" i="14"/>
  <c r="FK90" i="14"/>
  <c r="FL90" i="14"/>
  <c r="FM90" i="14"/>
  <c r="FN90" i="14"/>
  <c r="FO90" i="14"/>
  <c r="FP90" i="14"/>
  <c r="FQ90" i="14"/>
  <c r="FR90" i="14"/>
  <c r="FS90" i="14"/>
  <c r="FD91" i="14"/>
  <c r="FE91" i="14"/>
  <c r="FF91" i="14"/>
  <c r="FG91" i="14"/>
  <c r="FH91" i="14"/>
  <c r="FI91" i="14"/>
  <c r="FJ91" i="14"/>
  <c r="FK91" i="14"/>
  <c r="FL91" i="14"/>
  <c r="FM91" i="14"/>
  <c r="FN91" i="14"/>
  <c r="FO91" i="14"/>
  <c r="FP91" i="14"/>
  <c r="FQ91" i="14"/>
  <c r="FR91" i="14"/>
  <c r="FS91" i="14"/>
  <c r="FD92" i="14"/>
  <c r="FE92" i="14"/>
  <c r="FF92" i="14"/>
  <c r="FG92" i="14"/>
  <c r="FH92" i="14"/>
  <c r="FI92" i="14"/>
  <c r="FJ92" i="14"/>
  <c r="FK92" i="14"/>
  <c r="FL92" i="14"/>
  <c r="FM92" i="14"/>
  <c r="FN92" i="14"/>
  <c r="FO92" i="14"/>
  <c r="FP92" i="14"/>
  <c r="FQ92" i="14"/>
  <c r="FR92" i="14"/>
  <c r="FS92" i="14"/>
  <c r="FD93" i="14"/>
  <c r="FE93" i="14"/>
  <c r="FF93" i="14"/>
  <c r="FG93" i="14"/>
  <c r="FH93" i="14"/>
  <c r="FI93" i="14"/>
  <c r="FJ93" i="14"/>
  <c r="FK93" i="14"/>
  <c r="FL93" i="14"/>
  <c r="FM93" i="14"/>
  <c r="FN93" i="14"/>
  <c r="FO93" i="14"/>
  <c r="FP93" i="14"/>
  <c r="FQ93" i="14"/>
  <c r="FR93" i="14"/>
  <c r="FS93" i="14"/>
  <c r="FD94" i="14"/>
  <c r="FE94" i="14"/>
  <c r="FF94" i="14"/>
  <c r="FG94" i="14"/>
  <c r="FH94" i="14"/>
  <c r="FI94" i="14"/>
  <c r="FJ94" i="14"/>
  <c r="FK94" i="14"/>
  <c r="FL94" i="14"/>
  <c r="FM94" i="14"/>
  <c r="FN94" i="14"/>
  <c r="FO94" i="14"/>
  <c r="FP94" i="14"/>
  <c r="FQ94" i="14"/>
  <c r="FR94" i="14"/>
  <c r="FS94" i="14"/>
  <c r="FD95" i="14"/>
  <c r="FE95" i="14"/>
  <c r="FF95" i="14"/>
  <c r="FG95" i="14"/>
  <c r="FH95" i="14"/>
  <c r="FI95" i="14"/>
  <c r="FJ95" i="14"/>
  <c r="FK95" i="14"/>
  <c r="FL95" i="14"/>
  <c r="FM95" i="14"/>
  <c r="FN95" i="14"/>
  <c r="FO95" i="14"/>
  <c r="FP95" i="14"/>
  <c r="FQ95" i="14"/>
  <c r="FR95" i="14"/>
  <c r="FS95" i="14"/>
  <c r="FD96" i="14"/>
  <c r="FE96" i="14"/>
  <c r="FF96" i="14"/>
  <c r="FG96" i="14"/>
  <c r="FH96" i="14"/>
  <c r="FI96" i="14"/>
  <c r="FJ96" i="14"/>
  <c r="FK96" i="14"/>
  <c r="FL96" i="14"/>
  <c r="FM96" i="14"/>
  <c r="FN96" i="14"/>
  <c r="FO96" i="14"/>
  <c r="FP96" i="14"/>
  <c r="FQ96" i="14"/>
  <c r="FR96" i="14"/>
  <c r="FS96" i="14"/>
  <c r="FD97" i="14"/>
  <c r="FE97" i="14"/>
  <c r="FF97" i="14"/>
  <c r="FG97" i="14"/>
  <c r="FH97" i="14"/>
  <c r="FI97" i="14"/>
  <c r="FJ97" i="14"/>
  <c r="FK97" i="14"/>
  <c r="FL97" i="14"/>
  <c r="FM97" i="14"/>
  <c r="FN97" i="14"/>
  <c r="FO97" i="14"/>
  <c r="FP97" i="14"/>
  <c r="FQ97" i="14"/>
  <c r="FR97" i="14"/>
  <c r="FS97" i="14"/>
  <c r="FD98" i="14"/>
  <c r="FE98" i="14"/>
  <c r="FF98" i="14"/>
  <c r="FG98" i="14"/>
  <c r="FH98" i="14"/>
  <c r="FI98" i="14"/>
  <c r="FJ98" i="14"/>
  <c r="FK98" i="14"/>
  <c r="FL98" i="14"/>
  <c r="FM98" i="14"/>
  <c r="FN98" i="14"/>
  <c r="FO98" i="14"/>
  <c r="FP98" i="14"/>
  <c r="FQ98" i="14"/>
  <c r="FR98" i="14"/>
  <c r="FS98" i="14"/>
  <c r="FD99" i="14"/>
  <c r="FE99" i="14"/>
  <c r="FF99" i="14"/>
  <c r="FG99" i="14"/>
  <c r="FH99" i="14"/>
  <c r="FI99" i="14"/>
  <c r="FJ99" i="14"/>
  <c r="FK99" i="14"/>
  <c r="FL99" i="14"/>
  <c r="FM99" i="14"/>
  <c r="FN99" i="14"/>
  <c r="FO99" i="14"/>
  <c r="FP99" i="14"/>
  <c r="FQ99" i="14"/>
  <c r="FR99" i="14"/>
  <c r="FS99" i="14"/>
  <c r="FD100" i="14"/>
  <c r="FE100" i="14"/>
  <c r="FF100" i="14"/>
  <c r="FG100" i="14"/>
  <c r="FH100" i="14"/>
  <c r="FI100" i="14"/>
  <c r="FJ100" i="14"/>
  <c r="FK100" i="14"/>
  <c r="FL100" i="14"/>
  <c r="FM100" i="14"/>
  <c r="FN100" i="14"/>
  <c r="FO100" i="14"/>
  <c r="FP100" i="14"/>
  <c r="FQ100" i="14"/>
  <c r="FR100" i="14"/>
  <c r="FS100" i="14"/>
  <c r="FD101" i="14"/>
  <c r="FE101" i="14"/>
  <c r="FF101" i="14"/>
  <c r="FG101" i="14"/>
  <c r="FH101" i="14"/>
  <c r="FI101" i="14"/>
  <c r="FJ101" i="14"/>
  <c r="FK101" i="14"/>
  <c r="FL101" i="14"/>
  <c r="FM101" i="14"/>
  <c r="FN101" i="14"/>
  <c r="FO101" i="14"/>
  <c r="FP101" i="14"/>
  <c r="FQ101" i="14"/>
  <c r="FR101" i="14"/>
  <c r="FS101" i="14"/>
  <c r="FE1" i="14"/>
  <c r="FF1" i="14"/>
  <c r="FG1" i="14"/>
  <c r="FH1" i="14"/>
  <c r="FI1" i="14"/>
  <c r="FJ1" i="14"/>
  <c r="FK1" i="14"/>
  <c r="FL1" i="14"/>
  <c r="FM1" i="14"/>
  <c r="FN1" i="14"/>
  <c r="FO1" i="14"/>
  <c r="FP1" i="14"/>
  <c r="FQ1" i="14"/>
  <c r="FR1" i="14"/>
  <c r="FS1" i="14"/>
  <c r="FD1" i="14"/>
  <c r="FB3" i="14"/>
  <c r="FB4" i="14"/>
  <c r="FB5" i="14"/>
  <c r="FB6" i="14"/>
  <c r="FB7" i="14"/>
  <c r="FB8" i="14"/>
  <c r="FB9" i="14"/>
  <c r="FB10" i="14"/>
  <c r="FB11" i="14"/>
  <c r="FB12" i="14"/>
  <c r="FB13" i="14"/>
  <c r="FB14" i="14"/>
  <c r="FB15" i="14"/>
  <c r="FB16" i="14"/>
  <c r="FB17" i="14"/>
  <c r="FB18" i="14"/>
  <c r="FB19" i="14"/>
  <c r="FB20" i="14"/>
  <c r="FB21" i="14"/>
  <c r="FB22" i="14"/>
  <c r="FB23" i="14"/>
  <c r="FB24" i="14"/>
  <c r="FB25" i="14"/>
  <c r="FB26" i="14"/>
  <c r="FB27" i="14"/>
  <c r="FB28" i="14"/>
  <c r="FB29" i="14"/>
  <c r="FB30" i="14"/>
  <c r="FB31" i="14"/>
  <c r="FB32" i="14"/>
  <c r="FB33" i="14"/>
  <c r="FB34" i="14"/>
  <c r="FB35" i="14"/>
  <c r="FB36" i="14"/>
  <c r="FB37" i="14"/>
  <c r="FB38" i="14"/>
  <c r="FB39" i="14"/>
  <c r="FB40" i="14"/>
  <c r="FB41" i="14"/>
  <c r="FB42" i="14"/>
  <c r="FB43" i="14"/>
  <c r="FB44" i="14"/>
  <c r="FB45" i="14"/>
  <c r="FB46" i="14"/>
  <c r="FB47" i="14"/>
  <c r="FB48" i="14"/>
  <c r="FB49" i="14"/>
  <c r="FB50" i="14"/>
  <c r="FB51" i="14"/>
  <c r="FB52" i="14"/>
  <c r="FB53" i="14"/>
  <c r="FB54" i="14"/>
  <c r="FB55" i="14"/>
  <c r="FB56" i="14"/>
  <c r="FB57" i="14"/>
  <c r="FB58" i="14"/>
  <c r="FB59" i="14"/>
  <c r="FB60" i="14"/>
  <c r="FB61" i="14"/>
  <c r="FB62" i="14"/>
  <c r="FB63" i="14"/>
  <c r="FB64" i="14"/>
  <c r="FB65" i="14"/>
  <c r="FB66" i="14"/>
  <c r="FB67" i="14"/>
  <c r="FB68" i="14"/>
  <c r="FB69" i="14"/>
  <c r="FB70" i="14"/>
  <c r="FB71" i="14"/>
  <c r="FB72" i="14"/>
  <c r="FB73" i="14"/>
  <c r="FB74" i="14"/>
  <c r="FB75" i="14"/>
  <c r="FB76" i="14"/>
  <c r="FB77" i="14"/>
  <c r="FB78" i="14"/>
  <c r="FB79" i="14"/>
  <c r="FB80" i="14"/>
  <c r="FB81" i="14"/>
  <c r="FB82" i="14"/>
  <c r="FB83" i="14"/>
  <c r="FB84" i="14"/>
  <c r="FB85" i="14"/>
  <c r="FB86" i="14"/>
  <c r="FB87" i="14"/>
  <c r="FB88" i="14"/>
  <c r="FB89" i="14"/>
  <c r="FB90" i="14"/>
  <c r="FB91" i="14"/>
  <c r="FB92" i="14"/>
  <c r="FB93" i="14"/>
  <c r="FB94" i="14"/>
  <c r="FB95" i="14"/>
  <c r="FB96" i="14"/>
  <c r="FB97" i="14"/>
  <c r="FB98" i="14"/>
  <c r="FB99" i="14"/>
  <c r="FB100" i="14"/>
  <c r="FB101" i="14"/>
  <c r="FB2" i="14"/>
  <c r="FA3" i="14"/>
  <c r="FA4" i="14"/>
  <c r="FA5" i="14"/>
  <c r="FA6" i="14"/>
  <c r="FA7" i="14"/>
  <c r="FA8" i="14"/>
  <c r="FA9" i="14"/>
  <c r="FA10" i="14"/>
  <c r="FA11" i="14"/>
  <c r="FA12" i="14"/>
  <c r="FA13" i="14"/>
  <c r="FA14" i="14"/>
  <c r="FA15" i="14"/>
  <c r="FA16" i="14"/>
  <c r="FA17" i="14"/>
  <c r="FA18" i="14"/>
  <c r="FA19" i="14"/>
  <c r="FA20" i="14"/>
  <c r="FA21" i="14"/>
  <c r="FA22" i="14"/>
  <c r="FA23" i="14"/>
  <c r="FA24" i="14"/>
  <c r="FA25" i="14"/>
  <c r="FA26" i="14"/>
  <c r="FA27" i="14"/>
  <c r="FA28" i="14"/>
  <c r="FA29" i="14"/>
  <c r="FA30" i="14"/>
  <c r="FA31" i="14"/>
  <c r="FA32" i="14"/>
  <c r="FA33" i="14"/>
  <c r="FA34" i="14"/>
  <c r="FA35" i="14"/>
  <c r="FA36" i="14"/>
  <c r="FA37" i="14"/>
  <c r="FA38" i="14"/>
  <c r="FA39" i="14"/>
  <c r="FA40" i="14"/>
  <c r="FA41" i="14"/>
  <c r="FA42" i="14"/>
  <c r="FA43" i="14"/>
  <c r="FA44" i="14"/>
  <c r="FA45" i="14"/>
  <c r="FA46" i="14"/>
  <c r="FA47" i="14"/>
  <c r="FA48" i="14"/>
  <c r="FA49" i="14"/>
  <c r="FA50" i="14"/>
  <c r="FA51" i="14"/>
  <c r="FA52" i="14"/>
  <c r="FA53" i="14"/>
  <c r="FA54" i="14"/>
  <c r="FA55" i="14"/>
  <c r="FA56" i="14"/>
  <c r="FA57" i="14"/>
  <c r="FA58" i="14"/>
  <c r="FA59" i="14"/>
  <c r="FA60" i="14"/>
  <c r="FA61" i="14"/>
  <c r="FA62" i="14"/>
  <c r="FA63" i="14"/>
  <c r="FA64" i="14"/>
  <c r="FA65" i="14"/>
  <c r="FA66" i="14"/>
  <c r="FA67" i="14"/>
  <c r="FA68" i="14"/>
  <c r="FA69" i="14"/>
  <c r="FA70" i="14"/>
  <c r="FA71" i="14"/>
  <c r="FA72" i="14"/>
  <c r="FA73" i="14"/>
  <c r="FA74" i="14"/>
  <c r="FA75" i="14"/>
  <c r="FA76" i="14"/>
  <c r="FA77" i="14"/>
  <c r="FA78" i="14"/>
  <c r="FA79" i="14"/>
  <c r="FA80" i="14"/>
  <c r="FA81" i="14"/>
  <c r="FA82" i="14"/>
  <c r="FA83" i="14"/>
  <c r="FA84" i="14"/>
  <c r="FA85" i="14"/>
  <c r="FA86" i="14"/>
  <c r="FA87" i="14"/>
  <c r="FA88" i="14"/>
  <c r="FA89" i="14"/>
  <c r="FA90" i="14"/>
  <c r="FA91" i="14"/>
  <c r="FA92" i="14"/>
  <c r="FA93" i="14"/>
  <c r="FA94" i="14"/>
  <c r="FA95" i="14"/>
  <c r="FA96" i="14"/>
  <c r="FA97" i="14"/>
  <c r="FA98" i="14"/>
  <c r="FA99" i="14"/>
  <c r="FA100" i="14"/>
  <c r="FA101" i="14"/>
  <c r="FA2" i="14"/>
  <c r="FA1" i="14"/>
  <c r="EZ3" i="14"/>
  <c r="EZ4" i="14"/>
  <c r="EZ5" i="14"/>
  <c r="EZ6" i="14"/>
  <c r="EZ7" i="14"/>
  <c r="EZ8" i="14"/>
  <c r="EZ9" i="14"/>
  <c r="EZ10" i="14"/>
  <c r="EZ11" i="14"/>
  <c r="EZ12" i="14"/>
  <c r="EZ13" i="14"/>
  <c r="EZ14" i="14"/>
  <c r="EZ15" i="14"/>
  <c r="EZ16" i="14"/>
  <c r="EZ17" i="14"/>
  <c r="EZ18" i="14"/>
  <c r="EZ19" i="14"/>
  <c r="EZ20" i="14"/>
  <c r="EZ21" i="14"/>
  <c r="EZ22" i="14"/>
  <c r="EZ23" i="14"/>
  <c r="EZ24" i="14"/>
  <c r="EZ25" i="14"/>
  <c r="EZ26" i="14"/>
  <c r="EZ27" i="14"/>
  <c r="EZ28" i="14"/>
  <c r="EZ29" i="14"/>
  <c r="EZ30" i="14"/>
  <c r="EZ31" i="14"/>
  <c r="EZ32" i="14"/>
  <c r="EZ33" i="14"/>
  <c r="EZ34" i="14"/>
  <c r="EZ35" i="14"/>
  <c r="EZ36" i="14"/>
  <c r="EZ37" i="14"/>
  <c r="EZ38" i="14"/>
  <c r="EZ39" i="14"/>
  <c r="EZ40" i="14"/>
  <c r="EZ41" i="14"/>
  <c r="EZ42" i="14"/>
  <c r="EZ43" i="14"/>
  <c r="EZ44" i="14"/>
  <c r="EZ45" i="14"/>
  <c r="EZ46" i="14"/>
  <c r="EZ47" i="14"/>
  <c r="EZ48" i="14"/>
  <c r="EZ49" i="14"/>
  <c r="EZ50" i="14"/>
  <c r="EZ51" i="14"/>
  <c r="EZ52" i="14"/>
  <c r="EZ53" i="14"/>
  <c r="EZ54" i="14"/>
  <c r="EZ55" i="14"/>
  <c r="EZ56" i="14"/>
  <c r="EZ57" i="14"/>
  <c r="EZ58" i="14"/>
  <c r="EZ59" i="14"/>
  <c r="EZ60" i="14"/>
  <c r="EZ61" i="14"/>
  <c r="EZ62" i="14"/>
  <c r="EZ63" i="14"/>
  <c r="EZ64" i="14"/>
  <c r="EZ65" i="14"/>
  <c r="EZ66" i="14"/>
  <c r="EZ67" i="14"/>
  <c r="EZ68" i="14"/>
  <c r="EZ69" i="14"/>
  <c r="EZ70" i="14"/>
  <c r="EZ71" i="14"/>
  <c r="EZ72" i="14"/>
  <c r="EZ73" i="14"/>
  <c r="EZ74" i="14"/>
  <c r="EZ75" i="14"/>
  <c r="EZ76" i="14"/>
  <c r="EZ77" i="14"/>
  <c r="EZ78" i="14"/>
  <c r="EZ79" i="14"/>
  <c r="EZ80" i="14"/>
  <c r="EZ81" i="14"/>
  <c r="EZ82" i="14"/>
  <c r="EZ83" i="14"/>
  <c r="EZ84" i="14"/>
  <c r="EZ85" i="14"/>
  <c r="EZ86" i="14"/>
  <c r="EZ87" i="14"/>
  <c r="EZ88" i="14"/>
  <c r="EZ89" i="14"/>
  <c r="EZ90" i="14"/>
  <c r="EZ91" i="14"/>
  <c r="EZ92" i="14"/>
  <c r="EZ93" i="14"/>
  <c r="EZ94" i="14"/>
  <c r="EZ95" i="14"/>
  <c r="EZ96" i="14"/>
  <c r="EZ97" i="14"/>
  <c r="EZ98" i="14"/>
  <c r="EZ99" i="14"/>
  <c r="EZ100" i="14"/>
  <c r="EZ101" i="14"/>
  <c r="EZ2" i="14"/>
  <c r="EY3" i="14"/>
  <c r="EY4" i="14"/>
  <c r="EY5" i="14"/>
  <c r="EY6" i="14"/>
  <c r="EY7" i="14"/>
  <c r="EY8" i="14"/>
  <c r="EY9" i="14"/>
  <c r="EY10" i="14"/>
  <c r="EY11" i="14"/>
  <c r="EY12" i="14"/>
  <c r="EY13" i="14"/>
  <c r="EY14" i="14"/>
  <c r="EY15" i="14"/>
  <c r="EY16" i="14"/>
  <c r="EY17" i="14"/>
  <c r="EY18" i="14"/>
  <c r="EY19" i="14"/>
  <c r="EY20" i="14"/>
  <c r="EY21" i="14"/>
  <c r="EY22" i="14"/>
  <c r="EY23" i="14"/>
  <c r="EY24" i="14"/>
  <c r="EY25" i="14"/>
  <c r="EY26" i="14"/>
  <c r="EY27" i="14"/>
  <c r="EY28" i="14"/>
  <c r="EY29" i="14"/>
  <c r="EY30" i="14"/>
  <c r="EY31" i="14"/>
  <c r="EY32" i="14"/>
  <c r="EY33" i="14"/>
  <c r="EY34" i="14"/>
  <c r="EY35" i="14"/>
  <c r="EY36" i="14"/>
  <c r="EY37" i="14"/>
  <c r="EY38" i="14"/>
  <c r="EY39" i="14"/>
  <c r="EY40" i="14"/>
  <c r="EY41" i="14"/>
  <c r="EY42" i="14"/>
  <c r="EY43" i="14"/>
  <c r="EY44" i="14"/>
  <c r="EY45" i="14"/>
  <c r="EY46" i="14"/>
  <c r="EY47" i="14"/>
  <c r="EY48" i="14"/>
  <c r="EY49" i="14"/>
  <c r="EY50" i="14"/>
  <c r="EY51" i="14"/>
  <c r="EY52" i="14"/>
  <c r="EY53" i="14"/>
  <c r="EY54" i="14"/>
  <c r="EY55" i="14"/>
  <c r="EY56" i="14"/>
  <c r="EY57" i="14"/>
  <c r="EY58" i="14"/>
  <c r="EY59" i="14"/>
  <c r="EY60" i="14"/>
  <c r="EY61" i="14"/>
  <c r="EY62" i="14"/>
  <c r="EY63" i="14"/>
  <c r="EY64" i="14"/>
  <c r="EY65" i="14"/>
  <c r="EY66" i="14"/>
  <c r="EY67" i="14"/>
  <c r="EY68" i="14"/>
  <c r="EY69" i="14"/>
  <c r="EY70" i="14"/>
  <c r="EY71" i="14"/>
  <c r="EY72" i="14"/>
  <c r="EY73" i="14"/>
  <c r="EY74" i="14"/>
  <c r="EY75" i="14"/>
  <c r="EY76" i="14"/>
  <c r="EY77" i="14"/>
  <c r="EY78" i="14"/>
  <c r="EY79" i="14"/>
  <c r="EY80" i="14"/>
  <c r="EY81" i="14"/>
  <c r="EY82" i="14"/>
  <c r="EY83" i="14"/>
  <c r="EY84" i="14"/>
  <c r="EY85" i="14"/>
  <c r="EY86" i="14"/>
  <c r="EY87" i="14"/>
  <c r="EY88" i="14"/>
  <c r="EY89" i="14"/>
  <c r="EY90" i="14"/>
  <c r="EY91" i="14"/>
  <c r="EY92" i="14"/>
  <c r="EY93" i="14"/>
  <c r="EY94" i="14"/>
  <c r="EY95" i="14"/>
  <c r="EY96" i="14"/>
  <c r="EY97" i="14"/>
  <c r="EY98" i="14"/>
  <c r="EY99" i="14"/>
  <c r="EY100" i="14"/>
  <c r="EY101" i="14"/>
  <c r="EY2" i="14"/>
  <c r="EX3" i="14"/>
  <c r="EX4" i="14"/>
  <c r="EX5" i="14"/>
  <c r="EX6" i="14"/>
  <c r="EX7" i="14"/>
  <c r="EX8" i="14"/>
  <c r="EX9" i="14"/>
  <c r="EX10" i="14"/>
  <c r="EX11" i="14"/>
  <c r="EX12" i="14"/>
  <c r="EX13" i="14"/>
  <c r="EX14" i="14"/>
  <c r="EX15" i="14"/>
  <c r="EX16" i="14"/>
  <c r="EX17" i="14"/>
  <c r="EX18" i="14"/>
  <c r="EX19" i="14"/>
  <c r="EX20" i="14"/>
  <c r="EX21" i="14"/>
  <c r="EX22" i="14"/>
  <c r="EX23" i="14"/>
  <c r="EX24" i="14"/>
  <c r="EX25" i="14"/>
  <c r="EX26" i="14"/>
  <c r="EX27" i="14"/>
  <c r="EX28" i="14"/>
  <c r="EX29" i="14"/>
  <c r="EX30" i="14"/>
  <c r="EX31" i="14"/>
  <c r="EX32" i="14"/>
  <c r="EX33" i="14"/>
  <c r="EX34" i="14"/>
  <c r="EX35" i="14"/>
  <c r="EX36" i="14"/>
  <c r="EX37" i="14"/>
  <c r="EX38" i="14"/>
  <c r="EX39" i="14"/>
  <c r="EX40" i="14"/>
  <c r="EX41" i="14"/>
  <c r="EX42" i="14"/>
  <c r="EX43" i="14"/>
  <c r="EX44" i="14"/>
  <c r="EX45" i="14"/>
  <c r="EX46" i="14"/>
  <c r="EX47" i="14"/>
  <c r="EX48" i="14"/>
  <c r="EX49" i="14"/>
  <c r="EX50" i="14"/>
  <c r="EX51" i="14"/>
  <c r="EX52" i="14"/>
  <c r="EX53" i="14"/>
  <c r="EX54" i="14"/>
  <c r="EX55" i="14"/>
  <c r="EX56" i="14"/>
  <c r="EX57" i="14"/>
  <c r="EX58" i="14"/>
  <c r="EX59" i="14"/>
  <c r="EX60" i="14"/>
  <c r="EX61" i="14"/>
  <c r="EX62" i="14"/>
  <c r="EX63" i="14"/>
  <c r="EX64" i="14"/>
  <c r="EX65" i="14"/>
  <c r="EX66" i="14"/>
  <c r="EX67" i="14"/>
  <c r="EX68" i="14"/>
  <c r="EX69" i="14"/>
  <c r="EX70" i="14"/>
  <c r="EX71" i="14"/>
  <c r="EX72" i="14"/>
  <c r="EX73" i="14"/>
  <c r="EX74" i="14"/>
  <c r="EX75" i="14"/>
  <c r="EX76" i="14"/>
  <c r="EX77" i="14"/>
  <c r="EX78" i="14"/>
  <c r="EX79" i="14"/>
  <c r="EX80" i="14"/>
  <c r="EX81" i="14"/>
  <c r="EX82" i="14"/>
  <c r="EX83" i="14"/>
  <c r="EX84" i="14"/>
  <c r="EX85" i="14"/>
  <c r="EX86" i="14"/>
  <c r="EX87" i="14"/>
  <c r="EX88" i="14"/>
  <c r="EX89" i="14"/>
  <c r="EX90" i="14"/>
  <c r="EX91" i="14"/>
  <c r="EX92" i="14"/>
  <c r="EX93" i="14"/>
  <c r="EX94" i="14"/>
  <c r="EX95" i="14"/>
  <c r="EX96" i="14"/>
  <c r="EX97" i="14"/>
  <c r="EX98" i="14"/>
  <c r="EX99" i="14"/>
  <c r="EX100" i="14"/>
  <c r="EX101" i="14"/>
  <c r="EX2" i="14"/>
  <c r="DO3" i="13"/>
  <c r="EW3" i="14"/>
  <c r="EW4" i="14"/>
  <c r="EW5" i="14"/>
  <c r="EW6" i="14"/>
  <c r="EW7" i="14"/>
  <c r="EW8" i="14"/>
  <c r="EW9" i="14"/>
  <c r="EW10" i="14"/>
  <c r="EW11" i="14"/>
  <c r="EW12" i="14"/>
  <c r="EW13" i="14"/>
  <c r="EW14" i="14"/>
  <c r="EW15" i="14"/>
  <c r="EW16" i="14"/>
  <c r="EW17" i="14"/>
  <c r="EW18" i="14"/>
  <c r="EW19" i="14"/>
  <c r="EW20" i="14"/>
  <c r="EW21" i="14"/>
  <c r="EW22" i="14"/>
  <c r="EW23" i="14"/>
  <c r="EW24" i="14"/>
  <c r="EW25" i="14"/>
  <c r="EW26" i="14"/>
  <c r="EW27" i="14"/>
  <c r="EW28" i="14"/>
  <c r="EW29" i="14"/>
  <c r="EW30" i="14"/>
  <c r="EW31" i="14"/>
  <c r="EW32" i="14"/>
  <c r="EW33" i="14"/>
  <c r="EW34" i="14"/>
  <c r="EW35" i="14"/>
  <c r="EW36" i="14"/>
  <c r="EW37" i="14"/>
  <c r="EW38" i="14"/>
  <c r="EW39" i="14"/>
  <c r="EW40" i="14"/>
  <c r="EW41" i="14"/>
  <c r="EW42" i="14"/>
  <c r="EW43" i="14"/>
  <c r="EW44" i="14"/>
  <c r="EW45" i="14"/>
  <c r="EW46" i="14"/>
  <c r="EW47" i="14"/>
  <c r="EW48" i="14"/>
  <c r="EW49" i="14"/>
  <c r="EW50" i="14"/>
  <c r="EW51" i="14"/>
  <c r="EW52" i="14"/>
  <c r="EW53" i="14"/>
  <c r="EW54" i="14"/>
  <c r="EW55" i="14"/>
  <c r="EW56" i="14"/>
  <c r="EW57" i="14"/>
  <c r="EW58" i="14"/>
  <c r="EW59" i="14"/>
  <c r="EW60" i="14"/>
  <c r="EW61" i="14"/>
  <c r="EW62" i="14"/>
  <c r="EW63" i="14"/>
  <c r="EW64" i="14"/>
  <c r="EW65" i="14"/>
  <c r="EW66" i="14"/>
  <c r="EW67" i="14"/>
  <c r="EW68" i="14"/>
  <c r="EW69" i="14"/>
  <c r="EW70" i="14"/>
  <c r="EW71" i="14"/>
  <c r="EW72" i="14"/>
  <c r="EW73" i="14"/>
  <c r="EW74" i="14"/>
  <c r="EW75" i="14"/>
  <c r="EW76" i="14"/>
  <c r="EW77" i="14"/>
  <c r="EW78" i="14"/>
  <c r="EW79" i="14"/>
  <c r="EW80" i="14"/>
  <c r="EW81" i="14"/>
  <c r="EW82" i="14"/>
  <c r="EW83" i="14"/>
  <c r="EW84" i="14"/>
  <c r="EW85" i="14"/>
  <c r="EW86" i="14"/>
  <c r="EW87" i="14"/>
  <c r="EW88" i="14"/>
  <c r="EW89" i="14"/>
  <c r="EW90" i="14"/>
  <c r="EW91" i="14"/>
  <c r="EW92" i="14"/>
  <c r="EW93" i="14"/>
  <c r="EW94" i="14"/>
  <c r="EW95" i="14"/>
  <c r="EW96" i="14"/>
  <c r="EW97" i="14"/>
  <c r="EW98" i="14"/>
  <c r="EW99" i="14"/>
  <c r="EW100" i="14"/>
  <c r="EW101" i="14"/>
  <c r="EW2" i="14"/>
  <c r="EV2" i="14"/>
  <c r="EV3" i="14"/>
  <c r="EV4" i="14"/>
  <c r="EV5" i="14"/>
  <c r="EV6" i="14"/>
  <c r="EV7" i="14"/>
  <c r="EV8" i="14"/>
  <c r="EV9" i="14"/>
  <c r="EV10" i="14"/>
  <c r="EV11" i="14"/>
  <c r="EV12" i="14"/>
  <c r="EV13" i="14"/>
  <c r="EV14" i="14"/>
  <c r="EV15" i="14"/>
  <c r="EV16" i="14"/>
  <c r="EV17" i="14"/>
  <c r="EV18" i="14"/>
  <c r="EV19" i="14"/>
  <c r="EV20" i="14"/>
  <c r="EV21" i="14"/>
  <c r="EV22" i="14"/>
  <c r="EV23" i="14"/>
  <c r="EV24" i="14"/>
  <c r="EV25" i="14"/>
  <c r="EV26" i="14"/>
  <c r="EV27" i="14"/>
  <c r="EV28" i="14"/>
  <c r="EV29" i="14"/>
  <c r="EV30" i="14"/>
  <c r="EV31" i="14"/>
  <c r="EV32" i="14"/>
  <c r="EV33" i="14"/>
  <c r="EV34" i="14"/>
  <c r="EV35" i="14"/>
  <c r="EV36" i="14"/>
  <c r="EV37" i="14"/>
  <c r="EV38" i="14"/>
  <c r="EV39" i="14"/>
  <c r="EV40" i="14"/>
  <c r="EV41" i="14"/>
  <c r="EV42" i="14"/>
  <c r="EV43" i="14"/>
  <c r="EV44" i="14"/>
  <c r="EV45" i="14"/>
  <c r="EV46" i="14"/>
  <c r="EV47" i="14"/>
  <c r="EV48" i="14"/>
  <c r="EV49" i="14"/>
  <c r="EV50" i="14"/>
  <c r="EV51" i="14"/>
  <c r="EV52" i="14"/>
  <c r="EV53" i="14"/>
  <c r="EV54" i="14"/>
  <c r="EV55" i="14"/>
  <c r="EV56" i="14"/>
  <c r="EV57" i="14"/>
  <c r="EV58" i="14"/>
  <c r="EV59" i="14"/>
  <c r="EV60" i="14"/>
  <c r="EV61" i="14"/>
  <c r="EV62" i="14"/>
  <c r="EV63" i="14"/>
  <c r="EV64" i="14"/>
  <c r="EV65" i="14"/>
  <c r="EV66" i="14"/>
  <c r="EV67" i="14"/>
  <c r="EV68" i="14"/>
  <c r="EV69" i="14"/>
  <c r="EV70" i="14"/>
  <c r="EV71" i="14"/>
  <c r="EV72" i="14"/>
  <c r="EV73" i="14"/>
  <c r="EV74" i="14"/>
  <c r="EV75" i="14"/>
  <c r="EV76" i="14"/>
  <c r="EV77" i="14"/>
  <c r="EV78" i="14"/>
  <c r="EV79" i="14"/>
  <c r="EV80" i="14"/>
  <c r="EV81" i="14"/>
  <c r="EV82" i="14"/>
  <c r="EV83" i="14"/>
  <c r="EV84" i="14"/>
  <c r="EV85" i="14"/>
  <c r="EV86" i="14"/>
  <c r="EV87" i="14"/>
  <c r="EV88" i="14"/>
  <c r="EV89" i="14"/>
  <c r="EV90" i="14"/>
  <c r="EV91" i="14"/>
  <c r="EV92" i="14"/>
  <c r="EV93" i="14"/>
  <c r="EV94" i="14"/>
  <c r="EV95" i="14"/>
  <c r="EV96" i="14"/>
  <c r="EV97" i="14"/>
  <c r="EV98" i="14"/>
  <c r="EV99" i="14"/>
  <c r="EV100" i="14"/>
  <c r="EV101" i="14"/>
  <c r="EY1" i="14"/>
  <c r="EZ1" i="14"/>
  <c r="EW1" i="14"/>
  <c r="EX1" i="14"/>
  <c r="EV1" i="14"/>
  <c r="ER3" i="14"/>
  <c r="ES3" i="14"/>
  <c r="ER4" i="14"/>
  <c r="ES4" i="14"/>
  <c r="ER5" i="14"/>
  <c r="ES5" i="14"/>
  <c r="ER6" i="14"/>
  <c r="ES6" i="14"/>
  <c r="ER7" i="14"/>
  <c r="ES7" i="14"/>
  <c r="ER8" i="14"/>
  <c r="ES8" i="14"/>
  <c r="ER9" i="14"/>
  <c r="ES9" i="14"/>
  <c r="ER10" i="14"/>
  <c r="ES10" i="14"/>
  <c r="ER11" i="14"/>
  <c r="ES11" i="14"/>
  <c r="ER12" i="14"/>
  <c r="ES12" i="14"/>
  <c r="ER13" i="14"/>
  <c r="ES13" i="14"/>
  <c r="ER14" i="14"/>
  <c r="ES14" i="14"/>
  <c r="ER15" i="14"/>
  <c r="ES15" i="14"/>
  <c r="ER16" i="14"/>
  <c r="ES16" i="14"/>
  <c r="ER17" i="14"/>
  <c r="ES17" i="14"/>
  <c r="ER18" i="14"/>
  <c r="ES18" i="14"/>
  <c r="ER19" i="14"/>
  <c r="ES19" i="14"/>
  <c r="ER20" i="14"/>
  <c r="ES20" i="14"/>
  <c r="ER21" i="14"/>
  <c r="ES21" i="14"/>
  <c r="ER22" i="14"/>
  <c r="ES22" i="14"/>
  <c r="ER23" i="14"/>
  <c r="ES23" i="14"/>
  <c r="ER24" i="14"/>
  <c r="ES24" i="14"/>
  <c r="ER25" i="14"/>
  <c r="ES25" i="14"/>
  <c r="ER26" i="14"/>
  <c r="ES26" i="14"/>
  <c r="ER27" i="14"/>
  <c r="ES27" i="14"/>
  <c r="ER28" i="14"/>
  <c r="ES28" i="14"/>
  <c r="ER29" i="14"/>
  <c r="ES29" i="14"/>
  <c r="ER30" i="14"/>
  <c r="ES30" i="14"/>
  <c r="ER31" i="14"/>
  <c r="ES31" i="14"/>
  <c r="ER32" i="14"/>
  <c r="ES32" i="14"/>
  <c r="ER33" i="14"/>
  <c r="ES33" i="14"/>
  <c r="ER34" i="14"/>
  <c r="ES34" i="14"/>
  <c r="ER35" i="14"/>
  <c r="ES35" i="14"/>
  <c r="ER36" i="14"/>
  <c r="ES36" i="14"/>
  <c r="ER37" i="14"/>
  <c r="ES37" i="14"/>
  <c r="ER38" i="14"/>
  <c r="ES38" i="14"/>
  <c r="ER39" i="14"/>
  <c r="ES39" i="14"/>
  <c r="ER40" i="14"/>
  <c r="ES40" i="14"/>
  <c r="ER41" i="14"/>
  <c r="ES41" i="14"/>
  <c r="ER42" i="14"/>
  <c r="ES42" i="14"/>
  <c r="ER43" i="14"/>
  <c r="ES43" i="14"/>
  <c r="ER44" i="14"/>
  <c r="ES44" i="14"/>
  <c r="ER45" i="14"/>
  <c r="ES45" i="14"/>
  <c r="ER46" i="14"/>
  <c r="ES46" i="14"/>
  <c r="ER47" i="14"/>
  <c r="ES47" i="14"/>
  <c r="ER48" i="14"/>
  <c r="ES48" i="14"/>
  <c r="ER49" i="14"/>
  <c r="ES49" i="14"/>
  <c r="ER50" i="14"/>
  <c r="ES50" i="14"/>
  <c r="ER51" i="14"/>
  <c r="ES51" i="14"/>
  <c r="ER52" i="14"/>
  <c r="ES52" i="14"/>
  <c r="ER53" i="14"/>
  <c r="ES53" i="14"/>
  <c r="ER54" i="14"/>
  <c r="ES54" i="14"/>
  <c r="ER55" i="14"/>
  <c r="ES55" i="14"/>
  <c r="ER56" i="14"/>
  <c r="ES56" i="14"/>
  <c r="ER57" i="14"/>
  <c r="ES57" i="14"/>
  <c r="ER58" i="14"/>
  <c r="ES58" i="14"/>
  <c r="ER59" i="14"/>
  <c r="ES59" i="14"/>
  <c r="ER60" i="14"/>
  <c r="ES60" i="14"/>
  <c r="ER61" i="14"/>
  <c r="ES61" i="14"/>
  <c r="ER62" i="14"/>
  <c r="ES62" i="14"/>
  <c r="ER63" i="14"/>
  <c r="ES63" i="14"/>
  <c r="ER64" i="14"/>
  <c r="ES64" i="14"/>
  <c r="ER65" i="14"/>
  <c r="ES65" i="14"/>
  <c r="ER66" i="14"/>
  <c r="ES66" i="14"/>
  <c r="ER67" i="14"/>
  <c r="ES67" i="14"/>
  <c r="ER68" i="14"/>
  <c r="ES68" i="14"/>
  <c r="ER69" i="14"/>
  <c r="ES69" i="14"/>
  <c r="ER70" i="14"/>
  <c r="ES70" i="14"/>
  <c r="ER71" i="14"/>
  <c r="ES71" i="14"/>
  <c r="ER72" i="14"/>
  <c r="ES72" i="14"/>
  <c r="ER73" i="14"/>
  <c r="ES73" i="14"/>
  <c r="ER74" i="14"/>
  <c r="ES74" i="14"/>
  <c r="ER75" i="14"/>
  <c r="ES75" i="14"/>
  <c r="ER76" i="14"/>
  <c r="ES76" i="14"/>
  <c r="ER77" i="14"/>
  <c r="ES77" i="14"/>
  <c r="ER78" i="14"/>
  <c r="ES78" i="14"/>
  <c r="ER79" i="14"/>
  <c r="ES79" i="14"/>
  <c r="ER80" i="14"/>
  <c r="ES80" i="14"/>
  <c r="ER81" i="14"/>
  <c r="ES81" i="14"/>
  <c r="ER82" i="14"/>
  <c r="ES82" i="14"/>
  <c r="ER83" i="14"/>
  <c r="ES83" i="14"/>
  <c r="ER84" i="14"/>
  <c r="ES84" i="14"/>
  <c r="ER85" i="14"/>
  <c r="ES85" i="14"/>
  <c r="ER86" i="14"/>
  <c r="ES86" i="14"/>
  <c r="ER87" i="14"/>
  <c r="ES87" i="14"/>
  <c r="ER88" i="14"/>
  <c r="ES88" i="14"/>
  <c r="ER89" i="14"/>
  <c r="ES89" i="14"/>
  <c r="ER90" i="14"/>
  <c r="ES90" i="14"/>
  <c r="ER91" i="14"/>
  <c r="ES91" i="14"/>
  <c r="ER92" i="14"/>
  <c r="ES92" i="14"/>
  <c r="ER93" i="14"/>
  <c r="ES93" i="14"/>
  <c r="ER94" i="14"/>
  <c r="ES94" i="14"/>
  <c r="ER95" i="14"/>
  <c r="ES95" i="14"/>
  <c r="ER96" i="14"/>
  <c r="ES96" i="14"/>
  <c r="ER97" i="14"/>
  <c r="ES97" i="14"/>
  <c r="ER98" i="14"/>
  <c r="ES98" i="14"/>
  <c r="ER99" i="14"/>
  <c r="ES99" i="14"/>
  <c r="ER100" i="14"/>
  <c r="ES100" i="14"/>
  <c r="ER101" i="14"/>
  <c r="ES101" i="14"/>
  <c r="ES2" i="14"/>
  <c r="ER2" i="14"/>
  <c r="EQ2" i="14"/>
  <c r="EQ3" i="14"/>
  <c r="EQ4" i="14"/>
  <c r="EQ5" i="14"/>
  <c r="EQ6" i="14"/>
  <c r="EQ7" i="14"/>
  <c r="EQ8" i="14"/>
  <c r="EQ9" i="14"/>
  <c r="EQ10" i="14"/>
  <c r="EQ11" i="14"/>
  <c r="EQ12" i="14"/>
  <c r="EQ13" i="14"/>
  <c r="EQ14" i="14"/>
  <c r="EQ15" i="14"/>
  <c r="EQ16" i="14"/>
  <c r="EQ17" i="14"/>
  <c r="EQ18" i="14"/>
  <c r="EQ19" i="14"/>
  <c r="EQ20" i="14"/>
  <c r="EQ21" i="14"/>
  <c r="EQ22" i="14"/>
  <c r="EQ23" i="14"/>
  <c r="EQ24" i="14"/>
  <c r="EQ25" i="14"/>
  <c r="EQ26" i="14"/>
  <c r="EQ27" i="14"/>
  <c r="EQ28" i="14"/>
  <c r="EQ29" i="14"/>
  <c r="EQ30" i="14"/>
  <c r="EQ31" i="14"/>
  <c r="EQ32" i="14"/>
  <c r="EQ33" i="14"/>
  <c r="EQ34" i="14"/>
  <c r="EQ35" i="14"/>
  <c r="EQ36" i="14"/>
  <c r="EQ37" i="14"/>
  <c r="EQ38" i="14"/>
  <c r="EQ39" i="14"/>
  <c r="EQ40" i="14"/>
  <c r="EQ41" i="14"/>
  <c r="EQ42" i="14"/>
  <c r="EQ43" i="14"/>
  <c r="EQ44" i="14"/>
  <c r="EQ45" i="14"/>
  <c r="EQ46" i="14"/>
  <c r="EQ47" i="14"/>
  <c r="EQ48" i="14"/>
  <c r="EQ49" i="14"/>
  <c r="EQ50" i="14"/>
  <c r="EQ51" i="14"/>
  <c r="EQ52" i="14"/>
  <c r="EQ53" i="14"/>
  <c r="EQ54" i="14"/>
  <c r="EQ55" i="14"/>
  <c r="EQ56" i="14"/>
  <c r="EQ57" i="14"/>
  <c r="EQ58" i="14"/>
  <c r="EQ59" i="14"/>
  <c r="EQ60" i="14"/>
  <c r="EQ61" i="14"/>
  <c r="EQ62" i="14"/>
  <c r="EQ63" i="14"/>
  <c r="EQ64" i="14"/>
  <c r="EQ65" i="14"/>
  <c r="EQ66" i="14"/>
  <c r="EQ67" i="14"/>
  <c r="EQ68" i="14"/>
  <c r="EQ69" i="14"/>
  <c r="EQ70" i="14"/>
  <c r="EQ71" i="14"/>
  <c r="EQ72" i="14"/>
  <c r="EQ73" i="14"/>
  <c r="EQ74" i="14"/>
  <c r="EQ75" i="14"/>
  <c r="EQ76" i="14"/>
  <c r="EQ77" i="14"/>
  <c r="EQ78" i="14"/>
  <c r="EQ79" i="14"/>
  <c r="EQ80" i="14"/>
  <c r="EQ81" i="14"/>
  <c r="EQ82" i="14"/>
  <c r="EQ83" i="14"/>
  <c r="EQ84" i="14"/>
  <c r="EQ85" i="14"/>
  <c r="EQ86" i="14"/>
  <c r="EQ87" i="14"/>
  <c r="EQ88" i="14"/>
  <c r="EQ89" i="14"/>
  <c r="EQ90" i="14"/>
  <c r="EQ91" i="14"/>
  <c r="EQ92" i="14"/>
  <c r="EQ93" i="14"/>
  <c r="EQ94" i="14"/>
  <c r="EQ95" i="14"/>
  <c r="EQ96" i="14"/>
  <c r="EQ97" i="14"/>
  <c r="EQ98" i="14"/>
  <c r="EQ99" i="14"/>
  <c r="EQ100" i="14"/>
  <c r="EQ101" i="14"/>
  <c r="EP10" i="14"/>
  <c r="EP11" i="14"/>
  <c r="EP69" i="14"/>
  <c r="EP70" i="14"/>
  <c r="EQ1" i="14"/>
  <c r="ER1" i="14"/>
  <c r="ES1" i="14"/>
  <c r="ET1" i="14"/>
  <c r="EU1" i="14"/>
  <c r="EP1" i="14"/>
  <c r="EM3" i="14"/>
  <c r="EM4" i="14"/>
  <c r="EM5" i="14"/>
  <c r="EM6" i="14"/>
  <c r="EM7" i="14"/>
  <c r="EM8" i="14"/>
  <c r="EM9" i="14"/>
  <c r="EM10" i="14"/>
  <c r="EM11" i="14"/>
  <c r="EM12" i="14"/>
  <c r="EM13" i="14"/>
  <c r="EM14" i="14"/>
  <c r="EM15" i="14"/>
  <c r="EM16" i="14"/>
  <c r="EM17" i="14"/>
  <c r="EM18" i="14"/>
  <c r="EM19" i="14"/>
  <c r="EM20" i="14"/>
  <c r="EM21" i="14"/>
  <c r="EM22" i="14"/>
  <c r="EM23" i="14"/>
  <c r="EM24" i="14"/>
  <c r="EM25" i="14"/>
  <c r="EM26" i="14"/>
  <c r="EM27" i="14"/>
  <c r="EM28" i="14"/>
  <c r="EM29" i="14"/>
  <c r="EM30" i="14"/>
  <c r="EM31" i="14"/>
  <c r="EM32" i="14"/>
  <c r="EM33" i="14"/>
  <c r="EM34" i="14"/>
  <c r="EM35" i="14"/>
  <c r="EM36" i="14"/>
  <c r="EM37" i="14"/>
  <c r="EM38" i="14"/>
  <c r="EM39" i="14"/>
  <c r="EM40" i="14"/>
  <c r="EM41" i="14"/>
  <c r="EM42" i="14"/>
  <c r="EM43" i="14"/>
  <c r="EM44" i="14"/>
  <c r="EM45" i="14"/>
  <c r="EM46" i="14"/>
  <c r="EM47" i="14"/>
  <c r="EM48" i="14"/>
  <c r="EM49" i="14"/>
  <c r="EM50" i="14"/>
  <c r="EM51" i="14"/>
  <c r="EM52" i="14"/>
  <c r="EM53" i="14"/>
  <c r="EM54" i="14"/>
  <c r="EM55" i="14"/>
  <c r="EM56" i="14"/>
  <c r="EM57" i="14"/>
  <c r="EM58" i="14"/>
  <c r="EM59" i="14"/>
  <c r="EM60" i="14"/>
  <c r="EM61" i="14"/>
  <c r="EM62" i="14"/>
  <c r="EM63" i="14"/>
  <c r="EM64" i="14"/>
  <c r="EM65" i="14"/>
  <c r="EM66" i="14"/>
  <c r="EM67" i="14"/>
  <c r="EM68" i="14"/>
  <c r="EM69" i="14"/>
  <c r="EM70" i="14"/>
  <c r="EM71" i="14"/>
  <c r="EM72" i="14"/>
  <c r="EM73" i="14"/>
  <c r="EM74" i="14"/>
  <c r="EM75" i="14"/>
  <c r="EM76" i="14"/>
  <c r="EM77" i="14"/>
  <c r="EM78" i="14"/>
  <c r="EM79" i="14"/>
  <c r="EM80" i="14"/>
  <c r="EM81" i="14"/>
  <c r="EM82" i="14"/>
  <c r="EM83" i="14"/>
  <c r="EM84" i="14"/>
  <c r="EM85" i="14"/>
  <c r="EM86" i="14"/>
  <c r="EM87" i="14"/>
  <c r="EM88" i="14"/>
  <c r="EM89" i="14"/>
  <c r="EM90" i="14"/>
  <c r="EM91" i="14"/>
  <c r="EM92" i="14"/>
  <c r="EM93" i="14"/>
  <c r="EM94" i="14"/>
  <c r="EM95" i="14"/>
  <c r="EM96" i="14"/>
  <c r="EM97" i="14"/>
  <c r="EM98" i="14"/>
  <c r="EM99" i="14"/>
  <c r="EM100" i="14"/>
  <c r="EM101" i="14"/>
  <c r="EM2" i="14"/>
  <c r="EL3" i="14"/>
  <c r="EL4" i="14"/>
  <c r="EL5" i="14"/>
  <c r="EL6" i="14"/>
  <c r="EL7" i="14"/>
  <c r="EL8" i="14"/>
  <c r="EL9" i="14"/>
  <c r="EL10" i="14"/>
  <c r="EL11" i="14"/>
  <c r="EL12" i="14"/>
  <c r="EL13" i="14"/>
  <c r="EL14" i="14"/>
  <c r="EL15" i="14"/>
  <c r="EL16" i="14"/>
  <c r="EL17" i="14"/>
  <c r="EL18" i="14"/>
  <c r="EL19" i="14"/>
  <c r="EL20" i="14"/>
  <c r="EL21" i="14"/>
  <c r="EL22" i="14"/>
  <c r="EL23" i="14"/>
  <c r="EL24" i="14"/>
  <c r="EL25" i="14"/>
  <c r="EL26" i="14"/>
  <c r="EL27" i="14"/>
  <c r="EL28" i="14"/>
  <c r="EL29" i="14"/>
  <c r="EL30" i="14"/>
  <c r="EL31" i="14"/>
  <c r="EL32" i="14"/>
  <c r="EL33" i="14"/>
  <c r="EL34" i="14"/>
  <c r="EL35" i="14"/>
  <c r="EL36" i="14"/>
  <c r="EL37" i="14"/>
  <c r="EL38" i="14"/>
  <c r="EL39" i="14"/>
  <c r="EL40" i="14"/>
  <c r="EL41" i="14"/>
  <c r="EL42" i="14"/>
  <c r="EL43" i="14"/>
  <c r="EL44" i="14"/>
  <c r="EL45" i="14"/>
  <c r="EL46" i="14"/>
  <c r="EL47" i="14"/>
  <c r="EL48" i="14"/>
  <c r="EL49" i="14"/>
  <c r="EL50" i="14"/>
  <c r="EL51" i="14"/>
  <c r="EL52" i="14"/>
  <c r="EL53" i="14"/>
  <c r="EL54" i="14"/>
  <c r="EL55" i="14"/>
  <c r="EL56" i="14"/>
  <c r="EL57" i="14"/>
  <c r="EL58" i="14"/>
  <c r="EL59" i="14"/>
  <c r="EL60" i="14"/>
  <c r="EL61" i="14"/>
  <c r="EL62" i="14"/>
  <c r="EL63" i="14"/>
  <c r="EL64" i="14"/>
  <c r="EL65" i="14"/>
  <c r="EL66" i="14"/>
  <c r="EL67" i="14"/>
  <c r="EL68" i="14"/>
  <c r="EL69" i="14"/>
  <c r="EL70" i="14"/>
  <c r="EL71" i="14"/>
  <c r="EL72" i="14"/>
  <c r="EL73" i="14"/>
  <c r="EL74" i="14"/>
  <c r="EL75" i="14"/>
  <c r="EL76" i="14"/>
  <c r="EL77" i="14"/>
  <c r="EL78" i="14"/>
  <c r="EL79" i="14"/>
  <c r="EL80" i="14"/>
  <c r="EL81" i="14"/>
  <c r="EL82" i="14"/>
  <c r="EL83" i="14"/>
  <c r="EL84" i="14"/>
  <c r="EL85" i="14"/>
  <c r="EL86" i="14"/>
  <c r="EL87" i="14"/>
  <c r="EL88" i="14"/>
  <c r="EL89" i="14"/>
  <c r="EL90" i="14"/>
  <c r="EL91" i="14"/>
  <c r="EL92" i="14"/>
  <c r="EL93" i="14"/>
  <c r="EL94" i="14"/>
  <c r="EL95" i="14"/>
  <c r="EL96" i="14"/>
  <c r="EL97" i="14"/>
  <c r="EL98" i="14"/>
  <c r="EL99" i="14"/>
  <c r="EL100" i="14"/>
  <c r="EL101" i="14"/>
  <c r="EL2" i="14"/>
  <c r="EK3" i="14"/>
  <c r="EK4" i="14"/>
  <c r="EK5" i="14"/>
  <c r="EK6" i="14"/>
  <c r="EK7" i="14"/>
  <c r="EK8" i="14"/>
  <c r="EK9" i="14"/>
  <c r="EK10" i="14"/>
  <c r="EK11" i="14"/>
  <c r="EK12" i="14"/>
  <c r="EK13" i="14"/>
  <c r="EK14" i="14"/>
  <c r="EK15" i="14"/>
  <c r="EK16" i="14"/>
  <c r="EK17" i="14"/>
  <c r="EK18" i="14"/>
  <c r="EK19" i="14"/>
  <c r="EK20" i="14"/>
  <c r="EK21" i="14"/>
  <c r="EK22" i="14"/>
  <c r="EK23" i="14"/>
  <c r="EK24" i="14"/>
  <c r="EK25" i="14"/>
  <c r="EK26" i="14"/>
  <c r="EK27" i="14"/>
  <c r="EK28" i="14"/>
  <c r="EK29" i="14"/>
  <c r="EK30" i="14"/>
  <c r="EK31" i="14"/>
  <c r="EK32" i="14"/>
  <c r="EK33" i="14"/>
  <c r="EK34" i="14"/>
  <c r="EK35" i="14"/>
  <c r="EK36" i="14"/>
  <c r="EK37" i="14"/>
  <c r="EK38" i="14"/>
  <c r="EK39" i="14"/>
  <c r="EK40" i="14"/>
  <c r="EK41" i="14"/>
  <c r="EK42" i="14"/>
  <c r="EK43" i="14"/>
  <c r="EK44" i="14"/>
  <c r="EK45" i="14"/>
  <c r="EK46" i="14"/>
  <c r="EK47" i="14"/>
  <c r="EK48" i="14"/>
  <c r="EK49" i="14"/>
  <c r="EK50" i="14"/>
  <c r="EK51" i="14"/>
  <c r="EK52" i="14"/>
  <c r="EK53" i="14"/>
  <c r="EK54" i="14"/>
  <c r="EK55" i="14"/>
  <c r="EK56" i="14"/>
  <c r="EK57" i="14"/>
  <c r="EK58" i="14"/>
  <c r="EK59" i="14"/>
  <c r="EK60" i="14"/>
  <c r="EK61" i="14"/>
  <c r="EK62" i="14"/>
  <c r="EK63" i="14"/>
  <c r="EK64" i="14"/>
  <c r="EK65" i="14"/>
  <c r="EK66" i="14"/>
  <c r="EK67" i="14"/>
  <c r="EK68" i="14"/>
  <c r="EK69" i="14"/>
  <c r="EK70" i="14"/>
  <c r="EK71" i="14"/>
  <c r="EK72" i="14"/>
  <c r="EK73" i="14"/>
  <c r="EK74" i="14"/>
  <c r="EK75" i="14"/>
  <c r="EK76" i="14"/>
  <c r="EK77" i="14"/>
  <c r="EK78" i="14"/>
  <c r="EK79" i="14"/>
  <c r="EK80" i="14"/>
  <c r="EK81" i="14"/>
  <c r="EK82" i="14"/>
  <c r="EK83" i="14"/>
  <c r="EK84" i="14"/>
  <c r="EK85" i="14"/>
  <c r="EK86" i="14"/>
  <c r="EK87" i="14"/>
  <c r="EK88" i="14"/>
  <c r="EK89" i="14"/>
  <c r="EK90" i="14"/>
  <c r="EK91" i="14"/>
  <c r="EK92" i="14"/>
  <c r="EK93" i="14"/>
  <c r="EK94" i="14"/>
  <c r="EK95" i="14"/>
  <c r="EK96" i="14"/>
  <c r="EK97" i="14"/>
  <c r="EK98" i="14"/>
  <c r="EK99" i="14"/>
  <c r="EK100" i="14"/>
  <c r="EK101" i="14"/>
  <c r="EJ3" i="14"/>
  <c r="EJ4" i="14"/>
  <c r="EJ5" i="14"/>
  <c r="EJ6" i="14"/>
  <c r="EJ7" i="14"/>
  <c r="EJ8" i="14"/>
  <c r="EJ9" i="14"/>
  <c r="EJ10" i="14"/>
  <c r="EJ11" i="14"/>
  <c r="EJ12" i="14"/>
  <c r="EJ13" i="14"/>
  <c r="EJ14" i="14"/>
  <c r="EJ15" i="14"/>
  <c r="EJ16" i="14"/>
  <c r="EJ17" i="14"/>
  <c r="EJ18" i="14"/>
  <c r="EJ19" i="14"/>
  <c r="EJ20" i="14"/>
  <c r="EJ21" i="14"/>
  <c r="EJ22" i="14"/>
  <c r="EJ23" i="14"/>
  <c r="EJ24" i="14"/>
  <c r="EJ25" i="14"/>
  <c r="EJ26" i="14"/>
  <c r="EJ27" i="14"/>
  <c r="EJ28" i="14"/>
  <c r="EJ29" i="14"/>
  <c r="EJ30" i="14"/>
  <c r="EJ31" i="14"/>
  <c r="EJ32" i="14"/>
  <c r="EJ33" i="14"/>
  <c r="EJ34" i="14"/>
  <c r="EJ35" i="14"/>
  <c r="EJ36" i="14"/>
  <c r="EJ37" i="14"/>
  <c r="EJ38" i="14"/>
  <c r="EJ39" i="14"/>
  <c r="EJ40" i="14"/>
  <c r="EJ41" i="14"/>
  <c r="EJ42" i="14"/>
  <c r="EJ43" i="14"/>
  <c r="EJ44" i="14"/>
  <c r="EJ45" i="14"/>
  <c r="EJ46" i="14"/>
  <c r="EJ47" i="14"/>
  <c r="EJ48" i="14"/>
  <c r="EJ49" i="14"/>
  <c r="EJ50" i="14"/>
  <c r="EJ51" i="14"/>
  <c r="EJ52" i="14"/>
  <c r="EJ53" i="14"/>
  <c r="EJ54" i="14"/>
  <c r="EJ55" i="14"/>
  <c r="EJ56" i="14"/>
  <c r="EJ57" i="14"/>
  <c r="EJ58" i="14"/>
  <c r="EJ59" i="14"/>
  <c r="EJ60" i="14"/>
  <c r="EJ61" i="14"/>
  <c r="EJ62" i="14"/>
  <c r="EJ63" i="14"/>
  <c r="EJ64" i="14"/>
  <c r="EJ65" i="14"/>
  <c r="EJ66" i="14"/>
  <c r="EJ67" i="14"/>
  <c r="EJ68" i="14"/>
  <c r="EJ69" i="14"/>
  <c r="EJ70" i="14"/>
  <c r="EJ71" i="14"/>
  <c r="EJ72" i="14"/>
  <c r="EJ73" i="14"/>
  <c r="EJ74" i="14"/>
  <c r="EJ75" i="14"/>
  <c r="EJ76" i="14"/>
  <c r="EJ77" i="14"/>
  <c r="EJ78" i="14"/>
  <c r="EJ79" i="14"/>
  <c r="EJ80" i="14"/>
  <c r="EJ81" i="14"/>
  <c r="EJ82" i="14"/>
  <c r="EJ83" i="14"/>
  <c r="EJ84" i="14"/>
  <c r="EJ85" i="14"/>
  <c r="EJ86" i="14"/>
  <c r="EJ87" i="14"/>
  <c r="EJ88" i="14"/>
  <c r="EJ89" i="14"/>
  <c r="EJ90" i="14"/>
  <c r="EJ91" i="14"/>
  <c r="EJ92" i="14"/>
  <c r="EJ93" i="14"/>
  <c r="EJ94" i="14"/>
  <c r="EJ95" i="14"/>
  <c r="EJ96" i="14"/>
  <c r="EJ97" i="14"/>
  <c r="EJ98" i="14"/>
  <c r="EJ99" i="14"/>
  <c r="EJ100" i="14"/>
  <c r="EJ101" i="14"/>
  <c r="EK2" i="14"/>
  <c r="EJ2" i="14"/>
  <c r="EI3" i="14"/>
  <c r="EI4" i="14"/>
  <c r="EI5" i="14"/>
  <c r="EI6" i="14"/>
  <c r="EI7" i="14"/>
  <c r="EI8" i="14"/>
  <c r="EI9" i="14"/>
  <c r="EI10" i="14"/>
  <c r="EI11" i="14"/>
  <c r="EI12" i="14"/>
  <c r="EI13" i="14"/>
  <c r="EI14" i="14"/>
  <c r="EI15" i="14"/>
  <c r="EI16" i="14"/>
  <c r="EI17" i="14"/>
  <c r="EI18" i="14"/>
  <c r="EI19" i="14"/>
  <c r="EI20" i="14"/>
  <c r="EI21" i="14"/>
  <c r="EI22" i="14"/>
  <c r="EI23" i="14"/>
  <c r="EI24" i="14"/>
  <c r="EI25" i="14"/>
  <c r="EI26" i="14"/>
  <c r="EI27" i="14"/>
  <c r="EI28" i="14"/>
  <c r="EI29" i="14"/>
  <c r="EI30" i="14"/>
  <c r="EI31" i="14"/>
  <c r="EI32" i="14"/>
  <c r="EI33" i="14"/>
  <c r="EI34" i="14"/>
  <c r="EI35" i="14"/>
  <c r="EI36" i="14"/>
  <c r="EI37" i="14"/>
  <c r="EI38" i="14"/>
  <c r="EI39" i="14"/>
  <c r="EI40" i="14"/>
  <c r="EI41" i="14"/>
  <c r="EI42" i="14"/>
  <c r="EI43" i="14"/>
  <c r="EI44" i="14"/>
  <c r="EI45" i="14"/>
  <c r="EI46" i="14"/>
  <c r="EI47" i="14"/>
  <c r="EI48" i="14"/>
  <c r="EI49" i="14"/>
  <c r="EI50" i="14"/>
  <c r="EI51" i="14"/>
  <c r="EI52" i="14"/>
  <c r="EI53" i="14"/>
  <c r="EI54" i="14"/>
  <c r="EI55" i="14"/>
  <c r="EI56" i="14"/>
  <c r="EI57" i="14"/>
  <c r="EI58" i="14"/>
  <c r="EI59" i="14"/>
  <c r="EI60" i="14"/>
  <c r="EI61" i="14"/>
  <c r="EI62" i="14"/>
  <c r="EI63" i="14"/>
  <c r="EI64" i="14"/>
  <c r="EI65" i="14"/>
  <c r="EI66" i="14"/>
  <c r="EI67" i="14"/>
  <c r="EI68" i="14"/>
  <c r="EI69" i="14"/>
  <c r="EI70" i="14"/>
  <c r="EI71" i="14"/>
  <c r="EI72" i="14"/>
  <c r="EI73" i="14"/>
  <c r="EI74" i="14"/>
  <c r="EI75" i="14"/>
  <c r="EI76" i="14"/>
  <c r="EI77" i="14"/>
  <c r="EI78" i="14"/>
  <c r="EI79" i="14"/>
  <c r="EI80" i="14"/>
  <c r="EI81" i="14"/>
  <c r="EI82" i="14"/>
  <c r="EI83" i="14"/>
  <c r="EI84" i="14"/>
  <c r="EI85" i="14"/>
  <c r="EI86" i="14"/>
  <c r="EI87" i="14"/>
  <c r="EI88" i="14"/>
  <c r="EI89" i="14"/>
  <c r="EI90" i="14"/>
  <c r="EI91" i="14"/>
  <c r="EI92" i="14"/>
  <c r="EI93" i="14"/>
  <c r="EI94" i="14"/>
  <c r="EI95" i="14"/>
  <c r="EI96" i="14"/>
  <c r="EI97" i="14"/>
  <c r="EI98" i="14"/>
  <c r="EI99" i="14"/>
  <c r="EI100" i="14"/>
  <c r="EI101" i="14"/>
  <c r="EI2" i="14"/>
  <c r="EH3" i="14"/>
  <c r="EH4" i="14"/>
  <c r="EH5" i="14"/>
  <c r="EH6" i="14"/>
  <c r="EH7" i="14"/>
  <c r="EH8" i="14"/>
  <c r="EH9" i="14"/>
  <c r="EH10" i="14"/>
  <c r="EH11" i="14"/>
  <c r="EH12" i="14"/>
  <c r="EH13" i="14"/>
  <c r="EH14" i="14"/>
  <c r="EH15" i="14"/>
  <c r="EH16" i="14"/>
  <c r="EH17" i="14"/>
  <c r="EH18" i="14"/>
  <c r="EH19" i="14"/>
  <c r="EH20" i="14"/>
  <c r="EH21" i="14"/>
  <c r="EH22" i="14"/>
  <c r="EH23" i="14"/>
  <c r="EH24" i="14"/>
  <c r="EH25" i="14"/>
  <c r="EH26" i="14"/>
  <c r="EH27" i="14"/>
  <c r="EH28" i="14"/>
  <c r="EH29" i="14"/>
  <c r="EH30" i="14"/>
  <c r="EH31" i="14"/>
  <c r="EH32" i="14"/>
  <c r="EH33" i="14"/>
  <c r="EH34" i="14"/>
  <c r="EH35" i="14"/>
  <c r="EH36" i="14"/>
  <c r="EH37" i="14"/>
  <c r="EH38" i="14"/>
  <c r="EH39" i="14"/>
  <c r="EH40" i="14"/>
  <c r="EH41" i="14"/>
  <c r="EH42" i="14"/>
  <c r="EH43" i="14"/>
  <c r="EH44" i="14"/>
  <c r="EH45" i="14"/>
  <c r="EH46" i="14"/>
  <c r="EH47" i="14"/>
  <c r="EH48" i="14"/>
  <c r="EH49" i="14"/>
  <c r="EH50" i="14"/>
  <c r="EH51" i="14"/>
  <c r="EH52" i="14"/>
  <c r="EH53" i="14"/>
  <c r="EH54" i="14"/>
  <c r="EH55" i="14"/>
  <c r="EH56" i="14"/>
  <c r="EH57" i="14"/>
  <c r="EH58" i="14"/>
  <c r="EH59" i="14"/>
  <c r="EH60" i="14"/>
  <c r="EH61" i="14"/>
  <c r="EH62" i="14"/>
  <c r="EH63" i="14"/>
  <c r="EH64" i="14"/>
  <c r="EH65" i="14"/>
  <c r="EH66" i="14"/>
  <c r="EH67" i="14"/>
  <c r="EH68" i="14"/>
  <c r="EH69" i="14"/>
  <c r="EH70" i="14"/>
  <c r="EH71" i="14"/>
  <c r="EH72" i="14"/>
  <c r="EH73" i="14"/>
  <c r="EH74" i="14"/>
  <c r="EH75" i="14"/>
  <c r="EH76" i="14"/>
  <c r="EH77" i="14"/>
  <c r="EH78" i="14"/>
  <c r="EH79" i="14"/>
  <c r="EH80" i="14"/>
  <c r="EH81" i="14"/>
  <c r="EH82" i="14"/>
  <c r="EH83" i="14"/>
  <c r="EH84" i="14"/>
  <c r="EH85" i="14"/>
  <c r="EH86" i="14"/>
  <c r="EH87" i="14"/>
  <c r="EH88" i="14"/>
  <c r="EH89" i="14"/>
  <c r="EH90" i="14"/>
  <c r="EH91" i="14"/>
  <c r="EH92" i="14"/>
  <c r="EH93" i="14"/>
  <c r="EH94" i="14"/>
  <c r="EH95" i="14"/>
  <c r="EH96" i="14"/>
  <c r="EH97" i="14"/>
  <c r="EH98" i="14"/>
  <c r="EH99" i="14"/>
  <c r="EH100" i="14"/>
  <c r="EH101" i="14"/>
  <c r="EH2" i="14"/>
  <c r="DT2" i="14"/>
  <c r="DU2" i="14"/>
  <c r="DV2" i="14"/>
  <c r="DW2" i="14"/>
  <c r="DX2" i="14"/>
  <c r="DY2" i="14"/>
  <c r="DZ2" i="14"/>
  <c r="EA2" i="14"/>
  <c r="EB2" i="14"/>
  <c r="EC2" i="14"/>
  <c r="ED2" i="14"/>
  <c r="EE2" i="14"/>
  <c r="DT3" i="14"/>
  <c r="DU3" i="14"/>
  <c r="DV3" i="14"/>
  <c r="DW3" i="14"/>
  <c r="DX3" i="14"/>
  <c r="DY3" i="14"/>
  <c r="DZ3" i="14"/>
  <c r="EA3" i="14"/>
  <c r="EB3" i="14"/>
  <c r="EC3" i="14"/>
  <c r="ED3" i="14"/>
  <c r="EE3" i="14"/>
  <c r="DT4" i="14"/>
  <c r="DU4" i="14"/>
  <c r="DV4" i="14"/>
  <c r="DW4" i="14"/>
  <c r="DX4" i="14"/>
  <c r="DY4" i="14"/>
  <c r="DZ4" i="14"/>
  <c r="EA4" i="14"/>
  <c r="EB4" i="14"/>
  <c r="EC4" i="14"/>
  <c r="ED4" i="14"/>
  <c r="EE4" i="14"/>
  <c r="DT5" i="14"/>
  <c r="DU5" i="14"/>
  <c r="DV5" i="14"/>
  <c r="DW5" i="14"/>
  <c r="DX5" i="14"/>
  <c r="DY5" i="14"/>
  <c r="DZ5" i="14"/>
  <c r="EA5" i="14"/>
  <c r="EB5" i="14"/>
  <c r="EC5" i="14"/>
  <c r="ED5" i="14"/>
  <c r="EE5" i="14"/>
  <c r="DT6" i="14"/>
  <c r="DU6" i="14"/>
  <c r="DV6" i="14"/>
  <c r="DW6" i="14"/>
  <c r="DX6" i="14"/>
  <c r="DY6" i="14"/>
  <c r="DZ6" i="14"/>
  <c r="EA6" i="14"/>
  <c r="EB6" i="14"/>
  <c r="EC6" i="14"/>
  <c r="ED6" i="14"/>
  <c r="EE6" i="14"/>
  <c r="DT7" i="14"/>
  <c r="DU7" i="14"/>
  <c r="DV7" i="14"/>
  <c r="DW7" i="14"/>
  <c r="DX7" i="14"/>
  <c r="DY7" i="14"/>
  <c r="DZ7" i="14"/>
  <c r="EA7" i="14"/>
  <c r="EB7" i="14"/>
  <c r="EC7" i="14"/>
  <c r="ED7" i="14"/>
  <c r="EE7" i="14"/>
  <c r="DT8" i="14"/>
  <c r="DU8" i="14"/>
  <c r="DV8" i="14"/>
  <c r="DW8" i="14"/>
  <c r="DX8" i="14"/>
  <c r="DY8" i="14"/>
  <c r="DZ8" i="14"/>
  <c r="EA8" i="14"/>
  <c r="EB8" i="14"/>
  <c r="EC8" i="14"/>
  <c r="ED8" i="14"/>
  <c r="EE8" i="14"/>
  <c r="DT9" i="14"/>
  <c r="DU9" i="14"/>
  <c r="DV9" i="14"/>
  <c r="DW9" i="14"/>
  <c r="DX9" i="14"/>
  <c r="DY9" i="14"/>
  <c r="DZ9" i="14"/>
  <c r="EA9" i="14"/>
  <c r="EB9" i="14"/>
  <c r="EC9" i="14"/>
  <c r="ED9" i="14"/>
  <c r="EE9" i="14"/>
  <c r="DT10" i="14"/>
  <c r="DU10" i="14"/>
  <c r="DV10" i="14"/>
  <c r="DW10" i="14"/>
  <c r="DX10" i="14"/>
  <c r="DY10" i="14"/>
  <c r="DZ10" i="14"/>
  <c r="EA10" i="14"/>
  <c r="EB10" i="14"/>
  <c r="EC10" i="14"/>
  <c r="ED10" i="14"/>
  <c r="EE10" i="14"/>
  <c r="DT11" i="14"/>
  <c r="DU11" i="14"/>
  <c r="DV11" i="14"/>
  <c r="DW11" i="14"/>
  <c r="DX11" i="14"/>
  <c r="DY11" i="14"/>
  <c r="DZ11" i="14"/>
  <c r="EA11" i="14"/>
  <c r="EB11" i="14"/>
  <c r="EC11" i="14"/>
  <c r="ED11" i="14"/>
  <c r="EE11" i="14"/>
  <c r="DT12" i="14"/>
  <c r="DU12" i="14"/>
  <c r="DV12" i="14"/>
  <c r="DW12" i="14"/>
  <c r="DX12" i="14"/>
  <c r="DY12" i="14"/>
  <c r="DZ12" i="14"/>
  <c r="EA12" i="14"/>
  <c r="EB12" i="14"/>
  <c r="EC12" i="14"/>
  <c r="ED12" i="14"/>
  <c r="EE12" i="14"/>
  <c r="DT13" i="14"/>
  <c r="DU13" i="14"/>
  <c r="DV13" i="14"/>
  <c r="DW13" i="14"/>
  <c r="DX13" i="14"/>
  <c r="DY13" i="14"/>
  <c r="DZ13" i="14"/>
  <c r="EA13" i="14"/>
  <c r="EB13" i="14"/>
  <c r="EC13" i="14"/>
  <c r="ED13" i="14"/>
  <c r="EE13" i="14"/>
  <c r="DT14" i="14"/>
  <c r="DU14" i="14"/>
  <c r="DV14" i="14"/>
  <c r="DW14" i="14"/>
  <c r="DX14" i="14"/>
  <c r="DY14" i="14"/>
  <c r="DZ14" i="14"/>
  <c r="EA14" i="14"/>
  <c r="EB14" i="14"/>
  <c r="EC14" i="14"/>
  <c r="ED14" i="14"/>
  <c r="EE14" i="14"/>
  <c r="DT15" i="14"/>
  <c r="DU15" i="14"/>
  <c r="DV15" i="14"/>
  <c r="DW15" i="14"/>
  <c r="DX15" i="14"/>
  <c r="DY15" i="14"/>
  <c r="DZ15" i="14"/>
  <c r="EA15" i="14"/>
  <c r="EB15" i="14"/>
  <c r="EC15" i="14"/>
  <c r="ED15" i="14"/>
  <c r="EE15" i="14"/>
  <c r="DT16" i="14"/>
  <c r="DU16" i="14"/>
  <c r="DV16" i="14"/>
  <c r="DW16" i="14"/>
  <c r="DX16" i="14"/>
  <c r="DY16" i="14"/>
  <c r="DZ16" i="14"/>
  <c r="EA16" i="14"/>
  <c r="EB16" i="14"/>
  <c r="EC16" i="14"/>
  <c r="ED16" i="14"/>
  <c r="EE16" i="14"/>
  <c r="DT17" i="14"/>
  <c r="DU17" i="14"/>
  <c r="DV17" i="14"/>
  <c r="DW17" i="14"/>
  <c r="DX17" i="14"/>
  <c r="DY17" i="14"/>
  <c r="DZ17" i="14"/>
  <c r="EA17" i="14"/>
  <c r="EB17" i="14"/>
  <c r="EC17" i="14"/>
  <c r="ED17" i="14"/>
  <c r="EE17" i="14"/>
  <c r="DT18" i="14"/>
  <c r="DU18" i="14"/>
  <c r="DV18" i="14"/>
  <c r="DW18" i="14"/>
  <c r="DX18" i="14"/>
  <c r="DY18" i="14"/>
  <c r="DZ18" i="14"/>
  <c r="EA18" i="14"/>
  <c r="EB18" i="14"/>
  <c r="EC18" i="14"/>
  <c r="ED18" i="14"/>
  <c r="EE18" i="14"/>
  <c r="DT19" i="14"/>
  <c r="DU19" i="14"/>
  <c r="DV19" i="14"/>
  <c r="DW19" i="14"/>
  <c r="DX19" i="14"/>
  <c r="DY19" i="14"/>
  <c r="DZ19" i="14"/>
  <c r="EA19" i="14"/>
  <c r="EB19" i="14"/>
  <c r="EC19" i="14"/>
  <c r="ED19" i="14"/>
  <c r="EE19" i="14"/>
  <c r="DT20" i="14"/>
  <c r="DU20" i="14"/>
  <c r="DV20" i="14"/>
  <c r="DW20" i="14"/>
  <c r="DX20" i="14"/>
  <c r="DY20" i="14"/>
  <c r="DZ20" i="14"/>
  <c r="EA20" i="14"/>
  <c r="EB20" i="14"/>
  <c r="EC20" i="14"/>
  <c r="ED20" i="14"/>
  <c r="EE20" i="14"/>
  <c r="DT21" i="14"/>
  <c r="DU21" i="14"/>
  <c r="DV21" i="14"/>
  <c r="DW21" i="14"/>
  <c r="DX21" i="14"/>
  <c r="DY21" i="14"/>
  <c r="DZ21" i="14"/>
  <c r="EA21" i="14"/>
  <c r="EB21" i="14"/>
  <c r="EC21" i="14"/>
  <c r="ED21" i="14"/>
  <c r="EE21" i="14"/>
  <c r="DT22" i="14"/>
  <c r="DU22" i="14"/>
  <c r="DV22" i="14"/>
  <c r="DW22" i="14"/>
  <c r="DX22" i="14"/>
  <c r="DY22" i="14"/>
  <c r="DZ22" i="14"/>
  <c r="EA22" i="14"/>
  <c r="EB22" i="14"/>
  <c r="EC22" i="14"/>
  <c r="ED22" i="14"/>
  <c r="EE22" i="14"/>
  <c r="DT23" i="14"/>
  <c r="DU23" i="14"/>
  <c r="DV23" i="14"/>
  <c r="DW23" i="14"/>
  <c r="DX23" i="14"/>
  <c r="DY23" i="14"/>
  <c r="DZ23" i="14"/>
  <c r="EA23" i="14"/>
  <c r="EB23" i="14"/>
  <c r="EC23" i="14"/>
  <c r="ED23" i="14"/>
  <c r="EE23" i="14"/>
  <c r="DT24" i="14"/>
  <c r="DU24" i="14"/>
  <c r="DV24" i="14"/>
  <c r="DW24" i="14"/>
  <c r="DX24" i="14"/>
  <c r="DY24" i="14"/>
  <c r="DZ24" i="14"/>
  <c r="EA24" i="14"/>
  <c r="EB24" i="14"/>
  <c r="EC24" i="14"/>
  <c r="ED24" i="14"/>
  <c r="EE24" i="14"/>
  <c r="DT25" i="14"/>
  <c r="DU25" i="14"/>
  <c r="DV25" i="14"/>
  <c r="DW25" i="14"/>
  <c r="DX25" i="14"/>
  <c r="DY25" i="14"/>
  <c r="DZ25" i="14"/>
  <c r="EA25" i="14"/>
  <c r="EB25" i="14"/>
  <c r="EC25" i="14"/>
  <c r="ED25" i="14"/>
  <c r="EE25" i="14"/>
  <c r="DT26" i="14"/>
  <c r="DU26" i="14"/>
  <c r="DV26" i="14"/>
  <c r="DW26" i="14"/>
  <c r="DX26" i="14"/>
  <c r="DY26" i="14"/>
  <c r="DZ26" i="14"/>
  <c r="EA26" i="14"/>
  <c r="EB26" i="14"/>
  <c r="EC26" i="14"/>
  <c r="ED26" i="14"/>
  <c r="EE26" i="14"/>
  <c r="DT27" i="14"/>
  <c r="DU27" i="14"/>
  <c r="DV27" i="14"/>
  <c r="DW27" i="14"/>
  <c r="DX27" i="14"/>
  <c r="DY27" i="14"/>
  <c r="DZ27" i="14"/>
  <c r="EA27" i="14"/>
  <c r="EB27" i="14"/>
  <c r="EC27" i="14"/>
  <c r="ED27" i="14"/>
  <c r="EE27" i="14"/>
  <c r="DT28" i="14"/>
  <c r="DU28" i="14"/>
  <c r="DV28" i="14"/>
  <c r="DW28" i="14"/>
  <c r="DX28" i="14"/>
  <c r="DY28" i="14"/>
  <c r="DZ28" i="14"/>
  <c r="EA28" i="14"/>
  <c r="EB28" i="14"/>
  <c r="EC28" i="14"/>
  <c r="ED28" i="14"/>
  <c r="EE28" i="14"/>
  <c r="DT29" i="14"/>
  <c r="DU29" i="14"/>
  <c r="DV29" i="14"/>
  <c r="DW29" i="14"/>
  <c r="DX29" i="14"/>
  <c r="DY29" i="14"/>
  <c r="DZ29" i="14"/>
  <c r="EA29" i="14"/>
  <c r="EB29" i="14"/>
  <c r="EC29" i="14"/>
  <c r="ED29" i="14"/>
  <c r="EE29" i="14"/>
  <c r="DT30" i="14"/>
  <c r="DU30" i="14"/>
  <c r="DV30" i="14"/>
  <c r="DW30" i="14"/>
  <c r="DX30" i="14"/>
  <c r="DY30" i="14"/>
  <c r="DZ30" i="14"/>
  <c r="EA30" i="14"/>
  <c r="EB30" i="14"/>
  <c r="EC30" i="14"/>
  <c r="ED30" i="14"/>
  <c r="EE30" i="14"/>
  <c r="DT31" i="14"/>
  <c r="DU31" i="14"/>
  <c r="DV31" i="14"/>
  <c r="DW31" i="14"/>
  <c r="DX31" i="14"/>
  <c r="DY31" i="14"/>
  <c r="DZ31" i="14"/>
  <c r="EA31" i="14"/>
  <c r="EB31" i="14"/>
  <c r="EC31" i="14"/>
  <c r="ED31" i="14"/>
  <c r="EE31" i="14"/>
  <c r="DT32" i="14"/>
  <c r="DU32" i="14"/>
  <c r="DV32" i="14"/>
  <c r="DW32" i="14"/>
  <c r="DX32" i="14"/>
  <c r="DY32" i="14"/>
  <c r="DZ32" i="14"/>
  <c r="EA32" i="14"/>
  <c r="EB32" i="14"/>
  <c r="EC32" i="14"/>
  <c r="ED32" i="14"/>
  <c r="EE32" i="14"/>
  <c r="DT33" i="14"/>
  <c r="DU33" i="14"/>
  <c r="DV33" i="14"/>
  <c r="DW33" i="14"/>
  <c r="DX33" i="14"/>
  <c r="DY33" i="14"/>
  <c r="DZ33" i="14"/>
  <c r="EA33" i="14"/>
  <c r="EB33" i="14"/>
  <c r="EC33" i="14"/>
  <c r="ED33" i="14"/>
  <c r="EE33" i="14"/>
  <c r="DT34" i="14"/>
  <c r="DU34" i="14"/>
  <c r="DV34" i="14"/>
  <c r="DW34" i="14"/>
  <c r="DX34" i="14"/>
  <c r="DY34" i="14"/>
  <c r="DZ34" i="14"/>
  <c r="EA34" i="14"/>
  <c r="EB34" i="14"/>
  <c r="EC34" i="14"/>
  <c r="ED34" i="14"/>
  <c r="EE34" i="14"/>
  <c r="DT35" i="14"/>
  <c r="DU35" i="14"/>
  <c r="DV35" i="14"/>
  <c r="DW35" i="14"/>
  <c r="DX35" i="14"/>
  <c r="DY35" i="14"/>
  <c r="DZ35" i="14"/>
  <c r="EA35" i="14"/>
  <c r="EB35" i="14"/>
  <c r="EC35" i="14"/>
  <c r="ED35" i="14"/>
  <c r="EE35" i="14"/>
  <c r="DT36" i="14"/>
  <c r="DU36" i="14"/>
  <c r="DV36" i="14"/>
  <c r="DW36" i="14"/>
  <c r="DX36" i="14"/>
  <c r="DY36" i="14"/>
  <c r="DZ36" i="14"/>
  <c r="EA36" i="14"/>
  <c r="EB36" i="14"/>
  <c r="EC36" i="14"/>
  <c r="ED36" i="14"/>
  <c r="EE36" i="14"/>
  <c r="DT37" i="14"/>
  <c r="DU37" i="14"/>
  <c r="DV37" i="14"/>
  <c r="DW37" i="14"/>
  <c r="DX37" i="14"/>
  <c r="DY37" i="14"/>
  <c r="DZ37" i="14"/>
  <c r="EA37" i="14"/>
  <c r="EB37" i="14"/>
  <c r="EC37" i="14"/>
  <c r="ED37" i="14"/>
  <c r="EE37" i="14"/>
  <c r="DT38" i="14"/>
  <c r="DU38" i="14"/>
  <c r="DV38" i="14"/>
  <c r="DW38" i="14"/>
  <c r="DX38" i="14"/>
  <c r="DY38" i="14"/>
  <c r="DZ38" i="14"/>
  <c r="EA38" i="14"/>
  <c r="EB38" i="14"/>
  <c r="EC38" i="14"/>
  <c r="ED38" i="14"/>
  <c r="EE38" i="14"/>
  <c r="DT39" i="14"/>
  <c r="DU39" i="14"/>
  <c r="DV39" i="14"/>
  <c r="DW39" i="14"/>
  <c r="DX39" i="14"/>
  <c r="DY39" i="14"/>
  <c r="DZ39" i="14"/>
  <c r="EA39" i="14"/>
  <c r="EB39" i="14"/>
  <c r="EC39" i="14"/>
  <c r="ED39" i="14"/>
  <c r="EE39" i="14"/>
  <c r="DT40" i="14"/>
  <c r="DU40" i="14"/>
  <c r="DV40" i="14"/>
  <c r="DW40" i="14"/>
  <c r="DX40" i="14"/>
  <c r="DY40" i="14"/>
  <c r="DZ40" i="14"/>
  <c r="EA40" i="14"/>
  <c r="EB40" i="14"/>
  <c r="EC40" i="14"/>
  <c r="ED40" i="14"/>
  <c r="EE40" i="14"/>
  <c r="DT41" i="14"/>
  <c r="DU41" i="14"/>
  <c r="DV41" i="14"/>
  <c r="DW41" i="14"/>
  <c r="DX41" i="14"/>
  <c r="DY41" i="14"/>
  <c r="DZ41" i="14"/>
  <c r="EA41" i="14"/>
  <c r="EB41" i="14"/>
  <c r="EC41" i="14"/>
  <c r="ED41" i="14"/>
  <c r="EE41" i="14"/>
  <c r="DT42" i="14"/>
  <c r="DU42" i="14"/>
  <c r="DV42" i="14"/>
  <c r="DW42" i="14"/>
  <c r="DX42" i="14"/>
  <c r="DY42" i="14"/>
  <c r="DZ42" i="14"/>
  <c r="EA42" i="14"/>
  <c r="EB42" i="14"/>
  <c r="EC42" i="14"/>
  <c r="ED42" i="14"/>
  <c r="EE42" i="14"/>
  <c r="DT43" i="14"/>
  <c r="DU43" i="14"/>
  <c r="DV43" i="14"/>
  <c r="DW43" i="14"/>
  <c r="DX43" i="14"/>
  <c r="DY43" i="14"/>
  <c r="DZ43" i="14"/>
  <c r="EA43" i="14"/>
  <c r="EB43" i="14"/>
  <c r="EC43" i="14"/>
  <c r="ED43" i="14"/>
  <c r="EE43" i="14"/>
  <c r="DT44" i="14"/>
  <c r="DU44" i="14"/>
  <c r="DV44" i="14"/>
  <c r="DW44" i="14"/>
  <c r="DX44" i="14"/>
  <c r="DY44" i="14"/>
  <c r="DZ44" i="14"/>
  <c r="EA44" i="14"/>
  <c r="EB44" i="14"/>
  <c r="EC44" i="14"/>
  <c r="ED44" i="14"/>
  <c r="EE44" i="14"/>
  <c r="DT45" i="14"/>
  <c r="DU45" i="14"/>
  <c r="DV45" i="14"/>
  <c r="DW45" i="14"/>
  <c r="DX45" i="14"/>
  <c r="DY45" i="14"/>
  <c r="DZ45" i="14"/>
  <c r="EA45" i="14"/>
  <c r="EB45" i="14"/>
  <c r="EC45" i="14"/>
  <c r="ED45" i="14"/>
  <c r="EE45" i="14"/>
  <c r="DT46" i="14"/>
  <c r="DU46" i="14"/>
  <c r="DV46" i="14"/>
  <c r="DW46" i="14"/>
  <c r="DX46" i="14"/>
  <c r="DY46" i="14"/>
  <c r="DZ46" i="14"/>
  <c r="EA46" i="14"/>
  <c r="EB46" i="14"/>
  <c r="EC46" i="14"/>
  <c r="ED46" i="14"/>
  <c r="EE46" i="14"/>
  <c r="DT47" i="14"/>
  <c r="DU47" i="14"/>
  <c r="DV47" i="14"/>
  <c r="DW47" i="14"/>
  <c r="DX47" i="14"/>
  <c r="DY47" i="14"/>
  <c r="DZ47" i="14"/>
  <c r="EA47" i="14"/>
  <c r="EB47" i="14"/>
  <c r="EC47" i="14"/>
  <c r="ED47" i="14"/>
  <c r="EE47" i="14"/>
  <c r="DT48" i="14"/>
  <c r="DU48" i="14"/>
  <c r="DV48" i="14"/>
  <c r="DW48" i="14"/>
  <c r="DX48" i="14"/>
  <c r="DY48" i="14"/>
  <c r="DZ48" i="14"/>
  <c r="EA48" i="14"/>
  <c r="EB48" i="14"/>
  <c r="EC48" i="14"/>
  <c r="ED48" i="14"/>
  <c r="EE48" i="14"/>
  <c r="DT49" i="14"/>
  <c r="DU49" i="14"/>
  <c r="DV49" i="14"/>
  <c r="DW49" i="14"/>
  <c r="DX49" i="14"/>
  <c r="DY49" i="14"/>
  <c r="DZ49" i="14"/>
  <c r="EA49" i="14"/>
  <c r="EB49" i="14"/>
  <c r="EC49" i="14"/>
  <c r="ED49" i="14"/>
  <c r="EE49" i="14"/>
  <c r="DT50" i="14"/>
  <c r="DU50" i="14"/>
  <c r="DV50" i="14"/>
  <c r="DW50" i="14"/>
  <c r="DX50" i="14"/>
  <c r="DY50" i="14"/>
  <c r="DZ50" i="14"/>
  <c r="EA50" i="14"/>
  <c r="EB50" i="14"/>
  <c r="EC50" i="14"/>
  <c r="ED50" i="14"/>
  <c r="EE50" i="14"/>
  <c r="DT51" i="14"/>
  <c r="DU51" i="14"/>
  <c r="DV51" i="14"/>
  <c r="DW51" i="14"/>
  <c r="DX51" i="14"/>
  <c r="DY51" i="14"/>
  <c r="DZ51" i="14"/>
  <c r="EA51" i="14"/>
  <c r="EB51" i="14"/>
  <c r="EC51" i="14"/>
  <c r="ED51" i="14"/>
  <c r="EE51" i="14"/>
  <c r="DT52" i="14"/>
  <c r="DU52" i="14"/>
  <c r="DV52" i="14"/>
  <c r="DW52" i="14"/>
  <c r="DX52" i="14"/>
  <c r="DY52" i="14"/>
  <c r="DZ52" i="14"/>
  <c r="EA52" i="14"/>
  <c r="EB52" i="14"/>
  <c r="EC52" i="14"/>
  <c r="ED52" i="14"/>
  <c r="EE52" i="14"/>
  <c r="DT53" i="14"/>
  <c r="DU53" i="14"/>
  <c r="DV53" i="14"/>
  <c r="DW53" i="14"/>
  <c r="DX53" i="14"/>
  <c r="DY53" i="14"/>
  <c r="DZ53" i="14"/>
  <c r="EA53" i="14"/>
  <c r="EB53" i="14"/>
  <c r="EC53" i="14"/>
  <c r="ED53" i="14"/>
  <c r="EE53" i="14"/>
  <c r="DT54" i="14"/>
  <c r="DU54" i="14"/>
  <c r="DV54" i="14"/>
  <c r="DW54" i="14"/>
  <c r="DX54" i="14"/>
  <c r="DY54" i="14"/>
  <c r="DZ54" i="14"/>
  <c r="EA54" i="14"/>
  <c r="EB54" i="14"/>
  <c r="EC54" i="14"/>
  <c r="ED54" i="14"/>
  <c r="EE54" i="14"/>
  <c r="DT55" i="14"/>
  <c r="DU55" i="14"/>
  <c r="DV55" i="14"/>
  <c r="DW55" i="14"/>
  <c r="DX55" i="14"/>
  <c r="DY55" i="14"/>
  <c r="DZ55" i="14"/>
  <c r="EA55" i="14"/>
  <c r="EB55" i="14"/>
  <c r="EC55" i="14"/>
  <c r="ED55" i="14"/>
  <c r="EE55" i="14"/>
  <c r="DT56" i="14"/>
  <c r="DU56" i="14"/>
  <c r="DV56" i="14"/>
  <c r="DW56" i="14"/>
  <c r="DX56" i="14"/>
  <c r="DY56" i="14"/>
  <c r="DZ56" i="14"/>
  <c r="EA56" i="14"/>
  <c r="EB56" i="14"/>
  <c r="EC56" i="14"/>
  <c r="ED56" i="14"/>
  <c r="EE56" i="14"/>
  <c r="DT57" i="14"/>
  <c r="DU57" i="14"/>
  <c r="DV57" i="14"/>
  <c r="DW57" i="14"/>
  <c r="DX57" i="14"/>
  <c r="DY57" i="14"/>
  <c r="DZ57" i="14"/>
  <c r="EA57" i="14"/>
  <c r="EB57" i="14"/>
  <c r="EC57" i="14"/>
  <c r="ED57" i="14"/>
  <c r="EE57" i="14"/>
  <c r="DT58" i="14"/>
  <c r="DU58" i="14"/>
  <c r="DV58" i="14"/>
  <c r="DW58" i="14"/>
  <c r="DX58" i="14"/>
  <c r="DY58" i="14"/>
  <c r="DZ58" i="14"/>
  <c r="EA58" i="14"/>
  <c r="EB58" i="14"/>
  <c r="EC58" i="14"/>
  <c r="ED58" i="14"/>
  <c r="EE58" i="14"/>
  <c r="DT59" i="14"/>
  <c r="DU59" i="14"/>
  <c r="DV59" i="14"/>
  <c r="DW59" i="14"/>
  <c r="DX59" i="14"/>
  <c r="DY59" i="14"/>
  <c r="DZ59" i="14"/>
  <c r="EA59" i="14"/>
  <c r="EB59" i="14"/>
  <c r="EC59" i="14"/>
  <c r="ED59" i="14"/>
  <c r="EE59" i="14"/>
  <c r="DT60" i="14"/>
  <c r="DU60" i="14"/>
  <c r="DV60" i="14"/>
  <c r="DW60" i="14"/>
  <c r="DX60" i="14"/>
  <c r="DY60" i="14"/>
  <c r="DZ60" i="14"/>
  <c r="EA60" i="14"/>
  <c r="EB60" i="14"/>
  <c r="EC60" i="14"/>
  <c r="ED60" i="14"/>
  <c r="EE60" i="14"/>
  <c r="DT61" i="14"/>
  <c r="DU61" i="14"/>
  <c r="DV61" i="14"/>
  <c r="DW61" i="14"/>
  <c r="DX61" i="14"/>
  <c r="DY61" i="14"/>
  <c r="DZ61" i="14"/>
  <c r="EA61" i="14"/>
  <c r="EB61" i="14"/>
  <c r="EC61" i="14"/>
  <c r="ED61" i="14"/>
  <c r="EE61" i="14"/>
  <c r="DT62" i="14"/>
  <c r="DU62" i="14"/>
  <c r="DV62" i="14"/>
  <c r="DW62" i="14"/>
  <c r="DX62" i="14"/>
  <c r="DY62" i="14"/>
  <c r="DZ62" i="14"/>
  <c r="EA62" i="14"/>
  <c r="EB62" i="14"/>
  <c r="EC62" i="14"/>
  <c r="ED62" i="14"/>
  <c r="EE62" i="14"/>
  <c r="DT63" i="14"/>
  <c r="DU63" i="14"/>
  <c r="DV63" i="14"/>
  <c r="DW63" i="14"/>
  <c r="DX63" i="14"/>
  <c r="DY63" i="14"/>
  <c r="DZ63" i="14"/>
  <c r="EA63" i="14"/>
  <c r="EB63" i="14"/>
  <c r="EC63" i="14"/>
  <c r="ED63" i="14"/>
  <c r="EE63" i="14"/>
  <c r="DT64" i="14"/>
  <c r="DU64" i="14"/>
  <c r="DV64" i="14"/>
  <c r="DW64" i="14"/>
  <c r="DX64" i="14"/>
  <c r="DY64" i="14"/>
  <c r="DZ64" i="14"/>
  <c r="EA64" i="14"/>
  <c r="EB64" i="14"/>
  <c r="EC64" i="14"/>
  <c r="ED64" i="14"/>
  <c r="EE64" i="14"/>
  <c r="DT65" i="14"/>
  <c r="DU65" i="14"/>
  <c r="DV65" i="14"/>
  <c r="DW65" i="14"/>
  <c r="DX65" i="14"/>
  <c r="DY65" i="14"/>
  <c r="DZ65" i="14"/>
  <c r="EA65" i="14"/>
  <c r="EB65" i="14"/>
  <c r="EC65" i="14"/>
  <c r="ED65" i="14"/>
  <c r="EE65" i="14"/>
  <c r="DT66" i="14"/>
  <c r="DU66" i="14"/>
  <c r="DV66" i="14"/>
  <c r="DW66" i="14"/>
  <c r="DX66" i="14"/>
  <c r="DY66" i="14"/>
  <c r="DZ66" i="14"/>
  <c r="EA66" i="14"/>
  <c r="EB66" i="14"/>
  <c r="EC66" i="14"/>
  <c r="ED66" i="14"/>
  <c r="EE66" i="14"/>
  <c r="DT67" i="14"/>
  <c r="DU67" i="14"/>
  <c r="DV67" i="14"/>
  <c r="DW67" i="14"/>
  <c r="DX67" i="14"/>
  <c r="DY67" i="14"/>
  <c r="DZ67" i="14"/>
  <c r="EA67" i="14"/>
  <c r="EB67" i="14"/>
  <c r="EC67" i="14"/>
  <c r="ED67" i="14"/>
  <c r="EE67" i="14"/>
  <c r="DT68" i="14"/>
  <c r="DU68" i="14"/>
  <c r="DV68" i="14"/>
  <c r="DW68" i="14"/>
  <c r="DX68" i="14"/>
  <c r="DY68" i="14"/>
  <c r="DZ68" i="14"/>
  <c r="EA68" i="14"/>
  <c r="EB68" i="14"/>
  <c r="EC68" i="14"/>
  <c r="ED68" i="14"/>
  <c r="EE68" i="14"/>
  <c r="DT69" i="14"/>
  <c r="DU69" i="14"/>
  <c r="DV69" i="14"/>
  <c r="DW69" i="14"/>
  <c r="DX69" i="14"/>
  <c r="DY69" i="14"/>
  <c r="DZ69" i="14"/>
  <c r="EA69" i="14"/>
  <c r="EB69" i="14"/>
  <c r="EC69" i="14"/>
  <c r="ED69" i="14"/>
  <c r="EE69" i="14"/>
  <c r="DT70" i="14"/>
  <c r="DU70" i="14"/>
  <c r="DV70" i="14"/>
  <c r="DW70" i="14"/>
  <c r="DX70" i="14"/>
  <c r="DY70" i="14"/>
  <c r="DZ70" i="14"/>
  <c r="EA70" i="14"/>
  <c r="EB70" i="14"/>
  <c r="EC70" i="14"/>
  <c r="ED70" i="14"/>
  <c r="EE70" i="14"/>
  <c r="DT71" i="14"/>
  <c r="DU71" i="14"/>
  <c r="DV71" i="14"/>
  <c r="DW71" i="14"/>
  <c r="DX71" i="14"/>
  <c r="DY71" i="14"/>
  <c r="DZ71" i="14"/>
  <c r="EA71" i="14"/>
  <c r="EB71" i="14"/>
  <c r="EC71" i="14"/>
  <c r="ED71" i="14"/>
  <c r="EE71" i="14"/>
  <c r="DT72" i="14"/>
  <c r="DU72" i="14"/>
  <c r="DV72" i="14"/>
  <c r="DW72" i="14"/>
  <c r="DX72" i="14"/>
  <c r="DY72" i="14"/>
  <c r="DZ72" i="14"/>
  <c r="EA72" i="14"/>
  <c r="EB72" i="14"/>
  <c r="EC72" i="14"/>
  <c r="ED72" i="14"/>
  <c r="EE72" i="14"/>
  <c r="DT73" i="14"/>
  <c r="DU73" i="14"/>
  <c r="DV73" i="14"/>
  <c r="DW73" i="14"/>
  <c r="DX73" i="14"/>
  <c r="DY73" i="14"/>
  <c r="DZ73" i="14"/>
  <c r="EA73" i="14"/>
  <c r="EB73" i="14"/>
  <c r="EC73" i="14"/>
  <c r="ED73" i="14"/>
  <c r="EE73" i="14"/>
  <c r="DT74" i="14"/>
  <c r="DU74" i="14"/>
  <c r="DV74" i="14"/>
  <c r="DW74" i="14"/>
  <c r="DX74" i="14"/>
  <c r="DY74" i="14"/>
  <c r="DZ74" i="14"/>
  <c r="EA74" i="14"/>
  <c r="EB74" i="14"/>
  <c r="EC74" i="14"/>
  <c r="ED74" i="14"/>
  <c r="EE74" i="14"/>
  <c r="DT75" i="14"/>
  <c r="DU75" i="14"/>
  <c r="DV75" i="14"/>
  <c r="DW75" i="14"/>
  <c r="DX75" i="14"/>
  <c r="DY75" i="14"/>
  <c r="DZ75" i="14"/>
  <c r="EA75" i="14"/>
  <c r="EB75" i="14"/>
  <c r="EC75" i="14"/>
  <c r="ED75" i="14"/>
  <c r="EE75" i="14"/>
  <c r="DT76" i="14"/>
  <c r="DU76" i="14"/>
  <c r="DV76" i="14"/>
  <c r="DW76" i="14"/>
  <c r="DX76" i="14"/>
  <c r="DY76" i="14"/>
  <c r="DZ76" i="14"/>
  <c r="EA76" i="14"/>
  <c r="EB76" i="14"/>
  <c r="EC76" i="14"/>
  <c r="ED76" i="14"/>
  <c r="EE76" i="14"/>
  <c r="DT77" i="14"/>
  <c r="DU77" i="14"/>
  <c r="DV77" i="14"/>
  <c r="DW77" i="14"/>
  <c r="DX77" i="14"/>
  <c r="DY77" i="14"/>
  <c r="DZ77" i="14"/>
  <c r="EA77" i="14"/>
  <c r="EB77" i="14"/>
  <c r="EC77" i="14"/>
  <c r="ED77" i="14"/>
  <c r="EE77" i="14"/>
  <c r="DT78" i="14"/>
  <c r="DU78" i="14"/>
  <c r="DV78" i="14"/>
  <c r="DW78" i="14"/>
  <c r="DX78" i="14"/>
  <c r="DY78" i="14"/>
  <c r="DZ78" i="14"/>
  <c r="EA78" i="14"/>
  <c r="EB78" i="14"/>
  <c r="EC78" i="14"/>
  <c r="ED78" i="14"/>
  <c r="EE78" i="14"/>
  <c r="DT79" i="14"/>
  <c r="DU79" i="14"/>
  <c r="DV79" i="14"/>
  <c r="DW79" i="14"/>
  <c r="DX79" i="14"/>
  <c r="DY79" i="14"/>
  <c r="DZ79" i="14"/>
  <c r="EA79" i="14"/>
  <c r="EB79" i="14"/>
  <c r="EC79" i="14"/>
  <c r="ED79" i="14"/>
  <c r="EE79" i="14"/>
  <c r="DT80" i="14"/>
  <c r="DU80" i="14"/>
  <c r="DV80" i="14"/>
  <c r="DW80" i="14"/>
  <c r="DX80" i="14"/>
  <c r="DY80" i="14"/>
  <c r="DZ80" i="14"/>
  <c r="EA80" i="14"/>
  <c r="EB80" i="14"/>
  <c r="EC80" i="14"/>
  <c r="ED80" i="14"/>
  <c r="EE80" i="14"/>
  <c r="DT81" i="14"/>
  <c r="DU81" i="14"/>
  <c r="DV81" i="14"/>
  <c r="DW81" i="14"/>
  <c r="DX81" i="14"/>
  <c r="DY81" i="14"/>
  <c r="DZ81" i="14"/>
  <c r="EA81" i="14"/>
  <c r="EB81" i="14"/>
  <c r="EC81" i="14"/>
  <c r="ED81" i="14"/>
  <c r="EE81" i="14"/>
  <c r="DT82" i="14"/>
  <c r="DU82" i="14"/>
  <c r="DV82" i="14"/>
  <c r="DW82" i="14"/>
  <c r="DX82" i="14"/>
  <c r="DY82" i="14"/>
  <c r="DZ82" i="14"/>
  <c r="EA82" i="14"/>
  <c r="EB82" i="14"/>
  <c r="EC82" i="14"/>
  <c r="ED82" i="14"/>
  <c r="EE82" i="14"/>
  <c r="DT83" i="14"/>
  <c r="DU83" i="14"/>
  <c r="DV83" i="14"/>
  <c r="DW83" i="14"/>
  <c r="DX83" i="14"/>
  <c r="DY83" i="14"/>
  <c r="DZ83" i="14"/>
  <c r="EA83" i="14"/>
  <c r="EB83" i="14"/>
  <c r="EC83" i="14"/>
  <c r="ED83" i="14"/>
  <c r="EE83" i="14"/>
  <c r="DT84" i="14"/>
  <c r="DU84" i="14"/>
  <c r="DV84" i="14"/>
  <c r="DW84" i="14"/>
  <c r="DX84" i="14"/>
  <c r="DY84" i="14"/>
  <c r="DZ84" i="14"/>
  <c r="EA84" i="14"/>
  <c r="EB84" i="14"/>
  <c r="EC84" i="14"/>
  <c r="ED84" i="14"/>
  <c r="EE84" i="14"/>
  <c r="DT85" i="14"/>
  <c r="DU85" i="14"/>
  <c r="DV85" i="14"/>
  <c r="DW85" i="14"/>
  <c r="DX85" i="14"/>
  <c r="DY85" i="14"/>
  <c r="DZ85" i="14"/>
  <c r="EA85" i="14"/>
  <c r="EB85" i="14"/>
  <c r="EC85" i="14"/>
  <c r="ED85" i="14"/>
  <c r="EE85" i="14"/>
  <c r="DT86" i="14"/>
  <c r="DU86" i="14"/>
  <c r="DV86" i="14"/>
  <c r="DW86" i="14"/>
  <c r="DX86" i="14"/>
  <c r="DY86" i="14"/>
  <c r="DZ86" i="14"/>
  <c r="EA86" i="14"/>
  <c r="EB86" i="14"/>
  <c r="EC86" i="14"/>
  <c r="ED86" i="14"/>
  <c r="EE86" i="14"/>
  <c r="DT87" i="14"/>
  <c r="DU87" i="14"/>
  <c r="DV87" i="14"/>
  <c r="DW87" i="14"/>
  <c r="DX87" i="14"/>
  <c r="DY87" i="14"/>
  <c r="DZ87" i="14"/>
  <c r="EA87" i="14"/>
  <c r="EB87" i="14"/>
  <c r="EC87" i="14"/>
  <c r="ED87" i="14"/>
  <c r="EE87" i="14"/>
  <c r="DT88" i="14"/>
  <c r="DU88" i="14"/>
  <c r="DV88" i="14"/>
  <c r="DW88" i="14"/>
  <c r="DX88" i="14"/>
  <c r="DY88" i="14"/>
  <c r="DZ88" i="14"/>
  <c r="EA88" i="14"/>
  <c r="EB88" i="14"/>
  <c r="EC88" i="14"/>
  <c r="ED88" i="14"/>
  <c r="EE88" i="14"/>
  <c r="DT89" i="14"/>
  <c r="DU89" i="14"/>
  <c r="DV89" i="14"/>
  <c r="DW89" i="14"/>
  <c r="DX89" i="14"/>
  <c r="DY89" i="14"/>
  <c r="DZ89" i="14"/>
  <c r="EA89" i="14"/>
  <c r="EB89" i="14"/>
  <c r="EC89" i="14"/>
  <c r="ED89" i="14"/>
  <c r="EE89" i="14"/>
  <c r="DT90" i="14"/>
  <c r="DU90" i="14"/>
  <c r="DV90" i="14"/>
  <c r="DW90" i="14"/>
  <c r="DX90" i="14"/>
  <c r="DY90" i="14"/>
  <c r="DZ90" i="14"/>
  <c r="EA90" i="14"/>
  <c r="EB90" i="14"/>
  <c r="EC90" i="14"/>
  <c r="ED90" i="14"/>
  <c r="EE90" i="14"/>
  <c r="DT91" i="14"/>
  <c r="DU91" i="14"/>
  <c r="DV91" i="14"/>
  <c r="DW91" i="14"/>
  <c r="DX91" i="14"/>
  <c r="DY91" i="14"/>
  <c r="DZ91" i="14"/>
  <c r="EA91" i="14"/>
  <c r="EB91" i="14"/>
  <c r="EC91" i="14"/>
  <c r="ED91" i="14"/>
  <c r="EE91" i="14"/>
  <c r="DT92" i="14"/>
  <c r="DU92" i="14"/>
  <c r="DV92" i="14"/>
  <c r="DW92" i="14"/>
  <c r="DX92" i="14"/>
  <c r="DY92" i="14"/>
  <c r="DZ92" i="14"/>
  <c r="EA92" i="14"/>
  <c r="EB92" i="14"/>
  <c r="EC92" i="14"/>
  <c r="ED92" i="14"/>
  <c r="EE92" i="14"/>
  <c r="DT93" i="14"/>
  <c r="DU93" i="14"/>
  <c r="DV93" i="14"/>
  <c r="DW93" i="14"/>
  <c r="DX93" i="14"/>
  <c r="DY93" i="14"/>
  <c r="DZ93" i="14"/>
  <c r="EA93" i="14"/>
  <c r="EB93" i="14"/>
  <c r="EC93" i="14"/>
  <c r="ED93" i="14"/>
  <c r="EE93" i="14"/>
  <c r="DT94" i="14"/>
  <c r="DU94" i="14"/>
  <c r="DV94" i="14"/>
  <c r="DW94" i="14"/>
  <c r="DX94" i="14"/>
  <c r="DY94" i="14"/>
  <c r="DZ94" i="14"/>
  <c r="EA94" i="14"/>
  <c r="EB94" i="14"/>
  <c r="EC94" i="14"/>
  <c r="ED94" i="14"/>
  <c r="EE94" i="14"/>
  <c r="DT95" i="14"/>
  <c r="DU95" i="14"/>
  <c r="DV95" i="14"/>
  <c r="DW95" i="14"/>
  <c r="DX95" i="14"/>
  <c r="DY95" i="14"/>
  <c r="DZ95" i="14"/>
  <c r="EA95" i="14"/>
  <c r="EB95" i="14"/>
  <c r="EC95" i="14"/>
  <c r="ED95" i="14"/>
  <c r="EE95" i="14"/>
  <c r="DT96" i="14"/>
  <c r="DU96" i="14"/>
  <c r="DV96" i="14"/>
  <c r="DW96" i="14"/>
  <c r="DX96" i="14"/>
  <c r="DY96" i="14"/>
  <c r="DZ96" i="14"/>
  <c r="EA96" i="14"/>
  <c r="EB96" i="14"/>
  <c r="EC96" i="14"/>
  <c r="ED96" i="14"/>
  <c r="EE96" i="14"/>
  <c r="DT97" i="14"/>
  <c r="DU97" i="14"/>
  <c r="DV97" i="14"/>
  <c r="DW97" i="14"/>
  <c r="DX97" i="14"/>
  <c r="DY97" i="14"/>
  <c r="DZ97" i="14"/>
  <c r="EA97" i="14"/>
  <c r="EB97" i="14"/>
  <c r="EC97" i="14"/>
  <c r="ED97" i="14"/>
  <c r="EE97" i="14"/>
  <c r="DT98" i="14"/>
  <c r="DU98" i="14"/>
  <c r="DV98" i="14"/>
  <c r="DW98" i="14"/>
  <c r="DX98" i="14"/>
  <c r="DY98" i="14"/>
  <c r="DZ98" i="14"/>
  <c r="EA98" i="14"/>
  <c r="EB98" i="14"/>
  <c r="EC98" i="14"/>
  <c r="ED98" i="14"/>
  <c r="EE98" i="14"/>
  <c r="DT99" i="14"/>
  <c r="DU99" i="14"/>
  <c r="DV99" i="14"/>
  <c r="DW99" i="14"/>
  <c r="DX99" i="14"/>
  <c r="DY99" i="14"/>
  <c r="DZ99" i="14"/>
  <c r="EA99" i="14"/>
  <c r="EB99" i="14"/>
  <c r="EC99" i="14"/>
  <c r="ED99" i="14"/>
  <c r="EE99" i="14"/>
  <c r="DT100" i="14"/>
  <c r="DU100" i="14"/>
  <c r="DV100" i="14"/>
  <c r="DW100" i="14"/>
  <c r="DX100" i="14"/>
  <c r="DY100" i="14"/>
  <c r="DZ100" i="14"/>
  <c r="EA100" i="14"/>
  <c r="EB100" i="14"/>
  <c r="EC100" i="14"/>
  <c r="ED100" i="14"/>
  <c r="EE100" i="14"/>
  <c r="DT101" i="14"/>
  <c r="DU101" i="14"/>
  <c r="DV101" i="14"/>
  <c r="DW101" i="14"/>
  <c r="DX101" i="14"/>
  <c r="DY101" i="14"/>
  <c r="DZ101" i="14"/>
  <c r="EA101" i="14"/>
  <c r="EB101" i="14"/>
  <c r="EC101" i="14"/>
  <c r="ED101" i="14"/>
  <c r="EE101" i="14"/>
  <c r="DU1" i="14"/>
  <c r="DV1" i="14"/>
  <c r="DW1" i="14"/>
  <c r="DX1" i="14"/>
  <c r="DY1" i="14"/>
  <c r="DZ1" i="14"/>
  <c r="EA1" i="14"/>
  <c r="EB1" i="14"/>
  <c r="EC1" i="14"/>
  <c r="ED1" i="14"/>
  <c r="EE1" i="14"/>
  <c r="DT1" i="14"/>
  <c r="DP2" i="14"/>
  <c r="DQ2" i="14"/>
  <c r="DR2" i="14"/>
  <c r="DS2" i="14"/>
  <c r="DP3" i="14"/>
  <c r="DQ3" i="14"/>
  <c r="DR3" i="14"/>
  <c r="DS3" i="14"/>
  <c r="DP4" i="14"/>
  <c r="DQ4" i="14"/>
  <c r="DR4" i="14"/>
  <c r="DS4" i="14"/>
  <c r="DP5" i="14"/>
  <c r="DQ5" i="14"/>
  <c r="DR5" i="14"/>
  <c r="DS5" i="14"/>
  <c r="DP6" i="14"/>
  <c r="DQ6" i="14"/>
  <c r="DR6" i="14"/>
  <c r="DS6" i="14"/>
  <c r="DP7" i="14"/>
  <c r="DQ7" i="14"/>
  <c r="DR7" i="14"/>
  <c r="DS7" i="14"/>
  <c r="DP8" i="14"/>
  <c r="DQ8" i="14"/>
  <c r="DR8" i="14"/>
  <c r="DS8" i="14"/>
  <c r="DP9" i="14"/>
  <c r="DQ9" i="14"/>
  <c r="DR9" i="14"/>
  <c r="DS9" i="14"/>
  <c r="DP10" i="14"/>
  <c r="DQ10" i="14"/>
  <c r="DR10" i="14"/>
  <c r="DS10" i="14"/>
  <c r="DP11" i="14"/>
  <c r="DQ11" i="14"/>
  <c r="DR11" i="14"/>
  <c r="DS11" i="14"/>
  <c r="DP12" i="14"/>
  <c r="DQ12" i="14"/>
  <c r="DR12" i="14"/>
  <c r="DS12" i="14"/>
  <c r="DP13" i="14"/>
  <c r="DQ13" i="14"/>
  <c r="DR13" i="14"/>
  <c r="DS13" i="14"/>
  <c r="DP14" i="14"/>
  <c r="DQ14" i="14"/>
  <c r="DR14" i="14"/>
  <c r="DS14" i="14"/>
  <c r="DP15" i="14"/>
  <c r="DQ15" i="14"/>
  <c r="DR15" i="14"/>
  <c r="DS15" i="14"/>
  <c r="DP16" i="14"/>
  <c r="DQ16" i="14"/>
  <c r="DR16" i="14"/>
  <c r="DS16" i="14"/>
  <c r="DP17" i="14"/>
  <c r="DQ17" i="14"/>
  <c r="DR17" i="14"/>
  <c r="DS17" i="14"/>
  <c r="DP18" i="14"/>
  <c r="DQ18" i="14"/>
  <c r="DR18" i="14"/>
  <c r="DS18" i="14"/>
  <c r="DP19" i="14"/>
  <c r="DQ19" i="14"/>
  <c r="DR19" i="14"/>
  <c r="DS19" i="14"/>
  <c r="DP20" i="14"/>
  <c r="DQ20" i="14"/>
  <c r="DR20" i="14"/>
  <c r="DS20" i="14"/>
  <c r="DP21" i="14"/>
  <c r="DQ21" i="14"/>
  <c r="DR21" i="14"/>
  <c r="DS21" i="14"/>
  <c r="DP22" i="14"/>
  <c r="DQ22" i="14"/>
  <c r="DR22" i="14"/>
  <c r="DS22" i="14"/>
  <c r="DP23" i="14"/>
  <c r="DQ23" i="14"/>
  <c r="DR23" i="14"/>
  <c r="DS23" i="14"/>
  <c r="DP24" i="14"/>
  <c r="DQ24" i="14"/>
  <c r="DR24" i="14"/>
  <c r="DS24" i="14"/>
  <c r="DP25" i="14"/>
  <c r="DQ25" i="14"/>
  <c r="DR25" i="14"/>
  <c r="DS25" i="14"/>
  <c r="DP26" i="14"/>
  <c r="DQ26" i="14"/>
  <c r="DR26" i="14"/>
  <c r="DS26" i="14"/>
  <c r="DP27" i="14"/>
  <c r="DQ27" i="14"/>
  <c r="DR27" i="14"/>
  <c r="DS27" i="14"/>
  <c r="DP28" i="14"/>
  <c r="DQ28" i="14"/>
  <c r="DR28" i="14"/>
  <c r="DS28" i="14"/>
  <c r="DP29" i="14"/>
  <c r="DQ29" i="14"/>
  <c r="DR29" i="14"/>
  <c r="DS29" i="14"/>
  <c r="DP30" i="14"/>
  <c r="DQ30" i="14"/>
  <c r="DR30" i="14"/>
  <c r="DS30" i="14"/>
  <c r="DP31" i="14"/>
  <c r="DQ31" i="14"/>
  <c r="DR31" i="14"/>
  <c r="DS31" i="14"/>
  <c r="DP32" i="14"/>
  <c r="DQ32" i="14"/>
  <c r="DR32" i="14"/>
  <c r="DS32" i="14"/>
  <c r="DP33" i="14"/>
  <c r="DQ33" i="14"/>
  <c r="DR33" i="14"/>
  <c r="DS33" i="14"/>
  <c r="DP34" i="14"/>
  <c r="DQ34" i="14"/>
  <c r="DR34" i="14"/>
  <c r="DS34" i="14"/>
  <c r="DP35" i="14"/>
  <c r="DQ35" i="14"/>
  <c r="DR35" i="14"/>
  <c r="DS35" i="14"/>
  <c r="DP36" i="14"/>
  <c r="DQ36" i="14"/>
  <c r="DR36" i="14"/>
  <c r="DS36" i="14"/>
  <c r="DP37" i="14"/>
  <c r="DQ37" i="14"/>
  <c r="DR37" i="14"/>
  <c r="DS37" i="14"/>
  <c r="DP38" i="14"/>
  <c r="DQ38" i="14"/>
  <c r="DR38" i="14"/>
  <c r="DS38" i="14"/>
  <c r="DP39" i="14"/>
  <c r="DQ39" i="14"/>
  <c r="DR39" i="14"/>
  <c r="DS39" i="14"/>
  <c r="DP40" i="14"/>
  <c r="DQ40" i="14"/>
  <c r="DR40" i="14"/>
  <c r="DS40" i="14"/>
  <c r="DP41" i="14"/>
  <c r="DQ41" i="14"/>
  <c r="DR41" i="14"/>
  <c r="DS41" i="14"/>
  <c r="DP42" i="14"/>
  <c r="DQ42" i="14"/>
  <c r="DR42" i="14"/>
  <c r="DS42" i="14"/>
  <c r="DP43" i="14"/>
  <c r="DQ43" i="14"/>
  <c r="DR43" i="14"/>
  <c r="DS43" i="14"/>
  <c r="DP44" i="14"/>
  <c r="DQ44" i="14"/>
  <c r="DR44" i="14"/>
  <c r="DS44" i="14"/>
  <c r="DP45" i="14"/>
  <c r="DQ45" i="14"/>
  <c r="DR45" i="14"/>
  <c r="DS45" i="14"/>
  <c r="DP46" i="14"/>
  <c r="DQ46" i="14"/>
  <c r="DR46" i="14"/>
  <c r="DS46" i="14"/>
  <c r="DP47" i="14"/>
  <c r="DQ47" i="14"/>
  <c r="DR47" i="14"/>
  <c r="DS47" i="14"/>
  <c r="DP48" i="14"/>
  <c r="DQ48" i="14"/>
  <c r="DR48" i="14"/>
  <c r="DS48" i="14"/>
  <c r="DP49" i="14"/>
  <c r="DQ49" i="14"/>
  <c r="DR49" i="14"/>
  <c r="DS49" i="14"/>
  <c r="DP50" i="14"/>
  <c r="DQ50" i="14"/>
  <c r="DR50" i="14"/>
  <c r="DS50" i="14"/>
  <c r="DP51" i="14"/>
  <c r="DQ51" i="14"/>
  <c r="DR51" i="14"/>
  <c r="DS51" i="14"/>
  <c r="DP52" i="14"/>
  <c r="DQ52" i="14"/>
  <c r="DR52" i="14"/>
  <c r="DS52" i="14"/>
  <c r="DP53" i="14"/>
  <c r="DQ53" i="14"/>
  <c r="DR53" i="14"/>
  <c r="DS53" i="14"/>
  <c r="DP54" i="14"/>
  <c r="DQ54" i="14"/>
  <c r="DR54" i="14"/>
  <c r="DS54" i="14"/>
  <c r="DP55" i="14"/>
  <c r="DQ55" i="14"/>
  <c r="DR55" i="14"/>
  <c r="DS55" i="14"/>
  <c r="DP56" i="14"/>
  <c r="DQ56" i="14"/>
  <c r="DR56" i="14"/>
  <c r="DS56" i="14"/>
  <c r="DP57" i="14"/>
  <c r="DQ57" i="14"/>
  <c r="DR57" i="14"/>
  <c r="DS57" i="14"/>
  <c r="DP58" i="14"/>
  <c r="DQ58" i="14"/>
  <c r="DR58" i="14"/>
  <c r="DS58" i="14"/>
  <c r="DP59" i="14"/>
  <c r="DQ59" i="14"/>
  <c r="DR59" i="14"/>
  <c r="DS59" i="14"/>
  <c r="DP60" i="14"/>
  <c r="DQ60" i="14"/>
  <c r="DR60" i="14"/>
  <c r="DS60" i="14"/>
  <c r="DP61" i="14"/>
  <c r="DQ61" i="14"/>
  <c r="DR61" i="14"/>
  <c r="DS61" i="14"/>
  <c r="DP62" i="14"/>
  <c r="DQ62" i="14"/>
  <c r="DR62" i="14"/>
  <c r="DS62" i="14"/>
  <c r="DP63" i="14"/>
  <c r="DQ63" i="14"/>
  <c r="DR63" i="14"/>
  <c r="DS63" i="14"/>
  <c r="DP64" i="14"/>
  <c r="DQ64" i="14"/>
  <c r="DR64" i="14"/>
  <c r="DS64" i="14"/>
  <c r="DP65" i="14"/>
  <c r="DQ65" i="14"/>
  <c r="DR65" i="14"/>
  <c r="DS65" i="14"/>
  <c r="DP66" i="14"/>
  <c r="DQ66" i="14"/>
  <c r="DR66" i="14"/>
  <c r="DS66" i="14"/>
  <c r="DP67" i="14"/>
  <c r="DQ67" i="14"/>
  <c r="DR67" i="14"/>
  <c r="DS67" i="14"/>
  <c r="DP68" i="14"/>
  <c r="DQ68" i="14"/>
  <c r="DR68" i="14"/>
  <c r="DS68" i="14"/>
  <c r="DP69" i="14"/>
  <c r="DQ69" i="14"/>
  <c r="DR69" i="14"/>
  <c r="DS69" i="14"/>
  <c r="DP70" i="14"/>
  <c r="DQ70" i="14"/>
  <c r="DR70" i="14"/>
  <c r="DS70" i="14"/>
  <c r="DP71" i="14"/>
  <c r="DQ71" i="14"/>
  <c r="DR71" i="14"/>
  <c r="DS71" i="14"/>
  <c r="DP72" i="14"/>
  <c r="DQ72" i="14"/>
  <c r="DR72" i="14"/>
  <c r="DS72" i="14"/>
  <c r="DP73" i="14"/>
  <c r="DQ73" i="14"/>
  <c r="DR73" i="14"/>
  <c r="DS73" i="14"/>
  <c r="DP74" i="14"/>
  <c r="DQ74" i="14"/>
  <c r="DR74" i="14"/>
  <c r="DS74" i="14"/>
  <c r="DP75" i="14"/>
  <c r="DQ75" i="14"/>
  <c r="DR75" i="14"/>
  <c r="DS75" i="14"/>
  <c r="DP76" i="14"/>
  <c r="DQ76" i="14"/>
  <c r="DR76" i="14"/>
  <c r="DS76" i="14"/>
  <c r="DP77" i="14"/>
  <c r="DQ77" i="14"/>
  <c r="DR77" i="14"/>
  <c r="DS77" i="14"/>
  <c r="DP78" i="14"/>
  <c r="DQ78" i="14"/>
  <c r="DR78" i="14"/>
  <c r="DS78" i="14"/>
  <c r="DP79" i="14"/>
  <c r="DQ79" i="14"/>
  <c r="DR79" i="14"/>
  <c r="DS79" i="14"/>
  <c r="DP80" i="14"/>
  <c r="DQ80" i="14"/>
  <c r="DR80" i="14"/>
  <c r="DS80" i="14"/>
  <c r="DP81" i="14"/>
  <c r="DQ81" i="14"/>
  <c r="DR81" i="14"/>
  <c r="DS81" i="14"/>
  <c r="DP82" i="14"/>
  <c r="DQ82" i="14"/>
  <c r="DR82" i="14"/>
  <c r="DS82" i="14"/>
  <c r="DP83" i="14"/>
  <c r="DQ83" i="14"/>
  <c r="DR83" i="14"/>
  <c r="DS83" i="14"/>
  <c r="DP84" i="14"/>
  <c r="DQ84" i="14"/>
  <c r="DR84" i="14"/>
  <c r="DS84" i="14"/>
  <c r="DP85" i="14"/>
  <c r="DQ85" i="14"/>
  <c r="DR85" i="14"/>
  <c r="DS85" i="14"/>
  <c r="DP86" i="14"/>
  <c r="DQ86" i="14"/>
  <c r="DR86" i="14"/>
  <c r="DS86" i="14"/>
  <c r="DP87" i="14"/>
  <c r="DQ87" i="14"/>
  <c r="DR87" i="14"/>
  <c r="DS87" i="14"/>
  <c r="DP88" i="14"/>
  <c r="DQ88" i="14"/>
  <c r="DR88" i="14"/>
  <c r="DS88" i="14"/>
  <c r="DP89" i="14"/>
  <c r="DQ89" i="14"/>
  <c r="DR89" i="14"/>
  <c r="DS89" i="14"/>
  <c r="DP90" i="14"/>
  <c r="DQ90" i="14"/>
  <c r="DR90" i="14"/>
  <c r="DS90" i="14"/>
  <c r="DP91" i="14"/>
  <c r="DQ91" i="14"/>
  <c r="DR91" i="14"/>
  <c r="DS91" i="14"/>
  <c r="DP92" i="14"/>
  <c r="DQ92" i="14"/>
  <c r="DR92" i="14"/>
  <c r="DS92" i="14"/>
  <c r="DP93" i="14"/>
  <c r="DQ93" i="14"/>
  <c r="DR93" i="14"/>
  <c r="DS93" i="14"/>
  <c r="DP94" i="14"/>
  <c r="DQ94" i="14"/>
  <c r="DR94" i="14"/>
  <c r="DS94" i="14"/>
  <c r="DP95" i="14"/>
  <c r="DQ95" i="14"/>
  <c r="DR95" i="14"/>
  <c r="DS95" i="14"/>
  <c r="DP96" i="14"/>
  <c r="DQ96" i="14"/>
  <c r="DR96" i="14"/>
  <c r="DS96" i="14"/>
  <c r="DP97" i="14"/>
  <c r="DQ97" i="14"/>
  <c r="DR97" i="14"/>
  <c r="DS97" i="14"/>
  <c r="DP98" i="14"/>
  <c r="DQ98" i="14"/>
  <c r="DR98" i="14"/>
  <c r="DS98" i="14"/>
  <c r="DP99" i="14"/>
  <c r="DQ99" i="14"/>
  <c r="DR99" i="14"/>
  <c r="DS99" i="14"/>
  <c r="DP100" i="14"/>
  <c r="DQ100" i="14"/>
  <c r="DR100" i="14"/>
  <c r="DS100" i="14"/>
  <c r="DP101" i="14"/>
  <c r="DQ101" i="14"/>
  <c r="DR101" i="14"/>
  <c r="DS101" i="14"/>
  <c r="DO2" i="14"/>
  <c r="DO3" i="14"/>
  <c r="DO4" i="14"/>
  <c r="DO5" i="14"/>
  <c r="DO6" i="14"/>
  <c r="DO7" i="14"/>
  <c r="DO8" i="14"/>
  <c r="DO9" i="14"/>
  <c r="DO10" i="14"/>
  <c r="DO11" i="14"/>
  <c r="DO12" i="14"/>
  <c r="DO13" i="14"/>
  <c r="DO14" i="14"/>
  <c r="DO15" i="14"/>
  <c r="DO16" i="14"/>
  <c r="DO17" i="14"/>
  <c r="DO18" i="14"/>
  <c r="DO19" i="14"/>
  <c r="DO20" i="14"/>
  <c r="DO21" i="14"/>
  <c r="DO22" i="14"/>
  <c r="DO23" i="14"/>
  <c r="DO24" i="14"/>
  <c r="DO25" i="14"/>
  <c r="DO26" i="14"/>
  <c r="DO27" i="14"/>
  <c r="DO28" i="14"/>
  <c r="DO29" i="14"/>
  <c r="DO30" i="14"/>
  <c r="DO31" i="14"/>
  <c r="DO32" i="14"/>
  <c r="DO33" i="14"/>
  <c r="DO34" i="14"/>
  <c r="DO35" i="14"/>
  <c r="DO36" i="14"/>
  <c r="DO37" i="14"/>
  <c r="DO38" i="14"/>
  <c r="DO39" i="14"/>
  <c r="DO40" i="14"/>
  <c r="DO41" i="14"/>
  <c r="DO42" i="14"/>
  <c r="DO43" i="14"/>
  <c r="DO44" i="14"/>
  <c r="DO45" i="14"/>
  <c r="DO46" i="14"/>
  <c r="DO47" i="14"/>
  <c r="DO48" i="14"/>
  <c r="DO49" i="14"/>
  <c r="DO50" i="14"/>
  <c r="DO51" i="14"/>
  <c r="DO52" i="14"/>
  <c r="DO53" i="14"/>
  <c r="DO54" i="14"/>
  <c r="DO55" i="14"/>
  <c r="DO56" i="14"/>
  <c r="DO57" i="14"/>
  <c r="DO58" i="14"/>
  <c r="DO59" i="14"/>
  <c r="DO60" i="14"/>
  <c r="DO61" i="14"/>
  <c r="DO62" i="14"/>
  <c r="DO63" i="14"/>
  <c r="DO64" i="14"/>
  <c r="DO65" i="14"/>
  <c r="DO66" i="14"/>
  <c r="DO67" i="14"/>
  <c r="DO68" i="14"/>
  <c r="DO69" i="14"/>
  <c r="DO70" i="14"/>
  <c r="DO71" i="14"/>
  <c r="DO72" i="14"/>
  <c r="DO73" i="14"/>
  <c r="DO74" i="14"/>
  <c r="DO75" i="14"/>
  <c r="DO76" i="14"/>
  <c r="DO77" i="14"/>
  <c r="DO78" i="14"/>
  <c r="DO79" i="14"/>
  <c r="DO80" i="14"/>
  <c r="DO81" i="14"/>
  <c r="DO82" i="14"/>
  <c r="DO83" i="14"/>
  <c r="DO84" i="14"/>
  <c r="DO85" i="14"/>
  <c r="DO86" i="14"/>
  <c r="DO87" i="14"/>
  <c r="DO88" i="14"/>
  <c r="DO89" i="14"/>
  <c r="DO90" i="14"/>
  <c r="DO91" i="14"/>
  <c r="DO92" i="14"/>
  <c r="DO93" i="14"/>
  <c r="DO94" i="14"/>
  <c r="DO95" i="14"/>
  <c r="DO96" i="14"/>
  <c r="DO97" i="14"/>
  <c r="DO98" i="14"/>
  <c r="DO99" i="14"/>
  <c r="DO100" i="14"/>
  <c r="DO101" i="14"/>
  <c r="DN2" i="14"/>
  <c r="DN3" i="14"/>
  <c r="DN4" i="14"/>
  <c r="DN5" i="14"/>
  <c r="DN6" i="14"/>
  <c r="DN7" i="14"/>
  <c r="DN8" i="14"/>
  <c r="DN9" i="14"/>
  <c r="DN10" i="14"/>
  <c r="DN11" i="14"/>
  <c r="DN12" i="14"/>
  <c r="DN13" i="14"/>
  <c r="DN14" i="14"/>
  <c r="DN15" i="14"/>
  <c r="DN16" i="14"/>
  <c r="DN17" i="14"/>
  <c r="DN18" i="14"/>
  <c r="DN19" i="14"/>
  <c r="DN20" i="14"/>
  <c r="DN21" i="14"/>
  <c r="DN22" i="14"/>
  <c r="DN23" i="14"/>
  <c r="DN24" i="14"/>
  <c r="DN25" i="14"/>
  <c r="DN26" i="14"/>
  <c r="DN27" i="14"/>
  <c r="DN28" i="14"/>
  <c r="DN29" i="14"/>
  <c r="DN30" i="14"/>
  <c r="DN31" i="14"/>
  <c r="DN32" i="14"/>
  <c r="DN33" i="14"/>
  <c r="DN34" i="14"/>
  <c r="DN35" i="14"/>
  <c r="DN36" i="14"/>
  <c r="DN37" i="14"/>
  <c r="DN38" i="14"/>
  <c r="DN39" i="14"/>
  <c r="DN40" i="14"/>
  <c r="DN41" i="14"/>
  <c r="DN42" i="14"/>
  <c r="DN43" i="14"/>
  <c r="DN44" i="14"/>
  <c r="DN45" i="14"/>
  <c r="DN46" i="14"/>
  <c r="DN47" i="14"/>
  <c r="DN48" i="14"/>
  <c r="DN49" i="14"/>
  <c r="DN50" i="14"/>
  <c r="DN51" i="14"/>
  <c r="DN52" i="14"/>
  <c r="DN53" i="14"/>
  <c r="DN54" i="14"/>
  <c r="DN55" i="14"/>
  <c r="DN56" i="14"/>
  <c r="DN57" i="14"/>
  <c r="DN58" i="14"/>
  <c r="DN59" i="14"/>
  <c r="DN60" i="14"/>
  <c r="DN61" i="14"/>
  <c r="DN62" i="14"/>
  <c r="DN63" i="14"/>
  <c r="DN64" i="14"/>
  <c r="DN65" i="14"/>
  <c r="DN66" i="14"/>
  <c r="DN67" i="14"/>
  <c r="DN68" i="14"/>
  <c r="DN69" i="14"/>
  <c r="DN70" i="14"/>
  <c r="DN71" i="14"/>
  <c r="DN72" i="14"/>
  <c r="DN73" i="14"/>
  <c r="DN74" i="14"/>
  <c r="DN75" i="14"/>
  <c r="DN76" i="14"/>
  <c r="DN77" i="14"/>
  <c r="DN78" i="14"/>
  <c r="DN79" i="14"/>
  <c r="DN80" i="14"/>
  <c r="DN81" i="14"/>
  <c r="DN82" i="14"/>
  <c r="DN83" i="14"/>
  <c r="DN84" i="14"/>
  <c r="DN85" i="14"/>
  <c r="DN86" i="14"/>
  <c r="DN87" i="14"/>
  <c r="DN88" i="14"/>
  <c r="DN89" i="14"/>
  <c r="DN90" i="14"/>
  <c r="DN91" i="14"/>
  <c r="DN92" i="14"/>
  <c r="DN93" i="14"/>
  <c r="DN94" i="14"/>
  <c r="DN95" i="14"/>
  <c r="DN96" i="14"/>
  <c r="DN97" i="14"/>
  <c r="DN98" i="14"/>
  <c r="DN99" i="14"/>
  <c r="DN100" i="14"/>
  <c r="DN101" i="14"/>
  <c r="DS1" i="14"/>
  <c r="DO1" i="14"/>
  <c r="DP1" i="14"/>
  <c r="DQ1" i="14"/>
  <c r="DR1" i="14"/>
  <c r="DN1" i="14"/>
  <c r="DJ3" i="14"/>
  <c r="DK3" i="14"/>
  <c r="DL3" i="14"/>
  <c r="DM3" i="14"/>
  <c r="DJ4" i="14"/>
  <c r="DK4" i="14"/>
  <c r="DL4" i="14"/>
  <c r="DM4" i="14"/>
  <c r="DJ5" i="14"/>
  <c r="DK5" i="14"/>
  <c r="DL5" i="14"/>
  <c r="DM5" i="14"/>
  <c r="DJ6" i="14"/>
  <c r="DK6" i="14"/>
  <c r="DL6" i="14"/>
  <c r="DM6" i="14"/>
  <c r="DJ7" i="14"/>
  <c r="DK7" i="14"/>
  <c r="DL7" i="14"/>
  <c r="DM7" i="14"/>
  <c r="DJ8" i="14"/>
  <c r="DK8" i="14"/>
  <c r="DL8" i="14"/>
  <c r="DM8" i="14"/>
  <c r="DJ9" i="14"/>
  <c r="DK9" i="14"/>
  <c r="DL9" i="14"/>
  <c r="DM9" i="14"/>
  <c r="DJ10" i="14"/>
  <c r="DK10" i="14"/>
  <c r="DL10" i="14"/>
  <c r="DM10" i="14"/>
  <c r="DJ11" i="14"/>
  <c r="DK11" i="14"/>
  <c r="DL11" i="14"/>
  <c r="DM11" i="14"/>
  <c r="DJ12" i="14"/>
  <c r="DK12" i="14"/>
  <c r="DL12" i="14"/>
  <c r="DM12" i="14"/>
  <c r="DJ13" i="14"/>
  <c r="DK13" i="14"/>
  <c r="DL13" i="14"/>
  <c r="DM13" i="14"/>
  <c r="DJ14" i="14"/>
  <c r="DK14" i="14"/>
  <c r="DL14" i="14"/>
  <c r="DM14" i="14"/>
  <c r="DJ15" i="14"/>
  <c r="DK15" i="14"/>
  <c r="DL15" i="14"/>
  <c r="DM15" i="14"/>
  <c r="DJ16" i="14"/>
  <c r="DK16" i="14"/>
  <c r="DL16" i="14"/>
  <c r="DM16" i="14"/>
  <c r="DJ17" i="14"/>
  <c r="DK17" i="14"/>
  <c r="DL17" i="14"/>
  <c r="DM17" i="14"/>
  <c r="DJ18" i="14"/>
  <c r="DK18" i="14"/>
  <c r="DL18" i="14"/>
  <c r="DM18" i="14"/>
  <c r="DJ19" i="14"/>
  <c r="DK19" i="14"/>
  <c r="DL19" i="14"/>
  <c r="DM19" i="14"/>
  <c r="DJ20" i="14"/>
  <c r="DK20" i="14"/>
  <c r="DL20" i="14"/>
  <c r="DM20" i="14"/>
  <c r="DJ21" i="14"/>
  <c r="DK21" i="14"/>
  <c r="DL21" i="14"/>
  <c r="DM21" i="14"/>
  <c r="DJ22" i="14"/>
  <c r="DK22" i="14"/>
  <c r="DL22" i="14"/>
  <c r="DM22" i="14"/>
  <c r="DJ23" i="14"/>
  <c r="DK23" i="14"/>
  <c r="DL23" i="14"/>
  <c r="DM23" i="14"/>
  <c r="DJ24" i="14"/>
  <c r="DK24" i="14"/>
  <c r="DL24" i="14"/>
  <c r="DM24" i="14"/>
  <c r="DJ25" i="14"/>
  <c r="DK25" i="14"/>
  <c r="DL25" i="14"/>
  <c r="DM25" i="14"/>
  <c r="DJ26" i="14"/>
  <c r="DK26" i="14"/>
  <c r="DL26" i="14"/>
  <c r="DM26" i="14"/>
  <c r="DJ27" i="14"/>
  <c r="DK27" i="14"/>
  <c r="DL27" i="14"/>
  <c r="DM27" i="14"/>
  <c r="DJ28" i="14"/>
  <c r="DK28" i="14"/>
  <c r="DL28" i="14"/>
  <c r="DM28" i="14"/>
  <c r="DJ29" i="14"/>
  <c r="DK29" i="14"/>
  <c r="DL29" i="14"/>
  <c r="DM29" i="14"/>
  <c r="DJ30" i="14"/>
  <c r="DK30" i="14"/>
  <c r="DL30" i="14"/>
  <c r="DM30" i="14"/>
  <c r="DJ31" i="14"/>
  <c r="DK31" i="14"/>
  <c r="DL31" i="14"/>
  <c r="DM31" i="14"/>
  <c r="DJ32" i="14"/>
  <c r="DK32" i="14"/>
  <c r="DL32" i="14"/>
  <c r="DM32" i="14"/>
  <c r="DJ33" i="14"/>
  <c r="DK33" i="14"/>
  <c r="DL33" i="14"/>
  <c r="DM33" i="14"/>
  <c r="DJ34" i="14"/>
  <c r="DK34" i="14"/>
  <c r="DL34" i="14"/>
  <c r="DM34" i="14"/>
  <c r="DJ35" i="14"/>
  <c r="DK35" i="14"/>
  <c r="DL35" i="14"/>
  <c r="DM35" i="14"/>
  <c r="DJ36" i="14"/>
  <c r="DK36" i="14"/>
  <c r="DL36" i="14"/>
  <c r="DM36" i="14"/>
  <c r="DJ37" i="14"/>
  <c r="DK37" i="14"/>
  <c r="DL37" i="14"/>
  <c r="DM37" i="14"/>
  <c r="DJ38" i="14"/>
  <c r="DK38" i="14"/>
  <c r="DL38" i="14"/>
  <c r="DM38" i="14"/>
  <c r="DJ39" i="14"/>
  <c r="DK39" i="14"/>
  <c r="DL39" i="14"/>
  <c r="DM39" i="14"/>
  <c r="DJ40" i="14"/>
  <c r="DK40" i="14"/>
  <c r="DL40" i="14"/>
  <c r="DM40" i="14"/>
  <c r="DJ41" i="14"/>
  <c r="DK41" i="14"/>
  <c r="DL41" i="14"/>
  <c r="DM41" i="14"/>
  <c r="DJ42" i="14"/>
  <c r="DK42" i="14"/>
  <c r="DL42" i="14"/>
  <c r="DM42" i="14"/>
  <c r="DJ43" i="14"/>
  <c r="DK43" i="14"/>
  <c r="DL43" i="14"/>
  <c r="DM43" i="14"/>
  <c r="DJ44" i="14"/>
  <c r="DK44" i="14"/>
  <c r="DL44" i="14"/>
  <c r="DM44" i="14"/>
  <c r="DJ45" i="14"/>
  <c r="DK45" i="14"/>
  <c r="DL45" i="14"/>
  <c r="DM45" i="14"/>
  <c r="DJ46" i="14"/>
  <c r="DK46" i="14"/>
  <c r="DL46" i="14"/>
  <c r="DM46" i="14"/>
  <c r="DJ47" i="14"/>
  <c r="DK47" i="14"/>
  <c r="DL47" i="14"/>
  <c r="DM47" i="14"/>
  <c r="DJ48" i="14"/>
  <c r="DK48" i="14"/>
  <c r="DL48" i="14"/>
  <c r="DM48" i="14"/>
  <c r="DJ49" i="14"/>
  <c r="DK49" i="14"/>
  <c r="DL49" i="14"/>
  <c r="DM49" i="14"/>
  <c r="DJ50" i="14"/>
  <c r="DK50" i="14"/>
  <c r="DL50" i="14"/>
  <c r="DM50" i="14"/>
  <c r="DJ51" i="14"/>
  <c r="DK51" i="14"/>
  <c r="DL51" i="14"/>
  <c r="DM51" i="14"/>
  <c r="DJ52" i="14"/>
  <c r="DK52" i="14"/>
  <c r="DL52" i="14"/>
  <c r="DM52" i="14"/>
  <c r="DJ53" i="14"/>
  <c r="DK53" i="14"/>
  <c r="DL53" i="14"/>
  <c r="DM53" i="14"/>
  <c r="DJ54" i="14"/>
  <c r="DK54" i="14"/>
  <c r="DL54" i="14"/>
  <c r="DM54" i="14"/>
  <c r="DJ55" i="14"/>
  <c r="DK55" i="14"/>
  <c r="DL55" i="14"/>
  <c r="DM55" i="14"/>
  <c r="DJ56" i="14"/>
  <c r="DK56" i="14"/>
  <c r="DL56" i="14"/>
  <c r="DM56" i="14"/>
  <c r="DJ57" i="14"/>
  <c r="DK57" i="14"/>
  <c r="DL57" i="14"/>
  <c r="DM57" i="14"/>
  <c r="DJ58" i="14"/>
  <c r="DK58" i="14"/>
  <c r="DL58" i="14"/>
  <c r="DM58" i="14"/>
  <c r="DJ59" i="14"/>
  <c r="DK59" i="14"/>
  <c r="DL59" i="14"/>
  <c r="DM59" i="14"/>
  <c r="DJ60" i="14"/>
  <c r="DK60" i="14"/>
  <c r="DL60" i="14"/>
  <c r="DM60" i="14"/>
  <c r="DJ61" i="14"/>
  <c r="DK61" i="14"/>
  <c r="DL61" i="14"/>
  <c r="DM61" i="14"/>
  <c r="DJ62" i="14"/>
  <c r="DK62" i="14"/>
  <c r="DL62" i="14"/>
  <c r="DM62" i="14"/>
  <c r="DJ63" i="14"/>
  <c r="DK63" i="14"/>
  <c r="DL63" i="14"/>
  <c r="DM63" i="14"/>
  <c r="DJ64" i="14"/>
  <c r="DK64" i="14"/>
  <c r="DL64" i="14"/>
  <c r="DM64" i="14"/>
  <c r="DJ65" i="14"/>
  <c r="DK65" i="14"/>
  <c r="DL65" i="14"/>
  <c r="DM65" i="14"/>
  <c r="DJ66" i="14"/>
  <c r="DK66" i="14"/>
  <c r="DL66" i="14"/>
  <c r="DM66" i="14"/>
  <c r="DJ67" i="14"/>
  <c r="DK67" i="14"/>
  <c r="DL67" i="14"/>
  <c r="DM67" i="14"/>
  <c r="DJ68" i="14"/>
  <c r="DK68" i="14"/>
  <c r="DL68" i="14"/>
  <c r="DM68" i="14"/>
  <c r="DJ69" i="14"/>
  <c r="DK69" i="14"/>
  <c r="DL69" i="14"/>
  <c r="DM69" i="14"/>
  <c r="DJ70" i="14"/>
  <c r="DK70" i="14"/>
  <c r="DL70" i="14"/>
  <c r="DM70" i="14"/>
  <c r="DJ71" i="14"/>
  <c r="DK71" i="14"/>
  <c r="DL71" i="14"/>
  <c r="DM71" i="14"/>
  <c r="DJ72" i="14"/>
  <c r="DK72" i="14"/>
  <c r="DL72" i="14"/>
  <c r="DM72" i="14"/>
  <c r="DJ73" i="14"/>
  <c r="DK73" i="14"/>
  <c r="DL73" i="14"/>
  <c r="DM73" i="14"/>
  <c r="DJ74" i="14"/>
  <c r="DK74" i="14"/>
  <c r="DL74" i="14"/>
  <c r="DM74" i="14"/>
  <c r="DJ75" i="14"/>
  <c r="DK75" i="14"/>
  <c r="DL75" i="14"/>
  <c r="DM75" i="14"/>
  <c r="DJ76" i="14"/>
  <c r="DK76" i="14"/>
  <c r="DL76" i="14"/>
  <c r="DM76" i="14"/>
  <c r="DJ77" i="14"/>
  <c r="DK77" i="14"/>
  <c r="DL77" i="14"/>
  <c r="DM77" i="14"/>
  <c r="DJ78" i="14"/>
  <c r="DK78" i="14"/>
  <c r="DL78" i="14"/>
  <c r="DM78" i="14"/>
  <c r="DJ79" i="14"/>
  <c r="DK79" i="14"/>
  <c r="DL79" i="14"/>
  <c r="DM79" i="14"/>
  <c r="DJ80" i="14"/>
  <c r="DK80" i="14"/>
  <c r="DL80" i="14"/>
  <c r="DM80" i="14"/>
  <c r="DJ81" i="14"/>
  <c r="DK81" i="14"/>
  <c r="DL81" i="14"/>
  <c r="DM81" i="14"/>
  <c r="DJ82" i="14"/>
  <c r="DK82" i="14"/>
  <c r="DL82" i="14"/>
  <c r="DM82" i="14"/>
  <c r="DJ83" i="14"/>
  <c r="DK83" i="14"/>
  <c r="DL83" i="14"/>
  <c r="DM83" i="14"/>
  <c r="DJ84" i="14"/>
  <c r="DK84" i="14"/>
  <c r="DL84" i="14"/>
  <c r="DM84" i="14"/>
  <c r="DJ85" i="14"/>
  <c r="DK85" i="14"/>
  <c r="DL85" i="14"/>
  <c r="DM85" i="14"/>
  <c r="DJ86" i="14"/>
  <c r="DK86" i="14"/>
  <c r="DL86" i="14"/>
  <c r="DM86" i="14"/>
  <c r="DJ87" i="14"/>
  <c r="DK87" i="14"/>
  <c r="DL87" i="14"/>
  <c r="DM87" i="14"/>
  <c r="DJ88" i="14"/>
  <c r="DK88" i="14"/>
  <c r="DL88" i="14"/>
  <c r="DM88" i="14"/>
  <c r="DJ89" i="14"/>
  <c r="DK89" i="14"/>
  <c r="DL89" i="14"/>
  <c r="DM89" i="14"/>
  <c r="DJ90" i="14"/>
  <c r="DK90" i="14"/>
  <c r="DL90" i="14"/>
  <c r="DM90" i="14"/>
  <c r="DJ91" i="14"/>
  <c r="DK91" i="14"/>
  <c r="DL91" i="14"/>
  <c r="DM91" i="14"/>
  <c r="DJ92" i="14"/>
  <c r="DK92" i="14"/>
  <c r="DL92" i="14"/>
  <c r="DM92" i="14"/>
  <c r="DJ93" i="14"/>
  <c r="DK93" i="14"/>
  <c r="DL93" i="14"/>
  <c r="DM93" i="14"/>
  <c r="DJ94" i="14"/>
  <c r="DK94" i="14"/>
  <c r="DL94" i="14"/>
  <c r="DM94" i="14"/>
  <c r="DJ95" i="14"/>
  <c r="DK95" i="14"/>
  <c r="DL95" i="14"/>
  <c r="DM95" i="14"/>
  <c r="DJ96" i="14"/>
  <c r="DK96" i="14"/>
  <c r="DL96" i="14"/>
  <c r="DM96" i="14"/>
  <c r="DJ97" i="14"/>
  <c r="DK97" i="14"/>
  <c r="DL97" i="14"/>
  <c r="DM97" i="14"/>
  <c r="DJ98" i="14"/>
  <c r="DK98" i="14"/>
  <c r="DL98" i="14"/>
  <c r="DM98" i="14"/>
  <c r="DJ99" i="14"/>
  <c r="DK99" i="14"/>
  <c r="DL99" i="14"/>
  <c r="DM99" i="14"/>
  <c r="DJ100" i="14"/>
  <c r="DK100" i="14"/>
  <c r="DL100" i="14"/>
  <c r="DM100" i="14"/>
  <c r="DJ101" i="14"/>
  <c r="DK101" i="14"/>
  <c r="DL101" i="14"/>
  <c r="DM101" i="14"/>
  <c r="DK2" i="14"/>
  <c r="DL2" i="14"/>
  <c r="DM2" i="14"/>
  <c r="DJ2" i="14"/>
  <c r="DI3" i="14"/>
  <c r="DI4" i="14"/>
  <c r="DI5" i="14"/>
  <c r="DI6" i="14"/>
  <c r="DI7" i="14"/>
  <c r="DI8" i="14"/>
  <c r="DI9" i="14"/>
  <c r="DI10" i="14"/>
  <c r="DI11" i="14"/>
  <c r="DI12" i="14"/>
  <c r="DI13" i="14"/>
  <c r="DI14" i="14"/>
  <c r="DI15" i="14"/>
  <c r="DI16" i="14"/>
  <c r="DI17" i="14"/>
  <c r="DI18" i="14"/>
  <c r="DI19" i="14"/>
  <c r="DI20" i="14"/>
  <c r="DI21" i="14"/>
  <c r="DI22" i="14"/>
  <c r="DI23" i="14"/>
  <c r="DI24" i="14"/>
  <c r="DI25" i="14"/>
  <c r="DI26" i="14"/>
  <c r="DI27" i="14"/>
  <c r="DI28" i="14"/>
  <c r="DI29" i="14"/>
  <c r="DI30" i="14"/>
  <c r="DI31" i="14"/>
  <c r="DI32" i="14"/>
  <c r="DI33" i="14"/>
  <c r="DI34" i="14"/>
  <c r="DI35" i="14"/>
  <c r="DI36" i="14"/>
  <c r="DI37" i="14"/>
  <c r="DI38" i="14"/>
  <c r="DI39" i="14"/>
  <c r="DI40" i="14"/>
  <c r="DI41" i="14"/>
  <c r="DI42" i="14"/>
  <c r="DI43" i="14"/>
  <c r="DI44" i="14"/>
  <c r="DI45" i="14"/>
  <c r="DI46" i="14"/>
  <c r="DI47" i="14"/>
  <c r="DI48" i="14"/>
  <c r="DI49" i="14"/>
  <c r="DI50" i="14"/>
  <c r="DI51" i="14"/>
  <c r="DI52" i="14"/>
  <c r="DI53" i="14"/>
  <c r="DI54" i="14"/>
  <c r="DI55" i="14"/>
  <c r="DI56" i="14"/>
  <c r="DI57" i="14"/>
  <c r="DI58" i="14"/>
  <c r="DI59" i="14"/>
  <c r="DI60" i="14"/>
  <c r="DI61" i="14"/>
  <c r="DI62" i="14"/>
  <c r="DI63" i="14"/>
  <c r="DI64" i="14"/>
  <c r="DI65" i="14"/>
  <c r="DI66" i="14"/>
  <c r="DI67" i="14"/>
  <c r="DI68" i="14"/>
  <c r="DI69" i="14"/>
  <c r="DI70" i="14"/>
  <c r="DI71" i="14"/>
  <c r="DI72" i="14"/>
  <c r="DI73" i="14"/>
  <c r="DI74" i="14"/>
  <c r="DI75" i="14"/>
  <c r="DI76" i="14"/>
  <c r="DI77" i="14"/>
  <c r="DI78" i="14"/>
  <c r="DI79" i="14"/>
  <c r="DI80" i="14"/>
  <c r="DI81" i="14"/>
  <c r="DI82" i="14"/>
  <c r="DI83" i="14"/>
  <c r="DI84" i="14"/>
  <c r="DI85" i="14"/>
  <c r="DI86" i="14"/>
  <c r="DI87" i="14"/>
  <c r="DI88" i="14"/>
  <c r="DI89" i="14"/>
  <c r="DI90" i="14"/>
  <c r="DI91" i="14"/>
  <c r="DI92" i="14"/>
  <c r="DI93" i="14"/>
  <c r="DI94" i="14"/>
  <c r="DI95" i="14"/>
  <c r="DI96" i="14"/>
  <c r="DI97" i="14"/>
  <c r="DI98" i="14"/>
  <c r="DI99" i="14"/>
  <c r="DI100" i="14"/>
  <c r="DI101" i="14"/>
  <c r="DI2" i="14"/>
  <c r="DH3" i="14"/>
  <c r="DH4" i="14"/>
  <c r="DH5" i="14"/>
  <c r="DH6" i="14"/>
  <c r="DH7" i="14"/>
  <c r="DH8" i="14"/>
  <c r="DH9" i="14"/>
  <c r="DH10" i="14"/>
  <c r="DH11" i="14"/>
  <c r="DH12" i="14"/>
  <c r="DH13" i="14"/>
  <c r="DH14" i="14"/>
  <c r="DH15" i="14"/>
  <c r="DH16" i="14"/>
  <c r="DH17" i="14"/>
  <c r="DH18" i="14"/>
  <c r="DH19" i="14"/>
  <c r="DH20" i="14"/>
  <c r="DH21" i="14"/>
  <c r="DH22" i="14"/>
  <c r="DH23" i="14"/>
  <c r="DH24" i="14"/>
  <c r="DH25" i="14"/>
  <c r="DH26" i="14"/>
  <c r="DH27" i="14"/>
  <c r="DH28" i="14"/>
  <c r="DH29" i="14"/>
  <c r="DH30" i="14"/>
  <c r="DH31" i="14"/>
  <c r="DH32" i="14"/>
  <c r="DH33" i="14"/>
  <c r="DH34" i="14"/>
  <c r="DH35" i="14"/>
  <c r="DH36" i="14"/>
  <c r="DH37" i="14"/>
  <c r="DH38" i="14"/>
  <c r="DH39" i="14"/>
  <c r="DH40" i="14"/>
  <c r="DH41" i="14"/>
  <c r="DH42" i="14"/>
  <c r="DH43" i="14"/>
  <c r="DH44" i="14"/>
  <c r="DH45" i="14"/>
  <c r="DH46" i="14"/>
  <c r="DH47" i="14"/>
  <c r="DH48" i="14"/>
  <c r="DH49" i="14"/>
  <c r="DH50" i="14"/>
  <c r="DH51" i="14"/>
  <c r="DH52" i="14"/>
  <c r="DH53" i="14"/>
  <c r="DH54" i="14"/>
  <c r="DH55" i="14"/>
  <c r="DH56" i="14"/>
  <c r="DH57" i="14"/>
  <c r="DH58" i="14"/>
  <c r="DH59" i="14"/>
  <c r="DH60" i="14"/>
  <c r="DH61" i="14"/>
  <c r="DH62" i="14"/>
  <c r="DH63" i="14"/>
  <c r="DH64" i="14"/>
  <c r="DH65" i="14"/>
  <c r="DH66" i="14"/>
  <c r="DH67" i="14"/>
  <c r="DH68" i="14"/>
  <c r="DH69" i="14"/>
  <c r="DH70" i="14"/>
  <c r="DH71" i="14"/>
  <c r="DH72" i="14"/>
  <c r="DH73" i="14"/>
  <c r="DH74" i="14"/>
  <c r="DH75" i="14"/>
  <c r="DH76" i="14"/>
  <c r="DH77" i="14"/>
  <c r="DH78" i="14"/>
  <c r="DH79" i="14"/>
  <c r="DH80" i="14"/>
  <c r="DH81" i="14"/>
  <c r="DH82" i="14"/>
  <c r="DH83" i="14"/>
  <c r="DH84" i="14"/>
  <c r="DH85" i="14"/>
  <c r="DH86" i="14"/>
  <c r="DH87" i="14"/>
  <c r="DH88" i="14"/>
  <c r="DH89" i="14"/>
  <c r="DH90" i="14"/>
  <c r="DH91" i="14"/>
  <c r="DH92" i="14"/>
  <c r="DH93" i="14"/>
  <c r="DH94" i="14"/>
  <c r="DH95" i="14"/>
  <c r="DH96" i="14"/>
  <c r="DH97" i="14"/>
  <c r="DH98" i="14"/>
  <c r="DH99" i="14"/>
  <c r="DH100" i="14"/>
  <c r="DH101" i="14"/>
  <c r="DH2" i="14"/>
  <c r="DG3" i="14"/>
  <c r="DG4" i="14"/>
  <c r="DG5" i="14"/>
  <c r="DG6" i="14"/>
  <c r="DG7" i="14"/>
  <c r="DG8" i="14"/>
  <c r="DG9" i="14"/>
  <c r="DG10" i="14"/>
  <c r="DG11" i="14"/>
  <c r="DG12" i="14"/>
  <c r="DG13" i="14"/>
  <c r="DG14" i="14"/>
  <c r="DG15" i="14"/>
  <c r="DG16" i="14"/>
  <c r="DG17" i="14"/>
  <c r="DG18" i="14"/>
  <c r="DG19" i="14"/>
  <c r="DG20" i="14"/>
  <c r="DG21" i="14"/>
  <c r="DG22" i="14"/>
  <c r="DG23" i="14"/>
  <c r="DG24" i="14"/>
  <c r="DG25" i="14"/>
  <c r="DG26" i="14"/>
  <c r="DG27" i="14"/>
  <c r="DG28" i="14"/>
  <c r="DG29" i="14"/>
  <c r="DG30" i="14"/>
  <c r="DG31" i="14"/>
  <c r="DG32" i="14"/>
  <c r="DG33" i="14"/>
  <c r="DG34" i="14"/>
  <c r="DG35" i="14"/>
  <c r="DG36" i="14"/>
  <c r="DG37" i="14"/>
  <c r="DG38" i="14"/>
  <c r="DG39" i="14"/>
  <c r="DG40" i="14"/>
  <c r="DG41" i="14"/>
  <c r="DG42" i="14"/>
  <c r="DG43" i="14"/>
  <c r="DG44" i="14"/>
  <c r="DG45" i="14"/>
  <c r="DG46" i="14"/>
  <c r="DG47" i="14"/>
  <c r="DG48" i="14"/>
  <c r="DG49" i="14"/>
  <c r="DG50" i="14"/>
  <c r="DG51" i="14"/>
  <c r="DG52" i="14"/>
  <c r="DG53" i="14"/>
  <c r="DG54" i="14"/>
  <c r="DG55" i="14"/>
  <c r="DG56" i="14"/>
  <c r="DG57" i="14"/>
  <c r="DG58" i="14"/>
  <c r="DG59" i="14"/>
  <c r="DG60" i="14"/>
  <c r="DG61" i="14"/>
  <c r="DG62" i="14"/>
  <c r="DG63" i="14"/>
  <c r="DG64" i="14"/>
  <c r="DG65" i="14"/>
  <c r="DG66" i="14"/>
  <c r="DG67" i="14"/>
  <c r="DG68" i="14"/>
  <c r="DG69" i="14"/>
  <c r="DG70" i="14"/>
  <c r="DG71" i="14"/>
  <c r="DG72" i="14"/>
  <c r="DG73" i="14"/>
  <c r="DG74" i="14"/>
  <c r="DG75" i="14"/>
  <c r="DG76" i="14"/>
  <c r="DG77" i="14"/>
  <c r="DG78" i="14"/>
  <c r="DG79" i="14"/>
  <c r="DG80" i="14"/>
  <c r="DG81" i="14"/>
  <c r="DG82" i="14"/>
  <c r="DG83" i="14"/>
  <c r="DG84" i="14"/>
  <c r="DG85" i="14"/>
  <c r="DG86" i="14"/>
  <c r="DG87" i="14"/>
  <c r="DG88" i="14"/>
  <c r="DG89" i="14"/>
  <c r="DG90" i="14"/>
  <c r="DG91" i="14"/>
  <c r="DG92" i="14"/>
  <c r="DG93" i="14"/>
  <c r="DG94" i="14"/>
  <c r="DG95" i="14"/>
  <c r="DG96" i="14"/>
  <c r="DG97" i="14"/>
  <c r="DG98" i="14"/>
  <c r="DG99" i="14"/>
  <c r="DG100" i="14"/>
  <c r="DG101" i="14"/>
  <c r="DG2" i="14"/>
  <c r="DF3" i="14"/>
  <c r="DF4" i="14"/>
  <c r="DF5" i="14"/>
  <c r="DF6" i="14"/>
  <c r="DF7" i="14"/>
  <c r="DF8" i="14"/>
  <c r="DF9" i="14"/>
  <c r="DF10" i="14"/>
  <c r="DF11" i="14"/>
  <c r="DF12" i="14"/>
  <c r="DF13" i="14"/>
  <c r="DF14" i="14"/>
  <c r="DF15" i="14"/>
  <c r="DF16" i="14"/>
  <c r="DF17" i="14"/>
  <c r="DF18" i="14"/>
  <c r="DF19" i="14"/>
  <c r="DF20" i="14"/>
  <c r="DF21" i="14"/>
  <c r="DF22" i="14"/>
  <c r="DF23" i="14"/>
  <c r="DF24" i="14"/>
  <c r="DF25" i="14"/>
  <c r="DF26" i="14"/>
  <c r="DF27" i="14"/>
  <c r="DF28" i="14"/>
  <c r="DF29" i="14"/>
  <c r="DF30" i="14"/>
  <c r="DF31" i="14"/>
  <c r="DF32" i="14"/>
  <c r="DF33" i="14"/>
  <c r="DF34" i="14"/>
  <c r="DF35" i="14"/>
  <c r="DF36" i="14"/>
  <c r="DF37" i="14"/>
  <c r="DF38" i="14"/>
  <c r="DF39" i="14"/>
  <c r="DF40" i="14"/>
  <c r="DF41" i="14"/>
  <c r="DF42" i="14"/>
  <c r="DF43" i="14"/>
  <c r="DF44" i="14"/>
  <c r="DF45" i="14"/>
  <c r="DF46" i="14"/>
  <c r="DF47" i="14"/>
  <c r="DF48" i="14"/>
  <c r="DF49" i="14"/>
  <c r="DF50" i="14"/>
  <c r="DF51" i="14"/>
  <c r="DF52" i="14"/>
  <c r="DF53" i="14"/>
  <c r="DF54" i="14"/>
  <c r="DF55" i="14"/>
  <c r="DF56" i="14"/>
  <c r="DF57" i="14"/>
  <c r="DF58" i="14"/>
  <c r="DF59" i="14"/>
  <c r="DF60" i="14"/>
  <c r="DF61" i="14"/>
  <c r="DF62" i="14"/>
  <c r="DF63" i="14"/>
  <c r="DF64" i="14"/>
  <c r="DF65" i="14"/>
  <c r="DF66" i="14"/>
  <c r="DF67" i="14"/>
  <c r="DF68" i="14"/>
  <c r="DF69" i="14"/>
  <c r="DF70" i="14"/>
  <c r="DF71" i="14"/>
  <c r="DF72" i="14"/>
  <c r="DF73" i="14"/>
  <c r="DF74" i="14"/>
  <c r="DF75" i="14"/>
  <c r="DF76" i="14"/>
  <c r="DF77" i="14"/>
  <c r="DF78" i="14"/>
  <c r="DF79" i="14"/>
  <c r="DF80" i="14"/>
  <c r="DF81" i="14"/>
  <c r="DF82" i="14"/>
  <c r="DF83" i="14"/>
  <c r="DF84" i="14"/>
  <c r="DF85" i="14"/>
  <c r="DF86" i="14"/>
  <c r="DF87" i="14"/>
  <c r="DF88" i="14"/>
  <c r="DF89" i="14"/>
  <c r="DF90" i="14"/>
  <c r="DF91" i="14"/>
  <c r="DF92" i="14"/>
  <c r="DF93" i="14"/>
  <c r="DF94" i="14"/>
  <c r="DF95" i="14"/>
  <c r="DF96" i="14"/>
  <c r="DF97" i="14"/>
  <c r="DF98" i="14"/>
  <c r="DF99" i="14"/>
  <c r="DF100" i="14"/>
  <c r="DF101" i="14"/>
  <c r="DF2" i="14"/>
  <c r="DE3" i="14"/>
  <c r="DE4" i="14"/>
  <c r="DE5" i="14"/>
  <c r="DE6" i="14"/>
  <c r="DE7" i="14"/>
  <c r="DE8" i="14"/>
  <c r="DE9" i="14"/>
  <c r="DE10" i="14"/>
  <c r="DE11" i="14"/>
  <c r="DE12" i="14"/>
  <c r="DE13" i="14"/>
  <c r="DE14" i="14"/>
  <c r="DE15" i="14"/>
  <c r="DE16" i="14"/>
  <c r="DE17" i="14"/>
  <c r="DE18" i="14"/>
  <c r="DE19" i="14"/>
  <c r="DE20" i="14"/>
  <c r="DE21" i="14"/>
  <c r="DE22" i="14"/>
  <c r="DE23" i="14"/>
  <c r="DE24" i="14"/>
  <c r="DE25" i="14"/>
  <c r="DE26" i="14"/>
  <c r="DE27" i="14"/>
  <c r="DE28" i="14"/>
  <c r="DE29" i="14"/>
  <c r="DE30" i="14"/>
  <c r="DE31" i="14"/>
  <c r="DE32" i="14"/>
  <c r="DE33" i="14"/>
  <c r="DE34" i="14"/>
  <c r="DE35" i="14"/>
  <c r="DE36" i="14"/>
  <c r="DE37" i="14"/>
  <c r="DE38" i="14"/>
  <c r="DE39" i="14"/>
  <c r="DE40" i="14"/>
  <c r="DE41" i="14"/>
  <c r="DE42" i="14"/>
  <c r="DE43" i="14"/>
  <c r="DE44" i="14"/>
  <c r="DE45" i="14"/>
  <c r="DE46" i="14"/>
  <c r="DE47" i="14"/>
  <c r="DE48" i="14"/>
  <c r="DE49" i="14"/>
  <c r="DE50" i="14"/>
  <c r="DE51" i="14"/>
  <c r="DE52" i="14"/>
  <c r="DE53" i="14"/>
  <c r="DE54" i="14"/>
  <c r="DE55" i="14"/>
  <c r="DE56" i="14"/>
  <c r="DE57" i="14"/>
  <c r="DE58" i="14"/>
  <c r="DE59" i="14"/>
  <c r="DE60" i="14"/>
  <c r="DE61" i="14"/>
  <c r="DE62" i="14"/>
  <c r="DE63" i="14"/>
  <c r="DE64" i="14"/>
  <c r="DE65" i="14"/>
  <c r="DE66" i="14"/>
  <c r="DE67" i="14"/>
  <c r="DE68" i="14"/>
  <c r="DE69" i="14"/>
  <c r="DE70" i="14"/>
  <c r="DE71" i="14"/>
  <c r="DE72" i="14"/>
  <c r="DE73" i="14"/>
  <c r="DE74" i="14"/>
  <c r="DE75" i="14"/>
  <c r="DE76" i="14"/>
  <c r="DE77" i="14"/>
  <c r="DE78" i="14"/>
  <c r="DE79" i="14"/>
  <c r="DE80" i="14"/>
  <c r="DE81" i="14"/>
  <c r="DE82" i="14"/>
  <c r="DE83" i="14"/>
  <c r="DE84" i="14"/>
  <c r="DE85" i="14"/>
  <c r="DE86" i="14"/>
  <c r="DE87" i="14"/>
  <c r="DE88" i="14"/>
  <c r="DE89" i="14"/>
  <c r="DE90" i="14"/>
  <c r="DE91" i="14"/>
  <c r="DE92" i="14"/>
  <c r="DE93" i="14"/>
  <c r="DE94" i="14"/>
  <c r="DE95" i="14"/>
  <c r="DE96" i="14"/>
  <c r="DE97" i="14"/>
  <c r="DE98" i="14"/>
  <c r="DE99" i="14"/>
  <c r="DE100" i="14"/>
  <c r="DE101" i="14"/>
  <c r="DE2" i="14"/>
  <c r="DD3" i="14"/>
  <c r="DD4" i="14"/>
  <c r="DD5" i="14"/>
  <c r="DD6" i="14"/>
  <c r="DD7" i="14"/>
  <c r="DD8" i="14"/>
  <c r="DD9" i="14"/>
  <c r="DD10" i="14"/>
  <c r="DD11" i="14"/>
  <c r="DD12" i="14"/>
  <c r="DD13" i="14"/>
  <c r="DD14" i="14"/>
  <c r="DD15" i="14"/>
  <c r="DD16" i="14"/>
  <c r="DD17" i="14"/>
  <c r="DD18" i="14"/>
  <c r="DD19" i="14"/>
  <c r="DD20" i="14"/>
  <c r="DD21" i="14"/>
  <c r="DD22" i="14"/>
  <c r="DD23" i="14"/>
  <c r="DD24" i="14"/>
  <c r="DD25" i="14"/>
  <c r="DD26" i="14"/>
  <c r="DD27" i="14"/>
  <c r="DD28" i="14"/>
  <c r="DD29" i="14"/>
  <c r="DD30" i="14"/>
  <c r="DD31" i="14"/>
  <c r="DD32" i="14"/>
  <c r="DD33" i="14"/>
  <c r="DD34" i="14"/>
  <c r="DD35" i="14"/>
  <c r="DD36" i="14"/>
  <c r="DD37" i="14"/>
  <c r="DD38" i="14"/>
  <c r="DD39" i="14"/>
  <c r="DD40" i="14"/>
  <c r="DD41" i="14"/>
  <c r="DD42" i="14"/>
  <c r="DD43" i="14"/>
  <c r="DD44" i="14"/>
  <c r="DD45" i="14"/>
  <c r="DD46" i="14"/>
  <c r="DD47" i="14"/>
  <c r="DD48" i="14"/>
  <c r="DD49" i="14"/>
  <c r="DD50" i="14"/>
  <c r="DD51" i="14"/>
  <c r="DD52" i="14"/>
  <c r="DD53" i="14"/>
  <c r="DD54" i="14"/>
  <c r="DD55" i="14"/>
  <c r="DD56" i="14"/>
  <c r="DD57" i="14"/>
  <c r="DD58" i="14"/>
  <c r="DD59" i="14"/>
  <c r="DD60" i="14"/>
  <c r="DD61" i="14"/>
  <c r="DD62" i="14"/>
  <c r="DD63" i="14"/>
  <c r="DD64" i="14"/>
  <c r="DD65" i="14"/>
  <c r="DD66" i="14"/>
  <c r="DD67" i="14"/>
  <c r="DD68" i="14"/>
  <c r="DD69" i="14"/>
  <c r="DD70" i="14"/>
  <c r="DD71" i="14"/>
  <c r="DD72" i="14"/>
  <c r="DD73" i="14"/>
  <c r="DD74" i="14"/>
  <c r="DD75" i="14"/>
  <c r="DD76" i="14"/>
  <c r="DD77" i="14"/>
  <c r="DD78" i="14"/>
  <c r="DD79" i="14"/>
  <c r="DD80" i="14"/>
  <c r="DD81" i="14"/>
  <c r="DD82" i="14"/>
  <c r="DD83" i="14"/>
  <c r="DD84" i="14"/>
  <c r="DD85" i="14"/>
  <c r="DD86" i="14"/>
  <c r="DD87" i="14"/>
  <c r="DD88" i="14"/>
  <c r="DD89" i="14"/>
  <c r="DD90" i="14"/>
  <c r="DD91" i="14"/>
  <c r="DD92" i="14"/>
  <c r="DD93" i="14"/>
  <c r="DD94" i="14"/>
  <c r="DD95" i="14"/>
  <c r="DD96" i="14"/>
  <c r="DD97" i="14"/>
  <c r="DD98" i="14"/>
  <c r="DD99" i="14"/>
  <c r="DD100" i="14"/>
  <c r="DD101" i="14"/>
  <c r="DD2" i="14"/>
  <c r="DC3" i="14"/>
  <c r="DC4" i="14"/>
  <c r="DC5" i="14"/>
  <c r="DC6" i="14"/>
  <c r="DC7" i="14"/>
  <c r="DC8" i="14"/>
  <c r="DC9" i="14"/>
  <c r="DC10" i="14"/>
  <c r="DC11" i="14"/>
  <c r="DC12" i="14"/>
  <c r="DC13" i="14"/>
  <c r="DC14" i="14"/>
  <c r="DC15" i="14"/>
  <c r="DC16" i="14"/>
  <c r="DC17" i="14"/>
  <c r="DC18" i="14"/>
  <c r="DC19" i="14"/>
  <c r="DC20" i="14"/>
  <c r="DC21" i="14"/>
  <c r="DC22" i="14"/>
  <c r="DC23" i="14"/>
  <c r="DC24" i="14"/>
  <c r="DC25" i="14"/>
  <c r="DC26" i="14"/>
  <c r="DC27" i="14"/>
  <c r="DC28" i="14"/>
  <c r="DC29" i="14"/>
  <c r="DC30" i="14"/>
  <c r="DC31" i="14"/>
  <c r="DC32" i="14"/>
  <c r="DC33" i="14"/>
  <c r="DC34" i="14"/>
  <c r="DC35" i="14"/>
  <c r="DC36" i="14"/>
  <c r="DC37" i="14"/>
  <c r="DC38" i="14"/>
  <c r="DC39" i="14"/>
  <c r="DC40" i="14"/>
  <c r="DC41" i="14"/>
  <c r="DC42" i="14"/>
  <c r="DC43" i="14"/>
  <c r="DC44" i="14"/>
  <c r="DC45" i="14"/>
  <c r="DC46" i="14"/>
  <c r="DC47" i="14"/>
  <c r="DC48" i="14"/>
  <c r="DC49" i="14"/>
  <c r="DC50" i="14"/>
  <c r="DC51" i="14"/>
  <c r="DC52" i="14"/>
  <c r="DC53" i="14"/>
  <c r="DC54" i="14"/>
  <c r="DC55" i="14"/>
  <c r="DC56" i="14"/>
  <c r="DC57" i="14"/>
  <c r="DC58" i="14"/>
  <c r="DC59" i="14"/>
  <c r="DC60" i="14"/>
  <c r="DC61" i="14"/>
  <c r="DC62" i="14"/>
  <c r="DC63" i="14"/>
  <c r="DC64" i="14"/>
  <c r="DC65" i="14"/>
  <c r="DC66" i="14"/>
  <c r="DC67" i="14"/>
  <c r="DC68" i="14"/>
  <c r="DC69" i="14"/>
  <c r="DC70" i="14"/>
  <c r="DC71" i="14"/>
  <c r="DC72" i="14"/>
  <c r="DC73" i="14"/>
  <c r="DC74" i="14"/>
  <c r="DC75" i="14"/>
  <c r="DC76" i="14"/>
  <c r="DC77" i="14"/>
  <c r="DC78" i="14"/>
  <c r="DC79" i="14"/>
  <c r="DC80" i="14"/>
  <c r="DC81" i="14"/>
  <c r="DC82" i="14"/>
  <c r="DC83" i="14"/>
  <c r="DC84" i="14"/>
  <c r="DC85" i="14"/>
  <c r="DC86" i="14"/>
  <c r="DC87" i="14"/>
  <c r="DC88" i="14"/>
  <c r="DC89" i="14"/>
  <c r="DC90" i="14"/>
  <c r="DC91" i="14"/>
  <c r="DC92" i="14"/>
  <c r="DC93" i="14"/>
  <c r="DC94" i="14"/>
  <c r="DC95" i="14"/>
  <c r="DC96" i="14"/>
  <c r="DC97" i="14"/>
  <c r="DC98" i="14"/>
  <c r="DC99" i="14"/>
  <c r="DC100" i="14"/>
  <c r="DC101" i="14"/>
  <c r="DC2" i="14"/>
  <c r="DB2" i="14"/>
  <c r="BU2" i="16"/>
  <c r="DB3" i="14"/>
  <c r="DB4" i="14"/>
  <c r="DB5" i="14"/>
  <c r="DB6" i="14"/>
  <c r="DB7" i="14"/>
  <c r="DB8" i="14"/>
  <c r="DB9" i="14"/>
  <c r="DB10" i="14"/>
  <c r="DB11" i="14"/>
  <c r="DB12" i="14"/>
  <c r="DB13" i="14"/>
  <c r="DB14" i="14"/>
  <c r="DB15" i="14"/>
  <c r="DB16" i="14"/>
  <c r="DB17" i="14"/>
  <c r="DB18" i="14"/>
  <c r="DB19" i="14"/>
  <c r="DB20" i="14"/>
  <c r="DB21" i="14"/>
  <c r="DB22" i="14"/>
  <c r="DB23" i="14"/>
  <c r="DB24" i="14"/>
  <c r="DB25" i="14"/>
  <c r="DB26" i="14"/>
  <c r="DB27" i="14"/>
  <c r="DB28" i="14"/>
  <c r="DB29" i="14"/>
  <c r="DB30" i="14"/>
  <c r="DB31" i="14"/>
  <c r="DB32" i="14"/>
  <c r="DB33" i="14"/>
  <c r="DB34" i="14"/>
  <c r="DB35" i="14"/>
  <c r="DB36" i="14"/>
  <c r="DB37" i="14"/>
  <c r="DB38" i="14"/>
  <c r="DB39" i="14"/>
  <c r="DB40" i="14"/>
  <c r="DB41" i="14"/>
  <c r="DB42" i="14"/>
  <c r="DB43" i="14"/>
  <c r="DB44" i="14"/>
  <c r="DB45" i="14"/>
  <c r="DB46" i="14"/>
  <c r="DB47" i="14"/>
  <c r="DB48" i="14"/>
  <c r="DB49" i="14"/>
  <c r="DB50" i="14"/>
  <c r="DB51" i="14"/>
  <c r="DB52" i="14"/>
  <c r="DB53" i="14"/>
  <c r="DB54" i="14"/>
  <c r="DB55" i="14"/>
  <c r="DB56" i="14"/>
  <c r="DB57" i="14"/>
  <c r="DB58" i="14"/>
  <c r="DB59" i="14"/>
  <c r="DB60" i="14"/>
  <c r="DB61" i="14"/>
  <c r="DB62" i="14"/>
  <c r="DB63" i="14"/>
  <c r="DB64" i="14"/>
  <c r="DB65" i="14"/>
  <c r="DB66" i="14"/>
  <c r="DB67" i="14"/>
  <c r="DB68" i="14"/>
  <c r="DB69" i="14"/>
  <c r="DB70" i="14"/>
  <c r="DB71" i="14"/>
  <c r="DB72" i="14"/>
  <c r="DB73" i="14"/>
  <c r="DB74" i="14"/>
  <c r="DB75" i="14"/>
  <c r="DB76" i="14"/>
  <c r="DB77" i="14"/>
  <c r="DB78" i="14"/>
  <c r="DB79" i="14"/>
  <c r="DB80" i="14"/>
  <c r="DB81" i="14"/>
  <c r="DB82" i="14"/>
  <c r="DB83" i="14"/>
  <c r="DB84" i="14"/>
  <c r="DB85" i="14"/>
  <c r="DB86" i="14"/>
  <c r="DB87" i="14"/>
  <c r="DB88" i="14"/>
  <c r="DB89" i="14"/>
  <c r="DB90" i="14"/>
  <c r="DB91" i="14"/>
  <c r="DB92" i="14"/>
  <c r="DB93" i="14"/>
  <c r="DB94" i="14"/>
  <c r="DB95" i="14"/>
  <c r="DB96" i="14"/>
  <c r="DB97" i="14"/>
  <c r="DB98" i="14"/>
  <c r="DB99" i="14"/>
  <c r="DB100" i="14"/>
  <c r="DB101" i="14"/>
  <c r="DA3" i="14"/>
  <c r="DA4" i="14"/>
  <c r="DA5" i="14"/>
  <c r="DA6" i="14"/>
  <c r="DA7" i="14"/>
  <c r="DA8" i="14"/>
  <c r="DA9" i="14"/>
  <c r="DA10" i="14"/>
  <c r="DA11" i="14"/>
  <c r="DA12" i="14"/>
  <c r="DA13" i="14"/>
  <c r="DA14" i="14"/>
  <c r="DA15" i="14"/>
  <c r="DA16" i="14"/>
  <c r="DA17" i="14"/>
  <c r="DA18" i="14"/>
  <c r="DA19" i="14"/>
  <c r="DA20" i="14"/>
  <c r="DA21" i="14"/>
  <c r="DA22" i="14"/>
  <c r="DA23" i="14"/>
  <c r="DA24" i="14"/>
  <c r="DA25" i="14"/>
  <c r="DA26" i="14"/>
  <c r="DA27" i="14"/>
  <c r="DA28" i="14"/>
  <c r="DA29" i="14"/>
  <c r="DA30" i="14"/>
  <c r="DA31" i="14"/>
  <c r="DA32" i="14"/>
  <c r="DA33" i="14"/>
  <c r="DA34" i="14"/>
  <c r="DA35" i="14"/>
  <c r="DA36" i="14"/>
  <c r="DA37" i="14"/>
  <c r="DA38" i="14"/>
  <c r="DA39" i="14"/>
  <c r="DA40" i="14"/>
  <c r="DA41" i="14"/>
  <c r="DA42" i="14"/>
  <c r="DA43" i="14"/>
  <c r="DA44" i="14"/>
  <c r="DA45" i="14"/>
  <c r="DA46" i="14"/>
  <c r="DA47" i="14"/>
  <c r="DA48" i="14"/>
  <c r="DA49" i="14"/>
  <c r="DA50" i="14"/>
  <c r="DA51" i="14"/>
  <c r="DA52" i="14"/>
  <c r="DA53" i="14"/>
  <c r="DA54" i="14"/>
  <c r="DA55" i="14"/>
  <c r="DA56" i="14"/>
  <c r="DA57" i="14"/>
  <c r="DA58" i="14"/>
  <c r="DA59" i="14"/>
  <c r="DA60" i="14"/>
  <c r="DA61" i="14"/>
  <c r="DA62" i="14"/>
  <c r="DA63" i="14"/>
  <c r="DA64" i="14"/>
  <c r="DA65" i="14"/>
  <c r="DA66" i="14"/>
  <c r="DA67" i="14"/>
  <c r="DA68" i="14"/>
  <c r="DA69" i="14"/>
  <c r="DA70" i="14"/>
  <c r="DA71" i="14"/>
  <c r="DA72" i="14"/>
  <c r="DA73" i="14"/>
  <c r="DA74" i="14"/>
  <c r="DA75" i="14"/>
  <c r="DA76" i="14"/>
  <c r="DA77" i="14"/>
  <c r="DA78" i="14"/>
  <c r="DA79" i="14"/>
  <c r="DA80" i="14"/>
  <c r="DA81" i="14"/>
  <c r="DA82" i="14"/>
  <c r="DA83" i="14"/>
  <c r="DA84" i="14"/>
  <c r="DA85" i="14"/>
  <c r="DA86" i="14"/>
  <c r="DA87" i="14"/>
  <c r="DA88" i="14"/>
  <c r="DA89" i="14"/>
  <c r="DA90" i="14"/>
  <c r="DA91" i="14"/>
  <c r="DA92" i="14"/>
  <c r="DA93" i="14"/>
  <c r="DA94" i="14"/>
  <c r="DA95" i="14"/>
  <c r="DA96" i="14"/>
  <c r="DA97" i="14"/>
  <c r="DA98" i="14"/>
  <c r="DA99" i="14"/>
  <c r="DA100" i="14"/>
  <c r="DA101" i="14"/>
  <c r="DA2" i="14"/>
  <c r="CZ3" i="14"/>
  <c r="CZ4" i="14"/>
  <c r="CZ5" i="14"/>
  <c r="CZ6" i="14"/>
  <c r="CZ7" i="14"/>
  <c r="CZ8" i="14"/>
  <c r="CZ9" i="14"/>
  <c r="CZ10" i="14"/>
  <c r="CZ11" i="14"/>
  <c r="CZ12" i="14"/>
  <c r="CZ13" i="14"/>
  <c r="CZ14" i="14"/>
  <c r="CZ15" i="14"/>
  <c r="CZ16" i="14"/>
  <c r="CZ17" i="14"/>
  <c r="CZ18" i="14"/>
  <c r="CZ19" i="14"/>
  <c r="CZ20" i="14"/>
  <c r="CZ21" i="14"/>
  <c r="CZ22" i="14"/>
  <c r="CZ23" i="14"/>
  <c r="CZ24" i="14"/>
  <c r="CZ25" i="14"/>
  <c r="CZ26" i="14"/>
  <c r="CZ27" i="14"/>
  <c r="CZ28" i="14"/>
  <c r="CZ29" i="14"/>
  <c r="CZ30" i="14"/>
  <c r="CZ31" i="14"/>
  <c r="CZ32" i="14"/>
  <c r="CZ33" i="14"/>
  <c r="CZ34" i="14"/>
  <c r="CZ35" i="14"/>
  <c r="CZ36" i="14"/>
  <c r="CZ37" i="14"/>
  <c r="CZ38" i="14"/>
  <c r="CZ39" i="14"/>
  <c r="CZ40" i="14"/>
  <c r="CZ41" i="14"/>
  <c r="CZ42" i="14"/>
  <c r="CZ43" i="14"/>
  <c r="CZ44" i="14"/>
  <c r="CZ45" i="14"/>
  <c r="CZ46" i="14"/>
  <c r="CZ47" i="14"/>
  <c r="CZ48" i="14"/>
  <c r="CZ49" i="14"/>
  <c r="CZ50" i="14"/>
  <c r="CZ51" i="14"/>
  <c r="CZ52" i="14"/>
  <c r="CZ53" i="14"/>
  <c r="CZ54" i="14"/>
  <c r="CZ55" i="14"/>
  <c r="CZ56" i="14"/>
  <c r="CZ57" i="14"/>
  <c r="CZ58" i="14"/>
  <c r="CZ59" i="14"/>
  <c r="CZ60" i="14"/>
  <c r="CZ61" i="14"/>
  <c r="CZ62" i="14"/>
  <c r="CZ63" i="14"/>
  <c r="CZ64" i="14"/>
  <c r="CZ65" i="14"/>
  <c r="CZ66" i="14"/>
  <c r="CZ67" i="14"/>
  <c r="CZ68" i="14"/>
  <c r="CZ69" i="14"/>
  <c r="CZ70" i="14"/>
  <c r="CZ71" i="14"/>
  <c r="CZ72" i="14"/>
  <c r="CZ73" i="14"/>
  <c r="CZ74" i="14"/>
  <c r="CZ75" i="14"/>
  <c r="CZ76" i="14"/>
  <c r="CZ77" i="14"/>
  <c r="CZ78" i="14"/>
  <c r="CZ79" i="14"/>
  <c r="CZ80" i="14"/>
  <c r="CZ81" i="14"/>
  <c r="CZ82" i="14"/>
  <c r="CZ83" i="14"/>
  <c r="CZ84" i="14"/>
  <c r="CZ85" i="14"/>
  <c r="CZ86" i="14"/>
  <c r="CZ87" i="14"/>
  <c r="CZ88" i="14"/>
  <c r="CZ89" i="14"/>
  <c r="CZ90" i="14"/>
  <c r="CZ91" i="14"/>
  <c r="CZ92" i="14"/>
  <c r="CZ93" i="14"/>
  <c r="CZ94" i="14"/>
  <c r="CZ95" i="14"/>
  <c r="CZ96" i="14"/>
  <c r="CZ97" i="14"/>
  <c r="CZ98" i="14"/>
  <c r="CZ99" i="14"/>
  <c r="CZ100" i="14"/>
  <c r="CZ101" i="14"/>
  <c r="CZ2" i="14"/>
  <c r="CY3" i="14"/>
  <c r="CY4" i="14"/>
  <c r="CY5" i="14"/>
  <c r="CY6" i="14"/>
  <c r="CY7" i="14"/>
  <c r="CY8" i="14"/>
  <c r="CY9" i="14"/>
  <c r="CY10" i="14"/>
  <c r="CY11" i="14"/>
  <c r="CY12" i="14"/>
  <c r="CY13" i="14"/>
  <c r="CY14" i="14"/>
  <c r="CY15" i="14"/>
  <c r="CY16" i="14"/>
  <c r="CY17" i="14"/>
  <c r="CY18" i="14"/>
  <c r="CY19" i="14"/>
  <c r="CY20" i="14"/>
  <c r="CY21" i="14"/>
  <c r="CY22" i="14"/>
  <c r="CY23" i="14"/>
  <c r="CY24" i="14"/>
  <c r="CY25" i="14"/>
  <c r="CY26" i="14"/>
  <c r="CY27" i="14"/>
  <c r="CY28" i="14"/>
  <c r="CY29" i="14"/>
  <c r="CY30" i="14"/>
  <c r="CY31" i="14"/>
  <c r="CY32" i="14"/>
  <c r="CY33" i="14"/>
  <c r="CY34" i="14"/>
  <c r="CY35" i="14"/>
  <c r="CY36" i="14"/>
  <c r="CY37" i="14"/>
  <c r="CY38" i="14"/>
  <c r="CY39" i="14"/>
  <c r="CY40" i="14"/>
  <c r="CY41" i="14"/>
  <c r="CY42" i="14"/>
  <c r="CY43" i="14"/>
  <c r="CY44" i="14"/>
  <c r="CY45" i="14"/>
  <c r="CY46" i="14"/>
  <c r="CY47" i="14"/>
  <c r="CY48" i="14"/>
  <c r="CY49" i="14"/>
  <c r="CY50" i="14"/>
  <c r="CY51" i="14"/>
  <c r="CY52" i="14"/>
  <c r="CY53" i="14"/>
  <c r="CY54" i="14"/>
  <c r="CY55" i="14"/>
  <c r="CY56" i="14"/>
  <c r="CY57" i="14"/>
  <c r="CY58" i="14"/>
  <c r="CY59" i="14"/>
  <c r="CY60" i="14"/>
  <c r="CY61" i="14"/>
  <c r="CY62" i="14"/>
  <c r="CY63" i="14"/>
  <c r="CY64" i="14"/>
  <c r="CY65" i="14"/>
  <c r="CY66" i="14"/>
  <c r="CY67" i="14"/>
  <c r="CY68" i="14"/>
  <c r="CY69" i="14"/>
  <c r="CY70" i="14"/>
  <c r="CY71" i="14"/>
  <c r="CY72" i="14"/>
  <c r="CY73" i="14"/>
  <c r="CY74" i="14"/>
  <c r="CY75" i="14"/>
  <c r="CY76" i="14"/>
  <c r="CY77" i="14"/>
  <c r="CY78" i="14"/>
  <c r="CY79" i="14"/>
  <c r="CY80" i="14"/>
  <c r="CY81" i="14"/>
  <c r="CY82" i="14"/>
  <c r="CY83" i="14"/>
  <c r="CY84" i="14"/>
  <c r="CY85" i="14"/>
  <c r="CY86" i="14"/>
  <c r="CY87" i="14"/>
  <c r="CY88" i="14"/>
  <c r="CY89" i="14"/>
  <c r="CY90" i="14"/>
  <c r="CY91" i="14"/>
  <c r="CY92" i="14"/>
  <c r="CY93" i="14"/>
  <c r="CY94" i="14"/>
  <c r="CY95" i="14"/>
  <c r="CY96" i="14"/>
  <c r="CY97" i="14"/>
  <c r="CY98" i="14"/>
  <c r="CY99" i="14"/>
  <c r="CY100" i="14"/>
  <c r="CY101" i="14"/>
  <c r="CX3" i="14"/>
  <c r="CX4" i="14"/>
  <c r="CX5" i="14"/>
  <c r="CX6" i="14"/>
  <c r="CX7" i="14"/>
  <c r="CX8" i="14"/>
  <c r="CX9" i="14"/>
  <c r="CX10" i="14"/>
  <c r="CX11" i="14"/>
  <c r="CX12" i="14"/>
  <c r="CX13" i="14"/>
  <c r="CX14" i="14"/>
  <c r="CX15" i="14"/>
  <c r="CX16" i="14"/>
  <c r="CX17" i="14"/>
  <c r="CX18" i="14"/>
  <c r="CX19" i="14"/>
  <c r="CX20" i="14"/>
  <c r="CX21" i="14"/>
  <c r="CX22" i="14"/>
  <c r="CX23" i="14"/>
  <c r="CX24" i="14"/>
  <c r="CX25" i="14"/>
  <c r="CX26" i="14"/>
  <c r="CX27" i="14"/>
  <c r="CX28" i="14"/>
  <c r="CX29" i="14"/>
  <c r="CX30" i="14"/>
  <c r="CX31" i="14"/>
  <c r="CX32" i="14"/>
  <c r="CX33" i="14"/>
  <c r="CX34" i="14"/>
  <c r="CX35" i="14"/>
  <c r="CX36" i="14"/>
  <c r="CX37" i="14"/>
  <c r="CX38" i="14"/>
  <c r="CX39" i="14"/>
  <c r="CX40" i="14"/>
  <c r="CX41" i="14"/>
  <c r="CX42" i="14"/>
  <c r="CX43" i="14"/>
  <c r="CX44" i="14"/>
  <c r="CX45" i="14"/>
  <c r="CX46" i="14"/>
  <c r="CX47" i="14"/>
  <c r="CX48" i="14"/>
  <c r="CX49" i="14"/>
  <c r="CX50" i="14"/>
  <c r="CX51" i="14"/>
  <c r="CX52" i="14"/>
  <c r="CX53" i="14"/>
  <c r="CX54" i="14"/>
  <c r="CX55" i="14"/>
  <c r="CX56" i="14"/>
  <c r="CX57" i="14"/>
  <c r="CX58" i="14"/>
  <c r="CX59" i="14"/>
  <c r="CX60" i="14"/>
  <c r="CX61" i="14"/>
  <c r="CX62" i="14"/>
  <c r="CX63" i="14"/>
  <c r="CX64" i="14"/>
  <c r="CX65" i="14"/>
  <c r="CX66" i="14"/>
  <c r="CX67" i="14"/>
  <c r="CX68" i="14"/>
  <c r="CX69" i="14"/>
  <c r="CX70" i="14"/>
  <c r="CX71" i="14"/>
  <c r="CX72" i="14"/>
  <c r="CX73" i="14"/>
  <c r="CX74" i="14"/>
  <c r="CX75" i="14"/>
  <c r="CX76" i="14"/>
  <c r="CX77" i="14"/>
  <c r="CX78" i="14"/>
  <c r="CX79" i="14"/>
  <c r="CX80" i="14"/>
  <c r="CX81" i="14"/>
  <c r="CX82" i="14"/>
  <c r="CX83" i="14"/>
  <c r="CX84" i="14"/>
  <c r="CX85" i="14"/>
  <c r="CX86" i="14"/>
  <c r="CX87" i="14"/>
  <c r="CX88" i="14"/>
  <c r="CX89" i="14"/>
  <c r="CX90" i="14"/>
  <c r="CX91" i="14"/>
  <c r="CX92" i="14"/>
  <c r="CX93" i="14"/>
  <c r="CX94" i="14"/>
  <c r="CX95" i="14"/>
  <c r="CX96" i="14"/>
  <c r="CX97" i="14"/>
  <c r="CX98" i="14"/>
  <c r="CX99" i="14"/>
  <c r="CX100" i="14"/>
  <c r="CX101" i="14"/>
  <c r="CY2" i="14"/>
  <c r="CX2" i="14"/>
  <c r="CU3" i="14"/>
  <c r="CV3" i="14"/>
  <c r="CW3" i="14"/>
  <c r="CU4" i="14"/>
  <c r="CV4" i="14"/>
  <c r="CW4" i="14"/>
  <c r="CU5" i="14"/>
  <c r="CV5" i="14"/>
  <c r="CW5" i="14"/>
  <c r="CU6" i="14"/>
  <c r="CV6" i="14"/>
  <c r="CW6" i="14"/>
  <c r="CU7" i="14"/>
  <c r="CV7" i="14"/>
  <c r="CW7" i="14"/>
  <c r="CU8" i="14"/>
  <c r="CV8" i="14"/>
  <c r="CW8" i="14"/>
  <c r="CU9" i="14"/>
  <c r="CV9" i="14"/>
  <c r="CW9" i="14"/>
  <c r="CU10" i="14"/>
  <c r="CV10" i="14"/>
  <c r="CW10" i="14"/>
  <c r="CU11" i="14"/>
  <c r="CV11" i="14"/>
  <c r="CW11" i="14"/>
  <c r="CU12" i="14"/>
  <c r="CV12" i="14"/>
  <c r="CW12" i="14"/>
  <c r="CU13" i="14"/>
  <c r="CV13" i="14"/>
  <c r="CW13" i="14"/>
  <c r="CU14" i="14"/>
  <c r="CV14" i="14"/>
  <c r="CW14" i="14"/>
  <c r="CU15" i="14"/>
  <c r="CV15" i="14"/>
  <c r="CW15" i="14"/>
  <c r="CU16" i="14"/>
  <c r="CV16" i="14"/>
  <c r="CW16" i="14"/>
  <c r="CU17" i="14"/>
  <c r="CV17" i="14"/>
  <c r="CW17" i="14"/>
  <c r="CU18" i="14"/>
  <c r="CV18" i="14"/>
  <c r="CW18" i="14"/>
  <c r="CU19" i="14"/>
  <c r="CV19" i="14"/>
  <c r="CW19" i="14"/>
  <c r="CU20" i="14"/>
  <c r="CV20" i="14"/>
  <c r="CW20" i="14"/>
  <c r="CU21" i="14"/>
  <c r="CV21" i="14"/>
  <c r="CW21" i="14"/>
  <c r="CU22" i="14"/>
  <c r="CV22" i="14"/>
  <c r="CW22" i="14"/>
  <c r="CU23" i="14"/>
  <c r="CV23" i="14"/>
  <c r="CW23" i="14"/>
  <c r="CU24" i="14"/>
  <c r="CV24" i="14"/>
  <c r="CW24" i="14"/>
  <c r="CU25" i="14"/>
  <c r="CV25" i="14"/>
  <c r="CW25" i="14"/>
  <c r="CU26" i="14"/>
  <c r="CV26" i="14"/>
  <c r="CW26" i="14"/>
  <c r="CU27" i="14"/>
  <c r="CV27" i="14"/>
  <c r="CW27" i="14"/>
  <c r="CU28" i="14"/>
  <c r="CV28" i="14"/>
  <c r="CW28" i="14"/>
  <c r="CU29" i="14"/>
  <c r="CV29" i="14"/>
  <c r="CW29" i="14"/>
  <c r="CU30" i="14"/>
  <c r="CV30" i="14"/>
  <c r="CW30" i="14"/>
  <c r="CU31" i="14"/>
  <c r="CV31" i="14"/>
  <c r="CW31" i="14"/>
  <c r="CU32" i="14"/>
  <c r="CV32" i="14"/>
  <c r="CW32" i="14"/>
  <c r="CU33" i="14"/>
  <c r="CV33" i="14"/>
  <c r="CW33" i="14"/>
  <c r="CU34" i="14"/>
  <c r="CV34" i="14"/>
  <c r="CW34" i="14"/>
  <c r="CU35" i="14"/>
  <c r="CV35" i="14"/>
  <c r="CW35" i="14"/>
  <c r="CU36" i="14"/>
  <c r="CV36" i="14"/>
  <c r="CW36" i="14"/>
  <c r="CU37" i="14"/>
  <c r="CV37" i="14"/>
  <c r="CW37" i="14"/>
  <c r="CU38" i="14"/>
  <c r="CV38" i="14"/>
  <c r="CW38" i="14"/>
  <c r="CU39" i="14"/>
  <c r="CV39" i="14"/>
  <c r="CW39" i="14"/>
  <c r="CU40" i="14"/>
  <c r="CV40" i="14"/>
  <c r="CW40" i="14"/>
  <c r="CU41" i="14"/>
  <c r="CV41" i="14"/>
  <c r="CW41" i="14"/>
  <c r="CU42" i="14"/>
  <c r="CV42" i="14"/>
  <c r="CW42" i="14"/>
  <c r="CU43" i="14"/>
  <c r="CV43" i="14"/>
  <c r="CW43" i="14"/>
  <c r="CU44" i="14"/>
  <c r="CV44" i="14"/>
  <c r="CW44" i="14"/>
  <c r="CU45" i="14"/>
  <c r="CV45" i="14"/>
  <c r="CW45" i="14"/>
  <c r="CU46" i="14"/>
  <c r="CV46" i="14"/>
  <c r="CW46" i="14"/>
  <c r="CU47" i="14"/>
  <c r="CV47" i="14"/>
  <c r="CW47" i="14"/>
  <c r="CU48" i="14"/>
  <c r="CV48" i="14"/>
  <c r="CW48" i="14"/>
  <c r="CU49" i="14"/>
  <c r="CV49" i="14"/>
  <c r="CW49" i="14"/>
  <c r="CU50" i="14"/>
  <c r="CV50" i="14"/>
  <c r="CW50" i="14"/>
  <c r="CU51" i="14"/>
  <c r="CV51" i="14"/>
  <c r="CW51" i="14"/>
  <c r="CU52" i="14"/>
  <c r="CV52" i="14"/>
  <c r="CW52" i="14"/>
  <c r="CU53" i="14"/>
  <c r="CV53" i="14"/>
  <c r="CW53" i="14"/>
  <c r="CU54" i="14"/>
  <c r="CV54" i="14"/>
  <c r="CW54" i="14"/>
  <c r="CU55" i="14"/>
  <c r="CV55" i="14"/>
  <c r="CW55" i="14"/>
  <c r="CU56" i="14"/>
  <c r="CV56" i="14"/>
  <c r="CW56" i="14"/>
  <c r="CU57" i="14"/>
  <c r="CV57" i="14"/>
  <c r="CW57" i="14"/>
  <c r="CU58" i="14"/>
  <c r="CV58" i="14"/>
  <c r="CW58" i="14"/>
  <c r="CU59" i="14"/>
  <c r="CV59" i="14"/>
  <c r="CW59" i="14"/>
  <c r="CU60" i="14"/>
  <c r="CV60" i="14"/>
  <c r="CW60" i="14"/>
  <c r="CU61" i="14"/>
  <c r="CV61" i="14"/>
  <c r="CW61" i="14"/>
  <c r="CU62" i="14"/>
  <c r="CV62" i="14"/>
  <c r="CW62" i="14"/>
  <c r="CU63" i="14"/>
  <c r="CV63" i="14"/>
  <c r="CW63" i="14"/>
  <c r="CU64" i="14"/>
  <c r="CV64" i="14"/>
  <c r="CW64" i="14"/>
  <c r="CU65" i="14"/>
  <c r="CV65" i="14"/>
  <c r="CW65" i="14"/>
  <c r="CU66" i="14"/>
  <c r="CV66" i="14"/>
  <c r="CW66" i="14"/>
  <c r="CU67" i="14"/>
  <c r="CV67" i="14"/>
  <c r="CW67" i="14"/>
  <c r="CU68" i="14"/>
  <c r="CV68" i="14"/>
  <c r="CW68" i="14"/>
  <c r="CU69" i="14"/>
  <c r="CV69" i="14"/>
  <c r="CW69" i="14"/>
  <c r="CU70" i="14"/>
  <c r="CV70" i="14"/>
  <c r="CW70" i="14"/>
  <c r="CU71" i="14"/>
  <c r="CV71" i="14"/>
  <c r="CW71" i="14"/>
  <c r="CU72" i="14"/>
  <c r="CV72" i="14"/>
  <c r="CW72" i="14"/>
  <c r="CU73" i="14"/>
  <c r="CV73" i="14"/>
  <c r="CW73" i="14"/>
  <c r="CU74" i="14"/>
  <c r="CV74" i="14"/>
  <c r="CW74" i="14"/>
  <c r="CU75" i="14"/>
  <c r="CV75" i="14"/>
  <c r="CW75" i="14"/>
  <c r="CU76" i="14"/>
  <c r="CV76" i="14"/>
  <c r="CW76" i="14"/>
  <c r="CU77" i="14"/>
  <c r="CV77" i="14"/>
  <c r="CW77" i="14"/>
  <c r="CU78" i="14"/>
  <c r="CV78" i="14"/>
  <c r="CW78" i="14"/>
  <c r="CU79" i="14"/>
  <c r="CV79" i="14"/>
  <c r="CW79" i="14"/>
  <c r="CU80" i="14"/>
  <c r="CV80" i="14"/>
  <c r="CW80" i="14"/>
  <c r="CU81" i="14"/>
  <c r="CV81" i="14"/>
  <c r="CW81" i="14"/>
  <c r="CU82" i="14"/>
  <c r="CV82" i="14"/>
  <c r="CW82" i="14"/>
  <c r="CU83" i="14"/>
  <c r="CV83" i="14"/>
  <c r="CW83" i="14"/>
  <c r="CU84" i="14"/>
  <c r="CV84" i="14"/>
  <c r="CW84" i="14"/>
  <c r="CU85" i="14"/>
  <c r="CV85" i="14"/>
  <c r="CW85" i="14"/>
  <c r="CU86" i="14"/>
  <c r="CV86" i="14"/>
  <c r="CW86" i="14"/>
  <c r="CU87" i="14"/>
  <c r="CV87" i="14"/>
  <c r="CW87" i="14"/>
  <c r="CU88" i="14"/>
  <c r="CV88" i="14"/>
  <c r="CW88" i="14"/>
  <c r="CU89" i="14"/>
  <c r="CV89" i="14"/>
  <c r="CW89" i="14"/>
  <c r="CU90" i="14"/>
  <c r="CV90" i="14"/>
  <c r="CW90" i="14"/>
  <c r="CU91" i="14"/>
  <c r="CV91" i="14"/>
  <c r="CW91" i="14"/>
  <c r="CU92" i="14"/>
  <c r="CV92" i="14"/>
  <c r="CW92" i="14"/>
  <c r="CU93" i="14"/>
  <c r="CV93" i="14"/>
  <c r="CW93" i="14"/>
  <c r="CU94" i="14"/>
  <c r="CV94" i="14"/>
  <c r="CW94" i="14"/>
  <c r="CU95" i="14"/>
  <c r="CV95" i="14"/>
  <c r="CW95" i="14"/>
  <c r="CU96" i="14"/>
  <c r="CV96" i="14"/>
  <c r="CW96" i="14"/>
  <c r="CU97" i="14"/>
  <c r="CV97" i="14"/>
  <c r="CW97" i="14"/>
  <c r="CU98" i="14"/>
  <c r="CV98" i="14"/>
  <c r="CW98" i="14"/>
  <c r="CU99" i="14"/>
  <c r="CV99" i="14"/>
  <c r="CW99" i="14"/>
  <c r="CU100" i="14"/>
  <c r="CV100" i="14"/>
  <c r="CW100" i="14"/>
  <c r="CU101" i="14"/>
  <c r="CV101" i="14"/>
  <c r="CW101" i="14"/>
  <c r="CW2" i="14"/>
  <c r="CV2" i="14"/>
  <c r="CU2" i="14"/>
  <c r="CT3" i="14"/>
  <c r="CT4" i="14"/>
  <c r="CT5" i="14"/>
  <c r="CT6" i="14"/>
  <c r="CT7" i="14"/>
  <c r="CT8" i="14"/>
  <c r="CT9" i="14"/>
  <c r="CT10" i="14"/>
  <c r="CT11" i="14"/>
  <c r="CT12" i="14"/>
  <c r="CT13" i="14"/>
  <c r="CT14" i="14"/>
  <c r="CT15" i="14"/>
  <c r="CT16" i="14"/>
  <c r="CT17" i="14"/>
  <c r="CT18" i="14"/>
  <c r="CT19" i="14"/>
  <c r="CT20" i="14"/>
  <c r="CT21" i="14"/>
  <c r="CT22" i="14"/>
  <c r="CT23" i="14"/>
  <c r="CT24" i="14"/>
  <c r="CT25" i="14"/>
  <c r="CT26" i="14"/>
  <c r="CT27" i="14"/>
  <c r="CT28" i="14"/>
  <c r="CT29" i="14"/>
  <c r="CT30" i="14"/>
  <c r="CT31" i="14"/>
  <c r="CT32" i="14"/>
  <c r="CT33" i="14"/>
  <c r="CT34" i="14"/>
  <c r="CT35" i="14"/>
  <c r="CT36" i="14"/>
  <c r="CT37" i="14"/>
  <c r="CT38" i="14"/>
  <c r="CT39" i="14"/>
  <c r="CT40" i="14"/>
  <c r="CT41" i="14"/>
  <c r="CT42" i="14"/>
  <c r="CT43" i="14"/>
  <c r="CT44" i="14"/>
  <c r="CT45" i="14"/>
  <c r="CT46" i="14"/>
  <c r="CT47" i="14"/>
  <c r="CT48" i="14"/>
  <c r="CT49" i="14"/>
  <c r="CT50" i="14"/>
  <c r="CT51" i="14"/>
  <c r="CT52" i="14"/>
  <c r="CT53" i="14"/>
  <c r="CT54" i="14"/>
  <c r="CT55" i="14"/>
  <c r="CT56" i="14"/>
  <c r="CT57" i="14"/>
  <c r="CT58" i="14"/>
  <c r="CT59" i="14"/>
  <c r="CT60" i="14"/>
  <c r="CT61" i="14"/>
  <c r="CT62" i="14"/>
  <c r="CT63" i="14"/>
  <c r="CT64" i="14"/>
  <c r="CT65" i="14"/>
  <c r="CT66" i="14"/>
  <c r="CT67" i="14"/>
  <c r="CT68" i="14"/>
  <c r="CT69" i="14"/>
  <c r="CT70" i="14"/>
  <c r="CT71" i="14"/>
  <c r="CT72" i="14"/>
  <c r="CT73" i="14"/>
  <c r="CT74" i="14"/>
  <c r="CT75" i="14"/>
  <c r="CT76" i="14"/>
  <c r="CT77" i="14"/>
  <c r="CT78" i="14"/>
  <c r="CT79" i="14"/>
  <c r="CT80" i="14"/>
  <c r="CT81" i="14"/>
  <c r="CT82" i="14"/>
  <c r="CT83" i="14"/>
  <c r="CT84" i="14"/>
  <c r="CT85" i="14"/>
  <c r="CT86" i="14"/>
  <c r="CT87" i="14"/>
  <c r="CT88" i="14"/>
  <c r="CT89" i="14"/>
  <c r="CT90" i="14"/>
  <c r="CT91" i="14"/>
  <c r="CT92" i="14"/>
  <c r="CT93" i="14"/>
  <c r="CT94" i="14"/>
  <c r="CT95" i="14"/>
  <c r="CT96" i="14"/>
  <c r="CT97" i="14"/>
  <c r="CT98" i="14"/>
  <c r="CT99" i="14"/>
  <c r="CT100" i="14"/>
  <c r="CT101" i="14"/>
  <c r="CT2" i="14"/>
  <c r="CS3" i="14"/>
  <c r="CS4" i="14"/>
  <c r="CS5" i="14"/>
  <c r="CS6" i="14"/>
  <c r="CS7" i="14"/>
  <c r="CS8" i="14"/>
  <c r="CS9" i="14"/>
  <c r="CS10" i="14"/>
  <c r="CS11" i="14"/>
  <c r="CS12" i="14"/>
  <c r="CS13" i="14"/>
  <c r="CS14" i="14"/>
  <c r="CS15" i="14"/>
  <c r="CS16" i="14"/>
  <c r="CS17" i="14"/>
  <c r="CS18" i="14"/>
  <c r="CS19" i="14"/>
  <c r="CS20" i="14"/>
  <c r="CS21" i="14"/>
  <c r="CS22" i="14"/>
  <c r="CS23" i="14"/>
  <c r="CS24" i="14"/>
  <c r="CS25" i="14"/>
  <c r="CS26" i="14"/>
  <c r="CS27" i="14"/>
  <c r="CS28" i="14"/>
  <c r="CS29" i="14"/>
  <c r="CS30" i="14"/>
  <c r="CS31" i="14"/>
  <c r="CS32" i="14"/>
  <c r="CS33" i="14"/>
  <c r="CS34" i="14"/>
  <c r="CS35" i="14"/>
  <c r="CS36" i="14"/>
  <c r="CS37" i="14"/>
  <c r="CS38" i="14"/>
  <c r="CS39" i="14"/>
  <c r="CS40" i="14"/>
  <c r="CS41" i="14"/>
  <c r="CS42" i="14"/>
  <c r="CS43" i="14"/>
  <c r="CS44" i="14"/>
  <c r="CS45" i="14"/>
  <c r="CS46" i="14"/>
  <c r="CS47" i="14"/>
  <c r="CS48" i="14"/>
  <c r="CS49" i="14"/>
  <c r="CS50" i="14"/>
  <c r="CS51" i="14"/>
  <c r="CS52" i="14"/>
  <c r="CS53" i="14"/>
  <c r="CS54" i="14"/>
  <c r="CS55" i="14"/>
  <c r="CS56" i="14"/>
  <c r="CS57" i="14"/>
  <c r="CS58" i="14"/>
  <c r="CS59" i="14"/>
  <c r="CS60" i="14"/>
  <c r="CS61" i="14"/>
  <c r="CS62" i="14"/>
  <c r="CS63" i="14"/>
  <c r="CS64" i="14"/>
  <c r="CS65" i="14"/>
  <c r="CS66" i="14"/>
  <c r="CS67" i="14"/>
  <c r="CS68" i="14"/>
  <c r="CS69" i="14"/>
  <c r="CS70" i="14"/>
  <c r="CS71" i="14"/>
  <c r="CS72" i="14"/>
  <c r="CS73" i="14"/>
  <c r="CS74" i="14"/>
  <c r="CS75" i="14"/>
  <c r="CS76" i="14"/>
  <c r="CS77" i="14"/>
  <c r="CS78" i="14"/>
  <c r="CS79" i="14"/>
  <c r="CS80" i="14"/>
  <c r="CS81" i="14"/>
  <c r="CS82" i="14"/>
  <c r="CS83" i="14"/>
  <c r="CS84" i="14"/>
  <c r="CS85" i="14"/>
  <c r="CS86" i="14"/>
  <c r="CS87" i="14"/>
  <c r="CS88" i="14"/>
  <c r="CS89" i="14"/>
  <c r="CS90" i="14"/>
  <c r="CS91" i="14"/>
  <c r="CS92" i="14"/>
  <c r="CS93" i="14"/>
  <c r="CS94" i="14"/>
  <c r="CS95" i="14"/>
  <c r="CS96" i="14"/>
  <c r="CS97" i="14"/>
  <c r="CS98" i="14"/>
  <c r="CS99" i="14"/>
  <c r="CS100" i="14"/>
  <c r="CS101" i="14"/>
  <c r="CS2" i="14"/>
  <c r="CR3" i="14"/>
  <c r="CR4" i="14"/>
  <c r="CR5" i="14"/>
  <c r="CR6" i="14"/>
  <c r="CR7" i="14"/>
  <c r="CR8" i="14"/>
  <c r="CR9" i="14"/>
  <c r="CR10" i="14"/>
  <c r="CR11" i="14"/>
  <c r="CR12" i="14"/>
  <c r="CR13" i="14"/>
  <c r="CR14" i="14"/>
  <c r="CR15" i="14"/>
  <c r="CR16" i="14"/>
  <c r="CR17" i="14"/>
  <c r="CR18" i="14"/>
  <c r="CR19" i="14"/>
  <c r="CR20" i="14"/>
  <c r="CR21" i="14"/>
  <c r="CR22" i="14"/>
  <c r="CR23" i="14"/>
  <c r="CR24" i="14"/>
  <c r="CR25" i="14"/>
  <c r="CR26" i="14"/>
  <c r="CR27" i="14"/>
  <c r="CR28" i="14"/>
  <c r="CR29" i="14"/>
  <c r="CR30" i="14"/>
  <c r="CR31" i="14"/>
  <c r="CR32" i="14"/>
  <c r="CR33" i="14"/>
  <c r="CR34" i="14"/>
  <c r="CR35" i="14"/>
  <c r="CR36" i="14"/>
  <c r="CR37" i="14"/>
  <c r="CR38" i="14"/>
  <c r="CR39" i="14"/>
  <c r="CR40" i="14"/>
  <c r="CR41" i="14"/>
  <c r="CR42" i="14"/>
  <c r="CR43" i="14"/>
  <c r="CR44" i="14"/>
  <c r="CR45" i="14"/>
  <c r="CR46" i="14"/>
  <c r="CR47" i="14"/>
  <c r="CR48" i="14"/>
  <c r="CR49" i="14"/>
  <c r="CR50" i="14"/>
  <c r="CR51" i="14"/>
  <c r="CR52" i="14"/>
  <c r="CR53" i="14"/>
  <c r="CR54" i="14"/>
  <c r="CR55" i="14"/>
  <c r="CR56" i="14"/>
  <c r="CR57" i="14"/>
  <c r="CR58" i="14"/>
  <c r="CR59" i="14"/>
  <c r="CR60" i="14"/>
  <c r="CR61" i="14"/>
  <c r="CR62" i="14"/>
  <c r="CR63" i="14"/>
  <c r="CR64" i="14"/>
  <c r="CR65" i="14"/>
  <c r="CR66" i="14"/>
  <c r="CR67" i="14"/>
  <c r="CR68" i="14"/>
  <c r="CR69" i="14"/>
  <c r="CR70" i="14"/>
  <c r="CR71" i="14"/>
  <c r="CR72" i="14"/>
  <c r="CR73" i="14"/>
  <c r="CR74" i="14"/>
  <c r="CR75" i="14"/>
  <c r="CR76" i="14"/>
  <c r="CR77" i="14"/>
  <c r="CR78" i="14"/>
  <c r="CR79" i="14"/>
  <c r="CR80" i="14"/>
  <c r="CR81" i="14"/>
  <c r="CR82" i="14"/>
  <c r="CR83" i="14"/>
  <c r="CR84" i="14"/>
  <c r="CR85" i="14"/>
  <c r="CR86" i="14"/>
  <c r="CR87" i="14"/>
  <c r="CR88" i="14"/>
  <c r="CR89" i="14"/>
  <c r="CR90" i="14"/>
  <c r="CR91" i="14"/>
  <c r="CR92" i="14"/>
  <c r="CR93" i="14"/>
  <c r="CR94" i="14"/>
  <c r="CR95" i="14"/>
  <c r="CR96" i="14"/>
  <c r="CR97" i="14"/>
  <c r="CR98" i="14"/>
  <c r="CR99" i="14"/>
  <c r="CR100" i="14"/>
  <c r="CR101" i="14"/>
  <c r="CR2" i="14"/>
  <c r="CQ3" i="14"/>
  <c r="CQ4" i="14"/>
  <c r="CQ5" i="14"/>
  <c r="CQ6" i="14"/>
  <c r="CQ7" i="14"/>
  <c r="CQ8" i="14"/>
  <c r="CQ9" i="14"/>
  <c r="CQ10" i="14"/>
  <c r="CQ11" i="14"/>
  <c r="CQ12" i="14"/>
  <c r="CQ13" i="14"/>
  <c r="CQ14" i="14"/>
  <c r="CQ15" i="14"/>
  <c r="CQ16" i="14"/>
  <c r="CQ17" i="14"/>
  <c r="CQ18" i="14"/>
  <c r="CQ19" i="14"/>
  <c r="CQ20" i="14"/>
  <c r="CQ21" i="14"/>
  <c r="CQ22" i="14"/>
  <c r="CQ23" i="14"/>
  <c r="CQ24" i="14"/>
  <c r="CQ25" i="14"/>
  <c r="CQ26" i="14"/>
  <c r="CQ27" i="14"/>
  <c r="CQ28" i="14"/>
  <c r="CQ29" i="14"/>
  <c r="CQ30" i="14"/>
  <c r="CQ31" i="14"/>
  <c r="CQ32" i="14"/>
  <c r="CQ33" i="14"/>
  <c r="CQ34" i="14"/>
  <c r="CQ35" i="14"/>
  <c r="CQ36" i="14"/>
  <c r="CQ37" i="14"/>
  <c r="CQ38" i="14"/>
  <c r="CQ39" i="14"/>
  <c r="CQ40" i="14"/>
  <c r="CQ41" i="14"/>
  <c r="CQ42" i="14"/>
  <c r="CQ43" i="14"/>
  <c r="CQ44" i="14"/>
  <c r="CQ45" i="14"/>
  <c r="CQ46" i="14"/>
  <c r="CQ47" i="14"/>
  <c r="CQ48" i="14"/>
  <c r="CQ49" i="14"/>
  <c r="CQ50" i="14"/>
  <c r="CQ51" i="14"/>
  <c r="CQ52" i="14"/>
  <c r="CQ53" i="14"/>
  <c r="CQ54" i="14"/>
  <c r="CQ55" i="14"/>
  <c r="CQ56" i="14"/>
  <c r="CQ57" i="14"/>
  <c r="CQ58" i="14"/>
  <c r="CQ59" i="14"/>
  <c r="CQ60" i="14"/>
  <c r="CQ61" i="14"/>
  <c r="CQ62" i="14"/>
  <c r="CQ63" i="14"/>
  <c r="CQ64" i="14"/>
  <c r="CQ65" i="14"/>
  <c r="CQ66" i="14"/>
  <c r="CQ67" i="14"/>
  <c r="CQ68" i="14"/>
  <c r="CQ69" i="14"/>
  <c r="CQ70" i="14"/>
  <c r="CQ71" i="14"/>
  <c r="CQ72" i="14"/>
  <c r="CQ73" i="14"/>
  <c r="CQ74" i="14"/>
  <c r="CQ75" i="14"/>
  <c r="CQ76" i="14"/>
  <c r="CQ77" i="14"/>
  <c r="CQ78" i="14"/>
  <c r="CQ79" i="14"/>
  <c r="CQ80" i="14"/>
  <c r="CQ81" i="14"/>
  <c r="CQ82" i="14"/>
  <c r="CQ83" i="14"/>
  <c r="CQ84" i="14"/>
  <c r="CQ85" i="14"/>
  <c r="CQ86" i="14"/>
  <c r="CQ87" i="14"/>
  <c r="CQ88" i="14"/>
  <c r="CQ89" i="14"/>
  <c r="CQ90" i="14"/>
  <c r="CQ91" i="14"/>
  <c r="CQ92" i="14"/>
  <c r="CQ93" i="14"/>
  <c r="CQ94" i="14"/>
  <c r="CQ95" i="14"/>
  <c r="CQ96" i="14"/>
  <c r="CQ97" i="14"/>
  <c r="CQ98" i="14"/>
  <c r="CQ99" i="14"/>
  <c r="CQ100" i="14"/>
  <c r="CQ101" i="14"/>
  <c r="CQ2" i="14"/>
  <c r="CP3" i="14"/>
  <c r="CP4" i="14"/>
  <c r="CP5" i="14"/>
  <c r="CP6" i="14"/>
  <c r="CP7" i="14"/>
  <c r="CP8" i="14"/>
  <c r="CP9" i="14"/>
  <c r="CP10" i="14"/>
  <c r="CP11" i="14"/>
  <c r="CP12" i="14"/>
  <c r="CP13" i="14"/>
  <c r="CP14" i="14"/>
  <c r="CP15" i="14"/>
  <c r="CP16" i="14"/>
  <c r="CP17" i="14"/>
  <c r="CP18" i="14"/>
  <c r="CP19" i="14"/>
  <c r="CP20" i="14"/>
  <c r="CP21" i="14"/>
  <c r="CP22" i="14"/>
  <c r="CP23" i="14"/>
  <c r="CP24" i="14"/>
  <c r="CP25" i="14"/>
  <c r="CP26" i="14"/>
  <c r="CP27" i="14"/>
  <c r="CP28" i="14"/>
  <c r="CP29" i="14"/>
  <c r="CP30" i="14"/>
  <c r="CP31" i="14"/>
  <c r="CP32" i="14"/>
  <c r="CP33" i="14"/>
  <c r="CP34" i="14"/>
  <c r="CP35" i="14"/>
  <c r="CP36" i="14"/>
  <c r="CP37" i="14"/>
  <c r="CP38" i="14"/>
  <c r="CP39" i="14"/>
  <c r="CP40" i="14"/>
  <c r="CP41" i="14"/>
  <c r="CP42" i="14"/>
  <c r="CP43" i="14"/>
  <c r="CP44" i="14"/>
  <c r="CP45" i="14"/>
  <c r="CP46" i="14"/>
  <c r="CP47" i="14"/>
  <c r="CP48" i="14"/>
  <c r="CP49" i="14"/>
  <c r="CP50" i="14"/>
  <c r="CP51" i="14"/>
  <c r="CP52" i="14"/>
  <c r="CP53" i="14"/>
  <c r="CP54" i="14"/>
  <c r="CP55" i="14"/>
  <c r="CP56" i="14"/>
  <c r="CP57" i="14"/>
  <c r="CP58" i="14"/>
  <c r="CP59" i="14"/>
  <c r="CP60" i="14"/>
  <c r="CP61" i="14"/>
  <c r="CP62" i="14"/>
  <c r="CP63" i="14"/>
  <c r="CP64" i="14"/>
  <c r="CP65" i="14"/>
  <c r="CP66" i="14"/>
  <c r="CP67" i="14"/>
  <c r="CP68" i="14"/>
  <c r="CP69" i="14"/>
  <c r="CP70" i="14"/>
  <c r="CP71" i="14"/>
  <c r="CP72" i="14"/>
  <c r="CP73" i="14"/>
  <c r="CP74" i="14"/>
  <c r="CP75" i="14"/>
  <c r="CP76" i="14"/>
  <c r="CP77" i="14"/>
  <c r="CP78" i="14"/>
  <c r="CP79" i="14"/>
  <c r="CP80" i="14"/>
  <c r="CP81" i="14"/>
  <c r="CP82" i="14"/>
  <c r="CP83" i="14"/>
  <c r="CP84" i="14"/>
  <c r="CP85" i="14"/>
  <c r="CP86" i="14"/>
  <c r="CP87" i="14"/>
  <c r="CP88" i="14"/>
  <c r="CP89" i="14"/>
  <c r="CP90" i="14"/>
  <c r="CP91" i="14"/>
  <c r="CP92" i="14"/>
  <c r="CP93" i="14"/>
  <c r="CP94" i="14"/>
  <c r="CP95" i="14"/>
  <c r="CP96" i="14"/>
  <c r="CP97" i="14"/>
  <c r="CP98" i="14"/>
  <c r="CP99" i="14"/>
  <c r="CP100" i="14"/>
  <c r="CP101" i="14"/>
  <c r="CP2" i="14"/>
  <c r="CO3" i="14"/>
  <c r="CO4" i="14"/>
  <c r="CO5" i="14"/>
  <c r="CO6" i="14"/>
  <c r="CO7" i="14"/>
  <c r="CO8" i="14"/>
  <c r="CO9" i="14"/>
  <c r="CO10" i="14"/>
  <c r="CO11" i="14"/>
  <c r="CO12" i="14"/>
  <c r="CO13" i="14"/>
  <c r="CO14" i="14"/>
  <c r="CO15" i="14"/>
  <c r="CO16" i="14"/>
  <c r="CO17" i="14"/>
  <c r="CO18" i="14"/>
  <c r="CO19" i="14"/>
  <c r="CO20" i="14"/>
  <c r="CO21" i="14"/>
  <c r="CO22" i="14"/>
  <c r="CO23" i="14"/>
  <c r="CO24" i="14"/>
  <c r="CO25" i="14"/>
  <c r="CO26" i="14"/>
  <c r="CO27" i="14"/>
  <c r="CO28" i="14"/>
  <c r="CO29" i="14"/>
  <c r="CO30" i="14"/>
  <c r="CO31" i="14"/>
  <c r="CO32" i="14"/>
  <c r="CO33" i="14"/>
  <c r="CO34" i="14"/>
  <c r="CO35" i="14"/>
  <c r="CO36" i="14"/>
  <c r="CO37" i="14"/>
  <c r="CO38" i="14"/>
  <c r="CO39" i="14"/>
  <c r="CO40" i="14"/>
  <c r="CO41" i="14"/>
  <c r="CO42" i="14"/>
  <c r="CO43" i="14"/>
  <c r="CO44" i="14"/>
  <c r="CO45" i="14"/>
  <c r="CO46" i="14"/>
  <c r="CO47" i="14"/>
  <c r="CO48" i="14"/>
  <c r="CO49" i="14"/>
  <c r="CO50" i="14"/>
  <c r="CO51" i="14"/>
  <c r="CO52" i="14"/>
  <c r="CO53" i="14"/>
  <c r="CO54" i="14"/>
  <c r="CO55" i="14"/>
  <c r="CO56" i="14"/>
  <c r="CO57" i="14"/>
  <c r="CO58" i="14"/>
  <c r="CO59" i="14"/>
  <c r="CO60" i="14"/>
  <c r="CO61" i="14"/>
  <c r="CO62" i="14"/>
  <c r="CO63" i="14"/>
  <c r="CO64" i="14"/>
  <c r="CO65" i="14"/>
  <c r="CO66" i="14"/>
  <c r="CO67" i="14"/>
  <c r="CO68" i="14"/>
  <c r="CO69" i="14"/>
  <c r="CO70" i="14"/>
  <c r="CO71" i="14"/>
  <c r="CO72" i="14"/>
  <c r="CO73" i="14"/>
  <c r="CO74" i="14"/>
  <c r="CO75" i="14"/>
  <c r="CO76" i="14"/>
  <c r="CO77" i="14"/>
  <c r="CO78" i="14"/>
  <c r="CO79" i="14"/>
  <c r="CO80" i="14"/>
  <c r="CO81" i="14"/>
  <c r="CO82" i="14"/>
  <c r="CO83" i="14"/>
  <c r="CO84" i="14"/>
  <c r="CO85" i="14"/>
  <c r="CO86" i="14"/>
  <c r="CO87" i="14"/>
  <c r="CO88" i="14"/>
  <c r="CO89" i="14"/>
  <c r="CO90" i="14"/>
  <c r="CO91" i="14"/>
  <c r="CO92" i="14"/>
  <c r="CO93" i="14"/>
  <c r="CO94" i="14"/>
  <c r="CO95" i="14"/>
  <c r="CO96" i="14"/>
  <c r="CO97" i="14"/>
  <c r="CO98" i="14"/>
  <c r="CO99" i="14"/>
  <c r="CO100" i="14"/>
  <c r="CO101" i="14"/>
  <c r="CO2" i="14"/>
  <c r="CM3" i="14"/>
  <c r="CM4" i="14"/>
  <c r="CM5" i="14"/>
  <c r="CM6" i="14"/>
  <c r="CM7" i="14"/>
  <c r="CM8" i="14"/>
  <c r="CM9" i="14"/>
  <c r="CM10" i="14"/>
  <c r="CM11" i="14"/>
  <c r="CM12" i="14"/>
  <c r="CM13" i="14"/>
  <c r="CM14" i="14"/>
  <c r="CM15" i="14"/>
  <c r="CM16" i="14"/>
  <c r="CM17" i="14"/>
  <c r="CM18" i="14"/>
  <c r="CM19" i="14"/>
  <c r="CM20" i="14"/>
  <c r="CM21" i="14"/>
  <c r="CM22" i="14"/>
  <c r="CM23" i="14"/>
  <c r="CM24" i="14"/>
  <c r="CM25" i="14"/>
  <c r="CM26" i="14"/>
  <c r="CM27" i="14"/>
  <c r="CM28" i="14"/>
  <c r="CM29" i="14"/>
  <c r="CM30" i="14"/>
  <c r="CM31" i="14"/>
  <c r="CM32" i="14"/>
  <c r="CM33" i="14"/>
  <c r="CM34" i="14"/>
  <c r="CM35" i="14"/>
  <c r="CM36" i="14"/>
  <c r="CM37" i="14"/>
  <c r="CM38" i="14"/>
  <c r="CM39" i="14"/>
  <c r="CM40" i="14"/>
  <c r="CM41" i="14"/>
  <c r="CM42" i="14"/>
  <c r="CM43" i="14"/>
  <c r="CM44" i="14"/>
  <c r="CM45" i="14"/>
  <c r="CM46" i="14"/>
  <c r="CM47" i="14"/>
  <c r="CM48" i="14"/>
  <c r="CM49" i="14"/>
  <c r="CM50" i="14"/>
  <c r="CM51" i="14"/>
  <c r="CM52" i="14"/>
  <c r="CM53" i="14"/>
  <c r="CM54" i="14"/>
  <c r="CM55" i="14"/>
  <c r="CM56" i="14"/>
  <c r="CM57" i="14"/>
  <c r="CM58" i="14"/>
  <c r="CM59" i="14"/>
  <c r="CM60" i="14"/>
  <c r="CM61" i="14"/>
  <c r="CM62" i="14"/>
  <c r="CM63" i="14"/>
  <c r="CM64" i="14"/>
  <c r="CM65" i="14"/>
  <c r="CM66" i="14"/>
  <c r="CM67" i="14"/>
  <c r="CM68" i="14"/>
  <c r="CM69" i="14"/>
  <c r="CM70" i="14"/>
  <c r="CM71" i="14"/>
  <c r="CM72" i="14"/>
  <c r="CM73" i="14"/>
  <c r="CM74" i="14"/>
  <c r="CM75" i="14"/>
  <c r="CM76" i="14"/>
  <c r="CM77" i="14"/>
  <c r="CM78" i="14"/>
  <c r="CM79" i="14"/>
  <c r="CM80" i="14"/>
  <c r="CM81" i="14"/>
  <c r="CM82" i="14"/>
  <c r="CM83" i="14"/>
  <c r="CM84" i="14"/>
  <c r="CM85" i="14"/>
  <c r="CM86" i="14"/>
  <c r="CM87" i="14"/>
  <c r="CM88" i="14"/>
  <c r="CM89" i="14"/>
  <c r="CM90" i="14"/>
  <c r="CM91" i="14"/>
  <c r="CM92" i="14"/>
  <c r="CM93" i="14"/>
  <c r="CM94" i="14"/>
  <c r="CM95" i="14"/>
  <c r="CM96" i="14"/>
  <c r="CM97" i="14"/>
  <c r="CM98" i="14"/>
  <c r="CM99" i="14"/>
  <c r="CM100" i="14"/>
  <c r="CM101" i="14"/>
  <c r="CM2" i="14"/>
  <c r="CL3" i="14"/>
  <c r="CL4" i="14"/>
  <c r="CL5" i="14"/>
  <c r="CL6" i="14"/>
  <c r="CL7" i="14"/>
  <c r="CL8" i="14"/>
  <c r="CL9" i="14"/>
  <c r="CL10" i="14"/>
  <c r="CL11" i="14"/>
  <c r="CL12" i="14"/>
  <c r="CL13" i="14"/>
  <c r="CL14" i="14"/>
  <c r="CL15" i="14"/>
  <c r="CL16" i="14"/>
  <c r="CL17" i="14"/>
  <c r="CL18" i="14"/>
  <c r="CL19" i="14"/>
  <c r="CL20" i="14"/>
  <c r="CL21" i="14"/>
  <c r="CL22" i="14"/>
  <c r="CL23" i="14"/>
  <c r="CL24" i="14"/>
  <c r="CL25" i="14"/>
  <c r="CL26" i="14"/>
  <c r="CL27" i="14"/>
  <c r="CL28" i="14"/>
  <c r="CL29" i="14"/>
  <c r="CL30" i="14"/>
  <c r="CL31" i="14"/>
  <c r="CL32" i="14"/>
  <c r="CL33" i="14"/>
  <c r="CL34" i="14"/>
  <c r="CL35" i="14"/>
  <c r="CL36" i="14"/>
  <c r="CL37" i="14"/>
  <c r="CL38" i="14"/>
  <c r="CL39" i="14"/>
  <c r="CL40" i="14"/>
  <c r="CL41" i="14"/>
  <c r="CL42" i="14"/>
  <c r="CL43" i="14"/>
  <c r="CL44" i="14"/>
  <c r="CL45" i="14"/>
  <c r="CL46" i="14"/>
  <c r="CL47" i="14"/>
  <c r="CL48" i="14"/>
  <c r="CL49" i="14"/>
  <c r="CL50" i="14"/>
  <c r="CL51" i="14"/>
  <c r="CL52" i="14"/>
  <c r="CL53" i="14"/>
  <c r="CL54" i="14"/>
  <c r="CL55" i="14"/>
  <c r="CL56" i="14"/>
  <c r="CL57" i="14"/>
  <c r="CL58" i="14"/>
  <c r="CL59" i="14"/>
  <c r="CL60" i="14"/>
  <c r="CL61" i="14"/>
  <c r="CL62" i="14"/>
  <c r="CL63" i="14"/>
  <c r="CL64" i="14"/>
  <c r="CL65" i="14"/>
  <c r="CL66" i="14"/>
  <c r="CL67" i="14"/>
  <c r="CL68" i="14"/>
  <c r="CL69" i="14"/>
  <c r="CL70" i="14"/>
  <c r="CL71" i="14"/>
  <c r="CL72" i="14"/>
  <c r="CL73" i="14"/>
  <c r="CL74" i="14"/>
  <c r="CL75" i="14"/>
  <c r="CL76" i="14"/>
  <c r="CL77" i="14"/>
  <c r="CL78" i="14"/>
  <c r="CL79" i="14"/>
  <c r="CL80" i="14"/>
  <c r="CL81" i="14"/>
  <c r="CL82" i="14"/>
  <c r="CL83" i="14"/>
  <c r="CL84" i="14"/>
  <c r="CL85" i="14"/>
  <c r="CL86" i="14"/>
  <c r="CL87" i="14"/>
  <c r="CL88" i="14"/>
  <c r="CL89" i="14"/>
  <c r="CL90" i="14"/>
  <c r="CL91" i="14"/>
  <c r="CL92" i="14"/>
  <c r="CL93" i="14"/>
  <c r="CL94" i="14"/>
  <c r="CL95" i="14"/>
  <c r="CL96" i="14"/>
  <c r="CL97" i="14"/>
  <c r="CL98" i="14"/>
  <c r="CL99" i="14"/>
  <c r="CL100" i="14"/>
  <c r="CL101" i="14"/>
  <c r="CL2" i="14"/>
  <c r="CN3" i="14"/>
  <c r="CN4" i="14"/>
  <c r="CN5" i="14"/>
  <c r="CN6" i="14"/>
  <c r="CN7" i="14"/>
  <c r="CN8" i="14"/>
  <c r="CN9" i="14"/>
  <c r="CN10" i="14"/>
  <c r="CN11" i="14"/>
  <c r="CN12" i="14"/>
  <c r="CN13" i="14"/>
  <c r="CN14" i="14"/>
  <c r="CN15" i="14"/>
  <c r="CN16" i="14"/>
  <c r="CN17" i="14"/>
  <c r="CN18" i="14"/>
  <c r="CN19" i="14"/>
  <c r="CN20" i="14"/>
  <c r="CN21" i="14"/>
  <c r="CN22" i="14"/>
  <c r="CN23" i="14"/>
  <c r="CN24" i="14"/>
  <c r="CN25" i="14"/>
  <c r="CN26" i="14"/>
  <c r="CN27" i="14"/>
  <c r="CN28" i="14"/>
  <c r="CN29" i="14"/>
  <c r="CN30" i="14"/>
  <c r="CN31" i="14"/>
  <c r="CN32" i="14"/>
  <c r="CN33" i="14"/>
  <c r="CN34" i="14"/>
  <c r="CN35" i="14"/>
  <c r="CN36" i="14"/>
  <c r="CN37" i="14"/>
  <c r="CN38" i="14"/>
  <c r="CN39" i="14"/>
  <c r="CN40" i="14"/>
  <c r="CN41" i="14"/>
  <c r="CN42" i="14"/>
  <c r="CN43" i="14"/>
  <c r="CN44" i="14"/>
  <c r="CN45" i="14"/>
  <c r="CN46" i="14"/>
  <c r="CN47" i="14"/>
  <c r="CN48" i="14"/>
  <c r="CN49" i="14"/>
  <c r="CN50" i="14"/>
  <c r="CN51" i="14"/>
  <c r="CN52" i="14"/>
  <c r="CN53" i="14"/>
  <c r="CN54" i="14"/>
  <c r="CN55" i="14"/>
  <c r="CN56" i="14"/>
  <c r="CN57" i="14"/>
  <c r="CN58" i="14"/>
  <c r="CN59" i="14"/>
  <c r="CN60" i="14"/>
  <c r="CN61" i="14"/>
  <c r="CN62" i="14"/>
  <c r="CN63" i="14"/>
  <c r="CN64" i="14"/>
  <c r="CN65" i="14"/>
  <c r="CN66" i="14"/>
  <c r="CN67" i="14"/>
  <c r="CN68" i="14"/>
  <c r="CN69" i="14"/>
  <c r="CN70" i="14"/>
  <c r="CN71" i="14"/>
  <c r="CN72" i="14"/>
  <c r="CN73" i="14"/>
  <c r="CN74" i="14"/>
  <c r="CN75" i="14"/>
  <c r="CN76" i="14"/>
  <c r="CN77" i="14"/>
  <c r="CN78" i="14"/>
  <c r="CN79" i="14"/>
  <c r="CN80" i="14"/>
  <c r="CN81" i="14"/>
  <c r="CN82" i="14"/>
  <c r="CN83" i="14"/>
  <c r="CN84" i="14"/>
  <c r="CN85" i="14"/>
  <c r="CN86" i="14"/>
  <c r="CN87" i="14"/>
  <c r="CN88" i="14"/>
  <c r="CN89" i="14"/>
  <c r="CN90" i="14"/>
  <c r="CN91" i="14"/>
  <c r="CN92" i="14"/>
  <c r="CN93" i="14"/>
  <c r="CN94" i="14"/>
  <c r="CN95" i="14"/>
  <c r="CN96" i="14"/>
  <c r="CN97" i="14"/>
  <c r="CN98" i="14"/>
  <c r="CN99" i="14"/>
  <c r="CN100" i="14"/>
  <c r="CN101" i="14"/>
  <c r="CN2" i="14"/>
  <c r="CK3" i="14"/>
  <c r="CK4" i="14"/>
  <c r="CK5" i="14"/>
  <c r="CK6" i="14"/>
  <c r="CK7" i="14"/>
  <c r="CK8" i="14"/>
  <c r="CK9" i="14"/>
  <c r="CK10" i="14"/>
  <c r="CK11" i="14"/>
  <c r="CK12" i="14"/>
  <c r="CK13" i="14"/>
  <c r="CK14" i="14"/>
  <c r="CK15" i="14"/>
  <c r="CK16" i="14"/>
  <c r="CK17" i="14"/>
  <c r="CK18" i="14"/>
  <c r="CK19" i="14"/>
  <c r="CK20" i="14"/>
  <c r="CK21" i="14"/>
  <c r="CK22" i="14"/>
  <c r="CK23" i="14"/>
  <c r="CK24" i="14"/>
  <c r="CK25" i="14"/>
  <c r="CK26" i="14"/>
  <c r="CK27" i="14"/>
  <c r="CK28" i="14"/>
  <c r="CK29" i="14"/>
  <c r="CK30" i="14"/>
  <c r="CK31" i="14"/>
  <c r="CK32" i="14"/>
  <c r="CK33" i="14"/>
  <c r="CK34" i="14"/>
  <c r="CK35" i="14"/>
  <c r="CK36" i="14"/>
  <c r="CK37" i="14"/>
  <c r="CK38" i="14"/>
  <c r="CK39" i="14"/>
  <c r="CK40" i="14"/>
  <c r="CK41" i="14"/>
  <c r="CK42" i="14"/>
  <c r="CK43" i="14"/>
  <c r="CK44" i="14"/>
  <c r="CK45" i="14"/>
  <c r="CK46" i="14"/>
  <c r="CK47" i="14"/>
  <c r="CK48" i="14"/>
  <c r="CK49" i="14"/>
  <c r="CK50" i="14"/>
  <c r="CK51" i="14"/>
  <c r="CK52" i="14"/>
  <c r="CK53" i="14"/>
  <c r="CK54" i="14"/>
  <c r="CK55" i="14"/>
  <c r="CK56" i="14"/>
  <c r="CK57" i="14"/>
  <c r="CK58" i="14"/>
  <c r="CK59" i="14"/>
  <c r="CK60" i="14"/>
  <c r="CK61" i="14"/>
  <c r="CK62" i="14"/>
  <c r="CK63" i="14"/>
  <c r="CK64" i="14"/>
  <c r="CK65" i="14"/>
  <c r="CK66" i="14"/>
  <c r="CK67" i="14"/>
  <c r="CK68" i="14"/>
  <c r="CK69" i="14"/>
  <c r="CK70" i="14"/>
  <c r="CK71" i="14"/>
  <c r="CK72" i="14"/>
  <c r="CK73" i="14"/>
  <c r="CK74" i="14"/>
  <c r="CK75" i="14"/>
  <c r="CK76" i="14"/>
  <c r="CK77" i="14"/>
  <c r="CK78" i="14"/>
  <c r="CK79" i="14"/>
  <c r="CK80" i="14"/>
  <c r="CK81" i="14"/>
  <c r="CK82" i="14"/>
  <c r="CK83" i="14"/>
  <c r="CK84" i="14"/>
  <c r="CK85" i="14"/>
  <c r="CK86" i="14"/>
  <c r="CK87" i="14"/>
  <c r="CK88" i="14"/>
  <c r="CK89" i="14"/>
  <c r="CK90" i="14"/>
  <c r="CK91" i="14"/>
  <c r="CK92" i="14"/>
  <c r="CK93" i="14"/>
  <c r="CK94" i="14"/>
  <c r="CK95" i="14"/>
  <c r="CK96" i="14"/>
  <c r="CK97" i="14"/>
  <c r="CK98" i="14"/>
  <c r="CK99" i="14"/>
  <c r="CK100" i="14"/>
  <c r="CK101" i="14"/>
  <c r="CK2" i="14"/>
  <c r="CJ3" i="14"/>
  <c r="CJ4" i="14"/>
  <c r="CJ5" i="14"/>
  <c r="CJ6" i="14"/>
  <c r="CJ7" i="14"/>
  <c r="CJ8" i="14"/>
  <c r="CJ9" i="14"/>
  <c r="CJ10" i="14"/>
  <c r="CJ11" i="14"/>
  <c r="CJ12" i="14"/>
  <c r="CJ13" i="14"/>
  <c r="CJ14" i="14"/>
  <c r="CJ15" i="14"/>
  <c r="CJ16" i="14"/>
  <c r="CJ17" i="14"/>
  <c r="CJ18" i="14"/>
  <c r="CJ19" i="14"/>
  <c r="CJ20" i="14"/>
  <c r="CJ21" i="14"/>
  <c r="CJ22" i="14"/>
  <c r="CJ23" i="14"/>
  <c r="CJ24" i="14"/>
  <c r="CJ25" i="14"/>
  <c r="CJ26" i="14"/>
  <c r="CJ27" i="14"/>
  <c r="CJ28" i="14"/>
  <c r="CJ29" i="14"/>
  <c r="CJ30" i="14"/>
  <c r="CJ31" i="14"/>
  <c r="CJ32" i="14"/>
  <c r="CJ33" i="14"/>
  <c r="CJ34" i="14"/>
  <c r="CJ35" i="14"/>
  <c r="CJ36" i="14"/>
  <c r="CJ37" i="14"/>
  <c r="CJ38" i="14"/>
  <c r="CJ39" i="14"/>
  <c r="CJ40" i="14"/>
  <c r="CJ41" i="14"/>
  <c r="CJ42" i="14"/>
  <c r="CJ43" i="14"/>
  <c r="CJ44" i="14"/>
  <c r="CJ45" i="14"/>
  <c r="CJ46" i="14"/>
  <c r="CJ47" i="14"/>
  <c r="CJ48" i="14"/>
  <c r="CJ49" i="14"/>
  <c r="CJ50" i="14"/>
  <c r="CJ51" i="14"/>
  <c r="CJ52" i="14"/>
  <c r="CJ53" i="14"/>
  <c r="CJ54" i="14"/>
  <c r="CJ55" i="14"/>
  <c r="CJ56" i="14"/>
  <c r="CJ57" i="14"/>
  <c r="CJ58" i="14"/>
  <c r="CJ59" i="14"/>
  <c r="CJ60" i="14"/>
  <c r="CJ61" i="14"/>
  <c r="CJ62" i="14"/>
  <c r="CJ63" i="14"/>
  <c r="CJ64" i="14"/>
  <c r="CJ65" i="14"/>
  <c r="CJ66" i="14"/>
  <c r="CJ67" i="14"/>
  <c r="CJ68" i="14"/>
  <c r="CJ69" i="14"/>
  <c r="CJ70" i="14"/>
  <c r="CJ71" i="14"/>
  <c r="CJ72" i="14"/>
  <c r="CJ73" i="14"/>
  <c r="CJ74" i="14"/>
  <c r="CJ75" i="14"/>
  <c r="CJ76" i="14"/>
  <c r="CJ77" i="14"/>
  <c r="CJ78" i="14"/>
  <c r="CJ79" i="14"/>
  <c r="CJ80" i="14"/>
  <c r="CJ81" i="14"/>
  <c r="CJ82" i="14"/>
  <c r="CJ83" i="14"/>
  <c r="CJ84" i="14"/>
  <c r="CJ85" i="14"/>
  <c r="CJ86" i="14"/>
  <c r="CJ87" i="14"/>
  <c r="CJ88" i="14"/>
  <c r="CJ89" i="14"/>
  <c r="CJ90" i="14"/>
  <c r="CJ91" i="14"/>
  <c r="CJ92" i="14"/>
  <c r="CJ93" i="14"/>
  <c r="CJ94" i="14"/>
  <c r="CJ95" i="14"/>
  <c r="CJ96" i="14"/>
  <c r="CJ97" i="14"/>
  <c r="CJ98" i="14"/>
  <c r="CJ99" i="14"/>
  <c r="CJ100" i="14"/>
  <c r="CJ101" i="14"/>
  <c r="CJ2" i="14"/>
  <c r="CF3" i="14"/>
  <c r="CG3" i="14"/>
  <c r="CI3" i="14"/>
  <c r="CF4" i="14"/>
  <c r="CG4" i="14"/>
  <c r="CI4" i="14"/>
  <c r="CF5" i="14"/>
  <c r="CG5" i="14"/>
  <c r="CI5" i="14"/>
  <c r="CF6" i="14"/>
  <c r="CG6" i="14"/>
  <c r="CI6" i="14"/>
  <c r="CF7" i="14"/>
  <c r="CG7" i="14"/>
  <c r="CI7" i="14"/>
  <c r="CF8" i="14"/>
  <c r="CG8" i="14"/>
  <c r="CI8" i="14"/>
  <c r="CF9" i="14"/>
  <c r="CG9" i="14"/>
  <c r="CI9" i="14"/>
  <c r="CF10" i="14"/>
  <c r="CG10" i="14"/>
  <c r="CI10" i="14"/>
  <c r="CF11" i="14"/>
  <c r="CG11" i="14"/>
  <c r="CI11" i="14"/>
  <c r="CF12" i="14"/>
  <c r="CG12" i="14"/>
  <c r="CI12" i="14"/>
  <c r="CF13" i="14"/>
  <c r="CG13" i="14"/>
  <c r="CI13" i="14"/>
  <c r="CF14" i="14"/>
  <c r="CG14" i="14"/>
  <c r="CI14" i="14"/>
  <c r="CF15" i="14"/>
  <c r="CG15" i="14"/>
  <c r="CI15" i="14"/>
  <c r="CF16" i="14"/>
  <c r="CG16" i="14"/>
  <c r="CI16" i="14"/>
  <c r="CF17" i="14"/>
  <c r="CG17" i="14"/>
  <c r="CI17" i="14"/>
  <c r="CF18" i="14"/>
  <c r="CG18" i="14"/>
  <c r="CI18" i="14"/>
  <c r="CF19" i="14"/>
  <c r="CG19" i="14"/>
  <c r="CI19" i="14"/>
  <c r="CF20" i="14"/>
  <c r="CG20" i="14"/>
  <c r="CI20" i="14"/>
  <c r="CF21" i="14"/>
  <c r="CG21" i="14"/>
  <c r="CI21" i="14"/>
  <c r="CF22" i="14"/>
  <c r="CG22" i="14"/>
  <c r="CI22" i="14"/>
  <c r="CF23" i="14"/>
  <c r="CG23" i="14"/>
  <c r="CI23" i="14"/>
  <c r="CF24" i="14"/>
  <c r="CG24" i="14"/>
  <c r="CI24" i="14"/>
  <c r="CF25" i="14"/>
  <c r="CG25" i="14"/>
  <c r="CI25" i="14"/>
  <c r="CF26" i="14"/>
  <c r="CG26" i="14"/>
  <c r="CI26" i="14"/>
  <c r="CF27" i="14"/>
  <c r="CG27" i="14"/>
  <c r="CI27" i="14"/>
  <c r="CF28" i="14"/>
  <c r="CG28" i="14"/>
  <c r="CI28" i="14"/>
  <c r="CF29" i="14"/>
  <c r="CG29" i="14"/>
  <c r="CI29" i="14"/>
  <c r="CF30" i="14"/>
  <c r="CG30" i="14"/>
  <c r="CI30" i="14"/>
  <c r="CF31" i="14"/>
  <c r="CG31" i="14"/>
  <c r="CI31" i="14"/>
  <c r="CF32" i="14"/>
  <c r="CG32" i="14"/>
  <c r="CI32" i="14"/>
  <c r="CF33" i="14"/>
  <c r="CG33" i="14"/>
  <c r="CI33" i="14"/>
  <c r="CF34" i="14"/>
  <c r="CG34" i="14"/>
  <c r="CI34" i="14"/>
  <c r="CF35" i="14"/>
  <c r="CG35" i="14"/>
  <c r="CI35" i="14"/>
  <c r="CF36" i="14"/>
  <c r="CG36" i="14"/>
  <c r="CI36" i="14"/>
  <c r="CF37" i="14"/>
  <c r="CG37" i="14"/>
  <c r="CI37" i="14"/>
  <c r="CF38" i="14"/>
  <c r="CG38" i="14"/>
  <c r="CI38" i="14"/>
  <c r="CF39" i="14"/>
  <c r="CG39" i="14"/>
  <c r="CI39" i="14"/>
  <c r="CF40" i="14"/>
  <c r="CG40" i="14"/>
  <c r="CI40" i="14"/>
  <c r="CF41" i="14"/>
  <c r="CG41" i="14"/>
  <c r="CI41" i="14"/>
  <c r="CF42" i="14"/>
  <c r="CG42" i="14"/>
  <c r="CI42" i="14"/>
  <c r="CF43" i="14"/>
  <c r="CG43" i="14"/>
  <c r="CI43" i="14"/>
  <c r="CF44" i="14"/>
  <c r="CG44" i="14"/>
  <c r="CI44" i="14"/>
  <c r="CF45" i="14"/>
  <c r="CG45" i="14"/>
  <c r="CI45" i="14"/>
  <c r="CF46" i="14"/>
  <c r="CG46" i="14"/>
  <c r="CI46" i="14"/>
  <c r="CF47" i="14"/>
  <c r="CG47" i="14"/>
  <c r="CI47" i="14"/>
  <c r="CF48" i="14"/>
  <c r="CG48" i="14"/>
  <c r="CI48" i="14"/>
  <c r="CF49" i="14"/>
  <c r="CG49" i="14"/>
  <c r="CI49" i="14"/>
  <c r="CF50" i="14"/>
  <c r="CG50" i="14"/>
  <c r="CI50" i="14"/>
  <c r="CF51" i="14"/>
  <c r="CG51" i="14"/>
  <c r="CI51" i="14"/>
  <c r="CF52" i="14"/>
  <c r="CG52" i="14"/>
  <c r="CI52" i="14"/>
  <c r="CF53" i="14"/>
  <c r="CG53" i="14"/>
  <c r="CI53" i="14"/>
  <c r="CF54" i="14"/>
  <c r="CG54" i="14"/>
  <c r="CI54" i="14"/>
  <c r="CF55" i="14"/>
  <c r="CG55" i="14"/>
  <c r="CI55" i="14"/>
  <c r="CF56" i="14"/>
  <c r="CG56" i="14"/>
  <c r="CI56" i="14"/>
  <c r="CF57" i="14"/>
  <c r="CG57" i="14"/>
  <c r="CI57" i="14"/>
  <c r="CF58" i="14"/>
  <c r="CG58" i="14"/>
  <c r="CI58" i="14"/>
  <c r="CF59" i="14"/>
  <c r="CG59" i="14"/>
  <c r="CI59" i="14"/>
  <c r="CF60" i="14"/>
  <c r="CG60" i="14"/>
  <c r="CI60" i="14"/>
  <c r="CF61" i="14"/>
  <c r="CG61" i="14"/>
  <c r="CI61" i="14"/>
  <c r="CF62" i="14"/>
  <c r="CG62" i="14"/>
  <c r="CI62" i="14"/>
  <c r="CF63" i="14"/>
  <c r="CG63" i="14"/>
  <c r="CI63" i="14"/>
  <c r="CF64" i="14"/>
  <c r="CG64" i="14"/>
  <c r="CI64" i="14"/>
  <c r="CF65" i="14"/>
  <c r="CG65" i="14"/>
  <c r="CI65" i="14"/>
  <c r="CF66" i="14"/>
  <c r="CG66" i="14"/>
  <c r="CI66" i="14"/>
  <c r="CF67" i="14"/>
  <c r="CG67" i="14"/>
  <c r="CI67" i="14"/>
  <c r="CF68" i="14"/>
  <c r="CG68" i="14"/>
  <c r="CI68" i="14"/>
  <c r="CF69" i="14"/>
  <c r="CG69" i="14"/>
  <c r="CI69" i="14"/>
  <c r="CF70" i="14"/>
  <c r="CG70" i="14"/>
  <c r="CI70" i="14"/>
  <c r="CF71" i="14"/>
  <c r="CG71" i="14"/>
  <c r="CI71" i="14"/>
  <c r="CF72" i="14"/>
  <c r="CG72" i="14"/>
  <c r="CI72" i="14"/>
  <c r="CF73" i="14"/>
  <c r="CG73" i="14"/>
  <c r="CI73" i="14"/>
  <c r="CF74" i="14"/>
  <c r="CG74" i="14"/>
  <c r="CI74" i="14"/>
  <c r="CF75" i="14"/>
  <c r="CG75" i="14"/>
  <c r="CI75" i="14"/>
  <c r="CF76" i="14"/>
  <c r="CG76" i="14"/>
  <c r="CI76" i="14"/>
  <c r="CF77" i="14"/>
  <c r="CG77" i="14"/>
  <c r="CI77" i="14"/>
  <c r="CF78" i="14"/>
  <c r="CG78" i="14"/>
  <c r="CI78" i="14"/>
  <c r="CF79" i="14"/>
  <c r="CG79" i="14"/>
  <c r="CI79" i="14"/>
  <c r="CF80" i="14"/>
  <c r="CG80" i="14"/>
  <c r="CI80" i="14"/>
  <c r="CF81" i="14"/>
  <c r="CG81" i="14"/>
  <c r="CI81" i="14"/>
  <c r="CF82" i="14"/>
  <c r="CG82" i="14"/>
  <c r="CI82" i="14"/>
  <c r="CF83" i="14"/>
  <c r="CG83" i="14"/>
  <c r="CI83" i="14"/>
  <c r="CF84" i="14"/>
  <c r="CG84" i="14"/>
  <c r="CI84" i="14"/>
  <c r="CF85" i="14"/>
  <c r="CG85" i="14"/>
  <c r="CI85" i="14"/>
  <c r="CF86" i="14"/>
  <c r="CG86" i="14"/>
  <c r="CI86" i="14"/>
  <c r="CF87" i="14"/>
  <c r="CG87" i="14"/>
  <c r="CI87" i="14"/>
  <c r="CF88" i="14"/>
  <c r="CG88" i="14"/>
  <c r="CI88" i="14"/>
  <c r="CF89" i="14"/>
  <c r="CG89" i="14"/>
  <c r="CI89" i="14"/>
  <c r="CF90" i="14"/>
  <c r="CG90" i="14"/>
  <c r="CI90" i="14"/>
  <c r="CF91" i="14"/>
  <c r="CG91" i="14"/>
  <c r="CI91" i="14"/>
  <c r="CF92" i="14"/>
  <c r="CG92" i="14"/>
  <c r="CI92" i="14"/>
  <c r="CF93" i="14"/>
  <c r="CG93" i="14"/>
  <c r="CI93" i="14"/>
  <c r="CF94" i="14"/>
  <c r="CG94" i="14"/>
  <c r="CI94" i="14"/>
  <c r="CF95" i="14"/>
  <c r="CG95" i="14"/>
  <c r="CI95" i="14"/>
  <c r="CF96" i="14"/>
  <c r="CG96" i="14"/>
  <c r="CI96" i="14"/>
  <c r="CF97" i="14"/>
  <c r="CG97" i="14"/>
  <c r="CI97" i="14"/>
  <c r="CF98" i="14"/>
  <c r="CG98" i="14"/>
  <c r="CI98" i="14"/>
  <c r="CF99" i="14"/>
  <c r="CG99" i="14"/>
  <c r="CI99" i="14"/>
  <c r="CF100" i="14"/>
  <c r="CG100" i="14"/>
  <c r="CI100" i="14"/>
  <c r="CF101" i="14"/>
  <c r="CG101" i="14"/>
  <c r="CI101" i="14"/>
  <c r="CG2" i="14"/>
  <c r="CI2" i="14"/>
  <c r="CF2" i="14"/>
  <c r="CE3" i="14"/>
  <c r="CE4" i="14"/>
  <c r="CE5" i="14"/>
  <c r="CE6" i="14"/>
  <c r="CE7" i="14"/>
  <c r="CE8" i="14"/>
  <c r="CE9" i="14"/>
  <c r="CE10" i="14"/>
  <c r="CE11" i="14"/>
  <c r="CE12" i="14"/>
  <c r="CE13" i="14"/>
  <c r="CE14" i="14"/>
  <c r="CE15" i="14"/>
  <c r="CE16" i="14"/>
  <c r="CE17" i="14"/>
  <c r="CE18" i="14"/>
  <c r="CE19" i="14"/>
  <c r="CE20" i="14"/>
  <c r="CE21" i="14"/>
  <c r="CE22" i="14"/>
  <c r="CE23" i="14"/>
  <c r="CE24" i="14"/>
  <c r="CE25" i="14"/>
  <c r="CE26" i="14"/>
  <c r="CE27" i="14"/>
  <c r="CE28" i="14"/>
  <c r="CE29" i="14"/>
  <c r="CE30" i="14"/>
  <c r="CE31" i="14"/>
  <c r="CE32" i="14"/>
  <c r="CE33" i="14"/>
  <c r="CE34" i="14"/>
  <c r="CE35" i="14"/>
  <c r="CE36" i="14"/>
  <c r="CE37" i="14"/>
  <c r="CE38" i="14"/>
  <c r="CE39" i="14"/>
  <c r="CE40" i="14"/>
  <c r="CE41" i="14"/>
  <c r="CE42" i="14"/>
  <c r="CE43" i="14"/>
  <c r="CE44" i="14"/>
  <c r="CE45" i="14"/>
  <c r="CE46" i="14"/>
  <c r="CE47" i="14"/>
  <c r="CE48" i="14"/>
  <c r="CE49" i="14"/>
  <c r="CE50" i="14"/>
  <c r="CE51" i="14"/>
  <c r="CE52" i="14"/>
  <c r="CE53" i="14"/>
  <c r="CE54" i="14"/>
  <c r="CE55" i="14"/>
  <c r="CE56" i="14"/>
  <c r="CE57" i="14"/>
  <c r="CE58" i="14"/>
  <c r="CE59" i="14"/>
  <c r="CE60" i="14"/>
  <c r="CE61" i="14"/>
  <c r="CE62" i="14"/>
  <c r="CE63" i="14"/>
  <c r="CE64" i="14"/>
  <c r="CE65" i="14"/>
  <c r="CE66" i="14"/>
  <c r="CE67" i="14"/>
  <c r="CE68" i="14"/>
  <c r="CE69" i="14"/>
  <c r="CE70" i="14"/>
  <c r="CE71" i="14"/>
  <c r="CE72" i="14"/>
  <c r="CE73" i="14"/>
  <c r="CE74" i="14"/>
  <c r="CE75" i="14"/>
  <c r="CE76" i="14"/>
  <c r="CE77" i="14"/>
  <c r="CE78" i="14"/>
  <c r="CE79" i="14"/>
  <c r="CE80" i="14"/>
  <c r="CE81" i="14"/>
  <c r="CE82" i="14"/>
  <c r="CE83" i="14"/>
  <c r="CE84" i="14"/>
  <c r="CE85" i="14"/>
  <c r="CE86" i="14"/>
  <c r="CE87" i="14"/>
  <c r="CE88" i="14"/>
  <c r="CE89" i="14"/>
  <c r="CE90" i="14"/>
  <c r="CE91" i="14"/>
  <c r="CE92" i="14"/>
  <c r="CE93" i="14"/>
  <c r="CE94" i="14"/>
  <c r="CE95" i="14"/>
  <c r="CE96" i="14"/>
  <c r="CE97" i="14"/>
  <c r="CE98" i="14"/>
  <c r="CE99" i="14"/>
  <c r="CE100" i="14"/>
  <c r="CE101" i="14"/>
  <c r="CD3" i="14"/>
  <c r="CD4" i="14"/>
  <c r="CD5" i="14"/>
  <c r="CD6" i="14"/>
  <c r="CD7" i="14"/>
  <c r="CD8" i="14"/>
  <c r="CD9" i="14"/>
  <c r="CD10" i="14"/>
  <c r="CD11" i="14"/>
  <c r="CD12" i="14"/>
  <c r="CD13" i="14"/>
  <c r="CD14" i="14"/>
  <c r="CD15" i="14"/>
  <c r="CD16" i="14"/>
  <c r="CD17" i="14"/>
  <c r="CD18" i="14"/>
  <c r="CD19" i="14"/>
  <c r="CD20" i="14"/>
  <c r="CD21" i="14"/>
  <c r="CD22" i="14"/>
  <c r="CD23" i="14"/>
  <c r="CD24" i="14"/>
  <c r="CD25" i="14"/>
  <c r="CD26" i="14"/>
  <c r="CD27" i="14"/>
  <c r="CD28" i="14"/>
  <c r="CD29" i="14"/>
  <c r="CD30" i="14"/>
  <c r="CD31" i="14"/>
  <c r="CD32" i="14"/>
  <c r="CD33" i="14"/>
  <c r="CD34" i="14"/>
  <c r="CD35" i="14"/>
  <c r="CD36" i="14"/>
  <c r="CD37" i="14"/>
  <c r="CD38" i="14"/>
  <c r="CD39" i="14"/>
  <c r="CD40" i="14"/>
  <c r="CD41" i="14"/>
  <c r="CD42" i="14"/>
  <c r="CD43" i="14"/>
  <c r="CD44" i="14"/>
  <c r="CD45" i="14"/>
  <c r="CD46" i="14"/>
  <c r="CD47" i="14"/>
  <c r="CD48" i="14"/>
  <c r="CD49" i="14"/>
  <c r="CD50" i="14"/>
  <c r="CD51" i="14"/>
  <c r="CD52" i="14"/>
  <c r="CD53" i="14"/>
  <c r="CD54" i="14"/>
  <c r="CD55" i="14"/>
  <c r="CD56" i="14"/>
  <c r="CD57" i="14"/>
  <c r="CD58" i="14"/>
  <c r="CD59" i="14"/>
  <c r="CD60" i="14"/>
  <c r="CD61" i="14"/>
  <c r="CD62" i="14"/>
  <c r="CD63" i="14"/>
  <c r="CD64" i="14"/>
  <c r="CD65" i="14"/>
  <c r="CD66" i="14"/>
  <c r="CD67" i="14"/>
  <c r="CD68" i="14"/>
  <c r="CD69" i="14"/>
  <c r="CD70" i="14"/>
  <c r="CD71" i="14"/>
  <c r="CD72" i="14"/>
  <c r="CD73" i="14"/>
  <c r="CD74" i="14"/>
  <c r="CD75" i="14"/>
  <c r="CD76" i="14"/>
  <c r="CD77" i="14"/>
  <c r="CD78" i="14"/>
  <c r="CD79" i="14"/>
  <c r="CD80" i="14"/>
  <c r="CD81" i="14"/>
  <c r="CD82" i="14"/>
  <c r="CD83" i="14"/>
  <c r="CD84" i="14"/>
  <c r="CD85" i="14"/>
  <c r="CD86" i="14"/>
  <c r="CD87" i="14"/>
  <c r="CD88" i="14"/>
  <c r="CD89" i="14"/>
  <c r="CD90" i="14"/>
  <c r="CD91" i="14"/>
  <c r="CD92" i="14"/>
  <c r="CD93" i="14"/>
  <c r="CD94" i="14"/>
  <c r="CD95" i="14"/>
  <c r="CD96" i="14"/>
  <c r="CD97" i="14"/>
  <c r="CD98" i="14"/>
  <c r="CD99" i="14"/>
  <c r="CD100" i="14"/>
  <c r="CD101" i="14"/>
  <c r="CE2" i="14"/>
  <c r="CD2" i="14"/>
  <c r="CC3" i="14"/>
  <c r="CC4" i="14"/>
  <c r="CC5" i="14"/>
  <c r="CC6" i="14"/>
  <c r="CC7" i="14"/>
  <c r="CC8" i="14"/>
  <c r="CC9" i="14"/>
  <c r="CC10" i="14"/>
  <c r="CC11" i="14"/>
  <c r="CC12" i="14"/>
  <c r="CC13" i="14"/>
  <c r="CC14" i="14"/>
  <c r="CC15" i="14"/>
  <c r="CC16" i="14"/>
  <c r="CC17" i="14"/>
  <c r="CC18" i="14"/>
  <c r="CC19" i="14"/>
  <c r="CC20" i="14"/>
  <c r="CC21" i="14"/>
  <c r="CC22" i="14"/>
  <c r="CC23" i="14"/>
  <c r="CC24" i="14"/>
  <c r="CC25" i="14"/>
  <c r="CC26" i="14"/>
  <c r="CC27" i="14"/>
  <c r="CC28" i="14"/>
  <c r="CC29" i="14"/>
  <c r="CC30" i="14"/>
  <c r="CC31" i="14"/>
  <c r="CC32" i="14"/>
  <c r="CC33" i="14"/>
  <c r="CC34" i="14"/>
  <c r="CC35" i="14"/>
  <c r="CC36" i="14"/>
  <c r="CC37" i="14"/>
  <c r="CC38" i="14"/>
  <c r="CC39" i="14"/>
  <c r="CC40" i="14"/>
  <c r="CC41" i="14"/>
  <c r="CC42" i="14"/>
  <c r="CC43" i="14"/>
  <c r="CC44" i="14"/>
  <c r="CC45" i="14"/>
  <c r="CC46" i="14"/>
  <c r="CC47" i="14"/>
  <c r="CC48" i="14"/>
  <c r="CC49" i="14"/>
  <c r="CC50" i="14"/>
  <c r="CC51" i="14"/>
  <c r="CC52" i="14"/>
  <c r="CC53" i="14"/>
  <c r="CC54" i="14"/>
  <c r="CC55" i="14"/>
  <c r="CC56" i="14"/>
  <c r="CC57" i="14"/>
  <c r="CC58" i="14"/>
  <c r="CC59" i="14"/>
  <c r="CC60" i="14"/>
  <c r="CC61" i="14"/>
  <c r="CC62" i="14"/>
  <c r="CC63" i="14"/>
  <c r="CC64" i="14"/>
  <c r="CC65" i="14"/>
  <c r="CC66" i="14"/>
  <c r="CC67" i="14"/>
  <c r="CC68" i="14"/>
  <c r="CC69" i="14"/>
  <c r="CC70" i="14"/>
  <c r="CC71" i="14"/>
  <c r="CC72" i="14"/>
  <c r="CC73" i="14"/>
  <c r="CC74" i="14"/>
  <c r="CC75" i="14"/>
  <c r="CC76" i="14"/>
  <c r="CC77" i="14"/>
  <c r="CC78" i="14"/>
  <c r="CC79" i="14"/>
  <c r="CC80" i="14"/>
  <c r="CC81" i="14"/>
  <c r="CC82" i="14"/>
  <c r="CC83" i="14"/>
  <c r="CC84" i="14"/>
  <c r="CC85" i="14"/>
  <c r="CC86" i="14"/>
  <c r="CC87" i="14"/>
  <c r="CC88" i="14"/>
  <c r="CC89" i="14"/>
  <c r="CC90" i="14"/>
  <c r="CC91" i="14"/>
  <c r="CC92" i="14"/>
  <c r="CC93" i="14"/>
  <c r="CC94" i="14"/>
  <c r="CC95" i="14"/>
  <c r="CC96" i="14"/>
  <c r="CC97" i="14"/>
  <c r="CC98" i="14"/>
  <c r="CC99" i="14"/>
  <c r="CC100" i="14"/>
  <c r="CC101" i="14"/>
  <c r="CC2" i="14"/>
  <c r="CB3" i="14"/>
  <c r="CB4" i="14"/>
  <c r="CB5" i="14"/>
  <c r="CB6" i="14"/>
  <c r="CB7" i="14"/>
  <c r="CB8" i="14"/>
  <c r="CB9" i="14"/>
  <c r="CB10" i="14"/>
  <c r="CB11" i="14"/>
  <c r="CB12" i="14"/>
  <c r="CB13" i="14"/>
  <c r="CB14" i="14"/>
  <c r="CB15" i="14"/>
  <c r="CB16" i="14"/>
  <c r="CB17" i="14"/>
  <c r="CB18" i="14"/>
  <c r="CB19" i="14"/>
  <c r="CB20" i="14"/>
  <c r="CB21" i="14"/>
  <c r="CB22" i="14"/>
  <c r="CB23" i="14"/>
  <c r="CB24" i="14"/>
  <c r="CB25" i="14"/>
  <c r="CB26" i="14"/>
  <c r="CB27" i="14"/>
  <c r="CB28" i="14"/>
  <c r="CB29" i="14"/>
  <c r="CB30" i="14"/>
  <c r="CB31" i="14"/>
  <c r="CB32" i="14"/>
  <c r="CB33" i="14"/>
  <c r="CB34" i="14"/>
  <c r="CB35" i="14"/>
  <c r="CB36" i="14"/>
  <c r="CB37" i="14"/>
  <c r="CB38" i="14"/>
  <c r="CB39" i="14"/>
  <c r="CB40" i="14"/>
  <c r="CB41" i="14"/>
  <c r="CB42" i="14"/>
  <c r="CB43" i="14"/>
  <c r="CB44" i="14"/>
  <c r="CB45" i="14"/>
  <c r="CB46" i="14"/>
  <c r="CB47" i="14"/>
  <c r="CB48" i="14"/>
  <c r="CB49" i="14"/>
  <c r="CB50" i="14"/>
  <c r="CB51" i="14"/>
  <c r="CB52" i="14"/>
  <c r="CB53" i="14"/>
  <c r="CB54" i="14"/>
  <c r="CB55" i="14"/>
  <c r="CB56" i="14"/>
  <c r="CB57" i="14"/>
  <c r="CB58" i="14"/>
  <c r="CB59" i="14"/>
  <c r="CB60" i="14"/>
  <c r="CB61" i="14"/>
  <c r="CB62" i="14"/>
  <c r="CB63" i="14"/>
  <c r="CB64" i="14"/>
  <c r="CB65" i="14"/>
  <c r="CB66" i="14"/>
  <c r="CB67" i="14"/>
  <c r="CB68" i="14"/>
  <c r="CB69" i="14"/>
  <c r="CB70" i="14"/>
  <c r="CB71" i="14"/>
  <c r="CB72" i="14"/>
  <c r="CB73" i="14"/>
  <c r="CB74" i="14"/>
  <c r="CB75" i="14"/>
  <c r="CB76" i="14"/>
  <c r="CB77" i="14"/>
  <c r="CB78" i="14"/>
  <c r="CB79" i="14"/>
  <c r="CB80" i="14"/>
  <c r="CB81" i="14"/>
  <c r="CB82" i="14"/>
  <c r="CB83" i="14"/>
  <c r="CB84" i="14"/>
  <c r="CB85" i="14"/>
  <c r="CB86" i="14"/>
  <c r="CB87" i="14"/>
  <c r="CB88" i="14"/>
  <c r="CB89" i="14"/>
  <c r="CB90" i="14"/>
  <c r="CB91" i="14"/>
  <c r="CB92" i="14"/>
  <c r="CB93" i="14"/>
  <c r="CB94" i="14"/>
  <c r="CB95" i="14"/>
  <c r="CB96" i="14"/>
  <c r="CB97" i="14"/>
  <c r="CB98" i="14"/>
  <c r="CB99" i="14"/>
  <c r="CB100" i="14"/>
  <c r="CB101" i="14"/>
  <c r="CB2" i="14"/>
  <c r="CA3" i="14"/>
  <c r="CA4" i="14"/>
  <c r="CA5" i="14"/>
  <c r="CA6" i="14"/>
  <c r="CA7" i="14"/>
  <c r="CA8" i="14"/>
  <c r="CA9" i="14"/>
  <c r="CA10" i="14"/>
  <c r="CA11" i="14"/>
  <c r="CA12" i="14"/>
  <c r="CA13" i="14"/>
  <c r="CA14" i="14"/>
  <c r="CA15" i="14"/>
  <c r="CA16" i="14"/>
  <c r="CA17" i="14"/>
  <c r="CA18" i="14"/>
  <c r="CA19" i="14"/>
  <c r="CA20" i="14"/>
  <c r="CA21" i="14"/>
  <c r="CA22" i="14"/>
  <c r="CA23" i="14"/>
  <c r="CA24" i="14"/>
  <c r="CA25" i="14"/>
  <c r="CA26" i="14"/>
  <c r="CA27" i="14"/>
  <c r="CA28" i="14"/>
  <c r="CA29" i="14"/>
  <c r="CA30" i="14"/>
  <c r="CA31" i="14"/>
  <c r="CA32" i="14"/>
  <c r="CA33" i="14"/>
  <c r="CA34" i="14"/>
  <c r="CA35" i="14"/>
  <c r="CA36" i="14"/>
  <c r="CA37" i="14"/>
  <c r="CA38" i="14"/>
  <c r="CA39" i="14"/>
  <c r="CA40" i="14"/>
  <c r="CA41" i="14"/>
  <c r="CA42" i="14"/>
  <c r="CA43" i="14"/>
  <c r="CA44" i="14"/>
  <c r="CA45" i="14"/>
  <c r="CA46" i="14"/>
  <c r="CA47" i="14"/>
  <c r="CA48" i="14"/>
  <c r="CA49" i="14"/>
  <c r="CA50" i="14"/>
  <c r="CA51" i="14"/>
  <c r="CA52" i="14"/>
  <c r="CA53" i="14"/>
  <c r="CA54" i="14"/>
  <c r="CA55" i="14"/>
  <c r="CA56" i="14"/>
  <c r="CA57" i="14"/>
  <c r="CA58" i="14"/>
  <c r="CA59" i="14"/>
  <c r="CA60" i="14"/>
  <c r="CA61" i="14"/>
  <c r="CA62" i="14"/>
  <c r="CA63" i="14"/>
  <c r="CA64" i="14"/>
  <c r="CA65" i="14"/>
  <c r="CA66" i="14"/>
  <c r="CA67" i="14"/>
  <c r="CA68" i="14"/>
  <c r="CA69" i="14"/>
  <c r="CA70" i="14"/>
  <c r="CA71" i="14"/>
  <c r="CA72" i="14"/>
  <c r="CA73" i="14"/>
  <c r="CA74" i="14"/>
  <c r="CA75" i="14"/>
  <c r="CA76" i="14"/>
  <c r="CA77" i="14"/>
  <c r="CA78" i="14"/>
  <c r="CA79" i="14"/>
  <c r="CA80" i="14"/>
  <c r="CA81" i="14"/>
  <c r="CA82" i="14"/>
  <c r="CA83" i="14"/>
  <c r="CA84" i="14"/>
  <c r="CA85" i="14"/>
  <c r="CA86" i="14"/>
  <c r="CA87" i="14"/>
  <c r="CA88" i="14"/>
  <c r="CA89" i="14"/>
  <c r="CA90" i="14"/>
  <c r="CA91" i="14"/>
  <c r="CA92" i="14"/>
  <c r="CA93" i="14"/>
  <c r="CA94" i="14"/>
  <c r="CA95" i="14"/>
  <c r="CA96" i="14"/>
  <c r="CA97" i="14"/>
  <c r="CA98" i="14"/>
  <c r="CA99" i="14"/>
  <c r="CA100" i="14"/>
  <c r="CA101" i="14"/>
  <c r="CA2" i="14"/>
  <c r="BZ3" i="14"/>
  <c r="BZ4" i="14"/>
  <c r="BZ5" i="14"/>
  <c r="BZ6" i="14"/>
  <c r="BZ7" i="14"/>
  <c r="BZ8" i="14"/>
  <c r="BZ9" i="14"/>
  <c r="BZ10" i="14"/>
  <c r="BZ11" i="14"/>
  <c r="BZ12" i="14"/>
  <c r="BZ13" i="14"/>
  <c r="BZ14" i="14"/>
  <c r="BZ15" i="14"/>
  <c r="BZ16" i="14"/>
  <c r="BZ17" i="14"/>
  <c r="BZ18" i="14"/>
  <c r="BZ19" i="14"/>
  <c r="BZ20" i="14"/>
  <c r="BZ21" i="14"/>
  <c r="BZ22" i="14"/>
  <c r="BZ23" i="14"/>
  <c r="BZ24" i="14"/>
  <c r="BZ25" i="14"/>
  <c r="BZ26" i="14"/>
  <c r="BZ27" i="14"/>
  <c r="BZ28" i="14"/>
  <c r="BZ29" i="14"/>
  <c r="BZ30" i="14"/>
  <c r="BZ31" i="14"/>
  <c r="BZ32" i="14"/>
  <c r="BZ33" i="14"/>
  <c r="BZ34" i="14"/>
  <c r="BZ35" i="14"/>
  <c r="BZ36" i="14"/>
  <c r="BZ37" i="14"/>
  <c r="BZ38" i="14"/>
  <c r="BZ39" i="14"/>
  <c r="BZ40" i="14"/>
  <c r="BZ41" i="14"/>
  <c r="BZ42" i="14"/>
  <c r="BZ43" i="14"/>
  <c r="BZ44" i="14"/>
  <c r="BZ45" i="14"/>
  <c r="BZ46" i="14"/>
  <c r="BZ47" i="14"/>
  <c r="BZ48" i="14"/>
  <c r="BZ49" i="14"/>
  <c r="BZ50" i="14"/>
  <c r="BZ51" i="14"/>
  <c r="BZ52" i="14"/>
  <c r="BZ53" i="14"/>
  <c r="BZ54" i="14"/>
  <c r="BZ55" i="14"/>
  <c r="BZ56" i="14"/>
  <c r="BZ57" i="14"/>
  <c r="BZ58" i="14"/>
  <c r="BZ59" i="14"/>
  <c r="BZ60" i="14"/>
  <c r="BZ61" i="14"/>
  <c r="BZ62" i="14"/>
  <c r="BZ63" i="14"/>
  <c r="BZ64" i="14"/>
  <c r="BZ65" i="14"/>
  <c r="BZ66" i="14"/>
  <c r="BZ67" i="14"/>
  <c r="BZ68" i="14"/>
  <c r="BZ69" i="14"/>
  <c r="BZ70" i="14"/>
  <c r="BZ71" i="14"/>
  <c r="BZ72" i="14"/>
  <c r="BZ73" i="14"/>
  <c r="BZ74" i="14"/>
  <c r="BZ75" i="14"/>
  <c r="BZ76" i="14"/>
  <c r="BZ77" i="14"/>
  <c r="BZ78" i="14"/>
  <c r="BZ79" i="14"/>
  <c r="BZ80" i="14"/>
  <c r="BZ81" i="14"/>
  <c r="BZ82" i="14"/>
  <c r="BZ83" i="14"/>
  <c r="BZ84" i="14"/>
  <c r="BZ85" i="14"/>
  <c r="BZ86" i="14"/>
  <c r="BZ87" i="14"/>
  <c r="BZ88" i="14"/>
  <c r="BZ89" i="14"/>
  <c r="BZ90" i="14"/>
  <c r="BZ91" i="14"/>
  <c r="BZ92" i="14"/>
  <c r="BZ93" i="14"/>
  <c r="BZ94" i="14"/>
  <c r="BZ95" i="14"/>
  <c r="BZ96" i="14"/>
  <c r="BZ97" i="14"/>
  <c r="BZ98" i="14"/>
  <c r="BZ99" i="14"/>
  <c r="BZ100" i="14"/>
  <c r="BZ101" i="14"/>
  <c r="BZ2" i="14"/>
  <c r="BY3" i="14"/>
  <c r="BY4" i="14"/>
  <c r="BY5" i="14"/>
  <c r="BY6" i="14"/>
  <c r="BY7" i="14"/>
  <c r="BY8" i="14"/>
  <c r="BY9" i="14"/>
  <c r="BY10" i="14"/>
  <c r="BY11" i="14"/>
  <c r="BY12" i="14"/>
  <c r="BY13" i="14"/>
  <c r="BY14" i="14"/>
  <c r="BY15" i="14"/>
  <c r="BY16" i="14"/>
  <c r="BY17" i="14"/>
  <c r="BY18" i="14"/>
  <c r="BY19" i="14"/>
  <c r="BY20" i="14"/>
  <c r="BY21" i="14"/>
  <c r="BY22" i="14"/>
  <c r="BY23" i="14"/>
  <c r="BY24" i="14"/>
  <c r="BY25" i="14"/>
  <c r="BY26" i="14"/>
  <c r="BY27" i="14"/>
  <c r="BY28" i="14"/>
  <c r="BY29" i="14"/>
  <c r="BY30" i="14"/>
  <c r="BY31" i="14"/>
  <c r="BY32" i="14"/>
  <c r="BY33" i="14"/>
  <c r="BY34" i="14"/>
  <c r="BY35" i="14"/>
  <c r="BY36" i="14"/>
  <c r="BY37" i="14"/>
  <c r="BY38" i="14"/>
  <c r="BY39" i="14"/>
  <c r="BY40" i="14"/>
  <c r="BY41" i="14"/>
  <c r="BY42" i="14"/>
  <c r="BY43" i="14"/>
  <c r="BY44" i="14"/>
  <c r="BY45" i="14"/>
  <c r="BY46" i="14"/>
  <c r="BY47" i="14"/>
  <c r="BY48" i="14"/>
  <c r="BY49" i="14"/>
  <c r="BY50" i="14"/>
  <c r="BY51" i="14"/>
  <c r="BY52" i="14"/>
  <c r="BY53" i="14"/>
  <c r="BY54" i="14"/>
  <c r="BY55" i="14"/>
  <c r="BY56" i="14"/>
  <c r="BY57" i="14"/>
  <c r="BY58" i="14"/>
  <c r="BY59" i="14"/>
  <c r="BY60" i="14"/>
  <c r="BY61" i="14"/>
  <c r="BY62" i="14"/>
  <c r="BY63" i="14"/>
  <c r="BY64" i="14"/>
  <c r="BY65" i="14"/>
  <c r="BY66" i="14"/>
  <c r="BY67" i="14"/>
  <c r="BY68" i="14"/>
  <c r="BY69" i="14"/>
  <c r="BY70" i="14"/>
  <c r="BY71" i="14"/>
  <c r="BY72" i="14"/>
  <c r="BY73" i="14"/>
  <c r="BY74" i="14"/>
  <c r="BY75" i="14"/>
  <c r="BY76" i="14"/>
  <c r="BY77" i="14"/>
  <c r="BY78" i="14"/>
  <c r="BY79" i="14"/>
  <c r="BY80" i="14"/>
  <c r="BY81" i="14"/>
  <c r="BY82" i="14"/>
  <c r="BY83" i="14"/>
  <c r="BY84" i="14"/>
  <c r="BY85" i="14"/>
  <c r="BY86" i="14"/>
  <c r="BY87" i="14"/>
  <c r="BY88" i="14"/>
  <c r="BY89" i="14"/>
  <c r="BY90" i="14"/>
  <c r="BY91" i="14"/>
  <c r="BY92" i="14"/>
  <c r="BY93" i="14"/>
  <c r="BY94" i="14"/>
  <c r="BY95" i="14"/>
  <c r="BY96" i="14"/>
  <c r="BY97" i="14"/>
  <c r="BY98" i="14"/>
  <c r="BY99" i="14"/>
  <c r="BY100" i="14"/>
  <c r="BY101" i="14"/>
  <c r="BY2" i="14"/>
  <c r="BX3" i="14"/>
  <c r="BX4" i="14"/>
  <c r="BX5" i="14"/>
  <c r="BX6" i="14"/>
  <c r="BX7" i="14"/>
  <c r="BX8" i="14"/>
  <c r="BX9" i="14"/>
  <c r="BX10" i="14"/>
  <c r="BX11" i="14"/>
  <c r="BX12" i="14"/>
  <c r="BX13" i="14"/>
  <c r="BX14" i="14"/>
  <c r="BX15" i="14"/>
  <c r="BX16" i="14"/>
  <c r="BX17" i="14"/>
  <c r="BX18" i="14"/>
  <c r="BX19" i="14"/>
  <c r="BX20" i="14"/>
  <c r="BX21" i="14"/>
  <c r="BX22" i="14"/>
  <c r="BX23" i="14"/>
  <c r="BX24" i="14"/>
  <c r="BX25" i="14"/>
  <c r="BX26" i="14"/>
  <c r="BX27" i="14"/>
  <c r="BX28" i="14"/>
  <c r="BX29" i="14"/>
  <c r="BX30" i="14"/>
  <c r="BX31" i="14"/>
  <c r="BX32" i="14"/>
  <c r="BX33" i="14"/>
  <c r="BX34" i="14"/>
  <c r="BX35" i="14"/>
  <c r="BX36" i="14"/>
  <c r="BX37" i="14"/>
  <c r="BX38" i="14"/>
  <c r="BX39" i="14"/>
  <c r="BX40" i="14"/>
  <c r="BX41" i="14"/>
  <c r="BX42" i="14"/>
  <c r="BX43" i="14"/>
  <c r="BX44" i="14"/>
  <c r="BX45" i="14"/>
  <c r="BX46" i="14"/>
  <c r="BX47" i="14"/>
  <c r="BX48" i="14"/>
  <c r="BX49" i="14"/>
  <c r="BX50" i="14"/>
  <c r="BX51" i="14"/>
  <c r="BX52" i="14"/>
  <c r="BX53" i="14"/>
  <c r="BX54" i="14"/>
  <c r="BX55" i="14"/>
  <c r="BX56" i="14"/>
  <c r="BX57" i="14"/>
  <c r="BX58" i="14"/>
  <c r="BX59" i="14"/>
  <c r="BX60" i="14"/>
  <c r="BX61" i="14"/>
  <c r="BX62" i="14"/>
  <c r="BX63" i="14"/>
  <c r="BX64" i="14"/>
  <c r="BX65" i="14"/>
  <c r="BX66" i="14"/>
  <c r="BX67" i="14"/>
  <c r="BX68" i="14"/>
  <c r="BX69" i="14"/>
  <c r="BX70" i="14"/>
  <c r="BX71" i="14"/>
  <c r="BX72" i="14"/>
  <c r="BX73" i="14"/>
  <c r="BX74" i="14"/>
  <c r="BX75" i="14"/>
  <c r="BX76" i="14"/>
  <c r="BX77" i="14"/>
  <c r="BX78" i="14"/>
  <c r="BX79" i="14"/>
  <c r="BX80" i="14"/>
  <c r="BX81" i="14"/>
  <c r="BX82" i="14"/>
  <c r="BX83" i="14"/>
  <c r="BX84" i="14"/>
  <c r="BX85" i="14"/>
  <c r="BX86" i="14"/>
  <c r="BX87" i="14"/>
  <c r="BX88" i="14"/>
  <c r="BX89" i="14"/>
  <c r="BX90" i="14"/>
  <c r="BX91" i="14"/>
  <c r="BX92" i="14"/>
  <c r="BX93" i="14"/>
  <c r="BX94" i="14"/>
  <c r="BX95" i="14"/>
  <c r="BX96" i="14"/>
  <c r="BX97" i="14"/>
  <c r="BX98" i="14"/>
  <c r="BX99" i="14"/>
  <c r="BX100" i="14"/>
  <c r="BX101" i="14"/>
  <c r="BX2" i="14"/>
  <c r="BW3" i="14"/>
  <c r="BW4" i="14"/>
  <c r="BW5" i="14"/>
  <c r="BW6" i="14"/>
  <c r="BW7" i="14"/>
  <c r="BW8" i="14"/>
  <c r="BW9" i="14"/>
  <c r="BW10" i="14"/>
  <c r="BW11" i="14"/>
  <c r="BW12" i="14"/>
  <c r="BW13" i="14"/>
  <c r="BW14" i="14"/>
  <c r="BW15" i="14"/>
  <c r="BW16" i="14"/>
  <c r="BW17" i="14"/>
  <c r="BW18" i="14"/>
  <c r="BW19" i="14"/>
  <c r="BW20" i="14"/>
  <c r="BW21" i="14"/>
  <c r="BW22" i="14"/>
  <c r="BW23" i="14"/>
  <c r="BW24" i="14"/>
  <c r="BW25" i="14"/>
  <c r="BW26" i="14"/>
  <c r="BW27" i="14"/>
  <c r="BW28" i="14"/>
  <c r="BW29" i="14"/>
  <c r="BW30" i="14"/>
  <c r="BW31" i="14"/>
  <c r="BW32" i="14"/>
  <c r="BW33" i="14"/>
  <c r="BW34" i="14"/>
  <c r="BW35" i="14"/>
  <c r="BW36" i="14"/>
  <c r="BW37" i="14"/>
  <c r="BW38" i="14"/>
  <c r="BW39" i="14"/>
  <c r="BW40" i="14"/>
  <c r="BW41" i="14"/>
  <c r="BW42" i="14"/>
  <c r="BW43" i="14"/>
  <c r="BW44" i="14"/>
  <c r="BW45" i="14"/>
  <c r="BW46" i="14"/>
  <c r="BW47" i="14"/>
  <c r="BW48" i="14"/>
  <c r="BW49" i="14"/>
  <c r="BW50" i="14"/>
  <c r="BW51" i="14"/>
  <c r="BW52" i="14"/>
  <c r="BW53" i="14"/>
  <c r="BW54" i="14"/>
  <c r="BW55" i="14"/>
  <c r="BW56" i="14"/>
  <c r="BW57" i="14"/>
  <c r="BW58" i="14"/>
  <c r="BW59" i="14"/>
  <c r="BW60" i="14"/>
  <c r="BW61" i="14"/>
  <c r="BW62" i="14"/>
  <c r="BW63" i="14"/>
  <c r="BW64" i="14"/>
  <c r="BW65" i="14"/>
  <c r="BW66" i="14"/>
  <c r="BW67" i="14"/>
  <c r="BW68" i="14"/>
  <c r="BW69" i="14"/>
  <c r="BW70" i="14"/>
  <c r="BW71" i="14"/>
  <c r="BW72" i="14"/>
  <c r="BW73" i="14"/>
  <c r="BW74" i="14"/>
  <c r="BW75" i="14"/>
  <c r="BW76" i="14"/>
  <c r="BW77" i="14"/>
  <c r="BW78" i="14"/>
  <c r="BW79" i="14"/>
  <c r="BW80" i="14"/>
  <c r="BW81" i="14"/>
  <c r="BW82" i="14"/>
  <c r="BW83" i="14"/>
  <c r="BW84" i="14"/>
  <c r="BW85" i="14"/>
  <c r="BW86" i="14"/>
  <c r="BW87" i="14"/>
  <c r="BW88" i="14"/>
  <c r="BW89" i="14"/>
  <c r="BW90" i="14"/>
  <c r="BW91" i="14"/>
  <c r="BW92" i="14"/>
  <c r="BW93" i="14"/>
  <c r="BW94" i="14"/>
  <c r="BW95" i="14"/>
  <c r="BW96" i="14"/>
  <c r="BW97" i="14"/>
  <c r="BW98" i="14"/>
  <c r="BW99" i="14"/>
  <c r="BW100" i="14"/>
  <c r="BW101" i="14"/>
  <c r="BW2" i="14"/>
  <c r="BV3" i="14"/>
  <c r="BV4" i="14"/>
  <c r="BV5" i="14"/>
  <c r="BV6" i="14"/>
  <c r="BV7" i="14"/>
  <c r="BV8" i="14"/>
  <c r="BV9" i="14"/>
  <c r="BV10" i="14"/>
  <c r="BV11" i="14"/>
  <c r="BV12" i="14"/>
  <c r="BV13" i="14"/>
  <c r="BV14" i="14"/>
  <c r="BV15" i="14"/>
  <c r="BV16" i="14"/>
  <c r="BV17" i="14"/>
  <c r="BV18" i="14"/>
  <c r="BV19" i="14"/>
  <c r="BV20" i="14"/>
  <c r="BV21" i="14"/>
  <c r="BV22" i="14"/>
  <c r="BV23" i="14"/>
  <c r="BV24" i="14"/>
  <c r="BV25" i="14"/>
  <c r="BV26" i="14"/>
  <c r="BV27" i="14"/>
  <c r="BV28" i="14"/>
  <c r="BV29" i="14"/>
  <c r="BV30" i="14"/>
  <c r="BV31" i="14"/>
  <c r="BV32" i="14"/>
  <c r="BV33" i="14"/>
  <c r="BV34" i="14"/>
  <c r="BV35" i="14"/>
  <c r="BV36" i="14"/>
  <c r="BV37" i="14"/>
  <c r="BV38" i="14"/>
  <c r="BV39" i="14"/>
  <c r="BV40" i="14"/>
  <c r="BV41" i="14"/>
  <c r="BV42" i="14"/>
  <c r="BV43" i="14"/>
  <c r="BV44" i="14"/>
  <c r="BV45" i="14"/>
  <c r="BV46" i="14"/>
  <c r="BV47" i="14"/>
  <c r="BV48" i="14"/>
  <c r="BV49" i="14"/>
  <c r="BV50" i="14"/>
  <c r="BV51" i="14"/>
  <c r="BV52" i="14"/>
  <c r="BV53" i="14"/>
  <c r="BV54" i="14"/>
  <c r="BV55" i="14"/>
  <c r="BV56" i="14"/>
  <c r="BV57" i="14"/>
  <c r="BV58" i="14"/>
  <c r="BV59" i="14"/>
  <c r="BV60" i="14"/>
  <c r="BV61" i="14"/>
  <c r="BV62" i="14"/>
  <c r="BV63" i="14"/>
  <c r="BV64" i="14"/>
  <c r="BV65" i="14"/>
  <c r="BV66" i="14"/>
  <c r="BV67" i="14"/>
  <c r="BV68" i="14"/>
  <c r="BV69" i="14"/>
  <c r="BV70" i="14"/>
  <c r="BV71" i="14"/>
  <c r="BV72" i="14"/>
  <c r="BV73" i="14"/>
  <c r="BV74" i="14"/>
  <c r="BV75" i="14"/>
  <c r="BV76" i="14"/>
  <c r="BV77" i="14"/>
  <c r="BV78" i="14"/>
  <c r="BV79" i="14"/>
  <c r="BV80" i="14"/>
  <c r="BV81" i="14"/>
  <c r="BV82" i="14"/>
  <c r="BV83" i="14"/>
  <c r="BV84" i="14"/>
  <c r="BV85" i="14"/>
  <c r="BV86" i="14"/>
  <c r="BV87" i="14"/>
  <c r="BV88" i="14"/>
  <c r="BV89" i="14"/>
  <c r="BV90" i="14"/>
  <c r="BV91" i="14"/>
  <c r="BV92" i="14"/>
  <c r="BV93" i="14"/>
  <c r="BV94" i="14"/>
  <c r="BV95" i="14"/>
  <c r="BV96" i="14"/>
  <c r="BV97" i="14"/>
  <c r="BV98" i="14"/>
  <c r="BV99" i="14"/>
  <c r="BV100" i="14"/>
  <c r="BV101" i="14"/>
  <c r="BV2" i="14"/>
  <c r="BU3" i="14"/>
  <c r="BU4" i="14"/>
  <c r="BU5" i="14"/>
  <c r="BU6" i="14"/>
  <c r="BU7" i="14"/>
  <c r="BU8" i="14"/>
  <c r="BU9" i="14"/>
  <c r="BU10" i="14"/>
  <c r="BU11" i="14"/>
  <c r="BU12" i="14"/>
  <c r="BU13" i="14"/>
  <c r="BU14" i="14"/>
  <c r="BU15" i="14"/>
  <c r="BU16" i="14"/>
  <c r="BU17" i="14"/>
  <c r="BU18" i="14"/>
  <c r="BU19" i="14"/>
  <c r="BU20" i="14"/>
  <c r="BU21" i="14"/>
  <c r="BU22" i="14"/>
  <c r="BU23" i="14"/>
  <c r="BU24" i="14"/>
  <c r="BU25" i="14"/>
  <c r="BU26" i="14"/>
  <c r="BU27" i="14"/>
  <c r="BU28" i="14"/>
  <c r="BU29" i="14"/>
  <c r="BU30" i="14"/>
  <c r="BU31" i="14"/>
  <c r="BU32" i="14"/>
  <c r="BU33" i="14"/>
  <c r="BU34" i="14"/>
  <c r="BU35" i="14"/>
  <c r="BU36" i="14"/>
  <c r="BU37" i="14"/>
  <c r="BU38" i="14"/>
  <c r="BU39" i="14"/>
  <c r="BU40" i="14"/>
  <c r="BU41" i="14"/>
  <c r="BU42" i="14"/>
  <c r="BU43" i="14"/>
  <c r="BU44" i="14"/>
  <c r="BU45" i="14"/>
  <c r="BU46" i="14"/>
  <c r="BU47" i="14"/>
  <c r="BU48" i="14"/>
  <c r="BU49" i="14"/>
  <c r="BU50" i="14"/>
  <c r="BU51" i="14"/>
  <c r="BU52" i="14"/>
  <c r="BU53" i="14"/>
  <c r="BU54" i="14"/>
  <c r="BU55" i="14"/>
  <c r="BU56" i="14"/>
  <c r="BU57" i="14"/>
  <c r="BU58" i="14"/>
  <c r="BU59" i="14"/>
  <c r="BU60" i="14"/>
  <c r="BU61" i="14"/>
  <c r="BU62" i="14"/>
  <c r="BU63" i="14"/>
  <c r="BU64" i="14"/>
  <c r="BU65" i="14"/>
  <c r="BU66" i="14"/>
  <c r="BU67" i="14"/>
  <c r="BU68" i="14"/>
  <c r="BU69" i="14"/>
  <c r="BU70" i="14"/>
  <c r="BU71" i="14"/>
  <c r="BU72" i="14"/>
  <c r="BU73" i="14"/>
  <c r="BU74" i="14"/>
  <c r="BU75" i="14"/>
  <c r="BU76" i="14"/>
  <c r="BU77" i="14"/>
  <c r="BU78" i="14"/>
  <c r="BU79" i="14"/>
  <c r="BU80" i="14"/>
  <c r="BU81" i="14"/>
  <c r="BU82" i="14"/>
  <c r="BU83" i="14"/>
  <c r="BU84" i="14"/>
  <c r="BU85" i="14"/>
  <c r="BU86" i="14"/>
  <c r="BU87" i="14"/>
  <c r="BU88" i="14"/>
  <c r="BU89" i="14"/>
  <c r="BU90" i="14"/>
  <c r="BU91" i="14"/>
  <c r="BU92" i="14"/>
  <c r="BU93" i="14"/>
  <c r="BU94" i="14"/>
  <c r="BU95" i="14"/>
  <c r="BU96" i="14"/>
  <c r="BU97" i="14"/>
  <c r="BU98" i="14"/>
  <c r="BU99" i="14"/>
  <c r="BU100" i="14"/>
  <c r="BU101" i="14"/>
  <c r="BU2" i="14"/>
  <c r="BT3" i="14"/>
  <c r="BT4" i="14"/>
  <c r="BT5" i="14"/>
  <c r="BT6" i="14"/>
  <c r="BT7" i="14"/>
  <c r="BT8" i="14"/>
  <c r="BT9" i="14"/>
  <c r="BT10" i="14"/>
  <c r="BT11" i="14"/>
  <c r="BT12" i="14"/>
  <c r="BT13" i="14"/>
  <c r="BT14" i="14"/>
  <c r="BT15" i="14"/>
  <c r="BT16" i="14"/>
  <c r="BT17" i="14"/>
  <c r="BT18" i="14"/>
  <c r="BT19" i="14"/>
  <c r="BT20" i="14"/>
  <c r="BT21" i="14"/>
  <c r="BT22" i="14"/>
  <c r="BT23" i="14"/>
  <c r="BT24" i="14"/>
  <c r="BT25" i="14"/>
  <c r="BT26" i="14"/>
  <c r="BT27" i="14"/>
  <c r="BT28" i="14"/>
  <c r="BT29" i="14"/>
  <c r="BT30" i="14"/>
  <c r="BT31" i="14"/>
  <c r="BT32" i="14"/>
  <c r="BT33" i="14"/>
  <c r="BT34" i="14"/>
  <c r="BT35" i="14"/>
  <c r="BT36" i="14"/>
  <c r="BT37" i="14"/>
  <c r="BT38" i="14"/>
  <c r="BT39" i="14"/>
  <c r="BT40" i="14"/>
  <c r="BT41" i="14"/>
  <c r="BT42" i="14"/>
  <c r="BT43" i="14"/>
  <c r="BT44" i="14"/>
  <c r="BT45" i="14"/>
  <c r="BT46" i="14"/>
  <c r="BT47" i="14"/>
  <c r="BT48" i="14"/>
  <c r="BT49" i="14"/>
  <c r="BT50" i="14"/>
  <c r="BT51" i="14"/>
  <c r="BT52" i="14"/>
  <c r="BT53" i="14"/>
  <c r="BT54" i="14"/>
  <c r="BT55" i="14"/>
  <c r="BT56" i="14"/>
  <c r="BT57" i="14"/>
  <c r="BT58" i="14"/>
  <c r="BT59" i="14"/>
  <c r="BT60" i="14"/>
  <c r="BT61" i="14"/>
  <c r="BT62" i="14"/>
  <c r="BT63" i="14"/>
  <c r="BT64" i="14"/>
  <c r="BT65" i="14"/>
  <c r="BT66" i="14"/>
  <c r="BT67" i="14"/>
  <c r="BT68" i="14"/>
  <c r="BT69" i="14"/>
  <c r="BT70" i="14"/>
  <c r="BT71" i="14"/>
  <c r="BT72" i="14"/>
  <c r="BT73" i="14"/>
  <c r="BT74" i="14"/>
  <c r="BT75" i="14"/>
  <c r="BT76" i="14"/>
  <c r="BT77" i="14"/>
  <c r="BT78" i="14"/>
  <c r="BT79" i="14"/>
  <c r="BT80" i="14"/>
  <c r="BT81" i="14"/>
  <c r="BT82" i="14"/>
  <c r="BT83" i="14"/>
  <c r="BT84" i="14"/>
  <c r="BT85" i="14"/>
  <c r="BT86" i="14"/>
  <c r="BT87" i="14"/>
  <c r="BT88" i="14"/>
  <c r="BT89" i="14"/>
  <c r="BT90" i="14"/>
  <c r="BT91" i="14"/>
  <c r="BT92" i="14"/>
  <c r="BT93" i="14"/>
  <c r="BT94" i="14"/>
  <c r="BT95" i="14"/>
  <c r="BT96" i="14"/>
  <c r="BT97" i="14"/>
  <c r="BT98" i="14"/>
  <c r="BT99" i="14"/>
  <c r="BT100" i="14"/>
  <c r="BT101" i="14"/>
  <c r="BT2" i="14"/>
  <c r="BS3" i="14"/>
  <c r="BS4" i="14"/>
  <c r="BS5" i="14"/>
  <c r="BS6" i="14"/>
  <c r="BS7" i="14"/>
  <c r="BS8" i="14"/>
  <c r="BS9" i="14"/>
  <c r="BS10" i="14"/>
  <c r="BS11" i="14"/>
  <c r="BS12" i="14"/>
  <c r="BS13" i="14"/>
  <c r="BS14" i="14"/>
  <c r="BS15" i="14"/>
  <c r="BS16" i="14"/>
  <c r="BS17" i="14"/>
  <c r="BS18" i="14"/>
  <c r="BS19" i="14"/>
  <c r="BS20" i="14"/>
  <c r="BS21" i="14"/>
  <c r="BS22" i="14"/>
  <c r="BS23" i="14"/>
  <c r="BS24" i="14"/>
  <c r="BS25" i="14"/>
  <c r="BS26" i="14"/>
  <c r="BS27" i="14"/>
  <c r="BS28" i="14"/>
  <c r="BS29" i="14"/>
  <c r="BS30" i="14"/>
  <c r="BS31" i="14"/>
  <c r="BS32" i="14"/>
  <c r="BS33" i="14"/>
  <c r="BS34" i="14"/>
  <c r="BS35" i="14"/>
  <c r="BS36" i="14"/>
  <c r="BS37" i="14"/>
  <c r="BS38" i="14"/>
  <c r="BS39" i="14"/>
  <c r="BS40" i="14"/>
  <c r="BS41" i="14"/>
  <c r="BS42" i="14"/>
  <c r="BS43" i="14"/>
  <c r="BS44" i="14"/>
  <c r="BS45" i="14"/>
  <c r="BS46" i="14"/>
  <c r="BS47" i="14"/>
  <c r="BS48" i="14"/>
  <c r="BS49" i="14"/>
  <c r="BS50" i="14"/>
  <c r="BS51" i="14"/>
  <c r="BS52" i="14"/>
  <c r="BS53" i="14"/>
  <c r="BS54" i="14"/>
  <c r="BS55" i="14"/>
  <c r="BS56" i="14"/>
  <c r="BS57" i="14"/>
  <c r="BS58" i="14"/>
  <c r="BS59" i="14"/>
  <c r="BS60" i="14"/>
  <c r="BS61" i="14"/>
  <c r="BS62" i="14"/>
  <c r="BS63" i="14"/>
  <c r="BS64" i="14"/>
  <c r="BS65" i="14"/>
  <c r="BS66" i="14"/>
  <c r="BS67" i="14"/>
  <c r="BS68" i="14"/>
  <c r="BS69" i="14"/>
  <c r="BS70" i="14"/>
  <c r="BS71" i="14"/>
  <c r="BS72" i="14"/>
  <c r="BS73" i="14"/>
  <c r="BS74" i="14"/>
  <c r="BS75" i="14"/>
  <c r="BS76" i="14"/>
  <c r="BS77" i="14"/>
  <c r="BS78" i="14"/>
  <c r="BS79" i="14"/>
  <c r="BS80" i="14"/>
  <c r="BS81" i="14"/>
  <c r="BS82" i="14"/>
  <c r="BS83" i="14"/>
  <c r="BS84" i="14"/>
  <c r="BS85" i="14"/>
  <c r="BS86" i="14"/>
  <c r="BS87" i="14"/>
  <c r="BS88" i="14"/>
  <c r="BS89" i="14"/>
  <c r="BS90" i="14"/>
  <c r="BS91" i="14"/>
  <c r="BS92" i="14"/>
  <c r="BS93" i="14"/>
  <c r="BS94" i="14"/>
  <c r="BS95" i="14"/>
  <c r="BS96" i="14"/>
  <c r="BS97" i="14"/>
  <c r="BS98" i="14"/>
  <c r="BS99" i="14"/>
  <c r="BS100" i="14"/>
  <c r="BS101" i="14"/>
  <c r="BS2" i="14"/>
  <c r="CG3" i="16"/>
  <c r="CG4" i="16"/>
  <c r="CG5" i="16"/>
  <c r="CG6" i="16"/>
  <c r="CG7" i="16"/>
  <c r="CG8" i="16"/>
  <c r="CG9" i="16"/>
  <c r="CG10" i="16"/>
  <c r="CG11" i="16"/>
  <c r="CG12" i="16"/>
  <c r="CG13" i="16"/>
  <c r="CG14" i="16"/>
  <c r="CG15" i="16"/>
  <c r="CG16" i="16"/>
  <c r="CG17" i="16"/>
  <c r="CG18" i="16"/>
  <c r="CG19" i="16"/>
  <c r="CG20" i="16"/>
  <c r="CG21" i="16"/>
  <c r="CG22" i="16"/>
  <c r="CG23" i="16"/>
  <c r="CG24" i="16"/>
  <c r="CG25" i="16"/>
  <c r="CG26" i="16"/>
  <c r="CG27" i="16"/>
  <c r="CG28" i="16"/>
  <c r="CG29" i="16"/>
  <c r="CG30" i="16"/>
  <c r="CG31" i="16"/>
  <c r="CG32" i="16"/>
  <c r="CG33" i="16"/>
  <c r="CG34" i="16"/>
  <c r="CG35" i="16"/>
  <c r="CG36" i="16"/>
  <c r="CG37" i="16"/>
  <c r="CG38" i="16"/>
  <c r="CG39" i="16"/>
  <c r="CG40" i="16"/>
  <c r="CG41" i="16"/>
  <c r="CG42" i="16"/>
  <c r="CG43" i="16"/>
  <c r="CG44" i="16"/>
  <c r="CG45" i="16"/>
  <c r="CG46" i="16"/>
  <c r="CG47" i="16"/>
  <c r="CG48" i="16"/>
  <c r="CG49" i="16"/>
  <c r="CG50" i="16"/>
  <c r="CG51" i="16"/>
  <c r="CG52" i="16"/>
  <c r="CG53" i="16"/>
  <c r="CG54" i="16"/>
  <c r="CG55" i="16"/>
  <c r="CG56" i="16"/>
  <c r="CG57" i="16"/>
  <c r="CG58" i="16"/>
  <c r="CG59" i="16"/>
  <c r="CG60" i="16"/>
  <c r="CG61" i="16"/>
  <c r="CG62" i="16"/>
  <c r="CG63" i="16"/>
  <c r="CG64" i="16"/>
  <c r="CG65" i="16"/>
  <c r="CG66" i="16"/>
  <c r="CG67" i="16"/>
  <c r="CG68" i="16"/>
  <c r="CG69" i="16"/>
  <c r="CG70" i="16"/>
  <c r="CG71" i="16"/>
  <c r="CG72" i="16"/>
  <c r="CG73" i="16"/>
  <c r="CG74" i="16"/>
  <c r="CG75" i="16"/>
  <c r="CG76" i="16"/>
  <c r="CG77" i="16"/>
  <c r="CG78" i="16"/>
  <c r="CG79" i="16"/>
  <c r="CG80" i="16"/>
  <c r="CG81" i="16"/>
  <c r="CG82" i="16"/>
  <c r="CG83" i="16"/>
  <c r="CG84" i="16"/>
  <c r="CG85" i="16"/>
  <c r="CG86" i="16"/>
  <c r="CG87" i="16"/>
  <c r="CG88" i="16"/>
  <c r="CG89" i="16"/>
  <c r="CG90" i="16"/>
  <c r="CG91" i="16"/>
  <c r="CG92" i="16"/>
  <c r="CG93" i="16"/>
  <c r="CG94" i="16"/>
  <c r="CG95" i="16"/>
  <c r="CG96" i="16"/>
  <c r="CG97" i="16"/>
  <c r="CG98" i="16"/>
  <c r="CG99" i="16"/>
  <c r="CG100" i="16"/>
  <c r="CG101" i="16"/>
  <c r="CF3" i="16"/>
  <c r="CF4" i="16"/>
  <c r="CF5" i="16"/>
  <c r="CF6" i="16"/>
  <c r="CF7" i="16"/>
  <c r="CF8" i="16"/>
  <c r="CF9" i="16"/>
  <c r="CF10" i="16"/>
  <c r="CF11" i="16"/>
  <c r="CF12" i="16"/>
  <c r="CF13" i="16"/>
  <c r="CF14" i="16"/>
  <c r="CF15" i="16"/>
  <c r="CF16" i="16"/>
  <c r="CF17" i="16"/>
  <c r="CF18" i="16"/>
  <c r="CF19" i="16"/>
  <c r="CF20" i="16"/>
  <c r="CF21" i="16"/>
  <c r="CF22" i="16"/>
  <c r="CF23" i="16"/>
  <c r="CF24" i="16"/>
  <c r="CF25" i="16"/>
  <c r="CF26" i="16"/>
  <c r="CF27" i="16"/>
  <c r="CF28" i="16"/>
  <c r="CF29" i="16"/>
  <c r="CF30" i="16"/>
  <c r="CF31" i="16"/>
  <c r="CF32" i="16"/>
  <c r="CF33" i="16"/>
  <c r="CF34" i="16"/>
  <c r="CF35" i="16"/>
  <c r="CF36" i="16"/>
  <c r="CF37" i="16"/>
  <c r="CF38" i="16"/>
  <c r="CF39" i="16"/>
  <c r="CF40" i="16"/>
  <c r="CF41" i="16"/>
  <c r="CF42" i="16"/>
  <c r="CF43" i="16"/>
  <c r="CF44" i="16"/>
  <c r="CF45" i="16"/>
  <c r="CF46" i="16"/>
  <c r="CF47" i="16"/>
  <c r="CF48" i="16"/>
  <c r="CF49" i="16"/>
  <c r="CF50" i="16"/>
  <c r="CF51" i="16"/>
  <c r="CF52" i="16"/>
  <c r="CF53" i="16"/>
  <c r="CF54" i="16"/>
  <c r="CF55" i="16"/>
  <c r="CF56" i="16"/>
  <c r="CF57" i="16"/>
  <c r="CF58" i="16"/>
  <c r="CF59" i="16"/>
  <c r="CF60" i="16"/>
  <c r="CF61" i="16"/>
  <c r="CF62" i="16"/>
  <c r="CF63" i="16"/>
  <c r="CF64" i="16"/>
  <c r="CF65" i="16"/>
  <c r="CF66" i="16"/>
  <c r="CF67" i="16"/>
  <c r="CF68" i="16"/>
  <c r="CF69" i="16"/>
  <c r="CF70" i="16"/>
  <c r="CF71" i="16"/>
  <c r="CF72" i="16"/>
  <c r="CF73" i="16"/>
  <c r="CF74" i="16"/>
  <c r="CF75" i="16"/>
  <c r="CF76" i="16"/>
  <c r="CF77" i="16"/>
  <c r="CF78" i="16"/>
  <c r="CF79" i="16"/>
  <c r="CF80" i="16"/>
  <c r="CF81" i="16"/>
  <c r="CF82" i="16"/>
  <c r="CF83" i="16"/>
  <c r="CF84" i="16"/>
  <c r="CF85" i="16"/>
  <c r="CF86" i="16"/>
  <c r="CF87" i="16"/>
  <c r="CF88" i="16"/>
  <c r="CF89" i="16"/>
  <c r="CF90" i="16"/>
  <c r="CF91" i="16"/>
  <c r="CF92" i="16"/>
  <c r="CF93" i="16"/>
  <c r="CF94" i="16"/>
  <c r="CF95" i="16"/>
  <c r="CF96" i="16"/>
  <c r="CF97" i="16"/>
  <c r="CF98" i="16"/>
  <c r="CF99" i="16"/>
  <c r="CF100" i="16"/>
  <c r="CF101" i="16"/>
  <c r="CG2" i="16"/>
  <c r="CF2" i="16"/>
  <c r="CE3" i="16"/>
  <c r="CE4" i="16"/>
  <c r="CE5" i="16"/>
  <c r="CE6" i="16"/>
  <c r="CE7" i="16"/>
  <c r="CE8" i="16"/>
  <c r="CE9" i="16"/>
  <c r="CE10" i="16"/>
  <c r="CE11" i="16"/>
  <c r="CE12" i="16"/>
  <c r="CE13" i="16"/>
  <c r="CE14" i="16"/>
  <c r="CE15" i="16"/>
  <c r="CE16" i="16"/>
  <c r="CE17" i="16"/>
  <c r="CE18" i="16"/>
  <c r="CE19" i="16"/>
  <c r="CE20" i="16"/>
  <c r="CE21" i="16"/>
  <c r="CE22" i="16"/>
  <c r="CE23" i="16"/>
  <c r="CE24" i="16"/>
  <c r="CE25" i="16"/>
  <c r="CE26" i="16"/>
  <c r="CE27" i="16"/>
  <c r="CE28" i="16"/>
  <c r="CE29" i="16"/>
  <c r="CE30" i="16"/>
  <c r="CE31" i="16"/>
  <c r="CE32" i="16"/>
  <c r="CE33" i="16"/>
  <c r="CE34" i="16"/>
  <c r="CE35" i="16"/>
  <c r="CE36" i="16"/>
  <c r="CE37" i="16"/>
  <c r="CE38" i="16"/>
  <c r="CE39" i="16"/>
  <c r="CE40" i="16"/>
  <c r="CE41" i="16"/>
  <c r="CE42" i="16"/>
  <c r="CE43" i="16"/>
  <c r="CE44" i="16"/>
  <c r="CE45" i="16"/>
  <c r="CE46" i="16"/>
  <c r="CE47" i="16"/>
  <c r="CE48" i="16"/>
  <c r="CE49" i="16"/>
  <c r="CE50" i="16"/>
  <c r="CE51" i="16"/>
  <c r="CE52" i="16"/>
  <c r="CE53" i="16"/>
  <c r="CE54" i="16"/>
  <c r="CE55" i="16"/>
  <c r="CE56" i="16"/>
  <c r="CE57" i="16"/>
  <c r="CE58" i="16"/>
  <c r="CE59" i="16"/>
  <c r="CE60" i="16"/>
  <c r="CE61" i="16"/>
  <c r="CE62" i="16"/>
  <c r="CE63" i="16"/>
  <c r="CE64" i="16"/>
  <c r="CE65" i="16"/>
  <c r="CE66" i="16"/>
  <c r="CE67" i="16"/>
  <c r="CE68" i="16"/>
  <c r="CE69" i="16"/>
  <c r="CE70" i="16"/>
  <c r="CE71" i="16"/>
  <c r="CE72" i="16"/>
  <c r="CE73" i="16"/>
  <c r="CE74" i="16"/>
  <c r="CE75" i="16"/>
  <c r="CE76" i="16"/>
  <c r="CE77" i="16"/>
  <c r="CE78" i="16"/>
  <c r="CE79" i="16"/>
  <c r="CE80" i="16"/>
  <c r="CE81" i="16"/>
  <c r="CE82" i="16"/>
  <c r="CE83" i="16"/>
  <c r="CE84" i="16"/>
  <c r="CE85" i="16"/>
  <c r="CE86" i="16"/>
  <c r="CE87" i="16"/>
  <c r="CE88" i="16"/>
  <c r="CE89" i="16"/>
  <c r="CE90" i="16"/>
  <c r="CE91" i="16"/>
  <c r="CE92" i="16"/>
  <c r="CE93" i="16"/>
  <c r="CE94" i="16"/>
  <c r="CE95" i="16"/>
  <c r="CE96" i="16"/>
  <c r="CE97" i="16"/>
  <c r="CE98" i="16"/>
  <c r="CE99" i="16"/>
  <c r="CE100" i="16"/>
  <c r="CE101" i="16"/>
  <c r="CE2" i="16"/>
  <c r="CD3" i="16"/>
  <c r="CD4" i="16"/>
  <c r="CD5" i="16"/>
  <c r="CD6" i="16"/>
  <c r="CD7" i="16"/>
  <c r="CD8" i="16"/>
  <c r="CD9" i="16"/>
  <c r="CD10" i="16"/>
  <c r="CD11" i="16"/>
  <c r="CD12" i="16"/>
  <c r="CD13" i="16"/>
  <c r="CD14" i="16"/>
  <c r="CD15" i="16"/>
  <c r="CD16" i="16"/>
  <c r="CD17" i="16"/>
  <c r="CD18" i="16"/>
  <c r="CD19" i="16"/>
  <c r="CD20" i="16"/>
  <c r="CD21" i="16"/>
  <c r="CD22" i="16"/>
  <c r="CD23" i="16"/>
  <c r="CD24" i="16"/>
  <c r="CD25" i="16"/>
  <c r="CD26" i="16"/>
  <c r="CD27" i="16"/>
  <c r="CD28" i="16"/>
  <c r="CD29" i="16"/>
  <c r="CD30" i="16"/>
  <c r="CD31" i="16"/>
  <c r="CD32" i="16"/>
  <c r="CD33" i="16"/>
  <c r="CD34" i="16"/>
  <c r="CD35" i="16"/>
  <c r="CD36" i="16"/>
  <c r="CD37" i="16"/>
  <c r="CD38" i="16"/>
  <c r="CD39" i="16"/>
  <c r="CD40" i="16"/>
  <c r="CD41" i="16"/>
  <c r="CD42" i="16"/>
  <c r="CD43" i="16"/>
  <c r="CD44" i="16"/>
  <c r="CD45" i="16"/>
  <c r="CD46" i="16"/>
  <c r="CD47" i="16"/>
  <c r="CD48" i="16"/>
  <c r="CD49" i="16"/>
  <c r="CD50" i="16"/>
  <c r="CD51" i="16"/>
  <c r="CD52" i="16"/>
  <c r="CD53" i="16"/>
  <c r="CD54" i="16"/>
  <c r="CD55" i="16"/>
  <c r="CD56" i="16"/>
  <c r="CD57" i="16"/>
  <c r="CD58" i="16"/>
  <c r="CD59" i="16"/>
  <c r="CD60" i="16"/>
  <c r="CD61" i="16"/>
  <c r="CD62" i="16"/>
  <c r="CD63" i="16"/>
  <c r="CD64" i="16"/>
  <c r="CD65" i="16"/>
  <c r="CD66" i="16"/>
  <c r="CD67" i="16"/>
  <c r="CD68" i="16"/>
  <c r="CD69" i="16"/>
  <c r="CD70" i="16"/>
  <c r="CD71" i="16"/>
  <c r="CD72" i="16"/>
  <c r="CD73" i="16"/>
  <c r="CD74" i="16"/>
  <c r="CD75" i="16"/>
  <c r="CD76" i="16"/>
  <c r="CD77" i="16"/>
  <c r="CD78" i="16"/>
  <c r="CD79" i="16"/>
  <c r="CD80" i="16"/>
  <c r="CD81" i="16"/>
  <c r="CD82" i="16"/>
  <c r="CD83" i="16"/>
  <c r="CD84" i="16"/>
  <c r="CD85" i="16"/>
  <c r="CD86" i="16"/>
  <c r="CD87" i="16"/>
  <c r="CD88" i="16"/>
  <c r="CD89" i="16"/>
  <c r="CD90" i="16"/>
  <c r="CD91" i="16"/>
  <c r="CD92" i="16"/>
  <c r="CD93" i="16"/>
  <c r="CD94" i="16"/>
  <c r="CD95" i="16"/>
  <c r="CD96" i="16"/>
  <c r="CD97" i="16"/>
  <c r="CD98" i="16"/>
  <c r="CD99" i="16"/>
  <c r="CD100" i="16"/>
  <c r="CD101" i="16"/>
  <c r="CD2" i="16"/>
  <c r="CC3" i="16"/>
  <c r="CC4" i="16"/>
  <c r="CC5" i="16"/>
  <c r="CC6" i="16"/>
  <c r="CC7" i="16"/>
  <c r="CC8" i="16"/>
  <c r="CC9" i="16"/>
  <c r="CC10" i="16"/>
  <c r="CC11" i="16"/>
  <c r="CC12" i="16"/>
  <c r="CC13" i="16"/>
  <c r="CC14" i="16"/>
  <c r="CC15" i="16"/>
  <c r="CC16" i="16"/>
  <c r="CC17" i="16"/>
  <c r="CC18" i="16"/>
  <c r="CC19" i="16"/>
  <c r="CC20" i="16"/>
  <c r="CC21" i="16"/>
  <c r="CC22" i="16"/>
  <c r="CC23" i="16"/>
  <c r="CC24" i="16"/>
  <c r="CC25" i="16"/>
  <c r="CC26" i="16"/>
  <c r="CC27" i="16"/>
  <c r="CC28" i="16"/>
  <c r="CC29" i="16"/>
  <c r="CC30" i="16"/>
  <c r="CC31" i="16"/>
  <c r="CC32" i="16"/>
  <c r="CC33" i="16"/>
  <c r="CC34" i="16"/>
  <c r="CC35" i="16"/>
  <c r="CC36" i="16"/>
  <c r="CC37" i="16"/>
  <c r="CC38" i="16"/>
  <c r="CC39" i="16"/>
  <c r="CC40" i="16"/>
  <c r="CC41" i="16"/>
  <c r="CC42" i="16"/>
  <c r="CC43" i="16"/>
  <c r="CC44" i="16"/>
  <c r="CC45" i="16"/>
  <c r="CC46" i="16"/>
  <c r="CC47" i="16"/>
  <c r="CC48" i="16"/>
  <c r="CC49" i="16"/>
  <c r="CC50" i="16"/>
  <c r="CC51" i="16"/>
  <c r="CC52" i="16"/>
  <c r="CC53" i="16"/>
  <c r="CC54" i="16"/>
  <c r="CC55" i="16"/>
  <c r="CC56" i="16"/>
  <c r="CC57" i="16"/>
  <c r="CC58" i="16"/>
  <c r="CC59" i="16"/>
  <c r="CC60" i="16"/>
  <c r="CC61" i="16"/>
  <c r="CC62" i="16"/>
  <c r="CC63" i="16"/>
  <c r="CC64" i="16"/>
  <c r="CC65" i="16"/>
  <c r="CC66" i="16"/>
  <c r="CC67" i="16"/>
  <c r="CC68" i="16"/>
  <c r="CC69" i="16"/>
  <c r="CC70" i="16"/>
  <c r="CC71" i="16"/>
  <c r="CC72" i="16"/>
  <c r="CC73" i="16"/>
  <c r="CC74" i="16"/>
  <c r="CC75" i="16"/>
  <c r="CC76" i="16"/>
  <c r="CC77" i="16"/>
  <c r="CC78" i="16"/>
  <c r="CC79" i="16"/>
  <c r="CC80" i="16"/>
  <c r="CC81" i="16"/>
  <c r="CC82" i="16"/>
  <c r="CC83" i="16"/>
  <c r="CC84" i="16"/>
  <c r="CC85" i="16"/>
  <c r="CC86" i="16"/>
  <c r="CC87" i="16"/>
  <c r="CC88" i="16"/>
  <c r="CC89" i="16"/>
  <c r="CC90" i="16"/>
  <c r="CC91" i="16"/>
  <c r="CC92" i="16"/>
  <c r="CC93" i="16"/>
  <c r="CC94" i="16"/>
  <c r="CC95" i="16"/>
  <c r="CC96" i="16"/>
  <c r="CC97" i="16"/>
  <c r="CC98" i="16"/>
  <c r="CC99" i="16"/>
  <c r="CC100" i="16"/>
  <c r="CC101" i="16"/>
  <c r="CC2" i="16"/>
  <c r="CB3" i="16"/>
  <c r="CB4" i="16"/>
  <c r="CB5" i="16"/>
  <c r="CB6" i="16"/>
  <c r="CB7" i="16"/>
  <c r="CB8" i="16"/>
  <c r="CB9" i="16"/>
  <c r="CB10" i="16"/>
  <c r="CB11" i="16"/>
  <c r="CB12" i="16"/>
  <c r="CB13" i="16"/>
  <c r="CB14" i="16"/>
  <c r="CB15" i="16"/>
  <c r="CB16" i="16"/>
  <c r="CB17" i="16"/>
  <c r="CB18" i="16"/>
  <c r="CB19" i="16"/>
  <c r="CB20" i="16"/>
  <c r="CB21" i="16"/>
  <c r="CB22" i="16"/>
  <c r="CB23" i="16"/>
  <c r="CB24" i="16"/>
  <c r="CB25" i="16"/>
  <c r="CB26" i="16"/>
  <c r="CB27" i="16"/>
  <c r="CB28" i="16"/>
  <c r="CB29" i="16"/>
  <c r="CB30" i="16"/>
  <c r="CB31" i="16"/>
  <c r="CB32" i="16"/>
  <c r="CB33" i="16"/>
  <c r="CB34" i="16"/>
  <c r="CB35" i="16"/>
  <c r="CB36" i="16"/>
  <c r="CB37" i="16"/>
  <c r="CB38" i="16"/>
  <c r="CB39" i="16"/>
  <c r="CB40" i="16"/>
  <c r="CB41" i="16"/>
  <c r="CB42" i="16"/>
  <c r="CB43" i="16"/>
  <c r="CB44" i="16"/>
  <c r="CB45" i="16"/>
  <c r="CB46" i="16"/>
  <c r="CB47" i="16"/>
  <c r="CB48" i="16"/>
  <c r="CB49" i="16"/>
  <c r="CB50" i="16"/>
  <c r="CB51" i="16"/>
  <c r="CB52" i="16"/>
  <c r="CB53" i="16"/>
  <c r="CB54" i="16"/>
  <c r="CB55" i="16"/>
  <c r="CB56" i="16"/>
  <c r="CB57" i="16"/>
  <c r="CB58" i="16"/>
  <c r="CB59" i="16"/>
  <c r="CB60" i="16"/>
  <c r="CB61" i="16"/>
  <c r="CB62" i="16"/>
  <c r="CB63" i="16"/>
  <c r="CB64" i="16"/>
  <c r="CB65" i="16"/>
  <c r="CB66" i="16"/>
  <c r="CB67" i="16"/>
  <c r="CB68" i="16"/>
  <c r="CB69" i="16"/>
  <c r="CB70" i="16"/>
  <c r="CB71" i="16"/>
  <c r="CB72" i="16"/>
  <c r="CB73" i="16"/>
  <c r="CB74" i="16"/>
  <c r="CB75" i="16"/>
  <c r="CB76" i="16"/>
  <c r="CB77" i="16"/>
  <c r="CB78" i="16"/>
  <c r="CB79" i="16"/>
  <c r="CB80" i="16"/>
  <c r="CB81" i="16"/>
  <c r="CB82" i="16"/>
  <c r="CB83" i="16"/>
  <c r="CB84" i="16"/>
  <c r="CB85" i="16"/>
  <c r="CB86" i="16"/>
  <c r="CB87" i="16"/>
  <c r="CB88" i="16"/>
  <c r="CB89" i="16"/>
  <c r="CB90" i="16"/>
  <c r="CB91" i="16"/>
  <c r="CB92" i="16"/>
  <c r="CB93" i="16"/>
  <c r="CB94" i="16"/>
  <c r="CB95" i="16"/>
  <c r="CB96" i="16"/>
  <c r="CB97" i="16"/>
  <c r="CB98" i="16"/>
  <c r="CB99" i="16"/>
  <c r="CB100" i="16"/>
  <c r="CB101" i="16"/>
  <c r="CB2" i="16"/>
  <c r="A2" i="14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BJ2" i="14"/>
  <c r="BK2" i="14"/>
  <c r="BL2" i="14"/>
  <c r="BM2" i="14"/>
  <c r="BN2" i="14"/>
  <c r="BO2" i="14"/>
  <c r="BP2" i="14"/>
  <c r="BQ2" i="14"/>
  <c r="BR2" i="14"/>
  <c r="A3" i="14"/>
  <c r="B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BQ3" i="14"/>
  <c r="BR3" i="14"/>
  <c r="A4" i="14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BQ4" i="14"/>
  <c r="BR4" i="14"/>
  <c r="A5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BN5" i="14"/>
  <c r="BO5" i="14"/>
  <c r="BP5" i="14"/>
  <c r="BQ5" i="14"/>
  <c r="BR5" i="14"/>
  <c r="A6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BQ6" i="14"/>
  <c r="BR6" i="14"/>
  <c r="A7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A8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BR8" i="14"/>
  <c r="A9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BR9" i="14"/>
  <c r="A10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A11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Q11" i="14"/>
  <c r="BR11" i="14"/>
  <c r="A12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Q12" i="14"/>
  <c r="BR12" i="14"/>
  <c r="A13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BR13" i="14"/>
  <c r="A14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BR14" i="14"/>
  <c r="A15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Q15" i="14"/>
  <c r="BR15" i="14"/>
  <c r="A16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BR16" i="14"/>
  <c r="A17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Q17" i="14"/>
  <c r="BR17" i="14"/>
  <c r="A18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BQ18" i="14"/>
  <c r="BR18" i="14"/>
  <c r="A19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BN19" i="14"/>
  <c r="BO19" i="14"/>
  <c r="BP19" i="14"/>
  <c r="BQ19" i="14"/>
  <c r="BR19" i="14"/>
  <c r="A20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BN20" i="14"/>
  <c r="BO20" i="14"/>
  <c r="BP20" i="14"/>
  <c r="BQ20" i="14"/>
  <c r="BR20" i="14"/>
  <c r="A21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BR21" i="14"/>
  <c r="A22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BQ22" i="14"/>
  <c r="BR22" i="14"/>
  <c r="A23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BQ23" i="14"/>
  <c r="BR23" i="14"/>
  <c r="A24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A25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BQ25" i="14"/>
  <c r="BR25" i="14"/>
  <c r="A26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BQ26" i="14"/>
  <c r="BR26" i="14"/>
  <c r="A27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A28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A29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A30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BQ30" i="14"/>
  <c r="BR30" i="14"/>
  <c r="A31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BQ31" i="14"/>
  <c r="BR31" i="14"/>
  <c r="A32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BQ32" i="14"/>
  <c r="BR32" i="14"/>
  <c r="A33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BN33" i="14"/>
  <c r="BO33" i="14"/>
  <c r="BP33" i="14"/>
  <c r="BQ33" i="14"/>
  <c r="BR33" i="14"/>
  <c r="A34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BQ34" i="14"/>
  <c r="BR34" i="14"/>
  <c r="A35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BQ35" i="14"/>
  <c r="BR35" i="14"/>
  <c r="A36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BQ36" i="14"/>
  <c r="BR36" i="14"/>
  <c r="A37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BQ37" i="14"/>
  <c r="BR37" i="14"/>
  <c r="A38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O38" i="14"/>
  <c r="BP38" i="14"/>
  <c r="BQ38" i="14"/>
  <c r="BR38" i="14"/>
  <c r="A39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BQ39" i="14"/>
  <c r="BR39" i="14"/>
  <c r="A40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O40" i="14"/>
  <c r="BP40" i="14"/>
  <c r="BQ40" i="14"/>
  <c r="BR40" i="14"/>
  <c r="A41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BO41" i="14"/>
  <c r="BP41" i="14"/>
  <c r="BQ41" i="14"/>
  <c r="BR41" i="14"/>
  <c r="A42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BQ42" i="14"/>
  <c r="BR42" i="14"/>
  <c r="A43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BN43" i="14"/>
  <c r="BO43" i="14"/>
  <c r="BP43" i="14"/>
  <c r="BQ43" i="14"/>
  <c r="BR43" i="14"/>
  <c r="A44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BQ44" i="14"/>
  <c r="BR44" i="14"/>
  <c r="A45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K45" i="14"/>
  <c r="BL45" i="14"/>
  <c r="BM45" i="14"/>
  <c r="BN45" i="14"/>
  <c r="BO45" i="14"/>
  <c r="BP45" i="14"/>
  <c r="BQ45" i="14"/>
  <c r="BR45" i="14"/>
  <c r="A46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N46" i="14"/>
  <c r="BO46" i="14"/>
  <c r="BP46" i="14"/>
  <c r="BQ46" i="14"/>
  <c r="BR46" i="14"/>
  <c r="A47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N47" i="14"/>
  <c r="BO47" i="14"/>
  <c r="BP47" i="14"/>
  <c r="BQ47" i="14"/>
  <c r="BR47" i="14"/>
  <c r="A48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AY48" i="14"/>
  <c r="AZ48" i="14"/>
  <c r="BA48" i="14"/>
  <c r="BB48" i="14"/>
  <c r="BC48" i="14"/>
  <c r="BD48" i="14"/>
  <c r="BE48" i="14"/>
  <c r="BF48" i="14"/>
  <c r="BG48" i="14"/>
  <c r="BH48" i="14"/>
  <c r="BI48" i="14"/>
  <c r="BJ48" i="14"/>
  <c r="BK48" i="14"/>
  <c r="BL48" i="14"/>
  <c r="BM48" i="14"/>
  <c r="BN48" i="14"/>
  <c r="BO48" i="14"/>
  <c r="BP48" i="14"/>
  <c r="BQ48" i="14"/>
  <c r="BR48" i="14"/>
  <c r="A49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AY49" i="14"/>
  <c r="AZ49" i="14"/>
  <c r="BA49" i="14"/>
  <c r="BB49" i="14"/>
  <c r="BC49" i="14"/>
  <c r="BD49" i="14"/>
  <c r="BE49" i="14"/>
  <c r="BF49" i="14"/>
  <c r="BG49" i="14"/>
  <c r="BH49" i="14"/>
  <c r="BI49" i="14"/>
  <c r="BJ49" i="14"/>
  <c r="BK49" i="14"/>
  <c r="BL49" i="14"/>
  <c r="BM49" i="14"/>
  <c r="BN49" i="14"/>
  <c r="BO49" i="14"/>
  <c r="BP49" i="14"/>
  <c r="BQ49" i="14"/>
  <c r="BR49" i="14"/>
  <c r="A50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AY50" i="14"/>
  <c r="AZ50" i="14"/>
  <c r="BA50" i="14"/>
  <c r="BB50" i="14"/>
  <c r="BC50" i="14"/>
  <c r="BD50" i="14"/>
  <c r="BE50" i="14"/>
  <c r="BF50" i="14"/>
  <c r="BG50" i="14"/>
  <c r="BH50" i="14"/>
  <c r="BI50" i="14"/>
  <c r="BJ50" i="14"/>
  <c r="BK50" i="14"/>
  <c r="BL50" i="14"/>
  <c r="BM50" i="14"/>
  <c r="BN50" i="14"/>
  <c r="BO50" i="14"/>
  <c r="BP50" i="14"/>
  <c r="BQ50" i="14"/>
  <c r="BR50" i="14"/>
  <c r="A51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AX51" i="14"/>
  <c r="AY51" i="14"/>
  <c r="AZ51" i="14"/>
  <c r="BA51" i="14"/>
  <c r="BB51" i="14"/>
  <c r="BC51" i="14"/>
  <c r="BD51" i="14"/>
  <c r="BE51" i="14"/>
  <c r="BF51" i="14"/>
  <c r="BG51" i="14"/>
  <c r="BH51" i="14"/>
  <c r="BI51" i="14"/>
  <c r="BJ51" i="14"/>
  <c r="BK51" i="14"/>
  <c r="BL51" i="14"/>
  <c r="BM51" i="14"/>
  <c r="BN51" i="14"/>
  <c r="BO51" i="14"/>
  <c r="BP51" i="14"/>
  <c r="BQ51" i="14"/>
  <c r="BR51" i="14"/>
  <c r="A52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AY52" i="14"/>
  <c r="AZ52" i="14"/>
  <c r="BA52" i="14"/>
  <c r="BB52" i="14"/>
  <c r="BC52" i="14"/>
  <c r="BD52" i="14"/>
  <c r="BE52" i="14"/>
  <c r="BF52" i="14"/>
  <c r="BG52" i="14"/>
  <c r="BH52" i="14"/>
  <c r="BI52" i="14"/>
  <c r="BJ52" i="14"/>
  <c r="BK52" i="14"/>
  <c r="BL52" i="14"/>
  <c r="BM52" i="14"/>
  <c r="BN52" i="14"/>
  <c r="BO52" i="14"/>
  <c r="BP52" i="14"/>
  <c r="BQ52" i="14"/>
  <c r="BR52" i="14"/>
  <c r="A53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L53" i="14"/>
  <c r="BM53" i="14"/>
  <c r="BN53" i="14"/>
  <c r="BO53" i="14"/>
  <c r="BP53" i="14"/>
  <c r="BQ53" i="14"/>
  <c r="BR53" i="14"/>
  <c r="A54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L54" i="14"/>
  <c r="BM54" i="14"/>
  <c r="BN54" i="14"/>
  <c r="BO54" i="14"/>
  <c r="BP54" i="14"/>
  <c r="BQ54" i="14"/>
  <c r="BR54" i="14"/>
  <c r="A55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M55" i="14"/>
  <c r="BN55" i="14"/>
  <c r="BO55" i="14"/>
  <c r="BP55" i="14"/>
  <c r="BQ55" i="14"/>
  <c r="BR55" i="14"/>
  <c r="A56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AY56" i="14"/>
  <c r="AZ56" i="14"/>
  <c r="BA56" i="14"/>
  <c r="BB56" i="14"/>
  <c r="BC56" i="14"/>
  <c r="BD56" i="14"/>
  <c r="BE56" i="14"/>
  <c r="BF56" i="14"/>
  <c r="BG56" i="14"/>
  <c r="BH56" i="14"/>
  <c r="BI56" i="14"/>
  <c r="BJ56" i="14"/>
  <c r="BK56" i="14"/>
  <c r="BL56" i="14"/>
  <c r="BM56" i="14"/>
  <c r="BN56" i="14"/>
  <c r="BO56" i="14"/>
  <c r="BP56" i="14"/>
  <c r="BQ56" i="14"/>
  <c r="BR56" i="14"/>
  <c r="A57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AY57" i="14"/>
  <c r="AZ57" i="14"/>
  <c r="BA57" i="14"/>
  <c r="BB57" i="14"/>
  <c r="BC57" i="14"/>
  <c r="BD57" i="14"/>
  <c r="BE57" i="14"/>
  <c r="BF57" i="14"/>
  <c r="BG57" i="14"/>
  <c r="BH57" i="14"/>
  <c r="BI57" i="14"/>
  <c r="BJ57" i="14"/>
  <c r="BK57" i="14"/>
  <c r="BL57" i="14"/>
  <c r="BM57" i="14"/>
  <c r="BN57" i="14"/>
  <c r="BO57" i="14"/>
  <c r="BP57" i="14"/>
  <c r="BQ57" i="14"/>
  <c r="BR57" i="14"/>
  <c r="A58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Z58" i="14"/>
  <c r="BA58" i="14"/>
  <c r="BB58" i="14"/>
  <c r="BC58" i="14"/>
  <c r="BD58" i="14"/>
  <c r="BE58" i="14"/>
  <c r="BF58" i="14"/>
  <c r="BG58" i="14"/>
  <c r="BH58" i="14"/>
  <c r="BI58" i="14"/>
  <c r="BJ58" i="14"/>
  <c r="BK58" i="14"/>
  <c r="BL58" i="14"/>
  <c r="BM58" i="14"/>
  <c r="BN58" i="14"/>
  <c r="BO58" i="14"/>
  <c r="BP58" i="14"/>
  <c r="BQ58" i="14"/>
  <c r="BR58" i="14"/>
  <c r="A59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AZ59" i="14"/>
  <c r="BA59" i="14"/>
  <c r="BB59" i="14"/>
  <c r="BC59" i="14"/>
  <c r="BD59" i="14"/>
  <c r="BE59" i="14"/>
  <c r="BF59" i="14"/>
  <c r="BG59" i="14"/>
  <c r="BH59" i="14"/>
  <c r="BI59" i="14"/>
  <c r="BJ59" i="14"/>
  <c r="BK59" i="14"/>
  <c r="BL59" i="14"/>
  <c r="BM59" i="14"/>
  <c r="BN59" i="14"/>
  <c r="BO59" i="14"/>
  <c r="BP59" i="14"/>
  <c r="BQ59" i="14"/>
  <c r="BR59" i="14"/>
  <c r="A60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BN60" i="14"/>
  <c r="BO60" i="14"/>
  <c r="BP60" i="14"/>
  <c r="BQ60" i="14"/>
  <c r="BR60" i="14"/>
  <c r="A61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L61" i="14"/>
  <c r="BM61" i="14"/>
  <c r="BN61" i="14"/>
  <c r="BO61" i="14"/>
  <c r="BP61" i="14"/>
  <c r="BQ61" i="14"/>
  <c r="BR61" i="14"/>
  <c r="A62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G62" i="14"/>
  <c r="BH62" i="14"/>
  <c r="BI62" i="14"/>
  <c r="BJ62" i="14"/>
  <c r="BK62" i="14"/>
  <c r="BL62" i="14"/>
  <c r="BM62" i="14"/>
  <c r="BN62" i="14"/>
  <c r="BO62" i="14"/>
  <c r="BP62" i="14"/>
  <c r="BQ62" i="14"/>
  <c r="BR62" i="14"/>
  <c r="A63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G63" i="14"/>
  <c r="BH63" i="14"/>
  <c r="BI63" i="14"/>
  <c r="BJ63" i="14"/>
  <c r="BK63" i="14"/>
  <c r="BL63" i="14"/>
  <c r="BM63" i="14"/>
  <c r="BN63" i="14"/>
  <c r="BO63" i="14"/>
  <c r="BP63" i="14"/>
  <c r="BQ63" i="14"/>
  <c r="BR63" i="14"/>
  <c r="A64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G64" i="14"/>
  <c r="BH64" i="14"/>
  <c r="BI64" i="14"/>
  <c r="BJ64" i="14"/>
  <c r="BK64" i="14"/>
  <c r="BL64" i="14"/>
  <c r="BM64" i="14"/>
  <c r="BN64" i="14"/>
  <c r="BO64" i="14"/>
  <c r="BP64" i="14"/>
  <c r="BQ64" i="14"/>
  <c r="BR64" i="14"/>
  <c r="A65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G65" i="14"/>
  <c r="BH65" i="14"/>
  <c r="BI65" i="14"/>
  <c r="BJ65" i="14"/>
  <c r="BK65" i="14"/>
  <c r="BL65" i="14"/>
  <c r="BM65" i="14"/>
  <c r="BN65" i="14"/>
  <c r="BO65" i="14"/>
  <c r="BP65" i="14"/>
  <c r="BQ65" i="14"/>
  <c r="BR65" i="14"/>
  <c r="A66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G66" i="14"/>
  <c r="BH66" i="14"/>
  <c r="BI66" i="14"/>
  <c r="BJ66" i="14"/>
  <c r="BK66" i="14"/>
  <c r="BL66" i="14"/>
  <c r="BM66" i="14"/>
  <c r="BN66" i="14"/>
  <c r="BO66" i="14"/>
  <c r="BP66" i="14"/>
  <c r="BQ66" i="14"/>
  <c r="BR66" i="14"/>
  <c r="A67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G67" i="14"/>
  <c r="BH67" i="14"/>
  <c r="BI67" i="14"/>
  <c r="BJ67" i="14"/>
  <c r="BK67" i="14"/>
  <c r="BL67" i="14"/>
  <c r="BM67" i="14"/>
  <c r="BN67" i="14"/>
  <c r="BO67" i="14"/>
  <c r="BP67" i="14"/>
  <c r="BQ67" i="14"/>
  <c r="BR67" i="14"/>
  <c r="A68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AX68" i="14"/>
  <c r="AY68" i="14"/>
  <c r="AZ68" i="14"/>
  <c r="BA68" i="14"/>
  <c r="BB68" i="14"/>
  <c r="BC68" i="14"/>
  <c r="BD68" i="14"/>
  <c r="BE68" i="14"/>
  <c r="BF68" i="14"/>
  <c r="BG68" i="14"/>
  <c r="BH68" i="14"/>
  <c r="BI68" i="14"/>
  <c r="BJ68" i="14"/>
  <c r="BK68" i="14"/>
  <c r="BL68" i="14"/>
  <c r="BM68" i="14"/>
  <c r="BN68" i="14"/>
  <c r="BO68" i="14"/>
  <c r="BP68" i="14"/>
  <c r="BQ68" i="14"/>
  <c r="BR68" i="14"/>
  <c r="A69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AY69" i="14"/>
  <c r="AZ69" i="14"/>
  <c r="BA69" i="14"/>
  <c r="BB69" i="14"/>
  <c r="BC69" i="14"/>
  <c r="BD69" i="14"/>
  <c r="BE69" i="14"/>
  <c r="BF69" i="14"/>
  <c r="BG69" i="14"/>
  <c r="BH69" i="14"/>
  <c r="BI69" i="14"/>
  <c r="BJ69" i="14"/>
  <c r="BK69" i="14"/>
  <c r="BL69" i="14"/>
  <c r="BM69" i="14"/>
  <c r="BN69" i="14"/>
  <c r="BO69" i="14"/>
  <c r="BP69" i="14"/>
  <c r="BQ69" i="14"/>
  <c r="BR69" i="14"/>
  <c r="A70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AY70" i="14"/>
  <c r="AZ70" i="14"/>
  <c r="BA70" i="14"/>
  <c r="BB70" i="14"/>
  <c r="BC70" i="14"/>
  <c r="BD70" i="14"/>
  <c r="BE70" i="14"/>
  <c r="BF70" i="14"/>
  <c r="BG70" i="14"/>
  <c r="BH70" i="14"/>
  <c r="BI70" i="14"/>
  <c r="BJ70" i="14"/>
  <c r="BK70" i="14"/>
  <c r="BL70" i="14"/>
  <c r="BM70" i="14"/>
  <c r="BN70" i="14"/>
  <c r="BO70" i="14"/>
  <c r="BP70" i="14"/>
  <c r="BQ70" i="14"/>
  <c r="BR70" i="14"/>
  <c r="A71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AY71" i="14"/>
  <c r="AZ71" i="14"/>
  <c r="BA71" i="14"/>
  <c r="BB71" i="14"/>
  <c r="BC71" i="14"/>
  <c r="BD71" i="14"/>
  <c r="BE71" i="14"/>
  <c r="BF71" i="14"/>
  <c r="BG71" i="14"/>
  <c r="BH71" i="14"/>
  <c r="BI71" i="14"/>
  <c r="BJ71" i="14"/>
  <c r="BK71" i="14"/>
  <c r="BL71" i="14"/>
  <c r="BM71" i="14"/>
  <c r="BN71" i="14"/>
  <c r="BO71" i="14"/>
  <c r="BP71" i="14"/>
  <c r="BQ71" i="14"/>
  <c r="BR71" i="14"/>
  <c r="A72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AX72" i="14"/>
  <c r="AY72" i="14"/>
  <c r="AZ72" i="14"/>
  <c r="BA72" i="14"/>
  <c r="BB72" i="14"/>
  <c r="BC72" i="14"/>
  <c r="BD72" i="14"/>
  <c r="BE72" i="14"/>
  <c r="BF72" i="14"/>
  <c r="BG72" i="14"/>
  <c r="BH72" i="14"/>
  <c r="BI72" i="14"/>
  <c r="BJ72" i="14"/>
  <c r="BK72" i="14"/>
  <c r="BL72" i="14"/>
  <c r="BM72" i="14"/>
  <c r="BN72" i="14"/>
  <c r="BO72" i="14"/>
  <c r="BP72" i="14"/>
  <c r="BQ72" i="14"/>
  <c r="BR72" i="14"/>
  <c r="A73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AY73" i="14"/>
  <c r="AZ73" i="14"/>
  <c r="BA73" i="14"/>
  <c r="BB73" i="14"/>
  <c r="BC73" i="14"/>
  <c r="BD73" i="14"/>
  <c r="BE73" i="14"/>
  <c r="BF73" i="14"/>
  <c r="BG73" i="14"/>
  <c r="BH73" i="14"/>
  <c r="BI73" i="14"/>
  <c r="BJ73" i="14"/>
  <c r="BK73" i="14"/>
  <c r="BL73" i="14"/>
  <c r="BM73" i="14"/>
  <c r="BN73" i="14"/>
  <c r="BO73" i="14"/>
  <c r="BP73" i="14"/>
  <c r="BQ73" i="14"/>
  <c r="BR73" i="14"/>
  <c r="A74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AY74" i="14"/>
  <c r="AZ74" i="14"/>
  <c r="BA74" i="14"/>
  <c r="BB74" i="14"/>
  <c r="BC74" i="14"/>
  <c r="BD74" i="14"/>
  <c r="BE74" i="14"/>
  <c r="BF74" i="14"/>
  <c r="BG74" i="14"/>
  <c r="BH74" i="14"/>
  <c r="BI74" i="14"/>
  <c r="BJ74" i="14"/>
  <c r="BK74" i="14"/>
  <c r="BL74" i="14"/>
  <c r="BM74" i="14"/>
  <c r="BN74" i="14"/>
  <c r="BO74" i="14"/>
  <c r="BP74" i="14"/>
  <c r="BQ74" i="14"/>
  <c r="BR74" i="14"/>
  <c r="A75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BH75" i="14"/>
  <c r="BI75" i="14"/>
  <c r="BJ75" i="14"/>
  <c r="BK75" i="14"/>
  <c r="BL75" i="14"/>
  <c r="BM75" i="14"/>
  <c r="BN75" i="14"/>
  <c r="BO75" i="14"/>
  <c r="BP75" i="14"/>
  <c r="BQ75" i="14"/>
  <c r="BR75" i="14"/>
  <c r="A76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AY76" i="14"/>
  <c r="AZ76" i="14"/>
  <c r="BA76" i="14"/>
  <c r="BB76" i="14"/>
  <c r="BC76" i="14"/>
  <c r="BD76" i="14"/>
  <c r="BE76" i="14"/>
  <c r="BF76" i="14"/>
  <c r="BG76" i="14"/>
  <c r="BH76" i="14"/>
  <c r="BI76" i="14"/>
  <c r="BJ76" i="14"/>
  <c r="BK76" i="14"/>
  <c r="BL76" i="14"/>
  <c r="BM76" i="14"/>
  <c r="BN76" i="14"/>
  <c r="BO76" i="14"/>
  <c r="BP76" i="14"/>
  <c r="BQ76" i="14"/>
  <c r="BR76" i="14"/>
  <c r="A77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AX77" i="14"/>
  <c r="AY77" i="14"/>
  <c r="AZ77" i="14"/>
  <c r="BA77" i="14"/>
  <c r="BB77" i="14"/>
  <c r="BC77" i="14"/>
  <c r="BD77" i="14"/>
  <c r="BE77" i="14"/>
  <c r="BF77" i="14"/>
  <c r="BG77" i="14"/>
  <c r="BH77" i="14"/>
  <c r="BI77" i="14"/>
  <c r="BJ77" i="14"/>
  <c r="BK77" i="14"/>
  <c r="BL77" i="14"/>
  <c r="BM77" i="14"/>
  <c r="BN77" i="14"/>
  <c r="BO77" i="14"/>
  <c r="BP77" i="14"/>
  <c r="BQ77" i="14"/>
  <c r="BR77" i="14"/>
  <c r="A78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AY78" i="14"/>
  <c r="AZ78" i="14"/>
  <c r="BA78" i="14"/>
  <c r="BB78" i="14"/>
  <c r="BC78" i="14"/>
  <c r="BD78" i="14"/>
  <c r="BE78" i="14"/>
  <c r="BF78" i="14"/>
  <c r="BG78" i="14"/>
  <c r="BH78" i="14"/>
  <c r="BI78" i="14"/>
  <c r="BJ78" i="14"/>
  <c r="BK78" i="14"/>
  <c r="BL78" i="14"/>
  <c r="BM78" i="14"/>
  <c r="BN78" i="14"/>
  <c r="BO78" i="14"/>
  <c r="BP78" i="14"/>
  <c r="BQ78" i="14"/>
  <c r="BR78" i="14"/>
  <c r="A79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AZ79" i="14"/>
  <c r="BA79" i="14"/>
  <c r="BB79" i="14"/>
  <c r="BC79" i="14"/>
  <c r="BD79" i="14"/>
  <c r="BE79" i="14"/>
  <c r="BF79" i="14"/>
  <c r="BG79" i="14"/>
  <c r="BH79" i="14"/>
  <c r="BI79" i="14"/>
  <c r="BJ79" i="14"/>
  <c r="BK79" i="14"/>
  <c r="BL79" i="14"/>
  <c r="BM79" i="14"/>
  <c r="BN79" i="14"/>
  <c r="BO79" i="14"/>
  <c r="BP79" i="14"/>
  <c r="BQ79" i="14"/>
  <c r="BR79" i="14"/>
  <c r="A80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AY80" i="14"/>
  <c r="AZ80" i="14"/>
  <c r="BA80" i="14"/>
  <c r="BB80" i="14"/>
  <c r="BC80" i="14"/>
  <c r="BD80" i="14"/>
  <c r="BE80" i="14"/>
  <c r="BF80" i="14"/>
  <c r="BG80" i="14"/>
  <c r="BH80" i="14"/>
  <c r="BI80" i="14"/>
  <c r="BJ80" i="14"/>
  <c r="BK80" i="14"/>
  <c r="BL80" i="14"/>
  <c r="BM80" i="14"/>
  <c r="BN80" i="14"/>
  <c r="BO80" i="14"/>
  <c r="BP80" i="14"/>
  <c r="BQ80" i="14"/>
  <c r="BR80" i="14"/>
  <c r="A81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AX81" i="14"/>
  <c r="AY81" i="14"/>
  <c r="AZ81" i="14"/>
  <c r="BA81" i="14"/>
  <c r="BB81" i="14"/>
  <c r="BC81" i="14"/>
  <c r="BD81" i="14"/>
  <c r="BE81" i="14"/>
  <c r="BF81" i="14"/>
  <c r="BG81" i="14"/>
  <c r="BH81" i="14"/>
  <c r="BI81" i="14"/>
  <c r="BJ81" i="14"/>
  <c r="BK81" i="14"/>
  <c r="BL81" i="14"/>
  <c r="BM81" i="14"/>
  <c r="BN81" i="14"/>
  <c r="BO81" i="14"/>
  <c r="BP81" i="14"/>
  <c r="BQ81" i="14"/>
  <c r="BR81" i="14"/>
  <c r="A82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AV82" i="14"/>
  <c r="AW82" i="14"/>
  <c r="AX82" i="14"/>
  <c r="AY82" i="14"/>
  <c r="AZ82" i="14"/>
  <c r="BA82" i="14"/>
  <c r="BB82" i="14"/>
  <c r="BC82" i="14"/>
  <c r="BD82" i="14"/>
  <c r="BE82" i="14"/>
  <c r="BF82" i="14"/>
  <c r="BG82" i="14"/>
  <c r="BH82" i="14"/>
  <c r="BI82" i="14"/>
  <c r="BJ82" i="14"/>
  <c r="BK82" i="14"/>
  <c r="BL82" i="14"/>
  <c r="BM82" i="14"/>
  <c r="BN82" i="14"/>
  <c r="BO82" i="14"/>
  <c r="BP82" i="14"/>
  <c r="BQ82" i="14"/>
  <c r="BR82" i="14"/>
  <c r="A83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AX83" i="14"/>
  <c r="AY83" i="14"/>
  <c r="AZ83" i="14"/>
  <c r="BA83" i="14"/>
  <c r="BB83" i="14"/>
  <c r="BC83" i="14"/>
  <c r="BD83" i="14"/>
  <c r="BE83" i="14"/>
  <c r="BF83" i="14"/>
  <c r="BG83" i="14"/>
  <c r="BH83" i="14"/>
  <c r="BI83" i="14"/>
  <c r="BJ83" i="14"/>
  <c r="BK83" i="14"/>
  <c r="BL83" i="14"/>
  <c r="BM83" i="14"/>
  <c r="BN83" i="14"/>
  <c r="BO83" i="14"/>
  <c r="BP83" i="14"/>
  <c r="BQ83" i="14"/>
  <c r="BR83" i="14"/>
  <c r="A84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AX84" i="14"/>
  <c r="AY84" i="14"/>
  <c r="AZ84" i="14"/>
  <c r="BA84" i="14"/>
  <c r="BB84" i="14"/>
  <c r="BC84" i="14"/>
  <c r="BD84" i="14"/>
  <c r="BE84" i="14"/>
  <c r="BF84" i="14"/>
  <c r="BG84" i="14"/>
  <c r="BH84" i="14"/>
  <c r="BI84" i="14"/>
  <c r="BJ84" i="14"/>
  <c r="BK84" i="14"/>
  <c r="BL84" i="14"/>
  <c r="BM84" i="14"/>
  <c r="BN84" i="14"/>
  <c r="BO84" i="14"/>
  <c r="BP84" i="14"/>
  <c r="BQ84" i="14"/>
  <c r="BR84" i="14"/>
  <c r="A85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AY85" i="14"/>
  <c r="AZ85" i="14"/>
  <c r="BA85" i="14"/>
  <c r="BB85" i="14"/>
  <c r="BC85" i="14"/>
  <c r="BD85" i="14"/>
  <c r="BE85" i="14"/>
  <c r="BF85" i="14"/>
  <c r="BG85" i="14"/>
  <c r="BH85" i="14"/>
  <c r="BI85" i="14"/>
  <c r="BJ85" i="14"/>
  <c r="BK85" i="14"/>
  <c r="BL85" i="14"/>
  <c r="BM85" i="14"/>
  <c r="BN85" i="14"/>
  <c r="BO85" i="14"/>
  <c r="BP85" i="14"/>
  <c r="BQ85" i="14"/>
  <c r="BR85" i="14"/>
  <c r="A86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AY86" i="14"/>
  <c r="AZ86" i="14"/>
  <c r="BA86" i="14"/>
  <c r="BB86" i="14"/>
  <c r="BC86" i="14"/>
  <c r="BD86" i="14"/>
  <c r="BE86" i="14"/>
  <c r="BF86" i="14"/>
  <c r="BG86" i="14"/>
  <c r="BH86" i="14"/>
  <c r="BI86" i="14"/>
  <c r="BJ86" i="14"/>
  <c r="BK86" i="14"/>
  <c r="BL86" i="14"/>
  <c r="BM86" i="14"/>
  <c r="BN86" i="14"/>
  <c r="BO86" i="14"/>
  <c r="BP86" i="14"/>
  <c r="BQ86" i="14"/>
  <c r="BR86" i="14"/>
  <c r="A87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AX87" i="14"/>
  <c r="AY87" i="14"/>
  <c r="AZ87" i="14"/>
  <c r="BA87" i="14"/>
  <c r="BB87" i="14"/>
  <c r="BC87" i="14"/>
  <c r="BD87" i="14"/>
  <c r="BE87" i="14"/>
  <c r="BF87" i="14"/>
  <c r="BG87" i="14"/>
  <c r="BH87" i="14"/>
  <c r="BI87" i="14"/>
  <c r="BJ87" i="14"/>
  <c r="BK87" i="14"/>
  <c r="BL87" i="14"/>
  <c r="BM87" i="14"/>
  <c r="BN87" i="14"/>
  <c r="BO87" i="14"/>
  <c r="BP87" i="14"/>
  <c r="BQ87" i="14"/>
  <c r="BR87" i="14"/>
  <c r="A88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AV88" i="14"/>
  <c r="AW88" i="14"/>
  <c r="AX88" i="14"/>
  <c r="AY88" i="14"/>
  <c r="AZ88" i="14"/>
  <c r="BA88" i="14"/>
  <c r="BB88" i="14"/>
  <c r="BC88" i="14"/>
  <c r="BD88" i="14"/>
  <c r="BE88" i="14"/>
  <c r="BF88" i="14"/>
  <c r="BG88" i="14"/>
  <c r="BH88" i="14"/>
  <c r="BI88" i="14"/>
  <c r="BJ88" i="14"/>
  <c r="BK88" i="14"/>
  <c r="BL88" i="14"/>
  <c r="BM88" i="14"/>
  <c r="BN88" i="14"/>
  <c r="BO88" i="14"/>
  <c r="BP88" i="14"/>
  <c r="BQ88" i="14"/>
  <c r="BR88" i="14"/>
  <c r="A89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AX89" i="14"/>
  <c r="AY89" i="14"/>
  <c r="AZ89" i="14"/>
  <c r="BA89" i="14"/>
  <c r="BB89" i="14"/>
  <c r="BC89" i="14"/>
  <c r="BD89" i="14"/>
  <c r="BE89" i="14"/>
  <c r="BF89" i="14"/>
  <c r="BG89" i="14"/>
  <c r="BH89" i="14"/>
  <c r="BI89" i="14"/>
  <c r="BJ89" i="14"/>
  <c r="BK89" i="14"/>
  <c r="BL89" i="14"/>
  <c r="BM89" i="14"/>
  <c r="BN89" i="14"/>
  <c r="BO89" i="14"/>
  <c r="BP89" i="14"/>
  <c r="BQ89" i="14"/>
  <c r="BR89" i="14"/>
  <c r="A90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Y90" i="14"/>
  <c r="Z90" i="14"/>
  <c r="AA90" i="14"/>
  <c r="AB90" i="14"/>
  <c r="AC90" i="14"/>
  <c r="AD90" i="14"/>
  <c r="AE90" i="14"/>
  <c r="AF90" i="14"/>
  <c r="AG90" i="14"/>
  <c r="AH90" i="14"/>
  <c r="AI90" i="14"/>
  <c r="AJ90" i="14"/>
  <c r="AK90" i="14"/>
  <c r="AL90" i="14"/>
  <c r="AM90" i="14"/>
  <c r="AN90" i="14"/>
  <c r="AO90" i="14"/>
  <c r="AP90" i="14"/>
  <c r="AQ90" i="14"/>
  <c r="AR90" i="14"/>
  <c r="AS90" i="14"/>
  <c r="AT90" i="14"/>
  <c r="AU90" i="14"/>
  <c r="AV90" i="14"/>
  <c r="AW90" i="14"/>
  <c r="AX90" i="14"/>
  <c r="AY90" i="14"/>
  <c r="AZ90" i="14"/>
  <c r="BA90" i="14"/>
  <c r="BB90" i="14"/>
  <c r="BC90" i="14"/>
  <c r="BD90" i="14"/>
  <c r="BE90" i="14"/>
  <c r="BF90" i="14"/>
  <c r="BG90" i="14"/>
  <c r="BH90" i="14"/>
  <c r="BI90" i="14"/>
  <c r="BJ90" i="14"/>
  <c r="BK90" i="14"/>
  <c r="BL90" i="14"/>
  <c r="BM90" i="14"/>
  <c r="BN90" i="14"/>
  <c r="BO90" i="14"/>
  <c r="BP90" i="14"/>
  <c r="BQ90" i="14"/>
  <c r="BR90" i="14"/>
  <c r="A91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Y91" i="14"/>
  <c r="Z91" i="14"/>
  <c r="AA91" i="14"/>
  <c r="AB91" i="14"/>
  <c r="AC91" i="14"/>
  <c r="AD91" i="14"/>
  <c r="AE91" i="14"/>
  <c r="AF91" i="14"/>
  <c r="AG91" i="14"/>
  <c r="AH91" i="14"/>
  <c r="AI91" i="14"/>
  <c r="AJ91" i="14"/>
  <c r="AK91" i="14"/>
  <c r="AL91" i="14"/>
  <c r="AM91" i="14"/>
  <c r="AN91" i="14"/>
  <c r="AO91" i="14"/>
  <c r="AP91" i="14"/>
  <c r="AQ91" i="14"/>
  <c r="AR91" i="14"/>
  <c r="AS91" i="14"/>
  <c r="AT91" i="14"/>
  <c r="AU91" i="14"/>
  <c r="AV91" i="14"/>
  <c r="AW91" i="14"/>
  <c r="AX91" i="14"/>
  <c r="AY91" i="14"/>
  <c r="AZ91" i="14"/>
  <c r="BA91" i="14"/>
  <c r="BB91" i="14"/>
  <c r="BC91" i="14"/>
  <c r="BD91" i="14"/>
  <c r="BE91" i="14"/>
  <c r="BF91" i="14"/>
  <c r="BG91" i="14"/>
  <c r="BH91" i="14"/>
  <c r="BI91" i="14"/>
  <c r="BJ91" i="14"/>
  <c r="BK91" i="14"/>
  <c r="BL91" i="14"/>
  <c r="BM91" i="14"/>
  <c r="BN91" i="14"/>
  <c r="BO91" i="14"/>
  <c r="BP91" i="14"/>
  <c r="BQ91" i="14"/>
  <c r="BR91" i="14"/>
  <c r="A92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Y92" i="14"/>
  <c r="Z92" i="14"/>
  <c r="AA92" i="14"/>
  <c r="AB92" i="14"/>
  <c r="AC92" i="14"/>
  <c r="AD92" i="14"/>
  <c r="AE92" i="14"/>
  <c r="AF92" i="14"/>
  <c r="AG92" i="14"/>
  <c r="AH92" i="14"/>
  <c r="AI92" i="14"/>
  <c r="AJ92" i="14"/>
  <c r="AK92" i="14"/>
  <c r="AL92" i="14"/>
  <c r="AM92" i="14"/>
  <c r="AN92" i="14"/>
  <c r="AO92" i="14"/>
  <c r="AP92" i="14"/>
  <c r="AQ92" i="14"/>
  <c r="AR92" i="14"/>
  <c r="AS92" i="14"/>
  <c r="AT92" i="14"/>
  <c r="AU92" i="14"/>
  <c r="AV92" i="14"/>
  <c r="AW92" i="14"/>
  <c r="AX92" i="14"/>
  <c r="AY92" i="14"/>
  <c r="AZ92" i="14"/>
  <c r="BA92" i="14"/>
  <c r="BB92" i="14"/>
  <c r="BC92" i="14"/>
  <c r="BD92" i="14"/>
  <c r="BE92" i="14"/>
  <c r="BF92" i="14"/>
  <c r="BG92" i="14"/>
  <c r="BH92" i="14"/>
  <c r="BI92" i="14"/>
  <c r="BJ92" i="14"/>
  <c r="BK92" i="14"/>
  <c r="BL92" i="14"/>
  <c r="BM92" i="14"/>
  <c r="BN92" i="14"/>
  <c r="BO92" i="14"/>
  <c r="BP92" i="14"/>
  <c r="BQ92" i="14"/>
  <c r="BR92" i="14"/>
  <c r="A93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Y93" i="14"/>
  <c r="Z93" i="14"/>
  <c r="AA93" i="14"/>
  <c r="AB93" i="14"/>
  <c r="AC93" i="14"/>
  <c r="AD93" i="14"/>
  <c r="AE93" i="14"/>
  <c r="AF93" i="14"/>
  <c r="AG93" i="14"/>
  <c r="AH93" i="14"/>
  <c r="AI93" i="14"/>
  <c r="AJ93" i="14"/>
  <c r="AK93" i="14"/>
  <c r="AL93" i="14"/>
  <c r="AM93" i="14"/>
  <c r="AN93" i="14"/>
  <c r="AO93" i="14"/>
  <c r="AP93" i="14"/>
  <c r="AQ93" i="14"/>
  <c r="AR93" i="14"/>
  <c r="AS93" i="14"/>
  <c r="AT93" i="14"/>
  <c r="AU93" i="14"/>
  <c r="AV93" i="14"/>
  <c r="AW93" i="14"/>
  <c r="AX93" i="14"/>
  <c r="AY93" i="14"/>
  <c r="AZ93" i="14"/>
  <c r="BA93" i="14"/>
  <c r="BB93" i="14"/>
  <c r="BC93" i="14"/>
  <c r="BD93" i="14"/>
  <c r="BE93" i="14"/>
  <c r="BF93" i="14"/>
  <c r="BG93" i="14"/>
  <c r="BH93" i="14"/>
  <c r="BI93" i="14"/>
  <c r="BJ93" i="14"/>
  <c r="BK93" i="14"/>
  <c r="BL93" i="14"/>
  <c r="BM93" i="14"/>
  <c r="BN93" i="14"/>
  <c r="BO93" i="14"/>
  <c r="BP93" i="14"/>
  <c r="BQ93" i="14"/>
  <c r="BR93" i="14"/>
  <c r="A94" i="14"/>
  <c r="B94" i="14"/>
  <c r="C94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Y94" i="14"/>
  <c r="Z94" i="14"/>
  <c r="AA94" i="14"/>
  <c r="AB94" i="14"/>
  <c r="AC94" i="14"/>
  <c r="AD94" i="14"/>
  <c r="AE94" i="14"/>
  <c r="AF94" i="14"/>
  <c r="AG94" i="14"/>
  <c r="AH94" i="14"/>
  <c r="AI94" i="14"/>
  <c r="AJ94" i="14"/>
  <c r="AK94" i="14"/>
  <c r="AL94" i="14"/>
  <c r="AM94" i="14"/>
  <c r="AN94" i="14"/>
  <c r="AO94" i="14"/>
  <c r="AP94" i="14"/>
  <c r="AQ94" i="14"/>
  <c r="AR94" i="14"/>
  <c r="AS94" i="14"/>
  <c r="AT94" i="14"/>
  <c r="AU94" i="14"/>
  <c r="AV94" i="14"/>
  <c r="AW94" i="14"/>
  <c r="AX94" i="14"/>
  <c r="AY94" i="14"/>
  <c r="AZ94" i="14"/>
  <c r="BA94" i="14"/>
  <c r="BB94" i="14"/>
  <c r="BC94" i="14"/>
  <c r="BD94" i="14"/>
  <c r="BE94" i="14"/>
  <c r="BF94" i="14"/>
  <c r="BG94" i="14"/>
  <c r="BH94" i="14"/>
  <c r="BI94" i="14"/>
  <c r="BJ94" i="14"/>
  <c r="BK94" i="14"/>
  <c r="BL94" i="14"/>
  <c r="BM94" i="14"/>
  <c r="BN94" i="14"/>
  <c r="BO94" i="14"/>
  <c r="BP94" i="14"/>
  <c r="BQ94" i="14"/>
  <c r="BR94" i="14"/>
  <c r="A95" i="14"/>
  <c r="B95" i="14"/>
  <c r="C95" i="14"/>
  <c r="D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V95" i="14"/>
  <c r="W95" i="14"/>
  <c r="X95" i="14"/>
  <c r="Y95" i="14"/>
  <c r="Z95" i="14"/>
  <c r="AA95" i="14"/>
  <c r="AB95" i="14"/>
  <c r="AC95" i="14"/>
  <c r="AD95" i="14"/>
  <c r="AE95" i="14"/>
  <c r="AF95" i="14"/>
  <c r="AG95" i="14"/>
  <c r="AH95" i="14"/>
  <c r="AI95" i="14"/>
  <c r="AJ95" i="14"/>
  <c r="AK95" i="14"/>
  <c r="AL95" i="14"/>
  <c r="AM95" i="14"/>
  <c r="AN95" i="14"/>
  <c r="AO95" i="14"/>
  <c r="AP95" i="14"/>
  <c r="AQ95" i="14"/>
  <c r="AR95" i="14"/>
  <c r="AS95" i="14"/>
  <c r="AT95" i="14"/>
  <c r="AU95" i="14"/>
  <c r="AV95" i="14"/>
  <c r="AW95" i="14"/>
  <c r="AX95" i="14"/>
  <c r="AY95" i="14"/>
  <c r="AZ95" i="14"/>
  <c r="BA95" i="14"/>
  <c r="BB95" i="14"/>
  <c r="BC95" i="14"/>
  <c r="BD95" i="14"/>
  <c r="BE95" i="14"/>
  <c r="BF95" i="14"/>
  <c r="BG95" i="14"/>
  <c r="BH95" i="14"/>
  <c r="BI95" i="14"/>
  <c r="BJ95" i="14"/>
  <c r="BK95" i="14"/>
  <c r="BL95" i="14"/>
  <c r="BM95" i="14"/>
  <c r="BN95" i="14"/>
  <c r="BO95" i="14"/>
  <c r="BP95" i="14"/>
  <c r="BQ95" i="14"/>
  <c r="BR95" i="14"/>
  <c r="A96" i="14"/>
  <c r="B96" i="14"/>
  <c r="C96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V96" i="14"/>
  <c r="W96" i="14"/>
  <c r="X96" i="14"/>
  <c r="Y96" i="14"/>
  <c r="Z96" i="14"/>
  <c r="AA96" i="14"/>
  <c r="AB96" i="14"/>
  <c r="AC96" i="14"/>
  <c r="AD96" i="14"/>
  <c r="AE96" i="14"/>
  <c r="AF96" i="14"/>
  <c r="AG96" i="14"/>
  <c r="AH96" i="14"/>
  <c r="AI96" i="14"/>
  <c r="AJ96" i="14"/>
  <c r="AK96" i="14"/>
  <c r="AL96" i="14"/>
  <c r="AM96" i="14"/>
  <c r="AN96" i="14"/>
  <c r="AO96" i="14"/>
  <c r="AP96" i="14"/>
  <c r="AQ96" i="14"/>
  <c r="AR96" i="14"/>
  <c r="AS96" i="14"/>
  <c r="AT96" i="14"/>
  <c r="AU96" i="14"/>
  <c r="AV96" i="14"/>
  <c r="AW96" i="14"/>
  <c r="AX96" i="14"/>
  <c r="AY96" i="14"/>
  <c r="AZ96" i="14"/>
  <c r="BA96" i="14"/>
  <c r="BB96" i="14"/>
  <c r="BC96" i="14"/>
  <c r="BD96" i="14"/>
  <c r="BE96" i="14"/>
  <c r="BF96" i="14"/>
  <c r="BG96" i="14"/>
  <c r="BH96" i="14"/>
  <c r="BI96" i="14"/>
  <c r="BJ96" i="14"/>
  <c r="BK96" i="14"/>
  <c r="BL96" i="14"/>
  <c r="BM96" i="14"/>
  <c r="BN96" i="14"/>
  <c r="BO96" i="14"/>
  <c r="BP96" i="14"/>
  <c r="BQ96" i="14"/>
  <c r="BR96" i="14"/>
  <c r="A97" i="14"/>
  <c r="B97" i="14"/>
  <c r="C97" i="14"/>
  <c r="D97" i="14"/>
  <c r="E97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W97" i="14"/>
  <c r="X97" i="14"/>
  <c r="Y97" i="14"/>
  <c r="Z97" i="14"/>
  <c r="AA97" i="14"/>
  <c r="AB97" i="14"/>
  <c r="AC97" i="14"/>
  <c r="AD97" i="14"/>
  <c r="AE97" i="14"/>
  <c r="AF97" i="14"/>
  <c r="AG97" i="14"/>
  <c r="AH97" i="14"/>
  <c r="AI97" i="14"/>
  <c r="AJ97" i="14"/>
  <c r="AK97" i="14"/>
  <c r="AL97" i="14"/>
  <c r="AM97" i="14"/>
  <c r="AN97" i="14"/>
  <c r="AO97" i="14"/>
  <c r="AP97" i="14"/>
  <c r="AQ97" i="14"/>
  <c r="AR97" i="14"/>
  <c r="AS97" i="14"/>
  <c r="AT97" i="14"/>
  <c r="AU97" i="14"/>
  <c r="AV97" i="14"/>
  <c r="AW97" i="14"/>
  <c r="AX97" i="14"/>
  <c r="AY97" i="14"/>
  <c r="AZ97" i="14"/>
  <c r="BA97" i="14"/>
  <c r="BB97" i="14"/>
  <c r="BC97" i="14"/>
  <c r="BD97" i="14"/>
  <c r="BE97" i="14"/>
  <c r="BF97" i="14"/>
  <c r="BG97" i="14"/>
  <c r="BH97" i="14"/>
  <c r="BI97" i="14"/>
  <c r="BJ97" i="14"/>
  <c r="BK97" i="14"/>
  <c r="BL97" i="14"/>
  <c r="BM97" i="14"/>
  <c r="BN97" i="14"/>
  <c r="BO97" i="14"/>
  <c r="BP97" i="14"/>
  <c r="BQ97" i="14"/>
  <c r="BR97" i="14"/>
  <c r="A98" i="14"/>
  <c r="B98" i="14"/>
  <c r="C98" i="14"/>
  <c r="D98" i="14"/>
  <c r="E98" i="14"/>
  <c r="F98" i="14"/>
  <c r="G98" i="14"/>
  <c r="H98" i="14"/>
  <c r="I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V98" i="14"/>
  <c r="W98" i="14"/>
  <c r="X98" i="14"/>
  <c r="Y98" i="14"/>
  <c r="Z98" i="14"/>
  <c r="AA98" i="14"/>
  <c r="AB98" i="14"/>
  <c r="AC98" i="14"/>
  <c r="AD98" i="14"/>
  <c r="AE98" i="14"/>
  <c r="AF98" i="14"/>
  <c r="AG98" i="14"/>
  <c r="AH98" i="14"/>
  <c r="AI98" i="14"/>
  <c r="AJ98" i="14"/>
  <c r="AK98" i="14"/>
  <c r="AL98" i="14"/>
  <c r="AM98" i="14"/>
  <c r="AN98" i="14"/>
  <c r="AO98" i="14"/>
  <c r="AP98" i="14"/>
  <c r="AQ98" i="14"/>
  <c r="AR98" i="14"/>
  <c r="AS98" i="14"/>
  <c r="AT98" i="14"/>
  <c r="AU98" i="14"/>
  <c r="AV98" i="14"/>
  <c r="AW98" i="14"/>
  <c r="AX98" i="14"/>
  <c r="AY98" i="14"/>
  <c r="AZ98" i="14"/>
  <c r="BA98" i="14"/>
  <c r="BB98" i="14"/>
  <c r="BC98" i="14"/>
  <c r="BD98" i="14"/>
  <c r="BE98" i="14"/>
  <c r="BF98" i="14"/>
  <c r="BG98" i="14"/>
  <c r="BH98" i="14"/>
  <c r="BI98" i="14"/>
  <c r="BJ98" i="14"/>
  <c r="BK98" i="14"/>
  <c r="BL98" i="14"/>
  <c r="BM98" i="14"/>
  <c r="BN98" i="14"/>
  <c r="BO98" i="14"/>
  <c r="BP98" i="14"/>
  <c r="BQ98" i="14"/>
  <c r="BR98" i="14"/>
  <c r="A99" i="14"/>
  <c r="B99" i="14"/>
  <c r="C99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AA99" i="14"/>
  <c r="AB99" i="14"/>
  <c r="AC99" i="14"/>
  <c r="AD99" i="14"/>
  <c r="AE99" i="14"/>
  <c r="AF99" i="14"/>
  <c r="AG99" i="14"/>
  <c r="AH99" i="14"/>
  <c r="AI99" i="14"/>
  <c r="AJ99" i="14"/>
  <c r="AK99" i="14"/>
  <c r="AL99" i="14"/>
  <c r="AM99" i="14"/>
  <c r="AN99" i="14"/>
  <c r="AO99" i="14"/>
  <c r="AP99" i="14"/>
  <c r="AQ99" i="14"/>
  <c r="AR99" i="14"/>
  <c r="AS99" i="14"/>
  <c r="AT99" i="14"/>
  <c r="AU99" i="14"/>
  <c r="AV99" i="14"/>
  <c r="AW99" i="14"/>
  <c r="AX99" i="14"/>
  <c r="AY99" i="14"/>
  <c r="AZ99" i="14"/>
  <c r="BA99" i="14"/>
  <c r="BB99" i="14"/>
  <c r="BC99" i="14"/>
  <c r="BD99" i="14"/>
  <c r="BE99" i="14"/>
  <c r="BF99" i="14"/>
  <c r="BG99" i="14"/>
  <c r="BH99" i="14"/>
  <c r="BI99" i="14"/>
  <c r="BJ99" i="14"/>
  <c r="BK99" i="14"/>
  <c r="BL99" i="14"/>
  <c r="BM99" i="14"/>
  <c r="BN99" i="14"/>
  <c r="BO99" i="14"/>
  <c r="BP99" i="14"/>
  <c r="BQ99" i="14"/>
  <c r="BR99" i="14"/>
  <c r="A100" i="14"/>
  <c r="B100" i="14"/>
  <c r="C100" i="14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W100" i="14"/>
  <c r="X100" i="14"/>
  <c r="Y100" i="14"/>
  <c r="Z100" i="14"/>
  <c r="AA100" i="14"/>
  <c r="AB100" i="14"/>
  <c r="AC100" i="14"/>
  <c r="AD100" i="14"/>
  <c r="AE100" i="14"/>
  <c r="AF100" i="14"/>
  <c r="AG100" i="14"/>
  <c r="AH100" i="14"/>
  <c r="AI100" i="14"/>
  <c r="AJ100" i="14"/>
  <c r="AK100" i="14"/>
  <c r="AL100" i="14"/>
  <c r="AM100" i="14"/>
  <c r="AN100" i="14"/>
  <c r="AO100" i="14"/>
  <c r="AP100" i="14"/>
  <c r="AQ100" i="14"/>
  <c r="AR100" i="14"/>
  <c r="AS100" i="14"/>
  <c r="AT100" i="14"/>
  <c r="AU100" i="14"/>
  <c r="AV100" i="14"/>
  <c r="AW100" i="14"/>
  <c r="AX100" i="14"/>
  <c r="AY100" i="14"/>
  <c r="AZ100" i="14"/>
  <c r="BA100" i="14"/>
  <c r="BB100" i="14"/>
  <c r="BC100" i="14"/>
  <c r="BD100" i="14"/>
  <c r="BE100" i="14"/>
  <c r="BF100" i="14"/>
  <c r="BG100" i="14"/>
  <c r="BH100" i="14"/>
  <c r="BI100" i="14"/>
  <c r="BJ100" i="14"/>
  <c r="BK100" i="14"/>
  <c r="BL100" i="14"/>
  <c r="BM100" i="14"/>
  <c r="BN100" i="14"/>
  <c r="BO100" i="14"/>
  <c r="BP100" i="14"/>
  <c r="BQ100" i="14"/>
  <c r="BR100" i="14"/>
  <c r="A101" i="14"/>
  <c r="B101" i="14"/>
  <c r="C101" i="14"/>
  <c r="D101" i="14"/>
  <c r="E101" i="14"/>
  <c r="F101" i="14"/>
  <c r="G101" i="14"/>
  <c r="H101" i="14"/>
  <c r="I101" i="14"/>
  <c r="J101" i="14"/>
  <c r="K101" i="14"/>
  <c r="L101" i="14"/>
  <c r="M101" i="14"/>
  <c r="N101" i="14"/>
  <c r="O101" i="14"/>
  <c r="P101" i="14"/>
  <c r="Q101" i="14"/>
  <c r="R101" i="14"/>
  <c r="S101" i="14"/>
  <c r="T101" i="14"/>
  <c r="U101" i="14"/>
  <c r="V101" i="14"/>
  <c r="W101" i="14"/>
  <c r="X101" i="14"/>
  <c r="Y101" i="14"/>
  <c r="Z101" i="14"/>
  <c r="AA101" i="14"/>
  <c r="AB101" i="14"/>
  <c r="AC101" i="14"/>
  <c r="AD101" i="14"/>
  <c r="AE101" i="14"/>
  <c r="AF101" i="14"/>
  <c r="AG101" i="14"/>
  <c r="AH101" i="14"/>
  <c r="AI101" i="14"/>
  <c r="AJ101" i="14"/>
  <c r="AK101" i="14"/>
  <c r="AL101" i="14"/>
  <c r="AM101" i="14"/>
  <c r="AN101" i="14"/>
  <c r="AO101" i="14"/>
  <c r="AP101" i="14"/>
  <c r="AQ101" i="14"/>
  <c r="AR101" i="14"/>
  <c r="AS101" i="14"/>
  <c r="AT101" i="14"/>
  <c r="AU101" i="14"/>
  <c r="AV101" i="14"/>
  <c r="AW101" i="14"/>
  <c r="AX101" i="14"/>
  <c r="AY101" i="14"/>
  <c r="AZ101" i="14"/>
  <c r="BA101" i="14"/>
  <c r="BB101" i="14"/>
  <c r="BC101" i="14"/>
  <c r="BD101" i="14"/>
  <c r="BE101" i="14"/>
  <c r="BF101" i="14"/>
  <c r="BG101" i="14"/>
  <c r="BH101" i="14"/>
  <c r="BI101" i="14"/>
  <c r="BJ101" i="14"/>
  <c r="BK101" i="14"/>
  <c r="BL101" i="14"/>
  <c r="BM101" i="14"/>
  <c r="BN101" i="14"/>
  <c r="BO101" i="14"/>
  <c r="BP101" i="14"/>
  <c r="BQ101" i="14"/>
  <c r="BR101" i="14"/>
  <c r="B1" i="14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AG1" i="14"/>
  <c r="AH1" i="14"/>
  <c r="AI1" i="14"/>
  <c r="AJ1" i="14"/>
  <c r="AK1" i="14"/>
  <c r="AL1" i="14"/>
  <c r="AM1" i="14"/>
  <c r="AN1" i="14"/>
  <c r="AO1" i="14"/>
  <c r="AP1" i="14"/>
  <c r="AQ1" i="14"/>
  <c r="AR1" i="14"/>
  <c r="AS1" i="14"/>
  <c r="AT1" i="14"/>
  <c r="AU1" i="14"/>
  <c r="AV1" i="14"/>
  <c r="AW1" i="14"/>
  <c r="AX1" i="14"/>
  <c r="AY1" i="14"/>
  <c r="AZ1" i="14"/>
  <c r="BA1" i="14"/>
  <c r="BB1" i="14"/>
  <c r="BC1" i="14"/>
  <c r="BD1" i="14"/>
  <c r="BE1" i="14"/>
  <c r="BF1" i="14"/>
  <c r="BG1" i="14"/>
  <c r="BH1" i="14"/>
  <c r="BI1" i="14"/>
  <c r="BJ1" i="14"/>
  <c r="BK1" i="14"/>
  <c r="BL1" i="14"/>
  <c r="BM1" i="14"/>
  <c r="BN1" i="14"/>
  <c r="BO1" i="14"/>
  <c r="BP1" i="14"/>
  <c r="BQ1" i="14"/>
  <c r="BR1" i="14"/>
  <c r="EI3" i="13"/>
  <c r="EI4" i="13"/>
  <c r="EI5" i="13"/>
  <c r="EI6" i="13"/>
  <c r="EI7" i="13"/>
  <c r="EI8" i="13"/>
  <c r="EI9" i="13"/>
  <c r="EI10" i="13"/>
  <c r="EI11" i="13"/>
  <c r="EI12" i="13"/>
  <c r="EI13" i="13"/>
  <c r="EI14" i="13"/>
  <c r="EI15" i="13"/>
  <c r="EI16" i="13"/>
  <c r="EI17" i="13"/>
  <c r="EI18" i="13"/>
  <c r="EI19" i="13"/>
  <c r="EI20" i="13"/>
  <c r="EI21" i="13"/>
  <c r="EI22" i="13"/>
  <c r="EI23" i="13"/>
  <c r="EI24" i="13"/>
  <c r="EI25" i="13"/>
  <c r="EI26" i="13"/>
  <c r="EI27" i="13"/>
  <c r="EI28" i="13"/>
  <c r="EI29" i="13"/>
  <c r="EI30" i="13"/>
  <c r="EI31" i="13"/>
  <c r="EI32" i="13"/>
  <c r="EI33" i="13"/>
  <c r="EI34" i="13"/>
  <c r="EI35" i="13"/>
  <c r="EI36" i="13"/>
  <c r="EI37" i="13"/>
  <c r="EI38" i="13"/>
  <c r="EI39" i="13"/>
  <c r="EI40" i="13"/>
  <c r="EI41" i="13"/>
  <c r="EI42" i="13"/>
  <c r="EI43" i="13"/>
  <c r="EI44" i="13"/>
  <c r="EI45" i="13"/>
  <c r="EI46" i="13"/>
  <c r="EI47" i="13"/>
  <c r="EI48" i="13"/>
  <c r="EI49" i="13"/>
  <c r="EI50" i="13"/>
  <c r="EI51" i="13"/>
  <c r="EI52" i="13"/>
  <c r="EI53" i="13"/>
  <c r="EI54" i="13"/>
  <c r="EI55" i="13"/>
  <c r="EI56" i="13"/>
  <c r="EI57" i="13"/>
  <c r="EI58" i="13"/>
  <c r="EI59" i="13"/>
  <c r="EI60" i="13"/>
  <c r="EI61" i="13"/>
  <c r="EI62" i="13"/>
  <c r="EI63" i="13"/>
  <c r="EI64" i="13"/>
  <c r="EI65" i="13"/>
  <c r="EI66" i="13"/>
  <c r="EI67" i="13"/>
  <c r="EI68" i="13"/>
  <c r="EI69" i="13"/>
  <c r="EI70" i="13"/>
  <c r="EI71" i="13"/>
  <c r="EI72" i="13"/>
  <c r="EI73" i="13"/>
  <c r="EI74" i="13"/>
  <c r="EI75" i="13"/>
  <c r="EI76" i="13"/>
  <c r="EI77" i="13"/>
  <c r="EI78" i="13"/>
  <c r="EI79" i="13"/>
  <c r="EI80" i="13"/>
  <c r="EI81" i="13"/>
  <c r="EI82" i="13"/>
  <c r="EI83" i="13"/>
  <c r="EI84" i="13"/>
  <c r="EI85" i="13"/>
  <c r="EI86" i="13"/>
  <c r="EI87" i="13"/>
  <c r="EI88" i="13"/>
  <c r="EI89" i="13"/>
  <c r="EI90" i="13"/>
  <c r="EI91" i="13"/>
  <c r="EI92" i="13"/>
  <c r="EI93" i="13"/>
  <c r="EI94" i="13"/>
  <c r="EI95" i="13"/>
  <c r="EI96" i="13"/>
  <c r="EI97" i="13"/>
  <c r="EI98" i="13"/>
  <c r="EI99" i="13"/>
  <c r="EI100" i="13"/>
  <c r="EI101" i="13"/>
  <c r="EI2" i="13"/>
  <c r="EH3" i="13"/>
  <c r="EH4" i="13"/>
  <c r="EH5" i="13"/>
  <c r="EH6" i="13"/>
  <c r="EH7" i="13"/>
  <c r="EH8" i="13"/>
  <c r="EH9" i="13"/>
  <c r="EH10" i="13"/>
  <c r="EH11" i="13"/>
  <c r="EH12" i="13"/>
  <c r="EH13" i="13"/>
  <c r="EH14" i="13"/>
  <c r="EH15" i="13"/>
  <c r="EH16" i="13"/>
  <c r="EH17" i="13"/>
  <c r="EH18" i="13"/>
  <c r="EH19" i="13"/>
  <c r="EH20" i="13"/>
  <c r="EH21" i="13"/>
  <c r="EH22" i="13"/>
  <c r="EH23" i="13"/>
  <c r="EH24" i="13"/>
  <c r="EH25" i="13"/>
  <c r="EH26" i="13"/>
  <c r="EH27" i="13"/>
  <c r="EH28" i="13"/>
  <c r="EH29" i="13"/>
  <c r="EH30" i="13"/>
  <c r="EH31" i="13"/>
  <c r="EH32" i="13"/>
  <c r="EH33" i="13"/>
  <c r="EH34" i="13"/>
  <c r="EH35" i="13"/>
  <c r="EH36" i="13"/>
  <c r="EH37" i="13"/>
  <c r="EH38" i="13"/>
  <c r="EH39" i="13"/>
  <c r="EH40" i="13"/>
  <c r="EH41" i="13"/>
  <c r="EH42" i="13"/>
  <c r="EH43" i="13"/>
  <c r="EH44" i="13"/>
  <c r="EH45" i="13"/>
  <c r="EH46" i="13"/>
  <c r="EH47" i="13"/>
  <c r="EH48" i="13"/>
  <c r="EH49" i="13"/>
  <c r="EH50" i="13"/>
  <c r="EH51" i="13"/>
  <c r="EH52" i="13"/>
  <c r="EH53" i="13"/>
  <c r="EH54" i="13"/>
  <c r="EH55" i="13"/>
  <c r="EH56" i="13"/>
  <c r="EH57" i="13"/>
  <c r="EH58" i="13"/>
  <c r="EH59" i="13"/>
  <c r="EH60" i="13"/>
  <c r="EH61" i="13"/>
  <c r="EH62" i="13"/>
  <c r="EH63" i="13"/>
  <c r="EH64" i="13"/>
  <c r="EH65" i="13"/>
  <c r="EH66" i="13"/>
  <c r="EH67" i="13"/>
  <c r="EH68" i="13"/>
  <c r="EH69" i="13"/>
  <c r="EH70" i="13"/>
  <c r="EH71" i="13"/>
  <c r="EH72" i="13"/>
  <c r="EH73" i="13"/>
  <c r="EH74" i="13"/>
  <c r="EH75" i="13"/>
  <c r="EH76" i="13"/>
  <c r="EH77" i="13"/>
  <c r="EH78" i="13"/>
  <c r="EH79" i="13"/>
  <c r="EH80" i="13"/>
  <c r="EH81" i="13"/>
  <c r="EH82" i="13"/>
  <c r="EH83" i="13"/>
  <c r="EH84" i="13"/>
  <c r="EH85" i="13"/>
  <c r="EH86" i="13"/>
  <c r="EH87" i="13"/>
  <c r="EH88" i="13"/>
  <c r="EH89" i="13"/>
  <c r="EH90" i="13"/>
  <c r="EH91" i="13"/>
  <c r="EH92" i="13"/>
  <c r="EH93" i="13"/>
  <c r="EH94" i="13"/>
  <c r="EH95" i="13"/>
  <c r="EH96" i="13"/>
  <c r="EH97" i="13"/>
  <c r="EH98" i="13"/>
  <c r="EH99" i="13"/>
  <c r="EH100" i="13"/>
  <c r="EH101" i="13"/>
  <c r="EG3" i="13"/>
  <c r="EG4" i="13"/>
  <c r="EG5" i="13"/>
  <c r="EG6" i="13"/>
  <c r="EG7" i="13"/>
  <c r="EG8" i="13"/>
  <c r="EG9" i="13"/>
  <c r="EG10" i="13"/>
  <c r="EG11" i="13"/>
  <c r="EG12" i="13"/>
  <c r="EG13" i="13"/>
  <c r="EG14" i="13"/>
  <c r="EG15" i="13"/>
  <c r="EG16" i="13"/>
  <c r="EG17" i="13"/>
  <c r="EG18" i="13"/>
  <c r="EG19" i="13"/>
  <c r="EG20" i="13"/>
  <c r="EG21" i="13"/>
  <c r="EG22" i="13"/>
  <c r="EG23" i="13"/>
  <c r="EG24" i="13"/>
  <c r="EG25" i="13"/>
  <c r="EG26" i="13"/>
  <c r="EG27" i="13"/>
  <c r="EG28" i="13"/>
  <c r="EG29" i="13"/>
  <c r="EG30" i="13"/>
  <c r="EG31" i="13"/>
  <c r="EG32" i="13"/>
  <c r="EG33" i="13"/>
  <c r="EG34" i="13"/>
  <c r="EG35" i="13"/>
  <c r="EG36" i="13"/>
  <c r="EG37" i="13"/>
  <c r="EG38" i="13"/>
  <c r="EG39" i="13"/>
  <c r="EG40" i="13"/>
  <c r="EG41" i="13"/>
  <c r="EG42" i="13"/>
  <c r="EG43" i="13"/>
  <c r="EG44" i="13"/>
  <c r="EG45" i="13"/>
  <c r="EG46" i="13"/>
  <c r="EG47" i="13"/>
  <c r="EG48" i="13"/>
  <c r="EG49" i="13"/>
  <c r="EG50" i="13"/>
  <c r="EG51" i="13"/>
  <c r="EG52" i="13"/>
  <c r="EG53" i="13"/>
  <c r="EG54" i="13"/>
  <c r="EG55" i="13"/>
  <c r="EG56" i="13"/>
  <c r="EG57" i="13"/>
  <c r="EG58" i="13"/>
  <c r="EG59" i="13"/>
  <c r="EG60" i="13"/>
  <c r="EG61" i="13"/>
  <c r="EG62" i="13"/>
  <c r="EG63" i="13"/>
  <c r="EG64" i="13"/>
  <c r="EG65" i="13"/>
  <c r="EG66" i="13"/>
  <c r="EG67" i="13"/>
  <c r="EG68" i="13"/>
  <c r="EG69" i="13"/>
  <c r="EG70" i="13"/>
  <c r="EG71" i="13"/>
  <c r="EG72" i="13"/>
  <c r="EG73" i="13"/>
  <c r="EG74" i="13"/>
  <c r="EG75" i="13"/>
  <c r="EG76" i="13"/>
  <c r="EG77" i="13"/>
  <c r="EG78" i="13"/>
  <c r="EG79" i="13"/>
  <c r="EG80" i="13"/>
  <c r="EG81" i="13"/>
  <c r="EG82" i="13"/>
  <c r="EG83" i="13"/>
  <c r="EG84" i="13"/>
  <c r="EG85" i="13"/>
  <c r="EG86" i="13"/>
  <c r="EG87" i="13"/>
  <c r="EG88" i="13"/>
  <c r="EG89" i="13"/>
  <c r="EG90" i="13"/>
  <c r="EG91" i="13"/>
  <c r="EG92" i="13"/>
  <c r="EG93" i="13"/>
  <c r="EG94" i="13"/>
  <c r="EG95" i="13"/>
  <c r="EG96" i="13"/>
  <c r="EG97" i="13"/>
  <c r="EG98" i="13"/>
  <c r="EG99" i="13"/>
  <c r="EG100" i="13"/>
  <c r="EG101" i="13"/>
  <c r="EF3" i="13"/>
  <c r="EF4" i="13"/>
  <c r="EF5" i="13"/>
  <c r="EF6" i="13"/>
  <c r="EF7" i="13"/>
  <c r="EF8" i="13"/>
  <c r="EF9" i="13"/>
  <c r="EF10" i="13"/>
  <c r="EF11" i="13"/>
  <c r="EF12" i="13"/>
  <c r="EF13" i="13"/>
  <c r="EF14" i="13"/>
  <c r="EF15" i="13"/>
  <c r="EF16" i="13"/>
  <c r="EF17" i="13"/>
  <c r="EF18" i="13"/>
  <c r="EF19" i="13"/>
  <c r="EF20" i="13"/>
  <c r="EF21" i="13"/>
  <c r="EF22" i="13"/>
  <c r="EF23" i="13"/>
  <c r="EF24" i="13"/>
  <c r="EF25" i="13"/>
  <c r="EF26" i="13"/>
  <c r="EF27" i="13"/>
  <c r="EF28" i="13"/>
  <c r="EF29" i="13"/>
  <c r="EF30" i="13"/>
  <c r="EF31" i="13"/>
  <c r="EF32" i="13"/>
  <c r="EF33" i="13"/>
  <c r="EF34" i="13"/>
  <c r="EF35" i="13"/>
  <c r="EF36" i="13"/>
  <c r="EF37" i="13"/>
  <c r="EF38" i="13"/>
  <c r="EF39" i="13"/>
  <c r="EF40" i="13"/>
  <c r="EF41" i="13"/>
  <c r="EF42" i="13"/>
  <c r="EF43" i="13"/>
  <c r="EF44" i="13"/>
  <c r="EF45" i="13"/>
  <c r="EF46" i="13"/>
  <c r="EF47" i="13"/>
  <c r="EF48" i="13"/>
  <c r="EF49" i="13"/>
  <c r="EF50" i="13"/>
  <c r="EF51" i="13"/>
  <c r="EF52" i="13"/>
  <c r="EF53" i="13"/>
  <c r="EF54" i="13"/>
  <c r="EF55" i="13"/>
  <c r="EF56" i="13"/>
  <c r="EF57" i="13"/>
  <c r="EF58" i="13"/>
  <c r="EF59" i="13"/>
  <c r="EF60" i="13"/>
  <c r="EF61" i="13"/>
  <c r="EF62" i="13"/>
  <c r="EF63" i="13"/>
  <c r="EF64" i="13"/>
  <c r="EF65" i="13"/>
  <c r="EF66" i="13"/>
  <c r="EF67" i="13"/>
  <c r="EF68" i="13"/>
  <c r="EF69" i="13"/>
  <c r="EF70" i="13"/>
  <c r="EF71" i="13"/>
  <c r="EF72" i="13"/>
  <c r="EF73" i="13"/>
  <c r="EF74" i="13"/>
  <c r="EF75" i="13"/>
  <c r="EF76" i="13"/>
  <c r="EF77" i="13"/>
  <c r="EF78" i="13"/>
  <c r="EF79" i="13"/>
  <c r="EF80" i="13"/>
  <c r="EF81" i="13"/>
  <c r="EF82" i="13"/>
  <c r="EF83" i="13"/>
  <c r="EF84" i="13"/>
  <c r="EF85" i="13"/>
  <c r="EF86" i="13"/>
  <c r="EF87" i="13"/>
  <c r="EF88" i="13"/>
  <c r="EF89" i="13"/>
  <c r="EF90" i="13"/>
  <c r="EF91" i="13"/>
  <c r="EF92" i="13"/>
  <c r="EF93" i="13"/>
  <c r="EF94" i="13"/>
  <c r="EF95" i="13"/>
  <c r="EF96" i="13"/>
  <c r="EF97" i="13"/>
  <c r="EF98" i="13"/>
  <c r="EF99" i="13"/>
  <c r="EF100" i="13"/>
  <c r="EF101" i="13"/>
  <c r="EE3" i="13"/>
  <c r="EE4" i="13"/>
  <c r="EE5" i="13"/>
  <c r="EE6" i="13"/>
  <c r="EE7" i="13"/>
  <c r="EE8" i="13"/>
  <c r="EE9" i="13"/>
  <c r="EE10" i="13"/>
  <c r="EE11" i="13"/>
  <c r="EE12" i="13"/>
  <c r="EE13" i="13"/>
  <c r="EE14" i="13"/>
  <c r="EE15" i="13"/>
  <c r="EE16" i="13"/>
  <c r="EE17" i="13"/>
  <c r="EE18" i="13"/>
  <c r="EE19" i="13"/>
  <c r="EE20" i="13"/>
  <c r="EE21" i="13"/>
  <c r="EE22" i="13"/>
  <c r="EE23" i="13"/>
  <c r="EE24" i="13"/>
  <c r="EE25" i="13"/>
  <c r="EE26" i="13"/>
  <c r="EE27" i="13"/>
  <c r="EE28" i="13"/>
  <c r="EE29" i="13"/>
  <c r="EE30" i="13"/>
  <c r="EE31" i="13"/>
  <c r="EE32" i="13"/>
  <c r="EE33" i="13"/>
  <c r="EE34" i="13"/>
  <c r="EE35" i="13"/>
  <c r="EE36" i="13"/>
  <c r="EE37" i="13"/>
  <c r="EE38" i="13"/>
  <c r="EE39" i="13"/>
  <c r="EE40" i="13"/>
  <c r="EE41" i="13"/>
  <c r="EE42" i="13"/>
  <c r="EE43" i="13"/>
  <c r="EE44" i="13"/>
  <c r="EE45" i="13"/>
  <c r="EE46" i="13"/>
  <c r="EE47" i="13"/>
  <c r="EE48" i="13"/>
  <c r="EE49" i="13"/>
  <c r="EE50" i="13"/>
  <c r="EE51" i="13"/>
  <c r="EE52" i="13"/>
  <c r="EE53" i="13"/>
  <c r="EE54" i="13"/>
  <c r="EE55" i="13"/>
  <c r="EE56" i="13"/>
  <c r="EE57" i="13"/>
  <c r="EE58" i="13"/>
  <c r="EE59" i="13"/>
  <c r="EE60" i="13"/>
  <c r="EE61" i="13"/>
  <c r="EE62" i="13"/>
  <c r="EE63" i="13"/>
  <c r="EE64" i="13"/>
  <c r="EE65" i="13"/>
  <c r="EE66" i="13"/>
  <c r="EE67" i="13"/>
  <c r="EE68" i="13"/>
  <c r="EE69" i="13"/>
  <c r="EE70" i="13"/>
  <c r="EE71" i="13"/>
  <c r="EE72" i="13"/>
  <c r="EE73" i="13"/>
  <c r="EE74" i="13"/>
  <c r="EE75" i="13"/>
  <c r="EE76" i="13"/>
  <c r="EE77" i="13"/>
  <c r="EE78" i="13"/>
  <c r="EE79" i="13"/>
  <c r="EE80" i="13"/>
  <c r="EE81" i="13"/>
  <c r="EE82" i="13"/>
  <c r="EE83" i="13"/>
  <c r="EE84" i="13"/>
  <c r="EE85" i="13"/>
  <c r="EE86" i="13"/>
  <c r="EE87" i="13"/>
  <c r="EE88" i="13"/>
  <c r="EE89" i="13"/>
  <c r="EE90" i="13"/>
  <c r="EE91" i="13"/>
  <c r="EE92" i="13"/>
  <c r="EE93" i="13"/>
  <c r="EE94" i="13"/>
  <c r="EE95" i="13"/>
  <c r="EE96" i="13"/>
  <c r="EE97" i="13"/>
  <c r="EE98" i="13"/>
  <c r="EE99" i="13"/>
  <c r="EE100" i="13"/>
  <c r="EE101" i="13"/>
  <c r="ED3" i="13"/>
  <c r="ED4" i="13"/>
  <c r="ED5" i="13"/>
  <c r="ED6" i="13"/>
  <c r="ED7" i="13"/>
  <c r="ED8" i="13"/>
  <c r="ED9" i="13"/>
  <c r="ED10" i="13"/>
  <c r="ED11" i="13"/>
  <c r="ED12" i="13"/>
  <c r="ED13" i="13"/>
  <c r="ED14" i="13"/>
  <c r="ED15" i="13"/>
  <c r="ED16" i="13"/>
  <c r="ED17" i="13"/>
  <c r="ED18" i="13"/>
  <c r="ED19" i="13"/>
  <c r="ED20" i="13"/>
  <c r="ED21" i="13"/>
  <c r="ED22" i="13"/>
  <c r="ED23" i="13"/>
  <c r="ED24" i="13"/>
  <c r="ED25" i="13"/>
  <c r="ED26" i="13"/>
  <c r="ED27" i="13"/>
  <c r="ED28" i="13"/>
  <c r="ED29" i="13"/>
  <c r="ED30" i="13"/>
  <c r="ED31" i="13"/>
  <c r="ED32" i="13"/>
  <c r="ED33" i="13"/>
  <c r="ED34" i="13"/>
  <c r="ED35" i="13"/>
  <c r="ED36" i="13"/>
  <c r="ED37" i="13"/>
  <c r="ED38" i="13"/>
  <c r="ED39" i="13"/>
  <c r="ED40" i="13"/>
  <c r="ED41" i="13"/>
  <c r="ED42" i="13"/>
  <c r="ED43" i="13"/>
  <c r="ED44" i="13"/>
  <c r="ED45" i="13"/>
  <c r="ED46" i="13"/>
  <c r="ED47" i="13"/>
  <c r="ED48" i="13"/>
  <c r="ED49" i="13"/>
  <c r="ED50" i="13"/>
  <c r="ED51" i="13"/>
  <c r="ED52" i="13"/>
  <c r="ED53" i="13"/>
  <c r="ED54" i="13"/>
  <c r="ED55" i="13"/>
  <c r="ED56" i="13"/>
  <c r="ED57" i="13"/>
  <c r="ED58" i="13"/>
  <c r="ED59" i="13"/>
  <c r="ED60" i="13"/>
  <c r="ED61" i="13"/>
  <c r="ED62" i="13"/>
  <c r="ED63" i="13"/>
  <c r="ED64" i="13"/>
  <c r="ED65" i="13"/>
  <c r="ED66" i="13"/>
  <c r="ED67" i="13"/>
  <c r="ED68" i="13"/>
  <c r="ED69" i="13"/>
  <c r="ED70" i="13"/>
  <c r="ED71" i="13"/>
  <c r="ED72" i="13"/>
  <c r="ED73" i="13"/>
  <c r="ED74" i="13"/>
  <c r="ED75" i="13"/>
  <c r="ED76" i="13"/>
  <c r="ED77" i="13"/>
  <c r="ED78" i="13"/>
  <c r="ED79" i="13"/>
  <c r="ED80" i="13"/>
  <c r="ED81" i="13"/>
  <c r="ED82" i="13"/>
  <c r="ED83" i="13"/>
  <c r="ED84" i="13"/>
  <c r="ED85" i="13"/>
  <c r="ED86" i="13"/>
  <c r="ED87" i="13"/>
  <c r="ED88" i="13"/>
  <c r="ED89" i="13"/>
  <c r="ED90" i="13"/>
  <c r="ED91" i="13"/>
  <c r="ED92" i="13"/>
  <c r="ED93" i="13"/>
  <c r="ED94" i="13"/>
  <c r="ED95" i="13"/>
  <c r="ED96" i="13"/>
  <c r="ED97" i="13"/>
  <c r="ED98" i="13"/>
  <c r="ED99" i="13"/>
  <c r="ED100" i="13"/>
  <c r="ED101" i="13"/>
  <c r="EC3" i="13"/>
  <c r="EC4" i="13"/>
  <c r="EC5" i="13"/>
  <c r="EC6" i="13"/>
  <c r="EC7" i="13"/>
  <c r="EC8" i="13"/>
  <c r="EC9" i="13"/>
  <c r="EC10" i="13"/>
  <c r="EC11" i="13"/>
  <c r="EC12" i="13"/>
  <c r="EC13" i="13"/>
  <c r="EC14" i="13"/>
  <c r="EC15" i="13"/>
  <c r="EC16" i="13"/>
  <c r="EC17" i="13"/>
  <c r="EC18" i="13"/>
  <c r="EC19" i="13"/>
  <c r="EC20" i="13"/>
  <c r="EC21" i="13"/>
  <c r="EC22" i="13"/>
  <c r="EC23" i="13"/>
  <c r="EC24" i="13"/>
  <c r="EC25" i="13"/>
  <c r="EC26" i="13"/>
  <c r="EC27" i="13"/>
  <c r="EC28" i="13"/>
  <c r="EC29" i="13"/>
  <c r="EC30" i="13"/>
  <c r="EC31" i="13"/>
  <c r="EC32" i="13"/>
  <c r="EC33" i="13"/>
  <c r="EC34" i="13"/>
  <c r="EC35" i="13"/>
  <c r="EC36" i="13"/>
  <c r="EC37" i="13"/>
  <c r="EC38" i="13"/>
  <c r="EC39" i="13"/>
  <c r="EC40" i="13"/>
  <c r="EC41" i="13"/>
  <c r="EC42" i="13"/>
  <c r="EC43" i="13"/>
  <c r="EC44" i="13"/>
  <c r="EC45" i="13"/>
  <c r="EC46" i="13"/>
  <c r="EC47" i="13"/>
  <c r="EC48" i="13"/>
  <c r="EC49" i="13"/>
  <c r="EC50" i="13"/>
  <c r="EC51" i="13"/>
  <c r="EC52" i="13"/>
  <c r="EC53" i="13"/>
  <c r="EC54" i="13"/>
  <c r="EC55" i="13"/>
  <c r="EC56" i="13"/>
  <c r="EC57" i="13"/>
  <c r="EC58" i="13"/>
  <c r="EC59" i="13"/>
  <c r="EC60" i="13"/>
  <c r="EC61" i="13"/>
  <c r="EC62" i="13"/>
  <c r="EC63" i="13"/>
  <c r="EC64" i="13"/>
  <c r="EC65" i="13"/>
  <c r="EC66" i="13"/>
  <c r="EC67" i="13"/>
  <c r="EC68" i="13"/>
  <c r="EC69" i="13"/>
  <c r="EC70" i="13"/>
  <c r="EC71" i="13"/>
  <c r="EC72" i="13"/>
  <c r="EC73" i="13"/>
  <c r="EC74" i="13"/>
  <c r="EC75" i="13"/>
  <c r="EC76" i="13"/>
  <c r="EC77" i="13"/>
  <c r="EC78" i="13"/>
  <c r="EC79" i="13"/>
  <c r="EC80" i="13"/>
  <c r="EC81" i="13"/>
  <c r="EC82" i="13"/>
  <c r="EC83" i="13"/>
  <c r="EC84" i="13"/>
  <c r="EC85" i="13"/>
  <c r="EC86" i="13"/>
  <c r="EC87" i="13"/>
  <c r="EC88" i="13"/>
  <c r="EC89" i="13"/>
  <c r="EC90" i="13"/>
  <c r="EC91" i="13"/>
  <c r="EC92" i="13"/>
  <c r="EC93" i="13"/>
  <c r="EC94" i="13"/>
  <c r="EC95" i="13"/>
  <c r="EC96" i="13"/>
  <c r="EC97" i="13"/>
  <c r="EC98" i="13"/>
  <c r="EC99" i="13"/>
  <c r="EC100" i="13"/>
  <c r="EC101" i="13"/>
  <c r="EB3" i="13"/>
  <c r="EB4" i="13"/>
  <c r="EB5" i="13"/>
  <c r="EB6" i="13"/>
  <c r="EB7" i="13"/>
  <c r="EB8" i="13"/>
  <c r="EB9" i="13"/>
  <c r="EB10" i="13"/>
  <c r="EB11" i="13"/>
  <c r="EB12" i="13"/>
  <c r="EB13" i="13"/>
  <c r="EB14" i="13"/>
  <c r="EB15" i="13"/>
  <c r="EB16" i="13"/>
  <c r="EB17" i="13"/>
  <c r="EB18" i="13"/>
  <c r="EB19" i="13"/>
  <c r="EB20" i="13"/>
  <c r="EB21" i="13"/>
  <c r="EB22" i="13"/>
  <c r="EB23" i="13"/>
  <c r="EB24" i="13"/>
  <c r="EB25" i="13"/>
  <c r="EB26" i="13"/>
  <c r="EB27" i="13"/>
  <c r="EB28" i="13"/>
  <c r="EB29" i="13"/>
  <c r="EB30" i="13"/>
  <c r="EB31" i="13"/>
  <c r="EB32" i="13"/>
  <c r="EB33" i="13"/>
  <c r="EB34" i="13"/>
  <c r="EB35" i="13"/>
  <c r="EB36" i="13"/>
  <c r="EB37" i="13"/>
  <c r="EB38" i="13"/>
  <c r="EB39" i="13"/>
  <c r="EB40" i="13"/>
  <c r="EB41" i="13"/>
  <c r="EB42" i="13"/>
  <c r="EB43" i="13"/>
  <c r="EB44" i="13"/>
  <c r="EB45" i="13"/>
  <c r="EB46" i="13"/>
  <c r="EB47" i="13"/>
  <c r="EB48" i="13"/>
  <c r="EB49" i="13"/>
  <c r="EB50" i="13"/>
  <c r="EB51" i="13"/>
  <c r="EB52" i="13"/>
  <c r="EB53" i="13"/>
  <c r="EB54" i="13"/>
  <c r="EB55" i="13"/>
  <c r="EB56" i="13"/>
  <c r="EB57" i="13"/>
  <c r="EB58" i="13"/>
  <c r="EB59" i="13"/>
  <c r="EB60" i="13"/>
  <c r="EB61" i="13"/>
  <c r="EB62" i="13"/>
  <c r="EB63" i="13"/>
  <c r="EB64" i="13"/>
  <c r="EB65" i="13"/>
  <c r="EB66" i="13"/>
  <c r="EB67" i="13"/>
  <c r="EB68" i="13"/>
  <c r="EB69" i="13"/>
  <c r="EB70" i="13"/>
  <c r="EB71" i="13"/>
  <c r="EB72" i="13"/>
  <c r="EB73" i="13"/>
  <c r="EB74" i="13"/>
  <c r="EB75" i="13"/>
  <c r="EB76" i="13"/>
  <c r="EB77" i="13"/>
  <c r="EB78" i="13"/>
  <c r="EB79" i="13"/>
  <c r="EB80" i="13"/>
  <c r="EB81" i="13"/>
  <c r="EB82" i="13"/>
  <c r="EB83" i="13"/>
  <c r="EB84" i="13"/>
  <c r="EB85" i="13"/>
  <c r="EB86" i="13"/>
  <c r="EB87" i="13"/>
  <c r="EB88" i="13"/>
  <c r="EB89" i="13"/>
  <c r="EB90" i="13"/>
  <c r="EB91" i="13"/>
  <c r="EB92" i="13"/>
  <c r="EB93" i="13"/>
  <c r="EB94" i="13"/>
  <c r="EB95" i="13"/>
  <c r="EB96" i="13"/>
  <c r="EB97" i="13"/>
  <c r="EB98" i="13"/>
  <c r="EB99" i="13"/>
  <c r="EB100" i="13"/>
  <c r="EB101" i="13"/>
  <c r="EA3" i="13"/>
  <c r="EA4" i="13"/>
  <c r="EA5" i="13"/>
  <c r="EA6" i="13"/>
  <c r="EA7" i="13"/>
  <c r="EA8" i="13"/>
  <c r="EA9" i="13"/>
  <c r="EA10" i="13"/>
  <c r="EA11" i="13"/>
  <c r="EA12" i="13"/>
  <c r="EA13" i="13"/>
  <c r="EA14" i="13"/>
  <c r="EA15" i="13"/>
  <c r="EA16" i="13"/>
  <c r="EA17" i="13"/>
  <c r="EA18" i="13"/>
  <c r="EA19" i="13"/>
  <c r="EA20" i="13"/>
  <c r="EA21" i="13"/>
  <c r="EA22" i="13"/>
  <c r="EA23" i="13"/>
  <c r="EA24" i="13"/>
  <c r="EA25" i="13"/>
  <c r="EA26" i="13"/>
  <c r="EA27" i="13"/>
  <c r="EA28" i="13"/>
  <c r="EA29" i="13"/>
  <c r="EA30" i="13"/>
  <c r="EA31" i="13"/>
  <c r="EA32" i="13"/>
  <c r="EA33" i="13"/>
  <c r="EA34" i="13"/>
  <c r="EA35" i="13"/>
  <c r="EA36" i="13"/>
  <c r="EA37" i="13"/>
  <c r="EA38" i="13"/>
  <c r="EA39" i="13"/>
  <c r="EA40" i="13"/>
  <c r="EA41" i="13"/>
  <c r="EA42" i="13"/>
  <c r="EA43" i="13"/>
  <c r="EA44" i="13"/>
  <c r="EA45" i="13"/>
  <c r="EA46" i="13"/>
  <c r="EA47" i="13"/>
  <c r="EA48" i="13"/>
  <c r="EA49" i="13"/>
  <c r="EA50" i="13"/>
  <c r="EA51" i="13"/>
  <c r="EA52" i="13"/>
  <c r="EA53" i="13"/>
  <c r="EA54" i="13"/>
  <c r="EA55" i="13"/>
  <c r="EA56" i="13"/>
  <c r="EA57" i="13"/>
  <c r="EA58" i="13"/>
  <c r="EA59" i="13"/>
  <c r="EA60" i="13"/>
  <c r="EA61" i="13"/>
  <c r="EA62" i="13"/>
  <c r="EA63" i="13"/>
  <c r="EA64" i="13"/>
  <c r="EA65" i="13"/>
  <c r="EA66" i="13"/>
  <c r="EA67" i="13"/>
  <c r="EA68" i="13"/>
  <c r="EA69" i="13"/>
  <c r="EA70" i="13"/>
  <c r="EA71" i="13"/>
  <c r="EA72" i="13"/>
  <c r="EA73" i="13"/>
  <c r="EA74" i="13"/>
  <c r="EA75" i="13"/>
  <c r="EA76" i="13"/>
  <c r="EA77" i="13"/>
  <c r="EA78" i="13"/>
  <c r="EA79" i="13"/>
  <c r="EA80" i="13"/>
  <c r="EA81" i="13"/>
  <c r="EA82" i="13"/>
  <c r="EA83" i="13"/>
  <c r="EA84" i="13"/>
  <c r="EA85" i="13"/>
  <c r="EA86" i="13"/>
  <c r="EA87" i="13"/>
  <c r="EA88" i="13"/>
  <c r="EA89" i="13"/>
  <c r="EA90" i="13"/>
  <c r="EA91" i="13"/>
  <c r="EA92" i="13"/>
  <c r="EA93" i="13"/>
  <c r="EA94" i="13"/>
  <c r="EA95" i="13"/>
  <c r="EA96" i="13"/>
  <c r="EA97" i="13"/>
  <c r="EA98" i="13"/>
  <c r="EA99" i="13"/>
  <c r="EA100" i="13"/>
  <c r="EA101" i="13"/>
  <c r="DZ3" i="13"/>
  <c r="DZ4" i="13"/>
  <c r="DZ5" i="13"/>
  <c r="DZ6" i="13"/>
  <c r="DZ7" i="13"/>
  <c r="DZ8" i="13"/>
  <c r="DZ9" i="13"/>
  <c r="DZ10" i="13"/>
  <c r="DZ11" i="13"/>
  <c r="DZ12" i="13"/>
  <c r="DZ13" i="13"/>
  <c r="DZ14" i="13"/>
  <c r="DZ15" i="13"/>
  <c r="DZ16" i="13"/>
  <c r="DZ17" i="13"/>
  <c r="DZ18" i="13"/>
  <c r="DZ19" i="13"/>
  <c r="DZ20" i="13"/>
  <c r="DZ21" i="13"/>
  <c r="DZ22" i="13"/>
  <c r="DZ23" i="13"/>
  <c r="DZ24" i="13"/>
  <c r="DZ25" i="13"/>
  <c r="DZ26" i="13"/>
  <c r="DZ27" i="13"/>
  <c r="DZ28" i="13"/>
  <c r="DZ29" i="13"/>
  <c r="DZ30" i="13"/>
  <c r="DZ31" i="13"/>
  <c r="DZ32" i="13"/>
  <c r="DZ33" i="13"/>
  <c r="DZ34" i="13"/>
  <c r="DZ35" i="13"/>
  <c r="DZ36" i="13"/>
  <c r="DZ37" i="13"/>
  <c r="DZ38" i="13"/>
  <c r="DZ39" i="13"/>
  <c r="DZ40" i="13"/>
  <c r="DZ41" i="13"/>
  <c r="DZ42" i="13"/>
  <c r="DZ43" i="13"/>
  <c r="DZ44" i="13"/>
  <c r="DZ45" i="13"/>
  <c r="DZ46" i="13"/>
  <c r="DZ47" i="13"/>
  <c r="DZ48" i="13"/>
  <c r="DZ49" i="13"/>
  <c r="DZ50" i="13"/>
  <c r="DZ51" i="13"/>
  <c r="DZ52" i="13"/>
  <c r="DZ53" i="13"/>
  <c r="DZ54" i="13"/>
  <c r="DZ55" i="13"/>
  <c r="DZ56" i="13"/>
  <c r="DZ57" i="13"/>
  <c r="DZ58" i="13"/>
  <c r="DZ59" i="13"/>
  <c r="DZ60" i="13"/>
  <c r="DZ61" i="13"/>
  <c r="DZ62" i="13"/>
  <c r="DZ63" i="13"/>
  <c r="DZ64" i="13"/>
  <c r="DZ65" i="13"/>
  <c r="DZ66" i="13"/>
  <c r="DZ67" i="13"/>
  <c r="DZ68" i="13"/>
  <c r="DZ69" i="13"/>
  <c r="DZ70" i="13"/>
  <c r="DZ71" i="13"/>
  <c r="DZ72" i="13"/>
  <c r="DZ73" i="13"/>
  <c r="DZ74" i="13"/>
  <c r="DZ75" i="13"/>
  <c r="DZ76" i="13"/>
  <c r="DZ77" i="13"/>
  <c r="DZ78" i="13"/>
  <c r="DZ79" i="13"/>
  <c r="DZ80" i="13"/>
  <c r="DZ81" i="13"/>
  <c r="DZ82" i="13"/>
  <c r="DZ83" i="13"/>
  <c r="DZ84" i="13"/>
  <c r="DZ85" i="13"/>
  <c r="DZ86" i="13"/>
  <c r="DZ87" i="13"/>
  <c r="DZ88" i="13"/>
  <c r="DZ89" i="13"/>
  <c r="DZ90" i="13"/>
  <c r="DZ91" i="13"/>
  <c r="DZ92" i="13"/>
  <c r="DZ93" i="13"/>
  <c r="DZ94" i="13"/>
  <c r="DZ95" i="13"/>
  <c r="DZ96" i="13"/>
  <c r="DZ97" i="13"/>
  <c r="DZ98" i="13"/>
  <c r="DZ99" i="13"/>
  <c r="DZ100" i="13"/>
  <c r="DZ101" i="13"/>
  <c r="DY3" i="13"/>
  <c r="DY4" i="13"/>
  <c r="DY5" i="13"/>
  <c r="DY6" i="13"/>
  <c r="DY7" i="13"/>
  <c r="DY8" i="13"/>
  <c r="DY9" i="13"/>
  <c r="DY10" i="13"/>
  <c r="DY11" i="13"/>
  <c r="DY12" i="13"/>
  <c r="DY13" i="13"/>
  <c r="DY14" i="13"/>
  <c r="DY15" i="13"/>
  <c r="DY16" i="13"/>
  <c r="DY17" i="13"/>
  <c r="DY18" i="13"/>
  <c r="DY19" i="13"/>
  <c r="DY20" i="13"/>
  <c r="DY21" i="13"/>
  <c r="DY22" i="13"/>
  <c r="DY23" i="13"/>
  <c r="DY24" i="13"/>
  <c r="DY25" i="13"/>
  <c r="DY26" i="13"/>
  <c r="DY27" i="13"/>
  <c r="DY28" i="13"/>
  <c r="DY29" i="13"/>
  <c r="DY30" i="13"/>
  <c r="DY31" i="13"/>
  <c r="DY32" i="13"/>
  <c r="DY33" i="13"/>
  <c r="DY34" i="13"/>
  <c r="DY35" i="13"/>
  <c r="DY36" i="13"/>
  <c r="DY37" i="13"/>
  <c r="DY38" i="13"/>
  <c r="DY39" i="13"/>
  <c r="DY40" i="13"/>
  <c r="DY41" i="13"/>
  <c r="DY42" i="13"/>
  <c r="DY43" i="13"/>
  <c r="DY44" i="13"/>
  <c r="DY45" i="13"/>
  <c r="DY46" i="13"/>
  <c r="DY47" i="13"/>
  <c r="DY48" i="13"/>
  <c r="DY49" i="13"/>
  <c r="DY50" i="13"/>
  <c r="DY51" i="13"/>
  <c r="DY52" i="13"/>
  <c r="DY53" i="13"/>
  <c r="DY54" i="13"/>
  <c r="DY55" i="13"/>
  <c r="DY56" i="13"/>
  <c r="DY57" i="13"/>
  <c r="DY58" i="13"/>
  <c r="DY59" i="13"/>
  <c r="DY60" i="13"/>
  <c r="DY61" i="13"/>
  <c r="DY62" i="13"/>
  <c r="DY63" i="13"/>
  <c r="DY64" i="13"/>
  <c r="DY65" i="13"/>
  <c r="DY66" i="13"/>
  <c r="DY67" i="13"/>
  <c r="DY68" i="13"/>
  <c r="DY69" i="13"/>
  <c r="DY70" i="13"/>
  <c r="DY71" i="13"/>
  <c r="DY72" i="13"/>
  <c r="DY73" i="13"/>
  <c r="DY74" i="13"/>
  <c r="DY75" i="13"/>
  <c r="DY76" i="13"/>
  <c r="DY77" i="13"/>
  <c r="DY78" i="13"/>
  <c r="DY79" i="13"/>
  <c r="DY80" i="13"/>
  <c r="DY81" i="13"/>
  <c r="DY82" i="13"/>
  <c r="DY83" i="13"/>
  <c r="DY84" i="13"/>
  <c r="DY85" i="13"/>
  <c r="DY86" i="13"/>
  <c r="DY87" i="13"/>
  <c r="DY88" i="13"/>
  <c r="DY89" i="13"/>
  <c r="DY90" i="13"/>
  <c r="DY91" i="13"/>
  <c r="DY92" i="13"/>
  <c r="DY93" i="13"/>
  <c r="DY94" i="13"/>
  <c r="DY95" i="13"/>
  <c r="DY96" i="13"/>
  <c r="DY97" i="13"/>
  <c r="DY98" i="13"/>
  <c r="DY99" i="13"/>
  <c r="DY100" i="13"/>
  <c r="DY101" i="13"/>
  <c r="DX3" i="13"/>
  <c r="DX4" i="13"/>
  <c r="DX5" i="13"/>
  <c r="DX6" i="13"/>
  <c r="DX7" i="13"/>
  <c r="DX8" i="13"/>
  <c r="DX9" i="13"/>
  <c r="DX10" i="13"/>
  <c r="DX11" i="13"/>
  <c r="DX12" i="13"/>
  <c r="DX13" i="13"/>
  <c r="DX14" i="13"/>
  <c r="DX15" i="13"/>
  <c r="DX16" i="13"/>
  <c r="DX17" i="13"/>
  <c r="DX18" i="13"/>
  <c r="DX19" i="13"/>
  <c r="DX20" i="13"/>
  <c r="DX21" i="13"/>
  <c r="DX22" i="13"/>
  <c r="DX23" i="13"/>
  <c r="DX24" i="13"/>
  <c r="DX25" i="13"/>
  <c r="DX26" i="13"/>
  <c r="DX27" i="13"/>
  <c r="DX28" i="13"/>
  <c r="DX29" i="13"/>
  <c r="DX30" i="13"/>
  <c r="DX31" i="13"/>
  <c r="DX32" i="13"/>
  <c r="DX33" i="13"/>
  <c r="DX34" i="13"/>
  <c r="DX35" i="13"/>
  <c r="DX36" i="13"/>
  <c r="DX37" i="13"/>
  <c r="DX38" i="13"/>
  <c r="DX39" i="13"/>
  <c r="DX40" i="13"/>
  <c r="DX41" i="13"/>
  <c r="DX42" i="13"/>
  <c r="DX43" i="13"/>
  <c r="DX44" i="13"/>
  <c r="DX45" i="13"/>
  <c r="DX46" i="13"/>
  <c r="DX47" i="13"/>
  <c r="DX48" i="13"/>
  <c r="DX49" i="13"/>
  <c r="DX50" i="13"/>
  <c r="DX51" i="13"/>
  <c r="DX52" i="13"/>
  <c r="DX53" i="13"/>
  <c r="DX54" i="13"/>
  <c r="DX55" i="13"/>
  <c r="DX56" i="13"/>
  <c r="DX57" i="13"/>
  <c r="DX58" i="13"/>
  <c r="DX59" i="13"/>
  <c r="DX60" i="13"/>
  <c r="DX61" i="13"/>
  <c r="DX62" i="13"/>
  <c r="DX63" i="13"/>
  <c r="DX64" i="13"/>
  <c r="DX65" i="13"/>
  <c r="DX66" i="13"/>
  <c r="DX67" i="13"/>
  <c r="DX68" i="13"/>
  <c r="DX69" i="13"/>
  <c r="DX70" i="13"/>
  <c r="DX71" i="13"/>
  <c r="DX72" i="13"/>
  <c r="DX73" i="13"/>
  <c r="DX74" i="13"/>
  <c r="DX75" i="13"/>
  <c r="DX76" i="13"/>
  <c r="DX77" i="13"/>
  <c r="DX78" i="13"/>
  <c r="DX79" i="13"/>
  <c r="DX80" i="13"/>
  <c r="DX81" i="13"/>
  <c r="DX82" i="13"/>
  <c r="DX83" i="13"/>
  <c r="DX84" i="13"/>
  <c r="DX85" i="13"/>
  <c r="DX86" i="13"/>
  <c r="DX87" i="13"/>
  <c r="DX88" i="13"/>
  <c r="DX89" i="13"/>
  <c r="DX90" i="13"/>
  <c r="DX91" i="13"/>
  <c r="DX92" i="13"/>
  <c r="DX93" i="13"/>
  <c r="DX94" i="13"/>
  <c r="DX95" i="13"/>
  <c r="DX96" i="13"/>
  <c r="DX97" i="13"/>
  <c r="DX98" i="13"/>
  <c r="DX99" i="13"/>
  <c r="DX100" i="13"/>
  <c r="DX101" i="13"/>
  <c r="DW3" i="13"/>
  <c r="DW4" i="13"/>
  <c r="DW5" i="13"/>
  <c r="DW6" i="13"/>
  <c r="DW7" i="13"/>
  <c r="DW8" i="13"/>
  <c r="DW9" i="13"/>
  <c r="DW10" i="13"/>
  <c r="DW11" i="13"/>
  <c r="DW12" i="13"/>
  <c r="DW13" i="13"/>
  <c r="DW14" i="13"/>
  <c r="DW15" i="13"/>
  <c r="DW16" i="13"/>
  <c r="DW17" i="13"/>
  <c r="DW18" i="13"/>
  <c r="DW19" i="13"/>
  <c r="DW20" i="13"/>
  <c r="DW21" i="13"/>
  <c r="DW22" i="13"/>
  <c r="DW23" i="13"/>
  <c r="DW24" i="13"/>
  <c r="DW25" i="13"/>
  <c r="DW26" i="13"/>
  <c r="DW27" i="13"/>
  <c r="DW28" i="13"/>
  <c r="DW29" i="13"/>
  <c r="DW30" i="13"/>
  <c r="DW31" i="13"/>
  <c r="DW32" i="13"/>
  <c r="DW33" i="13"/>
  <c r="DW34" i="13"/>
  <c r="DW35" i="13"/>
  <c r="DW36" i="13"/>
  <c r="DW37" i="13"/>
  <c r="DW38" i="13"/>
  <c r="DW39" i="13"/>
  <c r="DW40" i="13"/>
  <c r="DW41" i="13"/>
  <c r="DW42" i="13"/>
  <c r="DW43" i="13"/>
  <c r="DW44" i="13"/>
  <c r="DW45" i="13"/>
  <c r="DW46" i="13"/>
  <c r="DW47" i="13"/>
  <c r="DW48" i="13"/>
  <c r="DW49" i="13"/>
  <c r="DW50" i="13"/>
  <c r="DW51" i="13"/>
  <c r="DW52" i="13"/>
  <c r="DW53" i="13"/>
  <c r="DW54" i="13"/>
  <c r="DW55" i="13"/>
  <c r="DW56" i="13"/>
  <c r="DW57" i="13"/>
  <c r="DW58" i="13"/>
  <c r="DW59" i="13"/>
  <c r="DW60" i="13"/>
  <c r="DW61" i="13"/>
  <c r="DW62" i="13"/>
  <c r="DW63" i="13"/>
  <c r="DW64" i="13"/>
  <c r="DW65" i="13"/>
  <c r="DW66" i="13"/>
  <c r="DW67" i="13"/>
  <c r="DW68" i="13"/>
  <c r="DW69" i="13"/>
  <c r="DW70" i="13"/>
  <c r="DW71" i="13"/>
  <c r="DW72" i="13"/>
  <c r="DW73" i="13"/>
  <c r="DW74" i="13"/>
  <c r="DW75" i="13"/>
  <c r="DW76" i="13"/>
  <c r="DW77" i="13"/>
  <c r="DW78" i="13"/>
  <c r="DW79" i="13"/>
  <c r="DW80" i="13"/>
  <c r="DW81" i="13"/>
  <c r="DW82" i="13"/>
  <c r="DW83" i="13"/>
  <c r="DW84" i="13"/>
  <c r="DW85" i="13"/>
  <c r="DW86" i="13"/>
  <c r="DW87" i="13"/>
  <c r="DW88" i="13"/>
  <c r="DW89" i="13"/>
  <c r="DW90" i="13"/>
  <c r="DW91" i="13"/>
  <c r="DW92" i="13"/>
  <c r="DW93" i="13"/>
  <c r="DW94" i="13"/>
  <c r="DW95" i="13"/>
  <c r="DW96" i="13"/>
  <c r="DW97" i="13"/>
  <c r="DW98" i="13"/>
  <c r="DW99" i="13"/>
  <c r="DW100" i="13"/>
  <c r="DW101" i="13"/>
  <c r="EB2" i="13"/>
  <c r="EG2" i="13"/>
  <c r="EF2" i="13"/>
  <c r="EE2" i="13"/>
  <c r="ED2" i="13"/>
  <c r="EZ2" i="7"/>
  <c r="EC2" i="13"/>
  <c r="EA2" i="13"/>
  <c r="EW2" i="7"/>
  <c r="DZ2" i="13"/>
  <c r="EV2" i="7"/>
  <c r="DY2" i="13"/>
  <c r="EU2" i="7"/>
  <c r="DX2" i="13"/>
  <c r="ET2" i="7"/>
  <c r="DW2" i="13"/>
  <c r="DU3" i="13"/>
  <c r="DU4" i="13"/>
  <c r="DU5" i="13"/>
  <c r="DU6" i="13"/>
  <c r="DU7" i="13"/>
  <c r="DU8" i="13"/>
  <c r="DU9" i="13"/>
  <c r="DU10" i="13"/>
  <c r="DU11" i="13"/>
  <c r="DU12" i="13"/>
  <c r="DU13" i="13"/>
  <c r="DU14" i="13"/>
  <c r="DU15" i="13"/>
  <c r="DU16" i="13"/>
  <c r="DU17" i="13"/>
  <c r="DU18" i="13"/>
  <c r="DU19" i="13"/>
  <c r="DU20" i="13"/>
  <c r="DU21" i="13"/>
  <c r="DU22" i="13"/>
  <c r="DU23" i="13"/>
  <c r="DU24" i="13"/>
  <c r="DU25" i="13"/>
  <c r="DU26" i="13"/>
  <c r="DU27" i="13"/>
  <c r="DU28" i="13"/>
  <c r="DU29" i="13"/>
  <c r="DU30" i="13"/>
  <c r="DU31" i="13"/>
  <c r="DU32" i="13"/>
  <c r="DU33" i="13"/>
  <c r="DU34" i="13"/>
  <c r="DU35" i="13"/>
  <c r="DU36" i="13"/>
  <c r="DU37" i="13"/>
  <c r="DU38" i="13"/>
  <c r="DU39" i="13"/>
  <c r="DU40" i="13"/>
  <c r="DU41" i="13"/>
  <c r="DU42" i="13"/>
  <c r="DU43" i="13"/>
  <c r="DU44" i="13"/>
  <c r="DU45" i="13"/>
  <c r="DU46" i="13"/>
  <c r="DU47" i="13"/>
  <c r="DU48" i="13"/>
  <c r="DU49" i="13"/>
  <c r="DU50" i="13"/>
  <c r="DU51" i="13"/>
  <c r="DU52" i="13"/>
  <c r="DU53" i="13"/>
  <c r="DU54" i="13"/>
  <c r="DU55" i="13"/>
  <c r="DU56" i="13"/>
  <c r="DU57" i="13"/>
  <c r="DU58" i="13"/>
  <c r="DU59" i="13"/>
  <c r="DU60" i="13"/>
  <c r="DU61" i="13"/>
  <c r="DU62" i="13"/>
  <c r="DU63" i="13"/>
  <c r="DU64" i="13"/>
  <c r="DU65" i="13"/>
  <c r="DU66" i="13"/>
  <c r="DU67" i="13"/>
  <c r="DU68" i="13"/>
  <c r="DU69" i="13"/>
  <c r="DU70" i="13"/>
  <c r="DU71" i="13"/>
  <c r="DU72" i="13"/>
  <c r="DU73" i="13"/>
  <c r="DU74" i="13"/>
  <c r="DU75" i="13"/>
  <c r="DU76" i="13"/>
  <c r="DU77" i="13"/>
  <c r="DU78" i="13"/>
  <c r="DU79" i="13"/>
  <c r="DU80" i="13"/>
  <c r="DU81" i="13"/>
  <c r="DU82" i="13"/>
  <c r="DU83" i="13"/>
  <c r="DU84" i="13"/>
  <c r="DU85" i="13"/>
  <c r="DU86" i="13"/>
  <c r="DU87" i="13"/>
  <c r="DU88" i="13"/>
  <c r="DU89" i="13"/>
  <c r="DU90" i="13"/>
  <c r="DU91" i="13"/>
  <c r="DU92" i="13"/>
  <c r="DU93" i="13"/>
  <c r="DU94" i="13"/>
  <c r="DU95" i="13"/>
  <c r="DU96" i="13"/>
  <c r="DU97" i="13"/>
  <c r="DU98" i="13"/>
  <c r="DU99" i="13"/>
  <c r="DU100" i="13"/>
  <c r="DU101" i="13"/>
  <c r="DU2" i="13"/>
  <c r="DT3" i="13"/>
  <c r="DT4" i="13"/>
  <c r="DT5" i="13"/>
  <c r="DT6" i="13"/>
  <c r="DT7" i="13"/>
  <c r="DT8" i="13"/>
  <c r="DT9" i="13"/>
  <c r="DT10" i="13"/>
  <c r="DT11" i="13"/>
  <c r="DT12" i="13"/>
  <c r="DT13" i="13"/>
  <c r="DT14" i="13"/>
  <c r="DT15" i="13"/>
  <c r="DT16" i="13"/>
  <c r="DT17" i="13"/>
  <c r="DT18" i="13"/>
  <c r="DT19" i="13"/>
  <c r="DT20" i="13"/>
  <c r="DT21" i="13"/>
  <c r="DT22" i="13"/>
  <c r="DT23" i="13"/>
  <c r="DT24" i="13"/>
  <c r="DT25" i="13"/>
  <c r="DT26" i="13"/>
  <c r="DT27" i="13"/>
  <c r="DT28" i="13"/>
  <c r="DT29" i="13"/>
  <c r="DT30" i="13"/>
  <c r="DT31" i="13"/>
  <c r="DT32" i="13"/>
  <c r="DT33" i="13"/>
  <c r="DT34" i="13"/>
  <c r="DT35" i="13"/>
  <c r="DT36" i="13"/>
  <c r="DT37" i="13"/>
  <c r="DT38" i="13"/>
  <c r="DT39" i="13"/>
  <c r="DT40" i="13"/>
  <c r="DT41" i="13"/>
  <c r="DT42" i="13"/>
  <c r="DT43" i="13"/>
  <c r="DT44" i="13"/>
  <c r="DT45" i="13"/>
  <c r="DT46" i="13"/>
  <c r="DT47" i="13"/>
  <c r="DT48" i="13"/>
  <c r="DT49" i="13"/>
  <c r="DT50" i="13"/>
  <c r="DT51" i="13"/>
  <c r="DT52" i="13"/>
  <c r="DT53" i="13"/>
  <c r="DT54" i="13"/>
  <c r="DT55" i="13"/>
  <c r="DT56" i="13"/>
  <c r="DT57" i="13"/>
  <c r="DT58" i="13"/>
  <c r="DT59" i="13"/>
  <c r="DT60" i="13"/>
  <c r="DT61" i="13"/>
  <c r="DT62" i="13"/>
  <c r="DT63" i="13"/>
  <c r="DT64" i="13"/>
  <c r="DT65" i="13"/>
  <c r="DT66" i="13"/>
  <c r="DT67" i="13"/>
  <c r="DT68" i="13"/>
  <c r="DT69" i="13"/>
  <c r="DT70" i="13"/>
  <c r="DT71" i="13"/>
  <c r="DT72" i="13"/>
  <c r="DT73" i="13"/>
  <c r="DT74" i="13"/>
  <c r="DT75" i="13"/>
  <c r="DT76" i="13"/>
  <c r="DT77" i="13"/>
  <c r="DT78" i="13"/>
  <c r="DT79" i="13"/>
  <c r="DT80" i="13"/>
  <c r="DT81" i="13"/>
  <c r="DT82" i="13"/>
  <c r="DT83" i="13"/>
  <c r="DT84" i="13"/>
  <c r="DT85" i="13"/>
  <c r="DT86" i="13"/>
  <c r="DT87" i="13"/>
  <c r="DT88" i="13"/>
  <c r="DT89" i="13"/>
  <c r="DT90" i="13"/>
  <c r="DT91" i="13"/>
  <c r="DT92" i="13"/>
  <c r="DT93" i="13"/>
  <c r="DT94" i="13"/>
  <c r="DT95" i="13"/>
  <c r="DT96" i="13"/>
  <c r="DT97" i="13"/>
  <c r="DT98" i="13"/>
  <c r="DT99" i="13"/>
  <c r="DT100" i="13"/>
  <c r="DT101" i="13"/>
  <c r="DT2" i="13"/>
  <c r="ES2" i="7"/>
  <c r="DR4" i="13"/>
  <c r="DR5" i="13"/>
  <c r="DR6" i="13"/>
  <c r="DR7" i="13"/>
  <c r="DR8" i="13"/>
  <c r="DR9" i="13"/>
  <c r="DR10" i="13"/>
  <c r="DR11" i="13"/>
  <c r="DR12" i="13"/>
  <c r="DR13" i="13"/>
  <c r="DR14" i="13"/>
  <c r="DR15" i="13"/>
  <c r="DR16" i="13"/>
  <c r="DR17" i="13"/>
  <c r="DR18" i="13"/>
  <c r="DR19" i="13"/>
  <c r="DR20" i="13"/>
  <c r="DR21" i="13"/>
  <c r="DR22" i="13"/>
  <c r="DR23" i="13"/>
  <c r="DR24" i="13"/>
  <c r="DR25" i="13"/>
  <c r="DR26" i="13"/>
  <c r="DR27" i="13"/>
  <c r="DR28" i="13"/>
  <c r="DR29" i="13"/>
  <c r="DR30" i="13"/>
  <c r="DR31" i="13"/>
  <c r="DR32" i="13"/>
  <c r="DR33" i="13"/>
  <c r="DR34" i="13"/>
  <c r="DR35" i="13"/>
  <c r="DR36" i="13"/>
  <c r="DR37" i="13"/>
  <c r="DR38" i="13"/>
  <c r="DR39" i="13"/>
  <c r="DR40" i="13"/>
  <c r="DR41" i="13"/>
  <c r="DR42" i="13"/>
  <c r="DR43" i="13"/>
  <c r="DR44" i="13"/>
  <c r="DR45" i="13"/>
  <c r="DR46" i="13"/>
  <c r="DR47" i="13"/>
  <c r="DR48" i="13"/>
  <c r="DR49" i="13"/>
  <c r="DR50" i="13"/>
  <c r="DR51" i="13"/>
  <c r="DR52" i="13"/>
  <c r="DR53" i="13"/>
  <c r="DR54" i="13"/>
  <c r="DR55" i="13"/>
  <c r="DR56" i="13"/>
  <c r="DR57" i="13"/>
  <c r="DR58" i="13"/>
  <c r="DR59" i="13"/>
  <c r="DR60" i="13"/>
  <c r="DR61" i="13"/>
  <c r="DR62" i="13"/>
  <c r="DR63" i="13"/>
  <c r="DR64" i="13"/>
  <c r="DR65" i="13"/>
  <c r="DR66" i="13"/>
  <c r="DR67" i="13"/>
  <c r="DR68" i="13"/>
  <c r="DR69" i="13"/>
  <c r="DR70" i="13"/>
  <c r="DR71" i="13"/>
  <c r="DR72" i="13"/>
  <c r="DR73" i="13"/>
  <c r="DR74" i="13"/>
  <c r="DR75" i="13"/>
  <c r="DR76" i="13"/>
  <c r="DR77" i="13"/>
  <c r="DR78" i="13"/>
  <c r="DR79" i="13"/>
  <c r="DR80" i="13"/>
  <c r="DR81" i="13"/>
  <c r="DR82" i="13"/>
  <c r="DR83" i="13"/>
  <c r="DR84" i="13"/>
  <c r="DR85" i="13"/>
  <c r="DR86" i="13"/>
  <c r="DR87" i="13"/>
  <c r="DR88" i="13"/>
  <c r="DR89" i="13"/>
  <c r="DR90" i="13"/>
  <c r="DR91" i="13"/>
  <c r="DR92" i="13"/>
  <c r="DR93" i="13"/>
  <c r="DR94" i="13"/>
  <c r="DR95" i="13"/>
  <c r="DR96" i="13"/>
  <c r="DR97" i="13"/>
  <c r="DR98" i="13"/>
  <c r="DR99" i="13"/>
  <c r="DR100" i="13"/>
  <c r="DR101" i="13"/>
  <c r="DR2" i="13"/>
  <c r="DO4" i="13"/>
  <c r="DO5" i="13"/>
  <c r="DO6" i="13"/>
  <c r="DO7" i="13"/>
  <c r="DO8" i="13"/>
  <c r="DO9" i="13"/>
  <c r="DQ9" i="13" s="1"/>
  <c r="DO10" i="13"/>
  <c r="DQ10" i="13" s="1"/>
  <c r="DO11" i="13"/>
  <c r="DQ11" i="13" s="1"/>
  <c r="DO12" i="13"/>
  <c r="DO13" i="13"/>
  <c r="DQ13" i="13" s="1"/>
  <c r="DO14" i="13"/>
  <c r="DQ14" i="13" s="1"/>
  <c r="DO15" i="13"/>
  <c r="DQ15" i="13" s="1"/>
  <c r="DO16" i="13"/>
  <c r="DQ16" i="13" s="1"/>
  <c r="DO17" i="13"/>
  <c r="DQ17" i="13" s="1"/>
  <c r="DO18" i="13"/>
  <c r="DQ18" i="13" s="1"/>
  <c r="DO19" i="13"/>
  <c r="DQ19" i="13" s="1"/>
  <c r="DO20" i="13"/>
  <c r="DQ20" i="13" s="1"/>
  <c r="DO21" i="13"/>
  <c r="DQ21" i="13" s="1"/>
  <c r="DO22" i="13"/>
  <c r="DQ22" i="13" s="1"/>
  <c r="DO23" i="13"/>
  <c r="DO24" i="13"/>
  <c r="DO25" i="13"/>
  <c r="DO26" i="13"/>
  <c r="DO27" i="13"/>
  <c r="DQ27" i="13" s="1"/>
  <c r="DO28" i="13"/>
  <c r="DQ28" i="13" s="1"/>
  <c r="DO29" i="13"/>
  <c r="DO30" i="13"/>
  <c r="DO31" i="13"/>
  <c r="DO32" i="13"/>
  <c r="DO33" i="13"/>
  <c r="DO34" i="13"/>
  <c r="DO35" i="13"/>
  <c r="DO36" i="13"/>
  <c r="DO37" i="13"/>
  <c r="DO38" i="13"/>
  <c r="DQ38" i="13" s="1"/>
  <c r="DO39" i="13"/>
  <c r="DQ39" i="13" s="1"/>
  <c r="DO40" i="13"/>
  <c r="DQ40" i="13" s="1"/>
  <c r="DO41" i="13"/>
  <c r="DQ41" i="13" s="1"/>
  <c r="DO42" i="13"/>
  <c r="DQ42" i="13" s="1"/>
  <c r="DO43" i="13"/>
  <c r="DO44" i="13"/>
  <c r="DO45" i="13"/>
  <c r="DO46" i="13"/>
  <c r="DO47" i="13"/>
  <c r="DO48" i="13"/>
  <c r="DO49" i="13"/>
  <c r="DO50" i="13"/>
  <c r="DO51" i="13"/>
  <c r="DO52" i="13"/>
  <c r="DO53" i="13"/>
  <c r="DO54" i="13"/>
  <c r="DQ54" i="13" s="1"/>
  <c r="DO55" i="13"/>
  <c r="DQ55" i="13" s="1"/>
  <c r="DO56" i="13"/>
  <c r="DQ56" i="13" s="1"/>
  <c r="DO57" i="13"/>
  <c r="DQ57" i="13" s="1"/>
  <c r="DO58" i="13"/>
  <c r="DQ58" i="13" s="1"/>
  <c r="DO59" i="13"/>
  <c r="DQ59" i="13" s="1"/>
  <c r="DO60" i="13"/>
  <c r="DQ60" i="13" s="1"/>
  <c r="DO61" i="13"/>
  <c r="DQ61" i="13" s="1"/>
  <c r="DO62" i="13"/>
  <c r="DQ62" i="13" s="1"/>
  <c r="DO63" i="13"/>
  <c r="DO64" i="13"/>
  <c r="DO65" i="13"/>
  <c r="DO66" i="13"/>
  <c r="DO67" i="13"/>
  <c r="DQ67" i="13" s="1"/>
  <c r="DO68" i="13"/>
  <c r="DQ68" i="13" s="1"/>
  <c r="DO69" i="13"/>
  <c r="DQ69" i="13" s="1"/>
  <c r="DO70" i="13"/>
  <c r="DO71" i="13"/>
  <c r="DO72" i="13"/>
  <c r="DO73" i="13"/>
  <c r="DQ73" i="13" s="1"/>
  <c r="DO74" i="13"/>
  <c r="DO75" i="13"/>
  <c r="DO76" i="13"/>
  <c r="DO77" i="13"/>
  <c r="DO78" i="13"/>
  <c r="DO79" i="13"/>
  <c r="DQ79" i="13" s="1"/>
  <c r="DO80" i="13"/>
  <c r="DQ80" i="13" s="1"/>
  <c r="DO81" i="13"/>
  <c r="DQ81" i="13" s="1"/>
  <c r="DO82" i="13"/>
  <c r="DQ82" i="13" s="1"/>
  <c r="DO83" i="13"/>
  <c r="DO84" i="13"/>
  <c r="DO85" i="13"/>
  <c r="DO86" i="13"/>
  <c r="DO87" i="13"/>
  <c r="DO88" i="13"/>
  <c r="DO89" i="13"/>
  <c r="DO90" i="13"/>
  <c r="DO91" i="13"/>
  <c r="DQ91" i="13" s="1"/>
  <c r="DO92" i="13"/>
  <c r="DO93" i="13"/>
  <c r="DO94" i="13"/>
  <c r="DO95" i="13"/>
  <c r="DQ95" i="13" s="1"/>
  <c r="DO96" i="13"/>
  <c r="DQ96" i="13" s="1"/>
  <c r="DO97" i="13"/>
  <c r="DQ97" i="13" s="1"/>
  <c r="DO98" i="13"/>
  <c r="DQ98" i="13" s="1"/>
  <c r="DO99" i="13"/>
  <c r="DQ99" i="13" s="1"/>
  <c r="DO100" i="13"/>
  <c r="DO101" i="13"/>
  <c r="DQ101" i="13" s="1"/>
  <c r="DO2" i="13"/>
  <c r="DQ29" i="13"/>
  <c r="DQ30" i="13"/>
  <c r="DQ31" i="13"/>
  <c r="DQ32" i="13"/>
  <c r="DQ33" i="13"/>
  <c r="DQ34" i="13"/>
  <c r="DQ35" i="13"/>
  <c r="DQ36" i="13"/>
  <c r="DQ37" i="13"/>
  <c r="DQ53" i="13"/>
  <c r="DQ74" i="13"/>
  <c r="DQ75" i="13"/>
  <c r="DQ76" i="13"/>
  <c r="DQ77" i="13"/>
  <c r="DQ78" i="13"/>
  <c r="DQ2" i="13"/>
  <c r="DQ50" i="13"/>
  <c r="DQ3" i="13"/>
  <c r="DR3" i="13" s="1"/>
  <c r="DQ4" i="13"/>
  <c r="DQ5" i="13"/>
  <c r="DQ6" i="13"/>
  <c r="DQ7" i="13"/>
  <c r="DQ8" i="13"/>
  <c r="DQ12" i="13"/>
  <c r="DQ23" i="13"/>
  <c r="DQ24" i="13"/>
  <c r="DQ25" i="13"/>
  <c r="DQ26" i="13"/>
  <c r="DQ43" i="13"/>
  <c r="DQ44" i="13"/>
  <c r="DQ45" i="13"/>
  <c r="DQ46" i="13"/>
  <c r="DQ47" i="13"/>
  <c r="DQ48" i="13"/>
  <c r="DQ49" i="13"/>
  <c r="DQ51" i="13"/>
  <c r="DQ52" i="13"/>
  <c r="DQ63" i="13"/>
  <c r="DQ64" i="13"/>
  <c r="DQ65" i="13"/>
  <c r="DQ66" i="13"/>
  <c r="DQ70" i="13"/>
  <c r="DQ71" i="13"/>
  <c r="DQ72" i="13"/>
  <c r="DQ83" i="13"/>
  <c r="DQ84" i="13"/>
  <c r="DQ85" i="13"/>
  <c r="DQ86" i="13"/>
  <c r="DQ87" i="13"/>
  <c r="DQ88" i="13"/>
  <c r="DQ89" i="13"/>
  <c r="DQ90" i="13"/>
  <c r="DQ92" i="13"/>
  <c r="DQ93" i="13"/>
  <c r="DQ94" i="13"/>
  <c r="DQ100" i="13"/>
  <c r="DM2" i="13"/>
  <c r="DP3" i="13"/>
  <c r="DP4" i="13"/>
  <c r="DP5" i="13"/>
  <c r="DP6" i="13"/>
  <c r="DP7" i="13"/>
  <c r="DP8" i="13"/>
  <c r="DP9" i="13"/>
  <c r="DP10" i="13"/>
  <c r="DP11" i="13"/>
  <c r="DP12" i="13"/>
  <c r="DP13" i="13"/>
  <c r="DP14" i="13"/>
  <c r="DP15" i="13"/>
  <c r="DP16" i="13"/>
  <c r="DP17" i="13"/>
  <c r="DP18" i="13"/>
  <c r="DP19" i="13"/>
  <c r="DP20" i="13"/>
  <c r="DP21" i="13"/>
  <c r="DP22" i="13"/>
  <c r="DP23" i="13"/>
  <c r="DP24" i="13"/>
  <c r="DP25" i="13"/>
  <c r="DP26" i="13"/>
  <c r="DP27" i="13"/>
  <c r="DP28" i="13"/>
  <c r="DP29" i="13"/>
  <c r="DP30" i="13"/>
  <c r="DP31" i="13"/>
  <c r="DP32" i="13"/>
  <c r="DP33" i="13"/>
  <c r="DP34" i="13"/>
  <c r="DP35" i="13"/>
  <c r="DP36" i="13"/>
  <c r="DP37" i="13"/>
  <c r="DP38" i="13"/>
  <c r="DP39" i="13"/>
  <c r="DP40" i="13"/>
  <c r="DP41" i="13"/>
  <c r="DP42" i="13"/>
  <c r="DP43" i="13"/>
  <c r="DP44" i="13"/>
  <c r="DP45" i="13"/>
  <c r="DP46" i="13"/>
  <c r="DP47" i="13"/>
  <c r="DP48" i="13"/>
  <c r="DP49" i="13"/>
  <c r="DP50" i="13"/>
  <c r="DP51" i="13"/>
  <c r="DP52" i="13"/>
  <c r="DP53" i="13"/>
  <c r="DP54" i="13"/>
  <c r="DP55" i="13"/>
  <c r="DP56" i="13"/>
  <c r="DP57" i="13"/>
  <c r="DP58" i="13"/>
  <c r="DP59" i="13"/>
  <c r="DP60" i="13"/>
  <c r="DP61" i="13"/>
  <c r="DP62" i="13"/>
  <c r="DP63" i="13"/>
  <c r="DP64" i="13"/>
  <c r="DP65" i="13"/>
  <c r="DP66" i="13"/>
  <c r="DP67" i="13"/>
  <c r="DP68" i="13"/>
  <c r="DP69" i="13"/>
  <c r="DP70" i="13"/>
  <c r="DP71" i="13"/>
  <c r="DP72" i="13"/>
  <c r="DP73" i="13"/>
  <c r="DP74" i="13"/>
  <c r="DP75" i="13"/>
  <c r="DP76" i="13"/>
  <c r="DP77" i="13"/>
  <c r="DP78" i="13"/>
  <c r="DP79" i="13"/>
  <c r="DP80" i="13"/>
  <c r="DP81" i="13"/>
  <c r="DP82" i="13"/>
  <c r="DP83" i="13"/>
  <c r="DP84" i="13"/>
  <c r="DP85" i="13"/>
  <c r="DP86" i="13"/>
  <c r="DP87" i="13"/>
  <c r="DP88" i="13"/>
  <c r="DP89" i="13"/>
  <c r="DP90" i="13"/>
  <c r="DP91" i="13"/>
  <c r="DP92" i="13"/>
  <c r="DP93" i="13"/>
  <c r="DP94" i="13"/>
  <c r="DP95" i="13"/>
  <c r="DP96" i="13"/>
  <c r="DP97" i="13"/>
  <c r="DP98" i="13"/>
  <c r="DP99" i="13"/>
  <c r="DP100" i="13"/>
  <c r="DP101" i="13"/>
  <c r="DP2" i="13"/>
  <c r="DN3" i="13"/>
  <c r="DN4" i="13"/>
  <c r="DN5" i="13"/>
  <c r="DN6" i="13"/>
  <c r="DN7" i="13"/>
  <c r="DN8" i="13"/>
  <c r="DN9" i="13"/>
  <c r="DN10" i="13"/>
  <c r="DN11" i="13"/>
  <c r="DN12" i="13"/>
  <c r="DN13" i="13"/>
  <c r="DN14" i="13"/>
  <c r="DN15" i="13"/>
  <c r="DN16" i="13"/>
  <c r="DN17" i="13"/>
  <c r="DN18" i="13"/>
  <c r="DN19" i="13"/>
  <c r="DN20" i="13"/>
  <c r="DN21" i="13"/>
  <c r="DN22" i="13"/>
  <c r="DN23" i="13"/>
  <c r="DN24" i="13"/>
  <c r="DN25" i="13"/>
  <c r="DN26" i="13"/>
  <c r="DN27" i="13"/>
  <c r="DN28" i="13"/>
  <c r="DN29" i="13"/>
  <c r="DN30" i="13"/>
  <c r="DN31" i="13"/>
  <c r="DN32" i="13"/>
  <c r="DN33" i="13"/>
  <c r="DN34" i="13"/>
  <c r="DN35" i="13"/>
  <c r="DN36" i="13"/>
  <c r="DN37" i="13"/>
  <c r="DN38" i="13"/>
  <c r="DN39" i="13"/>
  <c r="DN40" i="13"/>
  <c r="DN41" i="13"/>
  <c r="DN42" i="13"/>
  <c r="DN43" i="13"/>
  <c r="DN44" i="13"/>
  <c r="DN45" i="13"/>
  <c r="DN46" i="13"/>
  <c r="DN47" i="13"/>
  <c r="DN48" i="13"/>
  <c r="DN49" i="13"/>
  <c r="DN50" i="13"/>
  <c r="DN51" i="13"/>
  <c r="DN52" i="13"/>
  <c r="DN53" i="13"/>
  <c r="DN54" i="13"/>
  <c r="DN55" i="13"/>
  <c r="DN56" i="13"/>
  <c r="DN57" i="13"/>
  <c r="DN58" i="13"/>
  <c r="DN59" i="13"/>
  <c r="DN60" i="13"/>
  <c r="DN61" i="13"/>
  <c r="DN62" i="13"/>
  <c r="DN63" i="13"/>
  <c r="DN64" i="13"/>
  <c r="DN65" i="13"/>
  <c r="DN66" i="13"/>
  <c r="DN67" i="13"/>
  <c r="DN68" i="13"/>
  <c r="DN69" i="13"/>
  <c r="DN70" i="13"/>
  <c r="DN71" i="13"/>
  <c r="DN72" i="13"/>
  <c r="DN73" i="13"/>
  <c r="DN74" i="13"/>
  <c r="DN75" i="13"/>
  <c r="DN76" i="13"/>
  <c r="DN77" i="13"/>
  <c r="DN78" i="13"/>
  <c r="DN79" i="13"/>
  <c r="DN80" i="13"/>
  <c r="DN81" i="13"/>
  <c r="DN82" i="13"/>
  <c r="DN83" i="13"/>
  <c r="DN84" i="13"/>
  <c r="DN85" i="13"/>
  <c r="DN86" i="13"/>
  <c r="DN87" i="13"/>
  <c r="DN88" i="13"/>
  <c r="DN89" i="13"/>
  <c r="DN90" i="13"/>
  <c r="DN91" i="13"/>
  <c r="DN92" i="13"/>
  <c r="DN93" i="13"/>
  <c r="DN94" i="13"/>
  <c r="DN95" i="13"/>
  <c r="DN96" i="13"/>
  <c r="DN97" i="13"/>
  <c r="DN98" i="13"/>
  <c r="DN99" i="13"/>
  <c r="DN100" i="13"/>
  <c r="DN101" i="13"/>
  <c r="DN2" i="13"/>
  <c r="DM3" i="13"/>
  <c r="DM101" i="13"/>
  <c r="DM4" i="13"/>
  <c r="DM5" i="13"/>
  <c r="DM6" i="13"/>
  <c r="DM7" i="13"/>
  <c r="DM8" i="13"/>
  <c r="DM9" i="13"/>
  <c r="DM10" i="13"/>
  <c r="DM11" i="13"/>
  <c r="DM12" i="13"/>
  <c r="DM13" i="13"/>
  <c r="DM14" i="13"/>
  <c r="DM15" i="13"/>
  <c r="DM16" i="13"/>
  <c r="DM17" i="13"/>
  <c r="DM18" i="13"/>
  <c r="DM19" i="13"/>
  <c r="DM20" i="13"/>
  <c r="DM21" i="13"/>
  <c r="DM22" i="13"/>
  <c r="DM23" i="13"/>
  <c r="DM24" i="13"/>
  <c r="DM25" i="13"/>
  <c r="DM26" i="13"/>
  <c r="DM27" i="13"/>
  <c r="DM28" i="13"/>
  <c r="DM29" i="13"/>
  <c r="DM30" i="13"/>
  <c r="DM31" i="13"/>
  <c r="DM32" i="13"/>
  <c r="DM33" i="13"/>
  <c r="DM34" i="13"/>
  <c r="DM35" i="13"/>
  <c r="DM36" i="13"/>
  <c r="DM37" i="13"/>
  <c r="DM38" i="13"/>
  <c r="DM39" i="13"/>
  <c r="DM40" i="13"/>
  <c r="DM41" i="13"/>
  <c r="DM42" i="13"/>
  <c r="DM43" i="13"/>
  <c r="DM44" i="13"/>
  <c r="DM45" i="13"/>
  <c r="DM46" i="13"/>
  <c r="DM47" i="13"/>
  <c r="DM48" i="13"/>
  <c r="DM49" i="13"/>
  <c r="DM50" i="13"/>
  <c r="DM51" i="13"/>
  <c r="DM52" i="13"/>
  <c r="DM53" i="13"/>
  <c r="DM54" i="13"/>
  <c r="DM55" i="13"/>
  <c r="DM56" i="13"/>
  <c r="DM57" i="13"/>
  <c r="DM58" i="13"/>
  <c r="DM59" i="13"/>
  <c r="DM60" i="13"/>
  <c r="DM61" i="13"/>
  <c r="DM62" i="13"/>
  <c r="DM63" i="13"/>
  <c r="DM64" i="13"/>
  <c r="DM65" i="13"/>
  <c r="DM66" i="13"/>
  <c r="DM67" i="13"/>
  <c r="DM68" i="13"/>
  <c r="DM69" i="13"/>
  <c r="DM70" i="13"/>
  <c r="DM71" i="13"/>
  <c r="DM72" i="13"/>
  <c r="DM73" i="13"/>
  <c r="DM74" i="13"/>
  <c r="DM75" i="13"/>
  <c r="DM76" i="13"/>
  <c r="DM77" i="13"/>
  <c r="DM78" i="13"/>
  <c r="DM79" i="13"/>
  <c r="DM80" i="13"/>
  <c r="DM81" i="13"/>
  <c r="DM82" i="13"/>
  <c r="DM83" i="13"/>
  <c r="DM84" i="13"/>
  <c r="DM85" i="13"/>
  <c r="DM86" i="13"/>
  <c r="DM87" i="13"/>
  <c r="DM88" i="13"/>
  <c r="DM89" i="13"/>
  <c r="DM90" i="13"/>
  <c r="DM91" i="13"/>
  <c r="DM92" i="13"/>
  <c r="DM93" i="13"/>
  <c r="DM94" i="13"/>
  <c r="DM95" i="13"/>
  <c r="DM96" i="13"/>
  <c r="DM97" i="13"/>
  <c r="DM98" i="13"/>
  <c r="DM99" i="13"/>
  <c r="DM100" i="13"/>
  <c r="DJ3" i="13"/>
  <c r="DJ4" i="13"/>
  <c r="DJ5" i="13"/>
  <c r="DJ6" i="13"/>
  <c r="DJ7" i="13"/>
  <c r="DJ8" i="13"/>
  <c r="DJ9" i="13"/>
  <c r="DJ10" i="13"/>
  <c r="DJ11" i="13"/>
  <c r="DJ12" i="13"/>
  <c r="DJ13" i="13"/>
  <c r="DJ14" i="13"/>
  <c r="DJ15" i="13"/>
  <c r="DJ16" i="13"/>
  <c r="DJ17" i="13"/>
  <c r="DJ18" i="13"/>
  <c r="DJ19" i="13"/>
  <c r="DJ20" i="13"/>
  <c r="DJ21" i="13"/>
  <c r="DJ22" i="13"/>
  <c r="DJ23" i="13"/>
  <c r="DJ24" i="13"/>
  <c r="DJ25" i="13"/>
  <c r="DJ26" i="13"/>
  <c r="DJ27" i="13"/>
  <c r="DJ28" i="13"/>
  <c r="DJ29" i="13"/>
  <c r="DJ30" i="13"/>
  <c r="DJ31" i="13"/>
  <c r="DJ32" i="13"/>
  <c r="DJ33" i="13"/>
  <c r="DJ34" i="13"/>
  <c r="DJ35" i="13"/>
  <c r="DJ36" i="13"/>
  <c r="DJ37" i="13"/>
  <c r="DJ38" i="13"/>
  <c r="DJ39" i="13"/>
  <c r="DJ40" i="13"/>
  <c r="DJ41" i="13"/>
  <c r="DJ42" i="13"/>
  <c r="DJ43" i="13"/>
  <c r="DJ44" i="13"/>
  <c r="DJ45" i="13"/>
  <c r="DJ46" i="13"/>
  <c r="DJ47" i="13"/>
  <c r="DJ48" i="13"/>
  <c r="DJ49" i="13"/>
  <c r="DJ50" i="13"/>
  <c r="DJ51" i="13"/>
  <c r="DJ52" i="13"/>
  <c r="DJ53" i="13"/>
  <c r="DJ54" i="13"/>
  <c r="DJ55" i="13"/>
  <c r="DJ56" i="13"/>
  <c r="DJ57" i="13"/>
  <c r="DJ58" i="13"/>
  <c r="DJ59" i="13"/>
  <c r="DJ60" i="13"/>
  <c r="DJ61" i="13"/>
  <c r="DJ62" i="13"/>
  <c r="DJ63" i="13"/>
  <c r="DJ64" i="13"/>
  <c r="DJ65" i="13"/>
  <c r="DJ66" i="13"/>
  <c r="DJ67" i="13"/>
  <c r="DJ68" i="13"/>
  <c r="DJ69" i="13"/>
  <c r="DJ70" i="13"/>
  <c r="DJ71" i="13"/>
  <c r="DJ72" i="13"/>
  <c r="DJ73" i="13"/>
  <c r="DJ74" i="13"/>
  <c r="DJ75" i="13"/>
  <c r="DJ76" i="13"/>
  <c r="DJ77" i="13"/>
  <c r="DJ78" i="13"/>
  <c r="DJ79" i="13"/>
  <c r="DJ80" i="13"/>
  <c r="DJ81" i="13"/>
  <c r="DJ82" i="13"/>
  <c r="DJ83" i="13"/>
  <c r="DJ84" i="13"/>
  <c r="DJ85" i="13"/>
  <c r="DJ86" i="13"/>
  <c r="DJ87" i="13"/>
  <c r="DJ88" i="13"/>
  <c r="DJ89" i="13"/>
  <c r="DJ90" i="13"/>
  <c r="DJ91" i="13"/>
  <c r="DJ92" i="13"/>
  <c r="DJ93" i="13"/>
  <c r="DJ94" i="13"/>
  <c r="DJ95" i="13"/>
  <c r="DJ96" i="13"/>
  <c r="DJ97" i="13"/>
  <c r="DJ98" i="13"/>
  <c r="DJ99" i="13"/>
  <c r="DJ100" i="13"/>
  <c r="DJ101" i="13"/>
  <c r="DJ2" i="13"/>
  <c r="DI9" i="13"/>
  <c r="DI3" i="13"/>
  <c r="DI4" i="13"/>
  <c r="DI5" i="13"/>
  <c r="DI6" i="13"/>
  <c r="DI7" i="13"/>
  <c r="DI8" i="13"/>
  <c r="DI10" i="13"/>
  <c r="DI11" i="13"/>
  <c r="DI12" i="13"/>
  <c r="DI13" i="13"/>
  <c r="DI14" i="13"/>
  <c r="DI15" i="13"/>
  <c r="DI16" i="13"/>
  <c r="DI17" i="13"/>
  <c r="DI18" i="13"/>
  <c r="DI19" i="13"/>
  <c r="DI20" i="13"/>
  <c r="DI21" i="13"/>
  <c r="DI22" i="13"/>
  <c r="DI23" i="13"/>
  <c r="DI24" i="13"/>
  <c r="DI25" i="13"/>
  <c r="DI26" i="13"/>
  <c r="DI27" i="13"/>
  <c r="DI28" i="13"/>
  <c r="DI29" i="13"/>
  <c r="DI30" i="13"/>
  <c r="DI31" i="13"/>
  <c r="DI32" i="13"/>
  <c r="DI33" i="13"/>
  <c r="DI34" i="13"/>
  <c r="DI35" i="13"/>
  <c r="DI36" i="13"/>
  <c r="DI37" i="13"/>
  <c r="DI38" i="13"/>
  <c r="DI39" i="13"/>
  <c r="DI40" i="13"/>
  <c r="DI41" i="13"/>
  <c r="DI42" i="13"/>
  <c r="DI43" i="13"/>
  <c r="DI44" i="13"/>
  <c r="DI45" i="13"/>
  <c r="DI46" i="13"/>
  <c r="DI47" i="13"/>
  <c r="DI48" i="13"/>
  <c r="DI49" i="13"/>
  <c r="DI50" i="13"/>
  <c r="DI51" i="13"/>
  <c r="DI52" i="13"/>
  <c r="DI53" i="13"/>
  <c r="DI54" i="13"/>
  <c r="DI55" i="13"/>
  <c r="DI56" i="13"/>
  <c r="DI57" i="13"/>
  <c r="DI58" i="13"/>
  <c r="DI59" i="13"/>
  <c r="DI60" i="13"/>
  <c r="DI61" i="13"/>
  <c r="DI62" i="13"/>
  <c r="DI63" i="13"/>
  <c r="DI64" i="13"/>
  <c r="DI65" i="13"/>
  <c r="DI66" i="13"/>
  <c r="DI67" i="13"/>
  <c r="DI68" i="13"/>
  <c r="DI69" i="13"/>
  <c r="DI70" i="13"/>
  <c r="DI71" i="13"/>
  <c r="DI72" i="13"/>
  <c r="DI73" i="13"/>
  <c r="DI74" i="13"/>
  <c r="DI75" i="13"/>
  <c r="DI76" i="13"/>
  <c r="DI77" i="13"/>
  <c r="DI78" i="13"/>
  <c r="DI79" i="13"/>
  <c r="DI80" i="13"/>
  <c r="DI81" i="13"/>
  <c r="DI82" i="13"/>
  <c r="DI83" i="13"/>
  <c r="DI84" i="13"/>
  <c r="DI85" i="13"/>
  <c r="DI86" i="13"/>
  <c r="DI87" i="13"/>
  <c r="DI88" i="13"/>
  <c r="DI89" i="13"/>
  <c r="DI90" i="13"/>
  <c r="DI91" i="13"/>
  <c r="DI92" i="13"/>
  <c r="DI93" i="13"/>
  <c r="DI94" i="13"/>
  <c r="DI95" i="13"/>
  <c r="DI96" i="13"/>
  <c r="DI97" i="13"/>
  <c r="DI98" i="13"/>
  <c r="DI99" i="13"/>
  <c r="DI100" i="13"/>
  <c r="DI101" i="13"/>
  <c r="DI2" i="13"/>
  <c r="DH2" i="13"/>
  <c r="ER5" i="7"/>
  <c r="DH3" i="13"/>
  <c r="DH4" i="13"/>
  <c r="DH5" i="13"/>
  <c r="DH6" i="13"/>
  <c r="DH7" i="13"/>
  <c r="DH8" i="13"/>
  <c r="DH9" i="13"/>
  <c r="DH10" i="13"/>
  <c r="DH11" i="13"/>
  <c r="DH12" i="13"/>
  <c r="DH13" i="13"/>
  <c r="DH14" i="13"/>
  <c r="DH15" i="13"/>
  <c r="DH16" i="13"/>
  <c r="DH17" i="13"/>
  <c r="DH18" i="13"/>
  <c r="DH19" i="13"/>
  <c r="DH20" i="13"/>
  <c r="DH21" i="13"/>
  <c r="DH22" i="13"/>
  <c r="DH23" i="13"/>
  <c r="DH24" i="13"/>
  <c r="DH25" i="13"/>
  <c r="DH26" i="13"/>
  <c r="DH27" i="13"/>
  <c r="DH28" i="13"/>
  <c r="DH29" i="13"/>
  <c r="DH30" i="13"/>
  <c r="DH31" i="13"/>
  <c r="DH32" i="13"/>
  <c r="DH33" i="13"/>
  <c r="DH34" i="13"/>
  <c r="DH35" i="13"/>
  <c r="DH36" i="13"/>
  <c r="DH37" i="13"/>
  <c r="DH38" i="13"/>
  <c r="DH39" i="13"/>
  <c r="DH40" i="13"/>
  <c r="DH41" i="13"/>
  <c r="DH42" i="13"/>
  <c r="DH43" i="13"/>
  <c r="DH44" i="13"/>
  <c r="DH45" i="13"/>
  <c r="DH46" i="13"/>
  <c r="DH47" i="13"/>
  <c r="DH48" i="13"/>
  <c r="DH49" i="13"/>
  <c r="DH50" i="13"/>
  <c r="DH51" i="13"/>
  <c r="DH52" i="13"/>
  <c r="DH53" i="13"/>
  <c r="DH54" i="13"/>
  <c r="DH55" i="13"/>
  <c r="DH56" i="13"/>
  <c r="DH57" i="13"/>
  <c r="DH58" i="13"/>
  <c r="DH59" i="13"/>
  <c r="DH60" i="13"/>
  <c r="DH61" i="13"/>
  <c r="DH62" i="13"/>
  <c r="DH63" i="13"/>
  <c r="DH64" i="13"/>
  <c r="DH65" i="13"/>
  <c r="DH66" i="13"/>
  <c r="DH67" i="13"/>
  <c r="DH68" i="13"/>
  <c r="DH69" i="13"/>
  <c r="DH70" i="13"/>
  <c r="DH71" i="13"/>
  <c r="DH72" i="13"/>
  <c r="DH73" i="13"/>
  <c r="DH74" i="13"/>
  <c r="DH75" i="13"/>
  <c r="DH76" i="13"/>
  <c r="DH77" i="13"/>
  <c r="DH78" i="13"/>
  <c r="DH79" i="13"/>
  <c r="DH80" i="13"/>
  <c r="DH81" i="13"/>
  <c r="DH82" i="13"/>
  <c r="DH83" i="13"/>
  <c r="DH84" i="13"/>
  <c r="DH85" i="13"/>
  <c r="DH86" i="13"/>
  <c r="DH87" i="13"/>
  <c r="DH88" i="13"/>
  <c r="DH89" i="13"/>
  <c r="DH90" i="13"/>
  <c r="DH91" i="13"/>
  <c r="DH92" i="13"/>
  <c r="DH93" i="13"/>
  <c r="DH94" i="13"/>
  <c r="DH95" i="13"/>
  <c r="DH96" i="13"/>
  <c r="DH97" i="13"/>
  <c r="DH98" i="13"/>
  <c r="DH99" i="13"/>
  <c r="DH100" i="13"/>
  <c r="DH101" i="13"/>
  <c r="CH3" i="13"/>
  <c r="CH4" i="13"/>
  <c r="CH5" i="13"/>
  <c r="CH6" i="13"/>
  <c r="CH7" i="13"/>
  <c r="CH8" i="13"/>
  <c r="CH9" i="13"/>
  <c r="CH10" i="13"/>
  <c r="CH11" i="13"/>
  <c r="CH12" i="13"/>
  <c r="CH13" i="13"/>
  <c r="CH14" i="13"/>
  <c r="CH15" i="13"/>
  <c r="CH16" i="13"/>
  <c r="CH17" i="13"/>
  <c r="CH18" i="13"/>
  <c r="CH19" i="13"/>
  <c r="CH20" i="13"/>
  <c r="CH21" i="13"/>
  <c r="CH22" i="13"/>
  <c r="CH23" i="13"/>
  <c r="CH24" i="13"/>
  <c r="CH25" i="13"/>
  <c r="CH26" i="13"/>
  <c r="CH27" i="13"/>
  <c r="CH28" i="13"/>
  <c r="CH29" i="13"/>
  <c r="CH30" i="13"/>
  <c r="CH31" i="13"/>
  <c r="CH32" i="13"/>
  <c r="CH33" i="13"/>
  <c r="CH34" i="13"/>
  <c r="CH35" i="13"/>
  <c r="CH36" i="13"/>
  <c r="CH37" i="13"/>
  <c r="CH38" i="13"/>
  <c r="CH39" i="13"/>
  <c r="CH40" i="13"/>
  <c r="CH41" i="13"/>
  <c r="CH42" i="13"/>
  <c r="CH43" i="13"/>
  <c r="CH44" i="13"/>
  <c r="CH45" i="13"/>
  <c r="CH46" i="13"/>
  <c r="CH47" i="13"/>
  <c r="CH48" i="13"/>
  <c r="CH49" i="13"/>
  <c r="CH50" i="13"/>
  <c r="CH51" i="13"/>
  <c r="CH52" i="13"/>
  <c r="CH53" i="13"/>
  <c r="CH54" i="13"/>
  <c r="CH55" i="13"/>
  <c r="CH56" i="13"/>
  <c r="CH57" i="13"/>
  <c r="CH58" i="13"/>
  <c r="CH59" i="13"/>
  <c r="CH60" i="13"/>
  <c r="CH61" i="13"/>
  <c r="CH62" i="13"/>
  <c r="CH63" i="13"/>
  <c r="CH64" i="13"/>
  <c r="CH65" i="13"/>
  <c r="CH66" i="13"/>
  <c r="CH67" i="13"/>
  <c r="CH68" i="13"/>
  <c r="CH69" i="13"/>
  <c r="CH70" i="13"/>
  <c r="CH71" i="13"/>
  <c r="CH72" i="13"/>
  <c r="CH73" i="13"/>
  <c r="CH74" i="13"/>
  <c r="CH75" i="13"/>
  <c r="CH76" i="13"/>
  <c r="CH77" i="13"/>
  <c r="CH78" i="13"/>
  <c r="CH79" i="13"/>
  <c r="CH80" i="13"/>
  <c r="CH81" i="13"/>
  <c r="CH82" i="13"/>
  <c r="CH83" i="13"/>
  <c r="CH84" i="13"/>
  <c r="CH85" i="13"/>
  <c r="CH86" i="13"/>
  <c r="CH87" i="13"/>
  <c r="CH88" i="13"/>
  <c r="CH89" i="13"/>
  <c r="CH90" i="13"/>
  <c r="CH91" i="13"/>
  <c r="CH92" i="13"/>
  <c r="CH93" i="13"/>
  <c r="CH94" i="13"/>
  <c r="CH95" i="13"/>
  <c r="CH96" i="13"/>
  <c r="CH97" i="13"/>
  <c r="CH98" i="13"/>
  <c r="CH99" i="13"/>
  <c r="CH100" i="13"/>
  <c r="CH101" i="13"/>
  <c r="CH2" i="13"/>
  <c r="CG2" i="13"/>
  <c r="DG16" i="13"/>
  <c r="DG17" i="13"/>
  <c r="DG18" i="13"/>
  <c r="DG36" i="13"/>
  <c r="DG37" i="13"/>
  <c r="DG38" i="13"/>
  <c r="DG56" i="13"/>
  <c r="DG57" i="13"/>
  <c r="DG58" i="13"/>
  <c r="DG76" i="13"/>
  <c r="DG77" i="13"/>
  <c r="DG78" i="13"/>
  <c r="DG96" i="13"/>
  <c r="DG97" i="13"/>
  <c r="DG98" i="13"/>
  <c r="DD11" i="13"/>
  <c r="DD15" i="13"/>
  <c r="DD19" i="13"/>
  <c r="DD20" i="13"/>
  <c r="DD21" i="13"/>
  <c r="DD31" i="13"/>
  <c r="DD35" i="13"/>
  <c r="DD39" i="13"/>
  <c r="DD40" i="13"/>
  <c r="DD41" i="13"/>
  <c r="DD51" i="13"/>
  <c r="DD55" i="13"/>
  <c r="DD59" i="13"/>
  <c r="DD60" i="13"/>
  <c r="DD61" i="13"/>
  <c r="DD71" i="13"/>
  <c r="DD75" i="13"/>
  <c r="DD79" i="13"/>
  <c r="DD80" i="13"/>
  <c r="DD81" i="13"/>
  <c r="DD91" i="13"/>
  <c r="DD95" i="13"/>
  <c r="DD99" i="13"/>
  <c r="DD100" i="13"/>
  <c r="DD101" i="13"/>
  <c r="DC2" i="13"/>
  <c r="CY3" i="13"/>
  <c r="DD3" i="13" s="1"/>
  <c r="CZ3" i="13"/>
  <c r="DA3" i="13"/>
  <c r="DB3" i="13"/>
  <c r="DC3" i="13"/>
  <c r="CY4" i="13"/>
  <c r="DD4" i="13" s="1"/>
  <c r="CZ4" i="13"/>
  <c r="DA4" i="13"/>
  <c r="DB4" i="13"/>
  <c r="DC4" i="13"/>
  <c r="CY5" i="13"/>
  <c r="DD5" i="13" s="1"/>
  <c r="CZ5" i="13"/>
  <c r="DA5" i="13"/>
  <c r="DB5" i="13"/>
  <c r="DC5" i="13"/>
  <c r="CY6" i="13"/>
  <c r="DD6" i="13" s="1"/>
  <c r="CZ6" i="13"/>
  <c r="DA6" i="13"/>
  <c r="DB6" i="13"/>
  <c r="DC6" i="13"/>
  <c r="CY7" i="13"/>
  <c r="DD7" i="13" s="1"/>
  <c r="CZ7" i="13"/>
  <c r="DA7" i="13"/>
  <c r="DB7" i="13"/>
  <c r="DC7" i="13"/>
  <c r="CY8" i="13"/>
  <c r="DD8" i="13" s="1"/>
  <c r="CZ8" i="13"/>
  <c r="DA8" i="13"/>
  <c r="DB8" i="13"/>
  <c r="DC8" i="13"/>
  <c r="CY9" i="13"/>
  <c r="DD9" i="13" s="1"/>
  <c r="CZ9" i="13"/>
  <c r="DA9" i="13"/>
  <c r="DB9" i="13"/>
  <c r="DC9" i="13"/>
  <c r="CY10" i="13"/>
  <c r="DD10" i="13" s="1"/>
  <c r="CZ10" i="13"/>
  <c r="DA10" i="13"/>
  <c r="DB10" i="13"/>
  <c r="DC10" i="13"/>
  <c r="CY11" i="13"/>
  <c r="CZ11" i="13"/>
  <c r="DA11" i="13"/>
  <c r="DB11" i="13"/>
  <c r="DC11" i="13"/>
  <c r="CY12" i="13"/>
  <c r="CZ12" i="13"/>
  <c r="DA12" i="13"/>
  <c r="DB12" i="13"/>
  <c r="DD12" i="13" s="1"/>
  <c r="DC12" i="13"/>
  <c r="CY13" i="13"/>
  <c r="DD13" i="13" s="1"/>
  <c r="CZ13" i="13"/>
  <c r="DA13" i="13"/>
  <c r="DB13" i="13"/>
  <c r="DC13" i="13"/>
  <c r="CY14" i="13"/>
  <c r="CZ14" i="13"/>
  <c r="DA14" i="13"/>
  <c r="DD14" i="13" s="1"/>
  <c r="DB14" i="13"/>
  <c r="DC14" i="13"/>
  <c r="CY15" i="13"/>
  <c r="CZ15" i="13"/>
  <c r="DA15" i="13"/>
  <c r="DB15" i="13"/>
  <c r="DC15" i="13"/>
  <c r="CY16" i="13"/>
  <c r="CZ16" i="13"/>
  <c r="DD16" i="13" s="1"/>
  <c r="DA16" i="13"/>
  <c r="DB16" i="13"/>
  <c r="DC16" i="13"/>
  <c r="CY17" i="13"/>
  <c r="DD17" i="13" s="1"/>
  <c r="CZ17" i="13"/>
  <c r="DA17" i="13"/>
  <c r="DB17" i="13"/>
  <c r="DC17" i="13"/>
  <c r="CY18" i="13"/>
  <c r="DD18" i="13" s="1"/>
  <c r="CZ18" i="13"/>
  <c r="DA18" i="13"/>
  <c r="DB18" i="13"/>
  <c r="DC18" i="13"/>
  <c r="CY19" i="13"/>
  <c r="CZ19" i="13"/>
  <c r="DA19" i="13"/>
  <c r="DB19" i="13"/>
  <c r="DC19" i="13"/>
  <c r="CY20" i="13"/>
  <c r="CZ20" i="13"/>
  <c r="DA20" i="13"/>
  <c r="DB20" i="13"/>
  <c r="DC20" i="13"/>
  <c r="CY21" i="13"/>
  <c r="CZ21" i="13"/>
  <c r="DA21" i="13"/>
  <c r="DB21" i="13"/>
  <c r="DC21" i="13"/>
  <c r="CY22" i="13"/>
  <c r="DD22" i="13" s="1"/>
  <c r="CZ22" i="13"/>
  <c r="DA22" i="13"/>
  <c r="DB22" i="13"/>
  <c r="DC22" i="13"/>
  <c r="CY23" i="13"/>
  <c r="DD23" i="13" s="1"/>
  <c r="CZ23" i="13"/>
  <c r="DA23" i="13"/>
  <c r="DB23" i="13"/>
  <c r="DC23" i="13"/>
  <c r="CY24" i="13"/>
  <c r="DD24" i="13" s="1"/>
  <c r="CZ24" i="13"/>
  <c r="DA24" i="13"/>
  <c r="DB24" i="13"/>
  <c r="DC24" i="13"/>
  <c r="CY25" i="13"/>
  <c r="DD25" i="13" s="1"/>
  <c r="CZ25" i="13"/>
  <c r="DA25" i="13"/>
  <c r="DB25" i="13"/>
  <c r="DC25" i="13"/>
  <c r="CY26" i="13"/>
  <c r="DD26" i="13" s="1"/>
  <c r="CZ26" i="13"/>
  <c r="DA26" i="13"/>
  <c r="DB26" i="13"/>
  <c r="DC26" i="13"/>
  <c r="CY27" i="13"/>
  <c r="DD27" i="13" s="1"/>
  <c r="CZ27" i="13"/>
  <c r="DA27" i="13"/>
  <c r="DB27" i="13"/>
  <c r="DC27" i="13"/>
  <c r="CY28" i="13"/>
  <c r="DD28" i="13" s="1"/>
  <c r="CZ28" i="13"/>
  <c r="DA28" i="13"/>
  <c r="DB28" i="13"/>
  <c r="DC28" i="13"/>
  <c r="CY29" i="13"/>
  <c r="DD29" i="13" s="1"/>
  <c r="CZ29" i="13"/>
  <c r="DA29" i="13"/>
  <c r="DB29" i="13"/>
  <c r="DC29" i="13"/>
  <c r="CY30" i="13"/>
  <c r="DD30" i="13" s="1"/>
  <c r="CZ30" i="13"/>
  <c r="DA30" i="13"/>
  <c r="DB30" i="13"/>
  <c r="DC30" i="13"/>
  <c r="CY31" i="13"/>
  <c r="CZ31" i="13"/>
  <c r="DA31" i="13"/>
  <c r="DB31" i="13"/>
  <c r="DC31" i="13"/>
  <c r="CY32" i="13"/>
  <c r="CZ32" i="13"/>
  <c r="DA32" i="13"/>
  <c r="DB32" i="13"/>
  <c r="DD32" i="13" s="1"/>
  <c r="DC32" i="13"/>
  <c r="CY33" i="13"/>
  <c r="DD33" i="13" s="1"/>
  <c r="CZ33" i="13"/>
  <c r="DA33" i="13"/>
  <c r="DB33" i="13"/>
  <c r="DC33" i="13"/>
  <c r="CY34" i="13"/>
  <c r="CZ34" i="13"/>
  <c r="DA34" i="13"/>
  <c r="DD34" i="13" s="1"/>
  <c r="DB34" i="13"/>
  <c r="DC34" i="13"/>
  <c r="CY35" i="13"/>
  <c r="CZ35" i="13"/>
  <c r="DA35" i="13"/>
  <c r="DB35" i="13"/>
  <c r="DC35" i="13"/>
  <c r="CY36" i="13"/>
  <c r="CZ36" i="13"/>
  <c r="DD36" i="13" s="1"/>
  <c r="DA36" i="13"/>
  <c r="DB36" i="13"/>
  <c r="DC36" i="13"/>
  <c r="CY37" i="13"/>
  <c r="DD37" i="13" s="1"/>
  <c r="CZ37" i="13"/>
  <c r="DA37" i="13"/>
  <c r="DB37" i="13"/>
  <c r="DC37" i="13"/>
  <c r="CY38" i="13"/>
  <c r="DD38" i="13" s="1"/>
  <c r="CZ38" i="13"/>
  <c r="DA38" i="13"/>
  <c r="DB38" i="13"/>
  <c r="DC38" i="13"/>
  <c r="CY39" i="13"/>
  <c r="CZ39" i="13"/>
  <c r="DA39" i="13"/>
  <c r="DB39" i="13"/>
  <c r="DC39" i="13"/>
  <c r="CY40" i="13"/>
  <c r="CZ40" i="13"/>
  <c r="DA40" i="13"/>
  <c r="DB40" i="13"/>
  <c r="DC40" i="13"/>
  <c r="CY41" i="13"/>
  <c r="CZ41" i="13"/>
  <c r="DA41" i="13"/>
  <c r="DB41" i="13"/>
  <c r="DC41" i="13"/>
  <c r="CY42" i="13"/>
  <c r="DD42" i="13" s="1"/>
  <c r="CZ42" i="13"/>
  <c r="DA42" i="13"/>
  <c r="DB42" i="13"/>
  <c r="DC42" i="13"/>
  <c r="CY43" i="13"/>
  <c r="DD43" i="13" s="1"/>
  <c r="CZ43" i="13"/>
  <c r="DA43" i="13"/>
  <c r="DB43" i="13"/>
  <c r="DC43" i="13"/>
  <c r="CY44" i="13"/>
  <c r="DD44" i="13" s="1"/>
  <c r="CZ44" i="13"/>
  <c r="DA44" i="13"/>
  <c r="DB44" i="13"/>
  <c r="DC44" i="13"/>
  <c r="CY45" i="13"/>
  <c r="DD45" i="13" s="1"/>
  <c r="CZ45" i="13"/>
  <c r="DA45" i="13"/>
  <c r="DB45" i="13"/>
  <c r="DC45" i="13"/>
  <c r="CY46" i="13"/>
  <c r="DD46" i="13" s="1"/>
  <c r="CZ46" i="13"/>
  <c r="DA46" i="13"/>
  <c r="DB46" i="13"/>
  <c r="DC46" i="13"/>
  <c r="CY47" i="13"/>
  <c r="DD47" i="13" s="1"/>
  <c r="CZ47" i="13"/>
  <c r="DA47" i="13"/>
  <c r="DB47" i="13"/>
  <c r="DC47" i="13"/>
  <c r="CY48" i="13"/>
  <c r="DD48" i="13" s="1"/>
  <c r="CZ48" i="13"/>
  <c r="DA48" i="13"/>
  <c r="DB48" i="13"/>
  <c r="DC48" i="13"/>
  <c r="CY49" i="13"/>
  <c r="DD49" i="13" s="1"/>
  <c r="CZ49" i="13"/>
  <c r="DA49" i="13"/>
  <c r="DB49" i="13"/>
  <c r="DC49" i="13"/>
  <c r="CY50" i="13"/>
  <c r="DD50" i="13" s="1"/>
  <c r="CZ50" i="13"/>
  <c r="DA50" i="13"/>
  <c r="DB50" i="13"/>
  <c r="DC50" i="13"/>
  <c r="CY51" i="13"/>
  <c r="CZ51" i="13"/>
  <c r="DA51" i="13"/>
  <c r="DB51" i="13"/>
  <c r="DC51" i="13"/>
  <c r="CY52" i="13"/>
  <c r="CZ52" i="13"/>
  <c r="DA52" i="13"/>
  <c r="DB52" i="13"/>
  <c r="DD52" i="13" s="1"/>
  <c r="DC52" i="13"/>
  <c r="CY53" i="13"/>
  <c r="DD53" i="13" s="1"/>
  <c r="CZ53" i="13"/>
  <c r="DA53" i="13"/>
  <c r="DB53" i="13"/>
  <c r="DC53" i="13"/>
  <c r="CY54" i="13"/>
  <c r="CZ54" i="13"/>
  <c r="DA54" i="13"/>
  <c r="DD54" i="13" s="1"/>
  <c r="DB54" i="13"/>
  <c r="DC54" i="13"/>
  <c r="CY55" i="13"/>
  <c r="CZ55" i="13"/>
  <c r="DA55" i="13"/>
  <c r="DB55" i="13"/>
  <c r="DC55" i="13"/>
  <c r="CY56" i="13"/>
  <c r="CZ56" i="13"/>
  <c r="DD56" i="13" s="1"/>
  <c r="DA56" i="13"/>
  <c r="DB56" i="13"/>
  <c r="DC56" i="13"/>
  <c r="CY57" i="13"/>
  <c r="DD57" i="13" s="1"/>
  <c r="CZ57" i="13"/>
  <c r="DA57" i="13"/>
  <c r="DB57" i="13"/>
  <c r="DC57" i="13"/>
  <c r="CY58" i="13"/>
  <c r="DD58" i="13" s="1"/>
  <c r="CZ58" i="13"/>
  <c r="DA58" i="13"/>
  <c r="DB58" i="13"/>
  <c r="DC58" i="13"/>
  <c r="CY59" i="13"/>
  <c r="CZ59" i="13"/>
  <c r="DA59" i="13"/>
  <c r="DB59" i="13"/>
  <c r="DC59" i="13"/>
  <c r="CY60" i="13"/>
  <c r="CZ60" i="13"/>
  <c r="DA60" i="13"/>
  <c r="DB60" i="13"/>
  <c r="DC60" i="13"/>
  <c r="CY61" i="13"/>
  <c r="CZ61" i="13"/>
  <c r="DA61" i="13"/>
  <c r="DB61" i="13"/>
  <c r="DC61" i="13"/>
  <c r="CY62" i="13"/>
  <c r="DD62" i="13" s="1"/>
  <c r="CZ62" i="13"/>
  <c r="DA62" i="13"/>
  <c r="DB62" i="13"/>
  <c r="DC62" i="13"/>
  <c r="CY63" i="13"/>
  <c r="DD63" i="13" s="1"/>
  <c r="CZ63" i="13"/>
  <c r="DA63" i="13"/>
  <c r="DB63" i="13"/>
  <c r="DC63" i="13"/>
  <c r="CY64" i="13"/>
  <c r="DD64" i="13" s="1"/>
  <c r="CZ64" i="13"/>
  <c r="DA64" i="13"/>
  <c r="DB64" i="13"/>
  <c r="DC64" i="13"/>
  <c r="CY65" i="13"/>
  <c r="DD65" i="13" s="1"/>
  <c r="CZ65" i="13"/>
  <c r="DA65" i="13"/>
  <c r="DB65" i="13"/>
  <c r="DC65" i="13"/>
  <c r="CY66" i="13"/>
  <c r="DD66" i="13" s="1"/>
  <c r="CZ66" i="13"/>
  <c r="DA66" i="13"/>
  <c r="DB66" i="13"/>
  <c r="DC66" i="13"/>
  <c r="CY67" i="13"/>
  <c r="DD67" i="13" s="1"/>
  <c r="CZ67" i="13"/>
  <c r="DA67" i="13"/>
  <c r="DB67" i="13"/>
  <c r="DC67" i="13"/>
  <c r="CY68" i="13"/>
  <c r="DD68" i="13" s="1"/>
  <c r="CZ68" i="13"/>
  <c r="DA68" i="13"/>
  <c r="DB68" i="13"/>
  <c r="DC68" i="13"/>
  <c r="CY69" i="13"/>
  <c r="DD69" i="13" s="1"/>
  <c r="CZ69" i="13"/>
  <c r="DA69" i="13"/>
  <c r="DB69" i="13"/>
  <c r="DC69" i="13"/>
  <c r="CY70" i="13"/>
  <c r="DD70" i="13" s="1"/>
  <c r="CZ70" i="13"/>
  <c r="DA70" i="13"/>
  <c r="DB70" i="13"/>
  <c r="DC70" i="13"/>
  <c r="CY71" i="13"/>
  <c r="CZ71" i="13"/>
  <c r="DA71" i="13"/>
  <c r="DB71" i="13"/>
  <c r="DC71" i="13"/>
  <c r="CY72" i="13"/>
  <c r="CZ72" i="13"/>
  <c r="DA72" i="13"/>
  <c r="DB72" i="13"/>
  <c r="DD72" i="13" s="1"/>
  <c r="DC72" i="13"/>
  <c r="CY73" i="13"/>
  <c r="DD73" i="13" s="1"/>
  <c r="CZ73" i="13"/>
  <c r="DA73" i="13"/>
  <c r="DB73" i="13"/>
  <c r="DC73" i="13"/>
  <c r="CY74" i="13"/>
  <c r="CZ74" i="13"/>
  <c r="DA74" i="13"/>
  <c r="DD74" i="13" s="1"/>
  <c r="DB74" i="13"/>
  <c r="DC74" i="13"/>
  <c r="CY75" i="13"/>
  <c r="CZ75" i="13"/>
  <c r="DA75" i="13"/>
  <c r="DB75" i="13"/>
  <c r="DC75" i="13"/>
  <c r="CY76" i="13"/>
  <c r="CZ76" i="13"/>
  <c r="DD76" i="13" s="1"/>
  <c r="DA76" i="13"/>
  <c r="DB76" i="13"/>
  <c r="DC76" i="13"/>
  <c r="CY77" i="13"/>
  <c r="DD77" i="13" s="1"/>
  <c r="CZ77" i="13"/>
  <c r="DA77" i="13"/>
  <c r="DB77" i="13"/>
  <c r="DC77" i="13"/>
  <c r="CY78" i="13"/>
  <c r="DD78" i="13" s="1"/>
  <c r="CZ78" i="13"/>
  <c r="DA78" i="13"/>
  <c r="DB78" i="13"/>
  <c r="DC78" i="13"/>
  <c r="CY79" i="13"/>
  <c r="CZ79" i="13"/>
  <c r="DA79" i="13"/>
  <c r="DB79" i="13"/>
  <c r="DC79" i="13"/>
  <c r="CY80" i="13"/>
  <c r="CZ80" i="13"/>
  <c r="DA80" i="13"/>
  <c r="DB80" i="13"/>
  <c r="DC80" i="13"/>
  <c r="CY81" i="13"/>
  <c r="CZ81" i="13"/>
  <c r="DA81" i="13"/>
  <c r="DB81" i="13"/>
  <c r="DC81" i="13"/>
  <c r="CY82" i="13"/>
  <c r="DD82" i="13" s="1"/>
  <c r="CZ82" i="13"/>
  <c r="DA82" i="13"/>
  <c r="DB82" i="13"/>
  <c r="DC82" i="13"/>
  <c r="CY83" i="13"/>
  <c r="DD83" i="13" s="1"/>
  <c r="CZ83" i="13"/>
  <c r="DA83" i="13"/>
  <c r="DB83" i="13"/>
  <c r="DC83" i="13"/>
  <c r="CY84" i="13"/>
  <c r="DD84" i="13" s="1"/>
  <c r="CZ84" i="13"/>
  <c r="DA84" i="13"/>
  <c r="DB84" i="13"/>
  <c r="DC84" i="13"/>
  <c r="CY85" i="13"/>
  <c r="DD85" i="13" s="1"/>
  <c r="CZ85" i="13"/>
  <c r="DA85" i="13"/>
  <c r="DB85" i="13"/>
  <c r="DC85" i="13"/>
  <c r="CY86" i="13"/>
  <c r="DD86" i="13" s="1"/>
  <c r="CZ86" i="13"/>
  <c r="DA86" i="13"/>
  <c r="DB86" i="13"/>
  <c r="DC86" i="13"/>
  <c r="CY87" i="13"/>
  <c r="DD87" i="13" s="1"/>
  <c r="CZ87" i="13"/>
  <c r="DA87" i="13"/>
  <c r="DB87" i="13"/>
  <c r="DC87" i="13"/>
  <c r="CY88" i="13"/>
  <c r="DD88" i="13" s="1"/>
  <c r="CZ88" i="13"/>
  <c r="DA88" i="13"/>
  <c r="DB88" i="13"/>
  <c r="DC88" i="13"/>
  <c r="CY89" i="13"/>
  <c r="DD89" i="13" s="1"/>
  <c r="CZ89" i="13"/>
  <c r="DA89" i="13"/>
  <c r="DB89" i="13"/>
  <c r="DC89" i="13"/>
  <c r="CY90" i="13"/>
  <c r="DD90" i="13" s="1"/>
  <c r="CZ90" i="13"/>
  <c r="DA90" i="13"/>
  <c r="DB90" i="13"/>
  <c r="DC90" i="13"/>
  <c r="CY91" i="13"/>
  <c r="CZ91" i="13"/>
  <c r="DA91" i="13"/>
  <c r="DB91" i="13"/>
  <c r="DC91" i="13"/>
  <c r="CY92" i="13"/>
  <c r="CZ92" i="13"/>
  <c r="DA92" i="13"/>
  <c r="DB92" i="13"/>
  <c r="DD92" i="13" s="1"/>
  <c r="DC92" i="13"/>
  <c r="CY93" i="13"/>
  <c r="DD93" i="13" s="1"/>
  <c r="CZ93" i="13"/>
  <c r="DA93" i="13"/>
  <c r="DB93" i="13"/>
  <c r="DC93" i="13"/>
  <c r="CY94" i="13"/>
  <c r="CZ94" i="13"/>
  <c r="DA94" i="13"/>
  <c r="DD94" i="13" s="1"/>
  <c r="DB94" i="13"/>
  <c r="DC94" i="13"/>
  <c r="CY95" i="13"/>
  <c r="CZ95" i="13"/>
  <c r="DA95" i="13"/>
  <c r="DB95" i="13"/>
  <c r="DC95" i="13"/>
  <c r="CY96" i="13"/>
  <c r="CZ96" i="13"/>
  <c r="DD96" i="13" s="1"/>
  <c r="DA96" i="13"/>
  <c r="DB96" i="13"/>
  <c r="DC96" i="13"/>
  <c r="CY97" i="13"/>
  <c r="DD97" i="13" s="1"/>
  <c r="CZ97" i="13"/>
  <c r="DA97" i="13"/>
  <c r="DB97" i="13"/>
  <c r="DC97" i="13"/>
  <c r="CY98" i="13"/>
  <c r="DD98" i="13" s="1"/>
  <c r="CZ98" i="13"/>
  <c r="DA98" i="13"/>
  <c r="DB98" i="13"/>
  <c r="DC98" i="13"/>
  <c r="CY99" i="13"/>
  <c r="CZ99" i="13"/>
  <c r="DA99" i="13"/>
  <c r="DB99" i="13"/>
  <c r="DC99" i="13"/>
  <c r="CY100" i="13"/>
  <c r="CZ100" i="13"/>
  <c r="DA100" i="13"/>
  <c r="DB100" i="13"/>
  <c r="DC100" i="13"/>
  <c r="CY101" i="13"/>
  <c r="CZ101" i="13"/>
  <c r="DA101" i="13"/>
  <c r="DB101" i="13"/>
  <c r="DC101" i="13"/>
  <c r="DB2" i="13"/>
  <c r="DA2" i="13"/>
  <c r="CZ2" i="13"/>
  <c r="CY2" i="13"/>
  <c r="DD2" i="13" s="1"/>
  <c r="CT3" i="13"/>
  <c r="CU3" i="13"/>
  <c r="CV3" i="13"/>
  <c r="CW3" i="13"/>
  <c r="CT4" i="13"/>
  <c r="CU4" i="13"/>
  <c r="CV4" i="13"/>
  <c r="CW4" i="13"/>
  <c r="CT5" i="13"/>
  <c r="CU5" i="13"/>
  <c r="CV5" i="13"/>
  <c r="CW5" i="13"/>
  <c r="CT6" i="13"/>
  <c r="CU6" i="13"/>
  <c r="CV6" i="13"/>
  <c r="CW6" i="13"/>
  <c r="CT7" i="13"/>
  <c r="CU7" i="13"/>
  <c r="CV7" i="13"/>
  <c r="CW7" i="13"/>
  <c r="CT8" i="13"/>
  <c r="CU8" i="13"/>
  <c r="CV8" i="13"/>
  <c r="CW8" i="13"/>
  <c r="CT9" i="13"/>
  <c r="CU9" i="13"/>
  <c r="CV9" i="13"/>
  <c r="CW9" i="13"/>
  <c r="CT10" i="13"/>
  <c r="CU10" i="13"/>
  <c r="CV10" i="13"/>
  <c r="CW10" i="13"/>
  <c r="CT11" i="13"/>
  <c r="CU11" i="13"/>
  <c r="CV11" i="13"/>
  <c r="CW11" i="13"/>
  <c r="CT12" i="13"/>
  <c r="CU12" i="13"/>
  <c r="CV12" i="13"/>
  <c r="CW12" i="13"/>
  <c r="CT13" i="13"/>
  <c r="CU13" i="13"/>
  <c r="CV13" i="13"/>
  <c r="CW13" i="13"/>
  <c r="CT14" i="13"/>
  <c r="CU14" i="13"/>
  <c r="CV14" i="13"/>
  <c r="CW14" i="13"/>
  <c r="CT15" i="13"/>
  <c r="CU15" i="13"/>
  <c r="CV15" i="13"/>
  <c r="CW15" i="13"/>
  <c r="CT16" i="13"/>
  <c r="CU16" i="13"/>
  <c r="CV16" i="13"/>
  <c r="CW16" i="13"/>
  <c r="CT17" i="13"/>
  <c r="CU17" i="13"/>
  <c r="CV17" i="13"/>
  <c r="CW17" i="13"/>
  <c r="CT18" i="13"/>
  <c r="CU18" i="13"/>
  <c r="CV18" i="13"/>
  <c r="CW18" i="13"/>
  <c r="CT19" i="13"/>
  <c r="CU19" i="13"/>
  <c r="CV19" i="13"/>
  <c r="CW19" i="13"/>
  <c r="CT20" i="13"/>
  <c r="CU20" i="13"/>
  <c r="CV20" i="13"/>
  <c r="CW20" i="13"/>
  <c r="CT21" i="13"/>
  <c r="CU21" i="13"/>
  <c r="CV21" i="13"/>
  <c r="CW21" i="13"/>
  <c r="CT22" i="13"/>
  <c r="CU22" i="13"/>
  <c r="CV22" i="13"/>
  <c r="CW22" i="13"/>
  <c r="CT23" i="13"/>
  <c r="CU23" i="13"/>
  <c r="CV23" i="13"/>
  <c r="CW23" i="13"/>
  <c r="CT24" i="13"/>
  <c r="CU24" i="13"/>
  <c r="CV24" i="13"/>
  <c r="CW24" i="13"/>
  <c r="CT25" i="13"/>
  <c r="CU25" i="13"/>
  <c r="CV25" i="13"/>
  <c r="CW25" i="13"/>
  <c r="CT26" i="13"/>
  <c r="CU26" i="13"/>
  <c r="CV26" i="13"/>
  <c r="CW26" i="13"/>
  <c r="CT27" i="13"/>
  <c r="CU27" i="13"/>
  <c r="CV27" i="13"/>
  <c r="CW27" i="13"/>
  <c r="CT28" i="13"/>
  <c r="CU28" i="13"/>
  <c r="CV28" i="13"/>
  <c r="CW28" i="13"/>
  <c r="CT29" i="13"/>
  <c r="CU29" i="13"/>
  <c r="CV29" i="13"/>
  <c r="CW29" i="13"/>
  <c r="CT30" i="13"/>
  <c r="CU30" i="13"/>
  <c r="CV30" i="13"/>
  <c r="CW30" i="13"/>
  <c r="CT31" i="13"/>
  <c r="CU31" i="13"/>
  <c r="CV31" i="13"/>
  <c r="CW31" i="13"/>
  <c r="CT32" i="13"/>
  <c r="CU32" i="13"/>
  <c r="CV32" i="13"/>
  <c r="CW32" i="13"/>
  <c r="CT33" i="13"/>
  <c r="CU33" i="13"/>
  <c r="CV33" i="13"/>
  <c r="CW33" i="13"/>
  <c r="CT34" i="13"/>
  <c r="CU34" i="13"/>
  <c r="CV34" i="13"/>
  <c r="CW34" i="13"/>
  <c r="CT35" i="13"/>
  <c r="CU35" i="13"/>
  <c r="CV35" i="13"/>
  <c r="CW35" i="13"/>
  <c r="CT36" i="13"/>
  <c r="CU36" i="13"/>
  <c r="CV36" i="13"/>
  <c r="CW36" i="13"/>
  <c r="CT37" i="13"/>
  <c r="CU37" i="13"/>
  <c r="CV37" i="13"/>
  <c r="CW37" i="13"/>
  <c r="CT38" i="13"/>
  <c r="CU38" i="13"/>
  <c r="CV38" i="13"/>
  <c r="CW38" i="13"/>
  <c r="CT39" i="13"/>
  <c r="CU39" i="13"/>
  <c r="CV39" i="13"/>
  <c r="CW39" i="13"/>
  <c r="CT40" i="13"/>
  <c r="CU40" i="13"/>
  <c r="CV40" i="13"/>
  <c r="CW40" i="13"/>
  <c r="CT41" i="13"/>
  <c r="CU41" i="13"/>
  <c r="CV41" i="13"/>
  <c r="CW41" i="13"/>
  <c r="CT42" i="13"/>
  <c r="CU42" i="13"/>
  <c r="CV42" i="13"/>
  <c r="CW42" i="13"/>
  <c r="CT43" i="13"/>
  <c r="CU43" i="13"/>
  <c r="CV43" i="13"/>
  <c r="CW43" i="13"/>
  <c r="CT44" i="13"/>
  <c r="CU44" i="13"/>
  <c r="CV44" i="13"/>
  <c r="CW44" i="13"/>
  <c r="CT45" i="13"/>
  <c r="CU45" i="13"/>
  <c r="CV45" i="13"/>
  <c r="CW45" i="13"/>
  <c r="CT46" i="13"/>
  <c r="CU46" i="13"/>
  <c r="CV46" i="13"/>
  <c r="CW46" i="13"/>
  <c r="CT47" i="13"/>
  <c r="CU47" i="13"/>
  <c r="CV47" i="13"/>
  <c r="CW47" i="13"/>
  <c r="CT48" i="13"/>
  <c r="CU48" i="13"/>
  <c r="CV48" i="13"/>
  <c r="CW48" i="13"/>
  <c r="CT49" i="13"/>
  <c r="CU49" i="13"/>
  <c r="CV49" i="13"/>
  <c r="CW49" i="13"/>
  <c r="CT50" i="13"/>
  <c r="CU50" i="13"/>
  <c r="CV50" i="13"/>
  <c r="CW50" i="13"/>
  <c r="CT51" i="13"/>
  <c r="CU51" i="13"/>
  <c r="CV51" i="13"/>
  <c r="CW51" i="13"/>
  <c r="CT52" i="13"/>
  <c r="CU52" i="13"/>
  <c r="CV52" i="13"/>
  <c r="CW52" i="13"/>
  <c r="CT53" i="13"/>
  <c r="CU53" i="13"/>
  <c r="CV53" i="13"/>
  <c r="CW53" i="13"/>
  <c r="CT54" i="13"/>
  <c r="CU54" i="13"/>
  <c r="CV54" i="13"/>
  <c r="CW54" i="13"/>
  <c r="CT55" i="13"/>
  <c r="CU55" i="13"/>
  <c r="CV55" i="13"/>
  <c r="CW55" i="13"/>
  <c r="CT56" i="13"/>
  <c r="CU56" i="13"/>
  <c r="CV56" i="13"/>
  <c r="CW56" i="13"/>
  <c r="CT57" i="13"/>
  <c r="CU57" i="13"/>
  <c r="CV57" i="13"/>
  <c r="CW57" i="13"/>
  <c r="CT58" i="13"/>
  <c r="CU58" i="13"/>
  <c r="CV58" i="13"/>
  <c r="CW58" i="13"/>
  <c r="CT59" i="13"/>
  <c r="CU59" i="13"/>
  <c r="CV59" i="13"/>
  <c r="CW59" i="13"/>
  <c r="CT60" i="13"/>
  <c r="CU60" i="13"/>
  <c r="CV60" i="13"/>
  <c r="CW60" i="13"/>
  <c r="CT61" i="13"/>
  <c r="CU61" i="13"/>
  <c r="CV61" i="13"/>
  <c r="CW61" i="13"/>
  <c r="CT62" i="13"/>
  <c r="CU62" i="13"/>
  <c r="CV62" i="13"/>
  <c r="CW62" i="13"/>
  <c r="CT63" i="13"/>
  <c r="CU63" i="13"/>
  <c r="CV63" i="13"/>
  <c r="CW63" i="13"/>
  <c r="CT64" i="13"/>
  <c r="CU64" i="13"/>
  <c r="CV64" i="13"/>
  <c r="CW64" i="13"/>
  <c r="CT65" i="13"/>
  <c r="CU65" i="13"/>
  <c r="CV65" i="13"/>
  <c r="CW65" i="13"/>
  <c r="CT66" i="13"/>
  <c r="CU66" i="13"/>
  <c r="CV66" i="13"/>
  <c r="CW66" i="13"/>
  <c r="CT67" i="13"/>
  <c r="CU67" i="13"/>
  <c r="CV67" i="13"/>
  <c r="CW67" i="13"/>
  <c r="CT68" i="13"/>
  <c r="CU68" i="13"/>
  <c r="CV68" i="13"/>
  <c r="CW68" i="13"/>
  <c r="CT69" i="13"/>
  <c r="CU69" i="13"/>
  <c r="CV69" i="13"/>
  <c r="CW69" i="13"/>
  <c r="CT70" i="13"/>
  <c r="CU70" i="13"/>
  <c r="CV70" i="13"/>
  <c r="CW70" i="13"/>
  <c r="CT71" i="13"/>
  <c r="CU71" i="13"/>
  <c r="CV71" i="13"/>
  <c r="CW71" i="13"/>
  <c r="CT72" i="13"/>
  <c r="CU72" i="13"/>
  <c r="CV72" i="13"/>
  <c r="CW72" i="13"/>
  <c r="CT73" i="13"/>
  <c r="CU73" i="13"/>
  <c r="CV73" i="13"/>
  <c r="CW73" i="13"/>
  <c r="CT74" i="13"/>
  <c r="CU74" i="13"/>
  <c r="CV74" i="13"/>
  <c r="CW74" i="13"/>
  <c r="CT75" i="13"/>
  <c r="CU75" i="13"/>
  <c r="CV75" i="13"/>
  <c r="CW75" i="13"/>
  <c r="CT76" i="13"/>
  <c r="CU76" i="13"/>
  <c r="CV76" i="13"/>
  <c r="CW76" i="13"/>
  <c r="CT77" i="13"/>
  <c r="CU77" i="13"/>
  <c r="CV77" i="13"/>
  <c r="CW77" i="13"/>
  <c r="CT78" i="13"/>
  <c r="CU78" i="13"/>
  <c r="CV78" i="13"/>
  <c r="CW78" i="13"/>
  <c r="CT79" i="13"/>
  <c r="CU79" i="13"/>
  <c r="CV79" i="13"/>
  <c r="CW79" i="13"/>
  <c r="CT80" i="13"/>
  <c r="CU80" i="13"/>
  <c r="CV80" i="13"/>
  <c r="CW80" i="13"/>
  <c r="CT81" i="13"/>
  <c r="CU81" i="13"/>
  <c r="CV81" i="13"/>
  <c r="CW81" i="13"/>
  <c r="CT82" i="13"/>
  <c r="CU82" i="13"/>
  <c r="CV82" i="13"/>
  <c r="CW82" i="13"/>
  <c r="CT83" i="13"/>
  <c r="CU83" i="13"/>
  <c r="CV83" i="13"/>
  <c r="CW83" i="13"/>
  <c r="CT84" i="13"/>
  <c r="CU84" i="13"/>
  <c r="CV84" i="13"/>
  <c r="CW84" i="13"/>
  <c r="CT85" i="13"/>
  <c r="CU85" i="13"/>
  <c r="CV85" i="13"/>
  <c r="CW85" i="13"/>
  <c r="CT86" i="13"/>
  <c r="CU86" i="13"/>
  <c r="CV86" i="13"/>
  <c r="CW86" i="13"/>
  <c r="CT87" i="13"/>
  <c r="CU87" i="13"/>
  <c r="CV87" i="13"/>
  <c r="CW87" i="13"/>
  <c r="CT88" i="13"/>
  <c r="CU88" i="13"/>
  <c r="CV88" i="13"/>
  <c r="CW88" i="13"/>
  <c r="CT89" i="13"/>
  <c r="CU89" i="13"/>
  <c r="CV89" i="13"/>
  <c r="CW89" i="13"/>
  <c r="CT90" i="13"/>
  <c r="CU90" i="13"/>
  <c r="CV90" i="13"/>
  <c r="CW90" i="13"/>
  <c r="CT91" i="13"/>
  <c r="CU91" i="13"/>
  <c r="CV91" i="13"/>
  <c r="CW91" i="13"/>
  <c r="CT92" i="13"/>
  <c r="CU92" i="13"/>
  <c r="CV92" i="13"/>
  <c r="CW92" i="13"/>
  <c r="CT93" i="13"/>
  <c r="CU93" i="13"/>
  <c r="CV93" i="13"/>
  <c r="CW93" i="13"/>
  <c r="CT94" i="13"/>
  <c r="CU94" i="13"/>
  <c r="CV94" i="13"/>
  <c r="CW94" i="13"/>
  <c r="CT95" i="13"/>
  <c r="CU95" i="13"/>
  <c r="CV95" i="13"/>
  <c r="CW95" i="13"/>
  <c r="CT96" i="13"/>
  <c r="CU96" i="13"/>
  <c r="CV96" i="13"/>
  <c r="CW96" i="13"/>
  <c r="CT97" i="13"/>
  <c r="CU97" i="13"/>
  <c r="CV97" i="13"/>
  <c r="CW97" i="13"/>
  <c r="CT98" i="13"/>
  <c r="CU98" i="13"/>
  <c r="CV98" i="13"/>
  <c r="CW98" i="13"/>
  <c r="CT99" i="13"/>
  <c r="CU99" i="13"/>
  <c r="CV99" i="13"/>
  <c r="CW99" i="13"/>
  <c r="CT100" i="13"/>
  <c r="CU100" i="13"/>
  <c r="CV100" i="13"/>
  <c r="CW100" i="13"/>
  <c r="CT101" i="13"/>
  <c r="CU101" i="13"/>
  <c r="CV101" i="13"/>
  <c r="CW101" i="13"/>
  <c r="CT2" i="13"/>
  <c r="CS3" i="13"/>
  <c r="CS4" i="13"/>
  <c r="CS5" i="13"/>
  <c r="CS6" i="13"/>
  <c r="CS7" i="13"/>
  <c r="CS8" i="13"/>
  <c r="CS9" i="13"/>
  <c r="CS10" i="13"/>
  <c r="CS11" i="13"/>
  <c r="CS12" i="13"/>
  <c r="CS13" i="13"/>
  <c r="CS14" i="13"/>
  <c r="CS15" i="13"/>
  <c r="CS16" i="13"/>
  <c r="CS17" i="13"/>
  <c r="CS18" i="13"/>
  <c r="CS19" i="13"/>
  <c r="CS20" i="13"/>
  <c r="CS21" i="13"/>
  <c r="CS22" i="13"/>
  <c r="CS23" i="13"/>
  <c r="CS24" i="13"/>
  <c r="CS25" i="13"/>
  <c r="CS26" i="13"/>
  <c r="CS27" i="13"/>
  <c r="CS28" i="13"/>
  <c r="CS29" i="13"/>
  <c r="CS30" i="13"/>
  <c r="CS31" i="13"/>
  <c r="CS32" i="13"/>
  <c r="CS33" i="13"/>
  <c r="CS34" i="13"/>
  <c r="CS35" i="13"/>
  <c r="CS36" i="13"/>
  <c r="CS37" i="13"/>
  <c r="CS38" i="13"/>
  <c r="CS39" i="13"/>
  <c r="CS40" i="13"/>
  <c r="CS41" i="13"/>
  <c r="CS42" i="13"/>
  <c r="CS43" i="13"/>
  <c r="CS44" i="13"/>
  <c r="CS45" i="13"/>
  <c r="CS46" i="13"/>
  <c r="CS47" i="13"/>
  <c r="CS48" i="13"/>
  <c r="CS49" i="13"/>
  <c r="CS50" i="13"/>
  <c r="CS51" i="13"/>
  <c r="CS52" i="13"/>
  <c r="CS53" i="13"/>
  <c r="CS54" i="13"/>
  <c r="CS55" i="13"/>
  <c r="CS56" i="13"/>
  <c r="CS57" i="13"/>
  <c r="CS58" i="13"/>
  <c r="CS59" i="13"/>
  <c r="CS60" i="13"/>
  <c r="CS61" i="13"/>
  <c r="CS62" i="13"/>
  <c r="CS63" i="13"/>
  <c r="CS64" i="13"/>
  <c r="CS65" i="13"/>
  <c r="CS66" i="13"/>
  <c r="CS67" i="13"/>
  <c r="CS68" i="13"/>
  <c r="CS69" i="13"/>
  <c r="CS70" i="13"/>
  <c r="CS71" i="13"/>
  <c r="CS72" i="13"/>
  <c r="CS73" i="13"/>
  <c r="CS74" i="13"/>
  <c r="CS75" i="13"/>
  <c r="CS76" i="13"/>
  <c r="CS77" i="13"/>
  <c r="CS78" i="13"/>
  <c r="CS79" i="13"/>
  <c r="CS80" i="13"/>
  <c r="CS81" i="13"/>
  <c r="CS82" i="13"/>
  <c r="CS83" i="13"/>
  <c r="CS84" i="13"/>
  <c r="CS85" i="13"/>
  <c r="CS86" i="13"/>
  <c r="CS87" i="13"/>
  <c r="CS88" i="13"/>
  <c r="CS89" i="13"/>
  <c r="CS90" i="13"/>
  <c r="CS91" i="13"/>
  <c r="CS92" i="13"/>
  <c r="CS93" i="13"/>
  <c r="CS94" i="13"/>
  <c r="CS95" i="13"/>
  <c r="CS96" i="13"/>
  <c r="CS97" i="13"/>
  <c r="CS98" i="13"/>
  <c r="CS99" i="13"/>
  <c r="CS100" i="13"/>
  <c r="CS101" i="13"/>
  <c r="CW2" i="13"/>
  <c r="CV2" i="13"/>
  <c r="CU2" i="13"/>
  <c r="CS2" i="13"/>
  <c r="DP2" i="7"/>
  <c r="CV3" i="23" l="1"/>
  <c r="DK9" i="23"/>
  <c r="CX20" i="23"/>
  <c r="CU8" i="23"/>
  <c r="DA8" i="23"/>
  <c r="DU25" i="23"/>
  <c r="EH25" i="23" s="1"/>
  <c r="BT25" i="23"/>
  <c r="BZ25" i="23" s="1"/>
  <c r="CK25" i="23" s="1"/>
  <c r="BP29" i="23"/>
  <c r="CY29" i="23"/>
  <c r="ED29" i="23"/>
  <c r="EC29" i="23"/>
  <c r="EG29" i="23"/>
  <c r="EF29" i="23"/>
  <c r="EE29" i="23"/>
  <c r="BX2" i="23"/>
  <c r="CI2" i="23" s="1"/>
  <c r="CG14" i="23"/>
  <c r="DO14" i="23"/>
  <c r="CZ48" i="23"/>
  <c r="CT48" i="23"/>
  <c r="CY15" i="23"/>
  <c r="DD15" i="23" s="1"/>
  <c r="CS15" i="23"/>
  <c r="CG26" i="23"/>
  <c r="DO26" i="23"/>
  <c r="CT34" i="23"/>
  <c r="CX34" i="23" s="1"/>
  <c r="CZ34" i="23"/>
  <c r="DD34" i="23" s="1"/>
  <c r="CU48" i="23"/>
  <c r="DA48" i="23"/>
  <c r="EF73" i="23"/>
  <c r="DT73" i="23"/>
  <c r="EB73" i="23" s="1"/>
  <c r="DB73" i="23"/>
  <c r="EG73" i="23"/>
  <c r="EE73" i="23"/>
  <c r="ED73" i="23"/>
  <c r="EC73" i="23"/>
  <c r="CY73" i="23"/>
  <c r="DA73" i="23"/>
  <c r="CZ73" i="23"/>
  <c r="CV8" i="23"/>
  <c r="DB8" i="23"/>
  <c r="DN30" i="23"/>
  <c r="BX30" i="23"/>
  <c r="CI30" i="23" s="1"/>
  <c r="CB7" i="23"/>
  <c r="BQ7" i="23"/>
  <c r="CD7" i="23" s="1"/>
  <c r="DK7" i="23" s="1"/>
  <c r="CB11" i="23"/>
  <c r="BQ11" i="23"/>
  <c r="CD11" i="23" s="1"/>
  <c r="CG30" i="23"/>
  <c r="DO30" i="23"/>
  <c r="BW30" i="23"/>
  <c r="BY30" i="23" s="1"/>
  <c r="CJ30" i="23" s="1"/>
  <c r="BV56" i="23"/>
  <c r="DU56" i="23"/>
  <c r="EH56" i="23" s="1"/>
  <c r="CY6" i="23"/>
  <c r="CS6" i="23"/>
  <c r="CA10" i="23"/>
  <c r="CL10" i="23" s="1"/>
  <c r="CH10" i="23"/>
  <c r="CG11" i="23"/>
  <c r="DO11" i="23"/>
  <c r="DB25" i="23"/>
  <c r="BP30" i="23"/>
  <c r="DB30" i="23"/>
  <c r="DA30" i="23"/>
  <c r="EG30" i="23"/>
  <c r="CF31" i="23"/>
  <c r="DI31" i="23" s="1"/>
  <c r="DP31" i="23"/>
  <c r="DZ31" i="23"/>
  <c r="DY31" i="23"/>
  <c r="DX31" i="23"/>
  <c r="DW31" i="23"/>
  <c r="EA31" i="23"/>
  <c r="DJ41" i="23"/>
  <c r="BQ12" i="23"/>
  <c r="CD12" i="23" s="1"/>
  <c r="CB12" i="23"/>
  <c r="DO13" i="23"/>
  <c r="CG13" i="23"/>
  <c r="BY13" i="23"/>
  <c r="CJ13" i="23" s="1"/>
  <c r="BU31" i="23"/>
  <c r="BS31" i="23"/>
  <c r="BO31" i="23"/>
  <c r="BY3" i="23"/>
  <c r="CJ3" i="23" s="1"/>
  <c r="DO3" i="23"/>
  <c r="BQ4" i="23"/>
  <c r="CD4" i="23" s="1"/>
  <c r="CB4" i="23"/>
  <c r="EA13" i="23"/>
  <c r="DZ13" i="23"/>
  <c r="DY13" i="23"/>
  <c r="DX13" i="23"/>
  <c r="DP13" i="23"/>
  <c r="DM13" i="23"/>
  <c r="CF13" i="23"/>
  <c r="DI13" i="23" s="1"/>
  <c r="CT13" i="23"/>
  <c r="CS13" i="23"/>
  <c r="DW13" i="23"/>
  <c r="CU13" i="23"/>
  <c r="BW14" i="23"/>
  <c r="BY14" i="23" s="1"/>
  <c r="CJ14" i="23" s="1"/>
  <c r="DN16" i="23"/>
  <c r="DL16" i="23"/>
  <c r="BX16" i="23"/>
  <c r="CI16" i="23" s="1"/>
  <c r="BQ22" i="23"/>
  <c r="CD22" i="23" s="1"/>
  <c r="CB22" i="23"/>
  <c r="DA27" i="23"/>
  <c r="CU27" i="23"/>
  <c r="DC31" i="23"/>
  <c r="EG31" i="23"/>
  <c r="EF31" i="23"/>
  <c r="EE31" i="23"/>
  <c r="EC31" i="23"/>
  <c r="ED31" i="23"/>
  <c r="BQ41" i="23"/>
  <c r="CD41" i="23" s="1"/>
  <c r="DK41" i="23" s="1"/>
  <c r="BR68" i="23"/>
  <c r="CE68" i="23" s="1"/>
  <c r="CC68" i="23"/>
  <c r="CB3" i="23"/>
  <c r="BQ3" i="23"/>
  <c r="CD3" i="23" s="1"/>
  <c r="CZ6" i="23"/>
  <c r="CT6" i="23"/>
  <c r="DU22" i="23"/>
  <c r="EH22" i="23" s="1"/>
  <c r="BV22" i="23"/>
  <c r="BT22" i="23"/>
  <c r="DC29" i="23"/>
  <c r="CH30" i="23"/>
  <c r="CA30" i="23"/>
  <c r="CL30" i="23" s="1"/>
  <c r="CC41" i="23"/>
  <c r="BR41" i="23"/>
  <c r="CE41" i="23" s="1"/>
  <c r="EA3" i="23"/>
  <c r="CG4" i="23"/>
  <c r="BY4" i="23"/>
  <c r="CJ4" i="23" s="1"/>
  <c r="BW4" i="23"/>
  <c r="CH6" i="23"/>
  <c r="CA6" i="23"/>
  <c r="CL6" i="23" s="1"/>
  <c r="BS13" i="23"/>
  <c r="DU18" i="23"/>
  <c r="EH18" i="23" s="1"/>
  <c r="BT18" i="23"/>
  <c r="BZ18" i="23" s="1"/>
  <c r="CK18" i="23" s="1"/>
  <c r="DB27" i="23"/>
  <c r="CV27" i="23"/>
  <c r="CX27" i="23" s="1"/>
  <c r="BW13" i="23"/>
  <c r="CB18" i="23"/>
  <c r="BQ18" i="23"/>
  <c r="CD18" i="23" s="1"/>
  <c r="CH38" i="23"/>
  <c r="DO38" i="23"/>
  <c r="CA38" i="23"/>
  <c r="CL38" i="23" s="1"/>
  <c r="BQ40" i="23"/>
  <c r="CD40" i="23" s="1"/>
  <c r="DK40" i="23" s="1"/>
  <c r="CB40" i="23"/>
  <c r="DJ40" i="23" s="1"/>
  <c r="DL40" i="23" s="1"/>
  <c r="DT3" i="23"/>
  <c r="EB3" i="23" s="1"/>
  <c r="CW9" i="23"/>
  <c r="CX9" i="23" s="1"/>
  <c r="DC9" i="23"/>
  <c r="BP18" i="23"/>
  <c r="CY7" i="23"/>
  <c r="DD7" i="23" s="1"/>
  <c r="CS7" i="23"/>
  <c r="CX7" i="23" s="1"/>
  <c r="DJ8" i="23"/>
  <c r="BR40" i="23"/>
  <c r="CE40" i="23" s="1"/>
  <c r="CG3" i="23"/>
  <c r="CZ7" i="23"/>
  <c r="CT7" i="23"/>
  <c r="CC8" i="23"/>
  <c r="BR8" i="23"/>
  <c r="CE8" i="23" s="1"/>
  <c r="DK8" i="23" s="1"/>
  <c r="DA7" i="23"/>
  <c r="CU7" i="23"/>
  <c r="CH14" i="23"/>
  <c r="CA14" i="23"/>
  <c r="CL14" i="23" s="1"/>
  <c r="EI35" i="23"/>
  <c r="CB58" i="23"/>
  <c r="DJ58" i="23" s="1"/>
  <c r="BQ58" i="23"/>
  <c r="CD58" i="23" s="1"/>
  <c r="DK58" i="23" s="1"/>
  <c r="DQ2" i="23"/>
  <c r="DR2" i="23" s="1"/>
  <c r="CZ8" i="23"/>
  <c r="CT8" i="23"/>
  <c r="EG25" i="23"/>
  <c r="EF25" i="23"/>
  <c r="EE25" i="23"/>
  <c r="ED25" i="23"/>
  <c r="EC25" i="23"/>
  <c r="DA25" i="23"/>
  <c r="BP25" i="23"/>
  <c r="CB46" i="23"/>
  <c r="BQ46" i="23"/>
  <c r="CD46" i="23" s="1"/>
  <c r="DU28" i="23"/>
  <c r="EH28" i="23" s="1"/>
  <c r="DZ28" i="23"/>
  <c r="DY28" i="23"/>
  <c r="DX28" i="23"/>
  <c r="EA28" i="23"/>
  <c r="DM28" i="23"/>
  <c r="CF28" i="23"/>
  <c r="DI28" i="23" s="1"/>
  <c r="CV28" i="23"/>
  <c r="DW28" i="23"/>
  <c r="DO58" i="23"/>
  <c r="CG58" i="23"/>
  <c r="BQ2" i="23"/>
  <c r="CD2" i="23" s="1"/>
  <c r="CB2" i="23"/>
  <c r="DD10" i="23"/>
  <c r="BV18" i="23"/>
  <c r="DA23" i="23"/>
  <c r="DD23" i="23" s="1"/>
  <c r="CU23" i="23"/>
  <c r="BU28" i="23"/>
  <c r="BS28" i="23"/>
  <c r="DM31" i="23"/>
  <c r="DB13" i="23"/>
  <c r="CV13" i="23"/>
  <c r="DB23" i="23"/>
  <c r="CV23" i="23"/>
  <c r="CG25" i="23"/>
  <c r="BY25" i="23"/>
  <c r="CJ25" i="23" s="1"/>
  <c r="EC28" i="23"/>
  <c r="DT28" i="23"/>
  <c r="EB28" i="23" s="1"/>
  <c r="EG28" i="23"/>
  <c r="EF28" i="23"/>
  <c r="EE28" i="23"/>
  <c r="ED28" i="23"/>
  <c r="DA28" i="23"/>
  <c r="BY5" i="23"/>
  <c r="CJ5" i="23" s="1"/>
  <c r="DO5" i="23"/>
  <c r="BQ6" i="23"/>
  <c r="CD6" i="23" s="1"/>
  <c r="DK6" i="23" s="1"/>
  <c r="BU6" i="23"/>
  <c r="BS6" i="23"/>
  <c r="CH8" i="23"/>
  <c r="CA8" i="23"/>
  <c r="CL8" i="23" s="1"/>
  <c r="CW13" i="23"/>
  <c r="DC23" i="23"/>
  <c r="CW23" i="23"/>
  <c r="BV25" i="23"/>
  <c r="CG27" i="23"/>
  <c r="DO27" i="23"/>
  <c r="DT31" i="23"/>
  <c r="EB31" i="23" s="1"/>
  <c r="CX50" i="23"/>
  <c r="DP57" i="23"/>
  <c r="DM57" i="23"/>
  <c r="BS57" i="23"/>
  <c r="BO57" i="23"/>
  <c r="DN2" i="23"/>
  <c r="DZ6" i="23"/>
  <c r="DY6" i="23"/>
  <c r="DX6" i="23"/>
  <c r="DW6" i="23"/>
  <c r="CF6" i="23"/>
  <c r="DI6" i="23" s="1"/>
  <c r="DP6" i="23"/>
  <c r="EA6" i="23"/>
  <c r="DM6" i="23"/>
  <c r="CB10" i="23"/>
  <c r="BQ10" i="23"/>
  <c r="CD10" i="23" s="1"/>
  <c r="CH29" i="23"/>
  <c r="CA29" i="23"/>
  <c r="CL29" i="23" s="1"/>
  <c r="BU35" i="23"/>
  <c r="BS35" i="23"/>
  <c r="EG57" i="23"/>
  <c r="BW57" i="23"/>
  <c r="EF57" i="23"/>
  <c r="EE57" i="23"/>
  <c r="ED57" i="23"/>
  <c r="EC57" i="23"/>
  <c r="DB57" i="23"/>
  <c r="DA57" i="23"/>
  <c r="CZ57" i="23"/>
  <c r="DT57" i="23"/>
  <c r="EB57" i="23" s="1"/>
  <c r="BP2" i="23"/>
  <c r="CF3" i="23"/>
  <c r="DI3" i="23" s="1"/>
  <c r="DB3" i="23"/>
  <c r="DU8" i="23"/>
  <c r="EH8" i="23" s="1"/>
  <c r="CY8" i="23"/>
  <c r="CS8" i="23"/>
  <c r="DJ9" i="23"/>
  <c r="DN10" i="23"/>
  <c r="BX10" i="23"/>
  <c r="CI10" i="23" s="1"/>
  <c r="EA10" i="23"/>
  <c r="CG12" i="23"/>
  <c r="BO13" i="23"/>
  <c r="DN15" i="23"/>
  <c r="DQ15" i="23" s="1"/>
  <c r="DR15" i="23" s="1"/>
  <c r="EG16" i="23"/>
  <c r="EE18" i="23"/>
  <c r="DT22" i="23"/>
  <c r="EB22" i="23" s="1"/>
  <c r="BW22" i="23"/>
  <c r="DC22" i="23"/>
  <c r="CG29" i="23"/>
  <c r="DO29" i="23"/>
  <c r="CA32" i="23"/>
  <c r="CL32" i="23" s="1"/>
  <c r="CH32" i="23"/>
  <c r="BQ35" i="23"/>
  <c r="CD35" i="23" s="1"/>
  <c r="DU41" i="23"/>
  <c r="EH41" i="23" s="1"/>
  <c r="BT41" i="23"/>
  <c r="CY42" i="23"/>
  <c r="DD42" i="23" s="1"/>
  <c r="CS42" i="23"/>
  <c r="DC50" i="23"/>
  <c r="CW50" i="23"/>
  <c r="CH72" i="23"/>
  <c r="CA72" i="23"/>
  <c r="CL72" i="23" s="1"/>
  <c r="BX73" i="23"/>
  <c r="CI73" i="23" s="1"/>
  <c r="DN73" i="23"/>
  <c r="CA2" i="23"/>
  <c r="CL2" i="23" s="1"/>
  <c r="DU2" i="23"/>
  <c r="EH2" i="23" s="1"/>
  <c r="BV3" i="23"/>
  <c r="BT3" i="23"/>
  <c r="BZ3" i="23" s="1"/>
  <c r="CK3" i="23" s="1"/>
  <c r="EA4" i="23"/>
  <c r="DZ4" i="23"/>
  <c r="DW4" i="23"/>
  <c r="CV7" i="23"/>
  <c r="EC8" i="23"/>
  <c r="BX9" i="23"/>
  <c r="CI9" i="23" s="1"/>
  <c r="DB9" i="23"/>
  <c r="EE9" i="23"/>
  <c r="BS12" i="23"/>
  <c r="BW16" i="23"/>
  <c r="BX20" i="23"/>
  <c r="CI20" i="23" s="1"/>
  <c r="DM21" i="23"/>
  <c r="DW21" i="23"/>
  <c r="DW24" i="23"/>
  <c r="CW24" i="23"/>
  <c r="BS33" i="23"/>
  <c r="BQ33" i="23"/>
  <c r="CD33" i="23" s="1"/>
  <c r="DK33" i="23" s="1"/>
  <c r="CY38" i="23"/>
  <c r="CS38" i="23"/>
  <c r="EG46" i="23"/>
  <c r="BW46" i="23"/>
  <c r="BY46" i="23" s="1"/>
  <c r="CJ46" i="23" s="1"/>
  <c r="EF46" i="23"/>
  <c r="DT46" i="23"/>
  <c r="EB46" i="23" s="1"/>
  <c r="ED46" i="23"/>
  <c r="EC46" i="23"/>
  <c r="CY46" i="23"/>
  <c r="DC47" i="23"/>
  <c r="DD47" i="23" s="1"/>
  <c r="CW47" i="23"/>
  <c r="DC52" i="23"/>
  <c r="CW52" i="23"/>
  <c r="BV54" i="23"/>
  <c r="BT54" i="23"/>
  <c r="BZ54" i="23" s="1"/>
  <c r="CK54" i="23" s="1"/>
  <c r="BR54" i="23"/>
  <c r="CE54" i="23" s="1"/>
  <c r="DU54" i="23"/>
  <c r="EH54" i="23" s="1"/>
  <c r="CW55" i="23"/>
  <c r="BP3" i="23"/>
  <c r="DP3" i="23"/>
  <c r="BS4" i="23"/>
  <c r="DP4" i="23"/>
  <c r="DT5" i="23"/>
  <c r="EB5" i="23" s="1"/>
  <c r="DC5" i="23"/>
  <c r="CW7" i="23"/>
  <c r="EE7" i="23"/>
  <c r="ED8" i="23"/>
  <c r="EI8" i="23" s="1"/>
  <c r="EG12" i="23"/>
  <c r="BW12" i="23"/>
  <c r="BY12" i="23" s="1"/>
  <c r="CJ12" i="23" s="1"/>
  <c r="EF12" i="23"/>
  <c r="EE12" i="23"/>
  <c r="ED12" i="23"/>
  <c r="EC12" i="23"/>
  <c r="DT12" i="23"/>
  <c r="EB12" i="23" s="1"/>
  <c r="DT15" i="23"/>
  <c r="EB15" i="23" s="1"/>
  <c r="CZ17" i="23"/>
  <c r="DD17" i="23" s="1"/>
  <c r="CT17" i="23"/>
  <c r="CG18" i="23"/>
  <c r="BY18" i="23"/>
  <c r="CJ18" i="23" s="1"/>
  <c r="BS21" i="23"/>
  <c r="DX21" i="23"/>
  <c r="CB36" i="23"/>
  <c r="BQ36" i="23"/>
  <c r="CD36" i="23" s="1"/>
  <c r="EF42" i="23"/>
  <c r="BV43" i="23"/>
  <c r="BT43" i="23"/>
  <c r="DU43" i="23"/>
  <c r="EH43" i="23" s="1"/>
  <c r="DU46" i="23"/>
  <c r="EH46" i="23" s="1"/>
  <c r="BT46" i="23"/>
  <c r="BZ46" i="23" s="1"/>
  <c r="CK46" i="23" s="1"/>
  <c r="DM50" i="23"/>
  <c r="DP101" i="23"/>
  <c r="DM101" i="23"/>
  <c r="EA101" i="23"/>
  <c r="DZ101" i="23"/>
  <c r="DY101" i="23"/>
  <c r="DX101" i="23"/>
  <c r="DW101" i="23"/>
  <c r="CF101" i="23"/>
  <c r="DI101" i="23" s="1"/>
  <c r="CS5" i="23"/>
  <c r="EC5" i="23"/>
  <c r="CU6" i="23"/>
  <c r="CG7" i="23"/>
  <c r="DO7" i="23"/>
  <c r="DQ7" i="23" s="1"/>
  <c r="DR7" i="23" s="1"/>
  <c r="BW8" i="23"/>
  <c r="BY8" i="23" s="1"/>
  <c r="CJ8" i="23" s="1"/>
  <c r="DC8" i="23"/>
  <c r="EE8" i="23"/>
  <c r="DM11" i="23"/>
  <c r="DP11" i="23"/>
  <c r="DQ11" i="23" s="1"/>
  <c r="DR11" i="23" s="1"/>
  <c r="BT12" i="23"/>
  <c r="BZ12" i="23" s="1"/>
  <c r="CK12" i="23" s="1"/>
  <c r="BP12" i="23"/>
  <c r="DU12" i="23"/>
  <c r="EH12" i="23" s="1"/>
  <c r="CT15" i="23"/>
  <c r="BY16" i="23"/>
  <c r="CJ16" i="23" s="1"/>
  <c r="DA17" i="23"/>
  <c r="CU17" i="23"/>
  <c r="DY21" i="23"/>
  <c r="CY25" i="23"/>
  <c r="CU26" i="23"/>
  <c r="DA26" i="23"/>
  <c r="DM27" i="23"/>
  <c r="CX32" i="23"/>
  <c r="DT62" i="23"/>
  <c r="EB62" i="23" s="1"/>
  <c r="CW64" i="23"/>
  <c r="DC64" i="23"/>
  <c r="CY2" i="23"/>
  <c r="DC3" i="23"/>
  <c r="BT4" i="23"/>
  <c r="BZ4" i="23" s="1"/>
  <c r="CK4" i="23" s="1"/>
  <c r="BP4" i="23"/>
  <c r="DU4" i="23"/>
  <c r="EH4" i="23" s="1"/>
  <c r="BS5" i="23"/>
  <c r="CT5" i="23"/>
  <c r="CH7" i="23"/>
  <c r="CA7" i="23"/>
  <c r="CL7" i="23" s="1"/>
  <c r="DN11" i="23"/>
  <c r="BX11" i="23"/>
  <c r="CI11" i="23" s="1"/>
  <c r="CS11" i="23"/>
  <c r="CS12" i="23"/>
  <c r="CU15" i="23"/>
  <c r="DB17" i="23"/>
  <c r="CV17" i="23"/>
  <c r="DC19" i="23"/>
  <c r="CW19" i="23"/>
  <c r="CA20" i="23"/>
  <c r="CL20" i="23" s="1"/>
  <c r="CS21" i="23"/>
  <c r="DZ21" i="23"/>
  <c r="DU24" i="23"/>
  <c r="EH24" i="23" s="1"/>
  <c r="BT24" i="23"/>
  <c r="BZ24" i="23" s="1"/>
  <c r="CK24" i="23" s="1"/>
  <c r="BP24" i="23"/>
  <c r="DB26" i="23"/>
  <c r="CV26" i="23"/>
  <c r="EF27" i="23"/>
  <c r="EG27" i="23"/>
  <c r="EE27" i="23"/>
  <c r="CY27" i="23"/>
  <c r="ED27" i="23"/>
  <c r="EC27" i="23"/>
  <c r="BW27" i="23"/>
  <c r="BY27" i="23" s="1"/>
  <c r="CJ27" i="23" s="1"/>
  <c r="CZ41" i="23"/>
  <c r="CT41" i="23"/>
  <c r="DT42" i="23"/>
  <c r="EB42" i="23" s="1"/>
  <c r="DC42" i="23"/>
  <c r="BW42" i="23"/>
  <c r="BY42" i="23" s="1"/>
  <c r="CJ42" i="23" s="1"/>
  <c r="EE42" i="23"/>
  <c r="ED42" i="23"/>
  <c r="EC42" i="23"/>
  <c r="BR46" i="23"/>
  <c r="CE46" i="23" s="1"/>
  <c r="CC46" i="23"/>
  <c r="BU50" i="23"/>
  <c r="BS50" i="23"/>
  <c r="BX53" i="23"/>
  <c r="CI53" i="23" s="1"/>
  <c r="BQ59" i="23"/>
  <c r="CD59" i="23" s="1"/>
  <c r="CB59" i="23"/>
  <c r="DK68" i="23"/>
  <c r="DY5" i="23"/>
  <c r="EI5" i="23" s="1"/>
  <c r="BO5" i="23"/>
  <c r="DX5" i="23"/>
  <c r="EF13" i="23"/>
  <c r="EE13" i="23"/>
  <c r="ED13" i="23"/>
  <c r="EC13" i="23"/>
  <c r="BX22" i="23"/>
  <c r="CI22" i="23" s="1"/>
  <c r="DN22" i="23"/>
  <c r="CX23" i="23"/>
  <c r="DC27" i="23"/>
  <c r="CW27" i="23"/>
  <c r="DN68" i="23"/>
  <c r="BX68" i="23"/>
  <c r="CI68" i="23" s="1"/>
  <c r="EC9" i="23"/>
  <c r="DZ24" i="23"/>
  <c r="DY24" i="23"/>
  <c r="DX24" i="23"/>
  <c r="EI25" i="23"/>
  <c r="BO44" i="23"/>
  <c r="EA44" i="23"/>
  <c r="DZ44" i="23"/>
  <c r="DY44" i="23"/>
  <c r="DX46" i="23"/>
  <c r="DW46" i="23"/>
  <c r="EI46" i="23" s="1"/>
  <c r="CW46" i="23"/>
  <c r="CV46" i="23"/>
  <c r="CU46" i="23"/>
  <c r="DP46" i="23"/>
  <c r="EA46" i="23"/>
  <c r="DZ46" i="23"/>
  <c r="DY46" i="23"/>
  <c r="DM46" i="23"/>
  <c r="CF46" i="23"/>
  <c r="DI46" i="23" s="1"/>
  <c r="CZ54" i="23"/>
  <c r="DD54" i="23" s="1"/>
  <c r="CT54" i="23"/>
  <c r="EA5" i="23"/>
  <c r="DC6" i="23"/>
  <c r="CW6" i="23"/>
  <c r="DO9" i="23"/>
  <c r="ED9" i="23"/>
  <c r="EI9" i="23" s="1"/>
  <c r="EA12" i="23"/>
  <c r="DZ12" i="23"/>
  <c r="BX18" i="23"/>
  <c r="CI18" i="23" s="1"/>
  <c r="DN18" i="23"/>
  <c r="BO27" i="23"/>
  <c r="DZ27" i="23"/>
  <c r="DY27" i="23"/>
  <c r="DQ30" i="23"/>
  <c r="DR30" i="23" s="1"/>
  <c r="BS46" i="23"/>
  <c r="DB47" i="23"/>
  <c r="CV47" i="23"/>
  <c r="CB48" i="23"/>
  <c r="BQ48" i="23"/>
  <c r="CD48" i="23" s="1"/>
  <c r="DK48" i="23" s="1"/>
  <c r="BR86" i="23"/>
  <c r="CE86" i="23" s="1"/>
  <c r="CC86" i="23"/>
  <c r="DJ86" i="23" s="1"/>
  <c r="BW3" i="23"/>
  <c r="CS3" i="23"/>
  <c r="CU5" i="23"/>
  <c r="EE5" i="23"/>
  <c r="EG6" i="23"/>
  <c r="BW7" i="23"/>
  <c r="BY7" i="23" s="1"/>
  <c r="CJ7" i="23" s="1"/>
  <c r="CG9" i="23"/>
  <c r="BU10" i="23"/>
  <c r="EG11" i="23"/>
  <c r="BW11" i="23"/>
  <c r="BY11" i="23" s="1"/>
  <c r="CJ11" i="23" s="1"/>
  <c r="EF11" i="23"/>
  <c r="EE11" i="23"/>
  <c r="EC11" i="23"/>
  <c r="CT11" i="23"/>
  <c r="CT12" i="23"/>
  <c r="DX12" i="23"/>
  <c r="EI12" i="23" s="1"/>
  <c r="CA13" i="23"/>
  <c r="CL13" i="23" s="1"/>
  <c r="CY13" i="23"/>
  <c r="CV15" i="23"/>
  <c r="CA16" i="23"/>
  <c r="CL16" i="23" s="1"/>
  <c r="CS19" i="23"/>
  <c r="DN20" i="23"/>
  <c r="CT21" i="23"/>
  <c r="EA21" i="23"/>
  <c r="ED22" i="23"/>
  <c r="BP23" i="23"/>
  <c r="EF23" i="23"/>
  <c r="EE23" i="23"/>
  <c r="ED23" i="23"/>
  <c r="EC23" i="23"/>
  <c r="BV23" i="23"/>
  <c r="BO24" i="23"/>
  <c r="DC26" i="23"/>
  <c r="CW26" i="23"/>
  <c r="CC35" i="23"/>
  <c r="DJ35" i="23" s="1"/>
  <c r="BR35" i="23"/>
  <c r="CE35" i="23" s="1"/>
  <c r="CU41" i="23"/>
  <c r="DA41" i="23"/>
  <c r="DU42" i="23"/>
  <c r="EH42" i="23" s="1"/>
  <c r="EG50" i="23"/>
  <c r="EF50" i="23"/>
  <c r="EE50" i="23"/>
  <c r="ED50" i="23"/>
  <c r="EC50" i="23"/>
  <c r="DT50" i="23"/>
  <c r="EB50" i="23" s="1"/>
  <c r="BW50" i="23"/>
  <c r="BY53" i="23"/>
  <c r="CJ53" i="23" s="1"/>
  <c r="DO53" i="23"/>
  <c r="BP59" i="23"/>
  <c r="BQ62" i="23"/>
  <c r="CD62" i="23" s="1"/>
  <c r="CB62" i="23"/>
  <c r="DA2" i="23"/>
  <c r="CT3" i="23"/>
  <c r="DU3" i="23"/>
  <c r="EH3" i="23" s="1"/>
  <c r="CS4" i="23"/>
  <c r="DX4" i="23"/>
  <c r="CV5" i="23"/>
  <c r="EF5" i="23"/>
  <c r="DU6" i="23"/>
  <c r="EH6" i="23" s="1"/>
  <c r="BX7" i="23"/>
  <c r="CI7" i="23" s="1"/>
  <c r="CH9" i="23"/>
  <c r="DL9" i="23"/>
  <c r="DP10" i="23"/>
  <c r="DM10" i="23"/>
  <c r="CU12" i="23"/>
  <c r="DY12" i="23"/>
  <c r="CZ13" i="23"/>
  <c r="CW15" i="23"/>
  <c r="CS17" i="23"/>
  <c r="BP19" i="23"/>
  <c r="CT19" i="23"/>
  <c r="CU21" i="23"/>
  <c r="EE22" i="23"/>
  <c r="BW23" i="23"/>
  <c r="BS27" i="23"/>
  <c r="CY28" i="23"/>
  <c r="CS31" i="23"/>
  <c r="CY31" i="23"/>
  <c r="EF32" i="23"/>
  <c r="DT32" i="23"/>
  <c r="EB32" i="23" s="1"/>
  <c r="CZ32" i="23"/>
  <c r="DD32" i="23" s="1"/>
  <c r="EG34" i="23"/>
  <c r="BW34" i="23"/>
  <c r="BY34" i="23" s="1"/>
  <c r="CJ34" i="23" s="1"/>
  <c r="EF34" i="23"/>
  <c r="EE34" i="23"/>
  <c r="DC34" i="23"/>
  <c r="DB34" i="23"/>
  <c r="DA34" i="23"/>
  <c r="DT34" i="23"/>
  <c r="EB34" i="23" s="1"/>
  <c r="CV41" i="23"/>
  <c r="DB41" i="23"/>
  <c r="CZ43" i="23"/>
  <c r="DD43" i="23" s="1"/>
  <c r="CT43" i="23"/>
  <c r="DD45" i="23"/>
  <c r="BT59" i="23"/>
  <c r="CB74" i="23"/>
  <c r="BQ74" i="23"/>
  <c r="CD74" i="23" s="1"/>
  <c r="CG2" i="23"/>
  <c r="DB2" i="23"/>
  <c r="EC2" i="23"/>
  <c r="EI2" i="23" s="1"/>
  <c r="CU3" i="23"/>
  <c r="DW3" i="23"/>
  <c r="EI3" i="23" s="1"/>
  <c r="BV4" i="23"/>
  <c r="DO4" i="23" s="1"/>
  <c r="CT4" i="23"/>
  <c r="DY4" i="23"/>
  <c r="CW5" i="23"/>
  <c r="EG5" i="23"/>
  <c r="CG8" i="23"/>
  <c r="CV12" i="23"/>
  <c r="CC13" i="23"/>
  <c r="DA13" i="23"/>
  <c r="DO16" i="23"/>
  <c r="CV21" i="23"/>
  <c r="CY22" i="23"/>
  <c r="CS22" i="23"/>
  <c r="EF22" i="23"/>
  <c r="BX23" i="23"/>
  <c r="CI23" i="23" s="1"/>
  <c r="DN23" i="23"/>
  <c r="DQ23" i="23" s="1"/>
  <c r="DR23" i="23" s="1"/>
  <c r="CW25" i="23"/>
  <c r="DC25" i="23"/>
  <c r="DX26" i="23"/>
  <c r="DZ26" i="23"/>
  <c r="DY26" i="23"/>
  <c r="DW26" i="23"/>
  <c r="CF26" i="23"/>
  <c r="DI26" i="23" s="1"/>
  <c r="CT26" i="23"/>
  <c r="CX26" i="23" s="1"/>
  <c r="CZ28" i="23"/>
  <c r="CT28" i="23"/>
  <c r="DU32" i="23"/>
  <c r="EH32" i="23" s="1"/>
  <c r="DU34" i="23"/>
  <c r="EH34" i="23" s="1"/>
  <c r="DA43" i="23"/>
  <c r="CU43" i="23"/>
  <c r="BQ52" i="23"/>
  <c r="CD52" i="23" s="1"/>
  <c r="CB52" i="23"/>
  <c r="CG59" i="23"/>
  <c r="DO59" i="23"/>
  <c r="BY59" i="23"/>
  <c r="CJ59" i="23" s="1"/>
  <c r="BW59" i="23"/>
  <c r="DC2" i="23"/>
  <c r="ED2" i="23"/>
  <c r="DX3" i="23"/>
  <c r="CU4" i="23"/>
  <c r="BW5" i="23"/>
  <c r="EE10" i="23"/>
  <c r="ED10" i="23"/>
  <c r="CS10" i="23"/>
  <c r="DT10" i="23"/>
  <c r="EB10" i="23" s="1"/>
  <c r="BP11" i="23"/>
  <c r="DW11" i="23"/>
  <c r="CW12" i="23"/>
  <c r="BW15" i="23"/>
  <c r="BR17" i="23"/>
  <c r="CE17" i="23" s="1"/>
  <c r="DK17" i="23" s="1"/>
  <c r="CW21" i="23"/>
  <c r="CZ22" i="23"/>
  <c r="CT22" i="23"/>
  <c r="EG22" i="23"/>
  <c r="BY23" i="23"/>
  <c r="CJ23" i="23" s="1"/>
  <c r="DO23" i="23"/>
  <c r="CS25" i="23"/>
  <c r="CX25" i="23" s="1"/>
  <c r="BS26" i="23"/>
  <c r="CU31" i="23"/>
  <c r="DA31" i="23"/>
  <c r="DB32" i="23"/>
  <c r="BU33" i="23"/>
  <c r="CB34" i="23"/>
  <c r="BQ34" i="23"/>
  <c r="CD34" i="23" s="1"/>
  <c r="BQ42" i="23"/>
  <c r="CD42" i="23" s="1"/>
  <c r="DK42" i="23" s="1"/>
  <c r="DB43" i="23"/>
  <c r="CV43" i="23"/>
  <c r="CY44" i="23"/>
  <c r="CS44" i="23"/>
  <c r="DD5" i="23"/>
  <c r="DC13" i="23"/>
  <c r="EA15" i="23"/>
  <c r="DY15" i="23"/>
  <c r="BO15" i="23"/>
  <c r="DX15" i="23"/>
  <c r="DW15" i="23"/>
  <c r="CG46" i="23"/>
  <c r="EA2" i="23"/>
  <c r="CW3" i="23"/>
  <c r="DZ3" i="23"/>
  <c r="CV4" i="23"/>
  <c r="CC7" i="23"/>
  <c r="CT10" i="23"/>
  <c r="DU10" i="23"/>
  <c r="EH10" i="23" s="1"/>
  <c r="CU11" i="23"/>
  <c r="DX11" i="23"/>
  <c r="EA14" i="23"/>
  <c r="DZ14" i="23"/>
  <c r="DY14" i="23"/>
  <c r="DX14" i="23"/>
  <c r="DW14" i="23"/>
  <c r="CF14" i="23"/>
  <c r="DI14" i="23" s="1"/>
  <c r="CY16" i="23"/>
  <c r="DN17" i="23"/>
  <c r="DQ17" i="23" s="1"/>
  <c r="DR17" i="23" s="1"/>
  <c r="CU22" i="23"/>
  <c r="ED26" i="23"/>
  <c r="EC26" i="23"/>
  <c r="CY26" i="23"/>
  <c r="EG26" i="23"/>
  <c r="EF26" i="23"/>
  <c r="BW26" i="23"/>
  <c r="BY26" i="23" s="1"/>
  <c r="CJ26" i="23" s="1"/>
  <c r="EE26" i="23"/>
  <c r="CH27" i="23"/>
  <c r="CA27" i="23"/>
  <c r="CL27" i="23" s="1"/>
  <c r="DT27" i="23"/>
  <c r="EB27" i="23" s="1"/>
  <c r="DB28" i="23"/>
  <c r="CV31" i="23"/>
  <c r="DB31" i="23"/>
  <c r="BT32" i="23"/>
  <c r="BZ32" i="23" s="1"/>
  <c r="CK32" i="23" s="1"/>
  <c r="BV33" i="23"/>
  <c r="BP34" i="23"/>
  <c r="CZ37" i="23"/>
  <c r="CT37" i="23"/>
  <c r="BR42" i="23"/>
  <c r="CE42" i="23" s="1"/>
  <c r="CT44" i="23"/>
  <c r="CG53" i="23"/>
  <c r="CB71" i="23"/>
  <c r="DJ71" i="23" s="1"/>
  <c r="BQ71" i="23"/>
  <c r="CD71" i="23" s="1"/>
  <c r="DK71" i="23" s="1"/>
  <c r="BX74" i="23"/>
  <c r="CI74" i="23" s="1"/>
  <c r="DN74" i="23"/>
  <c r="BS3" i="23"/>
  <c r="DM3" i="23"/>
  <c r="DB6" i="23"/>
  <c r="CV6" i="23"/>
  <c r="CZ9" i="23"/>
  <c r="DD9" i="23" s="1"/>
  <c r="EG13" i="23"/>
  <c r="EF3" i="23"/>
  <c r="EE3" i="23"/>
  <c r="ED3" i="23"/>
  <c r="EC3" i="23"/>
  <c r="DZ15" i="23"/>
  <c r="DD20" i="23"/>
  <c r="BU24" i="23"/>
  <c r="BS24" i="23"/>
  <c r="DT7" i="23"/>
  <c r="EB7" i="23" s="1"/>
  <c r="DP9" i="23"/>
  <c r="DQ9" i="23" s="1"/>
  <c r="DR9" i="23" s="1"/>
  <c r="DM9" i="23"/>
  <c r="CU10" i="23"/>
  <c r="DW10" i="23"/>
  <c r="CV11" i="23"/>
  <c r="DY11" i="23"/>
  <c r="BV12" i="23"/>
  <c r="CY12" i="23"/>
  <c r="BS14" i="23"/>
  <c r="CS14" i="23"/>
  <c r="BY15" i="23"/>
  <c r="CJ15" i="23" s="1"/>
  <c r="CZ16" i="23"/>
  <c r="EC16" i="23"/>
  <c r="BT19" i="23"/>
  <c r="DD21" i="23"/>
  <c r="CV22" i="23"/>
  <c r="CV25" i="23"/>
  <c r="DM26" i="23"/>
  <c r="DW27" i="23"/>
  <c r="DC28" i="23"/>
  <c r="CW28" i="23"/>
  <c r="CW29" i="23"/>
  <c r="DO32" i="23"/>
  <c r="CG32" i="23"/>
  <c r="CU37" i="23"/>
  <c r="DA37" i="23"/>
  <c r="DA40" i="23"/>
  <c r="CU40" i="23"/>
  <c r="DN42" i="23"/>
  <c r="BX42" i="23"/>
  <c r="CI42" i="23" s="1"/>
  <c r="DL42" i="23"/>
  <c r="CX49" i="23"/>
  <c r="CH53" i="23"/>
  <c r="BV59" i="23"/>
  <c r="CC71" i="23"/>
  <c r="BR71" i="23"/>
  <c r="CE71" i="23" s="1"/>
  <c r="EG2" i="23"/>
  <c r="BW2" i="23"/>
  <c r="BY2" i="23" s="1"/>
  <c r="CJ2" i="23" s="1"/>
  <c r="EF2" i="23"/>
  <c r="CY3" i="23"/>
  <c r="EG3" i="23"/>
  <c r="BP10" i="23"/>
  <c r="CV10" i="23"/>
  <c r="DX10" i="23"/>
  <c r="CW11" i="23"/>
  <c r="DZ11" i="23"/>
  <c r="CZ12" i="23"/>
  <c r="CT14" i="23"/>
  <c r="DA16" i="23"/>
  <c r="ED16" i="23"/>
  <c r="CG17" i="23"/>
  <c r="DO17" i="23"/>
  <c r="CY18" i="23"/>
  <c r="CS18" i="23"/>
  <c r="BV19" i="23"/>
  <c r="CB21" i="23"/>
  <c r="DJ21" i="23" s="1"/>
  <c r="BU22" i="23"/>
  <c r="CW22" i="23"/>
  <c r="BV24" i="23"/>
  <c r="BQ25" i="23"/>
  <c r="CD25" i="23" s="1"/>
  <c r="CZ25" i="23"/>
  <c r="BO26" i="23"/>
  <c r="DX27" i="23"/>
  <c r="CS28" i="23"/>
  <c r="BW32" i="23"/>
  <c r="BY32" i="23" s="1"/>
  <c r="CJ32" i="23" s="1"/>
  <c r="BX38" i="23"/>
  <c r="CI38" i="23" s="1"/>
  <c r="DL38" i="23"/>
  <c r="DN38" i="23"/>
  <c r="DQ38" i="23" s="1"/>
  <c r="DR38" i="23" s="1"/>
  <c r="BT42" i="23"/>
  <c r="BZ42" i="23" s="1"/>
  <c r="CK42" i="23" s="1"/>
  <c r="BR45" i="23"/>
  <c r="CE45" i="23" s="1"/>
  <c r="DK45" i="23" s="1"/>
  <c r="DU55" i="23"/>
  <c r="EH55" i="23" s="1"/>
  <c r="BV55" i="23"/>
  <c r="BT55" i="23"/>
  <c r="BZ55" i="23" s="1"/>
  <c r="CK55" i="23" s="1"/>
  <c r="BP70" i="23"/>
  <c r="CZ70" i="23"/>
  <c r="CZ3" i="23"/>
  <c r="DD4" i="23"/>
  <c r="CA5" i="23"/>
  <c r="CL5" i="23" s="1"/>
  <c r="DN8" i="23"/>
  <c r="DQ8" i="23" s="1"/>
  <c r="DR8" i="23" s="1"/>
  <c r="EG9" i="23"/>
  <c r="BW9" i="23"/>
  <c r="BY9" i="23" s="1"/>
  <c r="CJ9" i="23" s="1"/>
  <c r="EF9" i="23"/>
  <c r="DU9" i="23"/>
  <c r="EH9" i="23" s="1"/>
  <c r="DY10" i="23"/>
  <c r="EA11" i="23"/>
  <c r="DA12" i="23"/>
  <c r="BT14" i="23"/>
  <c r="BZ14" i="23" s="1"/>
  <c r="CK14" i="23" s="1"/>
  <c r="CU14" i="23"/>
  <c r="CA15" i="23"/>
  <c r="CL15" i="23" s="1"/>
  <c r="DB16" i="23"/>
  <c r="CV16" i="23"/>
  <c r="EE16" i="23"/>
  <c r="CH17" i="23"/>
  <c r="CA17" i="23"/>
  <c r="CL17" i="23" s="1"/>
  <c r="CZ18" i="23"/>
  <c r="CT18" i="23"/>
  <c r="EC18" i="23"/>
  <c r="EI18" i="23" s="1"/>
  <c r="EA22" i="23"/>
  <c r="DZ22" i="23"/>
  <c r="CF22" i="23"/>
  <c r="DI22" i="23" s="1"/>
  <c r="DY22" i="23"/>
  <c r="DX22" i="23"/>
  <c r="DW22" i="23"/>
  <c r="DP22" i="23"/>
  <c r="DA22" i="23"/>
  <c r="CB29" i="23"/>
  <c r="BQ29" i="23"/>
  <c r="CD29" i="23" s="1"/>
  <c r="BX32" i="23"/>
  <c r="CI32" i="23" s="1"/>
  <c r="EC34" i="23"/>
  <c r="CW40" i="23"/>
  <c r="DC40" i="23"/>
  <c r="CA42" i="23"/>
  <c r="CL42" i="23" s="1"/>
  <c r="CH42" i="23"/>
  <c r="DO42" i="23"/>
  <c r="CG42" i="23"/>
  <c r="DN45" i="23"/>
  <c r="BX45" i="23"/>
  <c r="CI45" i="23" s="1"/>
  <c r="DA46" i="23"/>
  <c r="CB55" i="23"/>
  <c r="DJ55" i="23" s="1"/>
  <c r="BQ55" i="23"/>
  <c r="CD55" i="23" s="1"/>
  <c r="DK55" i="23" s="1"/>
  <c r="DQ68" i="23"/>
  <c r="DR68" i="23" s="1"/>
  <c r="BU73" i="23"/>
  <c r="BW73" i="23" s="1"/>
  <c r="DU73" i="23"/>
  <c r="EH73" i="23" s="1"/>
  <c r="DY3" i="23"/>
  <c r="DA3" i="23"/>
  <c r="DT8" i="23"/>
  <c r="EB8" i="23" s="1"/>
  <c r="DO8" i="23"/>
  <c r="CW10" i="23"/>
  <c r="DZ10" i="23"/>
  <c r="BV11" i="23"/>
  <c r="CY11" i="23"/>
  <c r="DD11" i="23" s="1"/>
  <c r="CF12" i="23"/>
  <c r="DI12" i="23" s="1"/>
  <c r="DB12" i="23"/>
  <c r="CV14" i="23"/>
  <c r="DC16" i="23"/>
  <c r="CW16" i="23"/>
  <c r="CX16" i="23" s="1"/>
  <c r="EF16" i="23"/>
  <c r="DA18" i="23"/>
  <c r="CU18" i="23"/>
  <c r="ED18" i="23"/>
  <c r="DB22" i="23"/>
  <c r="EI23" i="23"/>
  <c r="EA24" i="23"/>
  <c r="DN25" i="23"/>
  <c r="DP26" i="23"/>
  <c r="BO28" i="23"/>
  <c r="BT29" i="23"/>
  <c r="BP32" i="23"/>
  <c r="EC32" i="23"/>
  <c r="ED34" i="23"/>
  <c r="EI34" i="23" s="1"/>
  <c r="CY39" i="23"/>
  <c r="CS39" i="23"/>
  <c r="DT41" i="23"/>
  <c r="EB41" i="23" s="1"/>
  <c r="EI41" i="23" s="1"/>
  <c r="EG41" i="23"/>
  <c r="BW41" i="23"/>
  <c r="BY41" i="23" s="1"/>
  <c r="CJ41" i="23" s="1"/>
  <c r="EF41" i="23"/>
  <c r="DC41" i="23"/>
  <c r="EE41" i="23"/>
  <c r="ED41" i="23"/>
  <c r="EC41" i="23"/>
  <c r="DB46" i="23"/>
  <c r="EI47" i="23"/>
  <c r="DB50" i="23"/>
  <c r="CG52" i="23"/>
  <c r="DO52" i="23"/>
  <c r="BY52" i="23"/>
  <c r="CJ52" i="23" s="1"/>
  <c r="BW52" i="23"/>
  <c r="CC55" i="23"/>
  <c r="BR55" i="23"/>
  <c r="CE55" i="23" s="1"/>
  <c r="EA73" i="23"/>
  <c r="DY73" i="23"/>
  <c r="DP73" i="23"/>
  <c r="DM73" i="23"/>
  <c r="CF73" i="23"/>
  <c r="DI73" i="23" s="1"/>
  <c r="DZ73" i="23"/>
  <c r="DX73" i="23"/>
  <c r="DW73" i="23"/>
  <c r="CW73" i="23"/>
  <c r="CV73" i="23"/>
  <c r="CU73" i="23"/>
  <c r="CA74" i="23"/>
  <c r="CL74" i="23" s="1"/>
  <c r="CH74" i="23"/>
  <c r="CY98" i="23"/>
  <c r="CS98" i="23"/>
  <c r="DU14" i="23"/>
  <c r="EH14" i="23" s="1"/>
  <c r="DP16" i="23"/>
  <c r="DW20" i="23"/>
  <c r="ED21" i="23"/>
  <c r="EA23" i="23"/>
  <c r="DU31" i="23"/>
  <c r="EH31" i="23" s="1"/>
  <c r="BV31" i="23"/>
  <c r="BT31" i="23"/>
  <c r="BZ31" i="23" s="1"/>
  <c r="CK31" i="23" s="1"/>
  <c r="BP31" i="23"/>
  <c r="DP33" i="23"/>
  <c r="DM33" i="23"/>
  <c r="DW33" i="23"/>
  <c r="DZ35" i="23"/>
  <c r="CF35" i="23"/>
  <c r="DI35" i="23" s="1"/>
  <c r="EA35" i="23"/>
  <c r="DX35" i="23"/>
  <c r="CV35" i="23"/>
  <c r="CS35" i="23"/>
  <c r="DB36" i="23"/>
  <c r="CV36" i="23"/>
  <c r="CZ38" i="23"/>
  <c r="CT38" i="23"/>
  <c r="CZ39" i="23"/>
  <c r="CT39" i="23"/>
  <c r="CZ42" i="23"/>
  <c r="CT42" i="23"/>
  <c r="CX43" i="23"/>
  <c r="CG45" i="23"/>
  <c r="CX47" i="23"/>
  <c r="CA52" i="23"/>
  <c r="CL52" i="23" s="1"/>
  <c r="CH52" i="23"/>
  <c r="DY58" i="23"/>
  <c r="CT58" i="23"/>
  <c r="CS58" i="23"/>
  <c r="CX58" i="23" s="1"/>
  <c r="DP58" i="23"/>
  <c r="CW58" i="23"/>
  <c r="CV58" i="23"/>
  <c r="EA58" i="23"/>
  <c r="DZ58" i="23"/>
  <c r="DX58" i="23"/>
  <c r="DW58" i="23"/>
  <c r="CF58" i="23"/>
  <c r="DI58" i="23" s="1"/>
  <c r="DM58" i="23"/>
  <c r="CZ98" i="23"/>
  <c r="CT98" i="23"/>
  <c r="CV19" i="23"/>
  <c r="BU20" i="23"/>
  <c r="CF20" i="23"/>
  <c r="DI20" i="23" s="1"/>
  <c r="DX20" i="23"/>
  <c r="EE21" i="23"/>
  <c r="CZ24" i="23"/>
  <c r="DD24" i="23" s="1"/>
  <c r="BR27" i="23"/>
  <c r="CE27" i="23" s="1"/>
  <c r="DX33" i="23"/>
  <c r="DN34" i="23"/>
  <c r="BX34" i="23"/>
  <c r="CI34" i="23" s="1"/>
  <c r="CT35" i="23"/>
  <c r="BU36" i="23"/>
  <c r="CW36" i="23"/>
  <c r="CW37" i="23"/>
  <c r="CU38" i="23"/>
  <c r="DA39" i="23"/>
  <c r="CU39" i="23"/>
  <c r="DQ40" i="23"/>
  <c r="DR40" i="23" s="1"/>
  <c r="DA42" i="23"/>
  <c r="CU42" i="23"/>
  <c r="BV45" i="23"/>
  <c r="DO45" i="23" s="1"/>
  <c r="BQ47" i="23"/>
  <c r="CD47" i="23" s="1"/>
  <c r="DK47" i="23" s="1"/>
  <c r="CB47" i="23"/>
  <c r="DJ47" i="23" s="1"/>
  <c r="DL47" i="23" s="1"/>
  <c r="CY60" i="23"/>
  <c r="CS60" i="23"/>
  <c r="CX60" i="23" s="1"/>
  <c r="DD67" i="23"/>
  <c r="DY20" i="23"/>
  <c r="BP22" i="23"/>
  <c r="CH28" i="23"/>
  <c r="CA28" i="23"/>
  <c r="CL28" i="23" s="1"/>
  <c r="DY33" i="23"/>
  <c r="EG35" i="23"/>
  <c r="EF35" i="23"/>
  <c r="EE35" i="23"/>
  <c r="ED35" i="23"/>
  <c r="DC35" i="23"/>
  <c r="DB35" i="23"/>
  <c r="DA35" i="23"/>
  <c r="EC35" i="23"/>
  <c r="CZ35" i="23"/>
  <c r="CY35" i="23"/>
  <c r="CU35" i="23"/>
  <c r="DX36" i="23"/>
  <c r="EA36" i="23"/>
  <c r="DZ36" i="23"/>
  <c r="DY36" i="23"/>
  <c r="DW36" i="23"/>
  <c r="CU36" i="23"/>
  <c r="CS36" i="23"/>
  <c r="CT36" i="23"/>
  <c r="CS37" i="23"/>
  <c r="DB38" i="23"/>
  <c r="CV38" i="23"/>
  <c r="DB39" i="23"/>
  <c r="CV39" i="23"/>
  <c r="BV41" i="23"/>
  <c r="DO41" i="23" s="1"/>
  <c r="DB42" i="23"/>
  <c r="CV42" i="23"/>
  <c r="BW45" i="23"/>
  <c r="BY45" i="23" s="1"/>
  <c r="CJ45" i="23" s="1"/>
  <c r="CZ60" i="23"/>
  <c r="CT60" i="23"/>
  <c r="CZ81" i="23"/>
  <c r="CT81" i="23"/>
  <c r="DP92" i="23"/>
  <c r="DM92" i="23"/>
  <c r="CF92" i="23"/>
  <c r="DI92" i="23" s="1"/>
  <c r="EA92" i="23"/>
  <c r="DZ92" i="23"/>
  <c r="DY92" i="23"/>
  <c r="DX92" i="23"/>
  <c r="DW92" i="23"/>
  <c r="DZ20" i="23"/>
  <c r="CV24" i="23"/>
  <c r="CY30" i="23"/>
  <c r="DZ33" i="23"/>
  <c r="CW35" i="23"/>
  <c r="BX37" i="23"/>
  <c r="CI37" i="23" s="1"/>
  <c r="CT46" i="23"/>
  <c r="DA60" i="23"/>
  <c r="CU60" i="23"/>
  <c r="BS92" i="23"/>
  <c r="BO92" i="23"/>
  <c r="CH93" i="23"/>
  <c r="CA93" i="23"/>
  <c r="CL93" i="23" s="1"/>
  <c r="BP14" i="23"/>
  <c r="CF16" i="23"/>
  <c r="DI16" i="23" s="1"/>
  <c r="CW18" i="23"/>
  <c r="DW19" i="23"/>
  <c r="EE20" i="23"/>
  <c r="ED20" i="23"/>
  <c r="DY23" i="23"/>
  <c r="DX23" i="23"/>
  <c r="CA26" i="23"/>
  <c r="CL26" i="23" s="1"/>
  <c r="CZ30" i="23"/>
  <c r="CT30" i="23"/>
  <c r="DJ33" i="23"/>
  <c r="CV33" i="23"/>
  <c r="EA33" i="23"/>
  <c r="BV34" i="23"/>
  <c r="DO34" i="23" s="1"/>
  <c r="EF36" i="23"/>
  <c r="EE36" i="23"/>
  <c r="ED36" i="23"/>
  <c r="EC36" i="23"/>
  <c r="CZ36" i="23"/>
  <c r="EG36" i="23"/>
  <c r="CY36" i="23"/>
  <c r="DT36" i="23"/>
  <c r="EB36" i="23" s="1"/>
  <c r="BW36" i="23"/>
  <c r="DC36" i="23"/>
  <c r="EA37" i="23"/>
  <c r="DZ37" i="23"/>
  <c r="CF37" i="23"/>
  <c r="DI37" i="23" s="1"/>
  <c r="DY37" i="23"/>
  <c r="DX37" i="23"/>
  <c r="DW37" i="23"/>
  <c r="DB37" i="23"/>
  <c r="CB39" i="23"/>
  <c r="DJ39" i="23" s="1"/>
  <c r="BQ39" i="23"/>
  <c r="CD39" i="23" s="1"/>
  <c r="DK39" i="23" s="1"/>
  <c r="BP49" i="23"/>
  <c r="EG49" i="23"/>
  <c r="EF49" i="23"/>
  <c r="EE49" i="23"/>
  <c r="ED49" i="23"/>
  <c r="EC49" i="23"/>
  <c r="BZ49" i="23"/>
  <c r="CK49" i="23" s="1"/>
  <c r="DB49" i="23"/>
  <c r="BU51" i="23"/>
  <c r="BS51" i="23"/>
  <c r="CH89" i="23"/>
  <c r="CA89" i="23"/>
  <c r="CL89" i="23" s="1"/>
  <c r="CA90" i="23"/>
  <c r="CL90" i="23" s="1"/>
  <c r="CH90" i="23"/>
  <c r="DW16" i="23"/>
  <c r="CS24" i="23"/>
  <c r="DT30" i="23"/>
  <c r="EB30" i="23" s="1"/>
  <c r="EF30" i="23"/>
  <c r="EE30" i="23"/>
  <c r="ED30" i="23"/>
  <c r="EC30" i="23"/>
  <c r="EA38" i="23"/>
  <c r="DZ38" i="23"/>
  <c r="DY38" i="23"/>
  <c r="DX38" i="23"/>
  <c r="DW38" i="23"/>
  <c r="BU39" i="23"/>
  <c r="BS39" i="23"/>
  <c r="CA49" i="23"/>
  <c r="CL49" i="23" s="1"/>
  <c r="DY51" i="23"/>
  <c r="DX51" i="23"/>
  <c r="EI51" i="23" s="1"/>
  <c r="CF51" i="23"/>
  <c r="DI51" i="23" s="1"/>
  <c r="EA51" i="23"/>
  <c r="DO55" i="23"/>
  <c r="BY55" i="23"/>
  <c r="CJ55" i="23" s="1"/>
  <c r="CG55" i="23"/>
  <c r="BP89" i="23"/>
  <c r="EG89" i="23"/>
  <c r="EF89" i="23"/>
  <c r="EI89" i="23" s="1"/>
  <c r="EE89" i="23"/>
  <c r="ED89" i="23"/>
  <c r="EC89" i="23"/>
  <c r="DZ5" i="23"/>
  <c r="CF7" i="23"/>
  <c r="DI7" i="23" s="1"/>
  <c r="BT13" i="23"/>
  <c r="BZ13" i="23" s="1"/>
  <c r="CK13" i="23" s="1"/>
  <c r="DX16" i="23"/>
  <c r="CF17" i="23"/>
  <c r="DI17" i="23" s="1"/>
  <c r="DA19" i="23"/>
  <c r="DD19" i="23" s="1"/>
  <c r="EC20" i="23"/>
  <c r="CT24" i="23"/>
  <c r="DT25" i="23"/>
  <c r="EB25" i="23" s="1"/>
  <c r="CC27" i="23"/>
  <c r="DN29" i="23"/>
  <c r="DU30" i="23"/>
  <c r="EH30" i="23" s="1"/>
  <c r="CB32" i="23"/>
  <c r="BQ32" i="23"/>
  <c r="CD32" i="23" s="1"/>
  <c r="DX32" i="23"/>
  <c r="ED37" i="23"/>
  <c r="EC37" i="23"/>
  <c r="EG37" i="23"/>
  <c r="CY37" i="23"/>
  <c r="EF37" i="23"/>
  <c r="EE37" i="23"/>
  <c r="DZ39" i="23"/>
  <c r="DP42" i="23"/>
  <c r="DU50" i="23"/>
  <c r="EH50" i="23" s="1"/>
  <c r="DP51" i="23"/>
  <c r="DM55" i="23"/>
  <c r="EA55" i="23"/>
  <c r="DZ55" i="23"/>
  <c r="DY55" i="23"/>
  <c r="DX55" i="23"/>
  <c r="DW55" i="23"/>
  <c r="EI55" i="23" s="1"/>
  <c r="DP55" i="23"/>
  <c r="CF55" i="23"/>
  <c r="DI55" i="23" s="1"/>
  <c r="DC57" i="23"/>
  <c r="DB60" i="23"/>
  <c r="CG75" i="23"/>
  <c r="BY75" i="23"/>
  <c r="CJ75" i="23" s="1"/>
  <c r="DO75" i="23"/>
  <c r="CY89" i="23"/>
  <c r="CS89" i="23"/>
  <c r="CX89" i="23" s="1"/>
  <c r="DW7" i="23"/>
  <c r="EI7" i="23" s="1"/>
  <c r="EC14" i="23"/>
  <c r="DY16" i="23"/>
  <c r="DW17" i="23"/>
  <c r="EI17" i="23" s="1"/>
  <c r="CF18" i="23"/>
  <c r="DI18" i="23" s="1"/>
  <c r="DZ19" i="23"/>
  <c r="BP20" i="23"/>
  <c r="EF20" i="23"/>
  <c r="CU24" i="23"/>
  <c r="DX29" i="23"/>
  <c r="DW29" i="23"/>
  <c r="CF29" i="23"/>
  <c r="DI29" i="23" s="1"/>
  <c r="DP29" i="23"/>
  <c r="DM29" i="23"/>
  <c r="DC30" i="23"/>
  <c r="CW30" i="23"/>
  <c r="CW33" i="23"/>
  <c r="DM35" i="23"/>
  <c r="BR36" i="23"/>
  <c r="CE36" i="23" s="1"/>
  <c r="CC36" i="23"/>
  <c r="BT37" i="23"/>
  <c r="DU37" i="23"/>
  <c r="EH37" i="23" s="1"/>
  <c r="BV37" i="23"/>
  <c r="EG38" i="23"/>
  <c r="EF38" i="23"/>
  <c r="EE38" i="23"/>
  <c r="BW38" i="23"/>
  <c r="BY38" i="23" s="1"/>
  <c r="CJ38" i="23" s="1"/>
  <c r="ED38" i="23"/>
  <c r="EC38" i="23"/>
  <c r="DT38" i="23"/>
  <c r="EB38" i="23" s="1"/>
  <c r="CY40" i="23"/>
  <c r="DD40" i="23" s="1"/>
  <c r="CS40" i="23"/>
  <c r="CX40" i="23" s="1"/>
  <c r="DM42" i="23"/>
  <c r="BS55" i="23"/>
  <c r="CC64" i="23"/>
  <c r="DJ64" i="23" s="1"/>
  <c r="BR64" i="23"/>
  <c r="CE64" i="23" s="1"/>
  <c r="CH75" i="23"/>
  <c r="CA75" i="23"/>
  <c r="CL75" i="23" s="1"/>
  <c r="EG19" i="23"/>
  <c r="BW19" i="23"/>
  <c r="BY19" i="23" s="1"/>
  <c r="CJ19" i="23" s="1"/>
  <c r="EF19" i="23"/>
  <c r="EG20" i="23"/>
  <c r="BW21" i="23"/>
  <c r="BY21" i="23" s="1"/>
  <c r="CJ21" i="23" s="1"/>
  <c r="CS30" i="23"/>
  <c r="CX30" i="23" s="1"/>
  <c r="DP32" i="23"/>
  <c r="DW32" i="23"/>
  <c r="DM32" i="23"/>
  <c r="DZ32" i="23"/>
  <c r="BU37" i="23"/>
  <c r="DT40" i="23"/>
  <c r="EB40" i="23" s="1"/>
  <c r="CZ40" i="23"/>
  <c r="CT40" i="23"/>
  <c r="CY41" i="23"/>
  <c r="CS41" i="23"/>
  <c r="CX41" i="23" s="1"/>
  <c r="CZ46" i="23"/>
  <c r="EE55" i="23"/>
  <c r="DB55" i="23"/>
  <c r="CZ55" i="23"/>
  <c r="DT55" i="23"/>
  <c r="EB55" i="23" s="1"/>
  <c r="BW55" i="23"/>
  <c r="EG55" i="23"/>
  <c r="DK64" i="23"/>
  <c r="DU57" i="23"/>
  <c r="EH57" i="23" s="1"/>
  <c r="DY60" i="23"/>
  <c r="BO60" i="23"/>
  <c r="DX60" i="23"/>
  <c r="DW60" i="23"/>
  <c r="CG86" i="23"/>
  <c r="DO86" i="23"/>
  <c r="BY86" i="23"/>
  <c r="CJ86" i="23" s="1"/>
  <c r="BW86" i="23"/>
  <c r="CZ89" i="23"/>
  <c r="CT89" i="23"/>
  <c r="DA98" i="23"/>
  <c r="CU98" i="23"/>
  <c r="DP24" i="23"/>
  <c r="EA27" i="23"/>
  <c r="CF27" i="23"/>
  <c r="DI27" i="23" s="1"/>
  <c r="CZ31" i="23"/>
  <c r="BV35" i="23"/>
  <c r="DC38" i="23"/>
  <c r="EG43" i="23"/>
  <c r="BU44" i="23"/>
  <c r="DB48" i="23"/>
  <c r="CV48" i="23"/>
  <c r="EI49" i="23"/>
  <c r="BV50" i="23"/>
  <c r="CT52" i="23"/>
  <c r="CX52" i="23" s="1"/>
  <c r="DP60" i="23"/>
  <c r="DM60" i="23"/>
  <c r="CG60" i="23"/>
  <c r="BO63" i="23"/>
  <c r="CV63" i="23"/>
  <c r="CU63" i="23"/>
  <c r="CT63" i="23"/>
  <c r="EA63" i="23"/>
  <c r="CS63" i="23"/>
  <c r="DZ63" i="23"/>
  <c r="DW63" i="23"/>
  <c r="BP65" i="23"/>
  <c r="EG65" i="23"/>
  <c r="EF65" i="23"/>
  <c r="CZ65" i="23"/>
  <c r="ED65" i="23"/>
  <c r="EC65" i="23"/>
  <c r="EI65" i="23" s="1"/>
  <c r="DC65" i="23"/>
  <c r="DB65" i="23"/>
  <c r="DA65" i="23"/>
  <c r="CG69" i="23"/>
  <c r="DA89" i="23"/>
  <c r="CU89" i="23"/>
  <c r="DB98" i="23"/>
  <c r="CV98" i="23"/>
  <c r="DP44" i="23"/>
  <c r="DX44" i="23"/>
  <c r="DW44" i="23"/>
  <c r="DM44" i="23"/>
  <c r="CV52" i="23"/>
  <c r="BU54" i="23"/>
  <c r="BS54" i="23"/>
  <c r="BP57" i="23"/>
  <c r="EA60" i="23"/>
  <c r="BV65" i="23"/>
  <c r="BT65" i="23"/>
  <c r="BZ65" i="23" s="1"/>
  <c r="CK65" i="23" s="1"/>
  <c r="DM69" i="23"/>
  <c r="CU69" i="23"/>
  <c r="DP69" i="23"/>
  <c r="CF69" i="23"/>
  <c r="DI69" i="23" s="1"/>
  <c r="EA69" i="23"/>
  <c r="DZ69" i="23"/>
  <c r="DY69" i="23"/>
  <c r="DX69" i="23"/>
  <c r="DW69" i="23"/>
  <c r="CZ72" i="23"/>
  <c r="CT72" i="23"/>
  <c r="CX72" i="23" s="1"/>
  <c r="DB89" i="23"/>
  <c r="CV89" i="23"/>
  <c r="BX44" i="23"/>
  <c r="CI44" i="23" s="1"/>
  <c r="DN44" i="23"/>
  <c r="CW44" i="23"/>
  <c r="DX48" i="23"/>
  <c r="EA48" i="23"/>
  <c r="DZ48" i="23"/>
  <c r="DY48" i="23"/>
  <c r="DW48" i="23"/>
  <c r="CS48" i="23"/>
  <c r="DP48" i="23"/>
  <c r="DP54" i="23"/>
  <c r="EA54" i="23"/>
  <c r="CF54" i="23"/>
  <c r="DI54" i="23" s="1"/>
  <c r="DZ54" i="23"/>
  <c r="CS54" i="23"/>
  <c r="DY54" i="23"/>
  <c r="DX54" i="23"/>
  <c r="DW54" i="23"/>
  <c r="BX60" i="23"/>
  <c r="CI60" i="23" s="1"/>
  <c r="ED67" i="23"/>
  <c r="BW67" i="23"/>
  <c r="DT67" i="23"/>
  <c r="EB67" i="23" s="1"/>
  <c r="EG67" i="23"/>
  <c r="EF67" i="23"/>
  <c r="EE67" i="23"/>
  <c r="EC67" i="23"/>
  <c r="BS69" i="23"/>
  <c r="BO69" i="23"/>
  <c r="DA72" i="23"/>
  <c r="CU72" i="23"/>
  <c r="DB79" i="23"/>
  <c r="CV79" i="23"/>
  <c r="DU27" i="23"/>
  <c r="EH27" i="23" s="1"/>
  <c r="CW31" i="23"/>
  <c r="BT39" i="23"/>
  <c r="BZ39" i="23" s="1"/>
  <c r="CK39" i="23" s="1"/>
  <c r="ED40" i="23"/>
  <c r="BX43" i="23"/>
  <c r="CI43" i="23" s="1"/>
  <c r="EF44" i="23"/>
  <c r="DT44" i="23"/>
  <c r="EB44" i="23" s="1"/>
  <c r="BW44" i="23"/>
  <c r="CZ44" i="23"/>
  <c r="BX47" i="23"/>
  <c r="CI47" i="23" s="1"/>
  <c r="BS48" i="23"/>
  <c r="DW52" i="23"/>
  <c r="CF52" i="23"/>
  <c r="DI52" i="23" s="1"/>
  <c r="DM52" i="23"/>
  <c r="DU53" i="23"/>
  <c r="EH53" i="23" s="1"/>
  <c r="DC53" i="23"/>
  <c r="BT67" i="23"/>
  <c r="DU67" i="23"/>
  <c r="EH67" i="23" s="1"/>
  <c r="BP67" i="23"/>
  <c r="CB70" i="23"/>
  <c r="BQ70" i="23"/>
  <c r="CD70" i="23" s="1"/>
  <c r="DB72" i="23"/>
  <c r="CV72" i="23"/>
  <c r="CY84" i="23"/>
  <c r="CS84" i="23"/>
  <c r="CB88" i="23"/>
  <c r="DJ88" i="23" s="1"/>
  <c r="BQ88" i="23"/>
  <c r="CD88" i="23" s="1"/>
  <c r="CF24" i="23"/>
  <c r="DI24" i="23" s="1"/>
  <c r="CZ29" i="23"/>
  <c r="CT32" i="23"/>
  <c r="CA36" i="23"/>
  <c r="CL36" i="23" s="1"/>
  <c r="CW39" i="23"/>
  <c r="EF39" i="23"/>
  <c r="CV40" i="23"/>
  <c r="EE40" i="23"/>
  <c r="DU44" i="23"/>
  <c r="EH44" i="23" s="1"/>
  <c r="BT44" i="23"/>
  <c r="DA44" i="23"/>
  <c r="ED48" i="23"/>
  <c r="EC48" i="23"/>
  <c r="CY48" i="23"/>
  <c r="DD48" i="23" s="1"/>
  <c r="DT48" i="23"/>
  <c r="EB48" i="23" s="1"/>
  <c r="BW48" i="23"/>
  <c r="BY48" i="23" s="1"/>
  <c r="CJ48" i="23" s="1"/>
  <c r="DN49" i="23"/>
  <c r="CZ51" i="23"/>
  <c r="DD51" i="23" s="1"/>
  <c r="CT51" i="23"/>
  <c r="BQ56" i="23"/>
  <c r="CD56" i="23" s="1"/>
  <c r="CB56" i="23"/>
  <c r="BT57" i="23"/>
  <c r="BZ57" i="23" s="1"/>
  <c r="CK57" i="23" s="1"/>
  <c r="CS59" i="23"/>
  <c r="BQ61" i="23"/>
  <c r="CD61" i="23" s="1"/>
  <c r="CB61" i="23"/>
  <c r="BP62" i="23"/>
  <c r="EE62" i="23"/>
  <c r="ED62" i="23"/>
  <c r="EG62" i="23"/>
  <c r="EF62" i="23"/>
  <c r="DB62" i="23"/>
  <c r="DA62" i="23"/>
  <c r="CZ62" i="23"/>
  <c r="DW64" i="23"/>
  <c r="CF64" i="23"/>
  <c r="DI64" i="23" s="1"/>
  <c r="EA64" i="23"/>
  <c r="DZ64" i="23"/>
  <c r="DY64" i="23"/>
  <c r="DX64" i="23"/>
  <c r="CU64" i="23"/>
  <c r="DP64" i="23"/>
  <c r="DM64" i="23"/>
  <c r="DC72" i="23"/>
  <c r="CW72" i="23"/>
  <c r="CZ27" i="23"/>
  <c r="DA29" i="23"/>
  <c r="CT31" i="23"/>
  <c r="CU32" i="23"/>
  <c r="BT33" i="23"/>
  <c r="BZ33" i="23" s="1"/>
  <c r="CK33" i="23" s="1"/>
  <c r="BP37" i="23"/>
  <c r="CW38" i="23"/>
  <c r="EG39" i="23"/>
  <c r="DB44" i="23"/>
  <c r="CT45" i="23"/>
  <c r="CX45" i="23" s="1"/>
  <c r="CZ45" i="23"/>
  <c r="CY50" i="23"/>
  <c r="DA51" i="23"/>
  <c r="CU51" i="23"/>
  <c r="DP52" i="23"/>
  <c r="CS55" i="23"/>
  <c r="CY55" i="23"/>
  <c r="BY56" i="23"/>
  <c r="CJ56" i="23" s="1"/>
  <c r="DO56" i="23"/>
  <c r="CT59" i="23"/>
  <c r="CG61" i="23"/>
  <c r="BY61" i="23"/>
  <c r="CJ61" i="23" s="1"/>
  <c r="BW61" i="23"/>
  <c r="DU62" i="23"/>
  <c r="EH62" i="23" s="1"/>
  <c r="BV62" i="23"/>
  <c r="BT62" i="23"/>
  <c r="CY62" i="23"/>
  <c r="DD62" i="23" s="1"/>
  <c r="CS62" i="23"/>
  <c r="CX62" i="23" s="1"/>
  <c r="CZ68" i="23"/>
  <c r="DD68" i="23" s="1"/>
  <c r="CT68" i="23"/>
  <c r="DB29" i="23"/>
  <c r="CV29" i="23"/>
  <c r="CX29" i="23" s="1"/>
  <c r="CV32" i="23"/>
  <c r="CS33" i="23"/>
  <c r="BR38" i="23"/>
  <c r="CE38" i="23" s="1"/>
  <c r="DK38" i="23" s="1"/>
  <c r="DU39" i="23"/>
  <c r="EH39" i="23" s="1"/>
  <c r="CC44" i="23"/>
  <c r="BR44" i="23"/>
  <c r="CE44" i="23" s="1"/>
  <c r="CA47" i="23"/>
  <c r="CL47" i="23" s="1"/>
  <c r="DN47" i="23"/>
  <c r="CZ50" i="23"/>
  <c r="DB51" i="23"/>
  <c r="CV51" i="23"/>
  <c r="CX51" i="23" s="1"/>
  <c r="DU52" i="23"/>
  <c r="EH52" i="23" s="1"/>
  <c r="BT52" i="23"/>
  <c r="BZ52" i="23" s="1"/>
  <c r="CK52" i="23" s="1"/>
  <c r="DK53" i="23"/>
  <c r="DM54" i="23"/>
  <c r="CT55" i="23"/>
  <c r="DM56" i="23"/>
  <c r="DP56" i="23"/>
  <c r="CW56" i="23"/>
  <c r="CV56" i="23"/>
  <c r="CU56" i="23"/>
  <c r="EA56" i="23"/>
  <c r="CT56" i="23"/>
  <c r="DZ56" i="23"/>
  <c r="DY56" i="23"/>
  <c r="EI56" i="23" s="1"/>
  <c r="CU59" i="23"/>
  <c r="EA61" i="23"/>
  <c r="DZ61" i="23"/>
  <c r="DY61" i="23"/>
  <c r="DX61" i="23"/>
  <c r="DW61" i="23"/>
  <c r="DP61" i="23"/>
  <c r="DN70" i="23"/>
  <c r="DC79" i="23"/>
  <c r="CT33" i="23"/>
  <c r="BX40" i="23"/>
  <c r="CI40" i="23" s="1"/>
  <c r="BP43" i="23"/>
  <c r="ED43" i="23"/>
  <c r="EC43" i="23"/>
  <c r="EI43" i="23" s="1"/>
  <c r="DC43" i="23"/>
  <c r="CS46" i="23"/>
  <c r="BR48" i="23"/>
  <c r="CE48" i="23" s="1"/>
  <c r="CC48" i="23"/>
  <c r="DA50" i="23"/>
  <c r="DC51" i="23"/>
  <c r="CW51" i="23"/>
  <c r="CU55" i="23"/>
  <c r="DA55" i="23"/>
  <c r="CV59" i="23"/>
  <c r="BX61" i="23"/>
  <c r="CI61" i="23" s="1"/>
  <c r="DU64" i="23"/>
  <c r="EH64" i="23" s="1"/>
  <c r="BT64" i="23"/>
  <c r="DN75" i="23"/>
  <c r="BX75" i="23"/>
  <c r="CI75" i="23" s="1"/>
  <c r="DP39" i="23"/>
  <c r="CF43" i="23"/>
  <c r="DI43" i="23" s="1"/>
  <c r="BV48" i="23"/>
  <c r="EA50" i="23"/>
  <c r="BP52" i="23"/>
  <c r="CB54" i="23"/>
  <c r="DJ54" i="23" s="1"/>
  <c r="BQ54" i="23"/>
  <c r="CD54" i="23" s="1"/>
  <c r="BV57" i="23"/>
  <c r="BS58" i="23"/>
  <c r="DM63" i="23"/>
  <c r="BS63" i="23"/>
  <c r="BU63" i="23"/>
  <c r="EF66" i="23"/>
  <c r="EE66" i="23"/>
  <c r="ED66" i="23"/>
  <c r="EC66" i="23"/>
  <c r="DA66" i="23"/>
  <c r="BW66" i="23"/>
  <c r="BY66" i="23" s="1"/>
  <c r="CJ66" i="23" s="1"/>
  <c r="EG66" i="23"/>
  <c r="BV67" i="23"/>
  <c r="EG69" i="23"/>
  <c r="BW69" i="23"/>
  <c r="BY69" i="23" s="1"/>
  <c r="CJ69" i="23" s="1"/>
  <c r="EE69" i="23"/>
  <c r="DC69" i="23"/>
  <c r="EF69" i="23"/>
  <c r="DB69" i="23"/>
  <c r="ED69" i="23"/>
  <c r="DA69" i="23"/>
  <c r="EC69" i="23"/>
  <c r="DC98" i="23"/>
  <c r="CW98" i="23"/>
  <c r="CU44" i="23"/>
  <c r="DZ45" i="23"/>
  <c r="EI45" i="23" s="1"/>
  <c r="EA49" i="23"/>
  <c r="DZ49" i="23"/>
  <c r="CF49" i="23"/>
  <c r="DI49" i="23" s="1"/>
  <c r="CV54" i="23"/>
  <c r="EG56" i="23"/>
  <c r="BW56" i="23"/>
  <c r="EC56" i="23"/>
  <c r="EF56" i="23"/>
  <c r="EE58" i="23"/>
  <c r="ED58" i="23"/>
  <c r="EC58" i="23"/>
  <c r="DT58" i="23"/>
  <c r="EB58" i="23" s="1"/>
  <c r="BW58" i="23"/>
  <c r="BY58" i="23" s="1"/>
  <c r="CJ58" i="23" s="1"/>
  <c r="CU58" i="23"/>
  <c r="EG59" i="23"/>
  <c r="EF59" i="23"/>
  <c r="EE59" i="23"/>
  <c r="ED59" i="23"/>
  <c r="DT60" i="23"/>
  <c r="EB60" i="23" s="1"/>
  <c r="EF60" i="23"/>
  <c r="EE60" i="23"/>
  <c r="ED60" i="23"/>
  <c r="EC60" i="23"/>
  <c r="BW60" i="23"/>
  <c r="BY60" i="23" s="1"/>
  <c r="CJ60" i="23" s="1"/>
  <c r="BT69" i="23"/>
  <c r="BZ69" i="23" s="1"/>
  <c r="CK69" i="23" s="1"/>
  <c r="BP69" i="23"/>
  <c r="BU88" i="23"/>
  <c r="BS88" i="23"/>
  <c r="DA99" i="23"/>
  <c r="CU99" i="23"/>
  <c r="CV44" i="23"/>
  <c r="EA45" i="23"/>
  <c r="CW54" i="23"/>
  <c r="BT56" i="23"/>
  <c r="BZ56" i="23" s="1"/>
  <c r="CK56" i="23" s="1"/>
  <c r="DU60" i="23"/>
  <c r="EH60" i="23" s="1"/>
  <c r="BV60" i="23"/>
  <c r="BT60" i="23"/>
  <c r="DN60" i="23" s="1"/>
  <c r="EI80" i="23"/>
  <c r="CB98" i="23"/>
  <c r="DJ98" i="23" s="1"/>
  <c r="BQ98" i="23"/>
  <c r="CD98" i="23" s="1"/>
  <c r="DK98" i="23" s="1"/>
  <c r="DB99" i="23"/>
  <c r="CV99" i="23"/>
  <c r="BV44" i="23"/>
  <c r="DZ47" i="23"/>
  <c r="EA53" i="23"/>
  <c r="DZ53" i="23"/>
  <c r="DY53" i="23"/>
  <c r="DX53" i="23"/>
  <c r="DW53" i="23"/>
  <c r="CV53" i="23"/>
  <c r="EF58" i="23"/>
  <c r="BP66" i="23"/>
  <c r="EG70" i="23"/>
  <c r="BW70" i="23"/>
  <c r="EE70" i="23"/>
  <c r="DT70" i="23"/>
  <c r="EB70" i="23" s="1"/>
  <c r="EF70" i="23"/>
  <c r="DB70" i="23"/>
  <c r="ED70" i="23"/>
  <c r="EC70" i="23"/>
  <c r="DA70" i="23"/>
  <c r="EG71" i="23"/>
  <c r="CZ71" i="23"/>
  <c r="EF71" i="23"/>
  <c r="CH71" i="23"/>
  <c r="CA71" i="23"/>
  <c r="CL71" i="23" s="1"/>
  <c r="CF39" i="23"/>
  <c r="DI39" i="23" s="1"/>
  <c r="DP41" i="23"/>
  <c r="CW42" i="23"/>
  <c r="DX42" i="23"/>
  <c r="EE43" i="23"/>
  <c r="DM45" i="23"/>
  <c r="BV46" i="23"/>
  <c r="DU49" i="23"/>
  <c r="EH49" i="23" s="1"/>
  <c r="CZ49" i="23"/>
  <c r="DD49" i="23" s="1"/>
  <c r="DM49" i="23"/>
  <c r="EF51" i="23"/>
  <c r="BP51" i="23"/>
  <c r="EE51" i="23"/>
  <c r="ED51" i="23"/>
  <c r="ED56" i="23"/>
  <c r="EG58" i="23"/>
  <c r="BO65" i="23"/>
  <c r="CW65" i="23"/>
  <c r="CU65" i="23"/>
  <c r="CT65" i="23"/>
  <c r="CS65" i="23"/>
  <c r="CX65" i="23" s="1"/>
  <c r="EA65" i="23"/>
  <c r="DZ65" i="23"/>
  <c r="BQ66" i="23"/>
  <c r="CD66" i="23" s="1"/>
  <c r="DJ68" i="23"/>
  <c r="DU70" i="23"/>
  <c r="EH70" i="23" s="1"/>
  <c r="BV70" i="23"/>
  <c r="ED71" i="23"/>
  <c r="CX99" i="23"/>
  <c r="DW39" i="23"/>
  <c r="DY42" i="23"/>
  <c r="EF43" i="23"/>
  <c r="EE45" i="23"/>
  <c r="EF47" i="23"/>
  <c r="EE47" i="23"/>
  <c r="ED47" i="23"/>
  <c r="DU51" i="23"/>
  <c r="EH51" i="23" s="1"/>
  <c r="CY53" i="23"/>
  <c r="CS53" i="23"/>
  <c r="EC54" i="23"/>
  <c r="EE56" i="23"/>
  <c r="BX62" i="23"/>
  <c r="CI62" i="23" s="1"/>
  <c r="CY64" i="23"/>
  <c r="CS64" i="23"/>
  <c r="CX64" i="23" s="1"/>
  <c r="CV68" i="23"/>
  <c r="BQ72" i="23"/>
  <c r="CD72" i="23" s="1"/>
  <c r="CB72" i="23"/>
  <c r="EI72" i="23"/>
  <c r="CC76" i="23"/>
  <c r="BR76" i="23"/>
  <c r="CE76" i="23" s="1"/>
  <c r="BU77" i="23"/>
  <c r="DU77" i="23"/>
  <c r="EH77" i="23" s="1"/>
  <c r="DX39" i="23"/>
  <c r="DZ42" i="23"/>
  <c r="EF45" i="23"/>
  <c r="BO50" i="23"/>
  <c r="CZ53" i="23"/>
  <c r="ED54" i="23"/>
  <c r="BY62" i="23"/>
  <c r="CJ62" i="23" s="1"/>
  <c r="CZ64" i="23"/>
  <c r="CT64" i="23"/>
  <c r="DN66" i="23"/>
  <c r="BX66" i="23"/>
  <c r="CI66" i="23" s="1"/>
  <c r="DT66" i="23"/>
  <c r="EB66" i="23" s="1"/>
  <c r="CG72" i="23"/>
  <c r="BW72" i="23"/>
  <c r="BY72" i="23" s="1"/>
  <c r="CJ72" i="23" s="1"/>
  <c r="DO72" i="23"/>
  <c r="BV76" i="23"/>
  <c r="BT76" i="23"/>
  <c r="BZ76" i="23" s="1"/>
  <c r="CK76" i="23" s="1"/>
  <c r="DY77" i="23"/>
  <c r="CT77" i="23"/>
  <c r="DP77" i="23"/>
  <c r="DM77" i="23"/>
  <c r="EA77" i="23"/>
  <c r="DZ77" i="23"/>
  <c r="DX77" i="23"/>
  <c r="DW77" i="23"/>
  <c r="CF77" i="23"/>
  <c r="DI77" i="23" s="1"/>
  <c r="DY39" i="23"/>
  <c r="DW40" i="23"/>
  <c r="BT45" i="23"/>
  <c r="BZ45" i="23" s="1"/>
  <c r="CK45" i="23" s="1"/>
  <c r="DP49" i="23"/>
  <c r="DT53" i="23"/>
  <c r="EB53" i="23" s="1"/>
  <c r="DB53" i="23"/>
  <c r="DA53" i="23"/>
  <c r="EC53" i="23"/>
  <c r="CY56" i="23"/>
  <c r="DD56" i="23" s="1"/>
  <c r="CY57" i="23"/>
  <c r="CY58" i="23"/>
  <c r="DD58" i="23" s="1"/>
  <c r="DP63" i="23"/>
  <c r="BT66" i="23"/>
  <c r="BS77" i="23"/>
  <c r="BO77" i="23"/>
  <c r="CH79" i="23"/>
  <c r="CA79" i="23"/>
  <c r="CL79" i="23" s="1"/>
  <c r="DO93" i="23"/>
  <c r="DM47" i="23"/>
  <c r="DQ47" i="23" s="1"/>
  <c r="DR47" i="23" s="1"/>
  <c r="DZ50" i="23"/>
  <c r="DY50" i="23"/>
  <c r="DX50" i="23"/>
  <c r="EI50" i="23" s="1"/>
  <c r="BT53" i="23"/>
  <c r="BZ53" i="23" s="1"/>
  <c r="CK53" i="23" s="1"/>
  <c r="ED53" i="23"/>
  <c r="BP56" i="23"/>
  <c r="CZ56" i="23"/>
  <c r="CZ58" i="23"/>
  <c r="EG60" i="23"/>
  <c r="BV61" i="23"/>
  <c r="DO61" i="23" s="1"/>
  <c r="BT61" i="23"/>
  <c r="BZ61" i="23" s="1"/>
  <c r="CK61" i="23" s="1"/>
  <c r="DU61" i="23"/>
  <c r="EH61" i="23" s="1"/>
  <c r="DB64" i="23"/>
  <c r="CV64" i="23"/>
  <c r="BV66" i="23"/>
  <c r="CG66" i="23"/>
  <c r="CY71" i="23"/>
  <c r="CS71" i="23"/>
  <c r="CY76" i="23"/>
  <c r="CS76" i="23"/>
  <c r="EE52" i="23"/>
  <c r="BS56" i="23"/>
  <c r="CV57" i="23"/>
  <c r="CX57" i="23" s="1"/>
  <c r="DC60" i="23"/>
  <c r="DZ62" i="23"/>
  <c r="EA62" i="23"/>
  <c r="DP62" i="23"/>
  <c r="EE63" i="23"/>
  <c r="BY68" i="23"/>
  <c r="CJ68" i="23" s="1"/>
  <c r="CG68" i="23"/>
  <c r="EF77" i="23"/>
  <c r="DT77" i="23"/>
  <c r="EB77" i="23" s="1"/>
  <c r="CY78" i="23"/>
  <c r="CS78" i="23"/>
  <c r="CS92" i="23"/>
  <c r="BP97" i="23"/>
  <c r="EG97" i="23"/>
  <c r="EF97" i="23"/>
  <c r="EE97" i="23"/>
  <c r="ED97" i="23"/>
  <c r="EC97" i="23"/>
  <c r="DB97" i="23"/>
  <c r="DN100" i="23"/>
  <c r="DQ100" i="23" s="1"/>
  <c r="DR100" i="23" s="1"/>
  <c r="BX100" i="23"/>
  <c r="CI100" i="23" s="1"/>
  <c r="BV64" i="23"/>
  <c r="CG64" i="23"/>
  <c r="BY64" i="23"/>
  <c r="CJ64" i="23" s="1"/>
  <c r="BW64" i="23"/>
  <c r="DP65" i="23"/>
  <c r="EG68" i="23"/>
  <c r="EE68" i="23"/>
  <c r="DC68" i="23"/>
  <c r="ED68" i="23"/>
  <c r="EC68" i="23"/>
  <c r="EI68" i="23" s="1"/>
  <c r="DA68" i="23"/>
  <c r="DO68" i="23"/>
  <c r="DA71" i="23"/>
  <c r="CU71" i="23"/>
  <c r="EA72" i="23"/>
  <c r="DX72" i="23"/>
  <c r="CF72" i="23"/>
  <c r="DI72" i="23" s="1"/>
  <c r="CA77" i="23"/>
  <c r="CL77" i="23" s="1"/>
  <c r="CH77" i="23"/>
  <c r="CZ80" i="23"/>
  <c r="CT80" i="23"/>
  <c r="CC91" i="23"/>
  <c r="BR91" i="23"/>
  <c r="CE91" i="23" s="1"/>
  <c r="CT92" i="23"/>
  <c r="BT97" i="23"/>
  <c r="BV97" i="23"/>
  <c r="EC62" i="23"/>
  <c r="CV65" i="23"/>
  <c r="CY70" i="23"/>
  <c r="DB71" i="23"/>
  <c r="DM72" i="23"/>
  <c r="CC77" i="23"/>
  <c r="BR77" i="23"/>
  <c r="CE77" i="23" s="1"/>
  <c r="CU80" i="23"/>
  <c r="DA80" i="23"/>
  <c r="DO81" i="23"/>
  <c r="BY81" i="23"/>
  <c r="CJ81" i="23" s="1"/>
  <c r="CG81" i="23"/>
  <c r="CU92" i="23"/>
  <c r="BP60" i="23"/>
  <c r="DC62" i="23"/>
  <c r="EE65" i="23"/>
  <c r="CY66" i="23"/>
  <c r="CA68" i="23"/>
  <c r="CL68" i="23" s="1"/>
  <c r="DC71" i="23"/>
  <c r="DN72" i="23"/>
  <c r="CV92" i="23"/>
  <c r="DC99" i="23"/>
  <c r="EG54" i="23"/>
  <c r="EE54" i="23"/>
  <c r="CS56" i="23"/>
  <c r="CX56" i="23" s="1"/>
  <c r="DZ57" i="23"/>
  <c r="EI57" i="23" s="1"/>
  <c r="DB61" i="23"/>
  <c r="DD61" i="23" s="1"/>
  <c r="EC63" i="23"/>
  <c r="CT66" i="23"/>
  <c r="CZ66" i="23"/>
  <c r="EG77" i="23"/>
  <c r="CC79" i="23"/>
  <c r="DJ79" i="23" s="1"/>
  <c r="BR79" i="23"/>
  <c r="CE79" i="23" s="1"/>
  <c r="DN85" i="23"/>
  <c r="BX85" i="23"/>
  <c r="CI85" i="23" s="1"/>
  <c r="CY87" i="23"/>
  <c r="CS87" i="23"/>
  <c r="EF54" i="23"/>
  <c r="CF57" i="23"/>
  <c r="DI57" i="23" s="1"/>
  <c r="DC58" i="23"/>
  <c r="CW60" i="23"/>
  <c r="DC61" i="23"/>
  <c r="CW61" i="23"/>
  <c r="CX61" i="23" s="1"/>
  <c r="DX62" i="23"/>
  <c r="EI62" i="23" s="1"/>
  <c r="ED63" i="23"/>
  <c r="BS65" i="23"/>
  <c r="BO67" i="23"/>
  <c r="BT72" i="23"/>
  <c r="BZ72" i="23" s="1"/>
  <c r="CK72" i="23" s="1"/>
  <c r="DP72" i="23"/>
  <c r="CT75" i="23"/>
  <c r="DK79" i="23"/>
  <c r="EF85" i="23"/>
  <c r="EE85" i="23"/>
  <c r="ED85" i="23"/>
  <c r="EC85" i="23"/>
  <c r="DA85" i="23"/>
  <c r="CZ85" i="23"/>
  <c r="CY85" i="23"/>
  <c r="DD85" i="23" s="1"/>
  <c r="EG85" i="23"/>
  <c r="DT85" i="23"/>
  <c r="EB85" i="23" s="1"/>
  <c r="BW85" i="23"/>
  <c r="CZ52" i="23"/>
  <c r="DD52" i="23" s="1"/>
  <c r="EA59" i="23"/>
  <c r="DW59" i="23"/>
  <c r="EI59" i="23" s="1"/>
  <c r="DY62" i="23"/>
  <c r="CW63" i="23"/>
  <c r="EF63" i="23"/>
  <c r="CV66" i="23"/>
  <c r="DB66" i="23"/>
  <c r="BU67" i="23"/>
  <c r="DU68" i="23"/>
  <c r="EH68" i="23" s="1"/>
  <c r="CS69" i="23"/>
  <c r="CW70" i="23"/>
  <c r="DC70" i="23"/>
  <c r="CV71" i="23"/>
  <c r="CC81" i="23"/>
  <c r="BR81" i="23"/>
  <c r="CE81" i="23" s="1"/>
  <c r="DA52" i="23"/>
  <c r="CU52" i="23"/>
  <c r="BU57" i="23"/>
  <c r="BR63" i="23"/>
  <c r="CE63" i="23" s="1"/>
  <c r="EG63" i="23"/>
  <c r="DP66" i="23"/>
  <c r="CF66" i="23"/>
  <c r="DI66" i="23" s="1"/>
  <c r="EA66" i="23"/>
  <c r="DZ66" i="23"/>
  <c r="DY66" i="23"/>
  <c r="DX66" i="23"/>
  <c r="DW66" i="23"/>
  <c r="CU66" i="23"/>
  <c r="CW66" i="23"/>
  <c r="DC66" i="23"/>
  <c r="DW67" i="23"/>
  <c r="CW67" i="23"/>
  <c r="CV67" i="23"/>
  <c r="CS67" i="23"/>
  <c r="DP67" i="23"/>
  <c r="DM67" i="23"/>
  <c r="CT69" i="23"/>
  <c r="CZ69" i="23"/>
  <c r="DD69" i="23" s="1"/>
  <c r="CS70" i="23"/>
  <c r="CX70" i="23" s="1"/>
  <c r="CW71" i="23"/>
  <c r="BO75" i="23"/>
  <c r="DX75" i="23"/>
  <c r="EI75" i="23" s="1"/>
  <c r="CW75" i="23"/>
  <c r="BV81" i="23"/>
  <c r="DU81" i="23"/>
  <c r="EH81" i="23" s="1"/>
  <c r="EC59" i="23"/>
  <c r="EC61" i="23"/>
  <c r="BP61" i="23"/>
  <c r="CU61" i="23"/>
  <c r="EE61" i="23"/>
  <c r="CW62" i="23"/>
  <c r="DU63" i="23"/>
  <c r="EH63" i="23" s="1"/>
  <c r="BT63" i="23"/>
  <c r="BZ63" i="23" s="1"/>
  <c r="CK63" i="23" s="1"/>
  <c r="CA63" i="23"/>
  <c r="CL63" i="23" s="1"/>
  <c r="DT64" i="23"/>
  <c r="EB64" i="23" s="1"/>
  <c r="CS66" i="23"/>
  <c r="DN67" i="23"/>
  <c r="BX67" i="23"/>
  <c r="CI67" i="23" s="1"/>
  <c r="CT73" i="23"/>
  <c r="BX76" i="23"/>
  <c r="CI76" i="23" s="1"/>
  <c r="CS81" i="23"/>
  <c r="CY81" i="23"/>
  <c r="CG89" i="23"/>
  <c r="DO89" i="23"/>
  <c r="BW89" i="23"/>
  <c r="BY89" i="23" s="1"/>
  <c r="CJ89" i="23" s="1"/>
  <c r="DO90" i="23"/>
  <c r="BY90" i="23"/>
  <c r="CJ90" i="23" s="1"/>
  <c r="CG90" i="23"/>
  <c r="CY94" i="23"/>
  <c r="CS94" i="23"/>
  <c r="CX94" i="23" s="1"/>
  <c r="DJ96" i="23"/>
  <c r="DY63" i="23"/>
  <c r="DX63" i="23"/>
  <c r="CF63" i="23"/>
  <c r="DI63" i="23" s="1"/>
  <c r="DN64" i="23"/>
  <c r="DA64" i="23"/>
  <c r="BV69" i="23"/>
  <c r="EG72" i="23"/>
  <c r="BP72" i="23"/>
  <c r="BU74" i="23"/>
  <c r="BP75" i="23"/>
  <c r="EF75" i="23"/>
  <c r="CT76" i="23"/>
  <c r="CZ76" i="23"/>
  <c r="CH86" i="23"/>
  <c r="CA86" i="23"/>
  <c r="CL86" i="23" s="1"/>
  <c r="BP90" i="23"/>
  <c r="DC90" i="23"/>
  <c r="EG90" i="23"/>
  <c r="DB90" i="23"/>
  <c r="EF90" i="23"/>
  <c r="DA90" i="23"/>
  <c r="EE90" i="23"/>
  <c r="ED90" i="23"/>
  <c r="DU96" i="23"/>
  <c r="EH96" i="23" s="1"/>
  <c r="BV96" i="23"/>
  <c r="DO96" i="23" s="1"/>
  <c r="DY74" i="23"/>
  <c r="DW74" i="23"/>
  <c r="EI74" i="23" s="1"/>
  <c r="EA74" i="23"/>
  <c r="DZ74" i="23"/>
  <c r="DX74" i="23"/>
  <c r="CZ74" i="23"/>
  <c r="CT74" i="23"/>
  <c r="DA76" i="23"/>
  <c r="CU76" i="23"/>
  <c r="DN79" i="23"/>
  <c r="DQ79" i="23" s="1"/>
  <c r="DR79" i="23" s="1"/>
  <c r="BX79" i="23"/>
  <c r="CI79" i="23" s="1"/>
  <c r="DL79" i="23"/>
  <c r="CW92" i="23"/>
  <c r="CA100" i="23"/>
  <c r="CL100" i="23" s="1"/>
  <c r="CH100" i="23"/>
  <c r="CS101" i="23"/>
  <c r="CX101" i="23" s="1"/>
  <c r="CY101" i="23"/>
  <c r="CT67" i="23"/>
  <c r="DD72" i="23"/>
  <c r="DA74" i="23"/>
  <c r="CU74" i="23"/>
  <c r="DT76" i="23"/>
  <c r="EB76" i="23" s="1"/>
  <c r="EG76" i="23"/>
  <c r="BW76" i="23"/>
  <c r="BY76" i="23" s="1"/>
  <c r="CJ76" i="23" s="1"/>
  <c r="EE76" i="23"/>
  <c r="ED76" i="23"/>
  <c r="EC76" i="23"/>
  <c r="EI76" i="23" s="1"/>
  <c r="DB76" i="23"/>
  <c r="EC79" i="23"/>
  <c r="CH80" i="23"/>
  <c r="BX82" i="23"/>
  <c r="CI82" i="23" s="1"/>
  <c r="DB85" i="23"/>
  <c r="DT65" i="23"/>
  <c r="EB65" i="23" s="1"/>
  <c r="CU67" i="23"/>
  <c r="CV74" i="23"/>
  <c r="CW76" i="23"/>
  <c r="DC76" i="23"/>
  <c r="EF76" i="23"/>
  <c r="CG79" i="23"/>
  <c r="DO79" i="23"/>
  <c r="BW79" i="23"/>
  <c r="BY79" i="23" s="1"/>
  <c r="CJ79" i="23" s="1"/>
  <c r="ED79" i="23"/>
  <c r="DC85" i="23"/>
  <c r="DD92" i="23"/>
  <c r="DT94" i="23"/>
  <c r="EB94" i="23" s="1"/>
  <c r="DM68" i="23"/>
  <c r="DU74" i="23"/>
  <c r="EH74" i="23" s="1"/>
  <c r="DC74" i="23"/>
  <c r="CW74" i="23"/>
  <c r="BO76" i="23"/>
  <c r="BT78" i="23"/>
  <c r="DN78" i="23" s="1"/>
  <c r="EE79" i="23"/>
  <c r="DB96" i="23"/>
  <c r="DD96" i="23" s="1"/>
  <c r="CV96" i="23"/>
  <c r="CX96" i="23" s="1"/>
  <c r="DZ60" i="23"/>
  <c r="BX64" i="23"/>
  <c r="CI64" i="23" s="1"/>
  <c r="BP74" i="23"/>
  <c r="CS74" i="23"/>
  <c r="CG78" i="23"/>
  <c r="BY78" i="23"/>
  <c r="CJ78" i="23" s="1"/>
  <c r="EF79" i="23"/>
  <c r="CT85" i="23"/>
  <c r="BO87" i="23"/>
  <c r="CT87" i="23"/>
  <c r="DX87" i="23"/>
  <c r="DU91" i="23"/>
  <c r="EH91" i="23" s="1"/>
  <c r="BO94" i="23"/>
  <c r="EA95" i="23"/>
  <c r="DZ95" i="23"/>
  <c r="DY95" i="23"/>
  <c r="DX95" i="23"/>
  <c r="EI95" i="23" s="1"/>
  <c r="DM95" i="23"/>
  <c r="CF95" i="23"/>
  <c r="DI95" i="23" s="1"/>
  <c r="CU95" i="23"/>
  <c r="CT95" i="23"/>
  <c r="CS95" i="23"/>
  <c r="DC96" i="23"/>
  <c r="CW96" i="23"/>
  <c r="CZ63" i="23"/>
  <c r="CY65" i="23"/>
  <c r="EF68" i="23"/>
  <c r="BQ84" i="23"/>
  <c r="CD84" i="23" s="1"/>
  <c r="CB84" i="23"/>
  <c r="BU91" i="23"/>
  <c r="BS91" i="23"/>
  <c r="BO91" i="23"/>
  <c r="BY94" i="23"/>
  <c r="CJ94" i="23" s="1"/>
  <c r="CG94" i="23"/>
  <c r="DO94" i="23"/>
  <c r="BU70" i="23"/>
  <c r="DT75" i="23"/>
  <c r="EB75" i="23" s="1"/>
  <c r="BX78" i="23"/>
  <c r="CI78" i="23" s="1"/>
  <c r="CV85" i="23"/>
  <c r="DN89" i="23"/>
  <c r="DQ89" i="23" s="1"/>
  <c r="DR89" i="23" s="1"/>
  <c r="BX89" i="23"/>
  <c r="CI89" i="23" s="1"/>
  <c r="EG91" i="23"/>
  <c r="BW91" i="23"/>
  <c r="EF91" i="23"/>
  <c r="DC91" i="23"/>
  <c r="DB91" i="23"/>
  <c r="EE91" i="23"/>
  <c r="DA91" i="23"/>
  <c r="ED91" i="23"/>
  <c r="EC91" i="23"/>
  <c r="EA94" i="23"/>
  <c r="DZ94" i="23"/>
  <c r="CW94" i="23"/>
  <c r="CV94" i="23"/>
  <c r="DY94" i="23"/>
  <c r="CU94" i="23"/>
  <c r="DX94" i="23"/>
  <c r="CT94" i="23"/>
  <c r="DW94" i="23"/>
  <c r="CF94" i="23"/>
  <c r="DI94" i="23" s="1"/>
  <c r="DP94" i="23"/>
  <c r="EF95" i="23"/>
  <c r="EE95" i="23"/>
  <c r="ED95" i="23"/>
  <c r="EC95" i="23"/>
  <c r="DA95" i="23"/>
  <c r="CZ95" i="23"/>
  <c r="CY95" i="23"/>
  <c r="CB99" i="23"/>
  <c r="DJ99" i="23" s="1"/>
  <c r="BQ99" i="23"/>
  <c r="CD99" i="23" s="1"/>
  <c r="DB63" i="23"/>
  <c r="CS68" i="23"/>
  <c r="DW70" i="23"/>
  <c r="DM70" i="23"/>
  <c r="BO73" i="23"/>
  <c r="CS73" i="23"/>
  <c r="CS77" i="23"/>
  <c r="CX77" i="23" s="1"/>
  <c r="CZ79" i="23"/>
  <c r="CT79" i="23"/>
  <c r="CX79" i="23" s="1"/>
  <c r="DU85" i="23"/>
  <c r="EH85" i="23" s="1"/>
  <c r="EA85" i="23"/>
  <c r="DZ85" i="23"/>
  <c r="DY85" i="23"/>
  <c r="DX85" i="23"/>
  <c r="DM85" i="23"/>
  <c r="CF85" i="23"/>
  <c r="DI85" i="23" s="1"/>
  <c r="DW85" i="23"/>
  <c r="EI85" i="23" s="1"/>
  <c r="CW85" i="23"/>
  <c r="BS94" i="23"/>
  <c r="CH95" i="23"/>
  <c r="CA95" i="23"/>
  <c r="CL95" i="23" s="1"/>
  <c r="DP75" i="23"/>
  <c r="DQ75" i="23" s="1"/>
  <c r="DR75" i="23" s="1"/>
  <c r="DM75" i="23"/>
  <c r="CW81" i="23"/>
  <c r="DU82" i="23"/>
  <c r="EH82" i="23" s="1"/>
  <c r="CS83" i="23"/>
  <c r="CS91" i="23"/>
  <c r="CY91" i="23"/>
  <c r="EG92" i="23"/>
  <c r="BW92" i="23"/>
  <c r="EF92" i="23"/>
  <c r="EE92" i="23"/>
  <c r="ED92" i="23"/>
  <c r="DB92" i="23"/>
  <c r="DT92" i="23"/>
  <c r="EB92" i="23" s="1"/>
  <c r="DO100" i="23"/>
  <c r="BU101" i="23"/>
  <c r="BS101" i="23"/>
  <c r="BO101" i="23"/>
  <c r="DT80" i="23"/>
  <c r="EB80" i="23" s="1"/>
  <c r="EG80" i="23"/>
  <c r="DC80" i="23"/>
  <c r="EF80" i="23"/>
  <c r="DB80" i="23"/>
  <c r="EE80" i="23"/>
  <c r="EC80" i="23"/>
  <c r="DP81" i="23"/>
  <c r="DM81" i="23"/>
  <c r="DP82" i="23"/>
  <c r="CV82" i="23"/>
  <c r="DM82" i="23"/>
  <c r="DX82" i="23"/>
  <c r="DW82" i="23"/>
  <c r="CZ91" i="23"/>
  <c r="CT91" i="23"/>
  <c r="DU92" i="23"/>
  <c r="EH92" i="23" s="1"/>
  <c r="DB95" i="23"/>
  <c r="DN96" i="23"/>
  <c r="DQ96" i="23" s="1"/>
  <c r="DR96" i="23" s="1"/>
  <c r="DB78" i="23"/>
  <c r="CV78" i="23"/>
  <c r="DU80" i="23"/>
  <c r="EH80" i="23" s="1"/>
  <c r="BT80" i="23"/>
  <c r="BP80" i="23"/>
  <c r="BX81" i="23"/>
  <c r="CI81" i="23" s="1"/>
  <c r="CG84" i="23"/>
  <c r="DC95" i="23"/>
  <c r="CW95" i="23"/>
  <c r="BU98" i="23"/>
  <c r="BS98" i="23"/>
  <c r="DM98" i="23"/>
  <c r="BR99" i="23"/>
  <c r="CE99" i="23" s="1"/>
  <c r="BW100" i="23"/>
  <c r="BY100" i="23" s="1"/>
  <c r="CJ100" i="23" s="1"/>
  <c r="DC78" i="23"/>
  <c r="CW78" i="23"/>
  <c r="EG81" i="23"/>
  <c r="BW81" i="23"/>
  <c r="EF81" i="23"/>
  <c r="DC81" i="23"/>
  <c r="ED81" i="23"/>
  <c r="DA81" i="23"/>
  <c r="EA84" i="23"/>
  <c r="DZ84" i="23"/>
  <c r="CF84" i="23"/>
  <c r="DI84" i="23" s="1"/>
  <c r="CW84" i="23"/>
  <c r="CV84" i="23"/>
  <c r="DP84" i="23"/>
  <c r="DC89" i="23"/>
  <c r="BP92" i="23"/>
  <c r="BT96" i="23"/>
  <c r="BZ96" i="23" s="1"/>
  <c r="CK96" i="23" s="1"/>
  <c r="DN99" i="23"/>
  <c r="DQ99" i="23" s="1"/>
  <c r="DR99" i="23" s="1"/>
  <c r="BX99" i="23"/>
  <c r="CI99" i="23" s="1"/>
  <c r="DJ100" i="23"/>
  <c r="DW71" i="23"/>
  <c r="EC72" i="23"/>
  <c r="ED72" i="23"/>
  <c r="CU77" i="23"/>
  <c r="DZ78" i="23"/>
  <c r="DY78" i="23"/>
  <c r="DX78" i="23"/>
  <c r="DW78" i="23"/>
  <c r="EI78" i="23" s="1"/>
  <c r="DP78" i="23"/>
  <c r="CF78" i="23"/>
  <c r="DI78" i="23" s="1"/>
  <c r="DB81" i="23"/>
  <c r="BY83" i="23"/>
  <c r="CJ83" i="23" s="1"/>
  <c r="DU83" i="23"/>
  <c r="EH83" i="23" s="1"/>
  <c r="BS84" i="23"/>
  <c r="BP87" i="23"/>
  <c r="EG87" i="23"/>
  <c r="EF87" i="23"/>
  <c r="EE87" i="23"/>
  <c r="ED87" i="23"/>
  <c r="EC87" i="23"/>
  <c r="CZ88" i="23"/>
  <c r="CT88" i="23"/>
  <c r="BR96" i="23"/>
  <c r="CE96" i="23" s="1"/>
  <c r="CC96" i="23"/>
  <c r="BT99" i="23"/>
  <c r="BZ99" i="23" s="1"/>
  <c r="CK99" i="23" s="1"/>
  <c r="EE99" i="23"/>
  <c r="EI99" i="23" s="1"/>
  <c r="CT78" i="23"/>
  <c r="BO81" i="23"/>
  <c r="DJ82" i="23"/>
  <c r="DM83" i="23"/>
  <c r="EA83" i="23"/>
  <c r="CW83" i="23"/>
  <c r="DY83" i="23"/>
  <c r="DX83" i="23"/>
  <c r="DW83" i="23"/>
  <c r="CV83" i="23"/>
  <c r="EG84" i="23"/>
  <c r="BW84" i="23"/>
  <c r="BY84" i="23" s="1"/>
  <c r="CJ84" i="23" s="1"/>
  <c r="EF84" i="23"/>
  <c r="EE84" i="23"/>
  <c r="EC84" i="23"/>
  <c r="DC84" i="23"/>
  <c r="DB84" i="23"/>
  <c r="DA84" i="23"/>
  <c r="CZ84" i="23"/>
  <c r="ED84" i="23"/>
  <c r="CA87" i="23"/>
  <c r="CL87" i="23" s="1"/>
  <c r="DA88" i="23"/>
  <c r="CU88" i="23"/>
  <c r="CG96" i="23"/>
  <c r="CH99" i="23"/>
  <c r="CA99" i="23"/>
  <c r="CL99" i="23" s="1"/>
  <c r="CG99" i="23"/>
  <c r="DO99" i="23"/>
  <c r="BW99" i="23"/>
  <c r="BY99" i="23" s="1"/>
  <c r="CJ99" i="23" s="1"/>
  <c r="CG100" i="23"/>
  <c r="EF72" i="23"/>
  <c r="DC73" i="23"/>
  <c r="CY75" i="23"/>
  <c r="CS75" i="23"/>
  <c r="CX75" i="23" s="1"/>
  <c r="BT77" i="23"/>
  <c r="BZ77" i="23" s="1"/>
  <c r="CK77" i="23" s="1"/>
  <c r="CW77" i="23"/>
  <c r="DT78" i="23"/>
  <c r="EB78" i="23" s="1"/>
  <c r="CU78" i="23"/>
  <c r="DO80" i="23"/>
  <c r="DT84" i="23"/>
  <c r="EB84" i="23" s="1"/>
  <c r="DB88" i="23"/>
  <c r="CV88" i="23"/>
  <c r="DU89" i="23"/>
  <c r="EH89" i="23" s="1"/>
  <c r="CV95" i="23"/>
  <c r="BS71" i="23"/>
  <c r="DN81" i="23"/>
  <c r="BQ82" i="23"/>
  <c r="CD82" i="23" s="1"/>
  <c r="DK82" i="23" s="1"/>
  <c r="DT83" i="23"/>
  <c r="EB83" i="23" s="1"/>
  <c r="DC88" i="23"/>
  <c r="DD88" i="23" s="1"/>
  <c r="CW88" i="23"/>
  <c r="DN90" i="23"/>
  <c r="BX90" i="23"/>
  <c r="CI90" i="23" s="1"/>
  <c r="BO95" i="23"/>
  <c r="BW96" i="23"/>
  <c r="BY96" i="23" s="1"/>
  <c r="CJ96" i="23" s="1"/>
  <c r="EE71" i="23"/>
  <c r="EC71" i="23"/>
  <c r="DA75" i="23"/>
  <c r="BQ78" i="23"/>
  <c r="CD78" i="23" s="1"/>
  <c r="DK78" i="23" s="1"/>
  <c r="BW80" i="23"/>
  <c r="BY80" i="23" s="1"/>
  <c r="CJ80" i="23" s="1"/>
  <c r="DT81" i="23"/>
  <c r="EB81" i="23" s="1"/>
  <c r="EI81" i="23" s="1"/>
  <c r="DW84" i="23"/>
  <c r="CS88" i="23"/>
  <c r="DP91" i="23"/>
  <c r="DM91" i="23"/>
  <c r="EA91" i="23"/>
  <c r="DZ91" i="23"/>
  <c r="EI91" i="23" s="1"/>
  <c r="BV92" i="23"/>
  <c r="EC92" i="23"/>
  <c r="BU95" i="23"/>
  <c r="BX96" i="23"/>
  <c r="CI96" i="23" s="1"/>
  <c r="CZ99" i="23"/>
  <c r="CT99" i="23"/>
  <c r="CY80" i="23"/>
  <c r="CS80" i="23"/>
  <c r="BS83" i="23"/>
  <c r="CT83" i="23"/>
  <c r="CZ87" i="23"/>
  <c r="BR88" i="23"/>
  <c r="CE88" i="23" s="1"/>
  <c r="EF88" i="23"/>
  <c r="CV91" i="23"/>
  <c r="EG94" i="23"/>
  <c r="BW94" i="23"/>
  <c r="EF94" i="23"/>
  <c r="EE94" i="23"/>
  <c r="EC94" i="23"/>
  <c r="DU94" i="23"/>
  <c r="EH94" i="23" s="1"/>
  <c r="CY97" i="23"/>
  <c r="EG101" i="23"/>
  <c r="EF101" i="23"/>
  <c r="EG83" i="23"/>
  <c r="BW83" i="23"/>
  <c r="EE83" i="23"/>
  <c r="ED83" i="23"/>
  <c r="EC83" i="23"/>
  <c r="DM86" i="23"/>
  <c r="DQ86" i="23" s="1"/>
  <c r="DR86" i="23" s="1"/>
  <c r="EA87" i="23"/>
  <c r="DA87" i="23"/>
  <c r="DQ90" i="23"/>
  <c r="DR90" i="23" s="1"/>
  <c r="CW91" i="23"/>
  <c r="CZ97" i="23"/>
  <c r="CU101" i="23"/>
  <c r="BT88" i="23"/>
  <c r="BZ88" i="23" s="1"/>
  <c r="CK88" i="23" s="1"/>
  <c r="EI90" i="23"/>
  <c r="BY93" i="23"/>
  <c r="CJ93" i="23" s="1"/>
  <c r="DA97" i="23"/>
  <c r="DX97" i="23"/>
  <c r="CV101" i="23"/>
  <c r="DM79" i="23"/>
  <c r="BP84" i="23"/>
  <c r="DC87" i="23"/>
  <c r="CY90" i="23"/>
  <c r="CS90" i="23"/>
  <c r="CX90" i="23" s="1"/>
  <c r="DM93" i="23"/>
  <c r="CS93" i="23"/>
  <c r="CX93" i="23" s="1"/>
  <c r="EA97" i="23"/>
  <c r="BP101" i="23"/>
  <c r="CW101" i="23"/>
  <c r="BY82" i="23"/>
  <c r="CJ82" i="23" s="1"/>
  <c r="BP83" i="23"/>
  <c r="BV84" i="23"/>
  <c r="DO84" i="23" s="1"/>
  <c r="BQ86" i="23"/>
  <c r="CD86" i="23" s="1"/>
  <c r="DK86" i="23" s="1"/>
  <c r="DU87" i="23"/>
  <c r="EH87" i="23" s="1"/>
  <c r="DT90" i="23"/>
  <c r="EB90" i="23" s="1"/>
  <c r="CZ90" i="23"/>
  <c r="CT90" i="23"/>
  <c r="BS93" i="23"/>
  <c r="CT93" i="23"/>
  <c r="ED94" i="23"/>
  <c r="DC97" i="23"/>
  <c r="CT101" i="23"/>
  <c r="DU90" i="23"/>
  <c r="EH90" i="23" s="1"/>
  <c r="EG93" i="23"/>
  <c r="BW93" i="23"/>
  <c r="EE93" i="23"/>
  <c r="ED93" i="23"/>
  <c r="EC93" i="23"/>
  <c r="CS97" i="23"/>
  <c r="DT100" i="23"/>
  <c r="EB100" i="23" s="1"/>
  <c r="EI100" i="23" s="1"/>
  <c r="CY100" i="23"/>
  <c r="CS100" i="23"/>
  <c r="EC101" i="23"/>
  <c r="CY79" i="23"/>
  <c r="CS82" i="23"/>
  <c r="BV83" i="23"/>
  <c r="EA86" i="23"/>
  <c r="DY86" i="23"/>
  <c r="DX86" i="23"/>
  <c r="DW86" i="23"/>
  <c r="CF86" i="23"/>
  <c r="DI86" i="23" s="1"/>
  <c r="BT87" i="23"/>
  <c r="CU87" i="23"/>
  <c r="DM89" i="23"/>
  <c r="BV91" i="23"/>
  <c r="DW93" i="23"/>
  <c r="BQ96" i="23"/>
  <c r="CD96" i="23" s="1"/>
  <c r="DK96" i="23" s="1"/>
  <c r="DU97" i="23"/>
  <c r="EH97" i="23" s="1"/>
  <c r="CT97" i="23"/>
  <c r="DU100" i="23"/>
  <c r="EH100" i="23" s="1"/>
  <c r="CZ100" i="23"/>
  <c r="CT100" i="23"/>
  <c r="ED101" i="23"/>
  <c r="DN80" i="23"/>
  <c r="BX80" i="23"/>
  <c r="CI80" i="23" s="1"/>
  <c r="EG82" i="23"/>
  <c r="BW82" i="23"/>
  <c r="EF82" i="23"/>
  <c r="EE82" i="23"/>
  <c r="ED82" i="23"/>
  <c r="CT82" i="23"/>
  <c r="EF83" i="23"/>
  <c r="BO85" i="23"/>
  <c r="BO93" i="23"/>
  <c r="BP94" i="23"/>
  <c r="CU97" i="23"/>
  <c r="DA101" i="23"/>
  <c r="EE101" i="23"/>
  <c r="DA79" i="23"/>
  <c r="CU79" i="23"/>
  <c r="BV82" i="23"/>
  <c r="BT82" i="23"/>
  <c r="BZ82" i="23" s="1"/>
  <c r="CK82" i="23" s="1"/>
  <c r="CU82" i="23"/>
  <c r="CY83" i="23"/>
  <c r="DD83" i="23" s="1"/>
  <c r="BU85" i="23"/>
  <c r="DZ86" i="23"/>
  <c r="CW87" i="23"/>
  <c r="EC90" i="23"/>
  <c r="BU92" i="23"/>
  <c r="DY93" i="23"/>
  <c r="BV94" i="23"/>
  <c r="CZ94" i="23"/>
  <c r="EA96" i="23"/>
  <c r="DY96" i="23"/>
  <c r="DX96" i="23"/>
  <c r="DW96" i="23"/>
  <c r="CF96" i="23"/>
  <c r="DI96" i="23" s="1"/>
  <c r="BV101" i="23"/>
  <c r="DB101" i="23"/>
  <c r="DU86" i="23"/>
  <c r="EH86" i="23" s="1"/>
  <c r="DP88" i="23"/>
  <c r="DM80" i="23"/>
  <c r="DQ80" i="23" s="1"/>
  <c r="DR80" i="23" s="1"/>
  <c r="BP95" i="23"/>
  <c r="CF97" i="23"/>
  <c r="DI97" i="23" s="1"/>
  <c r="DW87" i="23"/>
  <c r="DW97" i="23"/>
  <c r="DY87" i="23"/>
  <c r="DW88" i="23"/>
  <c r="DY97" i="23"/>
  <c r="DW98" i="23"/>
  <c r="EI98" i="23" s="1"/>
  <c r="DZ87" i="23"/>
  <c r="DX88" i="23"/>
  <c r="CF89" i="23"/>
  <c r="DI89" i="23" s="1"/>
  <c r="BT95" i="23"/>
  <c r="BZ95" i="23" s="1"/>
  <c r="CK95" i="23" s="1"/>
  <c r="DZ97" i="23"/>
  <c r="DX98" i="23"/>
  <c r="CF99" i="23"/>
  <c r="DI99" i="23" s="1"/>
  <c r="DW79" i="23"/>
  <c r="EC86" i="23"/>
  <c r="DY88" i="23"/>
  <c r="EC96" i="23"/>
  <c r="DY98" i="23"/>
  <c r="EG2" i="22"/>
  <c r="EF2" i="22"/>
  <c r="DC2" i="22"/>
  <c r="EE2" i="22"/>
  <c r="EI2" i="22" s="1"/>
  <c r="ED2" i="22"/>
  <c r="DP5" i="22"/>
  <c r="DM5" i="22"/>
  <c r="BU5" i="22"/>
  <c r="BS5" i="22"/>
  <c r="DK9" i="22"/>
  <c r="BP15" i="22"/>
  <c r="EG15" i="22"/>
  <c r="EF15" i="22"/>
  <c r="EE15" i="22"/>
  <c r="ED15" i="22"/>
  <c r="EC15" i="22"/>
  <c r="CG15" i="22"/>
  <c r="BW15" i="22"/>
  <c r="BY15" i="22" s="1"/>
  <c r="CJ15" i="22" s="1"/>
  <c r="BP17" i="22"/>
  <c r="DA17" i="22"/>
  <c r="EE17" i="22"/>
  <c r="ED17" i="22"/>
  <c r="EF27" i="22"/>
  <c r="DT27" i="22"/>
  <c r="EB27" i="22" s="1"/>
  <c r="EI27" i="22" s="1"/>
  <c r="EE27" i="22"/>
  <c r="DC27" i="22"/>
  <c r="DA27" i="22"/>
  <c r="EG27" i="22"/>
  <c r="ED27" i="22"/>
  <c r="BW27" i="22"/>
  <c r="BY27" i="22" s="1"/>
  <c r="CJ27" i="22" s="1"/>
  <c r="EC27" i="22"/>
  <c r="CS37" i="22"/>
  <c r="CY37" i="22"/>
  <c r="DD37" i="22" s="1"/>
  <c r="DN39" i="22"/>
  <c r="BX39" i="22"/>
  <c r="CI39" i="22" s="1"/>
  <c r="DD3" i="22"/>
  <c r="DB7" i="22"/>
  <c r="CV7" i="22"/>
  <c r="DD9" i="22"/>
  <c r="BV15" i="22"/>
  <c r="CA17" i="22"/>
  <c r="CL17" i="22" s="1"/>
  <c r="CH17" i="22"/>
  <c r="BP29" i="22"/>
  <c r="DC29" i="22"/>
  <c r="DB29" i="22"/>
  <c r="DA29" i="22"/>
  <c r="CZ29" i="22"/>
  <c r="CY29" i="22"/>
  <c r="ED29" i="22"/>
  <c r="EC29" i="22"/>
  <c r="DK32" i="22"/>
  <c r="CC27" i="22"/>
  <c r="BR27" i="22"/>
  <c r="CE27" i="22" s="1"/>
  <c r="BT55" i="22"/>
  <c r="BZ55" i="22" s="1"/>
  <c r="CK55" i="22" s="1"/>
  <c r="DU55" i="22"/>
  <c r="EH55" i="22" s="1"/>
  <c r="BP55" i="22"/>
  <c r="CH10" i="22"/>
  <c r="CA10" i="22"/>
  <c r="CL10" i="22" s="1"/>
  <c r="CU26" i="22"/>
  <c r="CX26" i="22" s="1"/>
  <c r="DA26" i="22"/>
  <c r="BQ50" i="22"/>
  <c r="CD50" i="22" s="1"/>
  <c r="CB50" i="22"/>
  <c r="BU54" i="22"/>
  <c r="BS54" i="22"/>
  <c r="CB55" i="22"/>
  <c r="BQ55" i="22"/>
  <c r="CD55" i="22" s="1"/>
  <c r="DC61" i="22"/>
  <c r="CW61" i="22"/>
  <c r="CH24" i="22"/>
  <c r="CA24" i="22"/>
  <c r="CL24" i="22" s="1"/>
  <c r="CV26" i="22"/>
  <c r="DB26" i="22"/>
  <c r="CB27" i="22"/>
  <c r="DJ27" i="22" s="1"/>
  <c r="BQ27" i="22"/>
  <c r="CD27" i="22" s="1"/>
  <c r="DK27" i="22" s="1"/>
  <c r="BR9" i="22"/>
  <c r="CE9" i="22" s="1"/>
  <c r="CC9" i="22"/>
  <c r="CY41" i="22"/>
  <c r="CS41" i="22"/>
  <c r="BQ16" i="22"/>
  <c r="CD16" i="22" s="1"/>
  <c r="DK16" i="22" s="1"/>
  <c r="BO59" i="22"/>
  <c r="CT59" i="22"/>
  <c r="CS59" i="22"/>
  <c r="DW59" i="22"/>
  <c r="CV59" i="22"/>
  <c r="CW59" i="22"/>
  <c r="CU59" i="22"/>
  <c r="BR73" i="22"/>
  <c r="CE73" i="22" s="1"/>
  <c r="CB5" i="22"/>
  <c r="BQ5" i="22"/>
  <c r="CD5" i="22" s="1"/>
  <c r="CW7" i="22"/>
  <c r="DC7" i="22"/>
  <c r="CB3" i="22"/>
  <c r="DJ3" i="22" s="1"/>
  <c r="BQ3" i="22"/>
  <c r="CD3" i="22" s="1"/>
  <c r="DK3" i="22" s="1"/>
  <c r="CA28" i="22"/>
  <c r="CL28" i="22" s="1"/>
  <c r="CH28" i="22"/>
  <c r="CA8" i="22"/>
  <c r="CL8" i="22" s="1"/>
  <c r="CH8" i="22"/>
  <c r="CU2" i="22"/>
  <c r="DA2" i="22"/>
  <c r="CY5" i="22"/>
  <c r="CS5" i="22"/>
  <c r="DK7" i="22"/>
  <c r="BQ11" i="22"/>
  <c r="CD11" i="22" s="1"/>
  <c r="CB11" i="22"/>
  <c r="DJ11" i="22" s="1"/>
  <c r="BR16" i="22"/>
  <c r="CE16" i="22" s="1"/>
  <c r="BQ21" i="22"/>
  <c r="CD21" i="22" s="1"/>
  <c r="DK21" i="22" s="1"/>
  <c r="CB21" i="22"/>
  <c r="DJ21" i="22" s="1"/>
  <c r="DM53" i="22"/>
  <c r="EA53" i="22"/>
  <c r="CF53" i="22"/>
  <c r="DI53" i="22" s="1"/>
  <c r="DX53" i="22"/>
  <c r="DW53" i="22"/>
  <c r="CW53" i="22"/>
  <c r="DZ53" i="22"/>
  <c r="DY53" i="22"/>
  <c r="DP53" i="22"/>
  <c r="CV2" i="22"/>
  <c r="DB2" i="22"/>
  <c r="DN3" i="22"/>
  <c r="BX3" i="22"/>
  <c r="CI3" i="22" s="1"/>
  <c r="CT5" i="22"/>
  <c r="CZ5" i="22"/>
  <c r="CB9" i="22"/>
  <c r="BX16" i="22"/>
  <c r="CI16" i="22" s="1"/>
  <c r="CG21" i="22"/>
  <c r="DO21" i="22"/>
  <c r="BQ45" i="22"/>
  <c r="CD45" i="22" s="1"/>
  <c r="DK45" i="22" s="1"/>
  <c r="CB45" i="22"/>
  <c r="DJ45" i="22" s="1"/>
  <c r="BS53" i="22"/>
  <c r="BO53" i="22"/>
  <c r="DU5" i="22"/>
  <c r="EH5" i="22" s="1"/>
  <c r="DA5" i="22"/>
  <c r="CU5" i="22"/>
  <c r="BR11" i="22"/>
  <c r="CE11" i="22" s="1"/>
  <c r="DC15" i="22"/>
  <c r="EA21" i="22"/>
  <c r="DX21" i="22"/>
  <c r="CW21" i="22"/>
  <c r="DZ21" i="22"/>
  <c r="DY21" i="22"/>
  <c r="CU21" i="22"/>
  <c r="DW21" i="22"/>
  <c r="CT21" i="22"/>
  <c r="CS21" i="22"/>
  <c r="CX21" i="22" s="1"/>
  <c r="DP21" i="22"/>
  <c r="CF21" i="22"/>
  <c r="DI21" i="22" s="1"/>
  <c r="DM21" i="22"/>
  <c r="EG53" i="22"/>
  <c r="DC53" i="22"/>
  <c r="EF53" i="22"/>
  <c r="BW53" i="22"/>
  <c r="EC53" i="22"/>
  <c r="EE53" i="22"/>
  <c r="ED53" i="22"/>
  <c r="DT53" i="22"/>
  <c r="EB53" i="22" s="1"/>
  <c r="CZ53" i="22"/>
  <c r="EF55" i="22"/>
  <c r="EE55" i="22"/>
  <c r="ED55" i="22"/>
  <c r="DT55" i="22"/>
  <c r="EB55" i="22" s="1"/>
  <c r="DA55" i="22"/>
  <c r="EG55" i="22"/>
  <c r="EC55" i="22"/>
  <c r="DC55" i="22"/>
  <c r="DB55" i="22"/>
  <c r="CZ55" i="22"/>
  <c r="CY55" i="22"/>
  <c r="CX2" i="22"/>
  <c r="DO3" i="22"/>
  <c r="CG3" i="22"/>
  <c r="DB5" i="22"/>
  <c r="CV5" i="22"/>
  <c r="DJ10" i="22"/>
  <c r="BZ11" i="22"/>
  <c r="CK11" i="22" s="1"/>
  <c r="CA16" i="22"/>
  <c r="CL16" i="22" s="1"/>
  <c r="CH16" i="22"/>
  <c r="DU27" i="22"/>
  <c r="EH27" i="22" s="1"/>
  <c r="BX35" i="22"/>
  <c r="CI35" i="22" s="1"/>
  <c r="DN35" i="22"/>
  <c r="BW3" i="22"/>
  <c r="BY3" i="22" s="1"/>
  <c r="CJ3" i="22" s="1"/>
  <c r="DO4" i="22"/>
  <c r="CW5" i="22"/>
  <c r="DC5" i="22"/>
  <c r="EC17" i="22"/>
  <c r="EI17" i="22" s="1"/>
  <c r="BQ22" i="22"/>
  <c r="CD22" i="22" s="1"/>
  <c r="CB22" i="22"/>
  <c r="EA23" i="22"/>
  <c r="DZ23" i="22"/>
  <c r="DY23" i="22"/>
  <c r="DX23" i="22"/>
  <c r="DW23" i="22"/>
  <c r="DM23" i="22"/>
  <c r="CF23" i="22"/>
  <c r="DI23" i="22" s="1"/>
  <c r="BO12" i="22"/>
  <c r="CT12" i="22"/>
  <c r="CS12" i="22"/>
  <c r="CX12" i="22" s="1"/>
  <c r="EA12" i="22"/>
  <c r="DZ12" i="22"/>
  <c r="BU23" i="22"/>
  <c r="BS23" i="22"/>
  <c r="CG24" i="22"/>
  <c r="BY24" i="22"/>
  <c r="CJ24" i="22" s="1"/>
  <c r="BW24" i="22"/>
  <c r="DO24" i="22"/>
  <c r="BU34" i="22"/>
  <c r="DB68" i="22"/>
  <c r="CV68" i="22"/>
  <c r="CX68" i="22" s="1"/>
  <c r="BV3" i="22"/>
  <c r="DU3" i="22"/>
  <c r="EH3" i="22" s="1"/>
  <c r="BX4" i="22"/>
  <c r="CI4" i="22" s="1"/>
  <c r="DO10" i="22"/>
  <c r="DQ10" i="22" s="1"/>
  <c r="DR10" i="22" s="1"/>
  <c r="CS34" i="22"/>
  <c r="CX34" i="22" s="1"/>
  <c r="DM34" i="22"/>
  <c r="CF34" i="22"/>
  <c r="DI34" i="22" s="1"/>
  <c r="EA34" i="22"/>
  <c r="CW34" i="22"/>
  <c r="DZ34" i="22"/>
  <c r="CV34" i="22"/>
  <c r="DX34" i="22"/>
  <c r="CT34" i="22"/>
  <c r="CU34" i="22"/>
  <c r="DY34" i="22"/>
  <c r="DW34" i="22"/>
  <c r="DO51" i="22"/>
  <c r="CG51" i="22"/>
  <c r="BP2" i="22"/>
  <c r="DX12" i="22"/>
  <c r="BS34" i="22"/>
  <c r="BO34" i="22"/>
  <c r="CH44" i="22"/>
  <c r="CA44" i="22"/>
  <c r="CL44" i="22" s="1"/>
  <c r="DO79" i="22"/>
  <c r="CG79" i="22"/>
  <c r="BW79" i="22"/>
  <c r="BY79" i="22"/>
  <c r="CJ79" i="22" s="1"/>
  <c r="BX17" i="22"/>
  <c r="CI17" i="22" s="1"/>
  <c r="EC34" i="22"/>
  <c r="BW34" i="22"/>
  <c r="EG34" i="22"/>
  <c r="EF34" i="22"/>
  <c r="DC34" i="22"/>
  <c r="DB34" i="22"/>
  <c r="DA34" i="22"/>
  <c r="CZ34" i="22"/>
  <c r="EE34" i="22"/>
  <c r="CY34" i="22"/>
  <c r="ED34" i="22"/>
  <c r="CS35" i="22"/>
  <c r="CX35" i="22" s="1"/>
  <c r="CY35" i="22"/>
  <c r="CC51" i="22"/>
  <c r="DJ51" i="22" s="1"/>
  <c r="BR51" i="22"/>
  <c r="CE51" i="22" s="1"/>
  <c r="DK51" i="22" s="1"/>
  <c r="DO8" i="22"/>
  <c r="CG8" i="22"/>
  <c r="BX15" i="22"/>
  <c r="CI15" i="22" s="1"/>
  <c r="BT17" i="22"/>
  <c r="BZ17" i="22" s="1"/>
  <c r="CK17" i="22" s="1"/>
  <c r="EI50" i="22"/>
  <c r="CA51" i="22"/>
  <c r="CL51" i="22" s="1"/>
  <c r="CH51" i="22"/>
  <c r="EI55" i="22"/>
  <c r="BX2" i="22"/>
  <c r="CI2" i="22" s="1"/>
  <c r="DN2" i="22"/>
  <c r="BQ13" i="22"/>
  <c r="CD13" i="22" s="1"/>
  <c r="CB13" i="22"/>
  <c r="BT15" i="22"/>
  <c r="BZ15" i="22" s="1"/>
  <c r="CK15" i="22" s="1"/>
  <c r="DO17" i="22"/>
  <c r="CG17" i="22"/>
  <c r="DA43" i="22"/>
  <c r="CU43" i="22"/>
  <c r="BS22" i="22"/>
  <c r="BU22" i="22"/>
  <c r="DU34" i="22"/>
  <c r="EH34" i="22" s="1"/>
  <c r="BX55" i="22"/>
  <c r="CI55" i="22" s="1"/>
  <c r="DN55" i="22"/>
  <c r="BS58" i="22"/>
  <c r="BU58" i="22"/>
  <c r="ED62" i="22"/>
  <c r="EC62" i="22"/>
  <c r="BP62" i="22"/>
  <c r="CZ62" i="22"/>
  <c r="EE62" i="22"/>
  <c r="DO2" i="22"/>
  <c r="DN7" i="22"/>
  <c r="EG7" i="22"/>
  <c r="EG16" i="22"/>
  <c r="EF16" i="22"/>
  <c r="EC16" i="22"/>
  <c r="EI16" i="22" s="1"/>
  <c r="BT16" i="22"/>
  <c r="BZ16" i="22" s="1"/>
  <c r="CK16" i="22" s="1"/>
  <c r="CB20" i="22"/>
  <c r="DJ20" i="22" s="1"/>
  <c r="BQ20" i="22"/>
  <c r="CD20" i="22" s="1"/>
  <c r="DK20" i="22" s="1"/>
  <c r="DD20" i="22"/>
  <c r="EF21" i="22"/>
  <c r="EE21" i="22"/>
  <c r="ED21" i="22"/>
  <c r="EC21" i="22"/>
  <c r="EG21" i="22"/>
  <c r="BW21" i="22"/>
  <c r="BY21" i="22" s="1"/>
  <c r="CJ21" i="22" s="1"/>
  <c r="DT21" i="22"/>
  <c r="EB21" i="22" s="1"/>
  <c r="CY25" i="22"/>
  <c r="CS25" i="22"/>
  <c r="CC53" i="22"/>
  <c r="BR53" i="22"/>
  <c r="CE53" i="22" s="1"/>
  <c r="CY70" i="22"/>
  <c r="CS70" i="22"/>
  <c r="CC101" i="22"/>
  <c r="BR101" i="22"/>
  <c r="CE101" i="22" s="1"/>
  <c r="DD7" i="22"/>
  <c r="DO16" i="22"/>
  <c r="CG16" i="22"/>
  <c r="BW16" i="22"/>
  <c r="CZ24" i="22"/>
  <c r="DD24" i="22" s="1"/>
  <c r="CT24" i="22"/>
  <c r="CZ25" i="22"/>
  <c r="CT25" i="22"/>
  <c r="DT26" i="22"/>
  <c r="EB26" i="22" s="1"/>
  <c r="EG26" i="22"/>
  <c r="EF26" i="22"/>
  <c r="EE26" i="22"/>
  <c r="DC26" i="22"/>
  <c r="BW26" i="22"/>
  <c r="ED26" i="22"/>
  <c r="DN27" i="22"/>
  <c r="BX27" i="22"/>
  <c r="CI27" i="22" s="1"/>
  <c r="BQ39" i="22"/>
  <c r="CD39" i="22" s="1"/>
  <c r="DK39" i="22" s="1"/>
  <c r="CF80" i="22"/>
  <c r="DI80" i="22" s="1"/>
  <c r="DZ80" i="22"/>
  <c r="DY80" i="22"/>
  <c r="DX80" i="22"/>
  <c r="CW80" i="22"/>
  <c r="DW80" i="22"/>
  <c r="EA80" i="22"/>
  <c r="DP80" i="22"/>
  <c r="DM80" i="22"/>
  <c r="EA6" i="22"/>
  <c r="DZ6" i="22"/>
  <c r="DY6" i="22"/>
  <c r="CW6" i="22"/>
  <c r="DX6" i="22"/>
  <c r="DW6" i="22"/>
  <c r="BY7" i="22"/>
  <c r="CJ7" i="22" s="1"/>
  <c r="CG7" i="22"/>
  <c r="CZ8" i="22"/>
  <c r="CT8" i="22"/>
  <c r="CX8" i="22" s="1"/>
  <c r="EI10" i="22"/>
  <c r="CY13" i="22"/>
  <c r="CS13" i="22"/>
  <c r="DZ20" i="22"/>
  <c r="EA20" i="22"/>
  <c r="CW20" i="22"/>
  <c r="DY20" i="22"/>
  <c r="CV20" i="22"/>
  <c r="DX20" i="22"/>
  <c r="CU20" i="22"/>
  <c r="DW20" i="22"/>
  <c r="CT20" i="22"/>
  <c r="CS20" i="22"/>
  <c r="DM22" i="22"/>
  <c r="DU26" i="22"/>
  <c r="EH26" i="22" s="1"/>
  <c r="BT26" i="22"/>
  <c r="BP44" i="22"/>
  <c r="ED44" i="22"/>
  <c r="EC44" i="22"/>
  <c r="EI44" i="22" s="1"/>
  <c r="DB44" i="22"/>
  <c r="BQ47" i="22"/>
  <c r="CD47" i="22" s="1"/>
  <c r="CB47" i="22"/>
  <c r="BO48" i="22"/>
  <c r="DX48" i="22"/>
  <c r="CS48" i="22"/>
  <c r="CW48" i="22"/>
  <c r="CV48" i="22"/>
  <c r="EA48" i="22"/>
  <c r="DW48" i="22"/>
  <c r="BX52" i="22"/>
  <c r="CI52" i="22" s="1"/>
  <c r="BV57" i="22"/>
  <c r="DU57" i="22"/>
  <c r="EH57" i="22" s="1"/>
  <c r="EG64" i="22"/>
  <c r="EF64" i="22"/>
  <c r="EE64" i="22"/>
  <c r="BW64" i="22"/>
  <c r="BY64" i="22" s="1"/>
  <c r="CJ64" i="22" s="1"/>
  <c r="EC64" i="22"/>
  <c r="ED64" i="22"/>
  <c r="DT64" i="22"/>
  <c r="EB64" i="22" s="1"/>
  <c r="BX6" i="22"/>
  <c r="CI6" i="22" s="1"/>
  <c r="CY6" i="22"/>
  <c r="CS6" i="22"/>
  <c r="ED6" i="22"/>
  <c r="BW7" i="22"/>
  <c r="DA7" i="22"/>
  <c r="DP8" i="22"/>
  <c r="CV8" i="22"/>
  <c r="CF8" i="22"/>
  <c r="DI8" i="22" s="1"/>
  <c r="EA8" i="22"/>
  <c r="DZ8" i="22"/>
  <c r="DY8" i="22"/>
  <c r="EI8" i="22" s="1"/>
  <c r="CU8" i="22"/>
  <c r="DA8" i="22"/>
  <c r="CZ13" i="22"/>
  <c r="CT13" i="22"/>
  <c r="BY16" i="22"/>
  <c r="CJ16" i="22" s="1"/>
  <c r="DB24" i="22"/>
  <c r="CV24" i="22"/>
  <c r="DB25" i="22"/>
  <c r="CV25" i="22"/>
  <c r="BO31" i="22"/>
  <c r="DO36" i="22"/>
  <c r="CU37" i="22"/>
  <c r="CH42" i="22"/>
  <c r="CA42" i="22"/>
  <c r="CL42" i="22" s="1"/>
  <c r="DO42" i="22"/>
  <c r="DB70" i="22"/>
  <c r="CV70" i="22"/>
  <c r="CZ4" i="22"/>
  <c r="DD4" i="22" s="1"/>
  <c r="CT4" i="22"/>
  <c r="CZ6" i="22"/>
  <c r="CT6" i="22"/>
  <c r="EE6" i="22"/>
  <c r="BX7" i="22"/>
  <c r="CI7" i="22" s="1"/>
  <c r="CG9" i="22"/>
  <c r="DY10" i="22"/>
  <c r="DA13" i="22"/>
  <c r="CU13" i="22"/>
  <c r="EG20" i="22"/>
  <c r="BW20" i="22"/>
  <c r="BY20" i="22" s="1"/>
  <c r="CJ20" i="22" s="1"/>
  <c r="EF20" i="22"/>
  <c r="EE20" i="22"/>
  <c r="ED20" i="22"/>
  <c r="EC20" i="22"/>
  <c r="DT20" i="22"/>
  <c r="EB20" i="22" s="1"/>
  <c r="DC20" i="22"/>
  <c r="DA21" i="22"/>
  <c r="DZ24" i="22"/>
  <c r="DY24" i="22"/>
  <c r="BO24" i="22"/>
  <c r="DX24" i="22"/>
  <c r="DW24" i="22"/>
  <c r="DC24" i="22"/>
  <c r="CW24" i="22"/>
  <c r="CW25" i="22"/>
  <c r="DC25" i="22"/>
  <c r="BP26" i="22"/>
  <c r="BU31" i="22"/>
  <c r="DU31" i="22"/>
  <c r="EH31" i="22" s="1"/>
  <c r="DO32" i="22"/>
  <c r="CB33" i="22"/>
  <c r="BQ33" i="22"/>
  <c r="CD33" i="22" s="1"/>
  <c r="EA35" i="22"/>
  <c r="CU35" i="22"/>
  <c r="DP35" i="22"/>
  <c r="CT35" i="22"/>
  <c r="DM35" i="22"/>
  <c r="CF35" i="22"/>
  <c r="DI35" i="22" s="1"/>
  <c r="CV37" i="22"/>
  <c r="EG39" i="22"/>
  <c r="EF39" i="22"/>
  <c r="EE39" i="22"/>
  <c r="ED39" i="22"/>
  <c r="EC39" i="22"/>
  <c r="EI39" i="22" s="1"/>
  <c r="CY42" i="22"/>
  <c r="CS42" i="22"/>
  <c r="CA65" i="22"/>
  <c r="CL65" i="22" s="1"/>
  <c r="CH65" i="22"/>
  <c r="CG76" i="22"/>
  <c r="DA4" i="22"/>
  <c r="CU4" i="22"/>
  <c r="EC4" i="22"/>
  <c r="EG8" i="22"/>
  <c r="BW8" i="22"/>
  <c r="BY8" i="22" s="1"/>
  <c r="CJ8" i="22" s="1"/>
  <c r="ED8" i="22"/>
  <c r="EE8" i="22"/>
  <c r="EC8" i="22"/>
  <c r="DB8" i="22"/>
  <c r="CY8" i="22"/>
  <c r="DC8" i="22"/>
  <c r="CS10" i="22"/>
  <c r="CX10" i="22" s="1"/>
  <c r="DT13" i="22"/>
  <c r="EB13" i="22" s="1"/>
  <c r="DB13" i="22"/>
  <c r="CV13" i="22"/>
  <c r="DZ14" i="22"/>
  <c r="DY14" i="22"/>
  <c r="BO14" i="22"/>
  <c r="DW14" i="22"/>
  <c r="EA14" i="22"/>
  <c r="CU14" i="22"/>
  <c r="DX14" i="22"/>
  <c r="ED16" i="22"/>
  <c r="CT19" i="22"/>
  <c r="DM19" i="22"/>
  <c r="EA19" i="22"/>
  <c r="DZ19" i="22"/>
  <c r="CW19" i="22"/>
  <c r="DY19" i="22"/>
  <c r="CV19" i="22"/>
  <c r="DX19" i="22"/>
  <c r="CU19" i="22"/>
  <c r="DW19" i="22"/>
  <c r="DC21" i="22"/>
  <c r="CY23" i="22"/>
  <c r="CS23" i="22"/>
  <c r="CS24" i="22"/>
  <c r="CU25" i="22"/>
  <c r="BQ26" i="22"/>
  <c r="CD26" i="22" s="1"/>
  <c r="CB30" i="22"/>
  <c r="BQ30" i="22"/>
  <c r="CD30" i="22" s="1"/>
  <c r="DZ32" i="22"/>
  <c r="CW32" i="22"/>
  <c r="EA32" i="22"/>
  <c r="CV32" i="22"/>
  <c r="DY32" i="22"/>
  <c r="CU32" i="22"/>
  <c r="DX32" i="22"/>
  <c r="CT32" i="22"/>
  <c r="DW32" i="22"/>
  <c r="CS32" i="22"/>
  <c r="BY36" i="22"/>
  <c r="CJ36" i="22" s="1"/>
  <c r="CW37" i="22"/>
  <c r="CZ42" i="22"/>
  <c r="CT42" i="22"/>
  <c r="CG47" i="22"/>
  <c r="CG49" i="22"/>
  <c r="DO49" i="22"/>
  <c r="BW49" i="22"/>
  <c r="BY49" i="22"/>
  <c r="CJ49" i="22" s="1"/>
  <c r="CY57" i="22"/>
  <c r="DD57" i="22" s="1"/>
  <c r="DU4" i="22"/>
  <c r="EH4" i="22" s="1"/>
  <c r="BP5" i="22"/>
  <c r="EG5" i="22"/>
  <c r="EF5" i="22"/>
  <c r="EC5" i="22"/>
  <c r="DT6" i="22"/>
  <c r="EB6" i="22" s="1"/>
  <c r="DA6" i="22"/>
  <c r="CV6" i="22"/>
  <c r="EG6" i="22"/>
  <c r="BT8" i="22"/>
  <c r="BZ8" i="22" s="1"/>
  <c r="CK8" i="22" s="1"/>
  <c r="DU8" i="22"/>
  <c r="EH8" i="22" s="1"/>
  <c r="CT10" i="22"/>
  <c r="CU12" i="22"/>
  <c r="DC13" i="22"/>
  <c r="CW13" i="22"/>
  <c r="CG14" i="22"/>
  <c r="DO14" i="22"/>
  <c r="DD16" i="22"/>
  <c r="CW17" i="22"/>
  <c r="CX17" i="22" s="1"/>
  <c r="DC17" i="22"/>
  <c r="CU24" i="22"/>
  <c r="BY29" i="22"/>
  <c r="CJ29" i="22" s="1"/>
  <c r="BX31" i="22"/>
  <c r="CI31" i="22" s="1"/>
  <c r="DN31" i="22"/>
  <c r="DM33" i="22"/>
  <c r="EA33" i="22"/>
  <c r="CW33" i="22"/>
  <c r="DZ33" i="22"/>
  <c r="CV33" i="22"/>
  <c r="DY33" i="22"/>
  <c r="CU33" i="22"/>
  <c r="DX33" i="22"/>
  <c r="CT33" i="22"/>
  <c r="DW33" i="22"/>
  <c r="CS33" i="22"/>
  <c r="CX33" i="22" s="1"/>
  <c r="EE35" i="22"/>
  <c r="BW35" i="22"/>
  <c r="EG35" i="22"/>
  <c r="DT35" i="22"/>
  <c r="EB35" i="22" s="1"/>
  <c r="DC35" i="22"/>
  <c r="DB35" i="22"/>
  <c r="CZ35" i="22"/>
  <c r="BP36" i="22"/>
  <c r="EG36" i="22"/>
  <c r="BQ37" i="22"/>
  <c r="CD37" i="22" s="1"/>
  <c r="CB37" i="22"/>
  <c r="BT56" i="22"/>
  <c r="BZ56" i="22" s="1"/>
  <c r="CK56" i="22" s="1"/>
  <c r="DU56" i="22"/>
  <c r="EH56" i="22" s="1"/>
  <c r="BV56" i="22"/>
  <c r="CZ74" i="22"/>
  <c r="CT74" i="22"/>
  <c r="DN78" i="22"/>
  <c r="BX78" i="22"/>
  <c r="CI78" i="22" s="1"/>
  <c r="BU100" i="22"/>
  <c r="BS100" i="22"/>
  <c r="CH2" i="22"/>
  <c r="BO4" i="22"/>
  <c r="DC4" i="22"/>
  <c r="CW4" i="22"/>
  <c r="EE4" i="22"/>
  <c r="DU6" i="22"/>
  <c r="EH6" i="22" s="1"/>
  <c r="DJ7" i="22"/>
  <c r="BO8" i="22"/>
  <c r="CW8" i="22"/>
  <c r="CU10" i="22"/>
  <c r="CV12" i="22"/>
  <c r="CW14" i="22"/>
  <c r="CZ16" i="22"/>
  <c r="CY17" i="22"/>
  <c r="DM20" i="22"/>
  <c r="DA23" i="22"/>
  <c r="CU23" i="22"/>
  <c r="BX26" i="22"/>
  <c r="CI26" i="22" s="1"/>
  <c r="DD30" i="22"/>
  <c r="CW31" i="22"/>
  <c r="EG32" i="22"/>
  <c r="BW32" i="22"/>
  <c r="BY32" i="22" s="1"/>
  <c r="CJ32" i="22" s="1"/>
  <c r="EF32" i="22"/>
  <c r="EE32" i="22"/>
  <c r="ED32" i="22"/>
  <c r="EC32" i="22"/>
  <c r="DT32" i="22"/>
  <c r="EB32" i="22" s="1"/>
  <c r="BS33" i="22"/>
  <c r="DX35" i="22"/>
  <c r="DN38" i="22"/>
  <c r="CV42" i="22"/>
  <c r="DB42" i="22"/>
  <c r="EG51" i="22"/>
  <c r="EF51" i="22"/>
  <c r="EC51" i="22"/>
  <c r="ED51" i="22"/>
  <c r="BW51" i="22"/>
  <c r="BY51" i="22" s="1"/>
  <c r="CJ51" i="22" s="1"/>
  <c r="EE51" i="22"/>
  <c r="DC51" i="22"/>
  <c r="DB51" i="22"/>
  <c r="DU52" i="22"/>
  <c r="EH52" i="22" s="1"/>
  <c r="BT52" i="22"/>
  <c r="BZ52" i="22" s="1"/>
  <c r="CK52" i="22" s="1"/>
  <c r="BV52" i="22"/>
  <c r="CT52" i="22"/>
  <c r="CZ52" i="22"/>
  <c r="EF62" i="22"/>
  <c r="DU68" i="22"/>
  <c r="EH68" i="22" s="1"/>
  <c r="BT68" i="22"/>
  <c r="BZ68" i="22" s="1"/>
  <c r="CK68" i="22" s="1"/>
  <c r="DB86" i="22"/>
  <c r="DD86" i="22" s="1"/>
  <c r="CV86" i="22"/>
  <c r="DP3" i="22"/>
  <c r="DQ3" i="22" s="1"/>
  <c r="DR3" i="22" s="1"/>
  <c r="CU3" i="22"/>
  <c r="DM3" i="22"/>
  <c r="BP4" i="22"/>
  <c r="CS4" i="22"/>
  <c r="EF4" i="22"/>
  <c r="BO6" i="22"/>
  <c r="DB6" i="22"/>
  <c r="DO7" i="22"/>
  <c r="BP8" i="22"/>
  <c r="DX9" i="22"/>
  <c r="CV10" i="22"/>
  <c r="BW12" i="22"/>
  <c r="CW12" i="22"/>
  <c r="EA13" i="22"/>
  <c r="DW13" i="22"/>
  <c r="DZ13" i="22"/>
  <c r="DY13" i="22"/>
  <c r="DX13" i="22"/>
  <c r="DA15" i="22"/>
  <c r="CU16" i="22"/>
  <c r="DA16" i="22"/>
  <c r="CZ17" i="22"/>
  <c r="CF20" i="22"/>
  <c r="DI20" i="22" s="1"/>
  <c r="DB23" i="22"/>
  <c r="CV23" i="22"/>
  <c r="DT24" i="22"/>
  <c r="EB24" i="22" s="1"/>
  <c r="BQ25" i="22"/>
  <c r="CD25" i="22" s="1"/>
  <c r="DK25" i="22" s="1"/>
  <c r="CG26" i="22"/>
  <c r="BY26" i="22"/>
  <c r="CJ26" i="22" s="1"/>
  <c r="BS29" i="22"/>
  <c r="BS30" i="22"/>
  <c r="BO35" i="22"/>
  <c r="DY35" i="22"/>
  <c r="CH36" i="22"/>
  <c r="EA37" i="22"/>
  <c r="DY37" i="22"/>
  <c r="DW37" i="22"/>
  <c r="EI37" i="22" s="1"/>
  <c r="CT37" i="22"/>
  <c r="DP37" i="22"/>
  <c r="DM37" i="22"/>
  <c r="DX37" i="22"/>
  <c r="CF37" i="22"/>
  <c r="DI37" i="22" s="1"/>
  <c r="BW38" i="22"/>
  <c r="DO38" i="22"/>
  <c r="CT39" i="22"/>
  <c r="CZ39" i="22"/>
  <c r="CU40" i="22"/>
  <c r="DA40" i="22"/>
  <c r="BO49" i="22"/>
  <c r="DU51" i="22"/>
  <c r="EH51" i="22" s="1"/>
  <c r="CU52" i="22"/>
  <c r="DA52" i="22"/>
  <c r="BP56" i="22"/>
  <c r="CA60" i="22"/>
  <c r="CL60" i="22" s="1"/>
  <c r="DM61" i="22"/>
  <c r="EG62" i="22"/>
  <c r="CY64" i="22"/>
  <c r="DD64" i="22" s="1"/>
  <c r="CS64" i="22"/>
  <c r="BO69" i="22"/>
  <c r="CS69" i="22"/>
  <c r="CV74" i="22"/>
  <c r="DB74" i="22"/>
  <c r="DQ2" i="22"/>
  <c r="DR2" i="22" s="1"/>
  <c r="DC6" i="22"/>
  <c r="CW10" i="22"/>
  <c r="BX12" i="22"/>
  <c r="CI12" i="22" s="1"/>
  <c r="CG13" i="22"/>
  <c r="BW13" i="22"/>
  <c r="BY13" i="22" s="1"/>
  <c r="CJ13" i="22" s="1"/>
  <c r="DB15" i="22"/>
  <c r="CB19" i="22"/>
  <c r="CG20" i="22"/>
  <c r="DP20" i="22"/>
  <c r="DC23" i="22"/>
  <c r="CW23" i="22"/>
  <c r="BV26" i="22"/>
  <c r="CV27" i="22"/>
  <c r="CX27" i="22" s="1"/>
  <c r="DB27" i="22"/>
  <c r="BV33" i="22"/>
  <c r="BT33" i="22"/>
  <c r="BZ33" i="22" s="1"/>
  <c r="CK33" i="22" s="1"/>
  <c r="DU33" i="22"/>
  <c r="EH33" i="22" s="1"/>
  <c r="BP33" i="22"/>
  <c r="DP33" i="22"/>
  <c r="DZ37" i="22"/>
  <c r="DA39" i="22"/>
  <c r="CU39" i="22"/>
  <c r="CG43" i="22"/>
  <c r="DO43" i="22"/>
  <c r="CC49" i="22"/>
  <c r="BR49" i="22"/>
  <c r="CE49" i="22" s="1"/>
  <c r="BU61" i="22"/>
  <c r="BS61" i="22"/>
  <c r="CZ64" i="22"/>
  <c r="CT64" i="22"/>
  <c r="CC68" i="22"/>
  <c r="DJ68" i="22" s="1"/>
  <c r="BR68" i="22"/>
  <c r="CE68" i="22" s="1"/>
  <c r="DK68" i="22" s="1"/>
  <c r="DU92" i="22"/>
  <c r="EH92" i="22" s="1"/>
  <c r="BV92" i="22"/>
  <c r="EF3" i="22"/>
  <c r="CS3" i="22"/>
  <c r="DW3" i="22"/>
  <c r="CA5" i="22"/>
  <c r="CL5" i="22" s="1"/>
  <c r="CT9" i="22"/>
  <c r="DM9" i="22"/>
  <c r="DW9" i="22"/>
  <c r="CU9" i="22"/>
  <c r="DP9" i="22"/>
  <c r="CS9" i="22"/>
  <c r="DZ9" i="22"/>
  <c r="BU11" i="22"/>
  <c r="BW11" i="22" s="1"/>
  <c r="DU11" i="22"/>
  <c r="EH11" i="22" s="1"/>
  <c r="CS11" i="22"/>
  <c r="EC11" i="22"/>
  <c r="BY12" i="22"/>
  <c r="CJ12" i="22" s="1"/>
  <c r="DU14" i="22"/>
  <c r="EH14" i="22" s="1"/>
  <c r="EF17" i="22"/>
  <c r="DT17" i="22"/>
  <c r="EB17" i="22" s="1"/>
  <c r="EG17" i="22"/>
  <c r="BW17" i="22"/>
  <c r="BY17" i="22" s="1"/>
  <c r="CJ17" i="22" s="1"/>
  <c r="DB17" i="22"/>
  <c r="DN18" i="22"/>
  <c r="BX18" i="22"/>
  <c r="CI18" i="22" s="1"/>
  <c r="CT23" i="22"/>
  <c r="EC26" i="22"/>
  <c r="EI26" i="22" s="1"/>
  <c r="CY32" i="22"/>
  <c r="CF33" i="22"/>
  <c r="DI33" i="22" s="1"/>
  <c r="BY38" i="22"/>
  <c r="CJ38" i="22" s="1"/>
  <c r="DU38" i="22"/>
  <c r="EH38" i="22" s="1"/>
  <c r="EG40" i="22"/>
  <c r="DT40" i="22"/>
  <c r="EB40" i="22" s="1"/>
  <c r="EI40" i="22" s="1"/>
  <c r="EE40" i="22"/>
  <c r="DB40" i="22"/>
  <c r="BW40" i="22"/>
  <c r="BY40" i="22" s="1"/>
  <c r="CJ40" i="22" s="1"/>
  <c r="ED40" i="22"/>
  <c r="EC40" i="22"/>
  <c r="DC40" i="22"/>
  <c r="BW43" i="22"/>
  <c r="BY43" i="22" s="1"/>
  <c r="CJ43" i="22" s="1"/>
  <c r="BS49" i="22"/>
  <c r="DC52" i="22"/>
  <c r="CW52" i="22"/>
  <c r="BP60" i="22"/>
  <c r="CY60" i="22"/>
  <c r="CY67" i="22"/>
  <c r="CS67" i="22"/>
  <c r="BX85" i="22"/>
  <c r="CI85" i="22" s="1"/>
  <c r="DN85" i="22"/>
  <c r="EI91" i="22"/>
  <c r="CT93" i="22"/>
  <c r="DZ93" i="22"/>
  <c r="CF93" i="22"/>
  <c r="DI93" i="22" s="1"/>
  <c r="DX93" i="22"/>
  <c r="DP93" i="22"/>
  <c r="DM93" i="22"/>
  <c r="EA93" i="22"/>
  <c r="DY93" i="22"/>
  <c r="DW93" i="22"/>
  <c r="CU93" i="22"/>
  <c r="CW93" i="22"/>
  <c r="CT3" i="22"/>
  <c r="DX3" i="22"/>
  <c r="BR6" i="22"/>
  <c r="CE6" i="22" s="1"/>
  <c r="DU7" i="22"/>
  <c r="EH7" i="22" s="1"/>
  <c r="BS8" i="22"/>
  <c r="BS9" i="22"/>
  <c r="EA9" i="22"/>
  <c r="CY10" i="22"/>
  <c r="DD10" i="22" s="1"/>
  <c r="EA11" i="22"/>
  <c r="DX11" i="22"/>
  <c r="DY11" i="22"/>
  <c r="DW11" i="22"/>
  <c r="CU11" i="22"/>
  <c r="CT11" i="22"/>
  <c r="DU13" i="22"/>
  <c r="EH13" i="22" s="1"/>
  <c r="BV13" i="22"/>
  <c r="BW14" i="22"/>
  <c r="CS16" i="22"/>
  <c r="DU17" i="22"/>
  <c r="EH17" i="22" s="1"/>
  <c r="DO18" i="22"/>
  <c r="EG25" i="22"/>
  <c r="EF25" i="22"/>
  <c r="EE25" i="22"/>
  <c r="EC25" i="22"/>
  <c r="DQ25" i="22"/>
  <c r="DR25" i="22" s="1"/>
  <c r="CY27" i="22"/>
  <c r="CZ32" i="22"/>
  <c r="CG33" i="22"/>
  <c r="EC35" i="22"/>
  <c r="EI35" i="22" s="1"/>
  <c r="BT37" i="22"/>
  <c r="DU37" i="22"/>
  <c r="EH37" i="22" s="1"/>
  <c r="CH38" i="22"/>
  <c r="CA38" i="22"/>
  <c r="CL38" i="22" s="1"/>
  <c r="CW39" i="22"/>
  <c r="CX39" i="22" s="1"/>
  <c r="DC39" i="22"/>
  <c r="BP43" i="22"/>
  <c r="EG43" i="22"/>
  <c r="ED43" i="22"/>
  <c r="CY44" i="22"/>
  <c r="DT51" i="22"/>
  <c r="EB51" i="22" s="1"/>
  <c r="BV61" i="22"/>
  <c r="BT61" i="22"/>
  <c r="BZ61" i="22" s="1"/>
  <c r="CK61" i="22" s="1"/>
  <c r="DU61" i="22"/>
  <c r="EH61" i="22" s="1"/>
  <c r="BS69" i="22"/>
  <c r="BU69" i="22"/>
  <c r="DY3" i="22"/>
  <c r="BT4" i="22"/>
  <c r="BZ4" i="22" s="1"/>
  <c r="CK4" i="22" s="1"/>
  <c r="BT6" i="22"/>
  <c r="BZ6" i="22" s="1"/>
  <c r="CK6" i="22" s="1"/>
  <c r="EI7" i="22"/>
  <c r="EE9" i="22"/>
  <c r="BW9" i="22"/>
  <c r="BY9" i="22" s="1"/>
  <c r="CJ9" i="22" s="1"/>
  <c r="DT9" i="22"/>
  <c r="EB9" i="22" s="1"/>
  <c r="EC9" i="22"/>
  <c r="BX11" i="22"/>
  <c r="CI11" i="22" s="1"/>
  <c r="DN11" i="22"/>
  <c r="DN12" i="22"/>
  <c r="CU15" i="22"/>
  <c r="CT16" i="22"/>
  <c r="CA18" i="22"/>
  <c r="CL18" i="22" s="1"/>
  <c r="CH18" i="22"/>
  <c r="CZ22" i="22"/>
  <c r="CT22" i="22"/>
  <c r="BS24" i="22"/>
  <c r="CZ27" i="22"/>
  <c r="DA32" i="22"/>
  <c r="ED35" i="22"/>
  <c r="CA43" i="22"/>
  <c r="CL43" i="22" s="1"/>
  <c r="CT47" i="22"/>
  <c r="CX47" i="22" s="1"/>
  <c r="CZ47" i="22"/>
  <c r="CH49" i="22"/>
  <c r="CA49" i="22"/>
  <c r="CL49" i="22" s="1"/>
  <c r="CU67" i="22"/>
  <c r="DA67" i="22"/>
  <c r="DC81" i="22"/>
  <c r="CW81" i="22"/>
  <c r="DU2" i="22"/>
  <c r="EH2" i="22" s="1"/>
  <c r="CY2" i="22"/>
  <c r="DD2" i="22" s="1"/>
  <c r="CV3" i="22"/>
  <c r="DZ3" i="22"/>
  <c r="BV4" i="22"/>
  <c r="BU6" i="22"/>
  <c r="CV9" i="22"/>
  <c r="ED9" i="22"/>
  <c r="EF11" i="22"/>
  <c r="EE11" i="22"/>
  <c r="DT11" i="22"/>
  <c r="EB11" i="22" s="1"/>
  <c r="DB11" i="22"/>
  <c r="DD11" i="22" s="1"/>
  <c r="CV11" i="22"/>
  <c r="BR13" i="22"/>
  <c r="CE13" i="22" s="1"/>
  <c r="CC13" i="22"/>
  <c r="BY14" i="22"/>
  <c r="CJ14" i="22" s="1"/>
  <c r="CV15" i="22"/>
  <c r="CV16" i="22"/>
  <c r="CF19" i="22"/>
  <c r="DI19" i="22" s="1"/>
  <c r="DP19" i="22"/>
  <c r="BO23" i="22"/>
  <c r="CY26" i="22"/>
  <c r="BX28" i="22"/>
  <c r="CI28" i="22" s="1"/>
  <c r="DB32" i="22"/>
  <c r="CC35" i="22"/>
  <c r="EF35" i="22"/>
  <c r="CC41" i="22"/>
  <c r="DJ41" i="22" s="1"/>
  <c r="BR41" i="22"/>
  <c r="CE41" i="22" s="1"/>
  <c r="DK41" i="22" s="1"/>
  <c r="EG47" i="22"/>
  <c r="EF47" i="22"/>
  <c r="BP47" i="22"/>
  <c r="DA47" i="22"/>
  <c r="CU47" i="22"/>
  <c r="BO54" i="22"/>
  <c r="CS54" i="22"/>
  <c r="CZ2" i="22"/>
  <c r="CW3" i="22"/>
  <c r="EA3" i="22"/>
  <c r="BW4" i="22"/>
  <c r="BY4" i="22" s="1"/>
  <c r="CJ4" i="22" s="1"/>
  <c r="BV6" i="22"/>
  <c r="DM7" i="22"/>
  <c r="DQ7" i="22" s="1"/>
  <c r="DR7" i="22" s="1"/>
  <c r="DY7" i="22"/>
  <c r="CW9" i="22"/>
  <c r="EF9" i="22"/>
  <c r="CW11" i="22"/>
  <c r="DP12" i="22"/>
  <c r="DQ12" i="22" s="1"/>
  <c r="DR12" i="22" s="1"/>
  <c r="BS13" i="22"/>
  <c r="DM13" i="22"/>
  <c r="DU16" i="22"/>
  <c r="EH16" i="22" s="1"/>
  <c r="BQ17" i="22"/>
  <c r="CD17" i="22" s="1"/>
  <c r="CV22" i="22"/>
  <c r="EA24" i="22"/>
  <c r="CZ26" i="22"/>
  <c r="CT26" i="22"/>
  <c r="CG27" i="22"/>
  <c r="DO28" i="22"/>
  <c r="CG28" i="22"/>
  <c r="CB32" i="22"/>
  <c r="DJ32" i="22" s="1"/>
  <c r="BV35" i="22"/>
  <c r="DP39" i="22"/>
  <c r="DM39" i="22"/>
  <c r="CG39" i="22"/>
  <c r="BY39" i="22"/>
  <c r="CJ39" i="22" s="1"/>
  <c r="DO39" i="22"/>
  <c r="BW39" i="22"/>
  <c r="DM40" i="22"/>
  <c r="DU49" i="22"/>
  <c r="EH49" i="22" s="1"/>
  <c r="BT51" i="22"/>
  <c r="BZ51" i="22" s="1"/>
  <c r="CK51" i="22" s="1"/>
  <c r="BP38" i="22"/>
  <c r="EF38" i="22"/>
  <c r="DB38" i="22"/>
  <c r="DB39" i="22"/>
  <c r="DU50" i="22"/>
  <c r="EH50" i="22" s="1"/>
  <c r="BV50" i="22"/>
  <c r="BT50" i="22"/>
  <c r="BZ50" i="22" s="1"/>
  <c r="CK50" i="22" s="1"/>
  <c r="BU53" i="22"/>
  <c r="DU64" i="22"/>
  <c r="EH64" i="22" s="1"/>
  <c r="BT64" i="22"/>
  <c r="BP64" i="22"/>
  <c r="CA67" i="22"/>
  <c r="CL67" i="22" s="1"/>
  <c r="CH67" i="22"/>
  <c r="CU70" i="22"/>
  <c r="DA70" i="22"/>
  <c r="CY74" i="22"/>
  <c r="CS74" i="22"/>
  <c r="DU79" i="22"/>
  <c r="EH79" i="22" s="1"/>
  <c r="BV79" i="22"/>
  <c r="BT79" i="22"/>
  <c r="BZ79" i="22" s="1"/>
  <c r="CK79" i="22" s="1"/>
  <c r="DA84" i="22"/>
  <c r="CU84" i="22"/>
  <c r="BO86" i="22"/>
  <c r="EA86" i="22"/>
  <c r="DX86" i="22"/>
  <c r="DW86" i="22"/>
  <c r="DZ86" i="22"/>
  <c r="CU86" i="22"/>
  <c r="CT86" i="22"/>
  <c r="CS86" i="22"/>
  <c r="CX86" i="22" s="1"/>
  <c r="DC86" i="22"/>
  <c r="CW86" i="22"/>
  <c r="DB47" i="22"/>
  <c r="CV47" i="22"/>
  <c r="DP48" i="22"/>
  <c r="DM48" i="22"/>
  <c r="CG48" i="22"/>
  <c r="BX51" i="22"/>
  <c r="CI51" i="22" s="1"/>
  <c r="DU53" i="22"/>
  <c r="EH53" i="22" s="1"/>
  <c r="EE58" i="22"/>
  <c r="ED58" i="22"/>
  <c r="EC58" i="22"/>
  <c r="BW58" i="22"/>
  <c r="EG58" i="22"/>
  <c r="EF58" i="22"/>
  <c r="DT58" i="22"/>
  <c r="EB58" i="22" s="1"/>
  <c r="DT59" i="22"/>
  <c r="EB59" i="22" s="1"/>
  <c r="CY75" i="22"/>
  <c r="DD75" i="22" s="1"/>
  <c r="CS75" i="22"/>
  <c r="BU80" i="22"/>
  <c r="BS80" i="22"/>
  <c r="BY19" i="22"/>
  <c r="CJ19" i="22" s="1"/>
  <c r="DO19" i="22"/>
  <c r="BS20" i="22"/>
  <c r="BS21" i="22"/>
  <c r="EA22" i="22"/>
  <c r="DZ22" i="22"/>
  <c r="DY22" i="22"/>
  <c r="CF22" i="22"/>
  <c r="DI22" i="22" s="1"/>
  <c r="DN25" i="22"/>
  <c r="BV27" i="22"/>
  <c r="DZ30" i="22"/>
  <c r="DM31" i="22"/>
  <c r="DY31" i="22"/>
  <c r="BS32" i="22"/>
  <c r="EE33" i="22"/>
  <c r="BW33" i="22"/>
  <c r="BY33" i="22" s="1"/>
  <c r="CJ33" i="22" s="1"/>
  <c r="EG33" i="22"/>
  <c r="EF33" i="22"/>
  <c r="ED33" i="22"/>
  <c r="CZ40" i="22"/>
  <c r="CT40" i="22"/>
  <c r="CX40" i="22" s="1"/>
  <c r="EC48" i="22"/>
  <c r="DB48" i="22"/>
  <c r="DA48" i="22"/>
  <c r="CY48" i="22"/>
  <c r="BW48" i="22"/>
  <c r="BY48" i="22" s="1"/>
  <c r="CJ48" i="22" s="1"/>
  <c r="EG48" i="22"/>
  <c r="ED48" i="22"/>
  <c r="EG49" i="22"/>
  <c r="ED49" i="22"/>
  <c r="EF49" i="22"/>
  <c r="EE49" i="22"/>
  <c r="EC49" i="22"/>
  <c r="CV52" i="22"/>
  <c r="DB52" i="22"/>
  <c r="DD52" i="22" s="1"/>
  <c r="DZ54" i="22"/>
  <c r="DM54" i="22"/>
  <c r="CF54" i="22"/>
  <c r="DI54" i="22" s="1"/>
  <c r="CW54" i="22"/>
  <c r="EA54" i="22"/>
  <c r="DY54" i="22"/>
  <c r="DX54" i="22"/>
  <c r="CV54" i="22"/>
  <c r="DA64" i="22"/>
  <c r="CU64" i="22"/>
  <c r="DO65" i="22"/>
  <c r="CG65" i="22"/>
  <c r="BX73" i="22"/>
  <c r="CI73" i="22" s="1"/>
  <c r="BQ100" i="22"/>
  <c r="CD100" i="22" s="1"/>
  <c r="DK100" i="22" s="1"/>
  <c r="CB100" i="22"/>
  <c r="DJ100" i="22" s="1"/>
  <c r="CV4" i="22"/>
  <c r="CU6" i="22"/>
  <c r="DC16" i="22"/>
  <c r="EE16" i="22"/>
  <c r="CS19" i="22"/>
  <c r="BV20" i="22"/>
  <c r="BT20" i="22"/>
  <c r="BZ20" i="22" s="1"/>
  <c r="CK20" i="22" s="1"/>
  <c r="ED22" i="22"/>
  <c r="EC22" i="22"/>
  <c r="DC22" i="22"/>
  <c r="DT22" i="22"/>
  <c r="EB22" i="22" s="1"/>
  <c r="EE23" i="22"/>
  <c r="EF24" i="22"/>
  <c r="CT29" i="22"/>
  <c r="DM29" i="22"/>
  <c r="DP29" i="22"/>
  <c r="EG30" i="22"/>
  <c r="BW30" i="22"/>
  <c r="BY30" i="22" s="1"/>
  <c r="CJ30" i="22" s="1"/>
  <c r="EF30" i="22"/>
  <c r="EE30" i="22"/>
  <c r="ED30" i="22"/>
  <c r="EC30" i="22"/>
  <c r="DP30" i="22"/>
  <c r="EG31" i="22"/>
  <c r="EF31" i="22"/>
  <c r="EE31" i="22"/>
  <c r="ED31" i="22"/>
  <c r="EC31" i="22"/>
  <c r="DP31" i="22"/>
  <c r="CY36" i="22"/>
  <c r="BP37" i="22"/>
  <c r="CH39" i="22"/>
  <c r="CA39" i="22"/>
  <c r="CL39" i="22" s="1"/>
  <c r="DU40" i="22"/>
  <c r="EH40" i="22" s="1"/>
  <c r="BT40" i="22"/>
  <c r="CW42" i="22"/>
  <c r="DC42" i="22"/>
  <c r="DB43" i="22"/>
  <c r="BO46" i="22"/>
  <c r="DZ46" i="22"/>
  <c r="CV46" i="22"/>
  <c r="EA46" i="22"/>
  <c r="CS46" i="22"/>
  <c r="DY46" i="22"/>
  <c r="DX46" i="22"/>
  <c r="EI46" i="22" s="1"/>
  <c r="CZ46" i="22"/>
  <c r="DD46" i="22" s="1"/>
  <c r="CT46" i="22"/>
  <c r="DT48" i="22"/>
  <c r="EB48" i="22" s="1"/>
  <c r="CS52" i="22"/>
  <c r="BV53" i="22"/>
  <c r="BO57" i="22"/>
  <c r="CW57" i="22"/>
  <c r="CV57" i="22"/>
  <c r="CU57" i="22"/>
  <c r="DY57" i="22"/>
  <c r="CY58" i="22"/>
  <c r="DD58" i="22" s="1"/>
  <c r="BW65" i="22"/>
  <c r="BY65" i="22" s="1"/>
  <c r="CJ65" i="22" s="1"/>
  <c r="DN66" i="22"/>
  <c r="BX66" i="22"/>
  <c r="CI66" i="22" s="1"/>
  <c r="BQ67" i="22"/>
  <c r="CD67" i="22" s="1"/>
  <c r="BU67" i="22"/>
  <c r="BS67" i="22"/>
  <c r="DC68" i="22"/>
  <c r="CW68" i="22"/>
  <c r="DT14" i="22"/>
  <c r="EB14" i="22" s="1"/>
  <c r="EG19" i="22"/>
  <c r="BW19" i="22"/>
  <c r="EF19" i="22"/>
  <c r="EE19" i="22"/>
  <c r="BT22" i="22"/>
  <c r="BZ22" i="22" s="1"/>
  <c r="CK22" i="22" s="1"/>
  <c r="BP22" i="22"/>
  <c r="DU22" i="22"/>
  <c r="EH22" i="22" s="1"/>
  <c r="CS22" i="22"/>
  <c r="DW22" i="22"/>
  <c r="EI22" i="22" s="1"/>
  <c r="DU24" i="22"/>
  <c r="EH24" i="22" s="1"/>
  <c r="CS29" i="22"/>
  <c r="CX29" i="22" s="1"/>
  <c r="BV30" i="22"/>
  <c r="BT30" i="22"/>
  <c r="BZ30" i="22" s="1"/>
  <c r="CK30" i="22" s="1"/>
  <c r="CZ36" i="22"/>
  <c r="CT36" i="22"/>
  <c r="BV37" i="22"/>
  <c r="CU41" i="22"/>
  <c r="DA41" i="22"/>
  <c r="DC43" i="22"/>
  <c r="CV45" i="22"/>
  <c r="EA47" i="22"/>
  <c r="DP47" i="22"/>
  <c r="DZ47" i="22"/>
  <c r="DY47" i="22"/>
  <c r="DX47" i="22"/>
  <c r="DW47" i="22"/>
  <c r="DM47" i="22"/>
  <c r="DY52" i="22"/>
  <c r="DZ52" i="22"/>
  <c r="DX52" i="22"/>
  <c r="DW52" i="22"/>
  <c r="EI52" i="22" s="1"/>
  <c r="CV56" i="22"/>
  <c r="CX56" i="22" s="1"/>
  <c r="DB56" i="22"/>
  <c r="BS57" i="22"/>
  <c r="BU57" i="22"/>
  <c r="CZ58" i="22"/>
  <c r="BW66" i="22"/>
  <c r="EF66" i="22"/>
  <c r="EG66" i="22"/>
  <c r="DC66" i="22"/>
  <c r="EE66" i="22"/>
  <c r="DB66" i="22"/>
  <c r="DT66" i="22"/>
  <c r="EB66" i="22" s="1"/>
  <c r="CZ66" i="22"/>
  <c r="BV89" i="22"/>
  <c r="BT89" i="22"/>
  <c r="BZ89" i="22" s="1"/>
  <c r="CK89" i="22" s="1"/>
  <c r="DP18" i="22"/>
  <c r="CV18" i="22"/>
  <c r="DM18" i="22"/>
  <c r="CS18" i="22"/>
  <c r="CX18" i="22" s="1"/>
  <c r="DT19" i="22"/>
  <c r="EB19" i="22" s="1"/>
  <c r="DB21" i="22"/>
  <c r="DD21" i="22" s="1"/>
  <c r="DX22" i="22"/>
  <c r="EG29" i="22"/>
  <c r="BW29" i="22"/>
  <c r="EF29" i="22"/>
  <c r="EE29" i="22"/>
  <c r="BP34" i="22"/>
  <c r="EA36" i="22"/>
  <c r="DY36" i="22"/>
  <c r="CF36" i="22"/>
  <c r="DI36" i="22" s="1"/>
  <c r="DZ36" i="22"/>
  <c r="EI36" i="22" s="1"/>
  <c r="DX36" i="22"/>
  <c r="DA36" i="22"/>
  <c r="DA38" i="22"/>
  <c r="CC40" i="22"/>
  <c r="DJ40" i="22" s="1"/>
  <c r="BR40" i="22"/>
  <c r="CE40" i="22" s="1"/>
  <c r="DK40" i="22" s="1"/>
  <c r="CV41" i="22"/>
  <c r="DB41" i="22"/>
  <c r="CU42" i="22"/>
  <c r="CX43" i="22"/>
  <c r="BY45" i="22"/>
  <c r="CJ45" i="22" s="1"/>
  <c r="DO45" i="22"/>
  <c r="CG45" i="22"/>
  <c r="CW45" i="22"/>
  <c r="DO52" i="22"/>
  <c r="BY52" i="22"/>
  <c r="CJ52" i="22" s="1"/>
  <c r="CG52" i="22"/>
  <c r="BR54" i="22"/>
  <c r="CE54" i="22" s="1"/>
  <c r="CC54" i="22"/>
  <c r="DA58" i="22"/>
  <c r="CU58" i="22"/>
  <c r="CG59" i="22"/>
  <c r="DO59" i="22"/>
  <c r="DY71" i="22"/>
  <c r="DP71" i="22"/>
  <c r="DZ71" i="22"/>
  <c r="DX71" i="22"/>
  <c r="DW71" i="22"/>
  <c r="CW71" i="22"/>
  <c r="CT71" i="22"/>
  <c r="CX71" i="22" s="1"/>
  <c r="DX5" i="22"/>
  <c r="DW5" i="22"/>
  <c r="EI5" i="22" s="1"/>
  <c r="DC10" i="22"/>
  <c r="EE10" i="22"/>
  <c r="DY12" i="22"/>
  <c r="EI12" i="22" s="1"/>
  <c r="CF12" i="22"/>
  <c r="DI12" i="22" s="1"/>
  <c r="DA14" i="22"/>
  <c r="DD14" i="22" s="1"/>
  <c r="DU19" i="22"/>
  <c r="EH19" i="22" s="1"/>
  <c r="BR20" i="22"/>
  <c r="CE20" i="22" s="1"/>
  <c r="DU20" i="22"/>
  <c r="EH20" i="22" s="1"/>
  <c r="CU22" i="22"/>
  <c r="EE22" i="22"/>
  <c r="BX25" i="22"/>
  <c r="CI25" i="22" s="1"/>
  <c r="DP28" i="22"/>
  <c r="CV28" i="22"/>
  <c r="DM28" i="22"/>
  <c r="CS28" i="22"/>
  <c r="DT29" i="22"/>
  <c r="EB29" i="22" s="1"/>
  <c r="DT30" i="22"/>
  <c r="EB30" i="22" s="1"/>
  <c r="DB31" i="22"/>
  <c r="DD31" i="22" s="1"/>
  <c r="DT31" i="22"/>
  <c r="EB31" i="22" s="1"/>
  <c r="DC32" i="22"/>
  <c r="BV34" i="22"/>
  <c r="BS36" i="22"/>
  <c r="DB36" i="22"/>
  <c r="EC38" i="22"/>
  <c r="EC42" i="22"/>
  <c r="DT42" i="22"/>
  <c r="EB42" i="22" s="1"/>
  <c r="EC43" i="22"/>
  <c r="DX45" i="22"/>
  <c r="DW45" i="22"/>
  <c r="CU45" i="22"/>
  <c r="CT45" i="22"/>
  <c r="CX45" i="22" s="1"/>
  <c r="DY45" i="22"/>
  <c r="DP45" i="22"/>
  <c r="DM45" i="22"/>
  <c r="CF45" i="22"/>
  <c r="DI45" i="22" s="1"/>
  <c r="CY45" i="22"/>
  <c r="DD45" i="22" s="1"/>
  <c r="DT47" i="22"/>
  <c r="EB47" i="22" s="1"/>
  <c r="ED47" i="22"/>
  <c r="EC47" i="22"/>
  <c r="BW47" i="22"/>
  <c r="BY47" i="22" s="1"/>
  <c r="CJ47" i="22" s="1"/>
  <c r="EE47" i="22"/>
  <c r="CT53" i="22"/>
  <c r="DP54" i="22"/>
  <c r="CH58" i="22"/>
  <c r="CA58" i="22"/>
  <c r="CL58" i="22" s="1"/>
  <c r="DB58" i="22"/>
  <c r="EA71" i="22"/>
  <c r="EF7" i="22"/>
  <c r="DZ10" i="22"/>
  <c r="CV14" i="22"/>
  <c r="EG18" i="22"/>
  <c r="BW18" i="22"/>
  <c r="BY18" i="22" s="1"/>
  <c r="CJ18" i="22" s="1"/>
  <c r="ED18" i="22"/>
  <c r="DT18" i="22"/>
  <c r="EB18" i="22" s="1"/>
  <c r="BP19" i="22"/>
  <c r="BR23" i="22"/>
  <c r="CE23" i="22" s="1"/>
  <c r="BO29" i="22"/>
  <c r="CS30" i="22"/>
  <c r="DU30" i="22"/>
  <c r="EH30" i="22" s="1"/>
  <c r="EC36" i="22"/>
  <c r="EF36" i="22"/>
  <c r="EE36" i="22"/>
  <c r="ED36" i="22"/>
  <c r="BW36" i="22"/>
  <c r="DC36" i="22"/>
  <c r="CW36" i="22"/>
  <c r="DC38" i="22"/>
  <c r="ED38" i="22"/>
  <c r="DU42" i="22"/>
  <c r="EH42" i="22" s="1"/>
  <c r="DU43" i="22"/>
  <c r="EH43" i="22" s="1"/>
  <c r="DT44" i="22"/>
  <c r="EB44" i="22" s="1"/>
  <c r="CZ44" i="22"/>
  <c r="CT44" i="22"/>
  <c r="BS45" i="22"/>
  <c r="BT47" i="22"/>
  <c r="BZ47" i="22" s="1"/>
  <c r="CK47" i="22" s="1"/>
  <c r="DU47" i="22"/>
  <c r="EH47" i="22" s="1"/>
  <c r="BV47" i="22"/>
  <c r="CU51" i="22"/>
  <c r="CX51" i="22" s="1"/>
  <c r="DE51" i="22" s="1"/>
  <c r="DF51" i="22" s="1"/>
  <c r="DA51" i="22"/>
  <c r="DA53" i="22"/>
  <c r="DC58" i="22"/>
  <c r="BW59" i="22"/>
  <c r="BY59" i="22" s="1"/>
  <c r="CJ59" i="22" s="1"/>
  <c r="BX10" i="22"/>
  <c r="CI10" i="22" s="1"/>
  <c r="ED12" i="22"/>
  <c r="EC12" i="22"/>
  <c r="BS14" i="22"/>
  <c r="BT18" i="22"/>
  <c r="CT18" i="22"/>
  <c r="DU18" i="22"/>
  <c r="EH18" i="22" s="1"/>
  <c r="CW22" i="22"/>
  <c r="CA25" i="22"/>
  <c r="CL25" i="22" s="1"/>
  <c r="DL25" i="22"/>
  <c r="EG28" i="22"/>
  <c r="BW28" i="22"/>
  <c r="BY28" i="22" s="1"/>
  <c r="CJ28" i="22" s="1"/>
  <c r="ED28" i="22"/>
  <c r="DT28" i="22"/>
  <c r="EB28" i="22" s="1"/>
  <c r="DW29" i="22"/>
  <c r="CT30" i="22"/>
  <c r="DW30" i="22"/>
  <c r="CS31" i="22"/>
  <c r="DW31" i="22"/>
  <c r="DU36" i="22"/>
  <c r="EH36" i="22" s="1"/>
  <c r="CS36" i="22"/>
  <c r="EE38" i="22"/>
  <c r="CW43" i="22"/>
  <c r="DA44" i="22"/>
  <c r="CU44" i="22"/>
  <c r="EF45" i="22"/>
  <c r="EE45" i="22"/>
  <c r="EG45" i="22"/>
  <c r="DT45" i="22"/>
  <c r="EB45" i="22" s="1"/>
  <c r="DA45" i="22"/>
  <c r="EE48" i="22"/>
  <c r="DA49" i="22"/>
  <c r="CU49" i="22"/>
  <c r="EG52" i="22"/>
  <c r="ED52" i="22"/>
  <c r="EF52" i="22"/>
  <c r="EE52" i="22"/>
  <c r="EC52" i="22"/>
  <c r="DT52" i="22"/>
  <c r="EB52" i="22" s="1"/>
  <c r="DB53" i="22"/>
  <c r="CV53" i="22"/>
  <c r="DP82" i="22"/>
  <c r="CV82" i="22"/>
  <c r="CF82" i="22"/>
  <c r="DI82" i="22" s="1"/>
  <c r="EA82" i="22"/>
  <c r="DZ82" i="22"/>
  <c r="DY82" i="22"/>
  <c r="DX82" i="22"/>
  <c r="CW82" i="22"/>
  <c r="DW82" i="22"/>
  <c r="CS82" i="22"/>
  <c r="DM82" i="22"/>
  <c r="EG10" i="22"/>
  <c r="BW10" i="22"/>
  <c r="BY10" i="22" s="1"/>
  <c r="CJ10" i="22" s="1"/>
  <c r="EC10" i="22"/>
  <c r="BT12" i="22"/>
  <c r="BZ12" i="22" s="1"/>
  <c r="CK12" i="22" s="1"/>
  <c r="DU12" i="22"/>
  <c r="EH12" i="22" s="1"/>
  <c r="EC13" i="22"/>
  <c r="BT14" i="22"/>
  <c r="BZ14" i="22" s="1"/>
  <c r="CK14" i="22" s="1"/>
  <c r="CS14" i="22"/>
  <c r="DM15" i="22"/>
  <c r="CU18" i="22"/>
  <c r="DW18" i="22"/>
  <c r="BS19" i="22"/>
  <c r="BT28" i="22"/>
  <c r="BZ28" i="22" s="1"/>
  <c r="CK28" i="22" s="1"/>
  <c r="CT28" i="22"/>
  <c r="DU28" i="22"/>
  <c r="EH28" i="22" s="1"/>
  <c r="CU29" i="22"/>
  <c r="DX29" i="22"/>
  <c r="CU30" i="22"/>
  <c r="DX30" i="22"/>
  <c r="CT31" i="22"/>
  <c r="DX31" i="22"/>
  <c r="EC33" i="22"/>
  <c r="CU36" i="22"/>
  <c r="EG38" i="22"/>
  <c r="BP42" i="22"/>
  <c r="DB45" i="22"/>
  <c r="BT48" i="22"/>
  <c r="BZ48" i="22" s="1"/>
  <c r="CK48" i="22" s="1"/>
  <c r="BV48" i="22"/>
  <c r="EF48" i="22"/>
  <c r="DB49" i="22"/>
  <c r="CS50" i="22"/>
  <c r="CW50" i="22"/>
  <c r="CV50" i="22"/>
  <c r="CU50" i="22"/>
  <c r="CW56" i="22"/>
  <c r="CT58" i="22"/>
  <c r="CX58" i="22" s="1"/>
  <c r="DM62" i="22"/>
  <c r="DP62" i="22"/>
  <c r="BU62" i="22"/>
  <c r="BS62" i="22"/>
  <c r="DY64" i="22"/>
  <c r="CV64" i="22"/>
  <c r="BO64" i="22"/>
  <c r="DX64" i="22"/>
  <c r="CG71" i="22"/>
  <c r="DO71" i="22"/>
  <c r="BW71" i="22"/>
  <c r="BY71" i="22" s="1"/>
  <c r="CJ71" i="22" s="1"/>
  <c r="BX82" i="22"/>
  <c r="CI82" i="22" s="1"/>
  <c r="DN82" i="22"/>
  <c r="DJ87" i="22"/>
  <c r="BV91" i="22"/>
  <c r="DU91" i="22"/>
  <c r="EH91" i="22" s="1"/>
  <c r="DZ4" i="22"/>
  <c r="EI4" i="22" s="1"/>
  <c r="CS7" i="22"/>
  <c r="BP12" i="22"/>
  <c r="ED13" i="22"/>
  <c r="CY15" i="22"/>
  <c r="DP17" i="22"/>
  <c r="CU17" i="22"/>
  <c r="DM17" i="22"/>
  <c r="BP18" i="22"/>
  <c r="DX18" i="22"/>
  <c r="BT19" i="22"/>
  <c r="BZ19" i="22" s="1"/>
  <c r="CK19" i="22" s="1"/>
  <c r="CV21" i="22"/>
  <c r="DD22" i="22"/>
  <c r="CA23" i="22"/>
  <c r="CL23" i="22" s="1"/>
  <c r="BO28" i="22"/>
  <c r="CU28" i="22"/>
  <c r="DW28" i="22"/>
  <c r="EI28" i="22" s="1"/>
  <c r="CV29" i="22"/>
  <c r="DY29" i="22"/>
  <c r="BP30" i="22"/>
  <c r="CV30" i="22"/>
  <c r="DY30" i="22"/>
  <c r="CU31" i="22"/>
  <c r="DZ31" i="22"/>
  <c r="CY33" i="22"/>
  <c r="CV36" i="22"/>
  <c r="DT37" i="22"/>
  <c r="EB37" i="22" s="1"/>
  <c r="CU38" i="22"/>
  <c r="EE41" i="22"/>
  <c r="CZ41" i="22"/>
  <c r="DT41" i="22"/>
  <c r="EB41" i="22" s="1"/>
  <c r="EI41" i="22" s="1"/>
  <c r="BW41" i="22"/>
  <c r="DC41" i="22"/>
  <c r="EG41" i="22"/>
  <c r="EF41" i="22"/>
  <c r="BQ42" i="22"/>
  <c r="CD42" i="22" s="1"/>
  <c r="BU44" i="22"/>
  <c r="BS44" i="22"/>
  <c r="DC45" i="22"/>
  <c r="DA46" i="22"/>
  <c r="BS47" i="22"/>
  <c r="DC49" i="22"/>
  <c r="DM50" i="22"/>
  <c r="DP50" i="22"/>
  <c r="BU50" i="22"/>
  <c r="BS50" i="22"/>
  <c r="BO52" i="22"/>
  <c r="CU53" i="22"/>
  <c r="CA54" i="22"/>
  <c r="CL54" i="22" s="1"/>
  <c r="DW54" i="22"/>
  <c r="EC60" i="22"/>
  <c r="DA60" i="22"/>
  <c r="DT60" i="22"/>
  <c r="EB60" i="22" s="1"/>
  <c r="CZ60" i="22"/>
  <c r="EG60" i="22"/>
  <c r="EF60" i="22"/>
  <c r="DB60" i="22"/>
  <c r="DQ79" i="22"/>
  <c r="DR79" i="22" s="1"/>
  <c r="CZ12" i="22"/>
  <c r="DD12" i="22" s="1"/>
  <c r="BP14" i="22"/>
  <c r="CZ15" i="22"/>
  <c r="CT15" i="22"/>
  <c r="CX15" i="22" s="1"/>
  <c r="BQ18" i="22"/>
  <c r="CD18" i="22" s="1"/>
  <c r="DY18" i="22"/>
  <c r="DP27" i="22"/>
  <c r="CU27" i="22"/>
  <c r="DM27" i="22"/>
  <c r="BP28" i="22"/>
  <c r="CW29" i="22"/>
  <c r="CW30" i="22"/>
  <c r="EA30" i="22"/>
  <c r="CV31" i="22"/>
  <c r="EA31" i="22"/>
  <c r="CZ33" i="22"/>
  <c r="BU35" i="22"/>
  <c r="CW38" i="22"/>
  <c r="CX38" i="22" s="1"/>
  <c r="CY39" i="22"/>
  <c r="DU41" i="22"/>
  <c r="EH41" i="22" s="1"/>
  <c r="BV41" i="22"/>
  <c r="BT41" i="22"/>
  <c r="DN43" i="22"/>
  <c r="EA44" i="22"/>
  <c r="DX44" i="22"/>
  <c r="CF44" i="22"/>
  <c r="DI44" i="22" s="1"/>
  <c r="CV44" i="22"/>
  <c r="CS44" i="22"/>
  <c r="DZ44" i="22"/>
  <c r="DY44" i="22"/>
  <c r="CW44" i="22"/>
  <c r="CX49" i="22"/>
  <c r="EA52" i="22"/>
  <c r="CW58" i="22"/>
  <c r="BT60" i="22"/>
  <c r="BZ60" i="22" s="1"/>
  <c r="CK60" i="22" s="1"/>
  <c r="DU60" i="22"/>
  <c r="EH60" i="22" s="1"/>
  <c r="DB61" i="22"/>
  <c r="CV61" i="22"/>
  <c r="CX61" i="22" s="1"/>
  <c r="EA64" i="22"/>
  <c r="BR79" i="22"/>
  <c r="CE79" i="22" s="1"/>
  <c r="DK79" i="22" s="1"/>
  <c r="BQ87" i="22"/>
  <c r="CD87" i="22" s="1"/>
  <c r="DP4" i="22"/>
  <c r="CY40" i="22"/>
  <c r="CG42" i="22"/>
  <c r="BY42" i="22"/>
  <c r="CJ42" i="22" s="1"/>
  <c r="BQ44" i="22"/>
  <c r="CD44" i="22" s="1"/>
  <c r="BS48" i="22"/>
  <c r="DO56" i="22"/>
  <c r="DZ58" i="22"/>
  <c r="DY58" i="22"/>
  <c r="DX58" i="22"/>
  <c r="CF58" i="22"/>
  <c r="DI58" i="22" s="1"/>
  <c r="EA58" i="22"/>
  <c r="DW58" i="22"/>
  <c r="DM58" i="22"/>
  <c r="EA69" i="22"/>
  <c r="DY69" i="22"/>
  <c r="DX69" i="22"/>
  <c r="CT69" i="22"/>
  <c r="CF69" i="22"/>
  <c r="DI69" i="22" s="1"/>
  <c r="DM69" i="22"/>
  <c r="CZ70" i="22"/>
  <c r="CT70" i="22"/>
  <c r="BR77" i="22"/>
  <c r="CE77" i="22" s="1"/>
  <c r="CC77" i="22"/>
  <c r="CB80" i="22"/>
  <c r="BQ80" i="22"/>
  <c r="CD80" i="22" s="1"/>
  <c r="CG63" i="22"/>
  <c r="DO63" i="22"/>
  <c r="CS65" i="22"/>
  <c r="CX65" i="22" s="1"/>
  <c r="DW69" i="22"/>
  <c r="EI69" i="22" s="1"/>
  <c r="CY88" i="22"/>
  <c r="DD88" i="22" s="1"/>
  <c r="CS88" i="22"/>
  <c r="DZ38" i="22"/>
  <c r="DY38" i="22"/>
  <c r="BO38" i="22"/>
  <c r="DW38" i="22"/>
  <c r="EI38" i="22" s="1"/>
  <c r="EE44" i="22"/>
  <c r="BP59" i="22"/>
  <c r="EG59" i="22"/>
  <c r="EF59" i="22"/>
  <c r="ED59" i="22"/>
  <c r="DZ69" i="22"/>
  <c r="CA59" i="22"/>
  <c r="CL59" i="22" s="1"/>
  <c r="DU80" i="22"/>
  <c r="EH80" i="22" s="1"/>
  <c r="BT80" i="22"/>
  <c r="BZ80" i="22" s="1"/>
  <c r="CK80" i="22" s="1"/>
  <c r="BP80" i="22"/>
  <c r="DO40" i="22"/>
  <c r="DQ43" i="22"/>
  <c r="DR43" i="22" s="1"/>
  <c r="ED63" i="22"/>
  <c r="EE63" i="22"/>
  <c r="EC63" i="22"/>
  <c r="BP63" i="22"/>
  <c r="EG63" i="22"/>
  <c r="EF63" i="22"/>
  <c r="DP65" i="22"/>
  <c r="DZ65" i="22"/>
  <c r="DW65" i="22"/>
  <c r="DY65" i="22"/>
  <c r="DX65" i="22"/>
  <c r="DD83" i="22"/>
  <c r="DC96" i="22"/>
  <c r="CW96" i="22"/>
  <c r="DW15" i="22"/>
  <c r="DW25" i="22"/>
  <c r="EI25" i="22" s="1"/>
  <c r="CY43" i="22"/>
  <c r="CY49" i="22"/>
  <c r="DD49" i="22" s="1"/>
  <c r="BP50" i="22"/>
  <c r="CG56" i="22"/>
  <c r="BX65" i="22"/>
  <c r="CI65" i="22" s="1"/>
  <c r="DN65" i="22"/>
  <c r="CS66" i="22"/>
  <c r="CY66" i="22"/>
  <c r="DT38" i="22"/>
  <c r="EB38" i="22" s="1"/>
  <c r="CY38" i="22"/>
  <c r="DM38" i="22"/>
  <c r="CZ43" i="22"/>
  <c r="CY47" i="22"/>
  <c r="BR48" i="22"/>
  <c r="CE48" i="22" s="1"/>
  <c r="CZ49" i="22"/>
  <c r="CZ51" i="22"/>
  <c r="DD51" i="22" s="1"/>
  <c r="CS53" i="22"/>
  <c r="CY53" i="22"/>
  <c r="DU59" i="22"/>
  <c r="EH59" i="22" s="1"/>
  <c r="DN75" i="22"/>
  <c r="BX75" i="22"/>
  <c r="CI75" i="22" s="1"/>
  <c r="CU77" i="22"/>
  <c r="DA77" i="22"/>
  <c r="DM41" i="22"/>
  <c r="CW47" i="22"/>
  <c r="DT50" i="22"/>
  <c r="EB50" i="22" s="1"/>
  <c r="EG50" i="22"/>
  <c r="EE54" i="22"/>
  <c r="ED54" i="22"/>
  <c r="DA54" i="22"/>
  <c r="BO62" i="22"/>
  <c r="DX62" i="22"/>
  <c r="DW62" i="22"/>
  <c r="DZ62" i="22"/>
  <c r="CS62" i="22"/>
  <c r="EA62" i="22"/>
  <c r="EF65" i="22"/>
  <c r="BP65" i="22"/>
  <c r="EE65" i="22"/>
  <c r="ED65" i="22"/>
  <c r="DW67" i="22"/>
  <c r="CW67" i="22"/>
  <c r="CF67" i="22"/>
  <c r="DI67" i="22" s="1"/>
  <c r="CV67" i="22"/>
  <c r="DX67" i="22"/>
  <c r="CT67" i="22"/>
  <c r="EA67" i="22"/>
  <c r="DP74" i="22"/>
  <c r="DM74" i="22"/>
  <c r="BU74" i="22"/>
  <c r="BS74" i="22"/>
  <c r="BO76" i="22"/>
  <c r="CV76" i="22"/>
  <c r="DZ76" i="22"/>
  <c r="DY76" i="22"/>
  <c r="EF80" i="22"/>
  <c r="BW80" i="22"/>
  <c r="DC80" i="22"/>
  <c r="DA80" i="22"/>
  <c r="EG80" i="22"/>
  <c r="ED80" i="22"/>
  <c r="DT80" i="22"/>
  <c r="EB80" i="22" s="1"/>
  <c r="BQ85" i="22"/>
  <c r="CD85" i="22" s="1"/>
  <c r="DK85" i="22" s="1"/>
  <c r="CB85" i="22"/>
  <c r="DJ85" i="22" s="1"/>
  <c r="BR87" i="22"/>
  <c r="CE87" i="22" s="1"/>
  <c r="CC87" i="22"/>
  <c r="CF100" i="22"/>
  <c r="DI100" i="22" s="1"/>
  <c r="DP100" i="22"/>
  <c r="DM100" i="22"/>
  <c r="CW100" i="22"/>
  <c r="CV100" i="22"/>
  <c r="CT100" i="22"/>
  <c r="CS100" i="22"/>
  <c r="EA100" i="22"/>
  <c r="DZ100" i="22"/>
  <c r="DX100" i="22"/>
  <c r="EI100" i="22" s="1"/>
  <c r="DP41" i="22"/>
  <c r="DM46" i="22"/>
  <c r="CZ54" i="22"/>
  <c r="DD54" i="22" s="1"/>
  <c r="EA57" i="22"/>
  <c r="DZ57" i="22"/>
  <c r="CT57" i="22"/>
  <c r="CX57" i="22" s="1"/>
  <c r="DP57" i="22"/>
  <c r="DM57" i="22"/>
  <c r="DX57" i="22"/>
  <c r="DN59" i="22"/>
  <c r="DQ59" i="22" s="1"/>
  <c r="DR59" i="22" s="1"/>
  <c r="BO70" i="22"/>
  <c r="DW70" i="22"/>
  <c r="CH71" i="22"/>
  <c r="CA71" i="22"/>
  <c r="CL71" i="22" s="1"/>
  <c r="CU73" i="22"/>
  <c r="DA73" i="22"/>
  <c r="CW75" i="22"/>
  <c r="BO77" i="22"/>
  <c r="DY77" i="22"/>
  <c r="DX77" i="22"/>
  <c r="EA77" i="22"/>
  <c r="EG44" i="22"/>
  <c r="DC44" i="22"/>
  <c r="EF44" i="22"/>
  <c r="BS46" i="22"/>
  <c r="CZ48" i="22"/>
  <c r="DB54" i="22"/>
  <c r="CW62" i="22"/>
  <c r="BV64" i="22"/>
  <c r="BU70" i="22"/>
  <c r="BS70" i="22"/>
  <c r="EG76" i="22"/>
  <c r="ED76" i="22"/>
  <c r="BW76" i="22"/>
  <c r="BY76" i="22" s="1"/>
  <c r="CJ76" i="22" s="1"/>
  <c r="DB76" i="22"/>
  <c r="CY76" i="22"/>
  <c r="EF76" i="22"/>
  <c r="DT76" i="22"/>
  <c r="EB76" i="22" s="1"/>
  <c r="DA76" i="22"/>
  <c r="CG77" i="22"/>
  <c r="BY77" i="22"/>
  <c r="CJ77" i="22" s="1"/>
  <c r="BX97" i="22"/>
  <c r="CI97" i="22" s="1"/>
  <c r="ED46" i="22"/>
  <c r="EC46" i="22"/>
  <c r="BW46" i="22"/>
  <c r="BY46" i="22" s="1"/>
  <c r="CJ46" i="22" s="1"/>
  <c r="EG46" i="22"/>
  <c r="DC54" i="22"/>
  <c r="EC57" i="22"/>
  <c r="DB59" i="22"/>
  <c r="CY63" i="22"/>
  <c r="CS63" i="22"/>
  <c r="EA75" i="22"/>
  <c r="DY75" i="22"/>
  <c r="DX75" i="22"/>
  <c r="BO75" i="22"/>
  <c r="DW75" i="22"/>
  <c r="CW92" i="22"/>
  <c r="DC92" i="22"/>
  <c r="EA43" i="22"/>
  <c r="DX43" i="22"/>
  <c r="EI43" i="22" s="1"/>
  <c r="CF43" i="22"/>
  <c r="DI43" i="22" s="1"/>
  <c r="DZ43" i="22"/>
  <c r="DZ56" i="22"/>
  <c r="CF56" i="22"/>
  <c r="DI56" i="22" s="1"/>
  <c r="DY56" i="22"/>
  <c r="DX56" i="22"/>
  <c r="DP56" i="22"/>
  <c r="BT57" i="22"/>
  <c r="BZ57" i="22" s="1"/>
  <c r="CK57" i="22" s="1"/>
  <c r="CZ63" i="22"/>
  <c r="CT63" i="22"/>
  <c r="BO66" i="22"/>
  <c r="DA66" i="22"/>
  <c r="DM67" i="22"/>
  <c r="BV68" i="22"/>
  <c r="DA69" i="22"/>
  <c r="DD69" i="22" s="1"/>
  <c r="CU69" i="22"/>
  <c r="DP75" i="22"/>
  <c r="DM75" i="22"/>
  <c r="CG75" i="22"/>
  <c r="BW75" i="22"/>
  <c r="BY75" i="22" s="1"/>
  <c r="CJ75" i="22" s="1"/>
  <c r="CV80" i="22"/>
  <c r="DB80" i="22"/>
  <c r="BU41" i="22"/>
  <c r="CF42" i="22"/>
  <c r="DI42" i="22" s="1"/>
  <c r="DC48" i="22"/>
  <c r="BU55" i="22"/>
  <c r="CZ56" i="22"/>
  <c r="EE57" i="22"/>
  <c r="BP61" i="22"/>
  <c r="EG61" i="22"/>
  <c r="BS63" i="22"/>
  <c r="BQ63" i="22"/>
  <c r="CD63" i="22" s="1"/>
  <c r="BU66" i="22"/>
  <c r="ED68" i="22"/>
  <c r="EE70" i="22"/>
  <c r="ED70" i="22"/>
  <c r="DT70" i="22"/>
  <c r="EB70" i="22" s="1"/>
  <c r="DC90" i="22"/>
  <c r="DA90" i="22"/>
  <c r="BP90" i="22"/>
  <c r="CZ90" i="22"/>
  <c r="CT90" i="22"/>
  <c r="CF41" i="22"/>
  <c r="DI41" i="22" s="1"/>
  <c r="BS42" i="22"/>
  <c r="BP46" i="22"/>
  <c r="DX49" i="22"/>
  <c r="DW49" i="22"/>
  <c r="CF49" i="22"/>
  <c r="DI49" i="22" s="1"/>
  <c r="BW50" i="22"/>
  <c r="DP51" i="22"/>
  <c r="DY51" i="22"/>
  <c r="DW51" i="22"/>
  <c r="CV55" i="22"/>
  <c r="DP55" i="22"/>
  <c r="CS55" i="22"/>
  <c r="DM55" i="22"/>
  <c r="ED56" i="22"/>
  <c r="EC56" i="22"/>
  <c r="EF56" i="22"/>
  <c r="CY56" i="22"/>
  <c r="DT56" i="22"/>
  <c r="EB56" i="22" s="1"/>
  <c r="DA56" i="22"/>
  <c r="CV65" i="22"/>
  <c r="DB65" i="22"/>
  <c r="DM66" i="22"/>
  <c r="DP66" i="22"/>
  <c r="CF66" i="22"/>
  <c r="DI66" i="22" s="1"/>
  <c r="DZ66" i="22"/>
  <c r="EI66" i="22" s="1"/>
  <c r="CW66" i="22"/>
  <c r="DP67" i="22"/>
  <c r="EG68" i="22"/>
  <c r="DC69" i="22"/>
  <c r="CW69" i="22"/>
  <c r="DU77" i="22"/>
  <c r="EH77" i="22" s="1"/>
  <c r="BT77" i="22"/>
  <c r="BZ77" i="22" s="1"/>
  <c r="CK77" i="22" s="1"/>
  <c r="BV77" i="22"/>
  <c r="DP77" i="22"/>
  <c r="CG82" i="22"/>
  <c r="BY82" i="22"/>
  <c r="CJ82" i="22" s="1"/>
  <c r="CY93" i="22"/>
  <c r="CS93" i="22"/>
  <c r="CY50" i="22"/>
  <c r="DD50" i="22" s="1"/>
  <c r="CW51" i="22"/>
  <c r="DP52" i="22"/>
  <c r="EA59" i="22"/>
  <c r="DZ59" i="22"/>
  <c r="DY59" i="22"/>
  <c r="DX59" i="22"/>
  <c r="CF59" i="22"/>
  <c r="DI59" i="22" s="1"/>
  <c r="DB64" i="22"/>
  <c r="CF70" i="22"/>
  <c r="DI70" i="22" s="1"/>
  <c r="DZ70" i="22"/>
  <c r="DY70" i="22"/>
  <c r="DX70" i="22"/>
  <c r="DP70" i="22"/>
  <c r="DM70" i="22"/>
  <c r="CY72" i="22"/>
  <c r="CS72" i="22"/>
  <c r="CC75" i="22"/>
  <c r="BR75" i="22"/>
  <c r="CE75" i="22" s="1"/>
  <c r="DZ48" i="22"/>
  <c r="DY48" i="22"/>
  <c r="EG54" i="22"/>
  <c r="BW54" i="22"/>
  <c r="EF54" i="22"/>
  <c r="EC54" i="22"/>
  <c r="DY62" i="22"/>
  <c r="CY62" i="22"/>
  <c r="DD62" i="22" s="1"/>
  <c r="DA63" i="22"/>
  <c r="DU70" i="22"/>
  <c r="EH70" i="22" s="1"/>
  <c r="BT70" i="22"/>
  <c r="BZ70" i="22" s="1"/>
  <c r="CK70" i="22" s="1"/>
  <c r="DC73" i="22"/>
  <c r="CW73" i="22"/>
  <c r="CB74" i="22"/>
  <c r="BQ74" i="22"/>
  <c r="CD74" i="22" s="1"/>
  <c r="DU90" i="22"/>
  <c r="EH90" i="22" s="1"/>
  <c r="BT90" i="22"/>
  <c r="BZ90" i="22" s="1"/>
  <c r="CK90" i="22" s="1"/>
  <c r="BV55" i="22"/>
  <c r="CT62" i="22"/>
  <c r="EG67" i="22"/>
  <c r="DT67" i="22"/>
  <c r="EB67" i="22" s="1"/>
  <c r="EF67" i="22"/>
  <c r="BR70" i="22"/>
  <c r="CE70" i="22" s="1"/>
  <c r="CC70" i="22"/>
  <c r="CY71" i="22"/>
  <c r="DT74" i="22"/>
  <c r="EB74" i="22" s="1"/>
  <c r="EE74" i="22"/>
  <c r="DC74" i="22"/>
  <c r="ED74" i="22"/>
  <c r="EC74" i="22"/>
  <c r="BW74" i="22"/>
  <c r="CV78" i="22"/>
  <c r="DB78" i="22"/>
  <c r="BQ91" i="22"/>
  <c r="CD91" i="22" s="1"/>
  <c r="CB91" i="22"/>
  <c r="DJ91" i="22" s="1"/>
  <c r="DT62" i="22"/>
  <c r="EB62" i="22" s="1"/>
  <c r="DA62" i="22"/>
  <c r="CU62" i="22"/>
  <c r="CW63" i="22"/>
  <c r="DC63" i="22"/>
  <c r="BP66" i="22"/>
  <c r="DU67" i="22"/>
  <c r="EH67" i="22" s="1"/>
  <c r="BT67" i="22"/>
  <c r="BZ67" i="22" s="1"/>
  <c r="CK67" i="22" s="1"/>
  <c r="BP67" i="22"/>
  <c r="CZ71" i="22"/>
  <c r="DU88" i="22"/>
  <c r="EH88" i="22" s="1"/>
  <c r="BT88" i="22"/>
  <c r="BZ88" i="22" s="1"/>
  <c r="CK88" i="22" s="1"/>
  <c r="BV95" i="22"/>
  <c r="BT95" i="22"/>
  <c r="BO60" i="22"/>
  <c r="DB62" i="22"/>
  <c r="CV62" i="22"/>
  <c r="CG64" i="22"/>
  <c r="CY65" i="22"/>
  <c r="DD65" i="22" s="1"/>
  <c r="BV66" i="22"/>
  <c r="DT73" i="22"/>
  <c r="EB73" i="22" s="1"/>
  <c r="BW73" i="22"/>
  <c r="EG73" i="22"/>
  <c r="EF73" i="22"/>
  <c r="EE73" i="22"/>
  <c r="EC73" i="22"/>
  <c r="CZ73" i="22"/>
  <c r="CC74" i="22"/>
  <c r="BR74" i="22"/>
  <c r="CE74" i="22" s="1"/>
  <c r="BO78" i="22"/>
  <c r="EA78" i="22"/>
  <c r="DY78" i="22"/>
  <c r="CS78" i="22"/>
  <c r="BX81" i="22"/>
  <c r="CI81" i="22" s="1"/>
  <c r="BQ90" i="22"/>
  <c r="CD90" i="22" s="1"/>
  <c r="BQ94" i="22"/>
  <c r="CD94" i="22" s="1"/>
  <c r="DK94" i="22" s="1"/>
  <c r="CB94" i="22"/>
  <c r="DJ94" i="22" s="1"/>
  <c r="DA97" i="22"/>
  <c r="CU97" i="22"/>
  <c r="DD99" i="22"/>
  <c r="EF101" i="22"/>
  <c r="ED101" i="22"/>
  <c r="EG101" i="22"/>
  <c r="EE101" i="22"/>
  <c r="EC101" i="22"/>
  <c r="DT101" i="22"/>
  <c r="EB101" i="22" s="1"/>
  <c r="EI101" i="22" s="1"/>
  <c r="CY101" i="22"/>
  <c r="DB101" i="22"/>
  <c r="BO58" i="22"/>
  <c r="CZ59" i="22"/>
  <c r="BU60" i="22"/>
  <c r="DC62" i="22"/>
  <c r="BO65" i="22"/>
  <c r="CZ65" i="22"/>
  <c r="CY68" i="22"/>
  <c r="BP71" i="22"/>
  <c r="DC71" i="22"/>
  <c r="BR72" i="22"/>
  <c r="CE72" i="22" s="1"/>
  <c r="DK72" i="22" s="1"/>
  <c r="CC72" i="22"/>
  <c r="DJ72" i="22" s="1"/>
  <c r="BV73" i="22"/>
  <c r="BT73" i="22"/>
  <c r="BZ73" i="22" s="1"/>
  <c r="CK73" i="22" s="1"/>
  <c r="DO78" i="22"/>
  <c r="BY78" i="22"/>
  <c r="CJ78" i="22" s="1"/>
  <c r="CG78" i="22"/>
  <c r="BW78" i="22"/>
  <c r="CW78" i="22"/>
  <c r="CZ80" i="22"/>
  <c r="CT80" i="22"/>
  <c r="CG81" i="22"/>
  <c r="DO81" i="22"/>
  <c r="BX90" i="22"/>
  <c r="CI90" i="22" s="1"/>
  <c r="BT101" i="22"/>
  <c r="BZ101" i="22" s="1"/>
  <c r="CK101" i="22" s="1"/>
  <c r="DU101" i="22"/>
  <c r="EH101" i="22" s="1"/>
  <c r="BS56" i="22"/>
  <c r="BP57" i="22"/>
  <c r="DA59" i="22"/>
  <c r="EA60" i="22"/>
  <c r="DY60" i="22"/>
  <c r="DP60" i="22"/>
  <c r="DM60" i="22"/>
  <c r="EA61" i="22"/>
  <c r="DZ61" i="22"/>
  <c r="DY61" i="22"/>
  <c r="DW61" i="22"/>
  <c r="CF61" i="22"/>
  <c r="DI61" i="22" s="1"/>
  <c r="DA61" i="22"/>
  <c r="DD61" i="22" s="1"/>
  <c r="CU65" i="22"/>
  <c r="DA65" i="22"/>
  <c r="DB67" i="22"/>
  <c r="BU68" i="22"/>
  <c r="BS68" i="22"/>
  <c r="EA70" i="22"/>
  <c r="DC72" i="22"/>
  <c r="BQ73" i="22"/>
  <c r="CD73" i="22" s="1"/>
  <c r="DK73" i="22" s="1"/>
  <c r="CB73" i="22"/>
  <c r="DJ73" i="22" s="1"/>
  <c r="CY77" i="22"/>
  <c r="DD77" i="22" s="1"/>
  <c r="CS77" i="22"/>
  <c r="DZ94" i="22"/>
  <c r="DX94" i="22"/>
  <c r="EA94" i="22"/>
  <c r="CW94" i="22"/>
  <c r="DY94" i="22"/>
  <c r="DW94" i="22"/>
  <c r="DP94" i="22"/>
  <c r="CF94" i="22"/>
  <c r="DI94" i="22" s="1"/>
  <c r="BP98" i="22"/>
  <c r="EG98" i="22"/>
  <c r="BT69" i="22"/>
  <c r="BZ69" i="22" s="1"/>
  <c r="CK69" i="22" s="1"/>
  <c r="BP69" i="22"/>
  <c r="CW74" i="22"/>
  <c r="DX74" i="22"/>
  <c r="DW74" i="22"/>
  <c r="EA74" i="22"/>
  <c r="DA74" i="22"/>
  <c r="CU74" i="22"/>
  <c r="DM76" i="22"/>
  <c r="CS76" i="22"/>
  <c r="DX76" i="22"/>
  <c r="DW76" i="22"/>
  <c r="CT76" i="22"/>
  <c r="CU76" i="22"/>
  <c r="EA76" i="22"/>
  <c r="EG82" i="22"/>
  <c r="BW82" i="22"/>
  <c r="ED82" i="22"/>
  <c r="EE82" i="22"/>
  <c r="EC82" i="22"/>
  <c r="DB82" i="22"/>
  <c r="CY82" i="22"/>
  <c r="DT82" i="22"/>
  <c r="EB82" i="22" s="1"/>
  <c r="EF82" i="22"/>
  <c r="BX87" i="22"/>
  <c r="CI87" i="22" s="1"/>
  <c r="DN87" i="22"/>
  <c r="BV97" i="22"/>
  <c r="DU97" i="22"/>
  <c r="EH97" i="22" s="1"/>
  <c r="BT97" i="22"/>
  <c r="CZ97" i="22"/>
  <c r="CT97" i="22"/>
  <c r="DU74" i="22"/>
  <c r="EH74" i="22" s="1"/>
  <c r="BT76" i="22"/>
  <c r="BZ76" i="22" s="1"/>
  <c r="CK76" i="22" s="1"/>
  <c r="BP76" i="22"/>
  <c r="DU76" i="22"/>
  <c r="EH76" i="22" s="1"/>
  <c r="DN79" i="22"/>
  <c r="BX79" i="22"/>
  <c r="CI79" i="22" s="1"/>
  <c r="EF81" i="22"/>
  <c r="ED81" i="22"/>
  <c r="EC81" i="22"/>
  <c r="DT81" i="22"/>
  <c r="EB81" i="22" s="1"/>
  <c r="EI81" i="22" s="1"/>
  <c r="EE81" i="22"/>
  <c r="CA82" i="22"/>
  <c r="CL82" i="22" s="1"/>
  <c r="CH82" i="22"/>
  <c r="BX86" i="22"/>
  <c r="CI86" i="22" s="1"/>
  <c r="CA87" i="22"/>
  <c r="CL87" i="22" s="1"/>
  <c r="CH87" i="22"/>
  <c r="DZ88" i="22"/>
  <c r="DW88" i="22"/>
  <c r="DY88" i="22"/>
  <c r="DX88" i="22"/>
  <c r="CW88" i="22"/>
  <c r="DN89" i="22"/>
  <c r="BX89" i="22"/>
  <c r="CI89" i="22" s="1"/>
  <c r="BR92" i="22"/>
  <c r="CE92" i="22" s="1"/>
  <c r="CC92" i="22"/>
  <c r="DT63" i="22"/>
  <c r="EB63" i="22" s="1"/>
  <c r="CW64" i="22"/>
  <c r="DC64" i="22"/>
  <c r="EF72" i="22"/>
  <c r="EE72" i="22"/>
  <c r="CV72" i="22"/>
  <c r="DB72" i="22"/>
  <c r="DY72" i="22"/>
  <c r="CW76" i="22"/>
  <c r="CY81" i="22"/>
  <c r="DD81" i="22" s="1"/>
  <c r="CZ84" i="22"/>
  <c r="CT84" i="22"/>
  <c r="CX84" i="22" s="1"/>
  <c r="DM88" i="22"/>
  <c r="BU88" i="22"/>
  <c r="DT75" i="22"/>
  <c r="EB75" i="22" s="1"/>
  <c r="DA81" i="22"/>
  <c r="DB84" i="22"/>
  <c r="CV84" i="22"/>
  <c r="DN88" i="22"/>
  <c r="EA88" i="22"/>
  <c r="EE89" i="22"/>
  <c r="BP89" i="22"/>
  <c r="EC89" i="22"/>
  <c r="EI89" i="22" s="1"/>
  <c r="CG98" i="22"/>
  <c r="BV62" i="22"/>
  <c r="CT75" i="22"/>
  <c r="DW77" i="22"/>
  <c r="CV77" i="22"/>
  <c r="CT77" i="22"/>
  <c r="DZ77" i="22"/>
  <c r="BW81" i="22"/>
  <c r="BY81" i="22" s="1"/>
  <c r="CJ81" i="22" s="1"/>
  <c r="BO88" i="22"/>
  <c r="CY94" i="22"/>
  <c r="CS94" i="22"/>
  <c r="CZ96" i="22"/>
  <c r="CT96" i="22"/>
  <c r="CX96" i="22" s="1"/>
  <c r="BS99" i="22"/>
  <c r="BO99" i="22"/>
  <c r="DJ101" i="22"/>
  <c r="EE59" i="22"/>
  <c r="EC59" i="22"/>
  <c r="BO61" i="22"/>
  <c r="DX73" i="22"/>
  <c r="CF74" i="22"/>
  <c r="DI74" i="22" s="1"/>
  <c r="BV76" i="22"/>
  <c r="DO76" i="22" s="1"/>
  <c r="BS77" i="22"/>
  <c r="EC79" i="22"/>
  <c r="DU83" i="22"/>
  <c r="EH83" i="22" s="1"/>
  <c r="BV83" i="22"/>
  <c r="BT83" i="22"/>
  <c r="BZ83" i="22" s="1"/>
  <c r="CK83" i="22" s="1"/>
  <c r="CC85" i="22"/>
  <c r="BQ101" i="22"/>
  <c r="CD101" i="22" s="1"/>
  <c r="DC60" i="22"/>
  <c r="DU63" i="22"/>
  <c r="EH63" i="22" s="1"/>
  <c r="BT71" i="22"/>
  <c r="BZ71" i="22" s="1"/>
  <c r="CK71" i="22" s="1"/>
  <c r="BW72" i="22"/>
  <c r="BY72" i="22" s="1"/>
  <c r="CJ72" i="22" s="1"/>
  <c r="CZ72" i="22"/>
  <c r="DP73" i="22"/>
  <c r="DM73" i="22"/>
  <c r="BU73" i="22"/>
  <c r="CY73" i="22"/>
  <c r="DD73" i="22" s="1"/>
  <c r="CS73" i="22"/>
  <c r="DY73" i="22"/>
  <c r="DB75" i="22"/>
  <c r="CV75" i="22"/>
  <c r="EG77" i="22"/>
  <c r="BW77" i="22"/>
  <c r="EE77" i="22"/>
  <c r="DT77" i="22"/>
  <c r="EB77" i="22" s="1"/>
  <c r="EF77" i="22"/>
  <c r="CZ77" i="22"/>
  <c r="ED77" i="22"/>
  <c r="EC77" i="22"/>
  <c r="BX88" i="22"/>
  <c r="CI88" i="22" s="1"/>
  <c r="DO90" i="22"/>
  <c r="BY90" i="22"/>
  <c r="CJ90" i="22" s="1"/>
  <c r="CG90" i="22"/>
  <c r="BU93" i="22"/>
  <c r="BS93" i="22"/>
  <c r="DT96" i="22"/>
  <c r="EB96" i="22" s="1"/>
  <c r="CB97" i="22"/>
  <c r="BQ97" i="22"/>
  <c r="CD97" i="22" s="1"/>
  <c r="BV81" i="22"/>
  <c r="DU81" i="22"/>
  <c r="EH81" i="22" s="1"/>
  <c r="BT87" i="22"/>
  <c r="BZ87" i="22" s="1"/>
  <c r="CK87" i="22" s="1"/>
  <c r="EE93" i="22"/>
  <c r="CZ93" i="22"/>
  <c r="EG93" i="22"/>
  <c r="EF93" i="22"/>
  <c r="ED93" i="22"/>
  <c r="EC93" i="22"/>
  <c r="DT93" i="22"/>
  <c r="EB93" i="22" s="1"/>
  <c r="CT94" i="22"/>
  <c r="BS76" i="22"/>
  <c r="DM91" i="22"/>
  <c r="DZ91" i="22"/>
  <c r="DP91" i="22"/>
  <c r="CV91" i="22"/>
  <c r="CU91" i="22"/>
  <c r="CT91" i="22"/>
  <c r="DU93" i="22"/>
  <c r="EH93" i="22" s="1"/>
  <c r="BV93" i="22"/>
  <c r="BT93" i="22"/>
  <c r="BZ93" i="22" s="1"/>
  <c r="CK93" i="22" s="1"/>
  <c r="CU94" i="22"/>
  <c r="CG97" i="22"/>
  <c r="BW97" i="22"/>
  <c r="BY97" i="22" s="1"/>
  <c r="CJ97" i="22" s="1"/>
  <c r="DB94" i="22"/>
  <c r="CV94" i="22"/>
  <c r="DK96" i="22"/>
  <c r="DX99" i="22"/>
  <c r="DY99" i="22"/>
  <c r="DW99" i="22"/>
  <c r="CU99" i="22"/>
  <c r="CS99" i="22"/>
  <c r="DP99" i="22"/>
  <c r="EA99" i="22"/>
  <c r="DZ99" i="22"/>
  <c r="DM99" i="22"/>
  <c r="BY101" i="22"/>
  <c r="CJ101" i="22" s="1"/>
  <c r="CG101" i="22"/>
  <c r="DW64" i="22"/>
  <c r="EC65" i="22"/>
  <c r="CT66" i="22"/>
  <c r="DW68" i="22"/>
  <c r="ED69" i="22"/>
  <c r="EC69" i="22"/>
  <c r="EG69" i="22"/>
  <c r="EF71" i="22"/>
  <c r="EE71" i="22"/>
  <c r="EC71" i="22"/>
  <c r="BV74" i="22"/>
  <c r="CW77" i="22"/>
  <c r="DB90" i="22"/>
  <c r="DJ92" i="22"/>
  <c r="CZ94" i="22"/>
  <c r="EG97" i="22"/>
  <c r="EF97" i="22"/>
  <c r="EE97" i="22"/>
  <c r="DC97" i="22"/>
  <c r="ED97" i="22"/>
  <c r="BP97" i="22"/>
  <c r="EC97" i="22"/>
  <c r="ED99" i="22"/>
  <c r="DT99" i="22"/>
  <c r="EB99" i="22" s="1"/>
  <c r="EC99" i="22"/>
  <c r="DA99" i="22"/>
  <c r="BV101" i="22"/>
  <c r="DO101" i="22" s="1"/>
  <c r="BX101" i="22"/>
  <c r="CI101" i="22" s="1"/>
  <c r="DY68" i="22"/>
  <c r="DC76" i="22"/>
  <c r="DA78" i="22"/>
  <c r="CF90" i="22"/>
  <c r="DI90" i="22" s="1"/>
  <c r="DZ90" i="22"/>
  <c r="DY90" i="22"/>
  <c r="DX90" i="22"/>
  <c r="CW90" i="22"/>
  <c r="DW90" i="22"/>
  <c r="EA90" i="22"/>
  <c r="DP90" i="22"/>
  <c r="DM90" i="22"/>
  <c r="BQ92" i="22"/>
  <c r="CD92" i="22" s="1"/>
  <c r="DK92" i="22" s="1"/>
  <c r="BS94" i="22"/>
  <c r="BU94" i="22"/>
  <c r="CF63" i="22"/>
  <c r="DI63" i="22" s="1"/>
  <c r="DW63" i="22"/>
  <c r="CF64" i="22"/>
  <c r="DI64" i="22" s="1"/>
  <c r="DZ64" i="22"/>
  <c r="DZ68" i="22"/>
  <c r="DW72" i="22"/>
  <c r="DP72" i="22"/>
  <c r="DQ72" i="22" s="1"/>
  <c r="DR72" i="22" s="1"/>
  <c r="BV75" i="22"/>
  <c r="DU75" i="22"/>
  <c r="EH75" i="22" s="1"/>
  <c r="CZ82" i="22"/>
  <c r="CT82" i="22"/>
  <c r="DN92" i="22"/>
  <c r="DA93" i="22"/>
  <c r="EC94" i="22"/>
  <c r="DT94" i="22"/>
  <c r="EB94" i="22" s="1"/>
  <c r="DC94" i="22"/>
  <c r="DA94" i="22"/>
  <c r="CC99" i="22"/>
  <c r="BR99" i="22"/>
  <c r="CE99" i="22" s="1"/>
  <c r="EF68" i="22"/>
  <c r="EE68" i="22"/>
  <c r="DB71" i="22"/>
  <c r="CA78" i="22"/>
  <c r="CL78" i="22" s="1"/>
  <c r="DC78" i="22"/>
  <c r="CY80" i="22"/>
  <c r="CS80" i="22"/>
  <c r="CX80" i="22" s="1"/>
  <c r="DA82" i="22"/>
  <c r="CU82" i="22"/>
  <c r="EF90" i="22"/>
  <c r="DT90" i="22"/>
  <c r="EB90" i="22" s="1"/>
  <c r="BW90" i="22"/>
  <c r="EC90" i="22"/>
  <c r="CG92" i="22"/>
  <c r="DO92" i="22"/>
  <c r="DB93" i="22"/>
  <c r="CV93" i="22"/>
  <c r="BP95" i="22"/>
  <c r="EC95" i="22"/>
  <c r="CY97" i="22"/>
  <c r="CS97" i="22"/>
  <c r="DC82" i="22"/>
  <c r="DT87" i="22"/>
  <c r="EB87" i="22" s="1"/>
  <c r="CT89" i="22"/>
  <c r="CX89" i="22" s="1"/>
  <c r="CZ89" i="22"/>
  <c r="DD89" i="22" s="1"/>
  <c r="DZ95" i="22"/>
  <c r="DN96" i="22"/>
  <c r="DD96" i="22"/>
  <c r="CV97" i="22"/>
  <c r="DB97" i="22"/>
  <c r="CY98" i="22"/>
  <c r="CY87" i="22"/>
  <c r="CS87" i="22"/>
  <c r="BV88" i="22"/>
  <c r="BQ95" i="22"/>
  <c r="CD95" i="22" s="1"/>
  <c r="CB95" i="22"/>
  <c r="DW97" i="22"/>
  <c r="DP97" i="22"/>
  <c r="CF97" i="22"/>
  <c r="DI97" i="22" s="1"/>
  <c r="DZ97" i="22"/>
  <c r="CW97" i="22"/>
  <c r="CT98" i="22"/>
  <c r="CZ98" i="22"/>
  <c r="DT83" i="22"/>
  <c r="EB83" i="22" s="1"/>
  <c r="CS85" i="22"/>
  <c r="DB89" i="22"/>
  <c r="DN91" i="22"/>
  <c r="DZ98" i="22"/>
  <c r="EA98" i="22"/>
  <c r="DY98" i="22"/>
  <c r="EI98" i="22" s="1"/>
  <c r="CZ85" i="22"/>
  <c r="CT85" i="22"/>
  <c r="EG89" i="22"/>
  <c r="ED95" i="22"/>
  <c r="BW96" i="22"/>
  <c r="BY96" i="22" s="1"/>
  <c r="CJ96" i="22" s="1"/>
  <c r="CV98" i="22"/>
  <c r="DB98" i="22"/>
  <c r="CX101" i="22"/>
  <c r="CU75" i="22"/>
  <c r="DZ75" i="22"/>
  <c r="DZ78" i="22"/>
  <c r="DP78" i="22"/>
  <c r="DW78" i="22"/>
  <c r="DM78" i="22"/>
  <c r="CT79" i="22"/>
  <c r="CX79" i="22" s="1"/>
  <c r="CZ79" i="22"/>
  <c r="BP82" i="22"/>
  <c r="BY85" i="22"/>
  <c r="CJ85" i="22" s="1"/>
  <c r="DW87" i="22"/>
  <c r="DP87" i="22"/>
  <c r="EA87" i="22"/>
  <c r="DZ87" i="22"/>
  <c r="DY87" i="22"/>
  <c r="CV87" i="22"/>
  <c r="DB87" i="22"/>
  <c r="BW91" i="22"/>
  <c r="BY91" i="22" s="1"/>
  <c r="CJ91" i="22" s="1"/>
  <c r="BX96" i="22"/>
  <c r="CI96" i="22" s="1"/>
  <c r="DC98" i="22"/>
  <c r="CZ101" i="22"/>
  <c r="CY78" i="22"/>
  <c r="EG79" i="22"/>
  <c r="EF79" i="22"/>
  <c r="ED79" i="22"/>
  <c r="DK81" i="22"/>
  <c r="BQ82" i="22"/>
  <c r="CD82" i="22" s="1"/>
  <c r="BW83" i="22"/>
  <c r="BY83" i="22" s="1"/>
  <c r="CJ83" i="22" s="1"/>
  <c r="DO83" i="22"/>
  <c r="BP84" i="22"/>
  <c r="EF84" i="22"/>
  <c r="EA85" i="22"/>
  <c r="DX85" i="22"/>
  <c r="CF85" i="22"/>
  <c r="DI85" i="22" s="1"/>
  <c r="DZ85" i="22"/>
  <c r="DY85" i="22"/>
  <c r="DW85" i="22"/>
  <c r="EI85" i="22" s="1"/>
  <c r="CU85" i="22"/>
  <c r="DB85" i="22"/>
  <c r="CV85" i="22"/>
  <c r="CG87" i="22"/>
  <c r="BY87" i="22"/>
  <c r="CJ87" i="22" s="1"/>
  <c r="DC87" i="22"/>
  <c r="CW87" i="22"/>
  <c r="BX91" i="22"/>
  <c r="CI91" i="22" s="1"/>
  <c r="DD91" i="22"/>
  <c r="EF95" i="22"/>
  <c r="DT95" i="22"/>
  <c r="EB95" i="22" s="1"/>
  <c r="CT95" i="22"/>
  <c r="EG95" i="22"/>
  <c r="BS98" i="22"/>
  <c r="CS98" i="22"/>
  <c r="EF75" i="22"/>
  <c r="DT78" i="22"/>
  <c r="EB78" i="22" s="1"/>
  <c r="DB79" i="22"/>
  <c r="DD79" i="22" s="1"/>
  <c r="CT83" i="22"/>
  <c r="DZ83" i="22"/>
  <c r="EI83" i="22" s="1"/>
  <c r="CU83" i="22"/>
  <c r="DP83" i="22"/>
  <c r="CV83" i="22"/>
  <c r="BW84" i="22"/>
  <c r="CW85" i="22"/>
  <c r="CT87" i="22"/>
  <c r="CV89" i="22"/>
  <c r="CU95" i="22"/>
  <c r="CA96" i="22"/>
  <c r="CL96" i="22" s="1"/>
  <c r="DT98" i="22"/>
  <c r="EB98" i="22" s="1"/>
  <c r="EF98" i="22"/>
  <c r="EE98" i="22"/>
  <c r="ED98" i="22"/>
  <c r="EC98" i="22"/>
  <c r="DA98" i="22"/>
  <c r="BW98" i="22"/>
  <c r="BY98" i="22" s="1"/>
  <c r="CJ98" i="22" s="1"/>
  <c r="CU98" i="22"/>
  <c r="DA100" i="22"/>
  <c r="EC75" i="22"/>
  <c r="CU78" i="22"/>
  <c r="DX78" i="22"/>
  <c r="DM81" i="22"/>
  <c r="BS83" i="22"/>
  <c r="BY84" i="22"/>
  <c r="CJ84" i="22" s="1"/>
  <c r="EF85" i="22"/>
  <c r="DT85" i="22"/>
  <c r="EB85" i="22" s="1"/>
  <c r="BW85" i="22"/>
  <c r="CY85" i="22"/>
  <c r="CU87" i="22"/>
  <c r="BQ89" i="22"/>
  <c r="CD89" i="22" s="1"/>
  <c r="CY90" i="22"/>
  <c r="CS90" i="22"/>
  <c r="BR91" i="22"/>
  <c r="CE91" i="22" s="1"/>
  <c r="BU95" i="22"/>
  <c r="CW95" i="22"/>
  <c r="DJ96" i="22"/>
  <c r="DU98" i="22"/>
  <c r="EH98" i="22" s="1"/>
  <c r="BU99" i="22"/>
  <c r="BW99" i="22" s="1"/>
  <c r="CT99" i="22"/>
  <c r="CA100" i="22"/>
  <c r="CL100" i="22" s="1"/>
  <c r="CH100" i="22"/>
  <c r="DB100" i="22"/>
  <c r="DC101" i="22"/>
  <c r="EA79" i="22"/>
  <c r="EI79" i="22" s="1"/>
  <c r="CU80" i="22"/>
  <c r="EE83" i="22"/>
  <c r="EA84" i="22"/>
  <c r="DT88" i="22"/>
  <c r="EB88" i="22" s="1"/>
  <c r="CU90" i="22"/>
  <c r="BP93" i="22"/>
  <c r="EA95" i="22"/>
  <c r="DX95" i="22"/>
  <c r="EI95" i="22" s="1"/>
  <c r="CF95" i="22"/>
  <c r="DI95" i="22" s="1"/>
  <c r="DP95" i="22"/>
  <c r="CT78" i="22"/>
  <c r="CF79" i="22"/>
  <c r="DI79" i="22" s="1"/>
  <c r="BV80" i="22"/>
  <c r="DC84" i="22"/>
  <c r="DD84" i="22" s="1"/>
  <c r="EE84" i="22"/>
  <c r="DY86" i="22"/>
  <c r="CF86" i="22"/>
  <c r="DI86" i="22" s="1"/>
  <c r="CT88" i="22"/>
  <c r="CF89" i="22"/>
  <c r="DI89" i="22" s="1"/>
  <c r="ED89" i="22"/>
  <c r="BV90" i="22"/>
  <c r="DU95" i="22"/>
  <c r="EH95" i="22" s="1"/>
  <c r="DM95" i="22"/>
  <c r="BV98" i="22"/>
  <c r="CW98" i="22"/>
  <c r="BV85" i="22"/>
  <c r="DU85" i="22"/>
  <c r="EH85" i="22" s="1"/>
  <c r="EF91" i="22"/>
  <c r="ED91" i="22"/>
  <c r="CZ95" i="22"/>
  <c r="DD95" i="22" s="1"/>
  <c r="DB99" i="22"/>
  <c r="EF100" i="22"/>
  <c r="BT81" i="22"/>
  <c r="BZ81" i="22" s="1"/>
  <c r="CK81" i="22" s="1"/>
  <c r="DZ84" i="22"/>
  <c r="DX84" i="22"/>
  <c r="EI84" i="22" s="1"/>
  <c r="CV88" i="22"/>
  <c r="EF89" i="22"/>
  <c r="BT91" i="22"/>
  <c r="CS91" i="22"/>
  <c r="DY96" i="22"/>
  <c r="EI96" i="22" s="1"/>
  <c r="CF96" i="22"/>
  <c r="DI96" i="22" s="1"/>
  <c r="CW99" i="22"/>
  <c r="DU100" i="22"/>
  <c r="EH100" i="22" s="1"/>
  <c r="BS84" i="22"/>
  <c r="BT86" i="22"/>
  <c r="DU86" i="22"/>
  <c r="EH86" i="22" s="1"/>
  <c r="EC87" i="22"/>
  <c r="DP92" i="22"/>
  <c r="DQ92" i="22" s="1"/>
  <c r="DR92" i="22" s="1"/>
  <c r="CV92" i="22"/>
  <c r="CX92" i="22" s="1"/>
  <c r="DX92" i="22"/>
  <c r="EI92" i="22" s="1"/>
  <c r="DB95" i="22"/>
  <c r="CV95" i="22"/>
  <c r="DU99" i="22"/>
  <c r="EH99" i="22" s="1"/>
  <c r="CZ100" i="22"/>
  <c r="DD100" i="22" s="1"/>
  <c r="CS81" i="22"/>
  <c r="CX81" i="22" s="1"/>
  <c r="BP83" i="22"/>
  <c r="EC84" i="22"/>
  <c r="BP88" i="22"/>
  <c r="CU100" i="22"/>
  <c r="DM101" i="22"/>
  <c r="DZ101" i="22"/>
  <c r="CZ86" i="22"/>
  <c r="EG92" i="22"/>
  <c r="BW92" i="22"/>
  <c r="BY92" i="22" s="1"/>
  <c r="CJ92" i="22" s="1"/>
  <c r="ED92" i="22"/>
  <c r="DB92" i="22"/>
  <c r="DD92" i="22" s="1"/>
  <c r="CA94" i="22"/>
  <c r="CL94" i="22" s="1"/>
  <c r="CS95" i="22"/>
  <c r="BT96" i="22"/>
  <c r="BZ96" i="22" s="1"/>
  <c r="CK96" i="22" s="1"/>
  <c r="DU96" i="22"/>
  <c r="EH96" i="22" s="1"/>
  <c r="DM96" i="22"/>
  <c r="DQ96" i="22" s="1"/>
  <c r="DR96" i="22" s="1"/>
  <c r="CV99" i="22"/>
  <c r="EU96" i="21"/>
  <c r="EU12" i="21"/>
  <c r="EU22" i="21"/>
  <c r="EU100" i="21"/>
  <c r="EU42" i="21"/>
  <c r="EU74" i="21"/>
  <c r="EU93" i="21"/>
  <c r="EU57" i="21"/>
  <c r="CP27" i="21"/>
  <c r="CY27" i="21" s="1"/>
  <c r="CR27" i="21"/>
  <c r="CZ46" i="21"/>
  <c r="CK46" i="21"/>
  <c r="CO46" i="21" s="1"/>
  <c r="CR19" i="21"/>
  <c r="CP19" i="21"/>
  <c r="CY19" i="21" s="1"/>
  <c r="CK17" i="21"/>
  <c r="CO17" i="21" s="1"/>
  <c r="CZ17" i="21"/>
  <c r="FU30" i="21"/>
  <c r="EK30" i="21"/>
  <c r="EM30" i="21" s="1"/>
  <c r="FX30" i="21" s="1"/>
  <c r="BV40" i="21"/>
  <c r="BX40" i="21" s="1"/>
  <c r="BY40" i="21" s="1"/>
  <c r="CC40" i="21"/>
  <c r="DK40" i="21" s="1"/>
  <c r="CB71" i="21"/>
  <c r="DJ71" i="21" s="1"/>
  <c r="EH2" i="21"/>
  <c r="CO5" i="21"/>
  <c r="CQ7" i="21"/>
  <c r="CZ12" i="21"/>
  <c r="CK12" i="21"/>
  <c r="CZ26" i="21"/>
  <c r="CK26" i="21"/>
  <c r="CO26" i="21" s="1"/>
  <c r="CA33" i="21"/>
  <c r="CE33" i="21" s="1"/>
  <c r="DM33" i="21" s="1"/>
  <c r="EI33" i="21"/>
  <c r="CS33" i="21"/>
  <c r="BW33" i="21"/>
  <c r="BZ33" i="21" s="1"/>
  <c r="BV2" i="21"/>
  <c r="BX2" i="21" s="1"/>
  <c r="BY2" i="21" s="1"/>
  <c r="CR7" i="21"/>
  <c r="EU10" i="21"/>
  <c r="EK23" i="21"/>
  <c r="EM23" i="21" s="1"/>
  <c r="FX23" i="21" s="1"/>
  <c r="CC28" i="21"/>
  <c r="DK28" i="21" s="1"/>
  <c r="BV28" i="21"/>
  <c r="BX28" i="21" s="1"/>
  <c r="BY28" i="21" s="1"/>
  <c r="EI2" i="21"/>
  <c r="CS2" i="21"/>
  <c r="BW2" i="21"/>
  <c r="BZ2" i="21" s="1"/>
  <c r="EJ5" i="21"/>
  <c r="EL5" i="21" s="1"/>
  <c r="FT5" i="21"/>
  <c r="FV5" i="21" s="1"/>
  <c r="CQ9" i="21"/>
  <c r="CR12" i="21"/>
  <c r="DC18" i="21"/>
  <c r="CA19" i="21"/>
  <c r="CE19" i="21" s="1"/>
  <c r="DM19" i="21" s="1"/>
  <c r="EI19" i="21"/>
  <c r="CS19" i="21"/>
  <c r="BW19" i="21"/>
  <c r="BZ19" i="21" s="1"/>
  <c r="CR26" i="21"/>
  <c r="CR32" i="21"/>
  <c r="CQ32" i="21"/>
  <c r="CP32" i="21"/>
  <c r="CY32" i="21" s="1"/>
  <c r="FV41" i="21"/>
  <c r="FY41" i="21" s="1"/>
  <c r="EJ3" i="21"/>
  <c r="EL3" i="21" s="1"/>
  <c r="FT3" i="21"/>
  <c r="EJ7" i="21"/>
  <c r="EL7" i="21" s="1"/>
  <c r="FT7" i="21"/>
  <c r="CO12" i="21"/>
  <c r="CZ14" i="21"/>
  <c r="CK14" i="21"/>
  <c r="CO14" i="21" s="1"/>
  <c r="CP14" i="21" s="1"/>
  <c r="CT18" i="21"/>
  <c r="DC27" i="21"/>
  <c r="CT27" i="21"/>
  <c r="DC32" i="21"/>
  <c r="CT32" i="21"/>
  <c r="EH43" i="21"/>
  <c r="CJ43" i="21"/>
  <c r="EX13" i="21"/>
  <c r="CQ14" i="21"/>
  <c r="EH15" i="21"/>
  <c r="CJ15" i="21"/>
  <c r="CB20" i="21"/>
  <c r="DJ20" i="21" s="1"/>
  <c r="CZ21" i="21"/>
  <c r="CK21" i="21"/>
  <c r="FT44" i="21"/>
  <c r="EJ44" i="21"/>
  <c r="EL44" i="21" s="1"/>
  <c r="CK85" i="21"/>
  <c r="CO85" i="21" s="1"/>
  <c r="CZ85" i="21"/>
  <c r="CC5" i="21"/>
  <c r="DK5" i="21" s="1"/>
  <c r="BV5" i="21"/>
  <c r="BX5" i="21" s="1"/>
  <c r="BY5" i="21" s="1"/>
  <c r="CP9" i="21"/>
  <c r="CR9" i="21"/>
  <c r="BY15" i="21"/>
  <c r="BV15" i="21"/>
  <c r="BX15" i="21" s="1"/>
  <c r="CC15" i="21"/>
  <c r="DK15" i="21" s="1"/>
  <c r="DC3" i="21"/>
  <c r="CT3" i="21"/>
  <c r="CC7" i="21"/>
  <c r="DK7" i="21" s="1"/>
  <c r="BV7" i="21"/>
  <c r="BX7" i="21" s="1"/>
  <c r="BY7" i="21" s="1"/>
  <c r="FT8" i="21"/>
  <c r="EJ8" i="21"/>
  <c r="EL8" i="21" s="1"/>
  <c r="CX9" i="21"/>
  <c r="CJ10" i="21"/>
  <c r="EH10" i="21"/>
  <c r="EI15" i="21"/>
  <c r="CS15" i="21"/>
  <c r="BW15" i="21"/>
  <c r="BZ15" i="21" s="1"/>
  <c r="CD15" i="21"/>
  <c r="DL15" i="21" s="1"/>
  <c r="CA15" i="21"/>
  <c r="CE15" i="21" s="1"/>
  <c r="DM15" i="21" s="1"/>
  <c r="EK16" i="21"/>
  <c r="EM16" i="21" s="1"/>
  <c r="FX16" i="21" s="1"/>
  <c r="BW20" i="21"/>
  <c r="BZ20" i="21" s="1"/>
  <c r="EI20" i="21"/>
  <c r="CC20" i="21"/>
  <c r="DK20" i="21" s="1"/>
  <c r="BY20" i="21"/>
  <c r="EH35" i="21"/>
  <c r="CB35" i="21"/>
  <c r="DJ35" i="21" s="1"/>
  <c r="CJ35" i="21"/>
  <c r="CO63" i="21"/>
  <c r="FW92" i="21"/>
  <c r="EH4" i="21"/>
  <c r="CJ4" i="21"/>
  <c r="EI7" i="21"/>
  <c r="CS7" i="21"/>
  <c r="CA7" i="21"/>
  <c r="CE7" i="21" s="1"/>
  <c r="DM7" i="21" s="1"/>
  <c r="BW7" i="21"/>
  <c r="BZ7" i="21" s="1"/>
  <c r="BV9" i="21"/>
  <c r="BX9" i="21" s="1"/>
  <c r="CC9" i="21"/>
  <c r="DK9" i="21" s="1"/>
  <c r="BY9" i="21"/>
  <c r="CY9" i="21"/>
  <c r="EZ13" i="21"/>
  <c r="FA13" i="21" s="1"/>
  <c r="BV20" i="21"/>
  <c r="BX20" i="21" s="1"/>
  <c r="CJ31" i="21"/>
  <c r="EH31" i="21"/>
  <c r="CB31" i="21"/>
  <c r="DJ31" i="21" s="1"/>
  <c r="EK50" i="21"/>
  <c r="EM50" i="21" s="1"/>
  <c r="FX50" i="21" s="1"/>
  <c r="FU50" i="21"/>
  <c r="CB51" i="21"/>
  <c r="DJ51" i="21" s="1"/>
  <c r="BV4" i="21"/>
  <c r="BX4" i="21" s="1"/>
  <c r="BY4" i="21" s="1"/>
  <c r="CO13" i="21"/>
  <c r="CP13" i="21" s="1"/>
  <c r="CY13" i="21" s="1"/>
  <c r="CB18" i="21"/>
  <c r="DJ18" i="21" s="1"/>
  <c r="EJ19" i="21"/>
  <c r="EL19" i="21" s="1"/>
  <c r="FT19" i="21"/>
  <c r="CK29" i="21"/>
  <c r="CZ29" i="21"/>
  <c r="FU38" i="21"/>
  <c r="EK38" i="21"/>
  <c r="EM38" i="21" s="1"/>
  <c r="FX38" i="21" s="1"/>
  <c r="CA2" i="21"/>
  <c r="CE2" i="21" s="1"/>
  <c r="DM2" i="21" s="1"/>
  <c r="BV10" i="21"/>
  <c r="BX10" i="21" s="1"/>
  <c r="BY10" i="21" s="1"/>
  <c r="CJ11" i="21"/>
  <c r="EH11" i="21"/>
  <c r="CZ23" i="21"/>
  <c r="EJ13" i="21"/>
  <c r="EL13" i="21" s="1"/>
  <c r="FT13" i="21"/>
  <c r="FV13" i="21" s="1"/>
  <c r="EH14" i="21"/>
  <c r="EI18" i="21"/>
  <c r="CA18" i="21"/>
  <c r="CE18" i="21" s="1"/>
  <c r="DM18" i="21" s="1"/>
  <c r="CC18" i="21"/>
  <c r="DK18" i="21" s="1"/>
  <c r="BV18" i="21"/>
  <c r="BX18" i="21" s="1"/>
  <c r="FW18" i="21"/>
  <c r="CP23" i="21"/>
  <c r="CX23" i="21" s="1"/>
  <c r="CR23" i="21"/>
  <c r="DC84" i="21"/>
  <c r="CT84" i="21"/>
  <c r="CC2" i="21"/>
  <c r="DK2" i="21" s="1"/>
  <c r="CB6" i="21"/>
  <c r="DJ6" i="21" s="1"/>
  <c r="DC10" i="21"/>
  <c r="CT10" i="21"/>
  <c r="CC13" i="21"/>
  <c r="DK13" i="21" s="1"/>
  <c r="BV13" i="21"/>
  <c r="BX13" i="21" s="1"/>
  <c r="BY13" i="21"/>
  <c r="CC14" i="21"/>
  <c r="DK14" i="21" s="1"/>
  <c r="BV14" i="21"/>
  <c r="BX14" i="21" s="1"/>
  <c r="BY14" i="21" s="1"/>
  <c r="CB15" i="21"/>
  <c r="DJ15" i="21" s="1"/>
  <c r="BW18" i="21"/>
  <c r="BZ18" i="21" s="1"/>
  <c r="EH21" i="21"/>
  <c r="CQ23" i="21"/>
  <c r="FW27" i="21"/>
  <c r="CA32" i="21"/>
  <c r="CE32" i="21" s="1"/>
  <c r="DM32" i="21" s="1"/>
  <c r="EI32" i="21"/>
  <c r="BW32" i="21"/>
  <c r="BZ32" i="21" s="1"/>
  <c r="FW24" i="21"/>
  <c r="FT30" i="21"/>
  <c r="FV30" i="21" s="1"/>
  <c r="EJ30" i="21"/>
  <c r="EL30" i="21" s="1"/>
  <c r="CD2" i="21"/>
  <c r="DL2" i="21" s="1"/>
  <c r="BV3" i="21"/>
  <c r="BX3" i="21" s="1"/>
  <c r="BY3" i="21" s="1"/>
  <c r="EK27" i="21"/>
  <c r="EM27" i="21" s="1"/>
  <c r="FX27" i="21" s="1"/>
  <c r="FU27" i="21"/>
  <c r="FV27" i="21" s="1"/>
  <c r="FY27" i="21" s="1"/>
  <c r="BV32" i="21"/>
  <c r="BX32" i="21" s="1"/>
  <c r="CK44" i="21"/>
  <c r="CO44" i="21" s="1"/>
  <c r="CZ44" i="21"/>
  <c r="CZ5" i="21"/>
  <c r="CK5" i="21"/>
  <c r="BV23" i="21"/>
  <c r="BX23" i="21" s="1"/>
  <c r="CC23" i="21"/>
  <c r="DK23" i="21" s="1"/>
  <c r="BY23" i="21"/>
  <c r="EU2" i="21"/>
  <c r="BW6" i="21"/>
  <c r="BZ6" i="21" s="1"/>
  <c r="CA6" i="21"/>
  <c r="CE6" i="21" s="1"/>
  <c r="DM6" i="21" s="1"/>
  <c r="CS6" i="21"/>
  <c r="CC6" i="21"/>
  <c r="DK6" i="21" s="1"/>
  <c r="BY6" i="21"/>
  <c r="CD7" i="21"/>
  <c r="DL7" i="21" s="1"/>
  <c r="EW9" i="21"/>
  <c r="CB12" i="21"/>
  <c r="DJ12" i="21" s="1"/>
  <c r="FT17" i="21"/>
  <c r="FV17" i="21" s="1"/>
  <c r="FY17" i="21" s="1"/>
  <c r="CZ28" i="21"/>
  <c r="CK28" i="21"/>
  <c r="CO28" i="21" s="1"/>
  <c r="CP28" i="21" s="1"/>
  <c r="CX28" i="21" s="1"/>
  <c r="CP36" i="21"/>
  <c r="CY36" i="21" s="1"/>
  <c r="EW36" i="21"/>
  <c r="FT16" i="21"/>
  <c r="FV16" i="21" s="1"/>
  <c r="EJ16" i="21"/>
  <c r="EL16" i="21" s="1"/>
  <c r="CQ28" i="21"/>
  <c r="EJ9" i="21"/>
  <c r="EL9" i="21" s="1"/>
  <c r="EJ12" i="21"/>
  <c r="EL12" i="21" s="1"/>
  <c r="FT12" i="21"/>
  <c r="CS20" i="21"/>
  <c r="CR28" i="21"/>
  <c r="CC34" i="21"/>
  <c r="DK34" i="21" s="1"/>
  <c r="BY34" i="21"/>
  <c r="BV34" i="21"/>
  <c r="BX34" i="21" s="1"/>
  <c r="CB41" i="21"/>
  <c r="DJ41" i="21" s="1"/>
  <c r="EW41" i="21"/>
  <c r="DC4" i="21"/>
  <c r="CT4" i="21"/>
  <c r="EK6" i="21"/>
  <c r="EM6" i="21" s="1"/>
  <c r="FX6" i="21" s="1"/>
  <c r="FW17" i="21"/>
  <c r="CQ19" i="21"/>
  <c r="EK24" i="21"/>
  <c r="EM24" i="21" s="1"/>
  <c r="FX24" i="21" s="1"/>
  <c r="CO33" i="21"/>
  <c r="CA34" i="21"/>
  <c r="CE34" i="21" s="1"/>
  <c r="DM34" i="21" s="1"/>
  <c r="EI34" i="21"/>
  <c r="CS34" i="21"/>
  <c r="BW34" i="21"/>
  <c r="BZ34" i="21" s="1"/>
  <c r="EU37" i="21"/>
  <c r="CB93" i="21"/>
  <c r="DJ93" i="21" s="1"/>
  <c r="EU4" i="21"/>
  <c r="BV8" i="21"/>
  <c r="BX8" i="21" s="1"/>
  <c r="BY8" i="21" s="1"/>
  <c r="EW29" i="21"/>
  <c r="CB32" i="21"/>
  <c r="DJ32" i="21" s="1"/>
  <c r="EW32" i="21"/>
  <c r="CA40" i="21"/>
  <c r="CE40" i="21" s="1"/>
  <c r="DM40" i="21" s="1"/>
  <c r="CS40" i="21"/>
  <c r="BW40" i="21"/>
  <c r="BZ40" i="21" s="1"/>
  <c r="EI40" i="21"/>
  <c r="CD40" i="21"/>
  <c r="DL40" i="21" s="1"/>
  <c r="CZ48" i="21"/>
  <c r="CK48" i="21"/>
  <c r="CO48" i="21" s="1"/>
  <c r="DC57" i="21"/>
  <c r="BY35" i="21"/>
  <c r="BV35" i="21"/>
  <c r="BX35" i="21" s="1"/>
  <c r="CC35" i="21"/>
  <c r="DK35" i="21" s="1"/>
  <c r="FU71" i="21"/>
  <c r="EK71" i="21"/>
  <c r="EM71" i="21" s="1"/>
  <c r="FX71" i="21" s="1"/>
  <c r="FY78" i="21"/>
  <c r="CC3" i="21"/>
  <c r="DK3" i="21" s="1"/>
  <c r="EU3" i="21"/>
  <c r="EI9" i="21"/>
  <c r="EI12" i="21"/>
  <c r="FT22" i="21"/>
  <c r="BY31" i="21"/>
  <c r="BV31" i="21"/>
  <c r="BX31" i="21" s="1"/>
  <c r="CA35" i="21"/>
  <c r="CE35" i="21" s="1"/>
  <c r="DM35" i="21" s="1"/>
  <c r="EI35" i="21"/>
  <c r="CS35" i="21"/>
  <c r="BW35" i="21"/>
  <c r="BZ35" i="21" s="1"/>
  <c r="CD35" i="21"/>
  <c r="DL35" i="21" s="1"/>
  <c r="CC41" i="21"/>
  <c r="DK41" i="21" s="1"/>
  <c r="BY41" i="21"/>
  <c r="EX71" i="21"/>
  <c r="CJ2" i="21"/>
  <c r="CO7" i="21"/>
  <c r="BW9" i="21"/>
  <c r="BZ9" i="21" s="1"/>
  <c r="BV12" i="21"/>
  <c r="BX12" i="21" s="1"/>
  <c r="CS12" i="21"/>
  <c r="CD19" i="21"/>
  <c r="DL19" i="21" s="1"/>
  <c r="BV21" i="21"/>
  <c r="BX21" i="21" s="1"/>
  <c r="BY21" i="21" s="1"/>
  <c r="BW26" i="21"/>
  <c r="BZ26" i="21" s="1"/>
  <c r="CS26" i="21"/>
  <c r="EI26" i="21"/>
  <c r="CX27" i="21"/>
  <c r="CR29" i="21"/>
  <c r="CY42" i="21"/>
  <c r="CA43" i="21"/>
  <c r="CE43" i="21" s="1"/>
  <c r="DM43" i="21" s="1"/>
  <c r="BW43" i="21"/>
  <c r="BZ43" i="21" s="1"/>
  <c r="CS43" i="21"/>
  <c r="EI43" i="21"/>
  <c r="FW85" i="21"/>
  <c r="CS9" i="21"/>
  <c r="BW12" i="21"/>
  <c r="BZ12" i="21" s="1"/>
  <c r="CC19" i="21"/>
  <c r="DK19" i="21" s="1"/>
  <c r="BY19" i="21"/>
  <c r="EI21" i="21"/>
  <c r="CS21" i="21"/>
  <c r="CA21" i="21"/>
  <c r="CE21" i="21" s="1"/>
  <c r="DM21" i="21" s="1"/>
  <c r="BW21" i="21"/>
  <c r="BZ21" i="21" s="1"/>
  <c r="BY22" i="21"/>
  <c r="BV22" i="21"/>
  <c r="BX22" i="21" s="1"/>
  <c r="CS24" i="21"/>
  <c r="EJ28" i="21"/>
  <c r="EL28" i="21" s="1"/>
  <c r="FT28" i="21"/>
  <c r="CO29" i="21"/>
  <c r="CP29" i="21" s="1"/>
  <c r="CK30" i="21"/>
  <c r="CZ30" i="21"/>
  <c r="CJ45" i="21"/>
  <c r="EH45" i="21"/>
  <c r="CK83" i="21"/>
  <c r="CO83" i="21" s="1"/>
  <c r="CQ13" i="21"/>
  <c r="DC25" i="21"/>
  <c r="CB27" i="21"/>
  <c r="DJ27" i="21" s="1"/>
  <c r="CK68" i="21"/>
  <c r="CO68" i="21" s="1"/>
  <c r="CZ68" i="21"/>
  <c r="CA13" i="21"/>
  <c r="CE13" i="21" s="1"/>
  <c r="DM13" i="21" s="1"/>
  <c r="BW13" i="21"/>
  <c r="BZ13" i="21" s="1"/>
  <c r="CB16" i="21"/>
  <c r="DJ16" i="21" s="1"/>
  <c r="BV19" i="21"/>
  <c r="BX19" i="21" s="1"/>
  <c r="CD23" i="21"/>
  <c r="DL23" i="21" s="1"/>
  <c r="CA23" i="21"/>
  <c r="CE23" i="21" s="1"/>
  <c r="DM23" i="21" s="1"/>
  <c r="CS23" i="21"/>
  <c r="BW23" i="21"/>
  <c r="BZ23" i="21" s="1"/>
  <c r="CY23" i="21"/>
  <c r="BV24" i="21"/>
  <c r="BX24" i="21" s="1"/>
  <c r="BV27" i="21"/>
  <c r="BX27" i="21" s="1"/>
  <c r="EJ32" i="21"/>
  <c r="EL32" i="21" s="1"/>
  <c r="DC45" i="21"/>
  <c r="CA57" i="21"/>
  <c r="CE57" i="21" s="1"/>
  <c r="DM57" i="21" s="1"/>
  <c r="EI57" i="21"/>
  <c r="BW57" i="21"/>
  <c r="BZ57" i="21" s="1"/>
  <c r="CC57" i="21"/>
  <c r="DK57" i="21" s="1"/>
  <c r="BY57" i="21"/>
  <c r="CA62" i="21"/>
  <c r="CE62" i="21" s="1"/>
  <c r="DM62" i="21" s="1"/>
  <c r="CS62" i="21"/>
  <c r="BW62" i="21"/>
  <c r="BZ62" i="21" s="1"/>
  <c r="EI62" i="21"/>
  <c r="CD62" i="21"/>
  <c r="DL62" i="21" s="1"/>
  <c r="EH98" i="21"/>
  <c r="BX98" i="21"/>
  <c r="BY98" i="21" s="1"/>
  <c r="CJ3" i="21"/>
  <c r="CB7" i="21"/>
  <c r="DJ7" i="21" s="1"/>
  <c r="CC11" i="21"/>
  <c r="DK11" i="21" s="1"/>
  <c r="EI11" i="21"/>
  <c r="BY12" i="21"/>
  <c r="BW24" i="21"/>
  <c r="BZ24" i="21" s="1"/>
  <c r="CA28" i="21"/>
  <c r="CE28" i="21" s="1"/>
  <c r="DM28" i="21" s="1"/>
  <c r="EI28" i="21"/>
  <c r="CS28" i="21"/>
  <c r="CD28" i="21"/>
  <c r="DL28" i="21" s="1"/>
  <c r="BW28" i="21"/>
  <c r="BZ28" i="21" s="1"/>
  <c r="CX29" i="21"/>
  <c r="BV30" i="21"/>
  <c r="BX30" i="21" s="1"/>
  <c r="BY30" i="21" s="1"/>
  <c r="CC30" i="21"/>
  <c r="DK30" i="21" s="1"/>
  <c r="CD34" i="21"/>
  <c r="DL34" i="21" s="1"/>
  <c r="CZ36" i="21"/>
  <c r="BY55" i="21"/>
  <c r="BV55" i="21"/>
  <c r="BX55" i="21" s="1"/>
  <c r="CC55" i="21"/>
  <c r="DK55" i="21" s="1"/>
  <c r="CJ8" i="21"/>
  <c r="CA9" i="21"/>
  <c r="CE9" i="21" s="1"/>
  <c r="DM9" i="21" s="1"/>
  <c r="BV11" i="21"/>
  <c r="BX11" i="21" s="1"/>
  <c r="CS11" i="21"/>
  <c r="CB14" i="21"/>
  <c r="DJ14" i="21" s="1"/>
  <c r="BY27" i="21"/>
  <c r="CY28" i="21"/>
  <c r="CY29" i="21"/>
  <c r="CO30" i="21"/>
  <c r="DC31" i="21"/>
  <c r="CT31" i="21"/>
  <c r="DC38" i="21"/>
  <c r="EJ48" i="21"/>
  <c r="EL48" i="21" s="1"/>
  <c r="FT48" i="21"/>
  <c r="EI55" i="21"/>
  <c r="CS55" i="21"/>
  <c r="BW55" i="21"/>
  <c r="BZ55" i="21" s="1"/>
  <c r="CD55" i="21"/>
  <c r="DL55" i="21" s="1"/>
  <c r="CA55" i="21"/>
  <c r="CE55" i="21" s="1"/>
  <c r="DM55" i="21" s="1"/>
  <c r="CT60" i="21"/>
  <c r="DC60" i="21"/>
  <c r="EK65" i="21"/>
  <c r="EM65" i="21" s="1"/>
  <c r="FX65" i="21" s="1"/>
  <c r="FU65" i="21"/>
  <c r="FV65" i="21" s="1"/>
  <c r="FY65" i="21" s="1"/>
  <c r="EI8" i="21"/>
  <c r="CS8" i="21"/>
  <c r="BW8" i="21"/>
  <c r="BZ8" i="21" s="1"/>
  <c r="BW11" i="21"/>
  <c r="BZ11" i="21" s="1"/>
  <c r="BV17" i="21"/>
  <c r="BX17" i="21" s="1"/>
  <c r="BY17" i="21" s="1"/>
  <c r="CS17" i="21"/>
  <c r="BY24" i="21"/>
  <c r="EH29" i="21"/>
  <c r="CB29" i="21"/>
  <c r="DJ29" i="21" s="1"/>
  <c r="EU30" i="21"/>
  <c r="EJ33" i="21"/>
  <c r="EL33" i="21" s="1"/>
  <c r="FT33" i="21"/>
  <c r="CQ36" i="21"/>
  <c r="CT38" i="21"/>
  <c r="CC42" i="21"/>
  <c r="DK42" i="21" s="1"/>
  <c r="BY42" i="21"/>
  <c r="CQ58" i="21"/>
  <c r="BV60" i="21"/>
  <c r="BX60" i="21" s="1"/>
  <c r="FW65" i="21"/>
  <c r="EI73" i="21"/>
  <c r="CS73" i="21"/>
  <c r="EI4" i="21"/>
  <c r="DC16" i="21"/>
  <c r="BW17" i="21"/>
  <c r="BZ17" i="21" s="1"/>
  <c r="CK18" i="21"/>
  <c r="CO18" i="21" s="1"/>
  <c r="CC22" i="21"/>
  <c r="DK22" i="21" s="1"/>
  <c r="BV29" i="21"/>
  <c r="BX29" i="21" s="1"/>
  <c r="BY29" i="21" s="1"/>
  <c r="CC29" i="21"/>
  <c r="DK29" i="21" s="1"/>
  <c r="CR36" i="21"/>
  <c r="FV38" i="21"/>
  <c r="FY38" i="21" s="1"/>
  <c r="CD43" i="21"/>
  <c r="DL43" i="21" s="1"/>
  <c r="EJ49" i="21"/>
  <c r="EL49" i="21" s="1"/>
  <c r="BY60" i="21"/>
  <c r="DC61" i="21"/>
  <c r="BY11" i="21"/>
  <c r="CB13" i="21"/>
  <c r="DJ13" i="21" s="1"/>
  <c r="EW23" i="21"/>
  <c r="BV26" i="21"/>
  <c r="BX26" i="21" s="1"/>
  <c r="BY26" i="21" s="1"/>
  <c r="EI29" i="21"/>
  <c r="CS29" i="21"/>
  <c r="BW29" i="21"/>
  <c r="BZ29" i="21" s="1"/>
  <c r="CD29" i="21"/>
  <c r="DL29" i="21" s="1"/>
  <c r="CA29" i="21"/>
  <c r="CE29" i="21" s="1"/>
  <c r="DM29" i="21" s="1"/>
  <c r="DC30" i="21"/>
  <c r="CC31" i="21"/>
  <c r="DK31" i="21" s="1"/>
  <c r="CZ33" i="21"/>
  <c r="BV38" i="21"/>
  <c r="BX38" i="21" s="1"/>
  <c r="CC38" i="21"/>
  <c r="DK38" i="21" s="1"/>
  <c r="BY38" i="21"/>
  <c r="CB53" i="21"/>
  <c r="DJ53" i="21" s="1"/>
  <c r="CO58" i="21"/>
  <c r="CZ59" i="21"/>
  <c r="CK59" i="21"/>
  <c r="BW4" i="21"/>
  <c r="BZ4" i="21" s="1"/>
  <c r="EH6" i="21"/>
  <c r="CJ6" i="21"/>
  <c r="CC21" i="21"/>
  <c r="DK21" i="21" s="1"/>
  <c r="CA26" i="21"/>
  <c r="CE26" i="21" s="1"/>
  <c r="DM26" i="21" s="1"/>
  <c r="EW28" i="21"/>
  <c r="CB28" i="21"/>
  <c r="DJ28" i="21" s="1"/>
  <c r="CT30" i="21"/>
  <c r="CK33" i="21"/>
  <c r="FW37" i="21"/>
  <c r="BV39" i="21"/>
  <c r="BX39" i="21" s="1"/>
  <c r="BY39" i="21" s="1"/>
  <c r="CC39" i="21"/>
  <c r="DK39" i="21" s="1"/>
  <c r="FU41" i="21"/>
  <c r="EJ42" i="21"/>
  <c r="EL42" i="21" s="1"/>
  <c r="FW55" i="21"/>
  <c r="CK38" i="21"/>
  <c r="CO38" i="21" s="1"/>
  <c r="CZ38" i="21"/>
  <c r="CC43" i="21"/>
  <c r="DK43" i="21" s="1"/>
  <c r="BV43" i="21"/>
  <c r="BX43" i="21" s="1"/>
  <c r="BY43" i="21" s="1"/>
  <c r="EH46" i="21"/>
  <c r="EI3" i="21"/>
  <c r="EW13" i="21"/>
  <c r="BV16" i="21"/>
  <c r="BX16" i="21" s="1"/>
  <c r="BY16" i="21" s="1"/>
  <c r="CD21" i="21"/>
  <c r="DL21" i="21" s="1"/>
  <c r="EW34" i="21"/>
  <c r="EK52" i="21"/>
  <c r="EM52" i="21" s="1"/>
  <c r="FX52" i="21" s="1"/>
  <c r="FU52" i="21"/>
  <c r="FV52" i="21" s="1"/>
  <c r="FY52" i="21" s="1"/>
  <c r="CZ58" i="21"/>
  <c r="BY73" i="21"/>
  <c r="CZ94" i="21"/>
  <c r="CA14" i="21"/>
  <c r="CE14" i="21" s="1"/>
  <c r="DM14" i="21" s="1"/>
  <c r="EI14" i="21"/>
  <c r="CS14" i="21"/>
  <c r="BW14" i="21"/>
  <c r="BZ14" i="21" s="1"/>
  <c r="EJ36" i="21"/>
  <c r="EL36" i="21" s="1"/>
  <c r="FT36" i="21"/>
  <c r="DC49" i="21"/>
  <c r="CT49" i="21"/>
  <c r="CJ16" i="21"/>
  <c r="CA20" i="21"/>
  <c r="CE20" i="21" s="1"/>
  <c r="DM20" i="21" s="1"/>
  <c r="EH23" i="21"/>
  <c r="FV24" i="21"/>
  <c r="CJ25" i="21"/>
  <c r="EH25" i="21"/>
  <c r="CJ40" i="21"/>
  <c r="EH40" i="21"/>
  <c r="CB40" i="21"/>
  <c r="DJ40" i="21" s="1"/>
  <c r="FW52" i="21"/>
  <c r="CC72" i="21"/>
  <c r="DK72" i="21" s="1"/>
  <c r="BY72" i="21"/>
  <c r="CO21" i="21"/>
  <c r="EI31" i="21"/>
  <c r="CD33" i="21"/>
  <c r="DL33" i="21" s="1"/>
  <c r="BY37" i="21"/>
  <c r="CC46" i="21"/>
  <c r="DK46" i="21" s="1"/>
  <c r="BY46" i="21"/>
  <c r="BV46" i="21"/>
  <c r="BX46" i="21" s="1"/>
  <c r="EU48" i="21"/>
  <c r="CJ24" i="21"/>
  <c r="CC33" i="21"/>
  <c r="DK33" i="21" s="1"/>
  <c r="BY33" i="21"/>
  <c r="CC36" i="21"/>
  <c r="DK36" i="21" s="1"/>
  <c r="BV36" i="21"/>
  <c r="BX36" i="21" s="1"/>
  <c r="BY36" i="21" s="1"/>
  <c r="FT57" i="21"/>
  <c r="EJ57" i="21"/>
  <c r="EL57" i="21" s="1"/>
  <c r="EJ70" i="21"/>
  <c r="EL70" i="21" s="1"/>
  <c r="FT70" i="21"/>
  <c r="CA36" i="21"/>
  <c r="CE36" i="21" s="1"/>
  <c r="DM36" i="21" s="1"/>
  <c r="BW36" i="21"/>
  <c r="BZ36" i="21" s="1"/>
  <c r="CS36" i="21"/>
  <c r="EI36" i="21"/>
  <c r="BV44" i="21"/>
  <c r="BX44" i="21" s="1"/>
  <c r="BY44" i="21" s="1"/>
  <c r="DC63" i="21"/>
  <c r="CT90" i="21"/>
  <c r="DC90" i="21"/>
  <c r="FY92" i="21"/>
  <c r="CB21" i="21"/>
  <c r="DJ21" i="21" s="1"/>
  <c r="CD26" i="21"/>
  <c r="DL26" i="21" s="1"/>
  <c r="CR41" i="21"/>
  <c r="EI42" i="21"/>
  <c r="CS42" i="21"/>
  <c r="CA42" i="21"/>
  <c r="CE42" i="21" s="1"/>
  <c r="DM42" i="21" s="1"/>
  <c r="EK45" i="21"/>
  <c r="EM45" i="21" s="1"/>
  <c r="FX45" i="21" s="1"/>
  <c r="FU45" i="21"/>
  <c r="CT47" i="21"/>
  <c r="CT52" i="21"/>
  <c r="EH53" i="21"/>
  <c r="CJ53" i="21"/>
  <c r="EJ58" i="21"/>
  <c r="EL58" i="21" s="1"/>
  <c r="FT58" i="21"/>
  <c r="FV58" i="21" s="1"/>
  <c r="EI69" i="21"/>
  <c r="CA69" i="21"/>
  <c r="CE69" i="21" s="1"/>
  <c r="DM69" i="21" s="1"/>
  <c r="CS69" i="21"/>
  <c r="CC69" i="21"/>
  <c r="DK69" i="21" s="1"/>
  <c r="CJ22" i="21"/>
  <c r="BV45" i="21"/>
  <c r="BX45" i="21" s="1"/>
  <c r="BV50" i="21"/>
  <c r="BX50" i="21" s="1"/>
  <c r="BY50" i="21" s="1"/>
  <c r="CC53" i="21"/>
  <c r="DK53" i="21" s="1"/>
  <c r="BV53" i="21"/>
  <c r="BX53" i="21" s="1"/>
  <c r="BY53" i="21" s="1"/>
  <c r="BV69" i="21"/>
  <c r="BX69" i="21" s="1"/>
  <c r="BY69" i="21" s="1"/>
  <c r="FT79" i="21"/>
  <c r="EJ79" i="21"/>
  <c r="EL79" i="21" s="1"/>
  <c r="CB95" i="21"/>
  <c r="DJ95" i="21" s="1"/>
  <c r="FT97" i="21"/>
  <c r="EJ97" i="21"/>
  <c r="EL97" i="21" s="1"/>
  <c r="EI22" i="21"/>
  <c r="CS22" i="21"/>
  <c r="BW22" i="21"/>
  <c r="BZ22" i="21" s="1"/>
  <c r="CQ34" i="21"/>
  <c r="CC37" i="21"/>
  <c r="DK37" i="21" s="1"/>
  <c r="CB38" i="21"/>
  <c r="DJ38" i="21" s="1"/>
  <c r="BW45" i="21"/>
  <c r="BZ45" i="21" s="1"/>
  <c r="CA53" i="21"/>
  <c r="CE53" i="21" s="1"/>
  <c r="DM53" i="21" s="1"/>
  <c r="EI53" i="21"/>
  <c r="CS53" i="21"/>
  <c r="BW53" i="21"/>
  <c r="BZ53" i="21" s="1"/>
  <c r="BW69" i="21"/>
  <c r="BZ69" i="21" s="1"/>
  <c r="EJ74" i="21"/>
  <c r="EL74" i="21" s="1"/>
  <c r="FT74" i="21"/>
  <c r="FU79" i="21"/>
  <c r="EK79" i="21"/>
  <c r="EM79" i="21" s="1"/>
  <c r="FX79" i="21" s="1"/>
  <c r="EH90" i="21"/>
  <c r="CJ90" i="21"/>
  <c r="CB90" i="21"/>
  <c r="DJ90" i="21" s="1"/>
  <c r="CC90" i="21"/>
  <c r="DK90" i="21" s="1"/>
  <c r="CC25" i="21"/>
  <c r="DK25" i="21" s="1"/>
  <c r="CQ27" i="21"/>
  <c r="CR34" i="21"/>
  <c r="CB46" i="21"/>
  <c r="DJ46" i="21" s="1"/>
  <c r="CB63" i="21"/>
  <c r="DJ63" i="21" s="1"/>
  <c r="CC74" i="21"/>
  <c r="DK74" i="21" s="1"/>
  <c r="BY74" i="21"/>
  <c r="BV74" i="21"/>
  <c r="BX74" i="21" s="1"/>
  <c r="CZ96" i="21"/>
  <c r="BV25" i="21"/>
  <c r="BX25" i="21" s="1"/>
  <c r="BY25" i="21" s="1"/>
  <c r="EI25" i="21"/>
  <c r="CA27" i="21"/>
  <c r="CE27" i="21" s="1"/>
  <c r="DM27" i="21" s="1"/>
  <c r="BW27" i="21"/>
  <c r="BZ27" i="21" s="1"/>
  <c r="EX27" i="21" s="1"/>
  <c r="BW38" i="21"/>
  <c r="BZ38" i="21" s="1"/>
  <c r="CA41" i="21"/>
  <c r="CE41" i="21" s="1"/>
  <c r="DM41" i="21" s="1"/>
  <c r="CS41" i="21"/>
  <c r="BW41" i="21"/>
  <c r="BZ41" i="21" s="1"/>
  <c r="BY45" i="21"/>
  <c r="BY48" i="21"/>
  <c r="CC48" i="21"/>
  <c r="DK48" i="21" s="1"/>
  <c r="BV48" i="21"/>
  <c r="BX48" i="21" s="1"/>
  <c r="CJ50" i="21"/>
  <c r="EH50" i="21"/>
  <c r="BW50" i="21"/>
  <c r="BZ50" i="21" s="1"/>
  <c r="EU53" i="21"/>
  <c r="CC62" i="21"/>
  <c r="DK62" i="21" s="1"/>
  <c r="CB62" i="21"/>
  <c r="DJ62" i="21" s="1"/>
  <c r="EH62" i="21"/>
  <c r="CJ62" i="21"/>
  <c r="CB73" i="21"/>
  <c r="DJ73" i="21" s="1"/>
  <c r="EW73" i="21"/>
  <c r="CA74" i="21"/>
  <c r="CE74" i="21" s="1"/>
  <c r="DM74" i="21" s="1"/>
  <c r="EI74" i="21"/>
  <c r="CS74" i="21"/>
  <c r="BW74" i="21"/>
  <c r="BZ74" i="21" s="1"/>
  <c r="CK96" i="21"/>
  <c r="CO96" i="21" s="1"/>
  <c r="FU98" i="21"/>
  <c r="EK98" i="21"/>
  <c r="EM98" i="21" s="1"/>
  <c r="FX98" i="21" s="1"/>
  <c r="EH20" i="21"/>
  <c r="CJ20" i="21"/>
  <c r="BW25" i="21"/>
  <c r="BZ25" i="21" s="1"/>
  <c r="FW34" i="21"/>
  <c r="EH39" i="21"/>
  <c r="CJ39" i="21"/>
  <c r="CX41" i="21"/>
  <c r="CB42" i="21"/>
  <c r="DJ42" i="21" s="1"/>
  <c r="EW42" i="21"/>
  <c r="CX42" i="21"/>
  <c r="CB43" i="21"/>
  <c r="DJ43" i="21" s="1"/>
  <c r="BW44" i="21"/>
  <c r="BZ44" i="21" s="1"/>
  <c r="EI44" i="21"/>
  <c r="EI48" i="21"/>
  <c r="CS48" i="21"/>
  <c r="BW48" i="21"/>
  <c r="BZ48" i="21" s="1"/>
  <c r="CA48" i="21"/>
  <c r="CE48" i="21" s="1"/>
  <c r="DM48" i="21" s="1"/>
  <c r="EH51" i="21"/>
  <c r="EI63" i="21"/>
  <c r="CA63" i="21"/>
  <c r="CE63" i="21" s="1"/>
  <c r="DM63" i="21" s="1"/>
  <c r="CC63" i="21"/>
  <c r="DK63" i="21" s="1"/>
  <c r="BY63" i="21"/>
  <c r="CO64" i="21"/>
  <c r="CQ70" i="21"/>
  <c r="BW93" i="21"/>
  <c r="BZ93" i="21" s="1"/>
  <c r="CS93" i="21"/>
  <c r="EI93" i="21"/>
  <c r="CC93" i="21"/>
  <c r="DK93" i="21" s="1"/>
  <c r="BV93" i="21"/>
  <c r="BX93" i="21" s="1"/>
  <c r="BY93" i="21" s="1"/>
  <c r="CB36" i="21"/>
  <c r="DJ36" i="21" s="1"/>
  <c r="EX52" i="21"/>
  <c r="EU54" i="21"/>
  <c r="CC59" i="21"/>
  <c r="DK59" i="21" s="1"/>
  <c r="BY59" i="21"/>
  <c r="CC61" i="21"/>
  <c r="DK61" i="21" s="1"/>
  <c r="BV61" i="21"/>
  <c r="BX61" i="21" s="1"/>
  <c r="BY61" i="21" s="1"/>
  <c r="EH68" i="21"/>
  <c r="CB68" i="21"/>
  <c r="DJ68" i="21" s="1"/>
  <c r="CR70" i="21"/>
  <c r="CZ81" i="21"/>
  <c r="CD36" i="21"/>
  <c r="DL36" i="21" s="1"/>
  <c r="EJ47" i="21"/>
  <c r="EL47" i="21" s="1"/>
  <c r="FT47" i="21"/>
  <c r="FV47" i="21" s="1"/>
  <c r="BW61" i="21"/>
  <c r="BZ61" i="21" s="1"/>
  <c r="EI61" i="21"/>
  <c r="CD61" i="21"/>
  <c r="DL61" i="21" s="1"/>
  <c r="CA61" i="21"/>
  <c r="CE61" i="21" s="1"/>
  <c r="DM61" i="21" s="1"/>
  <c r="BV68" i="21"/>
  <c r="BX68" i="21" s="1"/>
  <c r="BY68" i="21"/>
  <c r="CC68" i="21"/>
  <c r="DK68" i="21" s="1"/>
  <c r="CK81" i="21"/>
  <c r="CB87" i="21"/>
  <c r="DJ87" i="21" s="1"/>
  <c r="CO94" i="21"/>
  <c r="CJ37" i="21"/>
  <c r="DC44" i="21"/>
  <c r="CT44" i="21"/>
  <c r="CT50" i="21"/>
  <c r="CK70" i="21"/>
  <c r="CO70" i="21" s="1"/>
  <c r="CZ70" i="21"/>
  <c r="FU97" i="21"/>
  <c r="EK97" i="21"/>
  <c r="EM97" i="21" s="1"/>
  <c r="FX97" i="21" s="1"/>
  <c r="CX36" i="21"/>
  <c r="CA37" i="21"/>
  <c r="CE37" i="21" s="1"/>
  <c r="DM37" i="21" s="1"/>
  <c r="EI37" i="21"/>
  <c r="CS37" i="21"/>
  <c r="EK47" i="21"/>
  <c r="EM47" i="21" s="1"/>
  <c r="FX47" i="21" s="1"/>
  <c r="FW63" i="21"/>
  <c r="CC87" i="21"/>
  <c r="DK87" i="21" s="1"/>
  <c r="BY87" i="21"/>
  <c r="BV87" i="21"/>
  <c r="BX87" i="21" s="1"/>
  <c r="FT91" i="21"/>
  <c r="FV91" i="21" s="1"/>
  <c r="EJ91" i="21"/>
  <c r="EL91" i="21" s="1"/>
  <c r="CB82" i="21"/>
  <c r="DJ82" i="21" s="1"/>
  <c r="EW82" i="21"/>
  <c r="FW86" i="21"/>
  <c r="BV92" i="21"/>
  <c r="BX92" i="21" s="1"/>
  <c r="BY92" i="21" s="1"/>
  <c r="CC47" i="21"/>
  <c r="DK47" i="21" s="1"/>
  <c r="BV47" i="21"/>
  <c r="BX47" i="21" s="1"/>
  <c r="BY47" i="21" s="1"/>
  <c r="CO47" i="21"/>
  <c r="CJ49" i="21"/>
  <c r="CB49" i="21"/>
  <c r="DJ49" i="21" s="1"/>
  <c r="CK51" i="21"/>
  <c r="CO51" i="21" s="1"/>
  <c r="CZ51" i="21"/>
  <c r="CY54" i="21"/>
  <c r="CX54" i="21"/>
  <c r="CR65" i="21"/>
  <c r="CJ77" i="21"/>
  <c r="CC77" i="21"/>
  <c r="DK77" i="21" s="1"/>
  <c r="CB77" i="21"/>
  <c r="DJ77" i="21" s="1"/>
  <c r="EH77" i="21"/>
  <c r="CB45" i="21"/>
  <c r="DJ45" i="21" s="1"/>
  <c r="BV49" i="21"/>
  <c r="BX49" i="21" s="1"/>
  <c r="BY49" i="21" s="1"/>
  <c r="CQ54" i="21"/>
  <c r="CB61" i="21"/>
  <c r="DJ61" i="21" s="1"/>
  <c r="BX62" i="21"/>
  <c r="BY62" i="21" s="1"/>
  <c r="EW67" i="21"/>
  <c r="FU68" i="21"/>
  <c r="EK68" i="21"/>
  <c r="EM68" i="21" s="1"/>
  <c r="FX68" i="21" s="1"/>
  <c r="CT71" i="21"/>
  <c r="DC71" i="21"/>
  <c r="CO76" i="21"/>
  <c r="CX88" i="21"/>
  <c r="CY88" i="21"/>
  <c r="BW49" i="21"/>
  <c r="BZ49" i="21" s="1"/>
  <c r="CA49" i="21"/>
  <c r="CE49" i="21" s="1"/>
  <c r="DM49" i="21" s="1"/>
  <c r="CK76" i="21"/>
  <c r="CZ76" i="21"/>
  <c r="CR54" i="21"/>
  <c r="CJ56" i="21"/>
  <c r="EH56" i="21"/>
  <c r="EH72" i="21"/>
  <c r="CJ72" i="21"/>
  <c r="CC51" i="21"/>
  <c r="DK51" i="21" s="1"/>
  <c r="CS51" i="21"/>
  <c r="EH54" i="21"/>
  <c r="BV56" i="21"/>
  <c r="BX56" i="21" s="1"/>
  <c r="BY56" i="21" s="1"/>
  <c r="EI76" i="21"/>
  <c r="CS76" i="21"/>
  <c r="BW76" i="21"/>
  <c r="BZ76" i="21" s="1"/>
  <c r="CD76" i="21"/>
  <c r="DL76" i="21" s="1"/>
  <c r="CA76" i="21"/>
  <c r="CE76" i="21" s="1"/>
  <c r="DM76" i="21" s="1"/>
  <c r="BV51" i="21"/>
  <c r="BX51" i="21" s="1"/>
  <c r="BV54" i="21"/>
  <c r="BX54" i="21" s="1"/>
  <c r="BY54" i="21" s="1"/>
  <c r="FW64" i="21"/>
  <c r="FY64" i="21" s="1"/>
  <c r="CS65" i="21"/>
  <c r="CA72" i="21"/>
  <c r="CE72" i="21" s="1"/>
  <c r="DM72" i="21" s="1"/>
  <c r="CS72" i="21"/>
  <c r="BW72" i="21"/>
  <c r="BZ72" i="21" s="1"/>
  <c r="EI72" i="21"/>
  <c r="CZ75" i="21"/>
  <c r="CK89" i="21"/>
  <c r="CO89" i="21" s="1"/>
  <c r="CZ89" i="21"/>
  <c r="EI46" i="21"/>
  <c r="CS46" i="21"/>
  <c r="BW51" i="21"/>
  <c r="BZ51" i="21" s="1"/>
  <c r="CA54" i="21"/>
  <c r="CE54" i="21" s="1"/>
  <c r="DM54" i="21" s="1"/>
  <c r="EI54" i="21"/>
  <c r="CS54" i="21"/>
  <c r="BW54" i="21"/>
  <c r="BZ54" i="21" s="1"/>
  <c r="EK56" i="21"/>
  <c r="EM56" i="21" s="1"/>
  <c r="FX56" i="21" s="1"/>
  <c r="CK66" i="21"/>
  <c r="CO66" i="21" s="1"/>
  <c r="CK75" i="21"/>
  <c r="CO75" i="21" s="1"/>
  <c r="CR46" i="21"/>
  <c r="CA59" i="21"/>
  <c r="CE59" i="21" s="1"/>
  <c r="DM59" i="21" s="1"/>
  <c r="EI59" i="21"/>
  <c r="CC66" i="21"/>
  <c r="DK66" i="21" s="1"/>
  <c r="BY66" i="21"/>
  <c r="BY71" i="21"/>
  <c r="CK79" i="21"/>
  <c r="CO79" i="21" s="1"/>
  <c r="CZ79" i="21"/>
  <c r="CB100" i="21"/>
  <c r="DJ100" i="21" s="1"/>
  <c r="EU44" i="21"/>
  <c r="BY51" i="21"/>
  <c r="CK52" i="21"/>
  <c r="CJ57" i="21"/>
  <c r="CT58" i="21"/>
  <c r="CA66" i="21"/>
  <c r="CE66" i="21" s="1"/>
  <c r="DM66" i="21" s="1"/>
  <c r="EI66" i="21"/>
  <c r="CS66" i="21"/>
  <c r="CK67" i="21"/>
  <c r="EJ69" i="21"/>
  <c r="EL69" i="21" s="1"/>
  <c r="FT69" i="21"/>
  <c r="CA71" i="21"/>
  <c r="CE71" i="21" s="1"/>
  <c r="DM71" i="21" s="1"/>
  <c r="EU81" i="21"/>
  <c r="CZ88" i="21"/>
  <c r="BY89" i="21"/>
  <c r="BV89" i="21"/>
  <c r="BX89" i="21" s="1"/>
  <c r="CC89" i="21"/>
  <c r="DK89" i="21" s="1"/>
  <c r="EW99" i="21"/>
  <c r="CA52" i="21"/>
  <c r="CE52" i="21" s="1"/>
  <c r="DM52" i="21" s="1"/>
  <c r="CZ64" i="21"/>
  <c r="CK64" i="21"/>
  <c r="CA89" i="21"/>
  <c r="CE89" i="21" s="1"/>
  <c r="DM89" i="21" s="1"/>
  <c r="EI89" i="21"/>
  <c r="CS89" i="21"/>
  <c r="BW89" i="21"/>
  <c r="BZ89" i="21" s="1"/>
  <c r="CD89" i="21"/>
  <c r="DL89" i="21" s="1"/>
  <c r="CA93" i="21"/>
  <c r="CE93" i="21" s="1"/>
  <c r="DM93" i="21" s="1"/>
  <c r="CA100" i="21"/>
  <c r="CE100" i="21" s="1"/>
  <c r="DM100" i="21" s="1"/>
  <c r="EI100" i="21"/>
  <c r="CS100" i="21"/>
  <c r="CA45" i="21"/>
  <c r="CE45" i="21" s="1"/>
  <c r="DM45" i="21" s="1"/>
  <c r="CJ55" i="21"/>
  <c r="EU55" i="21"/>
  <c r="DC56" i="21"/>
  <c r="CD65" i="21"/>
  <c r="DL65" i="21" s="1"/>
  <c r="CB72" i="21"/>
  <c r="DJ72" i="21" s="1"/>
  <c r="EK77" i="21"/>
  <c r="EM77" i="21" s="1"/>
  <c r="FX77" i="21" s="1"/>
  <c r="DC78" i="21"/>
  <c r="FV85" i="21"/>
  <c r="FY85" i="21" s="1"/>
  <c r="CQ88" i="21"/>
  <c r="EU90" i="21"/>
  <c r="BV100" i="21"/>
  <c r="BX100" i="21" s="1"/>
  <c r="CB54" i="21"/>
  <c r="DJ54" i="21" s="1"/>
  <c r="EU56" i="21"/>
  <c r="EU61" i="21"/>
  <c r="CC65" i="21"/>
  <c r="DK65" i="21" s="1"/>
  <c r="BY65" i="21"/>
  <c r="BW70" i="21"/>
  <c r="BZ70" i="21" s="1"/>
  <c r="CD72" i="21"/>
  <c r="DL72" i="21" s="1"/>
  <c r="EH75" i="21"/>
  <c r="EK91" i="21"/>
  <c r="EM91" i="21" s="1"/>
  <c r="FX91" i="21" s="1"/>
  <c r="BW100" i="21"/>
  <c r="BZ100" i="21" s="1"/>
  <c r="BW68" i="21"/>
  <c r="BZ68" i="21" s="1"/>
  <c r="EI70" i="21"/>
  <c r="FT71" i="21"/>
  <c r="BV77" i="21"/>
  <c r="BX77" i="21" s="1"/>
  <c r="BY77" i="21"/>
  <c r="BV90" i="21"/>
  <c r="BX90" i="21" s="1"/>
  <c r="BY90" i="21"/>
  <c r="CJ91" i="21"/>
  <c r="CB91" i="21"/>
  <c r="DJ91" i="21" s="1"/>
  <c r="CS98" i="21"/>
  <c r="CB101" i="21"/>
  <c r="DJ101" i="21" s="1"/>
  <c r="EW101" i="21"/>
  <c r="CQ68" i="21"/>
  <c r="CJ69" i="21"/>
  <c r="BW77" i="21"/>
  <c r="BZ77" i="21" s="1"/>
  <c r="CS77" i="21"/>
  <c r="DC79" i="21"/>
  <c r="BW90" i="21"/>
  <c r="BZ90" i="21" s="1"/>
  <c r="CA90" i="21"/>
  <c r="CE90" i="21" s="1"/>
  <c r="DM90" i="21" s="1"/>
  <c r="FW94" i="21"/>
  <c r="CD74" i="21"/>
  <c r="DL74" i="21" s="1"/>
  <c r="CC94" i="21"/>
  <c r="DK94" i="21" s="1"/>
  <c r="BV94" i="21"/>
  <c r="BX94" i="21" s="1"/>
  <c r="BY94" i="21" s="1"/>
  <c r="EH96" i="21"/>
  <c r="CB96" i="21"/>
  <c r="DJ96" i="21" s="1"/>
  <c r="CC101" i="21"/>
  <c r="DK101" i="21" s="1"/>
  <c r="BY101" i="21"/>
  <c r="CS70" i="21"/>
  <c r="FW73" i="21"/>
  <c r="DC85" i="21"/>
  <c r="CT85" i="21"/>
  <c r="CA94" i="21"/>
  <c r="CE94" i="21" s="1"/>
  <c r="DM94" i="21" s="1"/>
  <c r="EI94" i="21"/>
  <c r="CS94" i="21"/>
  <c r="BW94" i="21"/>
  <c r="BZ94" i="21" s="1"/>
  <c r="BY96" i="21"/>
  <c r="BV96" i="21"/>
  <c r="BX96" i="21" s="1"/>
  <c r="CC96" i="21"/>
  <c r="DK96" i="21" s="1"/>
  <c r="EH60" i="21"/>
  <c r="CJ60" i="21"/>
  <c r="CK63" i="21"/>
  <c r="EH67" i="21"/>
  <c r="CQ67" i="21"/>
  <c r="BV70" i="21"/>
  <c r="BX70" i="21" s="1"/>
  <c r="BY70" i="21" s="1"/>
  <c r="CK93" i="21"/>
  <c r="CO93" i="21" s="1"/>
  <c r="CA95" i="21"/>
  <c r="CE95" i="21" s="1"/>
  <c r="DM95" i="21" s="1"/>
  <c r="EI95" i="21"/>
  <c r="CS95" i="21"/>
  <c r="BW95" i="21"/>
  <c r="BZ95" i="21" s="1"/>
  <c r="EI96" i="21"/>
  <c r="CS96" i="21"/>
  <c r="BW96" i="21"/>
  <c r="BZ96" i="21" s="1"/>
  <c r="CD96" i="21"/>
  <c r="DL96" i="21" s="1"/>
  <c r="CA96" i="21"/>
  <c r="CE96" i="21" s="1"/>
  <c r="DM96" i="21" s="1"/>
  <c r="EU62" i="21"/>
  <c r="BV67" i="21"/>
  <c r="BX67" i="21" s="1"/>
  <c r="BY67" i="21" s="1"/>
  <c r="CR67" i="21"/>
  <c r="CS68" i="21"/>
  <c r="CK71" i="21"/>
  <c r="EJ81" i="21"/>
  <c r="EL81" i="21" s="1"/>
  <c r="FT81" i="21"/>
  <c r="CB88" i="21"/>
  <c r="DJ88" i="21" s="1"/>
  <c r="EW88" i="21"/>
  <c r="CS92" i="21"/>
  <c r="CA60" i="21"/>
  <c r="CE60" i="21" s="1"/>
  <c r="DM60" i="21" s="1"/>
  <c r="BW60" i="21"/>
  <c r="BZ60" i="21" s="1"/>
  <c r="EI60" i="21"/>
  <c r="EI67" i="21"/>
  <c r="CS67" i="21"/>
  <c r="BW67" i="21"/>
  <c r="BZ67" i="21" s="1"/>
  <c r="CO67" i="21"/>
  <c r="CP67" i="21" s="1"/>
  <c r="CB79" i="21"/>
  <c r="DJ79" i="21" s="1"/>
  <c r="CC81" i="21"/>
  <c r="DK81" i="21" s="1"/>
  <c r="BV81" i="21"/>
  <c r="BX81" i="21" s="1"/>
  <c r="BY81" i="21" s="1"/>
  <c r="EH83" i="21"/>
  <c r="CB83" i="21"/>
  <c r="DJ83" i="21" s="1"/>
  <c r="EI90" i="21"/>
  <c r="CQ99" i="21"/>
  <c r="CK65" i="21"/>
  <c r="CO65" i="21" s="1"/>
  <c r="BV83" i="21"/>
  <c r="BX83" i="21" s="1"/>
  <c r="CC83" i="21"/>
  <c r="DK83" i="21" s="1"/>
  <c r="EU84" i="21"/>
  <c r="CS86" i="21"/>
  <c r="EI86" i="21"/>
  <c r="CC88" i="21"/>
  <c r="DK88" i="21" s="1"/>
  <c r="BY88" i="21"/>
  <c r="BV88" i="21"/>
  <c r="BX88" i="21" s="1"/>
  <c r="CR99" i="21"/>
  <c r="EH61" i="21"/>
  <c r="CJ61" i="21"/>
  <c r="EH66" i="21"/>
  <c r="EU75" i="21"/>
  <c r="CA77" i="21"/>
  <c r="CE77" i="21" s="1"/>
  <c r="DM77" i="21" s="1"/>
  <c r="CJ78" i="21"/>
  <c r="CC79" i="21"/>
  <c r="DK79" i="21" s="1"/>
  <c r="BV79" i="21"/>
  <c r="BX79" i="21" s="1"/>
  <c r="BY79" i="21" s="1"/>
  <c r="CK80" i="21"/>
  <c r="CO80" i="21" s="1"/>
  <c r="EI83" i="21"/>
  <c r="CS83" i="21"/>
  <c r="BW83" i="21"/>
  <c r="BZ83" i="21" s="1"/>
  <c r="CD83" i="21"/>
  <c r="DL83" i="21" s="1"/>
  <c r="CA83" i="21"/>
  <c r="CE83" i="21" s="1"/>
  <c r="DM83" i="21" s="1"/>
  <c r="CA85" i="21"/>
  <c r="CE85" i="21" s="1"/>
  <c r="DM85" i="21" s="1"/>
  <c r="BW85" i="21"/>
  <c r="BZ85" i="21" s="1"/>
  <c r="CC85" i="21"/>
  <c r="DK85" i="21" s="1"/>
  <c r="BY85" i="21"/>
  <c r="BV86" i="21"/>
  <c r="BX86" i="21" s="1"/>
  <c r="EJ93" i="21"/>
  <c r="EL93" i="21" s="1"/>
  <c r="CA81" i="21"/>
  <c r="CE81" i="21" s="1"/>
  <c r="DM81" i="21" s="1"/>
  <c r="EI81" i="21"/>
  <c r="CS81" i="21"/>
  <c r="BW81" i="21"/>
  <c r="BZ81" i="21" s="1"/>
  <c r="CK86" i="21"/>
  <c r="CR88" i="21"/>
  <c r="CC75" i="21"/>
  <c r="DK75" i="21" s="1"/>
  <c r="BV75" i="21"/>
  <c r="BX75" i="21" s="1"/>
  <c r="BY75" i="21" s="1"/>
  <c r="FW88" i="21"/>
  <c r="DC91" i="21"/>
  <c r="CQ101" i="21"/>
  <c r="CA75" i="21"/>
  <c r="CE75" i="21" s="1"/>
  <c r="DM75" i="21" s="1"/>
  <c r="EI75" i="21"/>
  <c r="CS75" i="21"/>
  <c r="BW75" i="21"/>
  <c r="BZ75" i="21" s="1"/>
  <c r="CQ82" i="21"/>
  <c r="FT88" i="21"/>
  <c r="CT91" i="21"/>
  <c r="CK92" i="21"/>
  <c r="CO92" i="21" s="1"/>
  <c r="CZ92" i="21"/>
  <c r="CJ97" i="21"/>
  <c r="CJ98" i="21"/>
  <c r="CK100" i="21"/>
  <c r="CR101" i="21"/>
  <c r="CS80" i="21"/>
  <c r="CR82" i="21"/>
  <c r="CJ84" i="21"/>
  <c r="EH84" i="21"/>
  <c r="CK87" i="21"/>
  <c r="CO87" i="21" s="1"/>
  <c r="CA88" i="21"/>
  <c r="CE88" i="21" s="1"/>
  <c r="DM88" i="21" s="1"/>
  <c r="EI88" i="21"/>
  <c r="CS88" i="21"/>
  <c r="BW88" i="21"/>
  <c r="BZ88" i="21" s="1"/>
  <c r="CD94" i="21"/>
  <c r="DL94" i="21" s="1"/>
  <c r="BV97" i="21"/>
  <c r="BX97" i="21" s="1"/>
  <c r="BY97" i="21" s="1"/>
  <c r="CB81" i="21"/>
  <c r="DJ81" i="21" s="1"/>
  <c r="EH82" i="21"/>
  <c r="BV84" i="21"/>
  <c r="BX84" i="21" s="1"/>
  <c r="BY84" i="21" s="1"/>
  <c r="CR95" i="21"/>
  <c r="BW97" i="21"/>
  <c r="BZ97" i="21" s="1"/>
  <c r="CS99" i="21"/>
  <c r="FW101" i="21"/>
  <c r="CD81" i="21"/>
  <c r="DL81" i="21" s="1"/>
  <c r="BV82" i="21"/>
  <c r="BX82" i="21" s="1"/>
  <c r="BY82" i="21" s="1"/>
  <c r="CO95" i="21"/>
  <c r="CP95" i="21" s="1"/>
  <c r="BV99" i="21"/>
  <c r="BX99" i="21" s="1"/>
  <c r="BY99" i="21" s="1"/>
  <c r="CK74" i="21"/>
  <c r="EH76" i="21"/>
  <c r="BV80" i="21"/>
  <c r="BX80" i="21" s="1"/>
  <c r="CA82" i="21"/>
  <c r="CE82" i="21" s="1"/>
  <c r="DM82" i="21" s="1"/>
  <c r="EI82" i="21"/>
  <c r="CS82" i="21"/>
  <c r="BW82" i="21"/>
  <c r="BZ82" i="21" s="1"/>
  <c r="EK84" i="21"/>
  <c r="EM84" i="21" s="1"/>
  <c r="FX84" i="21" s="1"/>
  <c r="CQ89" i="21"/>
  <c r="EH95" i="21"/>
  <c r="CX99" i="21"/>
  <c r="CA101" i="21"/>
  <c r="CE101" i="21" s="1"/>
  <c r="DM101" i="21" s="1"/>
  <c r="EI101" i="21"/>
  <c r="CS101" i="21"/>
  <c r="BW101" i="21"/>
  <c r="BZ101" i="21" s="1"/>
  <c r="FT101" i="21"/>
  <c r="CA73" i="21"/>
  <c r="CE73" i="21" s="1"/>
  <c r="DM73" i="21" s="1"/>
  <c r="CB75" i="21"/>
  <c r="DJ75" i="21" s="1"/>
  <c r="BV76" i="21"/>
  <c r="BX76" i="21" s="1"/>
  <c r="BY76" i="21" s="1"/>
  <c r="BW78" i="21"/>
  <c r="BZ78" i="21" s="1"/>
  <c r="BW80" i="21"/>
  <c r="BZ80" i="21" s="1"/>
  <c r="CA87" i="21"/>
  <c r="CE87" i="21" s="1"/>
  <c r="DM87" i="21" s="1"/>
  <c r="EI87" i="21"/>
  <c r="CS87" i="21"/>
  <c r="EH89" i="21"/>
  <c r="CC95" i="21"/>
  <c r="DK95" i="21" s="1"/>
  <c r="BY95" i="21"/>
  <c r="BV95" i="21"/>
  <c r="BX95" i="21" s="1"/>
  <c r="CS97" i="21"/>
  <c r="EU97" i="21"/>
  <c r="CY99" i="21"/>
  <c r="CY101" i="21"/>
  <c r="CZ99" i="21"/>
  <c r="EP24" i="14"/>
  <c r="EP71" i="14"/>
  <c r="DG19" i="13"/>
  <c r="DG39" i="13"/>
  <c r="DG59" i="13"/>
  <c r="DG79" i="13"/>
  <c r="DG99" i="13"/>
  <c r="EP25" i="14"/>
  <c r="EP84" i="14"/>
  <c r="DG20" i="13"/>
  <c r="DG40" i="13"/>
  <c r="DG60" i="13"/>
  <c r="DG80" i="13"/>
  <c r="DG100" i="13"/>
  <c r="EP26" i="14"/>
  <c r="EP85" i="14"/>
  <c r="DG2" i="13"/>
  <c r="DG21" i="13"/>
  <c r="DG41" i="13"/>
  <c r="DG61" i="13"/>
  <c r="DG81" i="13"/>
  <c r="DG101" i="13"/>
  <c r="EP27" i="14"/>
  <c r="EP86" i="14"/>
  <c r="DG22" i="13"/>
  <c r="DG42" i="13"/>
  <c r="DG62" i="13"/>
  <c r="DG82" i="13"/>
  <c r="DG55" i="13"/>
  <c r="EP29" i="14"/>
  <c r="EP87" i="14"/>
  <c r="DG3" i="13"/>
  <c r="DG23" i="13"/>
  <c r="DG43" i="13"/>
  <c r="DG63" i="13"/>
  <c r="DG83" i="13"/>
  <c r="EP30" i="14"/>
  <c r="EP89" i="14"/>
  <c r="DG4" i="13"/>
  <c r="DG24" i="13"/>
  <c r="DG44" i="13"/>
  <c r="DG64" i="13"/>
  <c r="DG84" i="13"/>
  <c r="DG50" i="13"/>
  <c r="DG51" i="13"/>
  <c r="EP51" i="14"/>
  <c r="DG32" i="13"/>
  <c r="DG13" i="13"/>
  <c r="DG34" i="13"/>
  <c r="DG75" i="13"/>
  <c r="EP31" i="14"/>
  <c r="EP90" i="14"/>
  <c r="DG5" i="13"/>
  <c r="DG25" i="13"/>
  <c r="DG45" i="13"/>
  <c r="DG65" i="13"/>
  <c r="DG85" i="13"/>
  <c r="DG71" i="13"/>
  <c r="DG52" i="13"/>
  <c r="DG92" i="13"/>
  <c r="DG73" i="13"/>
  <c r="DG74" i="13"/>
  <c r="EP44" i="14"/>
  <c r="EP91" i="14"/>
  <c r="DG6" i="13"/>
  <c r="DG26" i="13"/>
  <c r="DG46" i="13"/>
  <c r="DG66" i="13"/>
  <c r="DG86" i="13"/>
  <c r="DG70" i="13"/>
  <c r="DG31" i="13"/>
  <c r="DG72" i="13"/>
  <c r="EP64" i="14"/>
  <c r="DG33" i="13"/>
  <c r="DG94" i="13"/>
  <c r="DG95" i="13"/>
  <c r="EP45" i="14"/>
  <c r="DG7" i="13"/>
  <c r="DG27" i="13"/>
  <c r="DG47" i="13"/>
  <c r="DG67" i="13"/>
  <c r="DG87" i="13"/>
  <c r="DG48" i="13"/>
  <c r="DG88" i="13"/>
  <c r="EP49" i="14"/>
  <c r="DG10" i="13"/>
  <c r="DG30" i="13"/>
  <c r="DG90" i="13"/>
  <c r="EP50" i="14"/>
  <c r="DG11" i="13"/>
  <c r="DG91" i="13"/>
  <c r="EP4" i="14"/>
  <c r="DG12" i="13"/>
  <c r="EP5" i="14"/>
  <c r="DG53" i="13"/>
  <c r="DG93" i="13"/>
  <c r="EP6" i="14"/>
  <c r="EP65" i="14"/>
  <c r="DG14" i="13"/>
  <c r="DG54" i="13"/>
  <c r="EP66" i="14"/>
  <c r="DG35" i="13"/>
  <c r="EP67" i="14"/>
  <c r="EP46" i="14"/>
  <c r="DG8" i="13"/>
  <c r="DG28" i="13"/>
  <c r="DG68" i="13"/>
  <c r="EP47" i="14"/>
  <c r="DG9" i="13"/>
  <c r="DG29" i="13"/>
  <c r="DG49" i="13"/>
  <c r="DG69" i="13"/>
  <c r="DG89" i="13"/>
  <c r="EP7" i="14"/>
  <c r="DG15" i="13"/>
  <c r="EP9" i="14"/>
  <c r="DF101" i="20"/>
  <c r="DF96" i="20"/>
  <c r="DF91" i="20"/>
  <c r="DF86" i="20"/>
  <c r="DF81" i="20"/>
  <c r="DF76" i="20"/>
  <c r="DF71" i="20"/>
  <c r="DF66" i="20"/>
  <c r="DF61" i="20"/>
  <c r="DF56" i="20"/>
  <c r="DF51" i="20"/>
  <c r="DF46" i="20"/>
  <c r="DF41" i="20"/>
  <c r="DF36" i="20"/>
  <c r="DF31" i="20"/>
  <c r="DF26" i="20"/>
  <c r="DF10" i="20"/>
  <c r="DG15" i="20"/>
  <c r="DG4" i="20"/>
  <c r="DG20" i="20"/>
  <c r="DF15" i="20"/>
  <c r="DF4" i="20"/>
  <c r="DG100" i="20"/>
  <c r="DG95" i="20"/>
  <c r="DG90" i="20"/>
  <c r="DG85" i="20"/>
  <c r="DG80" i="20"/>
  <c r="DG75" i="20"/>
  <c r="DG70" i="20"/>
  <c r="DG65" i="20"/>
  <c r="DG60" i="20"/>
  <c r="DG55" i="20"/>
  <c r="DG50" i="20"/>
  <c r="DG45" i="20"/>
  <c r="DG40" i="20"/>
  <c r="DG35" i="20"/>
  <c r="DG30" i="20"/>
  <c r="DG25" i="20"/>
  <c r="DF20" i="20"/>
  <c r="DG9" i="20"/>
  <c r="DF9" i="20"/>
  <c r="DG14" i="20"/>
  <c r="DG3" i="20"/>
  <c r="DG99" i="20"/>
  <c r="DG94" i="20"/>
  <c r="DG89" i="20"/>
  <c r="DG84" i="20"/>
  <c r="DG79" i="20"/>
  <c r="DG74" i="20"/>
  <c r="DG69" i="20"/>
  <c r="DG64" i="20"/>
  <c r="DG59" i="20"/>
  <c r="DG54" i="20"/>
  <c r="DG49" i="20"/>
  <c r="DG44" i="20"/>
  <c r="DG39" i="20"/>
  <c r="DG34" i="20"/>
  <c r="DG29" i="20"/>
  <c r="DG24" i="20"/>
  <c r="DF19" i="20"/>
  <c r="DG8" i="20"/>
  <c r="DF99" i="20"/>
  <c r="DF94" i="20"/>
  <c r="DF89" i="20"/>
  <c r="DF84" i="20"/>
  <c r="DF79" i="20"/>
  <c r="DF74" i="20"/>
  <c r="DF69" i="20"/>
  <c r="DF64" i="20"/>
  <c r="DF59" i="20"/>
  <c r="DF54" i="20"/>
  <c r="DF49" i="20"/>
  <c r="DF44" i="20"/>
  <c r="DF39" i="20"/>
  <c r="DF34" i="20"/>
  <c r="DF29" i="20"/>
  <c r="DF24" i="20"/>
  <c r="DF8" i="20"/>
  <c r="EP12" i="14"/>
  <c r="EP32" i="14"/>
  <c r="EP52" i="14"/>
  <c r="EP72" i="14"/>
  <c r="EP92" i="14"/>
  <c r="EP13" i="14"/>
  <c r="EP33" i="14"/>
  <c r="EP53" i="14"/>
  <c r="EP73" i="14"/>
  <c r="EP93" i="14"/>
  <c r="EP14" i="14"/>
  <c r="EP34" i="14"/>
  <c r="EP54" i="14"/>
  <c r="EP74" i="14"/>
  <c r="EP94" i="14"/>
  <c r="EP15" i="14"/>
  <c r="EP35" i="14"/>
  <c r="EP55" i="14"/>
  <c r="EP75" i="14"/>
  <c r="EP95" i="14"/>
  <c r="EP16" i="14"/>
  <c r="EP36" i="14"/>
  <c r="EP56" i="14"/>
  <c r="EP76" i="14"/>
  <c r="EP96" i="14"/>
  <c r="EP17" i="14"/>
  <c r="EP37" i="14"/>
  <c r="EP57" i="14"/>
  <c r="EP77" i="14"/>
  <c r="EP97" i="14"/>
  <c r="EP18" i="14"/>
  <c r="EP38" i="14"/>
  <c r="EP58" i="14"/>
  <c r="EP78" i="14"/>
  <c r="EP98" i="14"/>
  <c r="EP19" i="14"/>
  <c r="EP39" i="14"/>
  <c r="EP59" i="14"/>
  <c r="EP79" i="14"/>
  <c r="EP99" i="14"/>
  <c r="EP20" i="14"/>
  <c r="EP40" i="14"/>
  <c r="EP60" i="14"/>
  <c r="EP80" i="14"/>
  <c r="EP100" i="14"/>
  <c r="EP21" i="14"/>
  <c r="EP41" i="14"/>
  <c r="EP61" i="14"/>
  <c r="EP81" i="14"/>
  <c r="EP101" i="14"/>
  <c r="EP22" i="14"/>
  <c r="EP42" i="14"/>
  <c r="EP62" i="14"/>
  <c r="EP82" i="14"/>
  <c r="EP2" i="14"/>
  <c r="EP3" i="14"/>
  <c r="EP23" i="14"/>
  <c r="EP43" i="14"/>
  <c r="EP63" i="14"/>
  <c r="EP83" i="14"/>
  <c r="EP8" i="14"/>
  <c r="EP28" i="14"/>
  <c r="EP48" i="14"/>
  <c r="EP68" i="14"/>
  <c r="EP88" i="14"/>
  <c r="DF3" i="20"/>
  <c r="DG22" i="20"/>
  <c r="DG17" i="20"/>
  <c r="DG12" i="20"/>
  <c r="DG7" i="20"/>
  <c r="DF12" i="20"/>
  <c r="EK25" i="20"/>
  <c r="EM25" i="20" s="1"/>
  <c r="FX25" i="20" s="1"/>
  <c r="FU25" i="20"/>
  <c r="FW30" i="20"/>
  <c r="BY2" i="20"/>
  <c r="CO15" i="20"/>
  <c r="CT15" i="20"/>
  <c r="DC15" i="20"/>
  <c r="FW10" i="20"/>
  <c r="FY10" i="20" s="1"/>
  <c r="CR14" i="20"/>
  <c r="FV3" i="20"/>
  <c r="EJ11" i="20"/>
  <c r="EL11" i="20" s="1"/>
  <c r="FT11" i="20"/>
  <c r="FW24" i="20"/>
  <c r="CO4" i="20"/>
  <c r="CR4" i="20" s="1"/>
  <c r="DC2" i="20"/>
  <c r="CT2" i="20"/>
  <c r="EK24" i="20"/>
  <c r="EM24" i="20" s="1"/>
  <c r="BV9" i="20"/>
  <c r="BX9" i="20" s="1"/>
  <c r="BY9" i="20" s="1"/>
  <c r="BW12" i="20"/>
  <c r="BZ12" i="20" s="1"/>
  <c r="EI29" i="20"/>
  <c r="BW29" i="20"/>
  <c r="BZ29" i="20" s="1"/>
  <c r="CA29" i="20"/>
  <c r="CE29" i="20" s="1"/>
  <c r="DM29" i="20" s="1"/>
  <c r="EH31" i="20"/>
  <c r="CJ31" i="20"/>
  <c r="CZ33" i="20"/>
  <c r="CA45" i="20"/>
  <c r="CE45" i="20" s="1"/>
  <c r="DM45" i="20" s="1"/>
  <c r="EI45" i="20"/>
  <c r="CS45" i="20"/>
  <c r="BW45" i="20"/>
  <c r="BZ45" i="20" s="1"/>
  <c r="CD45" i="20"/>
  <c r="DL45" i="20" s="1"/>
  <c r="CA9" i="20"/>
  <c r="CE9" i="20" s="1"/>
  <c r="DM9" i="20" s="1"/>
  <c r="BW9" i="20"/>
  <c r="BZ9" i="20" s="1"/>
  <c r="CS9" i="20"/>
  <c r="EI9" i="20"/>
  <c r="CA14" i="20"/>
  <c r="CE14" i="20" s="1"/>
  <c r="DM14" i="20" s="1"/>
  <c r="EI14" i="20"/>
  <c r="CS14" i="20"/>
  <c r="EJ17" i="20"/>
  <c r="EL17" i="20" s="1"/>
  <c r="FT17" i="20"/>
  <c r="CZ19" i="20"/>
  <c r="BV25" i="20"/>
  <c r="BX25" i="20" s="1"/>
  <c r="BY25" i="20" s="1"/>
  <c r="FU26" i="20"/>
  <c r="EK26" i="20"/>
  <c r="EM26" i="20" s="1"/>
  <c r="FX26" i="20" s="1"/>
  <c r="CC31" i="20"/>
  <c r="DK31" i="20" s="1"/>
  <c r="BV31" i="20"/>
  <c r="BX31" i="20" s="1"/>
  <c r="BY31" i="20" s="1"/>
  <c r="DC43" i="20"/>
  <c r="FV24" i="20"/>
  <c r="CK24" i="20"/>
  <c r="CZ24" i="20"/>
  <c r="DC66" i="20"/>
  <c r="CT66" i="20"/>
  <c r="CC2" i="20"/>
  <c r="DK2" i="20" s="1"/>
  <c r="CT3" i="20"/>
  <c r="CC8" i="20"/>
  <c r="DK8" i="20" s="1"/>
  <c r="BY13" i="20"/>
  <c r="CZ22" i="20"/>
  <c r="CK22" i="20"/>
  <c r="CC25" i="20"/>
  <c r="DK25" i="20" s="1"/>
  <c r="EW32" i="20"/>
  <c r="CR33" i="20"/>
  <c r="CC12" i="20"/>
  <c r="DK12" i="20" s="1"/>
  <c r="EH15" i="20"/>
  <c r="FW19" i="20"/>
  <c r="CR19" i="20"/>
  <c r="CT20" i="20"/>
  <c r="DC20" i="20"/>
  <c r="DC21" i="20"/>
  <c r="CO33" i="20"/>
  <c r="CD4" i="20"/>
  <c r="DL4" i="20" s="1"/>
  <c r="BV15" i="20"/>
  <c r="BX15" i="20" s="1"/>
  <c r="BY15" i="20" s="1"/>
  <c r="CC15" i="20"/>
  <c r="DK15" i="20" s="1"/>
  <c r="BV20" i="20"/>
  <c r="BX20" i="20" s="1"/>
  <c r="BY20" i="20" s="1"/>
  <c r="CT21" i="20"/>
  <c r="CO24" i="20"/>
  <c r="CS39" i="20"/>
  <c r="CA39" i="20"/>
  <c r="CE39" i="20" s="1"/>
  <c r="DM39" i="20" s="1"/>
  <c r="CJ41" i="20"/>
  <c r="EH41" i="20"/>
  <c r="BV80" i="20"/>
  <c r="BX80" i="20" s="1"/>
  <c r="BY80" i="20" s="1"/>
  <c r="CC80" i="20"/>
  <c r="DK80" i="20" s="1"/>
  <c r="CS18" i="20"/>
  <c r="CA18" i="20"/>
  <c r="CE18" i="20" s="1"/>
  <c r="DM18" i="20" s="1"/>
  <c r="BW18" i="20"/>
  <c r="BZ18" i="20" s="1"/>
  <c r="DC23" i="20"/>
  <c r="CT23" i="20"/>
  <c r="CA36" i="20"/>
  <c r="CE36" i="20" s="1"/>
  <c r="DM36" i="20" s="1"/>
  <c r="CS36" i="20"/>
  <c r="EI36" i="20"/>
  <c r="CK2" i="20"/>
  <c r="CO2" i="20" s="1"/>
  <c r="CC4" i="20"/>
  <c r="DK4" i="20" s="1"/>
  <c r="CB6" i="20"/>
  <c r="DJ6" i="20" s="1"/>
  <c r="EH7" i="20"/>
  <c r="CJ7" i="20"/>
  <c r="CK10" i="20"/>
  <c r="CO10" i="20" s="1"/>
  <c r="CZ10" i="20"/>
  <c r="BW15" i="20"/>
  <c r="BZ15" i="20" s="1"/>
  <c r="CA15" i="20"/>
  <c r="CE15" i="20" s="1"/>
  <c r="DM15" i="20" s="1"/>
  <c r="CB23" i="20"/>
  <c r="DJ23" i="20" s="1"/>
  <c r="FW29" i="20"/>
  <c r="EJ53" i="20"/>
  <c r="EL53" i="20" s="1"/>
  <c r="FT53" i="20"/>
  <c r="EH92" i="20"/>
  <c r="CJ92" i="20"/>
  <c r="CP99" i="20"/>
  <c r="BV4" i="20"/>
  <c r="BX4" i="20" s="1"/>
  <c r="BV7" i="20"/>
  <c r="BX7" i="20" s="1"/>
  <c r="CD14" i="20"/>
  <c r="DL14" i="20" s="1"/>
  <c r="FT19" i="20"/>
  <c r="FT34" i="20"/>
  <c r="FV34" i="20" s="1"/>
  <c r="FY34" i="20" s="1"/>
  <c r="EJ57" i="20"/>
  <c r="EL57" i="20" s="1"/>
  <c r="FT57" i="20"/>
  <c r="BW58" i="20"/>
  <c r="BZ58" i="20" s="1"/>
  <c r="CS58" i="20"/>
  <c r="EI58" i="20"/>
  <c r="CC58" i="20"/>
  <c r="DK58" i="20" s="1"/>
  <c r="BV58" i="20"/>
  <c r="BX58" i="20" s="1"/>
  <c r="BY58" i="20" s="1"/>
  <c r="CS7" i="20"/>
  <c r="EI7" i="20"/>
  <c r="BW7" i="20"/>
  <c r="BZ7" i="20" s="1"/>
  <c r="CJ11" i="20"/>
  <c r="DC24" i="20"/>
  <c r="CQ36" i="20"/>
  <c r="EI37" i="20"/>
  <c r="CS37" i="20"/>
  <c r="BW37" i="20"/>
  <c r="BZ37" i="20" s="1"/>
  <c r="EK57" i="20"/>
  <c r="EM57" i="20" s="1"/>
  <c r="FX57" i="20" s="1"/>
  <c r="FU57" i="20"/>
  <c r="CC9" i="20"/>
  <c r="DK9" i="20" s="1"/>
  <c r="FT12" i="20"/>
  <c r="EJ12" i="20"/>
  <c r="EL12" i="20" s="1"/>
  <c r="FW13" i="20"/>
  <c r="BW14" i="20"/>
  <c r="BZ14" i="20" s="1"/>
  <c r="EI18" i="20"/>
  <c r="CT24" i="20"/>
  <c r="CZ25" i="20"/>
  <c r="CK25" i="20"/>
  <c r="CO25" i="20" s="1"/>
  <c r="CK26" i="20"/>
  <c r="CO26" i="20" s="1"/>
  <c r="CR36" i="20"/>
  <c r="BV37" i="20"/>
  <c r="BX37" i="20" s="1"/>
  <c r="BY37" i="20" s="1"/>
  <c r="CC39" i="20"/>
  <c r="DK39" i="20" s="1"/>
  <c r="EJ6" i="20"/>
  <c r="EL6" i="20" s="1"/>
  <c r="FT6" i="20"/>
  <c r="EI11" i="20"/>
  <c r="BW11" i="20"/>
  <c r="BZ11" i="20" s="1"/>
  <c r="CC38" i="20"/>
  <c r="DK38" i="20" s="1"/>
  <c r="BV38" i="20"/>
  <c r="BX38" i="20" s="1"/>
  <c r="BY38" i="20" s="1"/>
  <c r="CS40" i="20"/>
  <c r="BW40" i="20"/>
  <c r="BZ40" i="20" s="1"/>
  <c r="EI40" i="20"/>
  <c r="CD40" i="20"/>
  <c r="DL40" i="20" s="1"/>
  <c r="CA40" i="20"/>
  <c r="CE40" i="20" s="1"/>
  <c r="DM40" i="20" s="1"/>
  <c r="CZ15" i="20"/>
  <c r="DC27" i="20"/>
  <c r="CT27" i="20"/>
  <c r="DC29" i="20"/>
  <c r="CT29" i="20"/>
  <c r="EH2" i="20"/>
  <c r="CJ8" i="20"/>
  <c r="CD9" i="20"/>
  <c r="DL9" i="20" s="1"/>
  <c r="EI12" i="20"/>
  <c r="BY16" i="20"/>
  <c r="BV16" i="20"/>
  <c r="BX16" i="20" s="1"/>
  <c r="CQ16" i="20"/>
  <c r="FT25" i="20"/>
  <c r="FV25" i="20" s="1"/>
  <c r="EJ25" i="20"/>
  <c r="EL25" i="20" s="1"/>
  <c r="CD29" i="20"/>
  <c r="DL29" i="20" s="1"/>
  <c r="CO36" i="20"/>
  <c r="CP36" i="20" s="1"/>
  <c r="EH5" i="20"/>
  <c r="CJ5" i="20"/>
  <c r="EJ14" i="20"/>
  <c r="EL14" i="20" s="1"/>
  <c r="FT14" i="20"/>
  <c r="CB15" i="20"/>
  <c r="DJ15" i="20" s="1"/>
  <c r="BW16" i="20"/>
  <c r="BZ16" i="20" s="1"/>
  <c r="EI16" i="20"/>
  <c r="CA16" i="20"/>
  <c r="CE16" i="20" s="1"/>
  <c r="DM16" i="20" s="1"/>
  <c r="CS16" i="20"/>
  <c r="CK35" i="20"/>
  <c r="CZ35" i="20"/>
  <c r="FW36" i="20"/>
  <c r="CB44" i="20"/>
  <c r="DJ44" i="20" s="1"/>
  <c r="CC89" i="20"/>
  <c r="DK89" i="20" s="1"/>
  <c r="BV89" i="20"/>
  <c r="BX89" i="20" s="1"/>
  <c r="BY89" i="20" s="1"/>
  <c r="CC5" i="20"/>
  <c r="DK5" i="20" s="1"/>
  <c r="BV5" i="20"/>
  <c r="BX5" i="20" s="1"/>
  <c r="BY5" i="20" s="1"/>
  <c r="EJ8" i="20"/>
  <c r="EL8" i="20" s="1"/>
  <c r="FT8" i="20"/>
  <c r="CD15" i="20"/>
  <c r="DL15" i="20" s="1"/>
  <c r="CY16" i="20"/>
  <c r="FW43" i="20"/>
  <c r="FY43" i="20" s="1"/>
  <c r="EK3" i="20"/>
  <c r="EM3" i="20" s="1"/>
  <c r="FU3" i="20"/>
  <c r="CA4" i="20"/>
  <c r="CE4" i="20" s="1"/>
  <c r="DM4" i="20" s="1"/>
  <c r="EI4" i="20"/>
  <c r="CS4" i="20"/>
  <c r="CA6" i="20"/>
  <c r="CE6" i="20" s="1"/>
  <c r="DM6" i="20" s="1"/>
  <c r="EI6" i="20"/>
  <c r="CS6" i="20"/>
  <c r="BW6" i="20"/>
  <c r="BZ6" i="20" s="1"/>
  <c r="CA5" i="20"/>
  <c r="CE5" i="20" s="1"/>
  <c r="DM5" i="20" s="1"/>
  <c r="EI5" i="20"/>
  <c r="CS5" i="20"/>
  <c r="BV8" i="20"/>
  <c r="BX8" i="20" s="1"/>
  <c r="BY8" i="20" s="1"/>
  <c r="CT10" i="20"/>
  <c r="CS13" i="20"/>
  <c r="FT13" i="20"/>
  <c r="CZ20" i="20"/>
  <c r="CK20" i="20"/>
  <c r="EH33" i="20"/>
  <c r="CA37" i="20"/>
  <c r="CE37" i="20" s="1"/>
  <c r="DM37" i="20" s="1"/>
  <c r="CB42" i="20"/>
  <c r="DJ42" i="20" s="1"/>
  <c r="EK44" i="20"/>
  <c r="EM44" i="20" s="1"/>
  <c r="FX44" i="20" s="1"/>
  <c r="FU44" i="20"/>
  <c r="CB12" i="20"/>
  <c r="DJ12" i="20" s="1"/>
  <c r="CR57" i="20"/>
  <c r="BV6" i="20"/>
  <c r="BX6" i="20" s="1"/>
  <c r="BY6" i="20" s="1"/>
  <c r="CK14" i="20"/>
  <c r="CO14" i="20" s="1"/>
  <c r="CZ14" i="20"/>
  <c r="CK21" i="20"/>
  <c r="CO21" i="20" s="1"/>
  <c r="CZ21" i="20"/>
  <c r="BV36" i="20"/>
  <c r="BX36" i="20" s="1"/>
  <c r="BY36" i="20" s="1"/>
  <c r="CR43" i="20"/>
  <c r="BY12" i="20"/>
  <c r="EK17" i="20"/>
  <c r="EM17" i="20" s="1"/>
  <c r="FX17" i="20" s="1"/>
  <c r="FU17" i="20"/>
  <c r="CK3" i="20"/>
  <c r="CO3" i="20" s="1"/>
  <c r="CJ6" i="20"/>
  <c r="CA8" i="20"/>
  <c r="CE8" i="20" s="1"/>
  <c r="DM8" i="20" s="1"/>
  <c r="EI8" i="20"/>
  <c r="CS8" i="20"/>
  <c r="BW8" i="20"/>
  <c r="BZ8" i="20" s="1"/>
  <c r="CS11" i="20"/>
  <c r="CO13" i="20"/>
  <c r="CZ16" i="20"/>
  <c r="CC17" i="20"/>
  <c r="DK17" i="20" s="1"/>
  <c r="BV17" i="20"/>
  <c r="BX17" i="20" s="1"/>
  <c r="BY17" i="20" s="1"/>
  <c r="CA25" i="20"/>
  <c r="CE25" i="20" s="1"/>
  <c r="DM25" i="20" s="1"/>
  <c r="EH26" i="20"/>
  <c r="CB26" i="20"/>
  <c r="DJ26" i="20" s="1"/>
  <c r="CO35" i="20"/>
  <c r="CK39" i="20"/>
  <c r="CO39" i="20" s="1"/>
  <c r="BW46" i="20"/>
  <c r="BZ46" i="20" s="1"/>
  <c r="CS46" i="20"/>
  <c r="CA46" i="20"/>
  <c r="CE46" i="20" s="1"/>
  <c r="DM46" i="20" s="1"/>
  <c r="EI46" i="20"/>
  <c r="BV11" i="20"/>
  <c r="BX11" i="20" s="1"/>
  <c r="BY11" i="20" s="1"/>
  <c r="EH9" i="20"/>
  <c r="CA11" i="20"/>
  <c r="CE11" i="20" s="1"/>
  <c r="DM11" i="20" s="1"/>
  <c r="CK4" i="20"/>
  <c r="FW4" i="20"/>
  <c r="BY7" i="20"/>
  <c r="CB11" i="20"/>
  <c r="DJ11" i="20" s="1"/>
  <c r="EI15" i="20"/>
  <c r="CA17" i="20"/>
  <c r="CE17" i="20" s="1"/>
  <c r="DM17" i="20" s="1"/>
  <c r="CS17" i="20"/>
  <c r="BW17" i="20"/>
  <c r="BZ17" i="20" s="1"/>
  <c r="CJ18" i="20"/>
  <c r="CB19" i="20"/>
  <c r="DJ19" i="20" s="1"/>
  <c r="EJ20" i="20"/>
  <c r="EL20" i="20" s="1"/>
  <c r="FT20" i="20"/>
  <c r="CZ30" i="20"/>
  <c r="CK30" i="20"/>
  <c r="DC34" i="20"/>
  <c r="CJ40" i="20"/>
  <c r="CB40" i="20"/>
  <c r="DJ40" i="20" s="1"/>
  <c r="EH40" i="20"/>
  <c r="CJ9" i="20"/>
  <c r="CS12" i="20"/>
  <c r="FT18" i="20"/>
  <c r="CZ26" i="20"/>
  <c r="CD27" i="20"/>
  <c r="DL27" i="20" s="1"/>
  <c r="EI27" i="20"/>
  <c r="CA27" i="20"/>
  <c r="CE27" i="20" s="1"/>
  <c r="DM27" i="20" s="1"/>
  <c r="EH38" i="20"/>
  <c r="CJ38" i="20"/>
  <c r="CC40" i="20"/>
  <c r="DK40" i="20" s="1"/>
  <c r="BV40" i="20"/>
  <c r="BX40" i="20" s="1"/>
  <c r="BY40" i="20" s="1"/>
  <c r="CQ57" i="20"/>
  <c r="EH16" i="20"/>
  <c r="CJ17" i="20"/>
  <c r="BV26" i="20"/>
  <c r="BX26" i="20" s="1"/>
  <c r="BY26" i="20" s="1"/>
  <c r="CA31" i="20"/>
  <c r="CE31" i="20" s="1"/>
  <c r="DM31" i="20" s="1"/>
  <c r="BW31" i="20"/>
  <c r="BZ31" i="20" s="1"/>
  <c r="CS31" i="20"/>
  <c r="CQ33" i="20"/>
  <c r="DC44" i="20"/>
  <c r="EI48" i="20"/>
  <c r="CA48" i="20"/>
  <c r="CE48" i="20" s="1"/>
  <c r="DM48" i="20" s="1"/>
  <c r="CC48" i="20"/>
  <c r="DK48" i="20" s="1"/>
  <c r="BY48" i="20"/>
  <c r="BV50" i="20"/>
  <c r="BX50" i="20" s="1"/>
  <c r="BY50" i="20" s="1"/>
  <c r="CC50" i="20"/>
  <c r="DK50" i="20" s="1"/>
  <c r="EJ64" i="20"/>
  <c r="EL64" i="20" s="1"/>
  <c r="FT64" i="20"/>
  <c r="FV64" i="20" s="1"/>
  <c r="FU67" i="20"/>
  <c r="EK67" i="20"/>
  <c r="EM67" i="20" s="1"/>
  <c r="FX67" i="20" s="1"/>
  <c r="BV53" i="20"/>
  <c r="BX53" i="20" s="1"/>
  <c r="BY53" i="20"/>
  <c r="CC53" i="20"/>
  <c r="DK53" i="20" s="1"/>
  <c r="CZ57" i="20"/>
  <c r="EK64" i="20"/>
  <c r="EM64" i="20" s="1"/>
  <c r="FX64" i="20" s="1"/>
  <c r="FU64" i="20"/>
  <c r="EX43" i="20"/>
  <c r="CA49" i="20"/>
  <c r="CE49" i="20" s="1"/>
  <c r="DM49" i="20" s="1"/>
  <c r="EI49" i="20"/>
  <c r="CS49" i="20"/>
  <c r="CC49" i="20"/>
  <c r="DK49" i="20" s="1"/>
  <c r="BY49" i="20"/>
  <c r="EJ52" i="20"/>
  <c r="EL52" i="20" s="1"/>
  <c r="FT52" i="20"/>
  <c r="CK57" i="20"/>
  <c r="CO57" i="20" s="1"/>
  <c r="CZ99" i="20"/>
  <c r="CB14" i="20"/>
  <c r="DJ14" i="20" s="1"/>
  <c r="CR16" i="20"/>
  <c r="CB31" i="20"/>
  <c r="DJ31" i="20" s="1"/>
  <c r="BV33" i="20"/>
  <c r="BX33" i="20" s="1"/>
  <c r="BY33" i="20" s="1"/>
  <c r="CC33" i="20"/>
  <c r="DK33" i="20" s="1"/>
  <c r="DC41" i="20"/>
  <c r="CT41" i="20"/>
  <c r="CB49" i="20"/>
  <c r="DJ49" i="20" s="1"/>
  <c r="DC90" i="20"/>
  <c r="CT90" i="20"/>
  <c r="CR99" i="20"/>
  <c r="CA19" i="20"/>
  <c r="CE19" i="20" s="1"/>
  <c r="DM19" i="20" s="1"/>
  <c r="CS19" i="20"/>
  <c r="BW19" i="20"/>
  <c r="BZ19" i="20" s="1"/>
  <c r="CO19" i="20"/>
  <c r="EI19" i="20"/>
  <c r="EX27" i="20"/>
  <c r="CQ30" i="20"/>
  <c r="CD31" i="20"/>
  <c r="DL31" i="20" s="1"/>
  <c r="BW33" i="20"/>
  <c r="BZ33" i="20" s="1"/>
  <c r="CA33" i="20"/>
  <c r="CE33" i="20" s="1"/>
  <c r="DM33" i="20" s="1"/>
  <c r="CS33" i="20"/>
  <c r="CD33" i="20"/>
  <c r="DL33" i="20" s="1"/>
  <c r="DC55" i="20"/>
  <c r="CT56" i="20"/>
  <c r="DC56" i="20"/>
  <c r="EJ69" i="20"/>
  <c r="EL69" i="20" s="1"/>
  <c r="FT69" i="20"/>
  <c r="BV62" i="20"/>
  <c r="BX62" i="20" s="1"/>
  <c r="CC62" i="20"/>
  <c r="DK62" i="20" s="1"/>
  <c r="BY62" i="20"/>
  <c r="CB10" i="20"/>
  <c r="DJ10" i="20" s="1"/>
  <c r="CA20" i="20"/>
  <c r="CE20" i="20" s="1"/>
  <c r="DM20" i="20" s="1"/>
  <c r="BW20" i="20"/>
  <c r="BZ20" i="20" s="1"/>
  <c r="CS25" i="20"/>
  <c r="BW26" i="20"/>
  <c r="BZ26" i="20" s="1"/>
  <c r="CJ28" i="20"/>
  <c r="EH28" i="20"/>
  <c r="CB28" i="20"/>
  <c r="DJ28" i="20" s="1"/>
  <c r="CC30" i="20"/>
  <c r="DK30" i="20" s="1"/>
  <c r="BV30" i="20"/>
  <c r="BX30" i="20" s="1"/>
  <c r="BY30" i="20"/>
  <c r="CO30" i="20"/>
  <c r="CC51" i="20"/>
  <c r="DK51" i="20" s="1"/>
  <c r="BV51" i="20"/>
  <c r="BX51" i="20" s="1"/>
  <c r="BY51" i="20" s="1"/>
  <c r="CC57" i="20"/>
  <c r="DK57" i="20" s="1"/>
  <c r="BY57" i="20"/>
  <c r="BV57" i="20"/>
  <c r="BX57" i="20" s="1"/>
  <c r="FU77" i="20"/>
  <c r="EK77" i="20"/>
  <c r="EM77" i="20" s="1"/>
  <c r="FX77" i="20" s="1"/>
  <c r="CR13" i="20"/>
  <c r="EH22" i="20"/>
  <c r="CO22" i="20"/>
  <c r="CJ23" i="20"/>
  <c r="BW25" i="20"/>
  <c r="BZ25" i="20" s="1"/>
  <c r="CC28" i="20"/>
  <c r="DK28" i="20" s="1"/>
  <c r="BY28" i="20"/>
  <c r="EI30" i="20"/>
  <c r="BW30" i="20"/>
  <c r="BZ30" i="20" s="1"/>
  <c r="CS30" i="20"/>
  <c r="FU32" i="20"/>
  <c r="EK32" i="20"/>
  <c r="EM32" i="20" s="1"/>
  <c r="CJ37" i="20"/>
  <c r="EH37" i="20"/>
  <c r="CT57" i="20"/>
  <c r="DC57" i="20"/>
  <c r="EH61" i="20"/>
  <c r="CJ61" i="20"/>
  <c r="EI62" i="20"/>
  <c r="FW77" i="20"/>
  <c r="CD7" i="20"/>
  <c r="DL7" i="20" s="1"/>
  <c r="EI13" i="20"/>
  <c r="BY18" i="20"/>
  <c r="EI20" i="20"/>
  <c r="CC22" i="20"/>
  <c r="DK22" i="20" s="1"/>
  <c r="BV22" i="20"/>
  <c r="BX22" i="20" s="1"/>
  <c r="BY22" i="20" s="1"/>
  <c r="EH23" i="20"/>
  <c r="BW28" i="20"/>
  <c r="BZ28" i="20" s="1"/>
  <c r="EI28" i="20"/>
  <c r="CA28" i="20"/>
  <c r="CE28" i="20" s="1"/>
  <c r="DM28" i="20" s="1"/>
  <c r="CS28" i="20"/>
  <c r="BX29" i="20"/>
  <c r="BY29" i="20" s="1"/>
  <c r="FW32" i="20"/>
  <c r="CB41" i="20"/>
  <c r="DJ41" i="20" s="1"/>
  <c r="BV44" i="20"/>
  <c r="BX44" i="20" s="1"/>
  <c r="FW54" i="20"/>
  <c r="BV61" i="20"/>
  <c r="BX61" i="20" s="1"/>
  <c r="BY61" i="20" s="1"/>
  <c r="CC61" i="20"/>
  <c r="DK61" i="20" s="1"/>
  <c r="FW62" i="20"/>
  <c r="BV18" i="20"/>
  <c r="BX18" i="20" s="1"/>
  <c r="EH21" i="20"/>
  <c r="CD22" i="20"/>
  <c r="DL22" i="20" s="1"/>
  <c r="CA22" i="20"/>
  <c r="CE22" i="20" s="1"/>
  <c r="DM22" i="20" s="1"/>
  <c r="CS22" i="20"/>
  <c r="CJ42" i="20"/>
  <c r="EH42" i="20"/>
  <c r="BW44" i="20"/>
  <c r="BZ44" i="20" s="1"/>
  <c r="CK48" i="20"/>
  <c r="CO48" i="20" s="1"/>
  <c r="CZ48" i="20"/>
  <c r="EI61" i="20"/>
  <c r="CS61" i="20"/>
  <c r="BW61" i="20"/>
  <c r="BZ61" i="20" s="1"/>
  <c r="CA61" i="20"/>
  <c r="CE61" i="20" s="1"/>
  <c r="DM61" i="20" s="1"/>
  <c r="CB17" i="20"/>
  <c r="DJ17" i="20" s="1"/>
  <c r="CD19" i="20"/>
  <c r="DL19" i="20" s="1"/>
  <c r="CC26" i="20"/>
  <c r="DK26" i="20" s="1"/>
  <c r="CK34" i="20"/>
  <c r="CO34" i="20" s="1"/>
  <c r="CZ34" i="20"/>
  <c r="CA41" i="20"/>
  <c r="CE41" i="20" s="1"/>
  <c r="DM41" i="20" s="1"/>
  <c r="BW41" i="20"/>
  <c r="BZ41" i="20" s="1"/>
  <c r="CC41" i="20"/>
  <c r="DK41" i="20" s="1"/>
  <c r="BY41" i="20"/>
  <c r="CO43" i="20"/>
  <c r="BY44" i="20"/>
  <c r="BV47" i="20"/>
  <c r="BX47" i="20" s="1"/>
  <c r="BY47" i="20" s="1"/>
  <c r="DC59" i="20"/>
  <c r="CT59" i="20"/>
  <c r="CC59" i="20"/>
  <c r="DK59" i="20" s="1"/>
  <c r="BY59" i="20"/>
  <c r="BV59" i="20"/>
  <c r="BX59" i="20" s="1"/>
  <c r="CC19" i="20"/>
  <c r="DK19" i="20" s="1"/>
  <c r="BY19" i="20"/>
  <c r="CA21" i="20"/>
  <c r="CE21" i="20" s="1"/>
  <c r="DM21" i="20" s="1"/>
  <c r="BW21" i="20"/>
  <c r="BZ21" i="20" s="1"/>
  <c r="EI21" i="20"/>
  <c r="CK27" i="20"/>
  <c r="CO27" i="20" s="1"/>
  <c r="CJ29" i="20"/>
  <c r="EW36" i="20"/>
  <c r="CB36" i="20"/>
  <c r="DJ36" i="20" s="1"/>
  <c r="CX36" i="20"/>
  <c r="BX41" i="20"/>
  <c r="DC42" i="20"/>
  <c r="CT42" i="20"/>
  <c r="BW47" i="20"/>
  <c r="BZ47" i="20" s="1"/>
  <c r="CB71" i="20"/>
  <c r="DJ71" i="20" s="1"/>
  <c r="CA73" i="20"/>
  <c r="CE73" i="20" s="1"/>
  <c r="DM73" i="20" s="1"/>
  <c r="EI73" i="20"/>
  <c r="CS73" i="20"/>
  <c r="BW73" i="20"/>
  <c r="BZ73" i="20" s="1"/>
  <c r="CK12" i="20"/>
  <c r="CD13" i="20"/>
  <c r="DL13" i="20" s="1"/>
  <c r="CC14" i="20"/>
  <c r="DK14" i="20" s="1"/>
  <c r="BY14" i="20"/>
  <c r="CB16" i="20"/>
  <c r="DJ16" i="20" s="1"/>
  <c r="CC18" i="20"/>
  <c r="DK18" i="20" s="1"/>
  <c r="BV19" i="20"/>
  <c r="BX19" i="20" s="1"/>
  <c r="CD20" i="20"/>
  <c r="DL20" i="20" s="1"/>
  <c r="EI31" i="20"/>
  <c r="CQ32" i="20"/>
  <c r="CR34" i="20"/>
  <c r="CC35" i="20"/>
  <c r="DK35" i="20" s="1"/>
  <c r="BV35" i="20"/>
  <c r="BX35" i="20" s="1"/>
  <c r="BY35" i="20" s="1"/>
  <c r="CY36" i="20"/>
  <c r="EI41" i="20"/>
  <c r="CA55" i="20"/>
  <c r="CE55" i="20" s="1"/>
  <c r="DM55" i="20" s="1"/>
  <c r="EI55" i="20"/>
  <c r="CC55" i="20"/>
  <c r="DK55" i="20" s="1"/>
  <c r="BY55" i="20"/>
  <c r="CB58" i="20"/>
  <c r="DJ58" i="20" s="1"/>
  <c r="EJ72" i="20"/>
  <c r="EL72" i="20" s="1"/>
  <c r="FT72" i="20"/>
  <c r="CJ72" i="20"/>
  <c r="EH39" i="20"/>
  <c r="EJ46" i="20"/>
  <c r="EL46" i="20" s="1"/>
  <c r="EH47" i="20"/>
  <c r="CB47" i="20"/>
  <c r="DJ47" i="20" s="1"/>
  <c r="CJ47" i="20"/>
  <c r="DC54" i="20"/>
  <c r="CT54" i="20"/>
  <c r="CA57" i="20"/>
  <c r="CE57" i="20" s="1"/>
  <c r="DM57" i="20" s="1"/>
  <c r="BW57" i="20"/>
  <c r="BZ57" i="20" s="1"/>
  <c r="FW65" i="20"/>
  <c r="FW84" i="20"/>
  <c r="CA38" i="20"/>
  <c r="CE38" i="20" s="1"/>
  <c r="DM38" i="20" s="1"/>
  <c r="EI38" i="20"/>
  <c r="CS38" i="20"/>
  <c r="BW38" i="20"/>
  <c r="BZ38" i="20" s="1"/>
  <c r="EI56" i="20"/>
  <c r="CA56" i="20"/>
  <c r="CE56" i="20" s="1"/>
  <c r="DM56" i="20" s="1"/>
  <c r="CC56" i="20"/>
  <c r="DK56" i="20" s="1"/>
  <c r="BY56" i="20"/>
  <c r="CB60" i="20"/>
  <c r="DJ60" i="20" s="1"/>
  <c r="EW60" i="20"/>
  <c r="CZ62" i="20"/>
  <c r="CK62" i="20"/>
  <c r="CO62" i="20" s="1"/>
  <c r="CK64" i="20"/>
  <c r="CZ64" i="20"/>
  <c r="DC65" i="20"/>
  <c r="CT65" i="20"/>
  <c r="EJ99" i="20"/>
  <c r="EL99" i="20" s="1"/>
  <c r="FT99" i="20"/>
  <c r="EW16" i="20"/>
  <c r="CQ21" i="20"/>
  <c r="FU42" i="20"/>
  <c r="EK42" i="20"/>
  <c r="EM42" i="20" s="1"/>
  <c r="FX42" i="20" s="1"/>
  <c r="BY43" i="20"/>
  <c r="FT55" i="20"/>
  <c r="EJ55" i="20"/>
  <c r="EL55" i="20" s="1"/>
  <c r="BV56" i="20"/>
  <c r="BX56" i="20" s="1"/>
  <c r="CB79" i="20"/>
  <c r="DJ79" i="20" s="1"/>
  <c r="EW79" i="20"/>
  <c r="DC98" i="20"/>
  <c r="CT98" i="20"/>
  <c r="CC99" i="20"/>
  <c r="DK99" i="20" s="1"/>
  <c r="BV99" i="20"/>
  <c r="BX99" i="20" s="1"/>
  <c r="BY99" i="20" s="1"/>
  <c r="CR21" i="20"/>
  <c r="BV42" i="20"/>
  <c r="BX42" i="20" s="1"/>
  <c r="BY42" i="20" s="1"/>
  <c r="CJ46" i="20"/>
  <c r="CC54" i="20"/>
  <c r="DK54" i="20" s="1"/>
  <c r="BY54" i="20"/>
  <c r="BW56" i="20"/>
  <c r="BZ56" i="20" s="1"/>
  <c r="CS26" i="20"/>
  <c r="CT32" i="20"/>
  <c r="CZ36" i="20"/>
  <c r="EH44" i="20"/>
  <c r="CJ44" i="20"/>
  <c r="CK63" i="20"/>
  <c r="CZ63" i="20"/>
  <c r="CB59" i="20"/>
  <c r="DJ59" i="20" s="1"/>
  <c r="BV63" i="20"/>
  <c r="BX63" i="20" s="1"/>
  <c r="BY63" i="20" s="1"/>
  <c r="CC63" i="20"/>
  <c r="DK63" i="20" s="1"/>
  <c r="FW78" i="20"/>
  <c r="FY78" i="20" s="1"/>
  <c r="BV34" i="20"/>
  <c r="BX34" i="20" s="1"/>
  <c r="BY34" i="20" s="1"/>
  <c r="CB37" i="20"/>
  <c r="DJ37" i="20" s="1"/>
  <c r="CB38" i="20"/>
  <c r="DJ38" i="20" s="1"/>
  <c r="CA44" i="20"/>
  <c r="CE44" i="20" s="1"/>
  <c r="DM44" i="20" s="1"/>
  <c r="BV46" i="20"/>
  <c r="BX46" i="20" s="1"/>
  <c r="BY46" i="20"/>
  <c r="CS63" i="20"/>
  <c r="BW63" i="20"/>
  <c r="BZ63" i="20" s="1"/>
  <c r="EI63" i="20"/>
  <c r="CA63" i="20"/>
  <c r="CE63" i="20" s="1"/>
  <c r="DM63" i="20" s="1"/>
  <c r="BX70" i="20"/>
  <c r="EK78" i="20"/>
  <c r="EM78" i="20" s="1"/>
  <c r="FX78" i="20" s="1"/>
  <c r="FW89" i="20"/>
  <c r="FY89" i="20" s="1"/>
  <c r="DC53" i="20"/>
  <c r="CS64" i="20"/>
  <c r="CA64" i="20"/>
  <c r="CE64" i="20" s="1"/>
  <c r="DM64" i="20" s="1"/>
  <c r="CC64" i="20"/>
  <c r="DK64" i="20" s="1"/>
  <c r="BV64" i="20"/>
  <c r="BX64" i="20" s="1"/>
  <c r="BY64" i="20" s="1"/>
  <c r="CC69" i="20"/>
  <c r="DK69" i="20" s="1"/>
  <c r="BV69" i="20"/>
  <c r="BX69" i="20" s="1"/>
  <c r="CT53" i="20"/>
  <c r="EJ63" i="20"/>
  <c r="EL63" i="20" s="1"/>
  <c r="FT63" i="20"/>
  <c r="BW64" i="20"/>
  <c r="BZ64" i="20" s="1"/>
  <c r="CB65" i="20"/>
  <c r="DJ65" i="20" s="1"/>
  <c r="CB66" i="20"/>
  <c r="DJ66" i="20" s="1"/>
  <c r="CA69" i="20"/>
  <c r="CE69" i="20" s="1"/>
  <c r="DM69" i="20" s="1"/>
  <c r="BW69" i="20"/>
  <c r="BZ69" i="20" s="1"/>
  <c r="CS69" i="20"/>
  <c r="EI69" i="20"/>
  <c r="CD69" i="20"/>
  <c r="DL69" i="20" s="1"/>
  <c r="DC71" i="20"/>
  <c r="CB73" i="20"/>
  <c r="DJ73" i="20" s="1"/>
  <c r="CB84" i="20"/>
  <c r="DJ84" i="20" s="1"/>
  <c r="EW84" i="20"/>
  <c r="EK84" i="20"/>
  <c r="EM84" i="20" s="1"/>
  <c r="FX84" i="20" s="1"/>
  <c r="FU84" i="20"/>
  <c r="FV84" i="20" s="1"/>
  <c r="FY84" i="20" s="1"/>
  <c r="CQ98" i="20"/>
  <c r="CB51" i="20"/>
  <c r="DJ51" i="20" s="1"/>
  <c r="CJ58" i="20"/>
  <c r="EH58" i="20"/>
  <c r="BV68" i="20"/>
  <c r="BX68" i="20" s="1"/>
  <c r="BY68" i="20" s="1"/>
  <c r="CC68" i="20"/>
  <c r="DK68" i="20" s="1"/>
  <c r="CJ71" i="20"/>
  <c r="EH71" i="20"/>
  <c r="CA93" i="20"/>
  <c r="CE93" i="20" s="1"/>
  <c r="DM93" i="20" s="1"/>
  <c r="EI93" i="20"/>
  <c r="CS93" i="20"/>
  <c r="BW93" i="20"/>
  <c r="BZ93" i="20" s="1"/>
  <c r="CD93" i="20"/>
  <c r="DL93" i="20" s="1"/>
  <c r="FT95" i="20"/>
  <c r="FV95" i="20" s="1"/>
  <c r="EJ95" i="20"/>
  <c r="EL95" i="20" s="1"/>
  <c r="CX98" i="20"/>
  <c r="FT32" i="20"/>
  <c r="FV32" i="20" s="1"/>
  <c r="CR39" i="20"/>
  <c r="CS48" i="20"/>
  <c r="CJ52" i="20"/>
  <c r="FU53" i="20"/>
  <c r="EK53" i="20"/>
  <c r="EM53" i="20" s="1"/>
  <c r="FX53" i="20" s="1"/>
  <c r="CK59" i="20"/>
  <c r="CZ59" i="20"/>
  <c r="CQ60" i="20"/>
  <c r="EI68" i="20"/>
  <c r="CS68" i="20"/>
  <c r="CA68" i="20"/>
  <c r="CE68" i="20" s="1"/>
  <c r="DM68" i="20" s="1"/>
  <c r="BW68" i="20"/>
  <c r="BZ68" i="20" s="1"/>
  <c r="BV71" i="20"/>
  <c r="BX71" i="20" s="1"/>
  <c r="BY71" i="20" s="1"/>
  <c r="CC71" i="20"/>
  <c r="DK71" i="20" s="1"/>
  <c r="CB94" i="20"/>
  <c r="DJ94" i="20" s="1"/>
  <c r="FU95" i="20"/>
  <c r="EK95" i="20"/>
  <c r="EM95" i="20" s="1"/>
  <c r="FX95" i="20" s="1"/>
  <c r="CJ97" i="20"/>
  <c r="EH97" i="20"/>
  <c r="EH101" i="20"/>
  <c r="CJ101" i="20"/>
  <c r="CB101" i="20"/>
  <c r="DJ101" i="20" s="1"/>
  <c r="CR45" i="20"/>
  <c r="BV52" i="20"/>
  <c r="BX52" i="20" s="1"/>
  <c r="BY52" i="20" s="1"/>
  <c r="CC52" i="20"/>
  <c r="DK52" i="20" s="1"/>
  <c r="FW56" i="20"/>
  <c r="FT66" i="20"/>
  <c r="EJ66" i="20"/>
  <c r="EL66" i="20" s="1"/>
  <c r="BW71" i="20"/>
  <c r="BZ71" i="20" s="1"/>
  <c r="EI71" i="20"/>
  <c r="CA71" i="20"/>
  <c r="CE71" i="20" s="1"/>
  <c r="DM71" i="20" s="1"/>
  <c r="CD30" i="20"/>
  <c r="DL30" i="20" s="1"/>
  <c r="CO45" i="20"/>
  <c r="CQ45" i="20" s="1"/>
  <c r="CJ50" i="20"/>
  <c r="EI52" i="20"/>
  <c r="CS52" i="20"/>
  <c r="CA52" i="20"/>
  <c r="CE52" i="20" s="1"/>
  <c r="DM52" i="20" s="1"/>
  <c r="CT72" i="20"/>
  <c r="BY72" i="20"/>
  <c r="CS47" i="20"/>
  <c r="CK49" i="20"/>
  <c r="CO49" i="20" s="1"/>
  <c r="FT49" i="20"/>
  <c r="EJ49" i="20"/>
  <c r="EL49" i="20" s="1"/>
  <c r="EJ50" i="20"/>
  <c r="EL50" i="20" s="1"/>
  <c r="FT50" i="20"/>
  <c r="CD54" i="20"/>
  <c r="DL54" i="20" s="1"/>
  <c r="EI54" i="20"/>
  <c r="BW54" i="20"/>
  <c r="BZ54" i="20" s="1"/>
  <c r="CB57" i="20"/>
  <c r="DJ57" i="20" s="1"/>
  <c r="CO64" i="20"/>
  <c r="BY69" i="20"/>
  <c r="DC76" i="20"/>
  <c r="CT76" i="20"/>
  <c r="CB80" i="20"/>
  <c r="DJ80" i="20" s="1"/>
  <c r="CZ84" i="20"/>
  <c r="CK84" i="20"/>
  <c r="CO84" i="20" s="1"/>
  <c r="CP84" i="20" s="1"/>
  <c r="CT92" i="20"/>
  <c r="DC92" i="20"/>
  <c r="BW32" i="20"/>
  <c r="BZ32" i="20" s="1"/>
  <c r="EX32" i="20" s="1"/>
  <c r="EZ32" i="20" s="1"/>
  <c r="FA32" i="20" s="1"/>
  <c r="CC45" i="20"/>
  <c r="DK45" i="20" s="1"/>
  <c r="BV45" i="20"/>
  <c r="BX45" i="20" s="1"/>
  <c r="CP56" i="20"/>
  <c r="CQ56" i="20"/>
  <c r="CA59" i="20"/>
  <c r="CE59" i="20" s="1"/>
  <c r="DM59" i="20" s="1"/>
  <c r="EI59" i="20"/>
  <c r="BW59" i="20"/>
  <c r="BZ59" i="20" s="1"/>
  <c r="EJ68" i="20"/>
  <c r="EL68" i="20" s="1"/>
  <c r="FT68" i="20"/>
  <c r="EH45" i="20"/>
  <c r="EI51" i="20"/>
  <c r="CS51" i="20"/>
  <c r="CB52" i="20"/>
  <c r="DJ52" i="20" s="1"/>
  <c r="CQ99" i="20"/>
  <c r="BW39" i="20"/>
  <c r="BZ39" i="20" s="1"/>
  <c r="BW48" i="20"/>
  <c r="BZ48" i="20" s="1"/>
  <c r="CK54" i="20"/>
  <c r="CD57" i="20"/>
  <c r="DL57" i="20" s="1"/>
  <c r="CC92" i="20"/>
  <c r="DK92" i="20" s="1"/>
  <c r="BV92" i="20"/>
  <c r="BX92" i="20" s="1"/>
  <c r="BY92" i="20"/>
  <c r="EI39" i="20"/>
  <c r="CA51" i="20"/>
  <c r="CE51" i="20" s="1"/>
  <c r="DM51" i="20" s="1"/>
  <c r="CJ53" i="20"/>
  <c r="CA58" i="20"/>
  <c r="CE58" i="20" s="1"/>
  <c r="DM58" i="20" s="1"/>
  <c r="BW67" i="20"/>
  <c r="BZ67" i="20" s="1"/>
  <c r="CB86" i="20"/>
  <c r="DJ86" i="20" s="1"/>
  <c r="FT88" i="20"/>
  <c r="FV88" i="20" s="1"/>
  <c r="EJ88" i="20"/>
  <c r="EL88" i="20" s="1"/>
  <c r="CA92" i="20"/>
  <c r="CE92" i="20" s="1"/>
  <c r="DM92" i="20" s="1"/>
  <c r="BW92" i="20"/>
  <c r="BZ92" i="20" s="1"/>
  <c r="CK69" i="20"/>
  <c r="EH73" i="20"/>
  <c r="CJ73" i="20"/>
  <c r="CZ78" i="20"/>
  <c r="FU88" i="20"/>
  <c r="EK88" i="20"/>
  <c r="EM88" i="20" s="1"/>
  <c r="FX88" i="20" s="1"/>
  <c r="EK92" i="20"/>
  <c r="EM92" i="20" s="1"/>
  <c r="FX92" i="20" s="1"/>
  <c r="FU92" i="20"/>
  <c r="CD43" i="20"/>
  <c r="DL43" i="20" s="1"/>
  <c r="CO59" i="20"/>
  <c r="EH67" i="20"/>
  <c r="CJ67" i="20"/>
  <c r="BV73" i="20"/>
  <c r="BX73" i="20" s="1"/>
  <c r="BY73" i="20" s="1"/>
  <c r="CK78" i="20"/>
  <c r="CZ94" i="20"/>
  <c r="CK94" i="20"/>
  <c r="CA50" i="20"/>
  <c r="CE50" i="20" s="1"/>
  <c r="DM50" i="20" s="1"/>
  <c r="BW53" i="20"/>
  <c r="BZ53" i="20" s="1"/>
  <c r="BW62" i="20"/>
  <c r="BZ62" i="20" s="1"/>
  <c r="FU66" i="20"/>
  <c r="EK66" i="20"/>
  <c r="EM66" i="20" s="1"/>
  <c r="FX66" i="20" s="1"/>
  <c r="BY70" i="20"/>
  <c r="CD71" i="20"/>
  <c r="DL71" i="20" s="1"/>
  <c r="EH75" i="20"/>
  <c r="CJ75" i="20"/>
  <c r="CB75" i="20"/>
  <c r="DJ75" i="20" s="1"/>
  <c r="CZ79" i="20"/>
  <c r="CB92" i="20"/>
  <c r="DJ92" i="20" s="1"/>
  <c r="CZ93" i="20"/>
  <c r="CK93" i="20"/>
  <c r="CJ96" i="20"/>
  <c r="EH96" i="20"/>
  <c r="CB96" i="20"/>
  <c r="DJ96" i="20" s="1"/>
  <c r="BV101" i="20"/>
  <c r="BX101" i="20" s="1"/>
  <c r="BY101" i="20" s="1"/>
  <c r="CC101" i="20"/>
  <c r="DK101" i="20" s="1"/>
  <c r="CD61" i="20"/>
  <c r="DL61" i="20" s="1"/>
  <c r="CZ68" i="20"/>
  <c r="BV75" i="20"/>
  <c r="BX75" i="20" s="1"/>
  <c r="CC75" i="20"/>
  <c r="DK75" i="20" s="1"/>
  <c r="BY75" i="20"/>
  <c r="CR79" i="20"/>
  <c r="CP79" i="20"/>
  <c r="CY79" i="20" s="1"/>
  <c r="CR84" i="20"/>
  <c r="EI91" i="20"/>
  <c r="CS91" i="20"/>
  <c r="CA91" i="20"/>
  <c r="CE91" i="20" s="1"/>
  <c r="DM91" i="20" s="1"/>
  <c r="BV96" i="20"/>
  <c r="BX96" i="20" s="1"/>
  <c r="BY96" i="20" s="1"/>
  <c r="BW101" i="20"/>
  <c r="BZ101" i="20" s="1"/>
  <c r="CD101" i="20"/>
  <c r="DL101" i="20" s="1"/>
  <c r="CA101" i="20"/>
  <c r="CE101" i="20" s="1"/>
  <c r="DM101" i="20" s="1"/>
  <c r="CS101" i="20"/>
  <c r="EI101" i="20"/>
  <c r="CR60" i="20"/>
  <c r="CK68" i="20"/>
  <c r="CO68" i="20" s="1"/>
  <c r="BW75" i="20"/>
  <c r="BZ75" i="20" s="1"/>
  <c r="CO78" i="20"/>
  <c r="CQ78" i="20" s="1"/>
  <c r="CQ79" i="20"/>
  <c r="BW81" i="20"/>
  <c r="BZ81" i="20" s="1"/>
  <c r="CS81" i="20"/>
  <c r="EI81" i="20"/>
  <c r="CA81" i="20"/>
  <c r="CE81" i="20" s="1"/>
  <c r="DM81" i="20" s="1"/>
  <c r="CC86" i="20"/>
  <c r="DK86" i="20" s="1"/>
  <c r="BV86" i="20"/>
  <c r="BX86" i="20" s="1"/>
  <c r="BY86" i="20" s="1"/>
  <c r="BV91" i="20"/>
  <c r="BX91" i="20" s="1"/>
  <c r="EI98" i="20"/>
  <c r="BW98" i="20"/>
  <c r="BZ98" i="20" s="1"/>
  <c r="CC98" i="20"/>
  <c r="DK98" i="20" s="1"/>
  <c r="BV98" i="20"/>
  <c r="BX98" i="20" s="1"/>
  <c r="EI50" i="20"/>
  <c r="CJ55" i="20"/>
  <c r="CO60" i="20"/>
  <c r="CP60" i="20" s="1"/>
  <c r="CB61" i="20"/>
  <c r="DJ61" i="20" s="1"/>
  <c r="CS62" i="20"/>
  <c r="CO74" i="20"/>
  <c r="CQ74" i="20" s="1"/>
  <c r="DC82" i="20"/>
  <c r="CJ83" i="20"/>
  <c r="EH83" i="20"/>
  <c r="CA86" i="20"/>
  <c r="CE86" i="20" s="1"/>
  <c r="DM86" i="20" s="1"/>
  <c r="EI86" i="20"/>
  <c r="CS86" i="20"/>
  <c r="BW86" i="20"/>
  <c r="BZ86" i="20" s="1"/>
  <c r="BW91" i="20"/>
  <c r="BZ91" i="20" s="1"/>
  <c r="CB97" i="20"/>
  <c r="DJ97" i="20" s="1"/>
  <c r="BY60" i="20"/>
  <c r="CC60" i="20"/>
  <c r="DK60" i="20" s="1"/>
  <c r="BY65" i="20"/>
  <c r="CA76" i="20"/>
  <c r="CE76" i="20" s="1"/>
  <c r="DM76" i="20" s="1"/>
  <c r="EI76" i="20"/>
  <c r="BW76" i="20"/>
  <c r="BZ76" i="20" s="1"/>
  <c r="CC76" i="20"/>
  <c r="DK76" i="20" s="1"/>
  <c r="BY76" i="20"/>
  <c r="BV76" i="20"/>
  <c r="BX76" i="20" s="1"/>
  <c r="CT82" i="20"/>
  <c r="CC85" i="20"/>
  <c r="DK85" i="20" s="1"/>
  <c r="BV85" i="20"/>
  <c r="BX85" i="20" s="1"/>
  <c r="EX85" i="20" s="1"/>
  <c r="CB50" i="20"/>
  <c r="DJ50" i="20" s="1"/>
  <c r="EI60" i="20"/>
  <c r="CS60" i="20"/>
  <c r="EI65" i="20"/>
  <c r="CC70" i="20"/>
  <c r="DK70" i="20" s="1"/>
  <c r="BY91" i="20"/>
  <c r="CO100" i="20"/>
  <c r="CJ51" i="20"/>
  <c r="CO69" i="20"/>
  <c r="BW78" i="20"/>
  <c r="BZ78" i="20" s="1"/>
  <c r="CS78" i="20"/>
  <c r="CA78" i="20"/>
  <c r="CE78" i="20" s="1"/>
  <c r="DM78" i="20" s="1"/>
  <c r="FV77" i="20"/>
  <c r="EK85" i="20"/>
  <c r="EM85" i="20" s="1"/>
  <c r="FX85" i="20" s="1"/>
  <c r="FU85" i="20"/>
  <c r="FV85" i="20" s="1"/>
  <c r="FY85" i="20" s="1"/>
  <c r="CB98" i="20"/>
  <c r="DJ98" i="20" s="1"/>
  <c r="EW98" i="20"/>
  <c r="CK80" i="20"/>
  <c r="CO80" i="20" s="1"/>
  <c r="CQ84" i="20"/>
  <c r="FW85" i="20"/>
  <c r="CK88" i="20"/>
  <c r="CO88" i="20" s="1"/>
  <c r="CZ88" i="20"/>
  <c r="CA90" i="20"/>
  <c r="CE90" i="20" s="1"/>
  <c r="DM90" i="20" s="1"/>
  <c r="BW90" i="20"/>
  <c r="BZ90" i="20" s="1"/>
  <c r="BV90" i="20"/>
  <c r="BX90" i="20" s="1"/>
  <c r="BY90" i="20" s="1"/>
  <c r="FW91" i="20"/>
  <c r="EH59" i="20"/>
  <c r="BW79" i="20"/>
  <c r="BZ79" i="20" s="1"/>
  <c r="CC90" i="20"/>
  <c r="DK90" i="20" s="1"/>
  <c r="EJ79" i="20"/>
  <c r="EL79" i="20" s="1"/>
  <c r="FT79" i="20"/>
  <c r="FV90" i="20"/>
  <c r="FW98" i="20"/>
  <c r="BV88" i="20"/>
  <c r="BX88" i="20" s="1"/>
  <c r="BY88" i="20" s="1"/>
  <c r="CR93" i="20"/>
  <c r="DC95" i="20"/>
  <c r="CT95" i="20"/>
  <c r="CJ65" i="20"/>
  <c r="DC67" i="20"/>
  <c r="CX84" i="20"/>
  <c r="EH87" i="20"/>
  <c r="CJ87" i="20"/>
  <c r="EJ90" i="20"/>
  <c r="EL90" i="20" s="1"/>
  <c r="CO93" i="20"/>
  <c r="CT67" i="20"/>
  <c r="CY84" i="20"/>
  <c r="CP85" i="20"/>
  <c r="CY85" i="20" s="1"/>
  <c r="BY87" i="20"/>
  <c r="BV87" i="20"/>
  <c r="BX87" i="20" s="1"/>
  <c r="CC87" i="20"/>
  <c r="DK87" i="20" s="1"/>
  <c r="EK90" i="20"/>
  <c r="EM90" i="20" s="1"/>
  <c r="FX90" i="20" s="1"/>
  <c r="EH60" i="20"/>
  <c r="EW85" i="20"/>
  <c r="EI87" i="20"/>
  <c r="CS87" i="20"/>
  <c r="BW87" i="20"/>
  <c r="BZ87" i="20" s="1"/>
  <c r="CA87" i="20"/>
  <c r="CE87" i="20" s="1"/>
  <c r="DM87" i="20" s="1"/>
  <c r="CD89" i="20"/>
  <c r="DL89" i="20" s="1"/>
  <c r="CA89" i="20"/>
  <c r="CE89" i="20" s="1"/>
  <c r="DM89" i="20" s="1"/>
  <c r="BW89" i="20"/>
  <c r="BZ89" i="20" s="1"/>
  <c r="CS89" i="20"/>
  <c r="CD87" i="20"/>
  <c r="DL87" i="20" s="1"/>
  <c r="CD92" i="20"/>
  <c r="DL92" i="20" s="1"/>
  <c r="EH93" i="20"/>
  <c r="CR74" i="20"/>
  <c r="CX79" i="20"/>
  <c r="DC88" i="20"/>
  <c r="BV93" i="20"/>
  <c r="BX93" i="20" s="1"/>
  <c r="BY93" i="20" s="1"/>
  <c r="CK100" i="20"/>
  <c r="CD68" i="20"/>
  <c r="DL68" i="20" s="1"/>
  <c r="EI72" i="20"/>
  <c r="EI74" i="20"/>
  <c r="CS74" i="20"/>
  <c r="BW74" i="20"/>
  <c r="BZ74" i="20" s="1"/>
  <c r="CX85" i="20"/>
  <c r="CO94" i="20"/>
  <c r="CK95" i="20"/>
  <c r="CO95" i="20" s="1"/>
  <c r="CZ95" i="20"/>
  <c r="CJ66" i="20"/>
  <c r="EH70" i="20"/>
  <c r="BV72" i="20"/>
  <c r="BX72" i="20" s="1"/>
  <c r="BY77" i="20"/>
  <c r="CD78" i="20"/>
  <c r="DL78" i="20" s="1"/>
  <c r="CC79" i="20"/>
  <c r="DK79" i="20" s="1"/>
  <c r="BY79" i="20"/>
  <c r="CT83" i="20"/>
  <c r="CO91" i="20"/>
  <c r="CR91" i="20" s="1"/>
  <c r="EH94" i="20"/>
  <c r="CJ70" i="20"/>
  <c r="BW72" i="20"/>
  <c r="BZ72" i="20" s="1"/>
  <c r="CJ76" i="20"/>
  <c r="CB76" i="20"/>
  <c r="DJ76" i="20" s="1"/>
  <c r="BV79" i="20"/>
  <c r="BX79" i="20" s="1"/>
  <c r="BV94" i="20"/>
  <c r="BX94" i="20" s="1"/>
  <c r="BY94" i="20" s="1"/>
  <c r="CC94" i="20"/>
  <c r="DK94" i="20" s="1"/>
  <c r="CB67" i="20"/>
  <c r="DJ67" i="20" s="1"/>
  <c r="EI70" i="20"/>
  <c r="CS70" i="20"/>
  <c r="EI94" i="20"/>
  <c r="CS94" i="20"/>
  <c r="BW94" i="20"/>
  <c r="BZ94" i="20" s="1"/>
  <c r="CA94" i="20"/>
  <c r="CE94" i="20" s="1"/>
  <c r="DM94" i="20" s="1"/>
  <c r="EH100" i="20"/>
  <c r="CB69" i="20"/>
  <c r="DJ69" i="20" s="1"/>
  <c r="BV95" i="20"/>
  <c r="BX95" i="20" s="1"/>
  <c r="BY95" i="20" s="1"/>
  <c r="CC95" i="20"/>
  <c r="DK95" i="20" s="1"/>
  <c r="CS96" i="20"/>
  <c r="BW96" i="20"/>
  <c r="BZ96" i="20" s="1"/>
  <c r="EI96" i="20"/>
  <c r="BV100" i="20"/>
  <c r="BX100" i="20" s="1"/>
  <c r="BY100" i="20" s="1"/>
  <c r="CC100" i="20"/>
  <c r="DK100" i="20" s="1"/>
  <c r="CC67" i="20"/>
  <c r="DK67" i="20" s="1"/>
  <c r="EJ76" i="20"/>
  <c r="EL76" i="20" s="1"/>
  <c r="BY83" i="20"/>
  <c r="DC85" i="20"/>
  <c r="EH86" i="20"/>
  <c r="CJ86" i="20"/>
  <c r="CA95" i="20"/>
  <c r="CE95" i="20" s="1"/>
  <c r="DM95" i="20" s="1"/>
  <c r="BW95" i="20"/>
  <c r="BZ95" i="20" s="1"/>
  <c r="CA98" i="20"/>
  <c r="CE98" i="20" s="1"/>
  <c r="DM98" i="20" s="1"/>
  <c r="CA100" i="20"/>
  <c r="CE100" i="20" s="1"/>
  <c r="DM100" i="20" s="1"/>
  <c r="EI100" i="20"/>
  <c r="CS100" i="20"/>
  <c r="BW100" i="20"/>
  <c r="BZ100" i="20" s="1"/>
  <c r="CA99" i="20"/>
  <c r="CE99" i="20" s="1"/>
  <c r="DM99" i="20" s="1"/>
  <c r="EI99" i="20"/>
  <c r="CS99" i="20"/>
  <c r="CK90" i="20"/>
  <c r="CZ90" i="20"/>
  <c r="EX90" i="20" s="1"/>
  <c r="CB93" i="20"/>
  <c r="DJ93" i="20" s="1"/>
  <c r="EH74" i="20"/>
  <c r="EI75" i="20"/>
  <c r="CJ77" i="20"/>
  <c r="BV84" i="20"/>
  <c r="BX84" i="20" s="1"/>
  <c r="BY84" i="20" s="1"/>
  <c r="BV97" i="20"/>
  <c r="BX97" i="20" s="1"/>
  <c r="BY97" i="20" s="1"/>
  <c r="BY74" i="20"/>
  <c r="BV74" i="20"/>
  <c r="BX74" i="20" s="1"/>
  <c r="EH81" i="20"/>
  <c r="CJ81" i="20"/>
  <c r="CJ82" i="20"/>
  <c r="BW84" i="20"/>
  <c r="BZ84" i="20" s="1"/>
  <c r="CS84" i="20"/>
  <c r="CK91" i="20"/>
  <c r="BW97" i="20"/>
  <c r="BZ97" i="20" s="1"/>
  <c r="CS97" i="20"/>
  <c r="CB99" i="20"/>
  <c r="DJ99" i="20" s="1"/>
  <c r="BV81" i="20"/>
  <c r="BX81" i="20" s="1"/>
  <c r="BY81" i="20" s="1"/>
  <c r="CD99" i="20"/>
  <c r="DL99" i="20" s="1"/>
  <c r="CS75" i="20"/>
  <c r="EH80" i="20"/>
  <c r="EH82" i="20"/>
  <c r="CA85" i="20"/>
  <c r="CE85" i="20" s="1"/>
  <c r="DM85" i="20" s="1"/>
  <c r="BW88" i="20"/>
  <c r="BZ88" i="20" s="1"/>
  <c r="BW99" i="20"/>
  <c r="BZ99" i="20" s="1"/>
  <c r="BV78" i="20"/>
  <c r="BX78" i="20" s="1"/>
  <c r="BY78" i="20" s="1"/>
  <c r="CA79" i="20"/>
  <c r="CE79" i="20" s="1"/>
  <c r="DM79" i="20" s="1"/>
  <c r="EI79" i="20"/>
  <c r="CS79" i="20"/>
  <c r="CR80" i="20"/>
  <c r="CQ88" i="20"/>
  <c r="CA80" i="20"/>
  <c r="CE80" i="20" s="1"/>
  <c r="DM80" i="20" s="1"/>
  <c r="EI80" i="20"/>
  <c r="CS80" i="20"/>
  <c r="BW80" i="20"/>
  <c r="BZ80" i="20" s="1"/>
  <c r="CK89" i="20"/>
  <c r="CO89" i="20" s="1"/>
  <c r="EJ9" i="23" l="1"/>
  <c r="DL19" i="23"/>
  <c r="DQ93" i="23"/>
  <c r="DR93" i="23" s="1"/>
  <c r="DQ98" i="23"/>
  <c r="DR98" i="23" s="1"/>
  <c r="DQ45" i="23"/>
  <c r="DR45" i="23" s="1"/>
  <c r="DQ25" i="23"/>
  <c r="DR25" i="23" s="1"/>
  <c r="DQ74" i="23"/>
  <c r="DR74" i="23" s="1"/>
  <c r="DE9" i="23"/>
  <c r="DF9" i="23" s="1"/>
  <c r="EK9" i="23" s="1"/>
  <c r="DQ34" i="23"/>
  <c r="DR34" i="23" s="1"/>
  <c r="DD97" i="23"/>
  <c r="CA92" i="23"/>
  <c r="CL92" i="23" s="1"/>
  <c r="CH92" i="23"/>
  <c r="CB101" i="23"/>
  <c r="BQ101" i="23"/>
  <c r="CD101" i="23" s="1"/>
  <c r="BX65" i="23"/>
  <c r="CI65" i="23" s="1"/>
  <c r="DN65" i="23"/>
  <c r="DO77" i="23"/>
  <c r="CG77" i="23"/>
  <c r="BR51" i="23"/>
  <c r="CE51" i="23" s="1"/>
  <c r="DK51" i="23" s="1"/>
  <c r="CC51" i="23"/>
  <c r="DJ51" i="23" s="1"/>
  <c r="BZ64" i="23"/>
  <c r="CK64" i="23" s="1"/>
  <c r="DE45" i="23"/>
  <c r="DF45" i="23" s="1"/>
  <c r="DQ60" i="23"/>
  <c r="DR60" i="23" s="1"/>
  <c r="DE40" i="23"/>
  <c r="DF40" i="23" s="1"/>
  <c r="BR49" i="23"/>
  <c r="CE49" i="23" s="1"/>
  <c r="DK49" i="23" s="1"/>
  <c r="CC49" i="23"/>
  <c r="DJ49" i="23" s="1"/>
  <c r="DL49" i="23" s="1"/>
  <c r="DN92" i="23"/>
  <c r="DQ92" i="23" s="1"/>
  <c r="DR92" i="23" s="1"/>
  <c r="BX92" i="23"/>
  <c r="CI92" i="23" s="1"/>
  <c r="EI36" i="23"/>
  <c r="CC22" i="23"/>
  <c r="BR22" i="23"/>
  <c r="CE22" i="23" s="1"/>
  <c r="DK22" i="23" s="1"/>
  <c r="DD98" i="23"/>
  <c r="CH33" i="23"/>
  <c r="CA33" i="23"/>
  <c r="CL33" i="23" s="1"/>
  <c r="DO10" i="23"/>
  <c r="DQ10" i="23" s="1"/>
  <c r="DR10" i="23" s="1"/>
  <c r="CG10" i="23"/>
  <c r="DL10" i="23" s="1"/>
  <c r="BW10" i="23"/>
  <c r="BY10" i="23" s="1"/>
  <c r="CJ10" i="23" s="1"/>
  <c r="CG50" i="23"/>
  <c r="BY50" i="23"/>
  <c r="CJ50" i="23" s="1"/>
  <c r="DO50" i="23"/>
  <c r="CA22" i="23"/>
  <c r="CL22" i="23" s="1"/>
  <c r="CH22" i="23"/>
  <c r="DJ22" i="23"/>
  <c r="CA82" i="23"/>
  <c r="CL82" i="23" s="1"/>
  <c r="CH82" i="23"/>
  <c r="CX100" i="23"/>
  <c r="BX101" i="23"/>
  <c r="CI101" i="23" s="1"/>
  <c r="DN101" i="23"/>
  <c r="DQ101" i="23" s="1"/>
  <c r="DR101" i="23" s="1"/>
  <c r="DK99" i="23"/>
  <c r="CH69" i="23"/>
  <c r="CA69" i="23"/>
  <c r="CL69" i="23" s="1"/>
  <c r="CB75" i="23"/>
  <c r="DJ75" i="23" s="1"/>
  <c r="BQ75" i="23"/>
  <c r="CD75" i="23" s="1"/>
  <c r="DL81" i="23"/>
  <c r="CA64" i="23"/>
  <c r="CL64" i="23" s="1"/>
  <c r="CH64" i="23"/>
  <c r="DQ62" i="23"/>
  <c r="DR62" i="23" s="1"/>
  <c r="EI39" i="23"/>
  <c r="EI64" i="23"/>
  <c r="CH65" i="23"/>
  <c r="DO65" i="23"/>
  <c r="CA65" i="23"/>
  <c r="CL65" i="23" s="1"/>
  <c r="CG37" i="23"/>
  <c r="DO37" i="23"/>
  <c r="EI29" i="23"/>
  <c r="DQ55" i="23"/>
  <c r="DR55" i="23" s="1"/>
  <c r="DQ58" i="23"/>
  <c r="DR58" i="23" s="1"/>
  <c r="CX35" i="23"/>
  <c r="DK29" i="23"/>
  <c r="CC23" i="23"/>
  <c r="DJ23" i="23" s="1"/>
  <c r="BR23" i="23"/>
  <c r="CE23" i="23" s="1"/>
  <c r="DK23" i="23" s="1"/>
  <c r="BQ27" i="23"/>
  <c r="CD27" i="23" s="1"/>
  <c r="DK27" i="23" s="1"/>
  <c r="CB27" i="23"/>
  <c r="DJ27" i="23" s="1"/>
  <c r="BR24" i="23"/>
  <c r="CE24" i="23" s="1"/>
  <c r="CC24" i="23"/>
  <c r="BX5" i="23"/>
  <c r="CI5" i="23" s="1"/>
  <c r="DN5" i="23"/>
  <c r="DQ5" i="23" s="1"/>
  <c r="DR5" i="23" s="1"/>
  <c r="DN33" i="23"/>
  <c r="BX33" i="23"/>
  <c r="CI33" i="23" s="1"/>
  <c r="DE7" i="23"/>
  <c r="DF7" i="23" s="1"/>
  <c r="DK4" i="23"/>
  <c r="DL71" i="23"/>
  <c r="BX71" i="23"/>
  <c r="CI71" i="23" s="1"/>
  <c r="DN71" i="23"/>
  <c r="DQ71" i="23" s="1"/>
  <c r="DR71" i="23" s="1"/>
  <c r="CB76" i="23"/>
  <c r="DJ76" i="23" s="1"/>
  <c r="BQ76" i="23"/>
  <c r="CD76" i="23" s="1"/>
  <c r="DK76" i="23" s="1"/>
  <c r="CA60" i="23"/>
  <c r="CL60" i="23" s="1"/>
  <c r="CH60" i="23"/>
  <c r="DN61" i="23"/>
  <c r="EI61" i="23"/>
  <c r="BX54" i="23"/>
  <c r="CI54" i="23" s="1"/>
  <c r="DN54" i="23"/>
  <c r="BQ60" i="23"/>
  <c r="CD60" i="23" s="1"/>
  <c r="CB60" i="23"/>
  <c r="EI32" i="23"/>
  <c r="CX24" i="23"/>
  <c r="DD60" i="23"/>
  <c r="DE60" i="23" s="1"/>
  <c r="DF60" i="23" s="1"/>
  <c r="DQ22" i="23"/>
  <c r="DR22" i="23" s="1"/>
  <c r="DD12" i="23"/>
  <c r="CX44" i="23"/>
  <c r="DE44" i="23" s="1"/>
  <c r="DF44" i="23" s="1"/>
  <c r="DJ52" i="23"/>
  <c r="CX22" i="23"/>
  <c r="CA54" i="23"/>
  <c r="CL54" i="23" s="1"/>
  <c r="CH54" i="23"/>
  <c r="EI21" i="23"/>
  <c r="BX6" i="23"/>
  <c r="CI6" i="23" s="1"/>
  <c r="DN6" i="23"/>
  <c r="DK3" i="23"/>
  <c r="CB31" i="23"/>
  <c r="BQ31" i="23"/>
  <c r="CD31" i="23" s="1"/>
  <c r="CC30" i="23"/>
  <c r="DJ30" i="23" s="1"/>
  <c r="BR30" i="23"/>
  <c r="CE30" i="23" s="1"/>
  <c r="DK30" i="23" s="1"/>
  <c r="EI83" i="23"/>
  <c r="CG63" i="23"/>
  <c r="BW63" i="23"/>
  <c r="BY63" i="23" s="1"/>
  <c r="CJ63" i="23" s="1"/>
  <c r="DO63" i="23"/>
  <c r="CX28" i="23"/>
  <c r="CG6" i="23"/>
  <c r="BW6" i="23"/>
  <c r="BY6" i="23" s="1"/>
  <c r="CJ6" i="23" s="1"/>
  <c r="DO6" i="23"/>
  <c r="DQ6" i="23" s="1"/>
  <c r="DR6" i="23" s="1"/>
  <c r="DN13" i="23"/>
  <c r="BX13" i="23"/>
  <c r="CI13" i="23" s="1"/>
  <c r="BX31" i="23"/>
  <c r="CI31" i="23" s="1"/>
  <c r="DN31" i="23"/>
  <c r="DJ7" i="23"/>
  <c r="BZ78" i="23"/>
  <c r="CK78" i="23" s="1"/>
  <c r="DL78" i="23"/>
  <c r="DE86" i="23"/>
  <c r="DF86" i="23" s="1"/>
  <c r="CX88" i="23"/>
  <c r="BR87" i="23"/>
  <c r="CE87" i="23" s="1"/>
  <c r="CC87" i="23"/>
  <c r="CC92" i="23"/>
  <c r="BR92" i="23"/>
  <c r="CE92" i="23" s="1"/>
  <c r="BX98" i="23"/>
  <c r="CI98" i="23" s="1"/>
  <c r="DN98" i="23"/>
  <c r="CB91" i="23"/>
  <c r="DJ91" i="23" s="1"/>
  <c r="BQ91" i="23"/>
  <c r="CD91" i="23" s="1"/>
  <c r="DK91" i="23" s="1"/>
  <c r="BQ94" i="23"/>
  <c r="CD94" i="23" s="1"/>
  <c r="DK94" i="23" s="1"/>
  <c r="CB94" i="23"/>
  <c r="CX66" i="23"/>
  <c r="CA70" i="23"/>
  <c r="CL70" i="23" s="1"/>
  <c r="CH70" i="23"/>
  <c r="CA46" i="23"/>
  <c r="CL46" i="23" s="1"/>
  <c r="CH46" i="23"/>
  <c r="BR37" i="23"/>
  <c r="CE37" i="23" s="1"/>
  <c r="DK37" i="23" s="1"/>
  <c r="CC37" i="23"/>
  <c r="DJ37" i="23" s="1"/>
  <c r="BR67" i="23"/>
  <c r="CE67" i="23" s="1"/>
  <c r="CC67" i="23"/>
  <c r="BY54" i="23"/>
  <c r="CJ54" i="23" s="1"/>
  <c r="CG54" i="23"/>
  <c r="DO54" i="23"/>
  <c r="DQ54" i="23" s="1"/>
  <c r="DR54" i="23" s="1"/>
  <c r="DQ32" i="23"/>
  <c r="DR32" i="23" s="1"/>
  <c r="CC20" i="23"/>
  <c r="DJ20" i="23" s="1"/>
  <c r="BR20" i="23"/>
  <c r="CE20" i="23" s="1"/>
  <c r="DK20" i="23" s="1"/>
  <c r="EI16" i="23"/>
  <c r="EI37" i="23"/>
  <c r="EI22" i="23"/>
  <c r="DO12" i="23"/>
  <c r="CA12" i="23"/>
  <c r="CL12" i="23" s="1"/>
  <c r="CH12" i="23"/>
  <c r="DD44" i="23"/>
  <c r="DD22" i="23"/>
  <c r="EI96" i="23"/>
  <c r="DO82" i="23"/>
  <c r="EI84" i="23"/>
  <c r="DL99" i="23"/>
  <c r="EJ99" i="23" s="1"/>
  <c r="EK99" i="23" s="1"/>
  <c r="BX84" i="23"/>
  <c r="CI84" i="23" s="1"/>
  <c r="DN84" i="23"/>
  <c r="CG98" i="23"/>
  <c r="BY98" i="23"/>
  <c r="CJ98" i="23" s="1"/>
  <c r="BW98" i="23"/>
  <c r="DO98" i="23"/>
  <c r="EI82" i="23"/>
  <c r="BX91" i="23"/>
  <c r="CI91" i="23" s="1"/>
  <c r="DN91" i="23"/>
  <c r="CG57" i="23"/>
  <c r="DO57" i="23"/>
  <c r="BY57" i="23"/>
  <c r="CJ57" i="23" s="1"/>
  <c r="BW54" i="23"/>
  <c r="BX56" i="23"/>
  <c r="CI56" i="23" s="1"/>
  <c r="DE56" i="23" s="1"/>
  <c r="DF56" i="23" s="1"/>
  <c r="DN56" i="23"/>
  <c r="BR56" i="23"/>
  <c r="CE56" i="23" s="1"/>
  <c r="CC56" i="23"/>
  <c r="DJ56" i="23" s="1"/>
  <c r="CC66" i="23"/>
  <c r="DJ66" i="23" s="1"/>
  <c r="BR66" i="23"/>
  <c r="CE66" i="23" s="1"/>
  <c r="DK66" i="23" s="1"/>
  <c r="DN63" i="23"/>
  <c r="DQ63" i="23" s="1"/>
  <c r="DR63" i="23" s="1"/>
  <c r="BX63" i="23"/>
  <c r="CI63" i="23" s="1"/>
  <c r="DL63" i="23"/>
  <c r="BZ44" i="23"/>
  <c r="CK44" i="23" s="1"/>
  <c r="EI54" i="23"/>
  <c r="DO44" i="23"/>
  <c r="BY44" i="23"/>
  <c r="CJ44" i="23" s="1"/>
  <c r="CG44" i="23"/>
  <c r="DD35" i="23"/>
  <c r="BX3" i="23"/>
  <c r="CI3" i="23" s="1"/>
  <c r="DN3" i="23"/>
  <c r="DQ3" i="23" s="1"/>
  <c r="DR3" i="23" s="1"/>
  <c r="CX19" i="23"/>
  <c r="CX3" i="23"/>
  <c r="CX21" i="23"/>
  <c r="DD2" i="23"/>
  <c r="DE2" i="23" s="1"/>
  <c r="DF2" i="23" s="1"/>
  <c r="DL28" i="23"/>
  <c r="BX28" i="23"/>
  <c r="CI28" i="23" s="1"/>
  <c r="DN28" i="23"/>
  <c r="DQ28" i="23" s="1"/>
  <c r="DR28" i="23" s="1"/>
  <c r="BY31" i="23"/>
  <c r="CJ31" i="23" s="1"/>
  <c r="CG31" i="23"/>
  <c r="DO31" i="23"/>
  <c r="BR94" i="23"/>
  <c r="CE94" i="23" s="1"/>
  <c r="CC94" i="23"/>
  <c r="EI93" i="23"/>
  <c r="DO91" i="23"/>
  <c r="BY91" i="23"/>
  <c r="CJ91" i="23" s="1"/>
  <c r="CG91" i="23"/>
  <c r="BZ67" i="23"/>
  <c r="CK67" i="23" s="1"/>
  <c r="BR65" i="23"/>
  <c r="CE65" i="23" s="1"/>
  <c r="CC65" i="23"/>
  <c r="EI33" i="23"/>
  <c r="EI73" i="23"/>
  <c r="CB26" i="23"/>
  <c r="DJ26" i="23" s="1"/>
  <c r="BQ26" i="23"/>
  <c r="CD26" i="23" s="1"/>
  <c r="DK26" i="23" s="1"/>
  <c r="DL74" i="23"/>
  <c r="DD31" i="23"/>
  <c r="CB44" i="23"/>
  <c r="DJ44" i="23" s="1"/>
  <c r="BQ44" i="23"/>
  <c r="CD44" i="23" s="1"/>
  <c r="DK44" i="23" s="1"/>
  <c r="BQ57" i="23"/>
  <c r="CD57" i="23" s="1"/>
  <c r="CB57" i="23"/>
  <c r="DJ57" i="23" s="1"/>
  <c r="CG28" i="23"/>
  <c r="DO28" i="23"/>
  <c r="DL30" i="23"/>
  <c r="BR10" i="23"/>
  <c r="CE10" i="23" s="1"/>
  <c r="CC10" i="23"/>
  <c r="DJ10" i="23" s="1"/>
  <c r="EI13" i="23"/>
  <c r="BX94" i="23"/>
  <c r="CI94" i="23" s="1"/>
  <c r="DN94" i="23"/>
  <c r="DQ94" i="23" s="1"/>
  <c r="DR94" i="23" s="1"/>
  <c r="DD57" i="23"/>
  <c r="DE57" i="23" s="1"/>
  <c r="DF57" i="23" s="1"/>
  <c r="CH34" i="23"/>
  <c r="DL34" i="23" s="1"/>
  <c r="EJ34" i="23" s="1"/>
  <c r="CA34" i="23"/>
  <c r="CL34" i="23" s="1"/>
  <c r="DE34" i="23" s="1"/>
  <c r="DF34" i="23" s="1"/>
  <c r="BZ60" i="23"/>
  <c r="CK60" i="23" s="1"/>
  <c r="CX97" i="23"/>
  <c r="BR83" i="23"/>
  <c r="CE83" i="23" s="1"/>
  <c r="DK83" i="23" s="1"/>
  <c r="CC83" i="23"/>
  <c r="DJ83" i="23" s="1"/>
  <c r="DQ91" i="23"/>
  <c r="DR91" i="23" s="1"/>
  <c r="CH62" i="23"/>
  <c r="DL62" i="23" s="1"/>
  <c r="CA62" i="23"/>
  <c r="CL62" i="23" s="1"/>
  <c r="DO62" i="23"/>
  <c r="CB93" i="23"/>
  <c r="DJ93" i="23" s="1"/>
  <c r="BQ93" i="23"/>
  <c r="CD93" i="23" s="1"/>
  <c r="DK93" i="23" s="1"/>
  <c r="DN82" i="23"/>
  <c r="DQ82" i="23" s="1"/>
  <c r="DR82" i="23" s="1"/>
  <c r="DE94" i="23"/>
  <c r="DF94" i="23" s="1"/>
  <c r="DQ67" i="23"/>
  <c r="DR67" i="23" s="1"/>
  <c r="DQ49" i="23"/>
  <c r="DR49" i="23" s="1"/>
  <c r="EI42" i="23"/>
  <c r="DL58" i="23"/>
  <c r="BX58" i="23"/>
  <c r="CI58" i="23" s="1"/>
  <c r="DN58" i="23"/>
  <c r="EI63" i="23"/>
  <c r="CH45" i="23"/>
  <c r="CA45" i="23"/>
  <c r="CL45" i="23" s="1"/>
  <c r="CG20" i="23"/>
  <c r="DO20" i="23"/>
  <c r="DQ20" i="23" s="1"/>
  <c r="DR20" i="23" s="1"/>
  <c r="BW20" i="23"/>
  <c r="BY20" i="23"/>
  <c r="CJ20" i="23" s="1"/>
  <c r="DE20" i="23" s="1"/>
  <c r="DF20" i="23" s="1"/>
  <c r="DE47" i="23"/>
  <c r="DF47" i="23" s="1"/>
  <c r="EI10" i="23"/>
  <c r="DK74" i="23"/>
  <c r="CX31" i="23"/>
  <c r="BX12" i="23"/>
  <c r="CI12" i="23" s="1"/>
  <c r="DN12" i="23"/>
  <c r="DQ12" i="23" s="1"/>
  <c r="DR12" i="23" s="1"/>
  <c r="BQ13" i="23"/>
  <c r="CD13" i="23" s="1"/>
  <c r="DK13" i="23" s="1"/>
  <c r="CB13" i="23"/>
  <c r="DJ13" i="23" s="1"/>
  <c r="DN57" i="23"/>
  <c r="DQ57" i="23" s="1"/>
  <c r="DR57" i="23" s="1"/>
  <c r="BX57" i="23"/>
  <c r="CI57" i="23" s="1"/>
  <c r="DD94" i="23"/>
  <c r="CX67" i="23"/>
  <c r="CX87" i="23"/>
  <c r="EI53" i="23"/>
  <c r="CH57" i="23"/>
  <c r="CA57" i="23"/>
  <c r="CL57" i="23" s="1"/>
  <c r="BR62" i="23"/>
  <c r="CE62" i="23" s="1"/>
  <c r="DK62" i="23" s="1"/>
  <c r="CC62" i="23"/>
  <c r="DJ62" i="23" s="1"/>
  <c r="CX54" i="23"/>
  <c r="EI44" i="23"/>
  <c r="CH35" i="23"/>
  <c r="CA35" i="23"/>
  <c r="CL35" i="23" s="1"/>
  <c r="CA37" i="23"/>
  <c r="CL37" i="23" s="1"/>
  <c r="CH37" i="23"/>
  <c r="EI11" i="23"/>
  <c r="DJ74" i="23"/>
  <c r="DD28" i="23"/>
  <c r="DD46" i="23"/>
  <c r="DK46" i="23"/>
  <c r="CX13" i="23"/>
  <c r="DD29" i="23"/>
  <c r="DE29" i="23" s="1"/>
  <c r="DF29" i="23" s="1"/>
  <c r="CC18" i="23"/>
  <c r="DJ18" i="23" s="1"/>
  <c r="BR18" i="23"/>
  <c r="CE18" i="23" s="1"/>
  <c r="DK18" i="23" s="1"/>
  <c r="CA91" i="23"/>
  <c r="CL91" i="23" s="1"/>
  <c r="CH91" i="23"/>
  <c r="CC101" i="23"/>
  <c r="BR101" i="23"/>
  <c r="CE101" i="23" s="1"/>
  <c r="DQ84" i="23"/>
  <c r="DR84" i="23" s="1"/>
  <c r="DD64" i="23"/>
  <c r="DE64" i="23" s="1"/>
  <c r="DF64" i="23" s="1"/>
  <c r="DQ51" i="23"/>
  <c r="DR51" i="23" s="1"/>
  <c r="BQ85" i="23"/>
  <c r="CD85" i="23" s="1"/>
  <c r="DK85" i="23" s="1"/>
  <c r="CB85" i="23"/>
  <c r="DJ85" i="23" s="1"/>
  <c r="BQ87" i="23"/>
  <c r="CD87" i="23" s="1"/>
  <c r="CB87" i="23"/>
  <c r="DD87" i="23"/>
  <c r="CX76" i="23"/>
  <c r="EI40" i="23"/>
  <c r="EJ40" i="23" s="1"/>
  <c r="DQ41" i="23"/>
  <c r="DR41" i="23" s="1"/>
  <c r="DK54" i="23"/>
  <c r="DJ61" i="23"/>
  <c r="EI69" i="23"/>
  <c r="CX63" i="23"/>
  <c r="CC31" i="23"/>
  <c r="BR31" i="23"/>
  <c r="CE31" i="23" s="1"/>
  <c r="CH24" i="23"/>
  <c r="CA24" i="23"/>
  <c r="CL24" i="23" s="1"/>
  <c r="BR11" i="23"/>
  <c r="CE11" i="23" s="1"/>
  <c r="CC11" i="23"/>
  <c r="DN59" i="23"/>
  <c r="DQ59" i="23" s="1"/>
  <c r="DR59" i="23" s="1"/>
  <c r="BZ59" i="23"/>
  <c r="CK59" i="23" s="1"/>
  <c r="BX27" i="23"/>
  <c r="CI27" i="23" s="1"/>
  <c r="DN27" i="23"/>
  <c r="DQ27" i="23" s="1"/>
  <c r="DR27" i="23" s="1"/>
  <c r="CX4" i="23"/>
  <c r="DD13" i="23"/>
  <c r="BQ5" i="23"/>
  <c r="CD5" i="23" s="1"/>
  <c r="DK5" i="23" s="1"/>
  <c r="CB5" i="23"/>
  <c r="DJ5" i="23" s="1"/>
  <c r="DN43" i="23"/>
  <c r="DQ43" i="23" s="1"/>
  <c r="DR43" i="23" s="1"/>
  <c r="BZ43" i="23"/>
  <c r="CK43" i="23" s="1"/>
  <c r="DE43" i="23" s="1"/>
  <c r="DF43" i="23" s="1"/>
  <c r="CX42" i="23"/>
  <c r="DE42" i="23" s="1"/>
  <c r="DF42" i="23" s="1"/>
  <c r="BX35" i="23"/>
  <c r="CI35" i="23" s="1"/>
  <c r="DN35" i="23"/>
  <c r="CA18" i="23"/>
  <c r="CL18" i="23" s="1"/>
  <c r="CH18" i="23"/>
  <c r="DJ46" i="23"/>
  <c r="BR29" i="23"/>
  <c r="CE29" i="23" s="1"/>
  <c r="CC29" i="23"/>
  <c r="BR97" i="23"/>
  <c r="CE97" i="23" s="1"/>
  <c r="DK97" i="23" s="1"/>
  <c r="CC97" i="23"/>
  <c r="DJ97" i="23" s="1"/>
  <c r="DQ44" i="23"/>
  <c r="DR44" i="23" s="1"/>
  <c r="BZ37" i="23"/>
  <c r="CK37" i="23" s="1"/>
  <c r="DN37" i="23"/>
  <c r="DQ37" i="23" s="1"/>
  <c r="DR37" i="23" s="1"/>
  <c r="DQ42" i="23"/>
  <c r="DR42" i="23" s="1"/>
  <c r="DL51" i="23"/>
  <c r="BX51" i="23"/>
  <c r="CI51" i="23" s="1"/>
  <c r="DN51" i="23"/>
  <c r="DD30" i="23"/>
  <c r="DE30" i="23" s="1"/>
  <c r="DF30" i="23" s="1"/>
  <c r="CA41" i="23"/>
  <c r="CL41" i="23" s="1"/>
  <c r="CH41" i="23"/>
  <c r="DD3" i="23"/>
  <c r="CH43" i="23"/>
  <c r="DL43" i="23" s="1"/>
  <c r="DO43" i="23"/>
  <c r="CA43" i="23"/>
  <c r="CL43" i="23" s="1"/>
  <c r="CG35" i="23"/>
  <c r="BY35" i="23"/>
  <c r="CJ35" i="23" s="1"/>
  <c r="DO35" i="23"/>
  <c r="CC25" i="23"/>
  <c r="DJ25" i="23" s="1"/>
  <c r="BR25" i="23"/>
  <c r="CE25" i="23" s="1"/>
  <c r="DK25" i="23" s="1"/>
  <c r="DK12" i="23"/>
  <c r="CX59" i="23"/>
  <c r="DE59" i="23" s="1"/>
  <c r="DF59" i="23" s="1"/>
  <c r="DE89" i="23"/>
  <c r="DF89" i="23" s="1"/>
  <c r="BX39" i="23"/>
  <c r="CI39" i="23" s="1"/>
  <c r="DN39" i="23"/>
  <c r="CG51" i="23"/>
  <c r="BW51" i="23"/>
  <c r="BY51" i="23" s="1"/>
  <c r="CJ51" i="23" s="1"/>
  <c r="DE51" i="23" s="1"/>
  <c r="DF51" i="23" s="1"/>
  <c r="DO51" i="23"/>
  <c r="CA31" i="23"/>
  <c r="CL31" i="23" s="1"/>
  <c r="CH31" i="23"/>
  <c r="CX39" i="23"/>
  <c r="BY22" i="23"/>
  <c r="CJ22" i="23" s="1"/>
  <c r="DO22" i="23"/>
  <c r="CG22" i="23"/>
  <c r="DD26" i="23"/>
  <c r="DE26" i="23" s="1"/>
  <c r="DF26" i="23" s="1"/>
  <c r="DO33" i="23"/>
  <c r="DQ33" i="23" s="1"/>
  <c r="DR33" i="23" s="1"/>
  <c r="BW33" i="23"/>
  <c r="BY33" i="23" s="1"/>
  <c r="CJ33" i="23" s="1"/>
  <c r="CG33" i="23"/>
  <c r="CX10" i="23"/>
  <c r="BZ41" i="23"/>
  <c r="CK41" i="23" s="1"/>
  <c r="DN41" i="23"/>
  <c r="CX15" i="23"/>
  <c r="DL100" i="23"/>
  <c r="EJ100" i="23" s="1"/>
  <c r="CH50" i="23"/>
  <c r="CA50" i="23"/>
  <c r="CL50" i="23" s="1"/>
  <c r="CC57" i="23"/>
  <c r="BR57" i="23"/>
  <c r="CE57" i="23" s="1"/>
  <c r="EI30" i="23"/>
  <c r="EJ30" i="23" s="1"/>
  <c r="DN87" i="23"/>
  <c r="DQ87" i="23" s="1"/>
  <c r="DR87" i="23" s="1"/>
  <c r="BZ87" i="23"/>
  <c r="CK87" i="23" s="1"/>
  <c r="CC90" i="23"/>
  <c r="DJ90" i="23" s="1"/>
  <c r="DL90" i="23" s="1"/>
  <c r="EJ90" i="23" s="1"/>
  <c r="BR90" i="23"/>
  <c r="CE90" i="23" s="1"/>
  <c r="DK90" i="23" s="1"/>
  <c r="DK61" i="23"/>
  <c r="DQ81" i="23"/>
  <c r="DR81" i="23" s="1"/>
  <c r="EI88" i="23"/>
  <c r="DO92" i="23"/>
  <c r="BY92" i="23"/>
  <c r="CJ92" i="23" s="1"/>
  <c r="CG92" i="23"/>
  <c r="EI86" i="23"/>
  <c r="CX80" i="23"/>
  <c r="DD91" i="23"/>
  <c r="DL82" i="23"/>
  <c r="CC61" i="23"/>
  <c r="BR61" i="23"/>
  <c r="CE61" i="23" s="1"/>
  <c r="CX78" i="23"/>
  <c r="DD71" i="23"/>
  <c r="EI77" i="23"/>
  <c r="DD53" i="23"/>
  <c r="CG88" i="23"/>
  <c r="BW88" i="23"/>
  <c r="BY88" i="23" s="1"/>
  <c r="CJ88" i="23" s="1"/>
  <c r="DO88" i="23"/>
  <c r="CX46" i="23"/>
  <c r="CX33" i="23"/>
  <c r="DD55" i="23"/>
  <c r="DD89" i="23"/>
  <c r="CG39" i="23"/>
  <c r="BW39" i="23"/>
  <c r="BY39" i="23" s="1"/>
  <c r="CJ39" i="23" s="1"/>
  <c r="DO39" i="23"/>
  <c r="EI19" i="23"/>
  <c r="DD39" i="23"/>
  <c r="EI27" i="23"/>
  <c r="BX24" i="23"/>
  <c r="CI24" i="23" s="1"/>
  <c r="DN24" i="23"/>
  <c r="DQ24" i="23" s="1"/>
  <c r="DR24" i="23" s="1"/>
  <c r="DL24" i="23"/>
  <c r="DJ48" i="23"/>
  <c r="DJ59" i="23"/>
  <c r="CX12" i="23"/>
  <c r="DE12" i="23" s="1"/>
  <c r="DF12" i="23" s="1"/>
  <c r="DQ13" i="23"/>
  <c r="DR13" i="23" s="1"/>
  <c r="CX6" i="23"/>
  <c r="DD90" i="23"/>
  <c r="DE90" i="23" s="1"/>
  <c r="DF90" i="23" s="1"/>
  <c r="DD80" i="23"/>
  <c r="BQ95" i="23"/>
  <c r="CD95" i="23" s="1"/>
  <c r="CB95" i="23"/>
  <c r="CX91" i="23"/>
  <c r="CX69" i="23"/>
  <c r="DL85" i="23"/>
  <c r="DO97" i="23"/>
  <c r="CH97" i="23"/>
  <c r="CA97" i="23"/>
  <c r="CL97" i="23" s="1"/>
  <c r="DD78" i="23"/>
  <c r="CH48" i="23"/>
  <c r="CA48" i="23"/>
  <c r="CL48" i="23" s="1"/>
  <c r="DO48" i="23"/>
  <c r="CX55" i="23"/>
  <c r="DE55" i="23" s="1"/>
  <c r="DF55" i="23" s="1"/>
  <c r="DQ64" i="23"/>
  <c r="DR64" i="23" s="1"/>
  <c r="EI52" i="23"/>
  <c r="BW37" i="23"/>
  <c r="BY37" i="23" s="1"/>
  <c r="CJ37" i="23" s="1"/>
  <c r="EI38" i="23"/>
  <c r="EJ38" i="23" s="1"/>
  <c r="DD36" i="23"/>
  <c r="EI92" i="23"/>
  <c r="CC70" i="23"/>
  <c r="DJ70" i="23" s="1"/>
  <c r="DL70" i="23" s="1"/>
  <c r="BR70" i="23"/>
  <c r="CE70" i="23" s="1"/>
  <c r="DK70" i="23" s="1"/>
  <c r="CH19" i="23"/>
  <c r="CA19" i="23"/>
  <c r="CL19" i="23" s="1"/>
  <c r="DO19" i="23"/>
  <c r="CG24" i="23"/>
  <c r="BW24" i="23"/>
  <c r="DO24" i="23"/>
  <c r="BY24" i="23"/>
  <c r="CJ24" i="23" s="1"/>
  <c r="DO46" i="23"/>
  <c r="DQ46" i="23" s="1"/>
  <c r="DR46" i="23" s="1"/>
  <c r="EI26" i="23"/>
  <c r="DL8" i="23"/>
  <c r="EJ8" i="23" s="1"/>
  <c r="EK8" i="23" s="1"/>
  <c r="CX11" i="23"/>
  <c r="DK36" i="23"/>
  <c r="DK35" i="23"/>
  <c r="CX8" i="23"/>
  <c r="DE8" i="23" s="1"/>
  <c r="DF8" i="23" s="1"/>
  <c r="BW28" i="23"/>
  <c r="BY28" i="23" s="1"/>
  <c r="CJ28" i="23" s="1"/>
  <c r="BW31" i="23"/>
  <c r="DD6" i="23"/>
  <c r="CH61" i="23"/>
  <c r="DL61" i="23" s="1"/>
  <c r="CA61" i="23"/>
  <c r="CL61" i="23" s="1"/>
  <c r="DE61" i="23" s="1"/>
  <c r="DF61" i="23" s="1"/>
  <c r="BZ62" i="23"/>
  <c r="CK62" i="23" s="1"/>
  <c r="DE62" i="23" s="1"/>
  <c r="DF62" i="23" s="1"/>
  <c r="DN62" i="23"/>
  <c r="DL86" i="23"/>
  <c r="EI97" i="23"/>
  <c r="CC80" i="23"/>
  <c r="DJ80" i="23" s="1"/>
  <c r="BR80" i="23"/>
  <c r="CE80" i="23" s="1"/>
  <c r="DK80" i="23" s="1"/>
  <c r="CX83" i="23"/>
  <c r="CX73" i="23"/>
  <c r="CX74" i="23"/>
  <c r="DD66" i="23"/>
  <c r="DN97" i="23"/>
  <c r="BZ97" i="23"/>
  <c r="CK97" i="23" s="1"/>
  <c r="CB50" i="23"/>
  <c r="DJ50" i="23" s="1"/>
  <c r="BQ50" i="23"/>
  <c r="CD50" i="23" s="1"/>
  <c r="DK50" i="23" s="1"/>
  <c r="CB65" i="23"/>
  <c r="BQ65" i="23"/>
  <c r="CD65" i="23" s="1"/>
  <c r="CA44" i="23"/>
  <c r="CL44" i="23" s="1"/>
  <c r="CH44" i="23"/>
  <c r="CC69" i="23"/>
  <c r="BR69" i="23"/>
  <c r="CE69" i="23" s="1"/>
  <c r="DK56" i="23"/>
  <c r="CB69" i="23"/>
  <c r="DJ69" i="23" s="1"/>
  <c r="BQ69" i="23"/>
  <c r="CD69" i="23" s="1"/>
  <c r="DN52" i="23"/>
  <c r="DQ52" i="23" s="1"/>
  <c r="DR52" i="23" s="1"/>
  <c r="BQ63" i="23"/>
  <c r="CD63" i="23" s="1"/>
  <c r="DK63" i="23" s="1"/>
  <c r="CB63" i="23"/>
  <c r="DJ63" i="23" s="1"/>
  <c r="BW35" i="23"/>
  <c r="EI58" i="23"/>
  <c r="CA11" i="23"/>
  <c r="CL11" i="23" s="1"/>
  <c r="CH11" i="23"/>
  <c r="CX18" i="23"/>
  <c r="DN32" i="23"/>
  <c r="CC19" i="23"/>
  <c r="DJ19" i="23" s="1"/>
  <c r="BR19" i="23"/>
  <c r="CE19" i="23" s="1"/>
  <c r="DK19" i="23" s="1"/>
  <c r="CB24" i="23"/>
  <c r="DJ24" i="23" s="1"/>
  <c r="BQ24" i="23"/>
  <c r="CD24" i="23" s="1"/>
  <c r="DK24" i="23" s="1"/>
  <c r="DL53" i="23"/>
  <c r="DD27" i="23"/>
  <c r="DE27" i="23" s="1"/>
  <c r="DF27" i="23" s="1"/>
  <c r="DL11" i="23"/>
  <c r="DD25" i="23"/>
  <c r="CX5" i="23"/>
  <c r="DJ36" i="23"/>
  <c r="EI4" i="23"/>
  <c r="DD8" i="23"/>
  <c r="EI31" i="23"/>
  <c r="DD73" i="23"/>
  <c r="DO101" i="23"/>
  <c r="CG101" i="23"/>
  <c r="CC89" i="23"/>
  <c r="DJ89" i="23" s="1"/>
  <c r="DL89" i="23" s="1"/>
  <c r="EJ89" i="23" s="1"/>
  <c r="EK89" i="23" s="1"/>
  <c r="BR89" i="23"/>
  <c r="CE89" i="23" s="1"/>
  <c r="DK89" i="23" s="1"/>
  <c r="CX14" i="23"/>
  <c r="CA4" i="23"/>
  <c r="CL4" i="23" s="1"/>
  <c r="CH4" i="23"/>
  <c r="EI79" i="23"/>
  <c r="EJ79" i="23" s="1"/>
  <c r="DD95" i="23"/>
  <c r="DK32" i="23"/>
  <c r="DN14" i="23"/>
  <c r="DQ14" i="23" s="1"/>
  <c r="DR14" i="23" s="1"/>
  <c r="BX14" i="23"/>
  <c r="CI14" i="23" s="1"/>
  <c r="DJ11" i="23"/>
  <c r="CX85" i="23"/>
  <c r="DD70" i="23"/>
  <c r="DD63" i="23"/>
  <c r="CX92" i="23"/>
  <c r="BX88" i="23"/>
  <c r="CI88" i="23" s="1"/>
  <c r="DN88" i="23"/>
  <c r="DQ88" i="23" s="1"/>
  <c r="DR88" i="23" s="1"/>
  <c r="BR52" i="23"/>
  <c r="CE52" i="23" s="1"/>
  <c r="DK52" i="23" s="1"/>
  <c r="CC52" i="23"/>
  <c r="DE52" i="23" s="1"/>
  <c r="DF52" i="23" s="1"/>
  <c r="EI87" i="23"/>
  <c r="BR84" i="23"/>
  <c r="CE84" i="23" s="1"/>
  <c r="DK84" i="23" s="1"/>
  <c r="CC84" i="23"/>
  <c r="DJ84" i="23" s="1"/>
  <c r="DD99" i="23"/>
  <c r="DE99" i="23" s="1"/>
  <c r="DF99" i="23" s="1"/>
  <c r="BZ80" i="23"/>
  <c r="CK80" i="23" s="1"/>
  <c r="BQ73" i="23"/>
  <c r="CD73" i="23" s="1"/>
  <c r="DK73" i="23" s="1"/>
  <c r="CB73" i="23"/>
  <c r="DJ73" i="23" s="1"/>
  <c r="CX95" i="23"/>
  <c r="CC74" i="23"/>
  <c r="BR74" i="23"/>
  <c r="CE74" i="23" s="1"/>
  <c r="DD74" i="23"/>
  <c r="EI66" i="23"/>
  <c r="DO67" i="23"/>
  <c r="BY67" i="23"/>
  <c r="CJ67" i="23" s="1"/>
  <c r="CG67" i="23"/>
  <c r="DQ65" i="23"/>
  <c r="DR65" i="23" s="1"/>
  <c r="BW77" i="23"/>
  <c r="BY77" i="23" s="1"/>
  <c r="CJ77" i="23" s="1"/>
  <c r="BQ77" i="23"/>
  <c r="CD77" i="23" s="1"/>
  <c r="DK77" i="23" s="1"/>
  <c r="CB77" i="23"/>
  <c r="DJ77" i="23" s="1"/>
  <c r="DQ39" i="23"/>
  <c r="DR39" i="23" s="1"/>
  <c r="DK88" i="23"/>
  <c r="DL48" i="23"/>
  <c r="BX48" i="23"/>
  <c r="CI48" i="23" s="1"/>
  <c r="DN48" i="23"/>
  <c r="DQ48" i="23" s="1"/>
  <c r="DR48" i="23" s="1"/>
  <c r="BX69" i="23"/>
  <c r="CI69" i="23" s="1"/>
  <c r="DN69" i="23"/>
  <c r="DQ69" i="23" s="1"/>
  <c r="DR69" i="23" s="1"/>
  <c r="DO60" i="23"/>
  <c r="DN55" i="23"/>
  <c r="BX55" i="23"/>
  <c r="CI55" i="23" s="1"/>
  <c r="DL55" i="23"/>
  <c r="EJ55" i="23" s="1"/>
  <c r="EK55" i="23" s="1"/>
  <c r="BR14" i="23"/>
  <c r="CE14" i="23" s="1"/>
  <c r="DK14" i="23" s="1"/>
  <c r="CC14" i="23"/>
  <c r="DJ14" i="23" s="1"/>
  <c r="CX37" i="23"/>
  <c r="EI20" i="23"/>
  <c r="BR32" i="23"/>
  <c r="CE32" i="23" s="1"/>
  <c r="CC32" i="23"/>
  <c r="DE32" i="23" s="1"/>
  <c r="DF32" i="23" s="1"/>
  <c r="CA55" i="23"/>
  <c r="CL55" i="23" s="1"/>
  <c r="CH55" i="23"/>
  <c r="DD18" i="23"/>
  <c r="DL7" i="23"/>
  <c r="EJ7" i="23" s="1"/>
  <c r="EK7" i="23" s="1"/>
  <c r="CX17" i="23"/>
  <c r="DE17" i="23" s="1"/>
  <c r="DF17" i="23" s="1"/>
  <c r="CH23" i="23"/>
  <c r="CA23" i="23"/>
  <c r="CL23" i="23" s="1"/>
  <c r="BX46" i="23"/>
  <c r="CI46" i="23" s="1"/>
  <c r="DN46" i="23"/>
  <c r="DL68" i="23"/>
  <c r="EJ68" i="23" s="1"/>
  <c r="EK68" i="23" s="1"/>
  <c r="DN53" i="23"/>
  <c r="DQ53" i="23" s="1"/>
  <c r="DR53" i="23" s="1"/>
  <c r="DK10" i="23"/>
  <c r="CA56" i="23"/>
  <c r="CL56" i="23" s="1"/>
  <c r="CH56" i="23"/>
  <c r="CH96" i="23"/>
  <c r="DL96" i="23" s="1"/>
  <c r="CA96" i="23"/>
  <c r="CL96" i="23" s="1"/>
  <c r="DE96" i="23" s="1"/>
  <c r="DF96" i="23" s="1"/>
  <c r="CH76" i="23"/>
  <c r="CA76" i="23"/>
  <c r="CL76" i="23" s="1"/>
  <c r="EI60" i="23"/>
  <c r="EJ47" i="23"/>
  <c r="DQ61" i="23"/>
  <c r="DR61" i="23" s="1"/>
  <c r="DO73" i="23"/>
  <c r="DQ73" i="23" s="1"/>
  <c r="DR73" i="23" s="1"/>
  <c r="CG73" i="23"/>
  <c r="DL73" i="23" s="1"/>
  <c r="BY73" i="23"/>
  <c r="CJ73" i="23" s="1"/>
  <c r="CC12" i="23"/>
  <c r="DJ12" i="23" s="1"/>
  <c r="BR12" i="23"/>
  <c r="CE12" i="23" s="1"/>
  <c r="EI24" i="23"/>
  <c r="DE93" i="23"/>
  <c r="DF93" i="23" s="1"/>
  <c r="DQ78" i="23"/>
  <c r="DR78" i="23" s="1"/>
  <c r="DD65" i="23"/>
  <c r="DE65" i="23" s="1"/>
  <c r="DF65" i="23" s="1"/>
  <c r="DD76" i="23"/>
  <c r="CX71" i="23"/>
  <c r="DO85" i="23"/>
  <c r="DQ85" i="23" s="1"/>
  <c r="DR85" i="23" s="1"/>
  <c r="CG85" i="23"/>
  <c r="BY85" i="23"/>
  <c r="CJ85" i="23" s="1"/>
  <c r="CA83" i="23"/>
  <c r="CL83" i="23" s="1"/>
  <c r="CH83" i="23"/>
  <c r="DO83" i="23"/>
  <c r="DN93" i="23"/>
  <c r="BX93" i="23"/>
  <c r="CI93" i="23" s="1"/>
  <c r="DL93" i="23"/>
  <c r="CG70" i="23"/>
  <c r="DO70" i="23"/>
  <c r="DQ70" i="23" s="1"/>
  <c r="DR70" i="23" s="1"/>
  <c r="BY70" i="23"/>
  <c r="CJ70" i="23" s="1"/>
  <c r="DE70" i="23" s="1"/>
  <c r="DF70" i="23" s="1"/>
  <c r="BR75" i="23"/>
  <c r="CE75" i="23" s="1"/>
  <c r="CC75" i="23"/>
  <c r="DD81" i="23"/>
  <c r="CA81" i="23"/>
  <c r="CL81" i="23" s="1"/>
  <c r="CH81" i="23"/>
  <c r="DQ72" i="23"/>
  <c r="DR72" i="23" s="1"/>
  <c r="DO64" i="23"/>
  <c r="CH66" i="23"/>
  <c r="CA66" i="23"/>
  <c r="CL66" i="23" s="1"/>
  <c r="DO66" i="23"/>
  <c r="DQ66" i="23" s="1"/>
  <c r="DR66" i="23" s="1"/>
  <c r="BX77" i="23"/>
  <c r="CI77" i="23" s="1"/>
  <c r="DN77" i="23"/>
  <c r="CA67" i="23"/>
  <c r="CL67" i="23" s="1"/>
  <c r="CH67" i="23"/>
  <c r="CC43" i="23"/>
  <c r="DJ43" i="23" s="1"/>
  <c r="BR43" i="23"/>
  <c r="CE43" i="23" s="1"/>
  <c r="DK43" i="23" s="1"/>
  <c r="DQ56" i="23"/>
  <c r="DR56" i="23" s="1"/>
  <c r="CX48" i="23"/>
  <c r="DO69" i="23"/>
  <c r="DD41" i="23"/>
  <c r="DE41" i="23" s="1"/>
  <c r="DF41" i="23" s="1"/>
  <c r="DD37" i="23"/>
  <c r="BY36" i="23"/>
  <c r="CJ36" i="23" s="1"/>
  <c r="CG36" i="23"/>
  <c r="DO36" i="23"/>
  <c r="DQ36" i="23" s="1"/>
  <c r="DR36" i="23" s="1"/>
  <c r="DQ16" i="23"/>
  <c r="DR16" i="23" s="1"/>
  <c r="BZ29" i="23"/>
  <c r="CK29" i="23" s="1"/>
  <c r="DL17" i="23"/>
  <c r="EJ17" i="23" s="1"/>
  <c r="EK17" i="23" s="1"/>
  <c r="CH59" i="23"/>
  <c r="CA59" i="23"/>
  <c r="CL59" i="23" s="1"/>
  <c r="DD16" i="23"/>
  <c r="DE16" i="23" s="1"/>
  <c r="DF16" i="23" s="1"/>
  <c r="EI15" i="23"/>
  <c r="BR59" i="23"/>
  <c r="CE59" i="23" s="1"/>
  <c r="DK59" i="23" s="1"/>
  <c r="CC59" i="23"/>
  <c r="EI101" i="23"/>
  <c r="DL21" i="23"/>
  <c r="DN21" i="23"/>
  <c r="DQ21" i="23" s="1"/>
  <c r="DR21" i="23" s="1"/>
  <c r="BX21" i="23"/>
  <c r="CI21" i="23" s="1"/>
  <c r="DN4" i="23"/>
  <c r="DQ4" i="23" s="1"/>
  <c r="DR4" i="23" s="1"/>
  <c r="BX4" i="23"/>
  <c r="CI4" i="23" s="1"/>
  <c r="CX38" i="23"/>
  <c r="DE38" i="23" s="1"/>
  <c r="DF38" i="23" s="1"/>
  <c r="EI28" i="23"/>
  <c r="DD100" i="23"/>
  <c r="DE58" i="23"/>
  <c r="DF58" i="23" s="1"/>
  <c r="CA84" i="23"/>
  <c r="CL84" i="23" s="1"/>
  <c r="CH84" i="23"/>
  <c r="BR4" i="23"/>
  <c r="CE4" i="23" s="1"/>
  <c r="CC4" i="23"/>
  <c r="DJ4" i="23" s="1"/>
  <c r="DN76" i="23"/>
  <c r="DQ76" i="23" s="1"/>
  <c r="DR76" i="23" s="1"/>
  <c r="EI94" i="23"/>
  <c r="CX53" i="23"/>
  <c r="CC95" i="23"/>
  <c r="BR95" i="23"/>
  <c r="CE95" i="23" s="1"/>
  <c r="CX82" i="23"/>
  <c r="DE82" i="23" s="1"/>
  <c r="DF82" i="23" s="1"/>
  <c r="BW101" i="23"/>
  <c r="BY101" i="23" s="1"/>
  <c r="CJ101" i="23" s="1"/>
  <c r="DE101" i="23" s="1"/>
  <c r="DF101" i="23" s="1"/>
  <c r="CG95" i="23"/>
  <c r="BY95" i="23"/>
  <c r="CJ95" i="23" s="1"/>
  <c r="DO95" i="23"/>
  <c r="BW95" i="23"/>
  <c r="EI70" i="23"/>
  <c r="CG74" i="23"/>
  <c r="DO74" i="23"/>
  <c r="BW74" i="23"/>
  <c r="BY74" i="23" s="1"/>
  <c r="CJ74" i="23" s="1"/>
  <c r="CX81" i="23"/>
  <c r="DO76" i="23"/>
  <c r="CC60" i="23"/>
  <c r="BR60" i="23"/>
  <c r="CE60" i="23" s="1"/>
  <c r="DQ77" i="23"/>
  <c r="DR77" i="23" s="1"/>
  <c r="DD50" i="23"/>
  <c r="DE50" i="23" s="1"/>
  <c r="DF50" i="23" s="1"/>
  <c r="CX84" i="23"/>
  <c r="EI48" i="23"/>
  <c r="CX36" i="23"/>
  <c r="DE36" i="23" s="1"/>
  <c r="DF36" i="23" s="1"/>
  <c r="CB28" i="23"/>
  <c r="DJ28" i="23" s="1"/>
  <c r="BQ28" i="23"/>
  <c r="CD28" i="23" s="1"/>
  <c r="DK28" i="23" s="1"/>
  <c r="BZ19" i="23"/>
  <c r="CK19" i="23" s="1"/>
  <c r="DN19" i="23"/>
  <c r="BX26" i="23"/>
  <c r="CI26" i="23" s="1"/>
  <c r="DN26" i="23"/>
  <c r="DQ26" i="23" s="1"/>
  <c r="DR26" i="23" s="1"/>
  <c r="DD38" i="23"/>
  <c r="CH25" i="23"/>
  <c r="CA25" i="23"/>
  <c r="CL25" i="23" s="1"/>
  <c r="DO25" i="23"/>
  <c r="DL25" i="23"/>
  <c r="DD101" i="23"/>
  <c r="DJ29" i="23"/>
  <c r="EI6" i="23"/>
  <c r="DK11" i="23"/>
  <c r="CA101" i="23"/>
  <c r="CL101" i="23" s="1"/>
  <c r="CH101" i="23"/>
  <c r="CA94" i="23"/>
  <c r="CL94" i="23" s="1"/>
  <c r="CH94" i="23"/>
  <c r="DN83" i="23"/>
  <c r="DQ83" i="23" s="1"/>
  <c r="DR83" i="23" s="1"/>
  <c r="BX83" i="23"/>
  <c r="CI83" i="23" s="1"/>
  <c r="CB81" i="23"/>
  <c r="DJ81" i="23" s="1"/>
  <c r="BQ81" i="23"/>
  <c r="CD81" i="23" s="1"/>
  <c r="DK81" i="23" s="1"/>
  <c r="EI67" i="23"/>
  <c r="DD79" i="23"/>
  <c r="DE79" i="23" s="1"/>
  <c r="DF79" i="23" s="1"/>
  <c r="DD75" i="23"/>
  <c r="DE75" i="23" s="1"/>
  <c r="DF75" i="23" s="1"/>
  <c r="EI71" i="23"/>
  <c r="CX68" i="23"/>
  <c r="DE68" i="23" s="1"/>
  <c r="DF68" i="23" s="1"/>
  <c r="DN95" i="23"/>
  <c r="DQ95" i="23" s="1"/>
  <c r="DR95" i="23" s="1"/>
  <c r="BR72" i="23"/>
  <c r="CE72" i="23" s="1"/>
  <c r="DK72" i="23" s="1"/>
  <c r="CC72" i="23"/>
  <c r="DE72" i="23" s="1"/>
  <c r="DF72" i="23" s="1"/>
  <c r="BQ67" i="23"/>
  <c r="CD67" i="23" s="1"/>
  <c r="CB67" i="23"/>
  <c r="DJ67" i="23" s="1"/>
  <c r="BZ66" i="23"/>
  <c r="CK66" i="23" s="1"/>
  <c r="DD84" i="23"/>
  <c r="DQ29" i="23"/>
  <c r="DR29" i="23" s="1"/>
  <c r="CB92" i="23"/>
  <c r="BQ92" i="23"/>
  <c r="CD92" i="23" s="1"/>
  <c r="CX98" i="23"/>
  <c r="BR34" i="23"/>
  <c r="CE34" i="23" s="1"/>
  <c r="DK34" i="23" s="1"/>
  <c r="CC34" i="23"/>
  <c r="DJ34" i="23" s="1"/>
  <c r="EI14" i="23"/>
  <c r="BQ15" i="23"/>
  <c r="CD15" i="23" s="1"/>
  <c r="DK15" i="23" s="1"/>
  <c r="CB15" i="23"/>
  <c r="DJ15" i="23" s="1"/>
  <c r="DL15" i="23" s="1"/>
  <c r="DL50" i="23"/>
  <c r="BX50" i="23"/>
  <c r="CI50" i="23" s="1"/>
  <c r="DN50" i="23"/>
  <c r="DO18" i="23"/>
  <c r="DQ18" i="23" s="1"/>
  <c r="DR18" i="23" s="1"/>
  <c r="CC3" i="23"/>
  <c r="DJ3" i="23" s="1"/>
  <c r="BR3" i="23"/>
  <c r="CE3" i="23" s="1"/>
  <c r="CA3" i="23"/>
  <c r="CL3" i="23" s="1"/>
  <c r="CH3" i="23"/>
  <c r="CC2" i="23"/>
  <c r="DJ2" i="23" s="1"/>
  <c r="DL2" i="23" s="1"/>
  <c r="EJ2" i="23" s="1"/>
  <c r="EK2" i="23" s="1"/>
  <c r="BR2" i="23"/>
  <c r="CE2" i="23" s="1"/>
  <c r="DK2" i="23" s="1"/>
  <c r="BZ22" i="23"/>
  <c r="CK22" i="23" s="1"/>
  <c r="DQ31" i="23"/>
  <c r="DR31" i="23" s="1"/>
  <c r="DE39" i="22"/>
  <c r="DF39" i="22" s="1"/>
  <c r="DQ23" i="22"/>
  <c r="DR23" i="22" s="1"/>
  <c r="DE96" i="22"/>
  <c r="DF96" i="22" s="1"/>
  <c r="DL78" i="22"/>
  <c r="DQ101" i="22"/>
  <c r="DR101" i="22" s="1"/>
  <c r="DE47" i="22"/>
  <c r="DF47" i="22" s="1"/>
  <c r="DE38" i="22"/>
  <c r="DF38" i="22" s="1"/>
  <c r="DQ85" i="22"/>
  <c r="DR85" i="22" s="1"/>
  <c r="DE84" i="22"/>
  <c r="DF84" i="22" s="1"/>
  <c r="DQ76" i="22"/>
  <c r="DR76" i="22" s="1"/>
  <c r="DQ13" i="22"/>
  <c r="DR13" i="22" s="1"/>
  <c r="EI78" i="22"/>
  <c r="EJ78" i="22" s="1"/>
  <c r="EI73" i="22"/>
  <c r="BR14" i="22"/>
  <c r="CE14" i="22" s="1"/>
  <c r="CC14" i="22"/>
  <c r="CC12" i="22"/>
  <c r="BR12" i="22"/>
  <c r="CE12" i="22" s="1"/>
  <c r="EI30" i="22"/>
  <c r="CX74" i="22"/>
  <c r="CC36" i="22"/>
  <c r="DJ36" i="22" s="1"/>
  <c r="BR36" i="22"/>
  <c r="CE36" i="22" s="1"/>
  <c r="DK36" i="22" s="1"/>
  <c r="BR62" i="22"/>
  <c r="CE62" i="22" s="1"/>
  <c r="CC62" i="22"/>
  <c r="DK55" i="22"/>
  <c r="CX91" i="22"/>
  <c r="DE91" i="22" s="1"/>
  <c r="DF91" i="22" s="1"/>
  <c r="DN83" i="22"/>
  <c r="DQ83" i="22" s="1"/>
  <c r="DR83" i="22" s="1"/>
  <c r="BX83" i="22"/>
  <c r="CI83" i="22" s="1"/>
  <c r="DL83" i="22"/>
  <c r="DQ78" i="22"/>
  <c r="DR78" i="22" s="1"/>
  <c r="DL96" i="22"/>
  <c r="EJ96" i="22" s="1"/>
  <c r="EK96" i="22" s="1"/>
  <c r="CX73" i="22"/>
  <c r="BQ61" i="22"/>
  <c r="CD61" i="22" s="1"/>
  <c r="CB61" i="22"/>
  <c r="EI88" i="22"/>
  <c r="DD66" i="22"/>
  <c r="CB38" i="22"/>
  <c r="BQ38" i="22"/>
  <c r="CD38" i="22" s="1"/>
  <c r="CA41" i="22"/>
  <c r="CL41" i="22" s="1"/>
  <c r="CH41" i="22"/>
  <c r="CX7" i="22"/>
  <c r="DE7" i="22" s="1"/>
  <c r="DF7" i="22" s="1"/>
  <c r="DN60" i="22"/>
  <c r="DQ60" i="22" s="1"/>
  <c r="DR60" i="22" s="1"/>
  <c r="DL36" i="22"/>
  <c r="BX36" i="22"/>
  <c r="CI36" i="22" s="1"/>
  <c r="DN36" i="22"/>
  <c r="DQ36" i="22" s="1"/>
  <c r="DR36" i="22" s="1"/>
  <c r="DO37" i="22"/>
  <c r="CH37" i="22"/>
  <c r="CA37" i="22"/>
  <c r="CL37" i="22" s="1"/>
  <c r="CX19" i="22"/>
  <c r="BX80" i="22"/>
  <c r="CI80" i="22" s="1"/>
  <c r="DN80" i="22"/>
  <c r="DD74" i="22"/>
  <c r="BR47" i="22"/>
  <c r="CE47" i="22" s="1"/>
  <c r="DK47" i="22" s="1"/>
  <c r="CC47" i="22"/>
  <c r="DJ47" i="22" s="1"/>
  <c r="CA33" i="22"/>
  <c r="CL33" i="22" s="1"/>
  <c r="DE33" i="22" s="1"/>
  <c r="DF33" i="22" s="1"/>
  <c r="CH33" i="22"/>
  <c r="CB6" i="22"/>
  <c r="DJ6" i="22" s="1"/>
  <c r="BQ6" i="22"/>
  <c r="CD6" i="22" s="1"/>
  <c r="DK6" i="22" s="1"/>
  <c r="DL31" i="22"/>
  <c r="EI19" i="22"/>
  <c r="CX42" i="22"/>
  <c r="DE42" i="22" s="1"/>
  <c r="DF42" i="22" s="1"/>
  <c r="BY31" i="22"/>
  <c r="CJ31" i="22" s="1"/>
  <c r="BW31" i="22"/>
  <c r="CG31" i="22"/>
  <c r="DO31" i="22"/>
  <c r="CX6" i="22"/>
  <c r="CX48" i="22"/>
  <c r="EI80" i="22"/>
  <c r="DK13" i="22"/>
  <c r="DL72" i="22"/>
  <c r="DQ55" i="22"/>
  <c r="DR55" i="22" s="1"/>
  <c r="BX46" i="22"/>
  <c r="CI46" i="22" s="1"/>
  <c r="DN46" i="22"/>
  <c r="BZ41" i="22"/>
  <c r="CK41" i="22" s="1"/>
  <c r="DN41" i="22"/>
  <c r="DQ41" i="22" s="1"/>
  <c r="DR41" i="22" s="1"/>
  <c r="DQ54" i="22"/>
  <c r="DR54" i="22" s="1"/>
  <c r="CA20" i="22"/>
  <c r="CL20" i="22" s="1"/>
  <c r="CH20" i="22"/>
  <c r="CA13" i="22"/>
  <c r="CL13" i="22" s="1"/>
  <c r="CH13" i="22"/>
  <c r="BQ31" i="22"/>
  <c r="CD31" i="22" s="1"/>
  <c r="DK31" i="22" s="1"/>
  <c r="CB31" i="22"/>
  <c r="DJ31" i="22" s="1"/>
  <c r="DJ13" i="22"/>
  <c r="BR88" i="22"/>
  <c r="CE88" i="22" s="1"/>
  <c r="CC88" i="22"/>
  <c r="BZ91" i="22"/>
  <c r="CK91" i="22" s="1"/>
  <c r="DD78" i="22"/>
  <c r="CA75" i="22"/>
  <c r="CL75" i="22" s="1"/>
  <c r="CH75" i="22"/>
  <c r="DL75" i="22" s="1"/>
  <c r="DN71" i="22"/>
  <c r="DQ71" i="22" s="1"/>
  <c r="DR71" i="22" s="1"/>
  <c r="EI76" i="22"/>
  <c r="EI51" i="22"/>
  <c r="DO75" i="22"/>
  <c r="CX66" i="22"/>
  <c r="CC63" i="22"/>
  <c r="DJ63" i="22" s="1"/>
  <c r="BR63" i="22"/>
  <c r="CE63" i="22" s="1"/>
  <c r="BX47" i="22"/>
  <c r="CI47" i="22" s="1"/>
  <c r="DN47" i="22"/>
  <c r="CX82" i="22"/>
  <c r="EI29" i="22"/>
  <c r="CH34" i="22"/>
  <c r="CA34" i="22"/>
  <c r="CL34" i="22" s="1"/>
  <c r="DO57" i="22"/>
  <c r="CG57" i="22"/>
  <c r="BX67" i="22"/>
  <c r="CI67" i="22" s="1"/>
  <c r="DN67" i="22"/>
  <c r="DQ67" i="22" s="1"/>
  <c r="DR67" i="22" s="1"/>
  <c r="DL67" i="22"/>
  <c r="DO80" i="22"/>
  <c r="DQ80" i="22" s="1"/>
  <c r="DR80" i="22" s="1"/>
  <c r="BY80" i="22"/>
  <c r="CJ80" i="22" s="1"/>
  <c r="CG80" i="22"/>
  <c r="CX32" i="22"/>
  <c r="DE10" i="22"/>
  <c r="DF10" i="22" s="1"/>
  <c r="DD42" i="22"/>
  <c r="DD6" i="22"/>
  <c r="DO20" i="22"/>
  <c r="DD35" i="22"/>
  <c r="BX54" i="22"/>
  <c r="CI54" i="22" s="1"/>
  <c r="DN54" i="22"/>
  <c r="DD29" i="22"/>
  <c r="DE29" i="22" s="1"/>
  <c r="DF29" i="22" s="1"/>
  <c r="CX37" i="22"/>
  <c r="BR57" i="22"/>
  <c r="CE57" i="22" s="1"/>
  <c r="CC57" i="22"/>
  <c r="CX85" i="22"/>
  <c r="DE85" i="22" s="1"/>
  <c r="DF85" i="22" s="1"/>
  <c r="DD80" i="22"/>
  <c r="DE80" i="22" s="1"/>
  <c r="DF80" i="22" s="1"/>
  <c r="CX99" i="22"/>
  <c r="DE99" i="22" s="1"/>
  <c r="DF99" i="22" s="1"/>
  <c r="DQ91" i="22"/>
  <c r="DR91" i="22" s="1"/>
  <c r="DN93" i="22"/>
  <c r="DQ93" i="22" s="1"/>
  <c r="DR93" i="22" s="1"/>
  <c r="BX93" i="22"/>
  <c r="CI93" i="22" s="1"/>
  <c r="CG73" i="22"/>
  <c r="DO73" i="22"/>
  <c r="BY73" i="22"/>
  <c r="CJ73" i="22" s="1"/>
  <c r="CH62" i="22"/>
  <c r="CA62" i="22"/>
  <c r="CL62" i="22" s="1"/>
  <c r="EI67" i="22"/>
  <c r="DD39" i="22"/>
  <c r="BR30" i="22"/>
  <c r="CE30" i="22" s="1"/>
  <c r="DK30" i="22" s="1"/>
  <c r="CC30" i="22"/>
  <c r="DJ30" i="22" s="1"/>
  <c r="EI82" i="22"/>
  <c r="DN57" i="22"/>
  <c r="DQ57" i="22" s="1"/>
  <c r="DR57" i="22" s="1"/>
  <c r="BX57" i="22"/>
  <c r="CI57" i="22" s="1"/>
  <c r="CG67" i="22"/>
  <c r="DO67" i="22"/>
  <c r="CX46" i="22"/>
  <c r="CX75" i="22"/>
  <c r="CX69" i="22"/>
  <c r="CX4" i="22"/>
  <c r="CB4" i="22"/>
  <c r="BQ4" i="22"/>
  <c r="CD4" i="22" s="1"/>
  <c r="DK4" i="22" s="1"/>
  <c r="EI32" i="22"/>
  <c r="CC26" i="22"/>
  <c r="DJ26" i="22" s="1"/>
  <c r="BR26" i="22"/>
  <c r="CE26" i="22" s="1"/>
  <c r="DK26" i="22" s="1"/>
  <c r="DN6" i="22"/>
  <c r="DQ6" i="22" s="1"/>
  <c r="DR6" i="22" s="1"/>
  <c r="BQ48" i="22"/>
  <c r="CD48" i="22" s="1"/>
  <c r="DK48" i="22" s="1"/>
  <c r="CB48" i="22"/>
  <c r="DJ48" i="22" s="1"/>
  <c r="DO58" i="22"/>
  <c r="DQ58" i="22" s="1"/>
  <c r="DR58" i="22" s="1"/>
  <c r="CG58" i="22"/>
  <c r="BY58" i="22"/>
  <c r="CJ58" i="22" s="1"/>
  <c r="DE58" i="22" s="1"/>
  <c r="DF58" i="22" s="1"/>
  <c r="DL2" i="22"/>
  <c r="EJ2" i="22" s="1"/>
  <c r="EK2" i="22" s="1"/>
  <c r="EL2" i="22" s="1"/>
  <c r="DE35" i="22"/>
  <c r="DF35" i="22" s="1"/>
  <c r="BX23" i="22"/>
  <c r="CI23" i="22" s="1"/>
  <c r="DN23" i="22"/>
  <c r="CB53" i="22"/>
  <c r="DJ53" i="22" s="1"/>
  <c r="BQ53" i="22"/>
  <c r="CD53" i="22" s="1"/>
  <c r="DK53" i="22" s="1"/>
  <c r="CG54" i="22"/>
  <c r="BY54" i="22"/>
  <c r="CJ54" i="22" s="1"/>
  <c r="DO54" i="22"/>
  <c r="CB75" i="22"/>
  <c r="DJ75" i="22" s="1"/>
  <c r="BQ75" i="22"/>
  <c r="CD75" i="22" s="1"/>
  <c r="DK75" i="22" s="1"/>
  <c r="BR83" i="22"/>
  <c r="CE83" i="22" s="1"/>
  <c r="DK83" i="22" s="1"/>
  <c r="CC83" i="22"/>
  <c r="DJ83" i="22" s="1"/>
  <c r="EI72" i="22"/>
  <c r="EJ72" i="22" s="1"/>
  <c r="CG93" i="22"/>
  <c r="DO93" i="22"/>
  <c r="CX76" i="22"/>
  <c r="EI60" i="22"/>
  <c r="CC67" i="22"/>
  <c r="DJ67" i="22" s="1"/>
  <c r="BR67" i="22"/>
  <c r="CE67" i="22" s="1"/>
  <c r="BY66" i="22"/>
  <c r="CJ66" i="22" s="1"/>
  <c r="DO66" i="22"/>
  <c r="CG66" i="22"/>
  <c r="DQ75" i="22"/>
  <c r="DR75" i="22" s="1"/>
  <c r="CX88" i="22"/>
  <c r="CH91" i="22"/>
  <c r="CA91" i="22"/>
  <c r="CL91" i="22" s="1"/>
  <c r="CX30" i="22"/>
  <c r="DK67" i="22"/>
  <c r="EI11" i="22"/>
  <c r="CA26" i="22"/>
  <c r="CL26" i="22" s="1"/>
  <c r="CH26" i="22"/>
  <c r="DL26" i="22" s="1"/>
  <c r="BQ69" i="22"/>
  <c r="CD69" i="22" s="1"/>
  <c r="DK69" i="22" s="1"/>
  <c r="CB69" i="22"/>
  <c r="DJ69" i="22" s="1"/>
  <c r="CC4" i="22"/>
  <c r="BR4" i="22"/>
  <c r="CE4" i="22" s="1"/>
  <c r="DD8" i="22"/>
  <c r="DE8" i="22" s="1"/>
  <c r="DF8" i="22" s="1"/>
  <c r="CX13" i="22"/>
  <c r="BX58" i="22"/>
  <c r="CI58" i="22" s="1"/>
  <c r="DN58" i="22"/>
  <c r="CG23" i="22"/>
  <c r="BW23" i="22"/>
  <c r="BY23" i="22" s="1"/>
  <c r="CJ23" i="22" s="1"/>
  <c r="DO23" i="22"/>
  <c r="DD55" i="22"/>
  <c r="DN53" i="22"/>
  <c r="DQ53" i="22" s="1"/>
  <c r="DR53" i="22" s="1"/>
  <c r="BX53" i="22"/>
  <c r="CI53" i="22" s="1"/>
  <c r="EI53" i="22"/>
  <c r="CX41" i="22"/>
  <c r="DE41" i="22" s="1"/>
  <c r="DF41" i="22" s="1"/>
  <c r="DJ50" i="22"/>
  <c r="CC66" i="22"/>
  <c r="BR66" i="22"/>
  <c r="CE66" i="22" s="1"/>
  <c r="CX83" i="22"/>
  <c r="CA74" i="22"/>
  <c r="CL74" i="22" s="1"/>
  <c r="CH74" i="22"/>
  <c r="EI99" i="22"/>
  <c r="BQ99" i="22"/>
  <c r="CD99" i="22" s="1"/>
  <c r="DK99" i="22" s="1"/>
  <c r="CB99" i="22"/>
  <c r="DJ99" i="22" s="1"/>
  <c r="BZ97" i="22"/>
  <c r="CK97" i="22" s="1"/>
  <c r="DN97" i="22"/>
  <c r="DQ97" i="22" s="1"/>
  <c r="DR97" i="22" s="1"/>
  <c r="CX77" i="22"/>
  <c r="DK63" i="22"/>
  <c r="EI75" i="22"/>
  <c r="DQ46" i="22"/>
  <c r="DR46" i="22" s="1"/>
  <c r="DL65" i="22"/>
  <c r="EI58" i="22"/>
  <c r="BY35" i="22"/>
  <c r="CJ35" i="22" s="1"/>
  <c r="DO35" i="22"/>
  <c r="CG35" i="22"/>
  <c r="DN44" i="22"/>
  <c r="BX44" i="22"/>
  <c r="CI44" i="22" s="1"/>
  <c r="CA47" i="22"/>
  <c r="CL47" i="22" s="1"/>
  <c r="CH47" i="22"/>
  <c r="BQ29" i="22"/>
  <c r="CD29" i="22" s="1"/>
  <c r="DK29" i="22" s="1"/>
  <c r="CB29" i="22"/>
  <c r="CA30" i="22"/>
  <c r="CL30" i="22" s="1"/>
  <c r="DO30" i="22"/>
  <c r="CH30" i="22"/>
  <c r="BX13" i="22"/>
  <c r="CI13" i="22" s="1"/>
  <c r="DL13" i="22"/>
  <c r="DN13" i="22"/>
  <c r="DN37" i="22"/>
  <c r="DQ37" i="22" s="1"/>
  <c r="DR37" i="22" s="1"/>
  <c r="BZ37" i="22"/>
  <c r="CK37" i="22" s="1"/>
  <c r="CX11" i="22"/>
  <c r="DE11" i="22" s="1"/>
  <c r="DF11" i="22" s="1"/>
  <c r="DN61" i="22"/>
  <c r="BX61" i="22"/>
  <c r="CI61" i="22" s="1"/>
  <c r="CX64" i="22"/>
  <c r="BX100" i="22"/>
  <c r="CI100" i="22" s="1"/>
  <c r="DN100" i="22"/>
  <c r="CC5" i="22"/>
  <c r="BR5" i="22"/>
  <c r="CE5" i="22" s="1"/>
  <c r="DK5" i="22" s="1"/>
  <c r="DD13" i="22"/>
  <c r="DD34" i="22"/>
  <c r="DE34" i="22" s="1"/>
  <c r="DF34" i="22" s="1"/>
  <c r="DD41" i="22"/>
  <c r="DK50" i="22"/>
  <c r="CC15" i="22"/>
  <c r="DJ15" i="22" s="1"/>
  <c r="BR15" i="22"/>
  <c r="CE15" i="22" s="1"/>
  <c r="DK15" i="22" s="1"/>
  <c r="CA80" i="22"/>
  <c r="CL80" i="22" s="1"/>
  <c r="CH80" i="22"/>
  <c r="CC61" i="22"/>
  <c r="BR61" i="22"/>
  <c r="CE61" i="22" s="1"/>
  <c r="DO91" i="22"/>
  <c r="EI97" i="22"/>
  <c r="BR95" i="22"/>
  <c r="CE95" i="22" s="1"/>
  <c r="CC95" i="22"/>
  <c r="BX94" i="22"/>
  <c r="CI94" i="22" s="1"/>
  <c r="DN94" i="22"/>
  <c r="DN101" i="22"/>
  <c r="DK101" i="22"/>
  <c r="CB88" i="22"/>
  <c r="DJ88" i="22" s="1"/>
  <c r="BQ88" i="22"/>
  <c r="CD88" i="22" s="1"/>
  <c r="DK88" i="22" s="1"/>
  <c r="DN68" i="22"/>
  <c r="DQ68" i="22" s="1"/>
  <c r="DR68" i="22" s="1"/>
  <c r="BX68" i="22"/>
  <c r="CI68" i="22" s="1"/>
  <c r="DL68" i="22"/>
  <c r="DD68" i="22"/>
  <c r="BW67" i="22"/>
  <c r="BY67" i="22" s="1"/>
  <c r="CJ67" i="22" s="1"/>
  <c r="DO55" i="22"/>
  <c r="CG55" i="22"/>
  <c r="DD63" i="22"/>
  <c r="CX53" i="22"/>
  <c r="EI15" i="22"/>
  <c r="DK80" i="22"/>
  <c r="CA48" i="22"/>
  <c r="CL48" i="22" s="1"/>
  <c r="CH48" i="22"/>
  <c r="DQ82" i="22"/>
  <c r="DR82" i="22" s="1"/>
  <c r="EI47" i="22"/>
  <c r="BR22" i="22"/>
  <c r="CE22" i="22" s="1"/>
  <c r="DK22" i="22" s="1"/>
  <c r="CC22" i="22"/>
  <c r="DJ22" i="22" s="1"/>
  <c r="DL40" i="22"/>
  <c r="BZ40" i="22"/>
  <c r="CK40" i="22" s="1"/>
  <c r="DN40" i="22"/>
  <c r="DQ40" i="22" s="1"/>
  <c r="DR40" i="22" s="1"/>
  <c r="CA27" i="22"/>
  <c r="CL27" i="22" s="1"/>
  <c r="CH27" i="22"/>
  <c r="DL27" i="22" s="1"/>
  <c r="EI86" i="22"/>
  <c r="BY53" i="22"/>
  <c r="CJ53" i="22" s="1"/>
  <c r="CG53" i="22"/>
  <c r="DO53" i="22"/>
  <c r="DO6" i="22"/>
  <c r="CG6" i="22"/>
  <c r="BX69" i="22"/>
  <c r="CI69" i="22" s="1"/>
  <c r="DN69" i="22"/>
  <c r="DQ69" i="22" s="1"/>
  <c r="DR69" i="22" s="1"/>
  <c r="BX8" i="22"/>
  <c r="CI8" i="22" s="1"/>
  <c r="DN8" i="22"/>
  <c r="DQ8" i="22" s="1"/>
  <c r="DR8" i="22" s="1"/>
  <c r="DD32" i="22"/>
  <c r="DO13" i="22"/>
  <c r="EI6" i="22"/>
  <c r="DD70" i="22"/>
  <c r="BX22" i="22"/>
  <c r="CI22" i="22" s="1"/>
  <c r="DN22" i="22"/>
  <c r="CC2" i="22"/>
  <c r="DJ2" i="22" s="1"/>
  <c r="BR2" i="22"/>
  <c r="CE2" i="22" s="1"/>
  <c r="DK2" i="22" s="1"/>
  <c r="DN4" i="22"/>
  <c r="BW55" i="22"/>
  <c r="BY55" i="22" s="1"/>
  <c r="CJ55" i="22" s="1"/>
  <c r="EI21" i="22"/>
  <c r="DJ5" i="22"/>
  <c r="DD71" i="22"/>
  <c r="DE71" i="22" s="1"/>
  <c r="DF71" i="22" s="1"/>
  <c r="CG44" i="22"/>
  <c r="DO44" i="22"/>
  <c r="BW44" i="22"/>
  <c r="BY44" i="22" s="1"/>
  <c r="CJ44" i="22" s="1"/>
  <c r="DO100" i="22"/>
  <c r="DQ100" i="22" s="1"/>
  <c r="DR100" i="22" s="1"/>
  <c r="BW100" i="22"/>
  <c r="BY100" i="22" s="1"/>
  <c r="CJ100" i="22" s="1"/>
  <c r="CG100" i="22"/>
  <c r="CC80" i="22"/>
  <c r="DJ80" i="22" s="1"/>
  <c r="BR80" i="22"/>
  <c r="CE80" i="22" s="1"/>
  <c r="CX28" i="22"/>
  <c r="BZ64" i="22"/>
  <c r="CK64" i="22" s="1"/>
  <c r="DN64" i="22"/>
  <c r="CX94" i="22"/>
  <c r="DD17" i="22"/>
  <c r="DE17" i="22" s="1"/>
  <c r="DF17" i="22" s="1"/>
  <c r="DD94" i="22"/>
  <c r="CX62" i="22"/>
  <c r="EI18" i="22"/>
  <c r="DQ18" i="22"/>
  <c r="DR18" i="22" s="1"/>
  <c r="DQ9" i="22"/>
  <c r="DR9" i="22" s="1"/>
  <c r="CB24" i="22"/>
  <c r="DJ24" i="22" s="1"/>
  <c r="BQ24" i="22"/>
  <c r="CD24" i="22" s="1"/>
  <c r="DK24" i="22" s="1"/>
  <c r="DL16" i="22"/>
  <c r="CX95" i="22"/>
  <c r="CX90" i="22"/>
  <c r="DQ87" i="22"/>
  <c r="DR87" i="22" s="1"/>
  <c r="DJ95" i="22"/>
  <c r="EI68" i="22"/>
  <c r="DD82" i="22"/>
  <c r="BR69" i="22"/>
  <c r="CE69" i="22" s="1"/>
  <c r="CC69" i="22"/>
  <c r="CG68" i="22"/>
  <c r="DO68" i="22"/>
  <c r="BW68" i="22"/>
  <c r="BY68" i="22" s="1"/>
  <c r="CJ68" i="22" s="1"/>
  <c r="DN90" i="22"/>
  <c r="DQ90" i="22" s="1"/>
  <c r="DR90" i="22" s="1"/>
  <c r="BQ76" i="22"/>
  <c r="CD76" i="22" s="1"/>
  <c r="DK76" i="22" s="1"/>
  <c r="CB76" i="22"/>
  <c r="DJ76" i="22" s="1"/>
  <c r="EI62" i="22"/>
  <c r="DN48" i="22"/>
  <c r="BX48" i="22"/>
  <c r="CI48" i="22" s="1"/>
  <c r="BR28" i="22"/>
  <c r="CE28" i="22" s="1"/>
  <c r="CC28" i="22"/>
  <c r="EI54" i="22"/>
  <c r="BZ18" i="22"/>
  <c r="CK18" i="22" s="1"/>
  <c r="CH89" i="22"/>
  <c r="CA89" i="22"/>
  <c r="CL89" i="22" s="1"/>
  <c r="DO89" i="22"/>
  <c r="DQ89" i="22" s="1"/>
  <c r="DR89" i="22" s="1"/>
  <c r="CA6" i="22"/>
  <c r="CL6" i="22" s="1"/>
  <c r="CH6" i="22"/>
  <c r="DN28" i="22"/>
  <c r="DQ28" i="22" s="1"/>
  <c r="DR28" i="22" s="1"/>
  <c r="CA4" i="22"/>
  <c r="CL4" i="22" s="1"/>
  <c r="CH4" i="22"/>
  <c r="CX67" i="22"/>
  <c r="EI9" i="22"/>
  <c r="BQ35" i="22"/>
  <c r="CD35" i="22" s="1"/>
  <c r="DK35" i="22" s="1"/>
  <c r="CB35" i="22"/>
  <c r="DJ35" i="22" s="1"/>
  <c r="EI13" i="22"/>
  <c r="CA56" i="22"/>
  <c r="CL56" i="22" s="1"/>
  <c r="CH56" i="22"/>
  <c r="DJ9" i="22"/>
  <c r="CC55" i="22"/>
  <c r="DJ55" i="22" s="1"/>
  <c r="BR55" i="22"/>
  <c r="CE55" i="22" s="1"/>
  <c r="BX76" i="22"/>
  <c r="CI76" i="22" s="1"/>
  <c r="DN76" i="22"/>
  <c r="EJ7" i="22"/>
  <c r="EK7" i="22" s="1"/>
  <c r="CG61" i="22"/>
  <c r="DO61" i="22"/>
  <c r="BW61" i="22"/>
  <c r="BY61" i="22" s="1"/>
  <c r="CJ61" i="22" s="1"/>
  <c r="DE61" i="22" s="1"/>
  <c r="DF61" i="22" s="1"/>
  <c r="DL32" i="22"/>
  <c r="BX32" i="22"/>
  <c r="CI32" i="22" s="1"/>
  <c r="DN32" i="22"/>
  <c r="DQ32" i="22" s="1"/>
  <c r="DR32" i="22" s="1"/>
  <c r="BR29" i="22"/>
  <c r="CE29" i="22" s="1"/>
  <c r="CC29" i="22"/>
  <c r="EI63" i="22"/>
  <c r="CH66" i="22"/>
  <c r="CA66" i="22"/>
  <c r="CL66" i="22" s="1"/>
  <c r="CB28" i="22"/>
  <c r="DJ28" i="22" s="1"/>
  <c r="BQ28" i="22"/>
  <c r="CD28" i="22" s="1"/>
  <c r="DK28" i="22" s="1"/>
  <c r="DQ39" i="22"/>
  <c r="DR39" i="22" s="1"/>
  <c r="EJ39" i="22" s="1"/>
  <c r="EK39" i="22" s="1"/>
  <c r="DL85" i="22"/>
  <c r="DE12" i="22"/>
  <c r="DF12" i="22" s="1"/>
  <c r="CG5" i="22"/>
  <c r="DO5" i="22"/>
  <c r="BW5" i="22"/>
  <c r="BY5" i="22" s="1"/>
  <c r="CJ5" i="22" s="1"/>
  <c r="DN19" i="22"/>
  <c r="DQ19" i="22" s="1"/>
  <c r="DR19" i="22" s="1"/>
  <c r="BX19" i="22"/>
  <c r="CI19" i="22" s="1"/>
  <c r="DO95" i="22"/>
  <c r="BY95" i="22"/>
  <c r="CJ95" i="22" s="1"/>
  <c r="BW95" i="22"/>
  <c r="CG95" i="22"/>
  <c r="DN42" i="22"/>
  <c r="DQ42" i="22" s="1"/>
  <c r="DR42" i="22" s="1"/>
  <c r="BX42" i="22"/>
  <c r="CI42" i="22" s="1"/>
  <c r="CB66" i="22"/>
  <c r="BQ66" i="22"/>
  <c r="CD66" i="22" s="1"/>
  <c r="DK66" i="22" s="1"/>
  <c r="EJ25" i="22"/>
  <c r="DN73" i="22"/>
  <c r="DQ73" i="22" s="1"/>
  <c r="DR73" i="22" s="1"/>
  <c r="BX24" i="22"/>
  <c r="CI24" i="22" s="1"/>
  <c r="DN24" i="22"/>
  <c r="DQ24" i="22" s="1"/>
  <c r="DR24" i="22" s="1"/>
  <c r="BZ26" i="22"/>
  <c r="CK26" i="22" s="1"/>
  <c r="DN26" i="22"/>
  <c r="DQ26" i="22" s="1"/>
  <c r="DR26" i="22" s="1"/>
  <c r="EJ26" i="22" s="1"/>
  <c r="CX70" i="22"/>
  <c r="BY22" i="22"/>
  <c r="CJ22" i="22" s="1"/>
  <c r="BW22" i="22"/>
  <c r="CG22" i="22"/>
  <c r="DO22" i="22"/>
  <c r="DD90" i="22"/>
  <c r="CC84" i="22"/>
  <c r="DJ84" i="22" s="1"/>
  <c r="BR84" i="22"/>
  <c r="CE84" i="22" s="1"/>
  <c r="DK84" i="22" s="1"/>
  <c r="EI87" i="22"/>
  <c r="DK95" i="22"/>
  <c r="BR97" i="22"/>
  <c r="CE97" i="22" s="1"/>
  <c r="DK97" i="22" s="1"/>
  <c r="CC97" i="22"/>
  <c r="DJ97" i="22" s="1"/>
  <c r="CB65" i="22"/>
  <c r="DJ65" i="22" s="1"/>
  <c r="BQ65" i="22"/>
  <c r="CD65" i="22" s="1"/>
  <c r="DK65" i="22" s="1"/>
  <c r="CX93" i="22"/>
  <c r="BX74" i="22"/>
  <c r="CI74" i="22" s="1"/>
  <c r="DN74" i="22"/>
  <c r="DQ74" i="22" s="1"/>
  <c r="DR74" i="22" s="1"/>
  <c r="DL74" i="22"/>
  <c r="CX44" i="22"/>
  <c r="CX14" i="22"/>
  <c r="DN14" i="22"/>
  <c r="DQ14" i="22" s="1"/>
  <c r="DR14" i="22" s="1"/>
  <c r="BX14" i="22"/>
  <c r="CI14" i="22" s="1"/>
  <c r="CA50" i="22"/>
  <c r="CL50" i="22" s="1"/>
  <c r="CH50" i="22"/>
  <c r="DD26" i="22"/>
  <c r="DE26" i="22" s="1"/>
  <c r="DF26" i="22" s="1"/>
  <c r="DD67" i="22"/>
  <c r="DO33" i="22"/>
  <c r="DQ35" i="22"/>
  <c r="DR35" i="22" s="1"/>
  <c r="CA57" i="22"/>
  <c r="CL57" i="22" s="1"/>
  <c r="CH57" i="22"/>
  <c r="CX20" i="22"/>
  <c r="DL12" i="22"/>
  <c r="EJ12" i="22" s="1"/>
  <c r="EK12" i="22" s="1"/>
  <c r="DN15" i="22"/>
  <c r="DQ15" i="22" s="1"/>
  <c r="DR15" i="22" s="1"/>
  <c r="DK11" i="22"/>
  <c r="DL11" i="22" s="1"/>
  <c r="CC65" i="22"/>
  <c r="BR65" i="22"/>
  <c r="CE65" i="22" s="1"/>
  <c r="EI49" i="22"/>
  <c r="BR50" i="22"/>
  <c r="CE50" i="22" s="1"/>
  <c r="CC50" i="22"/>
  <c r="BQ46" i="22"/>
  <c r="CD46" i="22" s="1"/>
  <c r="CB46" i="22"/>
  <c r="BR64" i="22"/>
  <c r="CE64" i="22" s="1"/>
  <c r="CC64" i="22"/>
  <c r="CB34" i="22"/>
  <c r="DJ34" i="22" s="1"/>
  <c r="BQ34" i="22"/>
  <c r="CD34" i="22" s="1"/>
  <c r="DK34" i="22" s="1"/>
  <c r="CX97" i="22"/>
  <c r="BR46" i="22"/>
  <c r="CE46" i="22" s="1"/>
  <c r="CC46" i="22"/>
  <c r="DD43" i="22"/>
  <c r="DE43" i="22" s="1"/>
  <c r="DF43" i="22" s="1"/>
  <c r="EI33" i="22"/>
  <c r="BR44" i="22"/>
  <c r="CE44" i="22" s="1"/>
  <c r="DK44" i="22" s="1"/>
  <c r="CC44" i="22"/>
  <c r="DJ44" i="22" s="1"/>
  <c r="DN98" i="22"/>
  <c r="BX98" i="22"/>
  <c r="CI98" i="22" s="1"/>
  <c r="BY94" i="22"/>
  <c r="CJ94" i="22" s="1"/>
  <c r="DO94" i="22"/>
  <c r="CG94" i="22"/>
  <c r="BR71" i="22"/>
  <c r="CE71" i="22" s="1"/>
  <c r="DK71" i="22" s="1"/>
  <c r="CC71" i="22"/>
  <c r="DJ71" i="22" s="1"/>
  <c r="CX63" i="22"/>
  <c r="CX100" i="22"/>
  <c r="DD53" i="22"/>
  <c r="DQ45" i="22"/>
  <c r="DR45" i="22" s="1"/>
  <c r="DQ29" i="22"/>
  <c r="DR29" i="22" s="1"/>
  <c r="DL28" i="22"/>
  <c r="CG69" i="22"/>
  <c r="BW69" i="22"/>
  <c r="BY69" i="22" s="1"/>
  <c r="CJ69" i="22" s="1"/>
  <c r="DO69" i="22"/>
  <c r="DN9" i="22"/>
  <c r="BX9" i="22"/>
  <c r="CI9" i="22" s="1"/>
  <c r="BR56" i="22"/>
  <c r="CE56" i="22" s="1"/>
  <c r="DK56" i="22" s="1"/>
  <c r="CC56" i="22"/>
  <c r="DJ56" i="22" s="1"/>
  <c r="BQ12" i="22"/>
  <c r="CD12" i="22" s="1"/>
  <c r="DK12" i="22" s="1"/>
  <c r="CB12" i="22"/>
  <c r="DJ12" i="22" s="1"/>
  <c r="CH15" i="22"/>
  <c r="CA15" i="22"/>
  <c r="CL15" i="22" s="1"/>
  <c r="CH85" i="22"/>
  <c r="CA85" i="22"/>
  <c r="CL85" i="22" s="1"/>
  <c r="DO85" i="22"/>
  <c r="BR93" i="22"/>
  <c r="CE93" i="22" s="1"/>
  <c r="DK93" i="22" s="1"/>
  <c r="CC93" i="22"/>
  <c r="DJ93" i="22" s="1"/>
  <c r="DK89" i="22"/>
  <c r="CH88" i="22"/>
  <c r="CA88" i="22"/>
  <c r="CL88" i="22" s="1"/>
  <c r="BW94" i="22"/>
  <c r="CH83" i="22"/>
  <c r="CA83" i="22"/>
  <c r="CL83" i="22" s="1"/>
  <c r="DN81" i="22"/>
  <c r="DQ81" i="22" s="1"/>
  <c r="DR81" i="22" s="1"/>
  <c r="BQ60" i="22"/>
  <c r="CD60" i="22" s="1"/>
  <c r="CB60" i="22"/>
  <c r="CH55" i="22"/>
  <c r="CA55" i="22"/>
  <c r="CL55" i="22" s="1"/>
  <c r="DD93" i="22"/>
  <c r="DD56" i="22"/>
  <c r="DE56" i="22" s="1"/>
  <c r="DF56" i="22" s="1"/>
  <c r="BY41" i="22"/>
  <c r="CJ41" i="22" s="1"/>
  <c r="CG41" i="22"/>
  <c r="DO41" i="22"/>
  <c r="DQ56" i="22"/>
  <c r="DR56" i="22" s="1"/>
  <c r="BW57" i="22"/>
  <c r="BY57" i="22" s="1"/>
  <c r="CJ57" i="22" s="1"/>
  <c r="DL70" i="22"/>
  <c r="BX70" i="22"/>
  <c r="CI70" i="22" s="1"/>
  <c r="DN70" i="22"/>
  <c r="DQ70" i="22" s="1"/>
  <c r="DR70" i="22" s="1"/>
  <c r="EI70" i="22"/>
  <c r="BY74" i="22"/>
  <c r="CJ74" i="22" s="1"/>
  <c r="CG74" i="22"/>
  <c r="DO74" i="22"/>
  <c r="BQ62" i="22"/>
  <c r="CD62" i="22" s="1"/>
  <c r="CB62" i="22"/>
  <c r="CC18" i="22"/>
  <c r="DJ18" i="22" s="1"/>
  <c r="BR18" i="22"/>
  <c r="CE18" i="22" s="1"/>
  <c r="DK18" i="22" s="1"/>
  <c r="CB64" i="22"/>
  <c r="BQ64" i="22"/>
  <c r="CD64" i="22" s="1"/>
  <c r="EI45" i="22"/>
  <c r="BQ57" i="22"/>
  <c r="CD57" i="22" s="1"/>
  <c r="CB57" i="22"/>
  <c r="DD48" i="22"/>
  <c r="DN51" i="22"/>
  <c r="DQ51" i="22" s="1"/>
  <c r="DR51" i="22" s="1"/>
  <c r="BQ86" i="22"/>
  <c r="CD86" i="22" s="1"/>
  <c r="DK86" i="22" s="1"/>
  <c r="CB86" i="22"/>
  <c r="DJ86" i="22" s="1"/>
  <c r="DL86" i="22" s="1"/>
  <c r="BQ23" i="22"/>
  <c r="CD23" i="22" s="1"/>
  <c r="DK23" i="22" s="1"/>
  <c r="CB23" i="22"/>
  <c r="DJ23" i="22" s="1"/>
  <c r="CH61" i="22"/>
  <c r="CA61" i="22"/>
  <c r="CL61" i="22" s="1"/>
  <c r="DD60" i="22"/>
  <c r="BQ49" i="22"/>
  <c r="CD49" i="22" s="1"/>
  <c r="DK49" i="22" s="1"/>
  <c r="CB49" i="22"/>
  <c r="DJ49" i="22" s="1"/>
  <c r="BX30" i="22"/>
  <c r="CI30" i="22" s="1"/>
  <c r="DN30" i="22"/>
  <c r="DQ30" i="22" s="1"/>
  <c r="DR30" i="22" s="1"/>
  <c r="BX33" i="22"/>
  <c r="CI33" i="22" s="1"/>
  <c r="DN33" i="22"/>
  <c r="DQ33" i="22" s="1"/>
  <c r="DR33" i="22" s="1"/>
  <c r="DO47" i="22"/>
  <c r="DQ47" i="22" s="1"/>
  <c r="DR47" i="22" s="1"/>
  <c r="CA3" i="22"/>
  <c r="CL3" i="22" s="1"/>
  <c r="CH3" i="22"/>
  <c r="DL3" i="22" s="1"/>
  <c r="CC90" i="22"/>
  <c r="DJ90" i="22" s="1"/>
  <c r="BR90" i="22"/>
  <c r="CE90" i="22" s="1"/>
  <c r="DK90" i="22" s="1"/>
  <c r="CB52" i="22"/>
  <c r="DJ52" i="22" s="1"/>
  <c r="BQ52" i="22"/>
  <c r="CD52" i="22" s="1"/>
  <c r="DK52" i="22" s="1"/>
  <c r="EI20" i="22"/>
  <c r="DL7" i="22"/>
  <c r="CX5" i="22"/>
  <c r="CH68" i="22"/>
  <c r="CA68" i="22"/>
  <c r="CL68" i="22" s="1"/>
  <c r="EI71" i="22"/>
  <c r="DQ20" i="22"/>
  <c r="DR20" i="22" s="1"/>
  <c r="DN34" i="22"/>
  <c r="DQ34" i="22" s="1"/>
  <c r="DR34" i="22" s="1"/>
  <c r="BX34" i="22"/>
  <c r="CI34" i="22" s="1"/>
  <c r="DD97" i="22"/>
  <c r="BW93" i="22"/>
  <c r="BY93" i="22" s="1"/>
  <c r="CJ93" i="22" s="1"/>
  <c r="DJ19" i="22"/>
  <c r="EI64" i="22"/>
  <c r="DL89" i="22"/>
  <c r="BZ95" i="22"/>
  <c r="CK95" i="22" s="1"/>
  <c r="DO70" i="22"/>
  <c r="CG70" i="22"/>
  <c r="EI14" i="22"/>
  <c r="CC17" i="22"/>
  <c r="DJ17" i="22" s="1"/>
  <c r="BR17" i="22"/>
  <c r="CE17" i="22" s="1"/>
  <c r="DK17" i="22" s="1"/>
  <c r="BX84" i="22"/>
  <c r="CI84" i="22" s="1"/>
  <c r="DN84" i="22"/>
  <c r="DQ84" i="22" s="1"/>
  <c r="DR84" i="22" s="1"/>
  <c r="CA98" i="22"/>
  <c r="CL98" i="22" s="1"/>
  <c r="DO98" i="22"/>
  <c r="CH98" i="22"/>
  <c r="DD85" i="22"/>
  <c r="BR82" i="22"/>
  <c r="CE82" i="22" s="1"/>
  <c r="DK82" i="22" s="1"/>
  <c r="CC82" i="22"/>
  <c r="DJ82" i="22" s="1"/>
  <c r="DD87" i="22"/>
  <c r="EI90" i="22"/>
  <c r="CC98" i="22"/>
  <c r="DJ98" i="22" s="1"/>
  <c r="BR98" i="22"/>
  <c r="CE98" i="22" s="1"/>
  <c r="DK98" i="22" s="1"/>
  <c r="DD59" i="22"/>
  <c r="CH95" i="22"/>
  <c r="CA95" i="22"/>
  <c r="CL95" i="22" s="1"/>
  <c r="DK91" i="22"/>
  <c r="CX72" i="22"/>
  <c r="DL82" i="22"/>
  <c r="CH64" i="22"/>
  <c r="CA64" i="22"/>
  <c r="CL64" i="22" s="1"/>
  <c r="DO64" i="22"/>
  <c r="CX36" i="22"/>
  <c r="DL10" i="22"/>
  <c r="EJ10" i="22" s="1"/>
  <c r="EK10" i="22" s="1"/>
  <c r="CA53" i="22"/>
  <c r="CL53" i="22" s="1"/>
  <c r="CH53" i="22"/>
  <c r="DD36" i="22"/>
  <c r="DL51" i="22"/>
  <c r="DO27" i="22"/>
  <c r="DQ27" i="22" s="1"/>
  <c r="DR27" i="22" s="1"/>
  <c r="DD44" i="22"/>
  <c r="EI3" i="22"/>
  <c r="CA52" i="22"/>
  <c r="CL52" i="22" s="1"/>
  <c r="CH52" i="22"/>
  <c r="CB14" i="22"/>
  <c r="DJ14" i="22" s="1"/>
  <c r="BQ14" i="22"/>
  <c r="CD14" i="22" s="1"/>
  <c r="DK14" i="22" s="1"/>
  <c r="DK33" i="22"/>
  <c r="DN52" i="22"/>
  <c r="DQ52" i="22" s="1"/>
  <c r="DR52" i="22" s="1"/>
  <c r="CX25" i="22"/>
  <c r="EI34" i="22"/>
  <c r="EI23" i="22"/>
  <c r="DD5" i="22"/>
  <c r="EI59" i="22"/>
  <c r="BX63" i="22"/>
  <c r="CI63" i="22" s="1"/>
  <c r="DL63" i="22"/>
  <c r="DN63" i="22"/>
  <c r="DQ63" i="22" s="1"/>
  <c r="DR63" i="22" s="1"/>
  <c r="BR19" i="22"/>
  <c r="CE19" i="22" s="1"/>
  <c r="DK19" i="22" s="1"/>
  <c r="CC19" i="22"/>
  <c r="DN5" i="22"/>
  <c r="DQ5" i="22" s="1"/>
  <c r="DR5" i="22" s="1"/>
  <c r="BX5" i="22"/>
  <c r="CI5" i="22" s="1"/>
  <c r="CB77" i="22"/>
  <c r="DJ77" i="22" s="1"/>
  <c r="BQ77" i="22"/>
  <c r="CD77" i="22" s="1"/>
  <c r="DK77" i="22" s="1"/>
  <c r="DL45" i="22"/>
  <c r="BX45" i="22"/>
  <c r="CI45" i="22" s="1"/>
  <c r="DE45" i="22" s="1"/>
  <c r="DF45" i="22" s="1"/>
  <c r="DN45" i="22"/>
  <c r="EI74" i="22"/>
  <c r="CH35" i="22"/>
  <c r="CA35" i="22"/>
  <c r="CL35" i="22" s="1"/>
  <c r="BZ86" i="22"/>
  <c r="CK86" i="22" s="1"/>
  <c r="DN86" i="22"/>
  <c r="DQ86" i="22" s="1"/>
  <c r="DR86" i="22" s="1"/>
  <c r="CX78" i="22"/>
  <c r="EI56" i="22"/>
  <c r="DN29" i="22"/>
  <c r="BX29" i="22"/>
  <c r="CI29" i="22" s="1"/>
  <c r="DD98" i="22"/>
  <c r="DN77" i="22"/>
  <c r="DQ77" i="22" s="1"/>
  <c r="DR77" i="22" s="1"/>
  <c r="DL77" i="22"/>
  <c r="BX77" i="22"/>
  <c r="CI77" i="22" s="1"/>
  <c r="CB58" i="22"/>
  <c r="DJ58" i="22" s="1"/>
  <c r="BQ58" i="22"/>
  <c r="CD58" i="22" s="1"/>
  <c r="DK58" i="22" s="1"/>
  <c r="DD72" i="22"/>
  <c r="DQ38" i="22"/>
  <c r="DR38" i="22" s="1"/>
  <c r="EI65" i="22"/>
  <c r="DD40" i="22"/>
  <c r="DE40" i="22" s="1"/>
  <c r="DF40" i="22" s="1"/>
  <c r="DN50" i="22"/>
  <c r="BX50" i="22"/>
  <c r="CI50" i="22" s="1"/>
  <c r="BX62" i="22"/>
  <c r="CI62" i="22" s="1"/>
  <c r="DN62" i="22"/>
  <c r="DQ62" i="22" s="1"/>
  <c r="DR62" i="22" s="1"/>
  <c r="EI42" i="22"/>
  <c r="CX52" i="22"/>
  <c r="DE52" i="22" s="1"/>
  <c r="DF52" i="22" s="1"/>
  <c r="DQ31" i="22"/>
  <c r="DR31" i="22" s="1"/>
  <c r="DL21" i="22"/>
  <c r="BX21" i="22"/>
  <c r="CI21" i="22" s="1"/>
  <c r="DE21" i="22" s="1"/>
  <c r="DF21" i="22" s="1"/>
  <c r="DN21" i="22"/>
  <c r="DQ21" i="22" s="1"/>
  <c r="DR21" i="22" s="1"/>
  <c r="CX54" i="22"/>
  <c r="DE54" i="22" s="1"/>
  <c r="DF54" i="22" s="1"/>
  <c r="CX3" i="22"/>
  <c r="CB8" i="22"/>
  <c r="DJ8" i="22" s="1"/>
  <c r="BQ8" i="22"/>
  <c r="CD8" i="22" s="1"/>
  <c r="CX24" i="22"/>
  <c r="DJ33" i="22"/>
  <c r="EI48" i="22"/>
  <c r="DD25" i="22"/>
  <c r="DN17" i="22"/>
  <c r="DQ17" i="22" s="1"/>
  <c r="DR17" i="22" s="1"/>
  <c r="BY34" i="22"/>
  <c r="CJ34" i="22" s="1"/>
  <c r="CG34" i="22"/>
  <c r="DO34" i="22"/>
  <c r="CX59" i="22"/>
  <c r="CH101" i="22"/>
  <c r="CA101" i="22"/>
  <c r="CL101" i="22" s="1"/>
  <c r="DN99" i="22"/>
  <c r="DQ99" i="22" s="1"/>
  <c r="DR99" i="22" s="1"/>
  <c r="BX99" i="22"/>
  <c r="CI99" i="22" s="1"/>
  <c r="BY11" i="22"/>
  <c r="CJ11" i="22" s="1"/>
  <c r="DO11" i="22"/>
  <c r="DQ11" i="22" s="1"/>
  <c r="DR11" i="22" s="1"/>
  <c r="CG11" i="22"/>
  <c r="DN56" i="22"/>
  <c r="BX56" i="22"/>
  <c r="CI56" i="22" s="1"/>
  <c r="DQ66" i="22"/>
  <c r="DR66" i="22" s="1"/>
  <c r="CX50" i="22"/>
  <c r="EI24" i="22"/>
  <c r="DL87" i="22"/>
  <c r="DD76" i="22"/>
  <c r="DD27" i="22"/>
  <c r="DE27" i="22" s="1"/>
  <c r="DF27" i="22" s="1"/>
  <c r="CX87" i="22"/>
  <c r="DO60" i="22"/>
  <c r="CG60" i="22"/>
  <c r="BY60" i="22"/>
  <c r="CJ60" i="22" s="1"/>
  <c r="BW60" i="22"/>
  <c r="BQ70" i="22"/>
  <c r="CD70" i="22" s="1"/>
  <c r="DK70" i="22" s="1"/>
  <c r="CB70" i="22"/>
  <c r="DJ70" i="22" s="1"/>
  <c r="DD47" i="22"/>
  <c r="CC42" i="22"/>
  <c r="DJ42" i="22" s="1"/>
  <c r="BR42" i="22"/>
  <c r="CE42" i="22" s="1"/>
  <c r="DK42" i="22" s="1"/>
  <c r="BR37" i="22"/>
  <c r="CE37" i="22" s="1"/>
  <c r="CC37" i="22"/>
  <c r="DJ37" i="22" s="1"/>
  <c r="BR60" i="22"/>
  <c r="CE60" i="22" s="1"/>
  <c r="CC60" i="22"/>
  <c r="CA93" i="22"/>
  <c r="CL93" i="22" s="1"/>
  <c r="CH93" i="22"/>
  <c r="CH76" i="22"/>
  <c r="CA76" i="22"/>
  <c r="CL76" i="22" s="1"/>
  <c r="EI77" i="22"/>
  <c r="DO88" i="22"/>
  <c r="DQ88" i="22" s="1"/>
  <c r="DR88" i="22" s="1"/>
  <c r="CG88" i="22"/>
  <c r="BW88" i="22"/>
  <c r="BY88" i="22" s="1"/>
  <c r="CJ88" i="22" s="1"/>
  <c r="DQ94" i="22"/>
  <c r="DR94" i="22" s="1"/>
  <c r="EI61" i="22"/>
  <c r="CB78" i="22"/>
  <c r="DJ78" i="22" s="1"/>
  <c r="BQ78" i="22"/>
  <c r="CD78" i="22" s="1"/>
  <c r="DK78" i="22" s="1"/>
  <c r="DK74" i="22"/>
  <c r="CA77" i="22"/>
  <c r="CL77" i="22" s="1"/>
  <c r="CH77" i="22"/>
  <c r="DO77" i="22"/>
  <c r="EI57" i="22"/>
  <c r="DD38" i="22"/>
  <c r="BR59" i="22"/>
  <c r="CE59" i="22" s="1"/>
  <c r="CC59" i="22"/>
  <c r="DQ4" i="22"/>
  <c r="DR4" i="22" s="1"/>
  <c r="DE15" i="22"/>
  <c r="DF15" i="22" s="1"/>
  <c r="DO50" i="22"/>
  <c r="DQ50" i="22" s="1"/>
  <c r="DR50" i="22" s="1"/>
  <c r="BY50" i="22"/>
  <c r="CJ50" i="22" s="1"/>
  <c r="CG50" i="22"/>
  <c r="DD33" i="22"/>
  <c r="DD15" i="22"/>
  <c r="CG62" i="22"/>
  <c r="BW62" i="22"/>
  <c r="BY62" i="22" s="1"/>
  <c r="CJ62" i="22" s="1"/>
  <c r="DO62" i="22"/>
  <c r="EI31" i="22"/>
  <c r="BX20" i="22"/>
  <c r="CI20" i="22" s="1"/>
  <c r="DN20" i="22"/>
  <c r="DO48" i="22"/>
  <c r="DQ48" i="22" s="1"/>
  <c r="DR48" i="22" s="1"/>
  <c r="CH79" i="22"/>
  <c r="DL79" i="22" s="1"/>
  <c r="EJ79" i="22" s="1"/>
  <c r="CA79" i="22"/>
  <c r="CL79" i="22" s="1"/>
  <c r="DE79" i="22" s="1"/>
  <c r="DF79" i="22" s="1"/>
  <c r="BR38" i="22"/>
  <c r="CE38" i="22" s="1"/>
  <c r="CC38" i="22"/>
  <c r="CB54" i="22"/>
  <c r="DJ54" i="22" s="1"/>
  <c r="BQ54" i="22"/>
  <c r="CD54" i="22" s="1"/>
  <c r="DK54" i="22" s="1"/>
  <c r="CX16" i="22"/>
  <c r="DE16" i="22" s="1"/>
  <c r="DF16" i="22" s="1"/>
  <c r="EI93" i="22"/>
  <c r="BX49" i="22"/>
  <c r="CI49" i="22" s="1"/>
  <c r="DE49" i="22" s="1"/>
  <c r="DF49" i="22" s="1"/>
  <c r="DN49" i="22"/>
  <c r="DQ49" i="22" s="1"/>
  <c r="DR49" i="22" s="1"/>
  <c r="BR33" i="22"/>
  <c r="CE33" i="22" s="1"/>
  <c r="CC33" i="22"/>
  <c r="DO26" i="22"/>
  <c r="CC8" i="22"/>
  <c r="BR8" i="22"/>
  <c r="CE8" i="22" s="1"/>
  <c r="DK37" i="22"/>
  <c r="CX23" i="22"/>
  <c r="DO15" i="22"/>
  <c r="DO99" i="22"/>
  <c r="CG99" i="22"/>
  <c r="BY99" i="22"/>
  <c r="CJ99" i="22" s="1"/>
  <c r="CC89" i="22"/>
  <c r="DJ89" i="22" s="1"/>
  <c r="BR89" i="22"/>
  <c r="CE89" i="22" s="1"/>
  <c r="DE89" i="22" s="1"/>
  <c r="DF89" i="22" s="1"/>
  <c r="CH73" i="22"/>
  <c r="CA73" i="22"/>
  <c r="CL73" i="22" s="1"/>
  <c r="CH97" i="22"/>
  <c r="DL97" i="22" s="1"/>
  <c r="CA97" i="22"/>
  <c r="CL97" i="22" s="1"/>
  <c r="DO97" i="22"/>
  <c r="CX98" i="22"/>
  <c r="CX22" i="22"/>
  <c r="CX9" i="22"/>
  <c r="DE9" i="22" s="1"/>
  <c r="DF9" i="22" s="1"/>
  <c r="CA90" i="22"/>
  <c r="CL90" i="22" s="1"/>
  <c r="CH90" i="22"/>
  <c r="DN95" i="22"/>
  <c r="DQ95" i="22" s="1"/>
  <c r="DR95" i="22" s="1"/>
  <c r="CH81" i="22"/>
  <c r="CA81" i="22"/>
  <c r="CL81" i="22" s="1"/>
  <c r="DE81" i="22" s="1"/>
  <c r="DF81" i="22" s="1"/>
  <c r="BR76" i="22"/>
  <c r="CE76" i="22" s="1"/>
  <c r="CC76" i="22"/>
  <c r="EI94" i="22"/>
  <c r="DD101" i="22"/>
  <c r="DE101" i="22" s="1"/>
  <c r="DF101" i="22" s="1"/>
  <c r="DJ74" i="22"/>
  <c r="CX55" i="22"/>
  <c r="BW70" i="22"/>
  <c r="BY70" i="22" s="1"/>
  <c r="CJ70" i="22" s="1"/>
  <c r="DQ65" i="22"/>
  <c r="DR65" i="22" s="1"/>
  <c r="DK87" i="22"/>
  <c r="CX31" i="22"/>
  <c r="CC34" i="22"/>
  <c r="BR34" i="22"/>
  <c r="CE34" i="22" s="1"/>
  <c r="CC43" i="22"/>
  <c r="DJ43" i="22" s="1"/>
  <c r="BR43" i="22"/>
  <c r="CE43" i="22" s="1"/>
  <c r="DK43" i="22" s="1"/>
  <c r="CH92" i="22"/>
  <c r="DL92" i="22" s="1"/>
  <c r="EJ92" i="22" s="1"/>
  <c r="EK92" i="22" s="1"/>
  <c r="CA92" i="22"/>
  <c r="CL92" i="22" s="1"/>
  <c r="DE92" i="22" s="1"/>
  <c r="DF92" i="22" s="1"/>
  <c r="BW6" i="22"/>
  <c r="BY6" i="22" s="1"/>
  <c r="CJ6" i="22" s="1"/>
  <c r="DD23" i="22"/>
  <c r="BQ59" i="22"/>
  <c r="CD59" i="22" s="1"/>
  <c r="DK59" i="22" s="1"/>
  <c r="CB59" i="22"/>
  <c r="DJ59" i="22" s="1"/>
  <c r="DL59" i="22" s="1"/>
  <c r="DL39" i="22"/>
  <c r="DN16" i="22"/>
  <c r="DQ16" i="22" s="1"/>
  <c r="DR16" i="22" s="1"/>
  <c r="CP44" i="21"/>
  <c r="EW44" i="21"/>
  <c r="CR44" i="21"/>
  <c r="CQ44" i="21"/>
  <c r="FZ27" i="21"/>
  <c r="CP79" i="21"/>
  <c r="CR79" i="21"/>
  <c r="CQ79" i="21"/>
  <c r="EW79" i="21"/>
  <c r="EZ79" i="21" s="1"/>
  <c r="FA79" i="21" s="1"/>
  <c r="EZ32" i="21"/>
  <c r="FA32" i="21" s="1"/>
  <c r="EX34" i="21"/>
  <c r="EZ34" i="21" s="1"/>
  <c r="FA34" i="21" s="1"/>
  <c r="CP38" i="21"/>
  <c r="CQ38" i="21"/>
  <c r="CR38" i="21"/>
  <c r="EW38" i="21"/>
  <c r="EN99" i="21"/>
  <c r="EO99" i="21" s="1"/>
  <c r="CP80" i="21"/>
  <c r="EW80" i="21" s="1"/>
  <c r="EZ80" i="21" s="1"/>
  <c r="FA80" i="21" s="1"/>
  <c r="FZ80" i="21" s="1"/>
  <c r="CR80" i="21"/>
  <c r="CQ80" i="21"/>
  <c r="CQ66" i="21"/>
  <c r="CP66" i="21"/>
  <c r="EW66" i="21"/>
  <c r="CR66" i="21"/>
  <c r="CP51" i="21"/>
  <c r="CQ51" i="21"/>
  <c r="CR51" i="21"/>
  <c r="EW51" i="21"/>
  <c r="EN27" i="21"/>
  <c r="EO27" i="21" s="1"/>
  <c r="CR48" i="21"/>
  <c r="CP48" i="21"/>
  <c r="EW48" i="21"/>
  <c r="CQ48" i="21"/>
  <c r="CP83" i="21"/>
  <c r="EW83" i="21"/>
  <c r="CQ83" i="21"/>
  <c r="CR83" i="21"/>
  <c r="CP96" i="21"/>
  <c r="EW96" i="21"/>
  <c r="CQ96" i="21"/>
  <c r="CR96" i="21"/>
  <c r="CP75" i="21"/>
  <c r="EW75" i="21"/>
  <c r="CQ75" i="21"/>
  <c r="CR75" i="21"/>
  <c r="CK37" i="21"/>
  <c r="CO37" i="21" s="1"/>
  <c r="CZ37" i="21"/>
  <c r="EJ95" i="21"/>
  <c r="EL95" i="21" s="1"/>
  <c r="FT95" i="21"/>
  <c r="DC99" i="21"/>
  <c r="CT99" i="21"/>
  <c r="CR87" i="21"/>
  <c r="CQ87" i="21"/>
  <c r="CP87" i="21"/>
  <c r="DC83" i="21"/>
  <c r="CT83" i="21"/>
  <c r="FV81" i="21"/>
  <c r="FY81" i="21" s="1"/>
  <c r="CR93" i="21"/>
  <c r="CQ93" i="21"/>
  <c r="CP93" i="21"/>
  <c r="EK94" i="21"/>
  <c r="EM94" i="21" s="1"/>
  <c r="FU94" i="21"/>
  <c r="FV94" i="21" s="1"/>
  <c r="CQ76" i="21"/>
  <c r="CP76" i="21"/>
  <c r="FT77" i="21"/>
  <c r="FV77" i="21" s="1"/>
  <c r="EJ77" i="21"/>
  <c r="EL77" i="21" s="1"/>
  <c r="CP94" i="21"/>
  <c r="EW94" i="21"/>
  <c r="EZ94" i="21" s="1"/>
  <c r="FA94" i="21" s="1"/>
  <c r="EK93" i="21"/>
  <c r="EM93" i="21" s="1"/>
  <c r="FX93" i="21" s="1"/>
  <c r="FU93" i="21"/>
  <c r="FV93" i="21" s="1"/>
  <c r="FY93" i="21" s="1"/>
  <c r="FW58" i="21"/>
  <c r="FY58" i="21" s="1"/>
  <c r="FZ58" i="21" s="1"/>
  <c r="EX59" i="21"/>
  <c r="DC29" i="21"/>
  <c r="CT29" i="21"/>
  <c r="EX36" i="21"/>
  <c r="EZ36" i="21" s="1"/>
  <c r="FA36" i="21" s="1"/>
  <c r="FT98" i="21"/>
  <c r="FV98" i="21" s="1"/>
  <c r="EJ98" i="21"/>
  <c r="EL98" i="21" s="1"/>
  <c r="CT21" i="21"/>
  <c r="DC21" i="21"/>
  <c r="FU9" i="21"/>
  <c r="FV9" i="21" s="1"/>
  <c r="EK9" i="21"/>
  <c r="EM9" i="21" s="1"/>
  <c r="FX9" i="21" s="1"/>
  <c r="EK34" i="21"/>
  <c r="EM34" i="21" s="1"/>
  <c r="FU34" i="21"/>
  <c r="FV34" i="21" s="1"/>
  <c r="DC20" i="21"/>
  <c r="CT20" i="21"/>
  <c r="FU32" i="21"/>
  <c r="FV32" i="21" s="1"/>
  <c r="EK32" i="21"/>
  <c r="EM32" i="21" s="1"/>
  <c r="FX32" i="21" s="1"/>
  <c r="CR13" i="21"/>
  <c r="CQ12" i="21"/>
  <c r="CP12" i="21"/>
  <c r="EJ89" i="21"/>
  <c r="EL89" i="21" s="1"/>
  <c r="FT89" i="21"/>
  <c r="FV89" i="21" s="1"/>
  <c r="FT84" i="21"/>
  <c r="FV84" i="21" s="1"/>
  <c r="EJ84" i="21"/>
  <c r="EL84" i="21" s="1"/>
  <c r="FU83" i="21"/>
  <c r="EK83" i="21"/>
  <c r="EM83" i="21" s="1"/>
  <c r="FX83" i="21" s="1"/>
  <c r="EK86" i="21"/>
  <c r="EM86" i="21" s="1"/>
  <c r="FU86" i="21"/>
  <c r="FV86" i="21" s="1"/>
  <c r="FW81" i="21"/>
  <c r="CO81" i="21"/>
  <c r="EW87" i="21"/>
  <c r="DC93" i="21"/>
  <c r="CT93" i="21"/>
  <c r="CK53" i="21"/>
  <c r="CO53" i="21" s="1"/>
  <c r="CZ53" i="21"/>
  <c r="FU3" i="21"/>
  <c r="FV3" i="21" s="1"/>
  <c r="FY3" i="21" s="1"/>
  <c r="EK3" i="21"/>
  <c r="EM3" i="21" s="1"/>
  <c r="FX3" i="21" s="1"/>
  <c r="FU29" i="21"/>
  <c r="EK29" i="21"/>
  <c r="EM29" i="21" s="1"/>
  <c r="FX29" i="21" s="1"/>
  <c r="CP30" i="21"/>
  <c r="CR30" i="21"/>
  <c r="CQ30" i="21"/>
  <c r="DC23" i="21"/>
  <c r="CT23" i="21"/>
  <c r="EK21" i="21"/>
  <c r="EM21" i="21" s="1"/>
  <c r="FX21" i="21" s="1"/>
  <c r="FU21" i="21"/>
  <c r="EK40" i="21"/>
  <c r="EM40" i="21" s="1"/>
  <c r="FX40" i="21" s="1"/>
  <c r="FU40" i="21"/>
  <c r="FV12" i="21"/>
  <c r="EX44" i="21"/>
  <c r="FW8" i="21"/>
  <c r="CP5" i="21"/>
  <c r="EW5" i="21"/>
  <c r="EZ5" i="21" s="1"/>
  <c r="FA5" i="21" s="1"/>
  <c r="FY24" i="21"/>
  <c r="CT62" i="21"/>
  <c r="DC62" i="21"/>
  <c r="EJ45" i="21"/>
  <c r="EL45" i="21" s="1"/>
  <c r="FT45" i="21"/>
  <c r="FV45" i="21" s="1"/>
  <c r="EJ11" i="21"/>
  <c r="EL11" i="21" s="1"/>
  <c r="FT11" i="21"/>
  <c r="EJ35" i="21"/>
  <c r="EL35" i="21" s="1"/>
  <c r="FT35" i="21"/>
  <c r="FV35" i="21" s="1"/>
  <c r="EX85" i="21"/>
  <c r="FV7" i="21"/>
  <c r="FY7" i="21" s="1"/>
  <c r="EK31" i="21"/>
  <c r="EM31" i="21" s="1"/>
  <c r="FX31" i="21" s="1"/>
  <c r="FU31" i="21"/>
  <c r="FT23" i="21"/>
  <c r="FV23" i="21" s="1"/>
  <c r="EJ23" i="21"/>
  <c r="EL23" i="21" s="1"/>
  <c r="CZ45" i="21"/>
  <c r="CK45" i="21"/>
  <c r="CO45" i="21" s="1"/>
  <c r="EK26" i="21"/>
  <c r="EM26" i="21" s="1"/>
  <c r="FU26" i="21"/>
  <c r="FV26" i="21" s="1"/>
  <c r="EJ21" i="21"/>
  <c r="EL21" i="21" s="1"/>
  <c r="FT21" i="21"/>
  <c r="CK11" i="21"/>
  <c r="CO11" i="21" s="1"/>
  <c r="CZ11" i="21"/>
  <c r="CR85" i="21"/>
  <c r="CQ85" i="21"/>
  <c r="CP85" i="21"/>
  <c r="CZ43" i="21"/>
  <c r="CK43" i="21"/>
  <c r="CO43" i="21" s="1"/>
  <c r="FW3" i="21"/>
  <c r="CT2" i="21"/>
  <c r="DC2" i="21"/>
  <c r="CQ5" i="21"/>
  <c r="CT94" i="21"/>
  <c r="DC94" i="21"/>
  <c r="EK53" i="21"/>
  <c r="EM53" i="21" s="1"/>
  <c r="FX53" i="21" s="1"/>
  <c r="FU53" i="21"/>
  <c r="EK14" i="21"/>
  <c r="EM14" i="21" s="1"/>
  <c r="FX14" i="21" s="1"/>
  <c r="FU14" i="21"/>
  <c r="CT75" i="21"/>
  <c r="DC75" i="21"/>
  <c r="EJ75" i="21"/>
  <c r="EL75" i="21" s="1"/>
  <c r="FT75" i="21"/>
  <c r="FV75" i="21" s="1"/>
  <c r="EJ54" i="21"/>
  <c r="EL54" i="21" s="1"/>
  <c r="FT54" i="21"/>
  <c r="FV54" i="21" s="1"/>
  <c r="EJ53" i="21"/>
  <c r="EL53" i="21" s="1"/>
  <c r="FT53" i="21"/>
  <c r="EK87" i="21"/>
  <c r="EM87" i="21" s="1"/>
  <c r="FU87" i="21"/>
  <c r="FV87" i="21" s="1"/>
  <c r="EK75" i="21"/>
  <c r="EM75" i="21" s="1"/>
  <c r="FX75" i="21" s="1"/>
  <c r="FU75" i="21"/>
  <c r="EK89" i="21"/>
  <c r="EM89" i="21" s="1"/>
  <c r="FX89" i="21" s="1"/>
  <c r="FU89" i="21"/>
  <c r="EX76" i="21"/>
  <c r="EX32" i="21"/>
  <c r="BY32" i="21"/>
  <c r="EJ82" i="21"/>
  <c r="EL82" i="21" s="1"/>
  <c r="FT82" i="21"/>
  <c r="FV82" i="21" s="1"/>
  <c r="EK36" i="21"/>
  <c r="EM36" i="21" s="1"/>
  <c r="FX36" i="21" s="1"/>
  <c r="FU36" i="21"/>
  <c r="FV36" i="21" s="1"/>
  <c r="FY36" i="21" s="1"/>
  <c r="FZ36" i="21" s="1"/>
  <c r="CP21" i="21"/>
  <c r="EW21" i="21"/>
  <c r="CT26" i="21"/>
  <c r="DC26" i="21"/>
  <c r="FU2" i="21"/>
  <c r="EK2" i="21"/>
  <c r="EM2" i="21" s="1"/>
  <c r="FX2" i="21" s="1"/>
  <c r="CK90" i="21"/>
  <c r="CO90" i="21" s="1"/>
  <c r="CZ90" i="21"/>
  <c r="CT33" i="21"/>
  <c r="DC33" i="21"/>
  <c r="EX64" i="21"/>
  <c r="CK39" i="21"/>
  <c r="CO39" i="21" s="1"/>
  <c r="CZ39" i="21"/>
  <c r="FU25" i="21"/>
  <c r="EK25" i="21"/>
  <c r="EM25" i="21" s="1"/>
  <c r="FX25" i="21" s="1"/>
  <c r="DC22" i="21"/>
  <c r="CT22" i="21"/>
  <c r="CK22" i="21"/>
  <c r="CO22" i="21" s="1"/>
  <c r="CZ22" i="21"/>
  <c r="CO59" i="21"/>
  <c r="FT29" i="21"/>
  <c r="EJ29" i="21"/>
  <c r="EL29" i="21" s="1"/>
  <c r="DC55" i="21"/>
  <c r="CT55" i="21"/>
  <c r="CT28" i="21"/>
  <c r="DC28" i="21"/>
  <c r="CT35" i="21"/>
  <c r="DC35" i="21"/>
  <c r="FY16" i="21"/>
  <c r="CT7" i="21"/>
  <c r="DC7" i="21"/>
  <c r="FU20" i="21"/>
  <c r="EK20" i="21"/>
  <c r="EM20" i="21" s="1"/>
  <c r="FX20" i="21" s="1"/>
  <c r="EW19" i="21"/>
  <c r="FU12" i="21"/>
  <c r="EK12" i="21"/>
  <c r="EM12" i="21" s="1"/>
  <c r="FX12" i="21" s="1"/>
  <c r="CT34" i="21"/>
  <c r="DC34" i="21"/>
  <c r="CR63" i="21"/>
  <c r="CQ63" i="21"/>
  <c r="CP63" i="21"/>
  <c r="CK84" i="21"/>
  <c r="CO84" i="21" s="1"/>
  <c r="CZ84" i="21"/>
  <c r="DC37" i="21"/>
  <c r="CT37" i="21"/>
  <c r="EJ25" i="21"/>
  <c r="EL25" i="21" s="1"/>
  <c r="FT25" i="21"/>
  <c r="FV25" i="21" s="1"/>
  <c r="CP58" i="21"/>
  <c r="EW58" i="21"/>
  <c r="EZ58" i="21" s="1"/>
  <c r="FA58" i="21" s="1"/>
  <c r="EK62" i="21"/>
  <c r="EM62" i="21" s="1"/>
  <c r="FX62" i="21" s="1"/>
  <c r="FU62" i="21"/>
  <c r="CR33" i="21"/>
  <c r="CP33" i="21"/>
  <c r="CQ33" i="21"/>
  <c r="CR17" i="21"/>
  <c r="CQ17" i="21"/>
  <c r="CP17" i="21"/>
  <c r="CO71" i="21"/>
  <c r="DC51" i="21"/>
  <c r="CT51" i="21"/>
  <c r="CK77" i="21"/>
  <c r="CO77" i="21" s="1"/>
  <c r="CZ77" i="21"/>
  <c r="EK37" i="21"/>
  <c r="EM37" i="21" s="1"/>
  <c r="FU37" i="21"/>
  <c r="FV37" i="21" s="1"/>
  <c r="DC41" i="21"/>
  <c r="CT41" i="21"/>
  <c r="CT82" i="21"/>
  <c r="DC82" i="21"/>
  <c r="EK81" i="21"/>
  <c r="EM81" i="21" s="1"/>
  <c r="FX81" i="21" s="1"/>
  <c r="FU81" i="21"/>
  <c r="BY83" i="21"/>
  <c r="FW33" i="21"/>
  <c r="EJ43" i="21"/>
  <c r="EL43" i="21" s="1"/>
  <c r="FT43" i="21"/>
  <c r="FV43" i="21" s="1"/>
  <c r="BY80" i="21"/>
  <c r="EX80" i="21"/>
  <c r="CQ64" i="21"/>
  <c r="CP64" i="21"/>
  <c r="EW64" i="21"/>
  <c r="EZ64" i="21" s="1"/>
  <c r="FA64" i="21" s="1"/>
  <c r="FZ64" i="21" s="1"/>
  <c r="CK62" i="21"/>
  <c r="CO62" i="21" s="1"/>
  <c r="CZ62" i="21"/>
  <c r="CT36" i="21"/>
  <c r="EN36" i="21" s="1"/>
  <c r="EO36" i="21" s="1"/>
  <c r="DC36" i="21"/>
  <c r="EX58" i="21"/>
  <c r="CQ18" i="21"/>
  <c r="CR18" i="21"/>
  <c r="CP18" i="21"/>
  <c r="DC6" i="21"/>
  <c r="CT6" i="21"/>
  <c r="CR76" i="21"/>
  <c r="FW91" i="21"/>
  <c r="FT90" i="21"/>
  <c r="FV90" i="21" s="1"/>
  <c r="EJ90" i="21"/>
  <c r="EL90" i="21" s="1"/>
  <c r="EX38" i="21"/>
  <c r="DC11" i="21"/>
  <c r="CT11" i="21"/>
  <c r="DC9" i="21"/>
  <c r="CT9" i="21"/>
  <c r="EN9" i="21" s="1"/>
  <c r="EO9" i="21" s="1"/>
  <c r="CR5" i="21"/>
  <c r="CO74" i="21"/>
  <c r="CT67" i="21"/>
  <c r="DC67" i="21"/>
  <c r="CR64" i="21"/>
  <c r="FW69" i="21"/>
  <c r="FY91" i="21"/>
  <c r="CK98" i="21"/>
  <c r="CO98" i="21" s="1"/>
  <c r="CZ98" i="21"/>
  <c r="FW93" i="21"/>
  <c r="CQ65" i="21"/>
  <c r="CP65" i="21"/>
  <c r="FU67" i="21"/>
  <c r="EK67" i="21"/>
  <c r="EM67" i="21" s="1"/>
  <c r="FX67" i="21" s="1"/>
  <c r="CO100" i="21"/>
  <c r="EX63" i="21"/>
  <c r="FU61" i="21"/>
  <c r="EK61" i="21"/>
  <c r="EM61" i="21" s="1"/>
  <c r="FX61" i="21" s="1"/>
  <c r="FT39" i="21"/>
  <c r="FV39" i="21" s="1"/>
  <c r="EJ39" i="21"/>
  <c r="EL39" i="21" s="1"/>
  <c r="FU22" i="21"/>
  <c r="FV22" i="21" s="1"/>
  <c r="EK22" i="21"/>
  <c r="EM22" i="21" s="1"/>
  <c r="DC42" i="21"/>
  <c r="CT42" i="21"/>
  <c r="CX13" i="21"/>
  <c r="FU55" i="21"/>
  <c r="FV55" i="21" s="1"/>
  <c r="EK55" i="21"/>
  <c r="EM55" i="21" s="1"/>
  <c r="EK28" i="21"/>
  <c r="EM28" i="21" s="1"/>
  <c r="FX28" i="21" s="1"/>
  <c r="FU28" i="21"/>
  <c r="FU57" i="21"/>
  <c r="EK57" i="21"/>
  <c r="EM57" i="21" s="1"/>
  <c r="FX57" i="21" s="1"/>
  <c r="EK35" i="21"/>
  <c r="EM35" i="21" s="1"/>
  <c r="FX35" i="21" s="1"/>
  <c r="FU35" i="21"/>
  <c r="EK7" i="21"/>
  <c r="EM7" i="21" s="1"/>
  <c r="FX7" i="21" s="1"/>
  <c r="FU7" i="21"/>
  <c r="CP26" i="21"/>
  <c r="EW26" i="21"/>
  <c r="CK97" i="21"/>
  <c r="CO97" i="21" s="1"/>
  <c r="CZ97" i="21"/>
  <c r="EK60" i="21"/>
  <c r="EM60" i="21" s="1"/>
  <c r="FX60" i="21" s="1"/>
  <c r="FU60" i="21"/>
  <c r="CK60" i="21"/>
  <c r="CO60" i="21" s="1"/>
  <c r="CZ60" i="21"/>
  <c r="DC70" i="21"/>
  <c r="CT70" i="21"/>
  <c r="CO86" i="21"/>
  <c r="CZ72" i="21"/>
  <c r="CK72" i="21"/>
  <c r="CO72" i="21" s="1"/>
  <c r="CZ49" i="21"/>
  <c r="CK49" i="21"/>
  <c r="CO49" i="21" s="1"/>
  <c r="FU63" i="21"/>
  <c r="FV63" i="21" s="1"/>
  <c r="EK63" i="21"/>
  <c r="EM63" i="21" s="1"/>
  <c r="FW97" i="21"/>
  <c r="FU42" i="21"/>
  <c r="FV42" i="21" s="1"/>
  <c r="EK42" i="21"/>
  <c r="EM42" i="21" s="1"/>
  <c r="FX42" i="21" s="1"/>
  <c r="DC17" i="21"/>
  <c r="CT17" i="21"/>
  <c r="CK8" i="21"/>
  <c r="CO8" i="21" s="1"/>
  <c r="CZ8" i="21"/>
  <c r="CP68" i="21"/>
  <c r="CR68" i="21"/>
  <c r="FV28" i="21"/>
  <c r="EX18" i="21"/>
  <c r="CK4" i="21"/>
  <c r="CO4" i="21" s="1"/>
  <c r="CZ4" i="21"/>
  <c r="CQ21" i="21"/>
  <c r="CX32" i="21"/>
  <c r="FW7" i="21"/>
  <c r="CY95" i="21"/>
  <c r="CX95" i="21"/>
  <c r="EX86" i="21"/>
  <c r="BY86" i="21"/>
  <c r="EJ66" i="21"/>
  <c r="EL66" i="21" s="1"/>
  <c r="FT66" i="21"/>
  <c r="EJ60" i="21"/>
  <c r="EL60" i="21" s="1"/>
  <c r="FT60" i="21"/>
  <c r="CK55" i="21"/>
  <c r="CO55" i="21" s="1"/>
  <c r="CZ55" i="21"/>
  <c r="CT66" i="21"/>
  <c r="DC66" i="21"/>
  <c r="EJ72" i="21"/>
  <c r="EL72" i="21" s="1"/>
  <c r="FT72" i="21"/>
  <c r="FV72" i="21" s="1"/>
  <c r="CP47" i="21"/>
  <c r="CR47" i="21"/>
  <c r="EW47" i="21"/>
  <c r="EX70" i="21"/>
  <c r="FV74" i="21"/>
  <c r="FY74" i="21" s="1"/>
  <c r="FV97" i="21"/>
  <c r="FY97" i="21" s="1"/>
  <c r="CK24" i="21"/>
  <c r="CO24" i="21" s="1"/>
  <c r="CZ24" i="21"/>
  <c r="CR58" i="21"/>
  <c r="EK4" i="21"/>
  <c r="EM4" i="21" s="1"/>
  <c r="FX4" i="21" s="1"/>
  <c r="FU4" i="21"/>
  <c r="FW28" i="21"/>
  <c r="EN28" i="21"/>
  <c r="EO28" i="21" s="1"/>
  <c r="BY18" i="21"/>
  <c r="EJ4" i="21"/>
  <c r="EL4" i="21" s="1"/>
  <c r="FT4" i="21"/>
  <c r="FV4" i="21" s="1"/>
  <c r="CX19" i="21"/>
  <c r="EN13" i="21"/>
  <c r="EO13" i="21" s="1"/>
  <c r="CT72" i="21"/>
  <c r="DC72" i="21"/>
  <c r="EX99" i="21"/>
  <c r="EZ99" i="21" s="1"/>
  <c r="FA99" i="21" s="1"/>
  <c r="FZ99" i="21" s="1"/>
  <c r="CQ95" i="21"/>
  <c r="CZ61" i="21"/>
  <c r="CK61" i="21"/>
  <c r="CO61" i="21" s="1"/>
  <c r="EK66" i="21"/>
  <c r="EM66" i="21" s="1"/>
  <c r="FX66" i="21" s="1"/>
  <c r="FU66" i="21"/>
  <c r="DC46" i="21"/>
  <c r="CT46" i="21"/>
  <c r="CP70" i="21"/>
  <c r="EW70" i="21"/>
  <c r="EZ70" i="21" s="1"/>
  <c r="FA70" i="21" s="1"/>
  <c r="EJ51" i="21"/>
  <c r="EL51" i="21" s="1"/>
  <c r="FT51" i="21"/>
  <c r="FV51" i="21" s="1"/>
  <c r="FW74" i="21"/>
  <c r="EW95" i="21"/>
  <c r="CK6" i="21"/>
  <c r="CO6" i="21" s="1"/>
  <c r="CZ6" i="21"/>
  <c r="EX33" i="21"/>
  <c r="DC73" i="21"/>
  <c r="CT73" i="21"/>
  <c r="EW14" i="21"/>
  <c r="FV48" i="21"/>
  <c r="FY48" i="21" s="1"/>
  <c r="DC24" i="21"/>
  <c r="CT24" i="21"/>
  <c r="FW30" i="21"/>
  <c r="FY30" i="21" s="1"/>
  <c r="FZ30" i="21" s="1"/>
  <c r="CQ26" i="21"/>
  <c r="CP46" i="21"/>
  <c r="EW46" i="21" s="1"/>
  <c r="CQ46" i="21"/>
  <c r="FW5" i="21"/>
  <c r="FY5" i="21" s="1"/>
  <c r="FZ5" i="21" s="1"/>
  <c r="EK33" i="21"/>
  <c r="EM33" i="21" s="1"/>
  <c r="FX33" i="21" s="1"/>
  <c r="FU33" i="21"/>
  <c r="FV33" i="21" s="1"/>
  <c r="FY33" i="21" s="1"/>
  <c r="FU90" i="21"/>
  <c r="EK90" i="21"/>
  <c r="EM90" i="21" s="1"/>
  <c r="FX90" i="21" s="1"/>
  <c r="CT96" i="21"/>
  <c r="DC96" i="21"/>
  <c r="CT100" i="21"/>
  <c r="DC100" i="21"/>
  <c r="EK46" i="21"/>
  <c r="EM46" i="21" s="1"/>
  <c r="FX46" i="21" s="1"/>
  <c r="FU46" i="21"/>
  <c r="EJ50" i="21"/>
  <c r="EL50" i="21" s="1"/>
  <c r="FT50" i="21"/>
  <c r="FV50" i="21" s="1"/>
  <c r="FT6" i="21"/>
  <c r="FV6" i="21" s="1"/>
  <c r="EJ6" i="21"/>
  <c r="EL6" i="21" s="1"/>
  <c r="FW49" i="21"/>
  <c r="FY49" i="21" s="1"/>
  <c r="EK73" i="21"/>
  <c r="EM73" i="21" s="1"/>
  <c r="FU73" i="21"/>
  <c r="FV73" i="21" s="1"/>
  <c r="FW48" i="21"/>
  <c r="CQ29" i="21"/>
  <c r="EX29" i="21"/>
  <c r="EZ29" i="21" s="1"/>
  <c r="FA29" i="21" s="1"/>
  <c r="EJ31" i="21"/>
  <c r="EL31" i="21" s="1"/>
  <c r="FT31" i="21"/>
  <c r="EX21" i="21"/>
  <c r="CT19" i="21"/>
  <c r="DC19" i="21"/>
  <c r="FU76" i="21"/>
  <c r="EK76" i="21"/>
  <c r="EM76" i="21" s="1"/>
  <c r="FX76" i="21" s="1"/>
  <c r="CK2" i="21"/>
  <c r="CO2" i="21" s="1"/>
  <c r="CZ2" i="21"/>
  <c r="CT87" i="21"/>
  <c r="DC87" i="21"/>
  <c r="DC86" i="21"/>
  <c r="CT86" i="21"/>
  <c r="DC98" i="21"/>
  <c r="CT98" i="21"/>
  <c r="CT89" i="21"/>
  <c r="DC89" i="21"/>
  <c r="EK72" i="21"/>
  <c r="EM72" i="21" s="1"/>
  <c r="FX72" i="21" s="1"/>
  <c r="FU72" i="21"/>
  <c r="CT74" i="21"/>
  <c r="DC74" i="21"/>
  <c r="FW12" i="21"/>
  <c r="CZ35" i="21"/>
  <c r="CK35" i="21"/>
  <c r="CO35" i="21" s="1"/>
  <c r="CT81" i="21"/>
  <c r="DC81" i="21"/>
  <c r="EK74" i="21"/>
  <c r="EM74" i="21" s="1"/>
  <c r="FX74" i="21" s="1"/>
  <c r="FU74" i="21"/>
  <c r="CK25" i="21"/>
  <c r="CO25" i="21" s="1"/>
  <c r="CZ25" i="21"/>
  <c r="EX94" i="21"/>
  <c r="EJ46" i="21"/>
  <c r="EL46" i="21" s="1"/>
  <c r="FT46" i="21"/>
  <c r="DC40" i="21"/>
  <c r="CT40" i="21"/>
  <c r="FW9" i="21"/>
  <c r="EX23" i="21"/>
  <c r="EZ23" i="21" s="1"/>
  <c r="FA23" i="21" s="1"/>
  <c r="EJ2" i="21"/>
  <c r="EL2" i="21" s="1"/>
  <c r="FT2" i="21"/>
  <c r="DC68" i="21"/>
  <c r="CT68" i="21"/>
  <c r="EK82" i="21"/>
  <c r="EM82" i="21" s="1"/>
  <c r="FX82" i="21" s="1"/>
  <c r="FU82" i="21"/>
  <c r="CK78" i="21"/>
  <c r="CO78" i="21" s="1"/>
  <c r="CZ78" i="21"/>
  <c r="DC65" i="21"/>
  <c r="CT65" i="21"/>
  <c r="FT68" i="21"/>
  <c r="FV68" i="21" s="1"/>
  <c r="EJ68" i="21"/>
  <c r="EL68" i="21" s="1"/>
  <c r="CR21" i="21"/>
  <c r="CY67" i="21"/>
  <c r="CX67" i="21"/>
  <c r="EJ67" i="21"/>
  <c r="EL67" i="21" s="1"/>
  <c r="FT67" i="21"/>
  <c r="FV67" i="21" s="1"/>
  <c r="CK91" i="21"/>
  <c r="CO91" i="21" s="1"/>
  <c r="CZ91" i="21"/>
  <c r="CT54" i="21"/>
  <c r="DC54" i="21"/>
  <c r="CK16" i="21"/>
  <c r="CO16" i="21" s="1"/>
  <c r="CZ16" i="21"/>
  <c r="EX30" i="21"/>
  <c r="FW44" i="21"/>
  <c r="EJ76" i="21"/>
  <c r="EL76" i="21" s="1"/>
  <c r="FT76" i="21"/>
  <c r="FV69" i="21"/>
  <c r="EX79" i="21"/>
  <c r="EK54" i="21"/>
  <c r="EM54" i="21" s="1"/>
  <c r="FX54" i="21" s="1"/>
  <c r="FU54" i="21"/>
  <c r="CQ94" i="21"/>
  <c r="EX51" i="21"/>
  <c r="FT62" i="21"/>
  <c r="FV62" i="21" s="1"/>
  <c r="EJ62" i="21"/>
  <c r="EL62" i="21" s="1"/>
  <c r="FW16" i="21"/>
  <c r="CR92" i="21"/>
  <c r="EW92" i="21"/>
  <c r="CQ92" i="21"/>
  <c r="CP92" i="21"/>
  <c r="FT61" i="21"/>
  <c r="FV61" i="21" s="1"/>
  <c r="EJ61" i="21"/>
  <c r="EL61" i="21" s="1"/>
  <c r="CR94" i="21"/>
  <c r="CT101" i="21"/>
  <c r="DC101" i="21"/>
  <c r="EW85" i="21"/>
  <c r="EZ85" i="21" s="1"/>
  <c r="FA85" i="21" s="1"/>
  <c r="FZ85" i="21" s="1"/>
  <c r="DC92" i="21"/>
  <c r="CT92" i="21"/>
  <c r="FU96" i="21"/>
  <c r="EK96" i="21"/>
  <c r="EM96" i="21" s="1"/>
  <c r="FX96" i="21" s="1"/>
  <c r="DC77" i="21"/>
  <c r="CT77" i="21"/>
  <c r="EK100" i="21"/>
  <c r="EM100" i="21" s="1"/>
  <c r="FU100" i="21"/>
  <c r="FV100" i="21" s="1"/>
  <c r="CK50" i="21"/>
  <c r="CO50" i="21" s="1"/>
  <c r="CZ50" i="21"/>
  <c r="DC69" i="21"/>
  <c r="CT69" i="21"/>
  <c r="FW70" i="21"/>
  <c r="FW36" i="21"/>
  <c r="EW30" i="21"/>
  <c r="EZ30" i="21" s="1"/>
  <c r="FA30" i="21" s="1"/>
  <c r="EX47" i="21"/>
  <c r="EK11" i="21"/>
  <c r="EM11" i="21" s="1"/>
  <c r="FX11" i="21" s="1"/>
  <c r="FU11" i="21"/>
  <c r="EW27" i="21"/>
  <c r="EZ27" i="21" s="1"/>
  <c r="FA27" i="21" s="1"/>
  <c r="CT12" i="21"/>
  <c r="DC12" i="21"/>
  <c r="FU18" i="21"/>
  <c r="FV18" i="21" s="1"/>
  <c r="EK18" i="21"/>
  <c r="EM18" i="21" s="1"/>
  <c r="CK31" i="21"/>
  <c r="CO31" i="21" s="1"/>
  <c r="CZ31" i="21"/>
  <c r="DC15" i="21"/>
  <c r="CT15" i="21"/>
  <c r="CR14" i="21"/>
  <c r="EK19" i="21"/>
  <c r="EM19" i="21" s="1"/>
  <c r="FX19" i="21" s="1"/>
  <c r="FU19" i="21"/>
  <c r="FV19" i="21" s="1"/>
  <c r="FY19" i="21" s="1"/>
  <c r="CK10" i="21"/>
  <c r="CO10" i="21" s="1"/>
  <c r="CZ10" i="21"/>
  <c r="CT80" i="21"/>
  <c r="DC80" i="21"/>
  <c r="EK101" i="21"/>
  <c r="EM101" i="21" s="1"/>
  <c r="FU101" i="21"/>
  <c r="FV101" i="21" s="1"/>
  <c r="EJ96" i="21"/>
  <c r="EL96" i="21" s="1"/>
  <c r="FT96" i="21"/>
  <c r="FV71" i="21"/>
  <c r="FY71" i="21" s="1"/>
  <c r="BY100" i="21"/>
  <c r="EK59" i="21"/>
  <c r="EM59" i="21" s="1"/>
  <c r="FU59" i="21"/>
  <c r="FV59" i="21" s="1"/>
  <c r="EX89" i="21"/>
  <c r="FT56" i="21"/>
  <c r="FV56" i="21" s="1"/>
  <c r="EJ56" i="21"/>
  <c r="EL56" i="21" s="1"/>
  <c r="CT48" i="21"/>
  <c r="DC48" i="21"/>
  <c r="CZ20" i="21"/>
  <c r="CK20" i="21"/>
  <c r="CO20" i="21" s="1"/>
  <c r="FW57" i="21"/>
  <c r="CQ47" i="21"/>
  <c r="FW32" i="21"/>
  <c r="EK43" i="21"/>
  <c r="EM43" i="21" s="1"/>
  <c r="FX43" i="21" s="1"/>
  <c r="FU43" i="21"/>
  <c r="EJ14" i="21"/>
  <c r="EL14" i="21" s="1"/>
  <c r="FT14" i="21"/>
  <c r="FV14" i="21" s="1"/>
  <c r="FU15" i="21"/>
  <c r="EK15" i="21"/>
  <c r="EM15" i="21" s="1"/>
  <c r="FX15" i="21" s="1"/>
  <c r="CT88" i="21"/>
  <c r="DC88" i="21"/>
  <c r="FT15" i="21"/>
  <c r="FV15" i="21" s="1"/>
  <c r="EJ15" i="21"/>
  <c r="EL15" i="21" s="1"/>
  <c r="DC97" i="21"/>
  <c r="CT97" i="21"/>
  <c r="CT95" i="21"/>
  <c r="DC95" i="21"/>
  <c r="CK69" i="21"/>
  <c r="CO69" i="21" s="1"/>
  <c r="CZ69" i="21"/>
  <c r="EK70" i="21"/>
  <c r="EM70" i="21" s="1"/>
  <c r="FX70" i="21" s="1"/>
  <c r="FU70" i="21"/>
  <c r="FV70" i="21" s="1"/>
  <c r="FY70" i="21" s="1"/>
  <c r="FZ70" i="21" s="1"/>
  <c r="CK57" i="21"/>
  <c r="CO57" i="21" s="1"/>
  <c r="CZ57" i="21"/>
  <c r="CK56" i="21"/>
  <c r="CO56" i="21" s="1"/>
  <c r="CZ56" i="21"/>
  <c r="FW47" i="21"/>
  <c r="FY47" i="21" s="1"/>
  <c r="FU48" i="21"/>
  <c r="EK48" i="21"/>
  <c r="EM48" i="21" s="1"/>
  <c r="FX48" i="21" s="1"/>
  <c r="FT20" i="21"/>
  <c r="EJ20" i="21"/>
  <c r="EL20" i="21" s="1"/>
  <c r="FW79" i="21"/>
  <c r="FU69" i="21"/>
  <c r="EK69" i="21"/>
  <c r="EM69" i="21" s="1"/>
  <c r="FX69" i="21" s="1"/>
  <c r="FV57" i="21"/>
  <c r="FY57" i="21" s="1"/>
  <c r="EJ40" i="21"/>
  <c r="EL40" i="21" s="1"/>
  <c r="FT40" i="21"/>
  <c r="FV40" i="21" s="1"/>
  <c r="FW42" i="21"/>
  <c r="DC8" i="21"/>
  <c r="CT8" i="21"/>
  <c r="CT43" i="21"/>
  <c r="DC43" i="21"/>
  <c r="CY14" i="21"/>
  <c r="CX14" i="21"/>
  <c r="EX12" i="21"/>
  <c r="EX95" i="21"/>
  <c r="EK88" i="21"/>
  <c r="EM88" i="21" s="1"/>
  <c r="FU88" i="21"/>
  <c r="FV88" i="21" s="1"/>
  <c r="FT83" i="21"/>
  <c r="FV83" i="21" s="1"/>
  <c r="EJ83" i="21"/>
  <c r="EL83" i="21" s="1"/>
  <c r="EK95" i="21"/>
  <c r="EM95" i="21" s="1"/>
  <c r="FX95" i="21" s="1"/>
  <c r="FU95" i="21"/>
  <c r="CO52" i="21"/>
  <c r="CR89" i="21"/>
  <c r="CP89" i="21"/>
  <c r="CT76" i="21"/>
  <c r="DC76" i="21"/>
  <c r="FU44" i="21"/>
  <c r="FV44" i="21" s="1"/>
  <c r="FY44" i="21" s="1"/>
  <c r="EK44" i="21"/>
  <c r="EM44" i="21" s="1"/>
  <c r="FX44" i="21" s="1"/>
  <c r="DC53" i="21"/>
  <c r="CT53" i="21"/>
  <c r="FV79" i="21"/>
  <c r="FY79" i="21" s="1"/>
  <c r="CZ40" i="21"/>
  <c r="CK40" i="21"/>
  <c r="CO40" i="21" s="1"/>
  <c r="CT14" i="21"/>
  <c r="DC14" i="21"/>
  <c r="FU8" i="21"/>
  <c r="FV8" i="21" s="1"/>
  <c r="FY8" i="21" s="1"/>
  <c r="EK8" i="21"/>
  <c r="EM8" i="21" s="1"/>
  <c r="FX8" i="21" s="1"/>
  <c r="CK3" i="21"/>
  <c r="CO3" i="21" s="1"/>
  <c r="CZ3" i="21"/>
  <c r="CP7" i="21"/>
  <c r="EX48" i="21"/>
  <c r="EX5" i="21"/>
  <c r="FW13" i="21"/>
  <c r="FY13" i="21" s="1"/>
  <c r="FZ13" i="21" s="1"/>
  <c r="FW19" i="21"/>
  <c r="EJ10" i="21"/>
  <c r="EL10" i="21" s="1"/>
  <c r="FT10" i="21"/>
  <c r="FV10" i="21" s="1"/>
  <c r="CK15" i="21"/>
  <c r="CO15" i="21" s="1"/>
  <c r="CZ15" i="21"/>
  <c r="EX14" i="21"/>
  <c r="CP3" i="20"/>
  <c r="CR3" i="20"/>
  <c r="CQ3" i="20"/>
  <c r="EW3" i="20"/>
  <c r="EZ3" i="20" s="1"/>
  <c r="FA3" i="20" s="1"/>
  <c r="CP26" i="20"/>
  <c r="EW26" i="20"/>
  <c r="CQ26" i="20"/>
  <c r="CR26" i="20"/>
  <c r="CQ25" i="20"/>
  <c r="CP25" i="20"/>
  <c r="CR25" i="20"/>
  <c r="EJ31" i="20"/>
  <c r="EL31" i="20" s="1"/>
  <c r="FT31" i="20"/>
  <c r="FV31" i="20" s="1"/>
  <c r="CZ58" i="20"/>
  <c r="CK58" i="20"/>
  <c r="CO58" i="20" s="1"/>
  <c r="EK13" i="20"/>
  <c r="EM13" i="20" s="1"/>
  <c r="FU13" i="20"/>
  <c r="CP68" i="20"/>
  <c r="EW68" i="20" s="1"/>
  <c r="CQ68" i="20"/>
  <c r="CR68" i="20"/>
  <c r="CP64" i="20"/>
  <c r="CQ64" i="20"/>
  <c r="CR64" i="20"/>
  <c r="EW64" i="20"/>
  <c r="CO63" i="20"/>
  <c r="CT61" i="20"/>
  <c r="DC61" i="20"/>
  <c r="FW64" i="20"/>
  <c r="EK36" i="20"/>
  <c r="EM36" i="20" s="1"/>
  <c r="FU36" i="20"/>
  <c r="FV36" i="20" s="1"/>
  <c r="CZ51" i="20"/>
  <c r="CK51" i="20"/>
  <c r="CO51" i="20" s="1"/>
  <c r="FU61" i="20"/>
  <c r="EK61" i="20"/>
  <c r="EM61" i="20" s="1"/>
  <c r="FX61" i="20" s="1"/>
  <c r="FW52" i="20"/>
  <c r="FX24" i="20"/>
  <c r="FY24" i="20" s="1"/>
  <c r="CT5" i="20"/>
  <c r="DC5" i="20"/>
  <c r="CT86" i="20"/>
  <c r="DC86" i="20"/>
  <c r="FT23" i="20"/>
  <c r="FV23" i="20" s="1"/>
  <c r="EJ23" i="20"/>
  <c r="EL23" i="20" s="1"/>
  <c r="CO12" i="20"/>
  <c r="BY85" i="20"/>
  <c r="EX95" i="20"/>
  <c r="FW14" i="20"/>
  <c r="EJ58" i="20"/>
  <c r="EL58" i="20" s="1"/>
  <c r="FT58" i="20"/>
  <c r="FV58" i="20" s="1"/>
  <c r="EX48" i="20"/>
  <c r="CP39" i="20"/>
  <c r="CQ39" i="20"/>
  <c r="FW25" i="20"/>
  <c r="DC97" i="20"/>
  <c r="CT97" i="20"/>
  <c r="DC47" i="20"/>
  <c r="CT47" i="20"/>
  <c r="FU30" i="20"/>
  <c r="FV30" i="20" s="1"/>
  <c r="EK30" i="20"/>
  <c r="EM30" i="20" s="1"/>
  <c r="DC12" i="20"/>
  <c r="CT12" i="20"/>
  <c r="CP59" i="20"/>
  <c r="CQ59" i="20"/>
  <c r="CR59" i="20"/>
  <c r="EW59" i="20"/>
  <c r="CT73" i="20"/>
  <c r="DC73" i="20"/>
  <c r="CP94" i="20"/>
  <c r="EW94" i="20"/>
  <c r="CQ94" i="20"/>
  <c r="CR94" i="20"/>
  <c r="CP19" i="20"/>
  <c r="EW19" i="20"/>
  <c r="CQ19" i="20"/>
  <c r="FX3" i="20"/>
  <c r="CP15" i="20"/>
  <c r="CR15" i="20"/>
  <c r="CQ15" i="20"/>
  <c r="CO54" i="20"/>
  <c r="CP93" i="20"/>
  <c r="CQ93" i="20"/>
  <c r="EW93" i="20"/>
  <c r="EZ93" i="20" s="1"/>
  <c r="FA93" i="20" s="1"/>
  <c r="EX98" i="20"/>
  <c r="EZ98" i="20" s="1"/>
  <c r="FA98" i="20" s="1"/>
  <c r="FT96" i="20"/>
  <c r="EJ96" i="20"/>
  <c r="EL96" i="20" s="1"/>
  <c r="EX54" i="20"/>
  <c r="CQ48" i="20"/>
  <c r="CP48" i="20"/>
  <c r="CR48" i="20"/>
  <c r="DC49" i="20"/>
  <c r="CT49" i="20"/>
  <c r="CP35" i="20"/>
  <c r="CR35" i="20"/>
  <c r="FY25" i="20"/>
  <c r="EK40" i="20"/>
  <c r="EM40" i="20" s="1"/>
  <c r="FX40" i="20" s="1"/>
  <c r="FU40" i="20"/>
  <c r="FV57" i="20"/>
  <c r="FY57" i="20" s="1"/>
  <c r="EX2" i="20"/>
  <c r="EJ70" i="20"/>
  <c r="EL70" i="20" s="1"/>
  <c r="FT70" i="20"/>
  <c r="CT69" i="20"/>
  <c r="DC69" i="20"/>
  <c r="CT79" i="20"/>
  <c r="DC79" i="20"/>
  <c r="CP95" i="20"/>
  <c r="CR95" i="20"/>
  <c r="CQ95" i="20"/>
  <c r="EW95" i="20"/>
  <c r="EK55" i="20"/>
  <c r="EM55" i="20" s="1"/>
  <c r="FX55" i="20" s="1"/>
  <c r="FU55" i="20"/>
  <c r="FV55" i="20" s="1"/>
  <c r="FY55" i="20" s="1"/>
  <c r="CP69" i="20"/>
  <c r="CQ69" i="20"/>
  <c r="CR69" i="20"/>
  <c r="CT75" i="20"/>
  <c r="DC75" i="20"/>
  <c r="FW90" i="20"/>
  <c r="BY98" i="20"/>
  <c r="FW95" i="20"/>
  <c r="FY95" i="20" s="1"/>
  <c r="CK47" i="20"/>
  <c r="CO47" i="20" s="1"/>
  <c r="CZ47" i="20"/>
  <c r="FT37" i="20"/>
  <c r="EJ37" i="20"/>
  <c r="EL37" i="20" s="1"/>
  <c r="EK49" i="20"/>
  <c r="EM49" i="20" s="1"/>
  <c r="FX49" i="20" s="1"/>
  <c r="FU49" i="20"/>
  <c r="CZ18" i="20"/>
  <c r="CK18" i="20"/>
  <c r="CO18" i="20" s="1"/>
  <c r="CT13" i="20"/>
  <c r="DC13" i="20"/>
  <c r="FW57" i="20"/>
  <c r="EJ41" i="20"/>
  <c r="EL41" i="20" s="1"/>
  <c r="FT41" i="20"/>
  <c r="CQ35" i="20"/>
  <c r="EK69" i="20"/>
  <c r="EM69" i="20" s="1"/>
  <c r="FX69" i="20" s="1"/>
  <c r="FU69" i="20"/>
  <c r="FV69" i="20" s="1"/>
  <c r="FY69" i="20" s="1"/>
  <c r="FU37" i="20"/>
  <c r="EK37" i="20"/>
  <c r="EM37" i="20" s="1"/>
  <c r="FX37" i="20" s="1"/>
  <c r="CK46" i="20"/>
  <c r="CO46" i="20" s="1"/>
  <c r="CZ46" i="20"/>
  <c r="CK66" i="20"/>
  <c r="CO66" i="20" s="1"/>
  <c r="CZ66" i="20"/>
  <c r="EK20" i="20"/>
  <c r="EM20" i="20" s="1"/>
  <c r="FX20" i="20" s="1"/>
  <c r="FU20" i="20"/>
  <c r="CT78" i="20"/>
  <c r="DC78" i="20"/>
  <c r="CZ17" i="20"/>
  <c r="CK17" i="20"/>
  <c r="CO17" i="20" s="1"/>
  <c r="EK59" i="20"/>
  <c r="EM59" i="20" s="1"/>
  <c r="FX59" i="20" s="1"/>
  <c r="FU59" i="20"/>
  <c r="EX63" i="20"/>
  <c r="EK41" i="20"/>
  <c r="EM41" i="20" s="1"/>
  <c r="FX41" i="20" s="1"/>
  <c r="FU41" i="20"/>
  <c r="CK70" i="20"/>
  <c r="CO70" i="20" s="1"/>
  <c r="CZ70" i="20"/>
  <c r="CP100" i="20"/>
  <c r="EW100" i="20"/>
  <c r="CR100" i="20"/>
  <c r="FU101" i="20"/>
  <c r="EK101" i="20"/>
  <c r="EM101" i="20" s="1"/>
  <c r="FX101" i="20" s="1"/>
  <c r="CY56" i="20"/>
  <c r="EW56" i="20"/>
  <c r="CX56" i="20"/>
  <c r="EJ100" i="20"/>
  <c r="EL100" i="20" s="1"/>
  <c r="FT100" i="20"/>
  <c r="FT94" i="20"/>
  <c r="FV94" i="20" s="1"/>
  <c r="EJ94" i="20"/>
  <c r="EL94" i="20" s="1"/>
  <c r="EK50" i="20"/>
  <c r="EM50" i="20" s="1"/>
  <c r="FX50" i="20" s="1"/>
  <c r="FU50" i="20"/>
  <c r="FV50" i="20" s="1"/>
  <c r="FY50" i="20" s="1"/>
  <c r="DC101" i="20"/>
  <c r="CT101" i="20"/>
  <c r="CZ77" i="20"/>
  <c r="CK77" i="20"/>
  <c r="CO77" i="20" s="1"/>
  <c r="CT87" i="20"/>
  <c r="DC87" i="20"/>
  <c r="EX45" i="20"/>
  <c r="BY45" i="20"/>
  <c r="CZ29" i="20"/>
  <c r="CK29" i="20"/>
  <c r="CO29" i="20" s="1"/>
  <c r="CK37" i="20"/>
  <c r="CO37" i="20" s="1"/>
  <c r="CZ37" i="20"/>
  <c r="CP10" i="20"/>
  <c r="CQ10" i="20"/>
  <c r="CR10" i="20"/>
  <c r="CK41" i="20"/>
  <c r="CO41" i="20" s="1"/>
  <c r="CZ41" i="20"/>
  <c r="CT45" i="20"/>
  <c r="DC45" i="20"/>
  <c r="FX32" i="20"/>
  <c r="FY32" i="20" s="1"/>
  <c r="DC17" i="20"/>
  <c r="CT17" i="20"/>
  <c r="FT26" i="20"/>
  <c r="FV26" i="20" s="1"/>
  <c r="EJ26" i="20"/>
  <c r="EL26" i="20" s="1"/>
  <c r="EK45" i="20"/>
  <c r="EM45" i="20" s="1"/>
  <c r="FX45" i="20" s="1"/>
  <c r="FU45" i="20"/>
  <c r="FW53" i="20"/>
  <c r="FT74" i="20"/>
  <c r="FV74" i="20" s="1"/>
  <c r="EJ74" i="20"/>
  <c r="EL74" i="20" s="1"/>
  <c r="CK86" i="20"/>
  <c r="CO86" i="20" s="1"/>
  <c r="CZ86" i="20"/>
  <c r="EZ85" i="20"/>
  <c r="FA85" i="20" s="1"/>
  <c r="FU98" i="20"/>
  <c r="FV98" i="20" s="1"/>
  <c r="EK98" i="20"/>
  <c r="EM98" i="20" s="1"/>
  <c r="FW66" i="20"/>
  <c r="FU56" i="20"/>
  <c r="FV56" i="20" s="1"/>
  <c r="EK56" i="20"/>
  <c r="EM56" i="20" s="1"/>
  <c r="CP27" i="20"/>
  <c r="CQ27" i="20"/>
  <c r="CR27" i="20"/>
  <c r="CP43" i="20"/>
  <c r="EW43" i="20"/>
  <c r="EZ43" i="20" s="1"/>
  <c r="FA43" i="20" s="1"/>
  <c r="CQ43" i="20"/>
  <c r="CP30" i="20"/>
  <c r="EW30" i="20"/>
  <c r="CR30" i="20"/>
  <c r="CP14" i="20"/>
  <c r="CQ14" i="20"/>
  <c r="EW14" i="20"/>
  <c r="EK12" i="20"/>
  <c r="EM12" i="20" s="1"/>
  <c r="FX12" i="20" s="1"/>
  <c r="FU12" i="20"/>
  <c r="CT39" i="20"/>
  <c r="DC39" i="20"/>
  <c r="FT67" i="20"/>
  <c r="FV67" i="20" s="1"/>
  <c r="EJ67" i="20"/>
  <c r="EL67" i="20" s="1"/>
  <c r="CZ31" i="20"/>
  <c r="CK31" i="20"/>
  <c r="CO31" i="20" s="1"/>
  <c r="EK21" i="20"/>
  <c r="EM21" i="20" s="1"/>
  <c r="FX21" i="20" s="1"/>
  <c r="FU21" i="20"/>
  <c r="CK9" i="20"/>
  <c r="CO9" i="20" s="1"/>
  <c r="CZ9" i="20"/>
  <c r="EK73" i="20"/>
  <c r="EM73" i="20" s="1"/>
  <c r="FX73" i="20" s="1"/>
  <c r="FU73" i="20"/>
  <c r="CK76" i="20"/>
  <c r="CO76" i="20" s="1"/>
  <c r="CZ76" i="20"/>
  <c r="EK19" i="20"/>
  <c r="EM19" i="20" s="1"/>
  <c r="FU19" i="20"/>
  <c r="FV19" i="20" s="1"/>
  <c r="CK6" i="20"/>
  <c r="CO6" i="20" s="1"/>
  <c r="CZ6" i="20"/>
  <c r="FY64" i="20"/>
  <c r="EX25" i="20"/>
  <c r="CP88" i="20"/>
  <c r="CR88" i="20"/>
  <c r="CK55" i="20"/>
  <c r="CO55" i="20" s="1"/>
  <c r="CZ55" i="20"/>
  <c r="FU75" i="20"/>
  <c r="EK75" i="20"/>
  <c r="EM75" i="20" s="1"/>
  <c r="FX75" i="20" s="1"/>
  <c r="FU87" i="20"/>
  <c r="EK87" i="20"/>
  <c r="EM87" i="20" s="1"/>
  <c r="FX87" i="20" s="1"/>
  <c r="CP80" i="20"/>
  <c r="CQ80" i="20"/>
  <c r="CQ100" i="20"/>
  <c r="EK80" i="20"/>
  <c r="EM80" i="20" s="1"/>
  <c r="FX80" i="20" s="1"/>
  <c r="FU80" i="20"/>
  <c r="FW88" i="20"/>
  <c r="FV66" i="20"/>
  <c r="FY66" i="20" s="1"/>
  <c r="DC64" i="20"/>
  <c r="CT64" i="20"/>
  <c r="CT30" i="20"/>
  <c r="DC30" i="20"/>
  <c r="FU15" i="20"/>
  <c r="EK15" i="20"/>
  <c r="EM15" i="20" s="1"/>
  <c r="FX15" i="20" s="1"/>
  <c r="CQ24" i="20"/>
  <c r="CR24" i="20"/>
  <c r="CP24" i="20"/>
  <c r="EW24" i="20" s="1"/>
  <c r="EZ24" i="20" s="1"/>
  <c r="FA24" i="20" s="1"/>
  <c r="DC36" i="20"/>
  <c r="CT36" i="20"/>
  <c r="EJ15" i="20"/>
  <c r="EL15" i="20" s="1"/>
  <c r="FT15" i="20"/>
  <c r="FV15" i="20" s="1"/>
  <c r="FY88" i="20"/>
  <c r="CT68" i="20"/>
  <c r="DC68" i="20"/>
  <c r="CT37" i="20"/>
  <c r="DC37" i="20"/>
  <c r="CT94" i="20"/>
  <c r="DC94" i="20"/>
  <c r="CK87" i="20"/>
  <c r="CO87" i="20" s="1"/>
  <c r="CZ87" i="20"/>
  <c r="CK96" i="20"/>
  <c r="CO96" i="20" s="1"/>
  <c r="CZ96" i="20"/>
  <c r="CK44" i="20"/>
  <c r="CO44" i="20" s="1"/>
  <c r="CZ44" i="20"/>
  <c r="FT47" i="20"/>
  <c r="FV47" i="20" s="1"/>
  <c r="EJ47" i="20"/>
  <c r="EL47" i="20" s="1"/>
  <c r="EX10" i="20"/>
  <c r="FU94" i="20"/>
  <c r="EK94" i="20"/>
  <c r="EM94" i="20" s="1"/>
  <c r="FX94" i="20" s="1"/>
  <c r="CT52" i="20"/>
  <c r="DC52" i="20"/>
  <c r="FW46" i="20"/>
  <c r="EK18" i="20"/>
  <c r="EM18" i="20" s="1"/>
  <c r="FU18" i="20"/>
  <c r="FV18" i="20" s="1"/>
  <c r="EJ83" i="20"/>
  <c r="EL83" i="20" s="1"/>
  <c r="FT83" i="20"/>
  <c r="FV83" i="20" s="1"/>
  <c r="CK23" i="20"/>
  <c r="CO23" i="20" s="1"/>
  <c r="CZ23" i="20"/>
  <c r="FW76" i="20"/>
  <c r="CT70" i="20"/>
  <c r="DC70" i="20"/>
  <c r="EJ93" i="20"/>
  <c r="EL93" i="20" s="1"/>
  <c r="FT93" i="20"/>
  <c r="FV93" i="20" s="1"/>
  <c r="CK83" i="20"/>
  <c r="CO83" i="20" s="1"/>
  <c r="CZ83" i="20"/>
  <c r="DC91" i="20"/>
  <c r="CT91" i="20"/>
  <c r="EX93" i="20"/>
  <c r="FU39" i="20"/>
  <c r="EK39" i="20"/>
  <c r="EM39" i="20" s="1"/>
  <c r="FX39" i="20" s="1"/>
  <c r="FU51" i="20"/>
  <c r="FV51" i="20" s="1"/>
  <c r="EK51" i="20"/>
  <c r="EM51" i="20" s="1"/>
  <c r="CZ50" i="20"/>
  <c r="CK50" i="20"/>
  <c r="CO50" i="20" s="1"/>
  <c r="EK93" i="20"/>
  <c r="EM93" i="20" s="1"/>
  <c r="FX93" i="20" s="1"/>
  <c r="FU93" i="20"/>
  <c r="CQ34" i="20"/>
  <c r="CP34" i="20"/>
  <c r="EW34" i="20"/>
  <c r="FU62" i="20"/>
  <c r="FV62" i="20" s="1"/>
  <c r="EK62" i="20"/>
  <c r="EM62" i="20" s="1"/>
  <c r="CP22" i="20"/>
  <c r="EW22" i="20"/>
  <c r="EX57" i="20"/>
  <c r="EK48" i="20"/>
  <c r="EM48" i="20" s="1"/>
  <c r="FU48" i="20"/>
  <c r="FV48" i="20" s="1"/>
  <c r="EX14" i="20"/>
  <c r="CT6" i="20"/>
  <c r="DC6" i="20"/>
  <c r="EJ2" i="20"/>
  <c r="EL2" i="20" s="1"/>
  <c r="FT2" i="20"/>
  <c r="FV2" i="20" s="1"/>
  <c r="EK14" i="20"/>
  <c r="EM14" i="20" s="1"/>
  <c r="FX14" i="20" s="1"/>
  <c r="FU14" i="20"/>
  <c r="FV14" i="20" s="1"/>
  <c r="FY14" i="20" s="1"/>
  <c r="FW11" i="20"/>
  <c r="CT93" i="20"/>
  <c r="DC93" i="20"/>
  <c r="EK70" i="20"/>
  <c r="EM70" i="20" s="1"/>
  <c r="FX70" i="20" s="1"/>
  <c r="FU70" i="20"/>
  <c r="EJ45" i="20"/>
  <c r="EL45" i="20" s="1"/>
  <c r="FT45" i="20"/>
  <c r="FU63" i="20"/>
  <c r="FV63" i="20" s="1"/>
  <c r="FY63" i="20" s="1"/>
  <c r="EK63" i="20"/>
  <c r="EM63" i="20" s="1"/>
  <c r="FX63" i="20" s="1"/>
  <c r="CZ61" i="20"/>
  <c r="CK61" i="20"/>
  <c r="CO61" i="20" s="1"/>
  <c r="FT22" i="20"/>
  <c r="FV22" i="20" s="1"/>
  <c r="EJ22" i="20"/>
  <c r="EL22" i="20" s="1"/>
  <c r="EK6" i="20"/>
  <c r="EM6" i="20" s="1"/>
  <c r="FX6" i="20" s="1"/>
  <c r="FU6" i="20"/>
  <c r="FW8" i="20"/>
  <c r="CT18" i="20"/>
  <c r="DC18" i="20"/>
  <c r="CQ22" i="20"/>
  <c r="FY3" i="20"/>
  <c r="EX59" i="20"/>
  <c r="FT39" i="20"/>
  <c r="FV39" i="20" s="1"/>
  <c r="EJ39" i="20"/>
  <c r="EL39" i="20" s="1"/>
  <c r="EK31" i="20"/>
  <c r="EM31" i="20" s="1"/>
  <c r="FX31" i="20" s="1"/>
  <c r="FU31" i="20"/>
  <c r="EJ61" i="20"/>
  <c r="EL61" i="20" s="1"/>
  <c r="FT61" i="20"/>
  <c r="FV61" i="20" s="1"/>
  <c r="EJ28" i="20"/>
  <c r="EL28" i="20" s="1"/>
  <c r="FT28" i="20"/>
  <c r="EX30" i="20"/>
  <c r="FT33" i="20"/>
  <c r="FV33" i="20" s="1"/>
  <c r="EJ33" i="20"/>
  <c r="EL33" i="20" s="1"/>
  <c r="FW12" i="20"/>
  <c r="FU7" i="20"/>
  <c r="EK7" i="20"/>
  <c r="EM7" i="20" s="1"/>
  <c r="FX7" i="20" s="1"/>
  <c r="EX4" i="20"/>
  <c r="CK7" i="20"/>
  <c r="CO7" i="20" s="1"/>
  <c r="CZ7" i="20"/>
  <c r="EK9" i="20"/>
  <c r="EM9" i="20" s="1"/>
  <c r="FX9" i="20" s="1"/>
  <c r="FU9" i="20"/>
  <c r="EJ86" i="20"/>
  <c r="EL86" i="20" s="1"/>
  <c r="FT86" i="20"/>
  <c r="FW99" i="20"/>
  <c r="CK8" i="20"/>
  <c r="CO8" i="20" s="1"/>
  <c r="CZ8" i="20"/>
  <c r="EJ87" i="20"/>
  <c r="EL87" i="20" s="1"/>
  <c r="FT87" i="20"/>
  <c r="FV87" i="20" s="1"/>
  <c r="CT19" i="20"/>
  <c r="DC19" i="20"/>
  <c r="EW4" i="20"/>
  <c r="EZ4" i="20" s="1"/>
  <c r="FA4" i="20" s="1"/>
  <c r="CZ5" i="20"/>
  <c r="CK5" i="20"/>
  <c r="CO5" i="20" s="1"/>
  <c r="DC51" i="20"/>
  <c r="CT51" i="20"/>
  <c r="EK38" i="20"/>
  <c r="EM38" i="20" s="1"/>
  <c r="FX38" i="20" s="1"/>
  <c r="FU38" i="20"/>
  <c r="CK42" i="20"/>
  <c r="CO42" i="20" s="1"/>
  <c r="CZ42" i="20"/>
  <c r="EJ5" i="20"/>
  <c r="EL5" i="20" s="1"/>
  <c r="FT5" i="20"/>
  <c r="CT14" i="20"/>
  <c r="DC14" i="20"/>
  <c r="CT74" i="20"/>
  <c r="DC74" i="20"/>
  <c r="CP45" i="20"/>
  <c r="EW45" i="20"/>
  <c r="CK101" i="20"/>
  <c r="CO101" i="20" s="1"/>
  <c r="CZ101" i="20"/>
  <c r="FU74" i="20"/>
  <c r="EK74" i="20"/>
  <c r="EM74" i="20" s="1"/>
  <c r="FX74" i="20" s="1"/>
  <c r="CQ91" i="20"/>
  <c r="FY77" i="20"/>
  <c r="FU81" i="20"/>
  <c r="EK81" i="20"/>
  <c r="EM81" i="20" s="1"/>
  <c r="FX81" i="20" s="1"/>
  <c r="EX79" i="20"/>
  <c r="EZ79" i="20" s="1"/>
  <c r="FA79" i="20" s="1"/>
  <c r="CK73" i="20"/>
  <c r="CO73" i="20" s="1"/>
  <c r="CZ73" i="20"/>
  <c r="FT101" i="20"/>
  <c r="FV101" i="20" s="1"/>
  <c r="EJ101" i="20"/>
  <c r="EL101" i="20" s="1"/>
  <c r="FT71" i="20"/>
  <c r="FV71" i="20" s="1"/>
  <c r="EJ71" i="20"/>
  <c r="EL71" i="20" s="1"/>
  <c r="DC63" i="20"/>
  <c r="CT63" i="20"/>
  <c r="CZ28" i="20"/>
  <c r="CK28" i="20"/>
  <c r="CO28" i="20" s="1"/>
  <c r="CZ38" i="20"/>
  <c r="CK38" i="20"/>
  <c r="CO38" i="20" s="1"/>
  <c r="FT9" i="20"/>
  <c r="FV9" i="20" s="1"/>
  <c r="EJ9" i="20"/>
  <c r="EL9" i="20" s="1"/>
  <c r="CQ13" i="20"/>
  <c r="CP13" i="20"/>
  <c r="EW13" i="20"/>
  <c r="DC4" i="20"/>
  <c r="CT4" i="20"/>
  <c r="FV12" i="20"/>
  <c r="FY12" i="20" s="1"/>
  <c r="DC7" i="20"/>
  <c r="CT7" i="20"/>
  <c r="EJ7" i="20"/>
  <c r="EL7" i="20" s="1"/>
  <c r="FT7" i="20"/>
  <c r="CT9" i="20"/>
  <c r="DC9" i="20"/>
  <c r="FW50" i="20"/>
  <c r="CT26" i="20"/>
  <c r="DC26" i="20"/>
  <c r="CT22" i="20"/>
  <c r="DC22" i="20"/>
  <c r="EJ38" i="20"/>
  <c r="EL38" i="20" s="1"/>
  <c r="FT38" i="20"/>
  <c r="FV38" i="20" s="1"/>
  <c r="DC11" i="20"/>
  <c r="CT11" i="20"/>
  <c r="EK4" i="20"/>
  <c r="EM4" i="20" s="1"/>
  <c r="FU4" i="20"/>
  <c r="FV4" i="20" s="1"/>
  <c r="EK11" i="20"/>
  <c r="EM11" i="20" s="1"/>
  <c r="FX11" i="20" s="1"/>
  <c r="FU11" i="20"/>
  <c r="CX99" i="20"/>
  <c r="CY99" i="20"/>
  <c r="CP33" i="20"/>
  <c r="EW33" i="20" s="1"/>
  <c r="FT16" i="20"/>
  <c r="FV16" i="20" s="1"/>
  <c r="EJ16" i="20"/>
  <c r="EL16" i="20" s="1"/>
  <c r="EK5" i="20"/>
  <c r="EM5" i="20" s="1"/>
  <c r="FX5" i="20" s="1"/>
  <c r="FU5" i="20"/>
  <c r="CQ4" i="20"/>
  <c r="CP4" i="20"/>
  <c r="EK86" i="20"/>
  <c r="EM86" i="20" s="1"/>
  <c r="FX86" i="20" s="1"/>
  <c r="FU86" i="20"/>
  <c r="FU68" i="20"/>
  <c r="FV68" i="20" s="1"/>
  <c r="FY68" i="20" s="1"/>
  <c r="EK68" i="20"/>
  <c r="EM68" i="20" s="1"/>
  <c r="FX68" i="20" s="1"/>
  <c r="EX21" i="20"/>
  <c r="DC40" i="20"/>
  <c r="CT40" i="20"/>
  <c r="FU29" i="20"/>
  <c r="FV29" i="20" s="1"/>
  <c r="EK29" i="20"/>
  <c r="EM29" i="20" s="1"/>
  <c r="CO90" i="20"/>
  <c r="EK54" i="20"/>
  <c r="EM54" i="20" s="1"/>
  <c r="FU54" i="20"/>
  <c r="FV54" i="20" s="1"/>
  <c r="FV11" i="20"/>
  <c r="EX78" i="20"/>
  <c r="EK72" i="20"/>
  <c r="EM72" i="20" s="1"/>
  <c r="FX72" i="20" s="1"/>
  <c r="FU72" i="20"/>
  <c r="FV72" i="20" s="1"/>
  <c r="FY72" i="20" s="1"/>
  <c r="DC89" i="20"/>
  <c r="CT89" i="20"/>
  <c r="FU65" i="20"/>
  <c r="FV65" i="20" s="1"/>
  <c r="EK65" i="20"/>
  <c r="EM65" i="20" s="1"/>
  <c r="FU76" i="20"/>
  <c r="FV76" i="20" s="1"/>
  <c r="EK76" i="20"/>
  <c r="EM76" i="20" s="1"/>
  <c r="FX76" i="20" s="1"/>
  <c r="EJ73" i="20"/>
  <c r="EL73" i="20" s="1"/>
  <c r="FT73" i="20"/>
  <c r="FV73" i="20" s="1"/>
  <c r="EJ97" i="20"/>
  <c r="EL97" i="20" s="1"/>
  <c r="FT97" i="20"/>
  <c r="FV97" i="20" s="1"/>
  <c r="CR89" i="20"/>
  <c r="CQ89" i="20"/>
  <c r="CP89" i="20"/>
  <c r="FT82" i="20"/>
  <c r="FV82" i="20" s="1"/>
  <c r="EJ82" i="20"/>
  <c r="EL82" i="20" s="1"/>
  <c r="CK81" i="20"/>
  <c r="CO81" i="20" s="1"/>
  <c r="CZ81" i="20"/>
  <c r="CT100" i="20"/>
  <c r="DC100" i="20"/>
  <c r="FW68" i="20"/>
  <c r="FW49" i="20"/>
  <c r="CZ97" i="20"/>
  <c r="CK97" i="20"/>
  <c r="CO97" i="20" s="1"/>
  <c r="CZ72" i="20"/>
  <c r="CK72" i="20"/>
  <c r="CO72" i="20" s="1"/>
  <c r="DC28" i="20"/>
  <c r="CT28" i="20"/>
  <c r="CP57" i="20"/>
  <c r="CO20" i="20"/>
  <c r="FV6" i="20"/>
  <c r="FY6" i="20" s="1"/>
  <c r="EW99" i="20"/>
  <c r="BY4" i="20"/>
  <c r="EK79" i="20"/>
  <c r="EM79" i="20" s="1"/>
  <c r="FX79" i="20" s="1"/>
  <c r="FU79" i="20"/>
  <c r="EJ60" i="20"/>
  <c r="EL60" i="20" s="1"/>
  <c r="FT60" i="20"/>
  <c r="EX24" i="20"/>
  <c r="EK99" i="20"/>
  <c r="EM99" i="20" s="1"/>
  <c r="FX99" i="20" s="1"/>
  <c r="FU99" i="20"/>
  <c r="FV99" i="20" s="1"/>
  <c r="FY99" i="20" s="1"/>
  <c r="EK100" i="20"/>
  <c r="EM100" i="20" s="1"/>
  <c r="FX100" i="20" s="1"/>
  <c r="FU100" i="20"/>
  <c r="FU96" i="20"/>
  <c r="EK96" i="20"/>
  <c r="EM96" i="20" s="1"/>
  <c r="FX96" i="20" s="1"/>
  <c r="CK65" i="20"/>
  <c r="CO65" i="20" s="1"/>
  <c r="CZ65" i="20"/>
  <c r="DC62" i="20"/>
  <c r="CT62" i="20"/>
  <c r="FV49" i="20"/>
  <c r="FY49" i="20" s="1"/>
  <c r="EX56" i="20"/>
  <c r="CQ62" i="20"/>
  <c r="CP62" i="20"/>
  <c r="CR62" i="20"/>
  <c r="DC25" i="20"/>
  <c r="CT25" i="20"/>
  <c r="FU27" i="20"/>
  <c r="FV27" i="20" s="1"/>
  <c r="EK27" i="20"/>
  <c r="EM27" i="20" s="1"/>
  <c r="FV20" i="20"/>
  <c r="FU46" i="20"/>
  <c r="FV46" i="20" s="1"/>
  <c r="EK46" i="20"/>
  <c r="EM46" i="20" s="1"/>
  <c r="FX46" i="20" s="1"/>
  <c r="EX20" i="20"/>
  <c r="CT16" i="20"/>
  <c r="DC16" i="20"/>
  <c r="FW6" i="20"/>
  <c r="CZ92" i="20"/>
  <c r="CK92" i="20"/>
  <c r="CO92" i="20" s="1"/>
  <c r="CP91" i="20"/>
  <c r="EW91" i="20" s="1"/>
  <c r="CK53" i="20"/>
  <c r="CO53" i="20" s="1"/>
  <c r="CZ53" i="20"/>
  <c r="EJ44" i="20"/>
  <c r="EL44" i="20" s="1"/>
  <c r="FT44" i="20"/>
  <c r="FV44" i="20" s="1"/>
  <c r="CT38" i="20"/>
  <c r="DC38" i="20"/>
  <c r="EJ42" i="20"/>
  <c r="EL42" i="20" s="1"/>
  <c r="FT42" i="20"/>
  <c r="FV42" i="20" s="1"/>
  <c r="FU52" i="20"/>
  <c r="EK52" i="20"/>
  <c r="EM52" i="20" s="1"/>
  <c r="FX52" i="20" s="1"/>
  <c r="FW63" i="20"/>
  <c r="EX34" i="20"/>
  <c r="FW69" i="20"/>
  <c r="CZ40" i="20"/>
  <c r="CK40" i="20"/>
  <c r="CO40" i="20" s="1"/>
  <c r="CK11" i="20"/>
  <c r="CO11" i="20" s="1"/>
  <c r="CZ11" i="20"/>
  <c r="CT99" i="20"/>
  <c r="DC99" i="20"/>
  <c r="EX94" i="20"/>
  <c r="DC84" i="20"/>
  <c r="CT84" i="20"/>
  <c r="FY90" i="20"/>
  <c r="CT81" i="20"/>
  <c r="DC81" i="20"/>
  <c r="CK71" i="20"/>
  <c r="CO71" i="20" s="1"/>
  <c r="CZ71" i="20"/>
  <c r="FV79" i="20"/>
  <c r="CT60" i="20"/>
  <c r="DC60" i="20"/>
  <c r="CR78" i="20"/>
  <c r="CP78" i="20"/>
  <c r="CK75" i="20"/>
  <c r="CO75" i="20" s="1"/>
  <c r="CZ75" i="20"/>
  <c r="EX84" i="20"/>
  <c r="EZ84" i="20" s="1"/>
  <c r="FA84" i="20" s="1"/>
  <c r="CZ52" i="20"/>
  <c r="CK52" i="20"/>
  <c r="CO52" i="20" s="1"/>
  <c r="FW55" i="20"/>
  <c r="EX62" i="20"/>
  <c r="FW72" i="20"/>
  <c r="FT21" i="20"/>
  <c r="FV21" i="20" s="1"/>
  <c r="EJ21" i="20"/>
  <c r="EL21" i="20" s="1"/>
  <c r="FU28" i="20"/>
  <c r="EK28" i="20"/>
  <c r="EM28" i="20" s="1"/>
  <c r="FX28" i="20" s="1"/>
  <c r="CR22" i="20"/>
  <c r="CT31" i="20"/>
  <c r="DC31" i="20"/>
  <c r="FW20" i="20"/>
  <c r="CT8" i="20"/>
  <c r="DC8" i="20"/>
  <c r="EK58" i="20"/>
  <c r="EM58" i="20" s="1"/>
  <c r="FX58" i="20" s="1"/>
  <c r="FU58" i="20"/>
  <c r="EJ92" i="20"/>
  <c r="EL92" i="20" s="1"/>
  <c r="FT92" i="20"/>
  <c r="FV92" i="20" s="1"/>
  <c r="CR2" i="20"/>
  <c r="CQ2" i="20"/>
  <c r="CP2" i="20"/>
  <c r="FV17" i="20"/>
  <c r="FT40" i="20"/>
  <c r="EJ40" i="20"/>
  <c r="EL40" i="20" s="1"/>
  <c r="FW17" i="20"/>
  <c r="EX35" i="20"/>
  <c r="CP21" i="20"/>
  <c r="EW21" i="20"/>
  <c r="EZ21" i="20" s="1"/>
  <c r="FA21" i="20" s="1"/>
  <c r="EJ59" i="20"/>
  <c r="EL59" i="20" s="1"/>
  <c r="FT59" i="20"/>
  <c r="FV59" i="20" s="1"/>
  <c r="FU91" i="20"/>
  <c r="FV91" i="20" s="1"/>
  <c r="EK91" i="20"/>
  <c r="EM91" i="20" s="1"/>
  <c r="CK82" i="20"/>
  <c r="CO82" i="20" s="1"/>
  <c r="CZ82" i="20"/>
  <c r="CP74" i="20"/>
  <c r="EW74" i="20"/>
  <c r="FT81" i="20"/>
  <c r="FV81" i="20" s="1"/>
  <c r="EJ81" i="20"/>
  <c r="EL81" i="20" s="1"/>
  <c r="CT80" i="20"/>
  <c r="DC80" i="20"/>
  <c r="EJ80" i="20"/>
  <c r="EL80" i="20" s="1"/>
  <c r="FT80" i="20"/>
  <c r="DC96" i="20"/>
  <c r="CT96" i="20"/>
  <c r="FW79" i="20"/>
  <c r="EX88" i="20"/>
  <c r="EK60" i="20"/>
  <c r="EM60" i="20" s="1"/>
  <c r="FX60" i="20" s="1"/>
  <c r="FU60" i="20"/>
  <c r="CY60" i="20"/>
  <c r="CX60" i="20"/>
  <c r="FT75" i="20"/>
  <c r="FV75" i="20" s="1"/>
  <c r="EJ75" i="20"/>
  <c r="EL75" i="20" s="1"/>
  <c r="CK67" i="20"/>
  <c r="CO67" i="20" s="1"/>
  <c r="CZ67" i="20"/>
  <c r="CP49" i="20"/>
  <c r="CR49" i="20"/>
  <c r="CQ49" i="20"/>
  <c r="FU71" i="20"/>
  <c r="EK71" i="20"/>
  <c r="EM71" i="20" s="1"/>
  <c r="FX71" i="20" s="1"/>
  <c r="DC48" i="20"/>
  <c r="CT48" i="20"/>
  <c r="CT33" i="20"/>
  <c r="DC33" i="20"/>
  <c r="FV52" i="20"/>
  <c r="FY52" i="20" s="1"/>
  <c r="EX26" i="20"/>
  <c r="CT46" i="20"/>
  <c r="DC46" i="20"/>
  <c r="EK8" i="20"/>
  <c r="EM8" i="20" s="1"/>
  <c r="FX8" i="20" s="1"/>
  <c r="FU8" i="20"/>
  <c r="FV8" i="20" s="1"/>
  <c r="FY8" i="20" s="1"/>
  <c r="FV13" i="20"/>
  <c r="FU16" i="20"/>
  <c r="EK16" i="20"/>
  <c r="EM16" i="20" s="1"/>
  <c r="FX16" i="20" s="1"/>
  <c r="EX15" i="20"/>
  <c r="CT58" i="20"/>
  <c r="DC58" i="20"/>
  <c r="FV53" i="20"/>
  <c r="FY53" i="20" s="1"/>
  <c r="EJ49" i="23" l="1"/>
  <c r="EJ74" i="23"/>
  <c r="EK74" i="23" s="1"/>
  <c r="EJ85" i="23"/>
  <c r="EJ78" i="23"/>
  <c r="EJ51" i="23"/>
  <c r="EJ43" i="23"/>
  <c r="EJ40" i="22"/>
  <c r="EJ28" i="22"/>
  <c r="EJ16" i="22"/>
  <c r="EK16" i="22" s="1"/>
  <c r="EJ83" i="22"/>
  <c r="EJ36" i="22"/>
  <c r="EJ85" i="22"/>
  <c r="EK85" i="22" s="1"/>
  <c r="EJ89" i="22"/>
  <c r="DL59" i="23"/>
  <c r="EJ59" i="23" s="1"/>
  <c r="EK59" i="23" s="1"/>
  <c r="EM89" i="23"/>
  <c r="EL89" i="23"/>
  <c r="EN89" i="23"/>
  <c r="EL2" i="23"/>
  <c r="EM2" i="23"/>
  <c r="EN2" i="23"/>
  <c r="EM99" i="23"/>
  <c r="EL99" i="23"/>
  <c r="EN99" i="23"/>
  <c r="EK78" i="23"/>
  <c r="EN68" i="23"/>
  <c r="EM68" i="23"/>
  <c r="EL68" i="23"/>
  <c r="EK34" i="23"/>
  <c r="DL75" i="23"/>
  <c r="EJ75" i="23" s="1"/>
  <c r="EK75" i="23" s="1"/>
  <c r="EK43" i="23"/>
  <c r="EN17" i="23"/>
  <c r="EM17" i="23"/>
  <c r="EL17" i="23"/>
  <c r="EJ81" i="23"/>
  <c r="EK51" i="23"/>
  <c r="EN9" i="23"/>
  <c r="EM9" i="23"/>
  <c r="EL9" i="23"/>
  <c r="EN8" i="23"/>
  <c r="EM8" i="23"/>
  <c r="EL8" i="23"/>
  <c r="EJ25" i="23"/>
  <c r="EK25" i="23" s="1"/>
  <c r="EK85" i="23"/>
  <c r="EK90" i="23"/>
  <c r="DE77" i="23"/>
  <c r="DF77" i="23" s="1"/>
  <c r="EJ62" i="23"/>
  <c r="EK62" i="23" s="1"/>
  <c r="DK67" i="23"/>
  <c r="DE5" i="23"/>
  <c r="DK69" i="23"/>
  <c r="EJ26" i="23"/>
  <c r="EK26" i="23" s="1"/>
  <c r="DE10" i="23"/>
  <c r="DF10" i="23" s="1"/>
  <c r="EJ42" i="23"/>
  <c r="EK42" i="23" s="1"/>
  <c r="DK101" i="23"/>
  <c r="DL101" i="23" s="1"/>
  <c r="EJ101" i="23" s="1"/>
  <c r="EK101" i="23" s="1"/>
  <c r="DE23" i="23"/>
  <c r="DF23" i="23" s="1"/>
  <c r="DQ50" i="23"/>
  <c r="DR50" i="23" s="1"/>
  <c r="EJ50" i="23" s="1"/>
  <c r="EK50" i="23" s="1"/>
  <c r="EJ6" i="23"/>
  <c r="EK6" i="23" s="1"/>
  <c r="DE63" i="23"/>
  <c r="DF63" i="23" s="1"/>
  <c r="DE22" i="23"/>
  <c r="DF22" i="23" s="1"/>
  <c r="DJ72" i="23"/>
  <c r="DL72" i="23" s="1"/>
  <c r="EJ72" i="23" s="1"/>
  <c r="EK72" i="23" s="1"/>
  <c r="DJ101" i="23"/>
  <c r="EJ48" i="23"/>
  <c r="DL4" i="23"/>
  <c r="EJ4" i="23" s="1"/>
  <c r="DK75" i="23"/>
  <c r="EN7" i="23"/>
  <c r="EM7" i="23"/>
  <c r="EL7" i="23"/>
  <c r="DE4" i="23"/>
  <c r="DF4" i="23" s="1"/>
  <c r="DL35" i="23"/>
  <c r="EJ67" i="23"/>
  <c r="EK67" i="23" s="1"/>
  <c r="EJ15" i="23"/>
  <c r="DJ65" i="23"/>
  <c r="DL65" i="23" s="1"/>
  <c r="EJ65" i="23" s="1"/>
  <c r="EK65" i="23" s="1"/>
  <c r="DE69" i="23"/>
  <c r="DF69" i="23" s="1"/>
  <c r="DE39" i="23"/>
  <c r="DF39" i="23" s="1"/>
  <c r="DL27" i="23"/>
  <c r="EJ27" i="23" s="1"/>
  <c r="EK27" i="23" s="1"/>
  <c r="DJ32" i="23"/>
  <c r="DL32" i="23" s="1"/>
  <c r="EJ32" i="23" s="1"/>
  <c r="EK32" i="23" s="1"/>
  <c r="EJ33" i="23"/>
  <c r="DE21" i="23"/>
  <c r="DF21" i="23" s="1"/>
  <c r="DE53" i="23"/>
  <c r="DF53" i="23" s="1"/>
  <c r="DE14" i="23"/>
  <c r="DF14" i="23" s="1"/>
  <c r="DL18" i="23"/>
  <c r="EJ18" i="23" s="1"/>
  <c r="EK18" i="23" s="1"/>
  <c r="DE19" i="23"/>
  <c r="DF19" i="23" s="1"/>
  <c r="DE24" i="23"/>
  <c r="DF24" i="23" s="1"/>
  <c r="DE92" i="23"/>
  <c r="DF92" i="23" s="1"/>
  <c r="DL77" i="23"/>
  <c r="EJ77" i="23" s="1"/>
  <c r="EK77" i="23" s="1"/>
  <c r="DJ87" i="23"/>
  <c r="DL87" i="23" s="1"/>
  <c r="EJ87" i="23" s="1"/>
  <c r="EK87" i="23" s="1"/>
  <c r="DE13" i="23"/>
  <c r="DF13" i="23" s="1"/>
  <c r="DL3" i="23"/>
  <c r="EJ3" i="23" s="1"/>
  <c r="DE37" i="23"/>
  <c r="DF37" i="23" s="1"/>
  <c r="EK79" i="23"/>
  <c r="DL12" i="23"/>
  <c r="EJ12" i="23" s="1"/>
  <c r="EK12" i="23" s="1"/>
  <c r="DE84" i="23"/>
  <c r="DF84" i="23" s="1"/>
  <c r="DL88" i="23"/>
  <c r="EJ88" i="23" s="1"/>
  <c r="EK88" i="23" s="1"/>
  <c r="DE78" i="23"/>
  <c r="DF78" i="23" s="1"/>
  <c r="DE3" i="23"/>
  <c r="DF3" i="23" s="1"/>
  <c r="EJ10" i="23"/>
  <c r="DL22" i="23"/>
  <c r="EJ22" i="23" s="1"/>
  <c r="EK22" i="23" s="1"/>
  <c r="DE98" i="23"/>
  <c r="DF98" i="23" s="1"/>
  <c r="DE81" i="23"/>
  <c r="DF81" i="23" s="1"/>
  <c r="DE91" i="23"/>
  <c r="DF91" i="23" s="1"/>
  <c r="DK87" i="23"/>
  <c r="EJ53" i="23"/>
  <c r="EK53" i="23" s="1"/>
  <c r="DJ60" i="23"/>
  <c r="DL60" i="23" s="1"/>
  <c r="EJ60" i="23" s="1"/>
  <c r="EK60" i="23" s="1"/>
  <c r="DL33" i="23"/>
  <c r="DL37" i="23"/>
  <c r="EJ37" i="23" s="1"/>
  <c r="EK37" i="23" s="1"/>
  <c r="DE49" i="23"/>
  <c r="DF49" i="23" s="1"/>
  <c r="EK49" i="23" s="1"/>
  <c r="DL84" i="23"/>
  <c r="DE54" i="23"/>
  <c r="DF54" i="23" s="1"/>
  <c r="EK40" i="23"/>
  <c r="DE76" i="23"/>
  <c r="DF76" i="23" s="1"/>
  <c r="EJ96" i="23"/>
  <c r="EK96" i="23" s="1"/>
  <c r="DK65" i="23"/>
  <c r="DL76" i="23"/>
  <c r="EJ76" i="23" s="1"/>
  <c r="EK76" i="23" s="1"/>
  <c r="DL83" i="23"/>
  <c r="EJ83" i="23" s="1"/>
  <c r="EK83" i="23" s="1"/>
  <c r="DL23" i="23"/>
  <c r="EJ23" i="23" s="1"/>
  <c r="DE85" i="23"/>
  <c r="DF85" i="23" s="1"/>
  <c r="DE18" i="23"/>
  <c r="DF18" i="23" s="1"/>
  <c r="DJ95" i="23"/>
  <c r="DL95" i="23" s="1"/>
  <c r="EJ95" i="23" s="1"/>
  <c r="EK95" i="23" s="1"/>
  <c r="DE80" i="23"/>
  <c r="DF80" i="23" s="1"/>
  <c r="DL20" i="23"/>
  <c r="EJ20" i="23" s="1"/>
  <c r="EK20" i="23" s="1"/>
  <c r="DL57" i="23"/>
  <c r="EJ57" i="23" s="1"/>
  <c r="EK57" i="23" s="1"/>
  <c r="DE66" i="23"/>
  <c r="DF66" i="23" s="1"/>
  <c r="DK31" i="23"/>
  <c r="DK60" i="23"/>
  <c r="DE28" i="23"/>
  <c r="DF28" i="23" s="1"/>
  <c r="DE25" i="23"/>
  <c r="DF25" i="23" s="1"/>
  <c r="EJ84" i="23"/>
  <c r="EK84" i="23" s="1"/>
  <c r="DL46" i="23"/>
  <c r="EJ46" i="23" s="1"/>
  <c r="EK46" i="23" s="1"/>
  <c r="EJ19" i="23"/>
  <c r="DK92" i="23"/>
  <c r="DQ97" i="23"/>
  <c r="DR97" i="23" s="1"/>
  <c r="EJ97" i="23" s="1"/>
  <c r="EK97" i="23" s="1"/>
  <c r="DK95" i="23"/>
  <c r="DE87" i="23"/>
  <c r="DF87" i="23" s="1"/>
  <c r="EJ93" i="23"/>
  <c r="EK93" i="23" s="1"/>
  <c r="DJ94" i="23"/>
  <c r="DL94" i="23" s="1"/>
  <c r="EJ94" i="23" s="1"/>
  <c r="EK94" i="23" s="1"/>
  <c r="DJ31" i="23"/>
  <c r="DL31" i="23" s="1"/>
  <c r="EJ31" i="23" s="1"/>
  <c r="EK31" i="23" s="1"/>
  <c r="DE100" i="23"/>
  <c r="DF100" i="23" s="1"/>
  <c r="EK100" i="23" s="1"/>
  <c r="DE48" i="23"/>
  <c r="DF48" i="23" s="1"/>
  <c r="EJ71" i="23"/>
  <c r="DJ92" i="23"/>
  <c r="EK47" i="23"/>
  <c r="DE95" i="23"/>
  <c r="DF95" i="23" s="1"/>
  <c r="DL97" i="23"/>
  <c r="EK38" i="23"/>
  <c r="EJ86" i="23"/>
  <c r="EK86" i="23" s="1"/>
  <c r="DE67" i="23"/>
  <c r="DF67" i="23" s="1"/>
  <c r="DL91" i="23"/>
  <c r="EJ91" i="23" s="1"/>
  <c r="EK91" i="23" s="1"/>
  <c r="DL56" i="23"/>
  <c r="EJ56" i="23" s="1"/>
  <c r="EK56" i="23" s="1"/>
  <c r="DL29" i="23"/>
  <c r="EJ29" i="23" s="1"/>
  <c r="EK29" i="23" s="1"/>
  <c r="DE71" i="23"/>
  <c r="DF71" i="23" s="1"/>
  <c r="DL69" i="23"/>
  <c r="EJ69" i="23" s="1"/>
  <c r="EK69" i="23" s="1"/>
  <c r="EJ58" i="23"/>
  <c r="EK58" i="23" s="1"/>
  <c r="DL92" i="23"/>
  <c r="EJ92" i="23" s="1"/>
  <c r="EK92" i="23" s="1"/>
  <c r="DE15" i="23"/>
  <c r="DF15" i="23" s="1"/>
  <c r="DE97" i="23"/>
  <c r="DF97" i="23" s="1"/>
  <c r="DK57" i="23"/>
  <c r="DL54" i="23"/>
  <c r="EJ24" i="23"/>
  <c r="EJ73" i="23"/>
  <c r="EN55" i="23"/>
  <c r="EM55" i="23"/>
  <c r="EL55" i="23"/>
  <c r="DL64" i="23"/>
  <c r="EJ64" i="23" s="1"/>
  <c r="EK64" i="23" s="1"/>
  <c r="DL67" i="23"/>
  <c r="EJ70" i="23"/>
  <c r="EK70" i="23" s="1"/>
  <c r="DE74" i="23"/>
  <c r="DF74" i="23" s="1"/>
  <c r="DL52" i="23"/>
  <c r="EJ52" i="23" s="1"/>
  <c r="EK52" i="23" s="1"/>
  <c r="DE6" i="23"/>
  <c r="DF6" i="23" s="1"/>
  <c r="EJ11" i="23"/>
  <c r="EK11" i="23" s="1"/>
  <c r="EJ63" i="23"/>
  <c r="EK63" i="23" s="1"/>
  <c r="EJ54" i="23"/>
  <c r="EK54" i="23" s="1"/>
  <c r="EJ82" i="23"/>
  <c r="EK82" i="23" s="1"/>
  <c r="EJ16" i="23"/>
  <c r="EK16" i="23" s="1"/>
  <c r="DL5" i="23"/>
  <c r="EJ5" i="23" s="1"/>
  <c r="DL66" i="23"/>
  <c r="EJ66" i="23" s="1"/>
  <c r="EK66" i="23" s="1"/>
  <c r="DL26" i="23"/>
  <c r="EJ28" i="23"/>
  <c r="EK28" i="23" s="1"/>
  <c r="DL80" i="23"/>
  <c r="EJ80" i="23" s="1"/>
  <c r="DL14" i="23"/>
  <c r="EJ14" i="23" s="1"/>
  <c r="EK14" i="23" s="1"/>
  <c r="DE73" i="23"/>
  <c r="DF73" i="23" s="1"/>
  <c r="DE11" i="23"/>
  <c r="DF11" i="23" s="1"/>
  <c r="DE33" i="23"/>
  <c r="DF33" i="23" s="1"/>
  <c r="DL44" i="23"/>
  <c r="EJ44" i="23" s="1"/>
  <c r="EK44" i="23" s="1"/>
  <c r="DL6" i="23"/>
  <c r="EJ61" i="23"/>
  <c r="EK61" i="23" s="1"/>
  <c r="DE88" i="23"/>
  <c r="DF88" i="23" s="1"/>
  <c r="DE31" i="23"/>
  <c r="DF31" i="23" s="1"/>
  <c r="DE35" i="23"/>
  <c r="DF35" i="23" s="1"/>
  <c r="EK30" i="23"/>
  <c r="DQ19" i="23"/>
  <c r="DR19" i="23" s="1"/>
  <c r="DL36" i="23"/>
  <c r="EJ36" i="23" s="1"/>
  <c r="EK36" i="23" s="1"/>
  <c r="DE83" i="23"/>
  <c r="DF83" i="23" s="1"/>
  <c r="DE46" i="23"/>
  <c r="DF46" i="23" s="1"/>
  <c r="DL41" i="23"/>
  <c r="EJ41" i="23" s="1"/>
  <c r="EK41" i="23" s="1"/>
  <c r="DL39" i="23"/>
  <c r="EJ39" i="23" s="1"/>
  <c r="EK39" i="23" s="1"/>
  <c r="DQ35" i="23"/>
  <c r="DR35" i="23" s="1"/>
  <c r="DL45" i="23"/>
  <c r="EJ45" i="23" s="1"/>
  <c r="EK45" i="23" s="1"/>
  <c r="DL98" i="23"/>
  <c r="EJ98" i="23" s="1"/>
  <c r="EK98" i="23" s="1"/>
  <c r="DL13" i="23"/>
  <c r="EJ13" i="23" s="1"/>
  <c r="EK13" i="23" s="1"/>
  <c r="EJ21" i="23"/>
  <c r="EK21" i="23" s="1"/>
  <c r="EN16" i="22"/>
  <c r="EM16" i="22"/>
  <c r="EL16" i="22"/>
  <c r="EK89" i="22"/>
  <c r="DE57" i="22"/>
  <c r="DF57" i="22" s="1"/>
  <c r="EK26" i="22"/>
  <c r="EK40" i="22"/>
  <c r="EN85" i="22"/>
  <c r="EL85" i="22"/>
  <c r="EM85" i="22"/>
  <c r="EJ27" i="22"/>
  <c r="EK27" i="22" s="1"/>
  <c r="EK83" i="22"/>
  <c r="EK36" i="22"/>
  <c r="EM12" i="22"/>
  <c r="EL12" i="22"/>
  <c r="EN12" i="22"/>
  <c r="EM39" i="22"/>
  <c r="EN39" i="22"/>
  <c r="EL39" i="22"/>
  <c r="DE68" i="22"/>
  <c r="DF68" i="22" s="1"/>
  <c r="EK79" i="22"/>
  <c r="EL92" i="22"/>
  <c r="EN92" i="22"/>
  <c r="EM92" i="22"/>
  <c r="EL10" i="22"/>
  <c r="EN10" i="22"/>
  <c r="EM10" i="22"/>
  <c r="EJ81" i="22"/>
  <c r="EK81" i="22" s="1"/>
  <c r="DL95" i="22"/>
  <c r="EJ95" i="22" s="1"/>
  <c r="EK95" i="22" s="1"/>
  <c r="EJ9" i="22"/>
  <c r="EK9" i="22" s="1"/>
  <c r="DL22" i="22"/>
  <c r="EJ51" i="22"/>
  <c r="EK51" i="22" s="1"/>
  <c r="EN96" i="22"/>
  <c r="EM96" i="22"/>
  <c r="EL96" i="22"/>
  <c r="DE67" i="22"/>
  <c r="DF67" i="22" s="1"/>
  <c r="DE76" i="22"/>
  <c r="DF76" i="22" s="1"/>
  <c r="DL33" i="22"/>
  <c r="EJ45" i="22"/>
  <c r="EK45" i="22" s="1"/>
  <c r="DJ66" i="22"/>
  <c r="DE94" i="22"/>
  <c r="DF94" i="22" s="1"/>
  <c r="EJ67" i="22"/>
  <c r="DE23" i="22"/>
  <c r="DF23" i="22" s="1"/>
  <c r="EJ71" i="22"/>
  <c r="EK71" i="22" s="1"/>
  <c r="DK64" i="22"/>
  <c r="DJ46" i="22"/>
  <c r="DL46" i="22" s="1"/>
  <c r="EJ46" i="22" s="1"/>
  <c r="EK46" i="22" s="1"/>
  <c r="EJ87" i="22"/>
  <c r="EK87" i="22" s="1"/>
  <c r="DL18" i="22"/>
  <c r="EJ18" i="22" s="1"/>
  <c r="EK18" i="22" s="1"/>
  <c r="DJ29" i="22"/>
  <c r="DL29" i="22" s="1"/>
  <c r="EJ29" i="22" s="1"/>
  <c r="EK29" i="22" s="1"/>
  <c r="DE88" i="22"/>
  <c r="DF88" i="22" s="1"/>
  <c r="EJ32" i="22"/>
  <c r="EK32" i="22" s="1"/>
  <c r="DE74" i="22"/>
  <c r="DF74" i="22" s="1"/>
  <c r="DE63" i="22"/>
  <c r="DF63" i="22" s="1"/>
  <c r="DL20" i="22"/>
  <c r="EJ20" i="22" s="1"/>
  <c r="EK20" i="22" s="1"/>
  <c r="DL5" i="22"/>
  <c r="EJ5" i="22" s="1"/>
  <c r="EK5" i="22" s="1"/>
  <c r="DE25" i="22"/>
  <c r="DF25" i="22" s="1"/>
  <c r="DL84" i="22"/>
  <c r="EJ84" i="22" s="1"/>
  <c r="EK84" i="22" s="1"/>
  <c r="DJ64" i="22"/>
  <c r="DK46" i="22"/>
  <c r="DL101" i="22"/>
  <c r="EJ101" i="22" s="1"/>
  <c r="EK101" i="22" s="1"/>
  <c r="DQ64" i="22"/>
  <c r="DR64" i="22" s="1"/>
  <c r="DL69" i="22"/>
  <c r="EJ69" i="22" s="1"/>
  <c r="EK69" i="22" s="1"/>
  <c r="DE82" i="22"/>
  <c r="DF82" i="22" s="1"/>
  <c r="DL91" i="22"/>
  <c r="EJ91" i="22" s="1"/>
  <c r="EK91" i="22" s="1"/>
  <c r="DL57" i="22"/>
  <c r="EJ57" i="22" s="1"/>
  <c r="EK57" i="22" s="1"/>
  <c r="DE97" i="22"/>
  <c r="DF97" i="22" s="1"/>
  <c r="DL34" i="22"/>
  <c r="EJ34" i="22" s="1"/>
  <c r="EK34" i="22" s="1"/>
  <c r="DL50" i="22"/>
  <c r="EJ50" i="22" s="1"/>
  <c r="EK50" i="22" s="1"/>
  <c r="DL30" i="22"/>
  <c r="EJ30" i="22" s="1"/>
  <c r="DJ60" i="22"/>
  <c r="DL60" i="22" s="1"/>
  <c r="EJ60" i="22" s="1"/>
  <c r="EK60" i="22" s="1"/>
  <c r="DE18" i="22"/>
  <c r="DF18" i="22" s="1"/>
  <c r="DL42" i="22"/>
  <c r="EJ42" i="22" s="1"/>
  <c r="EK42" i="22" s="1"/>
  <c r="EJ63" i="22"/>
  <c r="EK63" i="22" s="1"/>
  <c r="EJ68" i="22"/>
  <c r="EK68" i="22" s="1"/>
  <c r="DL64" i="22"/>
  <c r="DL6" i="22"/>
  <c r="EJ6" i="22" s="1"/>
  <c r="EK6" i="22" s="1"/>
  <c r="DL94" i="22"/>
  <c r="EJ94" i="22" s="1"/>
  <c r="EK94" i="22" s="1"/>
  <c r="DL100" i="22"/>
  <c r="EJ100" i="22" s="1"/>
  <c r="EK100" i="22" s="1"/>
  <c r="DL58" i="22"/>
  <c r="EJ58" i="22" s="1"/>
  <c r="EK58" i="22" s="1"/>
  <c r="DJ4" i="22"/>
  <c r="DE55" i="22"/>
  <c r="DF55" i="22" s="1"/>
  <c r="EJ74" i="22"/>
  <c r="DE87" i="22"/>
  <c r="DF87" i="22" s="1"/>
  <c r="EJ47" i="22"/>
  <c r="EK47" i="22" s="1"/>
  <c r="DL76" i="22"/>
  <c r="EJ76" i="22" s="1"/>
  <c r="EK76" i="22" s="1"/>
  <c r="DL43" i="22"/>
  <c r="EJ43" i="22" s="1"/>
  <c r="EK43" i="22" s="1"/>
  <c r="EJ31" i="22"/>
  <c r="DL56" i="22"/>
  <c r="EJ56" i="22" s="1"/>
  <c r="EK56" i="22" s="1"/>
  <c r="DE24" i="22"/>
  <c r="DF24" i="22" s="1"/>
  <c r="DE78" i="22"/>
  <c r="DF78" i="22" s="1"/>
  <c r="EK78" i="22" s="1"/>
  <c r="DE72" i="22"/>
  <c r="DF72" i="22" s="1"/>
  <c r="EK72" i="22" s="1"/>
  <c r="DK60" i="22"/>
  <c r="DL98" i="22"/>
  <c r="DL15" i="22"/>
  <c r="EJ15" i="22" s="1"/>
  <c r="EK15" i="22" s="1"/>
  <c r="EJ21" i="22"/>
  <c r="EK21" i="22" s="1"/>
  <c r="DE4" i="22"/>
  <c r="DF4" i="22" s="1"/>
  <c r="DL47" i="22"/>
  <c r="DL71" i="22"/>
  <c r="DE59" i="22"/>
  <c r="DF59" i="22" s="1"/>
  <c r="DL24" i="22"/>
  <c r="EJ75" i="22"/>
  <c r="EJ24" i="22"/>
  <c r="DL41" i="22"/>
  <c r="EJ41" i="22" s="1"/>
  <c r="EK41" i="22" s="1"/>
  <c r="DK38" i="22"/>
  <c r="DL17" i="22"/>
  <c r="EJ17" i="22" s="1"/>
  <c r="EK17" i="22" s="1"/>
  <c r="DL54" i="22"/>
  <c r="EJ54" i="22" s="1"/>
  <c r="EK54" i="22" s="1"/>
  <c r="DE31" i="22"/>
  <c r="DF31" i="22" s="1"/>
  <c r="DE22" i="22"/>
  <c r="DF22" i="22" s="1"/>
  <c r="DE5" i="22"/>
  <c r="DF5" i="22" s="1"/>
  <c r="DJ62" i="22"/>
  <c r="DL9" i="22"/>
  <c r="DL4" i="22"/>
  <c r="EJ4" i="22" s="1"/>
  <c r="EK4" i="22" s="1"/>
  <c r="DE28" i="22"/>
  <c r="DF28" i="22" s="1"/>
  <c r="EK28" i="22" s="1"/>
  <c r="DE53" i="22"/>
  <c r="DF53" i="22" s="1"/>
  <c r="DE69" i="22"/>
  <c r="DF69" i="22" s="1"/>
  <c r="DJ61" i="22"/>
  <c r="DL37" i="22"/>
  <c r="EJ37" i="22" s="1"/>
  <c r="EK37" i="22" s="1"/>
  <c r="DE93" i="22"/>
  <c r="DF93" i="22" s="1"/>
  <c r="DE100" i="22"/>
  <c r="DF100" i="22" s="1"/>
  <c r="EJ11" i="22"/>
  <c r="EK11" i="22" s="1"/>
  <c r="DE36" i="22"/>
  <c r="DF36" i="22" s="1"/>
  <c r="EK25" i="22"/>
  <c r="DK57" i="22"/>
  <c r="DJ38" i="22"/>
  <c r="DL38" i="22" s="1"/>
  <c r="EJ38" i="22" s="1"/>
  <c r="EK38" i="22" s="1"/>
  <c r="EJ61" i="22"/>
  <c r="EK61" i="22" s="1"/>
  <c r="DK8" i="22"/>
  <c r="DK62" i="22"/>
  <c r="DQ98" i="22"/>
  <c r="DR98" i="22" s="1"/>
  <c r="DL14" i="22"/>
  <c r="EJ14" i="22" s="1"/>
  <c r="DE90" i="22"/>
  <c r="DF90" i="22" s="1"/>
  <c r="DQ44" i="22"/>
  <c r="DR44" i="22" s="1"/>
  <c r="DE13" i="22"/>
  <c r="DF13" i="22" s="1"/>
  <c r="DE75" i="22"/>
  <c r="DF75" i="22" s="1"/>
  <c r="DL73" i="22"/>
  <c r="EJ73" i="22" s="1"/>
  <c r="EK73" i="22" s="1"/>
  <c r="DE48" i="22"/>
  <c r="DF48" i="22" s="1"/>
  <c r="DK61" i="22"/>
  <c r="DE98" i="22"/>
  <c r="DF98" i="22" s="1"/>
  <c r="EJ65" i="22"/>
  <c r="EK65" i="22" s="1"/>
  <c r="DL48" i="22"/>
  <c r="EJ48" i="22" s="1"/>
  <c r="EK48" i="22" s="1"/>
  <c r="DE95" i="22"/>
  <c r="DF95" i="22" s="1"/>
  <c r="DL55" i="22"/>
  <c r="EJ55" i="22" s="1"/>
  <c r="EK55" i="22" s="1"/>
  <c r="EJ97" i="22"/>
  <c r="EK97" i="22" s="1"/>
  <c r="DE64" i="22"/>
  <c r="DF64" i="22" s="1"/>
  <c r="DL44" i="22"/>
  <c r="DE2" i="22"/>
  <c r="DF2" i="22" s="1"/>
  <c r="DE6" i="22"/>
  <c r="DF6" i="22" s="1"/>
  <c r="DE19" i="22"/>
  <c r="DF19" i="22" s="1"/>
  <c r="DE73" i="22"/>
  <c r="DF73" i="22" s="1"/>
  <c r="EJ77" i="22"/>
  <c r="EJ59" i="22"/>
  <c r="DE20" i="22"/>
  <c r="DF20" i="22" s="1"/>
  <c r="DL90" i="22"/>
  <c r="EJ90" i="22" s="1"/>
  <c r="EK90" i="22" s="1"/>
  <c r="EJ82" i="22"/>
  <c r="DE77" i="22"/>
  <c r="DF77" i="22" s="1"/>
  <c r="DL62" i="22"/>
  <c r="EJ62" i="22" s="1"/>
  <c r="EK62" i="22" s="1"/>
  <c r="DE86" i="22"/>
  <c r="DF86" i="22" s="1"/>
  <c r="DE60" i="22"/>
  <c r="DF60" i="22" s="1"/>
  <c r="DE14" i="22"/>
  <c r="DF14" i="22" s="1"/>
  <c r="EJ13" i="22"/>
  <c r="EK13" i="22" s="1"/>
  <c r="DL53" i="22"/>
  <c r="EJ53" i="22" s="1"/>
  <c r="EK53" i="22" s="1"/>
  <c r="DL35" i="22"/>
  <c r="EJ35" i="22" s="1"/>
  <c r="EK35" i="22" s="1"/>
  <c r="DE83" i="22"/>
  <c r="DF83" i="22" s="1"/>
  <c r="DE46" i="22"/>
  <c r="DF46" i="22" s="1"/>
  <c r="DL93" i="22"/>
  <c r="EJ93" i="22" s="1"/>
  <c r="EK93" i="22" s="1"/>
  <c r="DE32" i="22"/>
  <c r="DF32" i="22" s="1"/>
  <c r="EJ33" i="22"/>
  <c r="EK33" i="22" s="1"/>
  <c r="EN7" i="22"/>
  <c r="EM7" i="22"/>
  <c r="EL7" i="22"/>
  <c r="DL81" i="22"/>
  <c r="DE37" i="22"/>
  <c r="DF37" i="22" s="1"/>
  <c r="DL52" i="22"/>
  <c r="EJ52" i="22" s="1"/>
  <c r="EK52" i="22" s="1"/>
  <c r="DE62" i="22"/>
  <c r="DF62" i="22" s="1"/>
  <c r="DJ57" i="22"/>
  <c r="DL8" i="22"/>
  <c r="EJ8" i="22" s="1"/>
  <c r="EK8" i="22" s="1"/>
  <c r="DE30" i="22"/>
  <c r="DF30" i="22" s="1"/>
  <c r="DE50" i="22"/>
  <c r="DF50" i="22" s="1"/>
  <c r="DL49" i="22"/>
  <c r="EJ49" i="22" s="1"/>
  <c r="EK49" i="22" s="1"/>
  <c r="DL99" i="22"/>
  <c r="EJ99" i="22" s="1"/>
  <c r="EK99" i="22" s="1"/>
  <c r="EJ3" i="22"/>
  <c r="DE44" i="22"/>
  <c r="DF44" i="22" s="1"/>
  <c r="DL19" i="22"/>
  <c r="EJ19" i="22" s="1"/>
  <c r="EK19" i="22" s="1"/>
  <c r="DQ22" i="22"/>
  <c r="DR22" i="22" s="1"/>
  <c r="DQ61" i="22"/>
  <c r="DR61" i="22" s="1"/>
  <c r="DE66" i="22"/>
  <c r="DF66" i="22" s="1"/>
  <c r="DL88" i="22"/>
  <c r="EJ88" i="22" s="1"/>
  <c r="EK88" i="22" s="1"/>
  <c r="DE3" i="22"/>
  <c r="DF3" i="22" s="1"/>
  <c r="EJ70" i="22"/>
  <c r="EK70" i="22" s="1"/>
  <c r="DE70" i="22"/>
  <c r="DF70" i="22" s="1"/>
  <c r="DE65" i="22"/>
  <c r="DF65" i="22" s="1"/>
  <c r="EJ86" i="22"/>
  <c r="EK86" i="22" s="1"/>
  <c r="DL61" i="22"/>
  <c r="DL23" i="22"/>
  <c r="EJ23" i="22" s="1"/>
  <c r="EK23" i="22" s="1"/>
  <c r="DL80" i="22"/>
  <c r="EJ80" i="22" s="1"/>
  <c r="EK80" i="22" s="1"/>
  <c r="GA36" i="21"/>
  <c r="GA13" i="21"/>
  <c r="FZ33" i="21"/>
  <c r="EN12" i="21"/>
  <c r="EO12" i="21" s="1"/>
  <c r="EN76" i="21"/>
  <c r="EO76" i="21" s="1"/>
  <c r="GC36" i="21"/>
  <c r="GD36" i="21"/>
  <c r="GB36" i="21"/>
  <c r="FY88" i="21"/>
  <c r="FZ88" i="21" s="1"/>
  <c r="GD13" i="21"/>
  <c r="GC13" i="21"/>
  <c r="GB13" i="21"/>
  <c r="EN89" i="21"/>
  <c r="EO89" i="21" s="1"/>
  <c r="EN70" i="21"/>
  <c r="EO70" i="21" s="1"/>
  <c r="GA70" i="21" s="1"/>
  <c r="FZ44" i="21"/>
  <c r="EX98" i="21"/>
  <c r="FY23" i="21"/>
  <c r="FZ23" i="21" s="1"/>
  <c r="FW51" i="21"/>
  <c r="FY51" i="21" s="1"/>
  <c r="FZ51" i="21" s="1"/>
  <c r="GA51" i="21" s="1"/>
  <c r="FX37" i="21"/>
  <c r="FY37" i="21" s="1"/>
  <c r="FZ37" i="21" s="1"/>
  <c r="EX56" i="21"/>
  <c r="FV2" i="21"/>
  <c r="EX15" i="21"/>
  <c r="FW75" i="21"/>
  <c r="CY21" i="21"/>
  <c r="CX21" i="21"/>
  <c r="CX85" i="21"/>
  <c r="CY85" i="21"/>
  <c r="CP15" i="21"/>
  <c r="CQ15" i="21"/>
  <c r="EW15" i="21"/>
  <c r="EZ15" i="21" s="1"/>
  <c r="FA15" i="21" s="1"/>
  <c r="CR15" i="21"/>
  <c r="FY32" i="21"/>
  <c r="FZ32" i="21" s="1"/>
  <c r="FX63" i="21"/>
  <c r="FY63" i="21" s="1"/>
  <c r="FZ63" i="21" s="1"/>
  <c r="FY69" i="21"/>
  <c r="EX11" i="21"/>
  <c r="FW35" i="21"/>
  <c r="EX31" i="21"/>
  <c r="FW4" i="21"/>
  <c r="FY4" i="21" s="1"/>
  <c r="FW72" i="21"/>
  <c r="EX4" i="21"/>
  <c r="CR71" i="21"/>
  <c r="CQ71" i="21"/>
  <c r="CP71" i="21"/>
  <c r="EW71" i="21"/>
  <c r="EZ71" i="21" s="1"/>
  <c r="FA71" i="21" s="1"/>
  <c r="FZ71" i="21" s="1"/>
  <c r="EX84" i="21"/>
  <c r="CR39" i="21"/>
  <c r="CQ39" i="21"/>
  <c r="CP39" i="21"/>
  <c r="EW39" i="21"/>
  <c r="FW82" i="21"/>
  <c r="FY82" i="21" s="1"/>
  <c r="FZ82" i="21" s="1"/>
  <c r="FV11" i="21"/>
  <c r="FY11" i="21" s="1"/>
  <c r="FZ11" i="21" s="1"/>
  <c r="EZ96" i="21"/>
  <c r="FA96" i="21" s="1"/>
  <c r="EN19" i="21"/>
  <c r="EO19" i="21" s="1"/>
  <c r="EX40" i="21"/>
  <c r="EX100" i="21"/>
  <c r="CR31" i="21"/>
  <c r="CQ31" i="21"/>
  <c r="CP31" i="21"/>
  <c r="FW61" i="21"/>
  <c r="FV76" i="21"/>
  <c r="FW68" i="21"/>
  <c r="CP61" i="21"/>
  <c r="CR61" i="21"/>
  <c r="CQ61" i="21"/>
  <c r="EW61" i="21"/>
  <c r="EZ61" i="21" s="1"/>
  <c r="FA61" i="21" s="1"/>
  <c r="EX66" i="21"/>
  <c r="EZ66" i="21" s="1"/>
  <c r="FA66" i="21" s="1"/>
  <c r="CP49" i="21"/>
  <c r="CR49" i="21"/>
  <c r="CQ49" i="21"/>
  <c r="EW49" i="21"/>
  <c r="EZ49" i="21" s="1"/>
  <c r="FA49" i="21" s="1"/>
  <c r="FZ49" i="21" s="1"/>
  <c r="CP84" i="21"/>
  <c r="CR84" i="21"/>
  <c r="CQ84" i="21"/>
  <c r="EW84" i="21"/>
  <c r="EZ84" i="21" s="1"/>
  <c r="FA84" i="21" s="1"/>
  <c r="CP11" i="21"/>
  <c r="EW11" i="21"/>
  <c r="EZ11" i="21" s="1"/>
  <c r="FA11" i="21" s="1"/>
  <c r="CR11" i="21"/>
  <c r="CQ11" i="21"/>
  <c r="FW11" i="21"/>
  <c r="CP81" i="21"/>
  <c r="EW81" i="21"/>
  <c r="EZ81" i="21" s="1"/>
  <c r="FA81" i="21" s="1"/>
  <c r="CQ81" i="21"/>
  <c r="CR81" i="21"/>
  <c r="CX96" i="21"/>
  <c r="CY96" i="21"/>
  <c r="CY66" i="21"/>
  <c r="CX66" i="21"/>
  <c r="FY25" i="21"/>
  <c r="FZ25" i="21" s="1"/>
  <c r="EX69" i="21"/>
  <c r="CY18" i="21"/>
  <c r="CX18" i="21"/>
  <c r="EW18" i="21"/>
  <c r="EZ18" i="21" s="1"/>
  <c r="FA18" i="21" s="1"/>
  <c r="EX88" i="21"/>
  <c r="EZ88" i="21" s="1"/>
  <c r="FA88" i="21" s="1"/>
  <c r="CX87" i="21"/>
  <c r="CY87" i="21"/>
  <c r="EN66" i="21"/>
  <c r="EO66" i="21" s="1"/>
  <c r="GA27" i="21"/>
  <c r="FW15" i="21"/>
  <c r="FY15" i="21" s="1"/>
  <c r="FZ15" i="21" s="1"/>
  <c r="CY58" i="21"/>
  <c r="CX58" i="21"/>
  <c r="EN58" i="21" s="1"/>
  <c r="EO58" i="21" s="1"/>
  <c r="GA58" i="21" s="1"/>
  <c r="CP35" i="21"/>
  <c r="CQ35" i="21"/>
  <c r="CR35" i="21"/>
  <c r="EW35" i="21"/>
  <c r="EZ35" i="21" s="1"/>
  <c r="FA35" i="21" s="1"/>
  <c r="EX77" i="21"/>
  <c r="EX53" i="21"/>
  <c r="EX35" i="21"/>
  <c r="CP53" i="21"/>
  <c r="CQ53" i="21"/>
  <c r="CR53" i="21"/>
  <c r="EW53" i="21"/>
  <c r="EZ53" i="21" s="1"/>
  <c r="FA53" i="21" s="1"/>
  <c r="FY40" i="21"/>
  <c r="EX93" i="21"/>
  <c r="FV96" i="21"/>
  <c r="FX18" i="21"/>
  <c r="FY18" i="21" s="1"/>
  <c r="FZ18" i="21" s="1"/>
  <c r="EN18" i="21"/>
  <c r="EO18" i="21" s="1"/>
  <c r="CR50" i="21"/>
  <c r="CQ50" i="21"/>
  <c r="CP50" i="21"/>
  <c r="EW50" i="21"/>
  <c r="EZ50" i="21" s="1"/>
  <c r="FA50" i="21" s="1"/>
  <c r="CX92" i="21"/>
  <c r="CY92" i="21"/>
  <c r="EX81" i="21"/>
  <c r="EX6" i="21"/>
  <c r="CQ74" i="21"/>
  <c r="CP74" i="21"/>
  <c r="EW74" i="21" s="1"/>
  <c r="EZ74" i="21" s="1"/>
  <c r="FA74" i="21" s="1"/>
  <c r="FZ74" i="21" s="1"/>
  <c r="CR74" i="21"/>
  <c r="CY63" i="21"/>
  <c r="CX63" i="21"/>
  <c r="EN21" i="21"/>
  <c r="EO21" i="21" s="1"/>
  <c r="FW21" i="21"/>
  <c r="FY45" i="21"/>
  <c r="FX34" i="21"/>
  <c r="FY34" i="21" s="1"/>
  <c r="FZ34" i="21" s="1"/>
  <c r="EN34" i="21"/>
  <c r="EO34" i="21" s="1"/>
  <c r="CY94" i="21"/>
  <c r="CX94" i="21"/>
  <c r="EN94" i="21" s="1"/>
  <c r="EO94" i="21" s="1"/>
  <c r="FY62" i="21"/>
  <c r="FY55" i="21"/>
  <c r="FZ55" i="21" s="1"/>
  <c r="EX41" i="21"/>
  <c r="EZ41" i="21" s="1"/>
  <c r="FA41" i="21" s="1"/>
  <c r="FZ41" i="21" s="1"/>
  <c r="CX89" i="21"/>
  <c r="CY89" i="21"/>
  <c r="EW89" i="21"/>
  <c r="EZ89" i="21" s="1"/>
  <c r="FA89" i="21" s="1"/>
  <c r="CP60" i="21"/>
  <c r="CQ60" i="21"/>
  <c r="CR60" i="21"/>
  <c r="EW60" i="21"/>
  <c r="EZ60" i="21" s="1"/>
  <c r="FA60" i="21" s="1"/>
  <c r="FY94" i="21"/>
  <c r="FZ94" i="21" s="1"/>
  <c r="FW54" i="21"/>
  <c r="FY54" i="21" s="1"/>
  <c r="FZ54" i="21" s="1"/>
  <c r="FW56" i="21"/>
  <c r="FY56" i="21" s="1"/>
  <c r="FZ56" i="21" s="1"/>
  <c r="FY90" i="21"/>
  <c r="CX5" i="21"/>
  <c r="CY5" i="21"/>
  <c r="CX93" i="21"/>
  <c r="EN93" i="21" s="1"/>
  <c r="EO93" i="21" s="1"/>
  <c r="CY93" i="21"/>
  <c r="FW25" i="21"/>
  <c r="EZ51" i="21"/>
  <c r="FA51" i="21" s="1"/>
  <c r="CP97" i="21"/>
  <c r="CR97" i="21"/>
  <c r="CQ97" i="21"/>
  <c r="EW97" i="21"/>
  <c r="CR57" i="21"/>
  <c r="CQ57" i="21"/>
  <c r="CP57" i="21"/>
  <c r="EW57" i="21"/>
  <c r="EZ57" i="21" s="1"/>
  <c r="FA57" i="21" s="1"/>
  <c r="FZ57" i="21" s="1"/>
  <c r="CY47" i="21"/>
  <c r="CX47" i="21"/>
  <c r="FZ16" i="21"/>
  <c r="FW43" i="21"/>
  <c r="FY43" i="21" s="1"/>
  <c r="FZ43" i="21" s="1"/>
  <c r="EX39" i="21"/>
  <c r="EX73" i="21"/>
  <c r="EZ73" i="21" s="1"/>
  <c r="FA73" i="21" s="1"/>
  <c r="EX50" i="21"/>
  <c r="FZ79" i="21"/>
  <c r="CR69" i="21"/>
  <c r="CQ69" i="21"/>
  <c r="CP69" i="21"/>
  <c r="EW69" i="21"/>
  <c r="EZ69" i="21" s="1"/>
  <c r="FA69" i="21" s="1"/>
  <c r="EN32" i="21"/>
  <c r="EO32" i="21" s="1"/>
  <c r="FW46" i="21"/>
  <c r="EN47" i="21"/>
  <c r="EO47" i="21" s="1"/>
  <c r="FW96" i="21"/>
  <c r="EX65" i="21"/>
  <c r="EX92" i="21"/>
  <c r="EX55" i="21"/>
  <c r="FY28" i="21"/>
  <c r="FZ28" i="21" s="1"/>
  <c r="GA28" i="21" s="1"/>
  <c r="CR72" i="21"/>
  <c r="CP72" i="21"/>
  <c r="EW72" i="21"/>
  <c r="CQ72" i="21"/>
  <c r="CP100" i="21"/>
  <c r="CR100" i="21"/>
  <c r="CQ100" i="21"/>
  <c r="EW100" i="21"/>
  <c r="EZ100" i="21" s="1"/>
  <c r="FA100" i="21" s="1"/>
  <c r="FY26" i="21"/>
  <c r="FW45" i="21"/>
  <c r="FW77" i="21"/>
  <c r="EZ38" i="21"/>
  <c r="FA38" i="21" s="1"/>
  <c r="FZ38" i="21" s="1"/>
  <c r="FY12" i="21"/>
  <c r="FX26" i="21"/>
  <c r="EN26" i="21"/>
  <c r="EO26" i="21" s="1"/>
  <c r="EX19" i="21"/>
  <c r="EZ19" i="21" s="1"/>
  <c r="FA19" i="21" s="1"/>
  <c r="FZ19" i="21" s="1"/>
  <c r="FY9" i="21"/>
  <c r="FZ9" i="21" s="1"/>
  <c r="GA9" i="21" s="1"/>
  <c r="FY77" i="21"/>
  <c r="EZ44" i="21"/>
  <c r="FA44" i="21" s="1"/>
  <c r="EX3" i="21"/>
  <c r="CQ37" i="21"/>
  <c r="CP37" i="21"/>
  <c r="EW37" i="21"/>
  <c r="EZ37" i="21" s="1"/>
  <c r="FA37" i="21" s="1"/>
  <c r="CR37" i="21"/>
  <c r="FX94" i="21"/>
  <c r="EZ21" i="21"/>
  <c r="FA21" i="21" s="1"/>
  <c r="EN75" i="21"/>
  <c r="EO75" i="21" s="1"/>
  <c r="EX96" i="21"/>
  <c r="FX59" i="21"/>
  <c r="FY59" i="21" s="1"/>
  <c r="FZ59" i="21" s="1"/>
  <c r="FY35" i="21"/>
  <c r="FY72" i="21"/>
  <c r="FY61" i="21"/>
  <c r="FZ61" i="21" s="1"/>
  <c r="CY17" i="21"/>
  <c r="CX17" i="21"/>
  <c r="EN17" i="21" s="1"/>
  <c r="EO17" i="21" s="1"/>
  <c r="EW63" i="21"/>
  <c r="EZ63" i="21" s="1"/>
  <c r="FA63" i="21" s="1"/>
  <c r="FX101" i="21"/>
  <c r="FY101" i="21" s="1"/>
  <c r="FZ101" i="21" s="1"/>
  <c r="FX100" i="21"/>
  <c r="EX16" i="21"/>
  <c r="EX78" i="21"/>
  <c r="EX25" i="21"/>
  <c r="CY68" i="21"/>
  <c r="CX68" i="21"/>
  <c r="EN68" i="21" s="1"/>
  <c r="EO68" i="21" s="1"/>
  <c r="EW68" i="21"/>
  <c r="CP86" i="21"/>
  <c r="EW86" i="21"/>
  <c r="EZ86" i="21" s="1"/>
  <c r="FA86" i="21" s="1"/>
  <c r="CR86" i="21"/>
  <c r="CQ86" i="21"/>
  <c r="FX86" i="21"/>
  <c r="FY86" i="21" s="1"/>
  <c r="FZ86" i="21" s="1"/>
  <c r="CX76" i="21"/>
  <c r="EW76" i="21"/>
  <c r="EZ76" i="21" s="1"/>
  <c r="FA76" i="21" s="1"/>
  <c r="CY76" i="21"/>
  <c r="EZ83" i="21"/>
  <c r="FA83" i="21" s="1"/>
  <c r="CY44" i="21"/>
  <c r="CX44" i="21"/>
  <c r="EN44" i="21" s="1"/>
  <c r="EO44" i="21" s="1"/>
  <c r="CR62" i="21"/>
  <c r="CQ62" i="21"/>
  <c r="CP62" i="21"/>
  <c r="EW62" i="21"/>
  <c r="EX91" i="21"/>
  <c r="CP22" i="21"/>
  <c r="EW22" i="21"/>
  <c r="EZ22" i="21" s="1"/>
  <c r="FA22" i="21" s="1"/>
  <c r="CR22" i="21"/>
  <c r="CQ22" i="21"/>
  <c r="CR52" i="21"/>
  <c r="CQ52" i="21"/>
  <c r="CP52" i="21"/>
  <c r="EW52" i="21" s="1"/>
  <c r="EZ52" i="21" s="1"/>
  <c r="FA52" i="21" s="1"/>
  <c r="FZ52" i="21" s="1"/>
  <c r="EN42" i="21"/>
  <c r="EO42" i="21" s="1"/>
  <c r="EX42" i="21"/>
  <c r="EZ42" i="21" s="1"/>
  <c r="FA42" i="21" s="1"/>
  <c r="FW2" i="21"/>
  <c r="CP77" i="21"/>
  <c r="CR77" i="21"/>
  <c r="EW77" i="21"/>
  <c r="CQ77" i="21"/>
  <c r="EX43" i="21"/>
  <c r="EN101" i="21"/>
  <c r="EO101" i="21" s="1"/>
  <c r="EX101" i="21"/>
  <c r="EZ101" i="21" s="1"/>
  <c r="FA101" i="21" s="1"/>
  <c r="CY51" i="21"/>
  <c r="CX51" i="21"/>
  <c r="EN51" i="21" s="1"/>
  <c r="EO51" i="21" s="1"/>
  <c r="FW14" i="21"/>
  <c r="FY14" i="21" s="1"/>
  <c r="FZ14" i="21" s="1"/>
  <c r="EN14" i="21"/>
  <c r="EO14" i="21" s="1"/>
  <c r="EX67" i="21"/>
  <c r="EZ67" i="21" s="1"/>
  <c r="FA67" i="21" s="1"/>
  <c r="CY79" i="21"/>
  <c r="CX79" i="21"/>
  <c r="CQ2" i="21"/>
  <c r="CP2" i="21"/>
  <c r="EW2" i="21" s="1"/>
  <c r="EZ2" i="21" s="1"/>
  <c r="FA2" i="21" s="1"/>
  <c r="CR2" i="21"/>
  <c r="FX88" i="21"/>
  <c r="EN88" i="21"/>
  <c r="EO88" i="21" s="1"/>
  <c r="FY68" i="21"/>
  <c r="EX87" i="21"/>
  <c r="EZ87" i="21" s="1"/>
  <c r="FA87" i="21" s="1"/>
  <c r="CQ55" i="21"/>
  <c r="CP55" i="21"/>
  <c r="EW55" i="21"/>
  <c r="EZ55" i="21" s="1"/>
  <c r="FA55" i="21" s="1"/>
  <c r="CR55" i="21"/>
  <c r="EX68" i="21"/>
  <c r="EN82" i="21"/>
  <c r="EO82" i="21" s="1"/>
  <c r="EX82" i="21"/>
  <c r="EZ82" i="21" s="1"/>
  <c r="FA82" i="21" s="1"/>
  <c r="EX28" i="21"/>
  <c r="EZ28" i="21" s="1"/>
  <c r="FA28" i="21" s="1"/>
  <c r="FW20" i="21"/>
  <c r="CP20" i="21"/>
  <c r="EW20" i="21" s="1"/>
  <c r="EZ20" i="21" s="1"/>
  <c r="FA20" i="21" s="1"/>
  <c r="CQ20" i="21"/>
  <c r="CR20" i="21"/>
  <c r="CP16" i="21"/>
  <c r="CR16" i="21"/>
  <c r="CQ16" i="21"/>
  <c r="EW16" i="21"/>
  <c r="EZ16" i="21" s="1"/>
  <c r="FA16" i="21" s="1"/>
  <c r="CR78" i="21"/>
  <c r="CQ78" i="21"/>
  <c r="CP78" i="21"/>
  <c r="EW78" i="21"/>
  <c r="EZ78" i="21" s="1"/>
  <c r="FA78" i="21" s="1"/>
  <c r="FZ78" i="21" s="1"/>
  <c r="CP25" i="21"/>
  <c r="CQ25" i="21"/>
  <c r="CR25" i="21"/>
  <c r="EW25" i="21"/>
  <c r="EZ25" i="21" s="1"/>
  <c r="FA25" i="21" s="1"/>
  <c r="EX46" i="21"/>
  <c r="EZ46" i="21" s="1"/>
  <c r="FA46" i="21" s="1"/>
  <c r="EZ95" i="21"/>
  <c r="FA95" i="21" s="1"/>
  <c r="FV60" i="21"/>
  <c r="EX8" i="21"/>
  <c r="CX65" i="21"/>
  <c r="EN65" i="21" s="1"/>
  <c r="EO65" i="21" s="1"/>
  <c r="CY65" i="21"/>
  <c r="EW65" i="21"/>
  <c r="EZ65" i="21" s="1"/>
  <c r="FA65" i="21" s="1"/>
  <c r="FZ65" i="21" s="1"/>
  <c r="CX33" i="21"/>
  <c r="CY33" i="21"/>
  <c r="EX90" i="21"/>
  <c r="CP45" i="21"/>
  <c r="EW45" i="21"/>
  <c r="CR45" i="21"/>
  <c r="CQ45" i="21"/>
  <c r="CX83" i="21"/>
  <c r="EN83" i="21" s="1"/>
  <c r="EO83" i="21" s="1"/>
  <c r="CY83" i="21"/>
  <c r="CX38" i="21"/>
  <c r="CY38" i="21"/>
  <c r="CR10" i="21"/>
  <c r="CQ10" i="21"/>
  <c r="CP10" i="21"/>
  <c r="EW10" i="21" s="1"/>
  <c r="EZ10" i="21" s="1"/>
  <c r="FA10" i="21" s="1"/>
  <c r="FW53" i="21"/>
  <c r="EX17" i="21"/>
  <c r="CX70" i="21"/>
  <c r="CY70" i="21"/>
  <c r="CP43" i="21"/>
  <c r="EW43" i="21"/>
  <c r="EZ43" i="21" s="1"/>
  <c r="FA43" i="21" s="1"/>
  <c r="CQ43" i="21"/>
  <c r="CR43" i="21"/>
  <c r="EX97" i="21"/>
  <c r="EZ47" i="21"/>
  <c r="FA47" i="21" s="1"/>
  <c r="FZ47" i="21" s="1"/>
  <c r="EW93" i="21"/>
  <c r="EZ93" i="21" s="1"/>
  <c r="FA93" i="21" s="1"/>
  <c r="FZ93" i="21" s="1"/>
  <c r="CY75" i="21"/>
  <c r="CX75" i="21"/>
  <c r="FW40" i="21"/>
  <c r="FV46" i="21"/>
  <c r="EX49" i="21"/>
  <c r="EZ92" i="21"/>
  <c r="FA92" i="21" s="1"/>
  <c r="FZ92" i="21" s="1"/>
  <c r="FW6" i="21"/>
  <c r="FY6" i="21" s="1"/>
  <c r="FZ6" i="21" s="1"/>
  <c r="FV20" i="21"/>
  <c r="FY20" i="21" s="1"/>
  <c r="EX20" i="21"/>
  <c r="CX46" i="21"/>
  <c r="EN46" i="21" s="1"/>
  <c r="EO46" i="21" s="1"/>
  <c r="CY46" i="21"/>
  <c r="GA99" i="21"/>
  <c r="EX24" i="21"/>
  <c r="FW60" i="21"/>
  <c r="CP8" i="21"/>
  <c r="EW8" i="21" s="1"/>
  <c r="EZ8" i="21" s="1"/>
  <c r="FA8" i="21" s="1"/>
  <c r="FZ8" i="21" s="1"/>
  <c r="CQ8" i="21"/>
  <c r="CR8" i="21"/>
  <c r="EW33" i="21"/>
  <c r="EZ33" i="21" s="1"/>
  <c r="FA33" i="21" s="1"/>
  <c r="FW29" i="21"/>
  <c r="EN29" i="21"/>
  <c r="EO29" i="21" s="1"/>
  <c r="CR90" i="21"/>
  <c r="CP90" i="21"/>
  <c r="EW90" i="21" s="1"/>
  <c r="EZ90" i="21" s="1"/>
  <c r="FA90" i="21" s="1"/>
  <c r="CQ90" i="21"/>
  <c r="FY87" i="21"/>
  <c r="EX45" i="21"/>
  <c r="FV95" i="21"/>
  <c r="EW17" i="21"/>
  <c r="EZ17" i="21" s="1"/>
  <c r="FA17" i="21" s="1"/>
  <c r="FZ17" i="21" s="1"/>
  <c r="CY7" i="21"/>
  <c r="CX7" i="21"/>
  <c r="EN7" i="21" s="1"/>
  <c r="EO7" i="21" s="1"/>
  <c r="FV31" i="21"/>
  <c r="CX12" i="21"/>
  <c r="CY12" i="21"/>
  <c r="EW12" i="21"/>
  <c r="EZ12" i="21" s="1"/>
  <c r="FA12" i="21" s="1"/>
  <c r="FY42" i="21"/>
  <c r="FZ42" i="21" s="1"/>
  <c r="FY75" i="21"/>
  <c r="FZ48" i="21"/>
  <c r="FX22" i="21"/>
  <c r="FY22" i="21" s="1"/>
  <c r="FZ22" i="21" s="1"/>
  <c r="EX57" i="21"/>
  <c r="EZ14" i="21"/>
  <c r="FA14" i="21" s="1"/>
  <c r="FZ81" i="21"/>
  <c r="FW83" i="21"/>
  <c r="FY83" i="21" s="1"/>
  <c r="FZ83" i="21" s="1"/>
  <c r="FW39" i="21"/>
  <c r="FY39" i="21" s="1"/>
  <c r="CQ40" i="21"/>
  <c r="CP40" i="21"/>
  <c r="EW40" i="21"/>
  <c r="CR40" i="21"/>
  <c r="FX73" i="21"/>
  <c r="FY73" i="21" s="1"/>
  <c r="FZ73" i="21" s="1"/>
  <c r="EN73" i="21"/>
  <c r="EO73" i="21" s="1"/>
  <c r="CR4" i="21"/>
  <c r="CP4" i="21"/>
  <c r="EW4" i="21" s="1"/>
  <c r="EZ4" i="21" s="1"/>
  <c r="FA4" i="21" s="1"/>
  <c r="CQ4" i="21"/>
  <c r="FY100" i="21"/>
  <c r="EX72" i="21"/>
  <c r="EN54" i="21"/>
  <c r="EO54" i="21" s="1"/>
  <c r="EX54" i="21"/>
  <c r="EZ54" i="21" s="1"/>
  <c r="FA54" i="21" s="1"/>
  <c r="FY50" i="21"/>
  <c r="CQ24" i="21"/>
  <c r="CR24" i="21"/>
  <c r="CP24" i="21"/>
  <c r="EW24" i="21"/>
  <c r="FV66" i="21"/>
  <c r="EN41" i="21"/>
  <c r="EO41" i="21" s="1"/>
  <c r="FV29" i="21"/>
  <c r="FY29" i="21" s="1"/>
  <c r="FZ29" i="21" s="1"/>
  <c r="FX87" i="21"/>
  <c r="EN87" i="21"/>
  <c r="EO87" i="21" s="1"/>
  <c r="CX30" i="21"/>
  <c r="CY30" i="21"/>
  <c r="FW84" i="21"/>
  <c r="FY84" i="21" s="1"/>
  <c r="FZ84" i="21" s="1"/>
  <c r="FW98" i="21"/>
  <c r="FY98" i="21" s="1"/>
  <c r="EX75" i="21"/>
  <c r="EZ75" i="21" s="1"/>
  <c r="FA75" i="21" s="1"/>
  <c r="FW95" i="21"/>
  <c r="EN95" i="21"/>
  <c r="EO95" i="21" s="1"/>
  <c r="EZ48" i="21"/>
  <c r="FA48" i="21" s="1"/>
  <c r="EX9" i="21"/>
  <c r="EZ9" i="21" s="1"/>
  <c r="FA9" i="21" s="1"/>
  <c r="EX22" i="21"/>
  <c r="CY80" i="21"/>
  <c r="CX80" i="21"/>
  <c r="CR98" i="21"/>
  <c r="CQ98" i="21"/>
  <c r="CP98" i="21"/>
  <c r="EW98" i="21"/>
  <c r="FW89" i="21"/>
  <c r="FY89" i="21" s="1"/>
  <c r="FZ89" i="21" s="1"/>
  <c r="CQ3" i="21"/>
  <c r="CP3" i="21"/>
  <c r="CR3" i="21"/>
  <c r="EW3" i="21"/>
  <c r="EZ3" i="21" s="1"/>
  <c r="FA3" i="21" s="1"/>
  <c r="FZ3" i="21" s="1"/>
  <c r="CQ91" i="21"/>
  <c r="CR91" i="21"/>
  <c r="CP91" i="21"/>
  <c r="FW90" i="21"/>
  <c r="FW31" i="21"/>
  <c r="CX64" i="21"/>
  <c r="CY64" i="21"/>
  <c r="CP56" i="21"/>
  <c r="CR56" i="21"/>
  <c r="CQ56" i="21"/>
  <c r="EW56" i="21"/>
  <c r="EZ56" i="21" s="1"/>
  <c r="FA56" i="21" s="1"/>
  <c r="EX7" i="21"/>
  <c r="FW67" i="21"/>
  <c r="FY67" i="21" s="1"/>
  <c r="FZ67" i="21" s="1"/>
  <c r="EN67" i="21"/>
  <c r="EO67" i="21" s="1"/>
  <c r="EX26" i="21"/>
  <c r="EZ26" i="21" s="1"/>
  <c r="FA26" i="21" s="1"/>
  <c r="FW10" i="21"/>
  <c r="FY10" i="21" s="1"/>
  <c r="FZ10" i="21" s="1"/>
  <c r="EX2" i="21"/>
  <c r="CY26" i="21"/>
  <c r="CX26" i="21"/>
  <c r="FW76" i="21"/>
  <c r="EX61" i="21"/>
  <c r="FV21" i="21"/>
  <c r="CQ6" i="21"/>
  <c r="CP6" i="21"/>
  <c r="EW6" i="21"/>
  <c r="EZ6" i="21" s="1"/>
  <c r="FA6" i="21" s="1"/>
  <c r="CR6" i="21"/>
  <c r="EW7" i="21"/>
  <c r="EZ7" i="21" s="1"/>
  <c r="FA7" i="21" s="1"/>
  <c r="FZ7" i="21" s="1"/>
  <c r="EX10" i="21"/>
  <c r="FW62" i="21"/>
  <c r="FW50" i="21"/>
  <c r="EX74" i="21"/>
  <c r="FW66" i="21"/>
  <c r="EX60" i="21"/>
  <c r="FX55" i="21"/>
  <c r="EX62" i="21"/>
  <c r="CP59" i="21"/>
  <c r="EW59" i="21"/>
  <c r="EZ59" i="21" s="1"/>
  <c r="FA59" i="21" s="1"/>
  <c r="CQ59" i="21"/>
  <c r="CR59" i="21"/>
  <c r="FV53" i="21"/>
  <c r="FY53" i="21" s="1"/>
  <c r="FZ53" i="21" s="1"/>
  <c r="EN23" i="21"/>
  <c r="EO23" i="21" s="1"/>
  <c r="FW23" i="21"/>
  <c r="EX37" i="21"/>
  <c r="CX48" i="21"/>
  <c r="CY48" i="21"/>
  <c r="EX83" i="21"/>
  <c r="EZ33" i="20"/>
  <c r="FA33" i="20" s="1"/>
  <c r="CP20" i="20"/>
  <c r="EW20" i="20"/>
  <c r="EZ20" i="20" s="1"/>
  <c r="FA20" i="20" s="1"/>
  <c r="CQ20" i="20"/>
  <c r="CR20" i="20"/>
  <c r="FW45" i="20"/>
  <c r="CP96" i="20"/>
  <c r="EW96" i="20" s="1"/>
  <c r="EZ96" i="20" s="1"/>
  <c r="FA96" i="20" s="1"/>
  <c r="CR96" i="20"/>
  <c r="CQ96" i="20"/>
  <c r="FW15" i="20"/>
  <c r="CP31" i="20"/>
  <c r="CR31" i="20"/>
  <c r="CQ31" i="20"/>
  <c r="EW31" i="20"/>
  <c r="EZ31" i="20" s="1"/>
  <c r="FA31" i="20" s="1"/>
  <c r="FW26" i="20"/>
  <c r="CR37" i="20"/>
  <c r="CQ37" i="20"/>
  <c r="CP37" i="20"/>
  <c r="EW37" i="20"/>
  <c r="EZ37" i="20" s="1"/>
  <c r="FA37" i="20" s="1"/>
  <c r="EZ95" i="20"/>
  <c r="FA95" i="20" s="1"/>
  <c r="CX25" i="20"/>
  <c r="CY25" i="20"/>
  <c r="FW82" i="20"/>
  <c r="FY82" i="20" s="1"/>
  <c r="FW33" i="20"/>
  <c r="FY33" i="20" s="1"/>
  <c r="FW83" i="20"/>
  <c r="EX87" i="20"/>
  <c r="CP6" i="20"/>
  <c r="CR6" i="20"/>
  <c r="CQ6" i="20"/>
  <c r="EW6" i="20"/>
  <c r="EZ6" i="20" s="1"/>
  <c r="FA6" i="20" s="1"/>
  <c r="FW67" i="20"/>
  <c r="FY67" i="20" s="1"/>
  <c r="FX56" i="20"/>
  <c r="FW94" i="20"/>
  <c r="FY94" i="20" s="1"/>
  <c r="FV41" i="20"/>
  <c r="CP54" i="20"/>
  <c r="CR54" i="20"/>
  <c r="CQ54" i="20"/>
  <c r="EW54" i="20"/>
  <c r="EZ54" i="20" s="1"/>
  <c r="FA54" i="20" s="1"/>
  <c r="CX59" i="20"/>
  <c r="CY59" i="20"/>
  <c r="FW58" i="20"/>
  <c r="FY58" i="20" s="1"/>
  <c r="EW25" i="20"/>
  <c r="EZ25" i="20" s="1"/>
  <c r="FA25" i="20" s="1"/>
  <c r="FW75" i="20"/>
  <c r="FY75" i="20" s="1"/>
  <c r="FX91" i="20"/>
  <c r="FY91" i="20" s="1"/>
  <c r="EX52" i="20"/>
  <c r="EX64" i="20"/>
  <c r="EZ64" i="20" s="1"/>
  <c r="FA64" i="20" s="1"/>
  <c r="CY13" i="20"/>
  <c r="CX13" i="20"/>
  <c r="CP73" i="20"/>
  <c r="EW73" i="20"/>
  <c r="CQ73" i="20"/>
  <c r="CR73" i="20"/>
  <c r="FV5" i="20"/>
  <c r="FW87" i="20"/>
  <c r="FY87" i="20" s="1"/>
  <c r="CY22" i="20"/>
  <c r="CX22" i="20"/>
  <c r="FY56" i="20"/>
  <c r="CP29" i="20"/>
  <c r="CR29" i="20"/>
  <c r="CQ29" i="20"/>
  <c r="CR17" i="20"/>
  <c r="CP17" i="20"/>
  <c r="CQ17" i="20"/>
  <c r="EW17" i="20"/>
  <c r="FW41" i="20"/>
  <c r="CY95" i="20"/>
  <c r="CX95" i="20"/>
  <c r="CY35" i="20"/>
  <c r="CX35" i="20"/>
  <c r="CY64" i="20"/>
  <c r="CX64" i="20"/>
  <c r="CX10" i="20"/>
  <c r="CY10" i="20"/>
  <c r="FW42" i="20"/>
  <c r="FY42" i="20" s="1"/>
  <c r="CQ65" i="20"/>
  <c r="CP65" i="20"/>
  <c r="CR65" i="20"/>
  <c r="EW65" i="20"/>
  <c r="CY89" i="20"/>
  <c r="CX89" i="20"/>
  <c r="EW89" i="20"/>
  <c r="EZ89" i="20" s="1"/>
  <c r="FA89" i="20" s="1"/>
  <c r="FY11" i="20"/>
  <c r="FW5" i="20"/>
  <c r="EX8" i="20"/>
  <c r="FX62" i="20"/>
  <c r="FY62" i="20" s="1"/>
  <c r="FX18" i="20"/>
  <c r="FY18" i="20" s="1"/>
  <c r="CP87" i="20"/>
  <c r="EW87" i="20"/>
  <c r="CR87" i="20"/>
  <c r="CQ87" i="20"/>
  <c r="EX39" i="20"/>
  <c r="EX29" i="20"/>
  <c r="FV100" i="20"/>
  <c r="EX17" i="20"/>
  <c r="EW35" i="20"/>
  <c r="EZ35" i="20" s="1"/>
  <c r="FA35" i="20" s="1"/>
  <c r="EX96" i="20"/>
  <c r="FW16" i="20"/>
  <c r="FY16" i="20" s="1"/>
  <c r="FW9" i="20"/>
  <c r="EX42" i="20"/>
  <c r="CP8" i="20"/>
  <c r="EW8" i="20" s="1"/>
  <c r="EZ8" i="20" s="1"/>
  <c r="FA8" i="20" s="1"/>
  <c r="CR8" i="20"/>
  <c r="CQ8" i="20"/>
  <c r="EX16" i="20"/>
  <c r="EZ16" i="20" s="1"/>
  <c r="FA16" i="20" s="1"/>
  <c r="CX24" i="20"/>
  <c r="CY24" i="20"/>
  <c r="FX19" i="20"/>
  <c r="FY19" i="20" s="1"/>
  <c r="FW100" i="20"/>
  <c r="CY15" i="20"/>
  <c r="EW15" i="20"/>
  <c r="EZ15" i="20" s="1"/>
  <c r="FA15" i="20" s="1"/>
  <c r="CX15" i="20"/>
  <c r="EX12" i="20"/>
  <c r="CQ51" i="20"/>
  <c r="CP51" i="20"/>
  <c r="EW51" i="20" s="1"/>
  <c r="EZ51" i="20" s="1"/>
  <c r="FA51" i="20" s="1"/>
  <c r="CR51" i="20"/>
  <c r="EX100" i="20"/>
  <c r="EZ100" i="20" s="1"/>
  <c r="FA100" i="20" s="1"/>
  <c r="EX37" i="20"/>
  <c r="FX27" i="20"/>
  <c r="EX33" i="20"/>
  <c r="CQ76" i="20"/>
  <c r="CP76" i="20"/>
  <c r="CR76" i="20"/>
  <c r="EW76" i="20"/>
  <c r="EZ76" i="20" s="1"/>
  <c r="FA76" i="20" s="1"/>
  <c r="FY36" i="20"/>
  <c r="CX26" i="20"/>
  <c r="CY26" i="20"/>
  <c r="EX38" i="20"/>
  <c r="EZ14" i="20"/>
  <c r="FA14" i="20" s="1"/>
  <c r="EX69" i="20"/>
  <c r="CP12" i="20"/>
  <c r="CR12" i="20"/>
  <c r="CQ12" i="20"/>
  <c r="EW12" i="20"/>
  <c r="EZ12" i="20" s="1"/>
  <c r="FA12" i="20" s="1"/>
  <c r="FX36" i="20"/>
  <c r="FX13" i="20"/>
  <c r="EX73" i="20"/>
  <c r="EX31" i="20"/>
  <c r="CR72" i="20"/>
  <c r="CQ72" i="20"/>
  <c r="CP72" i="20"/>
  <c r="EW72" i="20"/>
  <c r="EX49" i="20"/>
  <c r="FY73" i="20"/>
  <c r="CP28" i="20"/>
  <c r="EW28" i="20"/>
  <c r="EZ28" i="20" s="1"/>
  <c r="FA28" i="20" s="1"/>
  <c r="CQ28" i="20"/>
  <c r="CR28" i="20"/>
  <c r="FW86" i="20"/>
  <c r="FV28" i="20"/>
  <c r="FY28" i="20" s="1"/>
  <c r="EX36" i="20"/>
  <c r="EZ36" i="20" s="1"/>
  <c r="FA36" i="20" s="1"/>
  <c r="FW93" i="20"/>
  <c r="FY93" i="20" s="1"/>
  <c r="EX86" i="20"/>
  <c r="CP18" i="20"/>
  <c r="CQ18" i="20"/>
  <c r="CR18" i="20"/>
  <c r="CY48" i="20"/>
  <c r="CX48" i="20"/>
  <c r="EW48" i="20"/>
  <c r="EZ48" i="20" s="1"/>
  <c r="FA48" i="20" s="1"/>
  <c r="FX51" i="20"/>
  <c r="FY51" i="20" s="1"/>
  <c r="EX47" i="20"/>
  <c r="FW38" i="20"/>
  <c r="CY57" i="20"/>
  <c r="CX57" i="20"/>
  <c r="EX75" i="20"/>
  <c r="FY9" i="20"/>
  <c r="FX30" i="20"/>
  <c r="CP42" i="20"/>
  <c r="EW42" i="20" s="1"/>
  <c r="EZ42" i="20" s="1"/>
  <c r="FA42" i="20" s="1"/>
  <c r="CQ42" i="20"/>
  <c r="CR42" i="20"/>
  <c r="CY68" i="20"/>
  <c r="CX68" i="20"/>
  <c r="CQ38" i="20"/>
  <c r="CP38" i="20"/>
  <c r="EW38" i="20"/>
  <c r="EZ38" i="20" s="1"/>
  <c r="FA38" i="20" s="1"/>
  <c r="CR38" i="20"/>
  <c r="FW44" i="20"/>
  <c r="EX99" i="20"/>
  <c r="EZ99" i="20" s="1"/>
  <c r="FA99" i="20" s="1"/>
  <c r="FV80" i="20"/>
  <c r="FY80" i="20" s="1"/>
  <c r="CQ11" i="20"/>
  <c r="CP11" i="20"/>
  <c r="CR11" i="20"/>
  <c r="EW11" i="20"/>
  <c r="EX53" i="20"/>
  <c r="CP97" i="20"/>
  <c r="CR97" i="20"/>
  <c r="EW97" i="20"/>
  <c r="CQ97" i="20"/>
  <c r="FY29" i="20"/>
  <c r="FW80" i="20"/>
  <c r="EX60" i="20"/>
  <c r="EZ60" i="20" s="1"/>
  <c r="FA60" i="20" s="1"/>
  <c r="CQ53" i="20"/>
  <c r="CP53" i="20"/>
  <c r="CR53" i="20"/>
  <c r="EW53" i="20"/>
  <c r="EZ53" i="20" s="1"/>
  <c r="FA53" i="20" s="1"/>
  <c r="EX97" i="20"/>
  <c r="FW73" i="20"/>
  <c r="EX28" i="20"/>
  <c r="FW28" i="20"/>
  <c r="CY14" i="20"/>
  <c r="CX14" i="20"/>
  <c r="EX41" i="20"/>
  <c r="EX18" i="20"/>
  <c r="CY19" i="20"/>
  <c r="CX19" i="20"/>
  <c r="FW23" i="20"/>
  <c r="FY23" i="20" s="1"/>
  <c r="CP58" i="20"/>
  <c r="CR58" i="20"/>
  <c r="CQ58" i="20"/>
  <c r="FY15" i="20"/>
  <c r="CP82" i="20"/>
  <c r="CR82" i="20"/>
  <c r="CQ82" i="20"/>
  <c r="EW82" i="20"/>
  <c r="FY2" i="20"/>
  <c r="CQ86" i="20"/>
  <c r="CP86" i="20"/>
  <c r="CR86" i="20"/>
  <c r="EW86" i="20"/>
  <c r="EZ86" i="20" s="1"/>
  <c r="FA86" i="20" s="1"/>
  <c r="CP41" i="20"/>
  <c r="CQ41" i="20"/>
  <c r="CR41" i="20"/>
  <c r="EW41" i="20"/>
  <c r="EZ41" i="20" s="1"/>
  <c r="FA41" i="20" s="1"/>
  <c r="CR77" i="20"/>
  <c r="CP77" i="20"/>
  <c r="CQ77" i="20"/>
  <c r="EW77" i="20"/>
  <c r="EX66" i="20"/>
  <c r="EX68" i="20"/>
  <c r="EZ68" i="20" s="1"/>
  <c r="FA68" i="20" s="1"/>
  <c r="FV70" i="20"/>
  <c r="EX74" i="20"/>
  <c r="FY38" i="20"/>
  <c r="EX23" i="20"/>
  <c r="FW31" i="20"/>
  <c r="FY31" i="20" s="1"/>
  <c r="CY74" i="20"/>
  <c r="CX74" i="20"/>
  <c r="CP52" i="20"/>
  <c r="EW52" i="20" s="1"/>
  <c r="EZ52" i="20" s="1"/>
  <c r="FA52" i="20" s="1"/>
  <c r="CQ52" i="20"/>
  <c r="CR52" i="20"/>
  <c r="FY46" i="20"/>
  <c r="EZ34" i="20"/>
  <c r="FA34" i="20" s="1"/>
  <c r="FX98" i="20"/>
  <c r="EX13" i="20"/>
  <c r="EZ13" i="20" s="1"/>
  <c r="FA13" i="20" s="1"/>
  <c r="EX51" i="20"/>
  <c r="CP75" i="20"/>
  <c r="CR75" i="20"/>
  <c r="CQ75" i="20"/>
  <c r="EW75" i="20"/>
  <c r="EZ75" i="20" s="1"/>
  <c r="FA75" i="20" s="1"/>
  <c r="CR90" i="20"/>
  <c r="CQ90" i="20"/>
  <c r="CP90" i="20"/>
  <c r="EW90" i="20"/>
  <c r="EZ90" i="20" s="1"/>
  <c r="FA90" i="20" s="1"/>
  <c r="CX34" i="20"/>
  <c r="CY34" i="20"/>
  <c r="EZ26" i="20"/>
  <c r="FA26" i="20" s="1"/>
  <c r="CX21" i="20"/>
  <c r="CY21" i="20"/>
  <c r="FW97" i="20"/>
  <c r="FY97" i="20" s="1"/>
  <c r="EX11" i="20"/>
  <c r="FY27" i="20"/>
  <c r="FV86" i="20"/>
  <c r="FY86" i="20" s="1"/>
  <c r="FY13" i="20"/>
  <c r="EX80" i="20"/>
  <c r="CR40" i="20"/>
  <c r="CP40" i="20"/>
  <c r="CQ40" i="20"/>
  <c r="EW40" i="20"/>
  <c r="FV60" i="20"/>
  <c r="EX22" i="20"/>
  <c r="EZ22" i="20" s="1"/>
  <c r="FA22" i="20" s="1"/>
  <c r="EX101" i="20"/>
  <c r="FW22" i="20"/>
  <c r="FY22" i="20" s="1"/>
  <c r="FW40" i="20"/>
  <c r="FW60" i="20"/>
  <c r="FY76" i="20"/>
  <c r="FY4" i="20"/>
  <c r="FV7" i="20"/>
  <c r="FY7" i="20" s="1"/>
  <c r="FW61" i="20"/>
  <c r="FY61" i="20" s="1"/>
  <c r="EX55" i="20"/>
  <c r="EX9" i="20"/>
  <c r="FW74" i="20"/>
  <c r="CX100" i="20"/>
  <c r="CY100" i="20"/>
  <c r="CR66" i="20"/>
  <c r="CP66" i="20"/>
  <c r="CQ66" i="20"/>
  <c r="EW66" i="20"/>
  <c r="EZ66" i="20" s="1"/>
  <c r="FA66" i="20" s="1"/>
  <c r="FW70" i="20"/>
  <c r="EX58" i="20"/>
  <c r="CQ67" i="20"/>
  <c r="CP67" i="20"/>
  <c r="CR67" i="20"/>
  <c r="EW67" i="20"/>
  <c r="EX89" i="20"/>
  <c r="FY71" i="20"/>
  <c r="FX48" i="20"/>
  <c r="EZ59" i="20"/>
  <c r="FA59" i="20" s="1"/>
  <c r="CP81" i="20"/>
  <c r="EW81" i="20"/>
  <c r="EZ81" i="20" s="1"/>
  <c r="FA81" i="20" s="1"/>
  <c r="CQ81" i="20"/>
  <c r="CR81" i="20"/>
  <c r="FY83" i="20"/>
  <c r="CY27" i="20"/>
  <c r="CX27" i="20"/>
  <c r="EW27" i="20"/>
  <c r="EZ27" i="20" s="1"/>
  <c r="FA27" i="20" s="1"/>
  <c r="EX65" i="20"/>
  <c r="EX83" i="20"/>
  <c r="CX80" i="20"/>
  <c r="CY80" i="20"/>
  <c r="EW80" i="20"/>
  <c r="FY98" i="20"/>
  <c r="EX19" i="20"/>
  <c r="EZ19" i="20" s="1"/>
  <c r="FA19" i="20" s="1"/>
  <c r="EX40" i="20"/>
  <c r="EZ30" i="20"/>
  <c r="FA30" i="20" s="1"/>
  <c r="FY74" i="20"/>
  <c r="EW10" i="20"/>
  <c r="EZ10" i="20" s="1"/>
  <c r="FA10" i="20" s="1"/>
  <c r="EX77" i="20"/>
  <c r="EX70" i="20"/>
  <c r="EX46" i="20"/>
  <c r="FW37" i="20"/>
  <c r="EZ94" i="20"/>
  <c r="FA94" i="20" s="1"/>
  <c r="CP71" i="20"/>
  <c r="CR71" i="20"/>
  <c r="EW71" i="20"/>
  <c r="CQ71" i="20"/>
  <c r="FY39" i="20"/>
  <c r="CP44" i="20"/>
  <c r="CQ44" i="20"/>
  <c r="CR44" i="20"/>
  <c r="EW44" i="20"/>
  <c r="EZ44" i="20" s="1"/>
  <c r="FA44" i="20" s="1"/>
  <c r="EZ74" i="20"/>
  <c r="FA74" i="20" s="1"/>
  <c r="FW101" i="20"/>
  <c r="FY101" i="20" s="1"/>
  <c r="FY48" i="20"/>
  <c r="CY39" i="20"/>
  <c r="CX39" i="20"/>
  <c r="CR63" i="20"/>
  <c r="CP63" i="20"/>
  <c r="CQ63" i="20"/>
  <c r="EW63" i="20"/>
  <c r="EZ63" i="20" s="1"/>
  <c r="FA63" i="20" s="1"/>
  <c r="FW92" i="20"/>
  <c r="FY92" i="20" s="1"/>
  <c r="FY26" i="20"/>
  <c r="FW59" i="20"/>
  <c r="FY59" i="20" s="1"/>
  <c r="FX54" i="20"/>
  <c r="FY54" i="20" s="1"/>
  <c r="FY20" i="20"/>
  <c r="EX72" i="20"/>
  <c r="EZ56" i="20"/>
  <c r="FA56" i="20" s="1"/>
  <c r="FY30" i="20"/>
  <c r="FX29" i="20"/>
  <c r="CX49" i="20"/>
  <c r="CY49" i="20"/>
  <c r="EW49" i="20"/>
  <c r="EZ49" i="20" s="1"/>
  <c r="FA49" i="20" s="1"/>
  <c r="FV40" i="20"/>
  <c r="CY91" i="20"/>
  <c r="CX91" i="20"/>
  <c r="FX65" i="20"/>
  <c r="FY65" i="20" s="1"/>
  <c r="FX4" i="20"/>
  <c r="CR101" i="20"/>
  <c r="CP101" i="20"/>
  <c r="EW101" i="20" s="1"/>
  <c r="EZ101" i="20" s="1"/>
  <c r="FA101" i="20" s="1"/>
  <c r="CQ101" i="20"/>
  <c r="EX7" i="20"/>
  <c r="CP61" i="20"/>
  <c r="CR61" i="20"/>
  <c r="CQ61" i="20"/>
  <c r="EW61" i="20"/>
  <c r="FW96" i="20"/>
  <c r="EX91" i="20"/>
  <c r="EZ91" i="20" s="1"/>
  <c r="FA91" i="20" s="1"/>
  <c r="FW21" i="20"/>
  <c r="EX71" i="20"/>
  <c r="CQ92" i="20"/>
  <c r="CP92" i="20"/>
  <c r="CR92" i="20"/>
  <c r="EW92" i="20"/>
  <c r="EW62" i="20"/>
  <c r="EZ62" i="20" s="1"/>
  <c r="FA62" i="20" s="1"/>
  <c r="CX62" i="20"/>
  <c r="CY62" i="20"/>
  <c r="EZ45" i="20"/>
  <c r="FA45" i="20" s="1"/>
  <c r="CP5" i="20"/>
  <c r="CQ5" i="20"/>
  <c r="EW5" i="20"/>
  <c r="CR5" i="20"/>
  <c r="CR7" i="20"/>
  <c r="CP7" i="20"/>
  <c r="EW7" i="20"/>
  <c r="CQ7" i="20"/>
  <c r="EX61" i="20"/>
  <c r="CP50" i="20"/>
  <c r="EW50" i="20"/>
  <c r="EZ50" i="20" s="1"/>
  <c r="FA50" i="20" s="1"/>
  <c r="CQ50" i="20"/>
  <c r="CR50" i="20"/>
  <c r="FY47" i="20"/>
  <c r="CP9" i="20"/>
  <c r="EW9" i="20"/>
  <c r="EZ9" i="20" s="1"/>
  <c r="FA9" i="20" s="1"/>
  <c r="CQ9" i="20"/>
  <c r="CR9" i="20"/>
  <c r="CY30" i="20"/>
  <c r="CX30" i="20"/>
  <c r="CP46" i="20"/>
  <c r="EW46" i="20"/>
  <c r="CR46" i="20"/>
  <c r="CQ46" i="20"/>
  <c r="FV37" i="20"/>
  <c r="FV96" i="20"/>
  <c r="FY96" i="20" s="1"/>
  <c r="CX94" i="20"/>
  <c r="CY94" i="20"/>
  <c r="CX3" i="20"/>
  <c r="CY3" i="20"/>
  <c r="CY2" i="20"/>
  <c r="EW2" i="20"/>
  <c r="EZ2" i="20" s="1"/>
  <c r="FA2" i="20" s="1"/>
  <c r="CX2" i="20"/>
  <c r="CY69" i="20"/>
  <c r="CX69" i="20"/>
  <c r="CY43" i="20"/>
  <c r="CX43" i="20"/>
  <c r="CR47" i="20"/>
  <c r="CQ47" i="20"/>
  <c r="CP47" i="20"/>
  <c r="EW47" i="20" s="1"/>
  <c r="EZ47" i="20" s="1"/>
  <c r="FA47" i="20" s="1"/>
  <c r="EX81" i="20"/>
  <c r="FV45" i="20"/>
  <c r="FY45" i="20" s="1"/>
  <c r="CP23" i="20"/>
  <c r="CR23" i="20"/>
  <c r="CQ23" i="20"/>
  <c r="EW23" i="20"/>
  <c r="CY93" i="20"/>
  <c r="CX93" i="20"/>
  <c r="EX82" i="20"/>
  <c r="CX4" i="20"/>
  <c r="CY4" i="20"/>
  <c r="EX6" i="20"/>
  <c r="EW57" i="20"/>
  <c r="EZ57" i="20" s="1"/>
  <c r="FA57" i="20" s="1"/>
  <c r="CY33" i="20"/>
  <c r="CX33" i="20"/>
  <c r="CQ83" i="20"/>
  <c r="CP83" i="20"/>
  <c r="EW83" i="20"/>
  <c r="EZ83" i="20" s="1"/>
  <c r="FA83" i="20" s="1"/>
  <c r="CR83" i="20"/>
  <c r="EX76" i="20"/>
  <c r="FY44" i="20"/>
  <c r="CY78" i="20"/>
  <c r="EW78" i="20"/>
  <c r="EZ78" i="20" s="1"/>
  <c r="FA78" i="20" s="1"/>
  <c r="CX78" i="20"/>
  <c r="FY79" i="20"/>
  <c r="FW7" i="20"/>
  <c r="FW47" i="20"/>
  <c r="CQ55" i="20"/>
  <c r="CP55" i="20"/>
  <c r="CR55" i="20"/>
  <c r="EW55" i="20"/>
  <c r="EZ55" i="20" s="1"/>
  <c r="FA55" i="20" s="1"/>
  <c r="EX67" i="20"/>
  <c r="FW81" i="20"/>
  <c r="FY81" i="20" s="1"/>
  <c r="FY17" i="20"/>
  <c r="FY21" i="20"/>
  <c r="EX92" i="20"/>
  <c r="FW71" i="20"/>
  <c r="CX45" i="20"/>
  <c r="CY45" i="20"/>
  <c r="EX5" i="20"/>
  <c r="FW39" i="20"/>
  <c r="EX50" i="20"/>
  <c r="EX44" i="20"/>
  <c r="CX88" i="20"/>
  <c r="CY88" i="20"/>
  <c r="EW88" i="20"/>
  <c r="EZ88" i="20" s="1"/>
  <c r="FA88" i="20" s="1"/>
  <c r="CQ70" i="20"/>
  <c r="CP70" i="20"/>
  <c r="CR70" i="20"/>
  <c r="EW70" i="20"/>
  <c r="EZ70" i="20" s="1"/>
  <c r="FA70" i="20" s="1"/>
  <c r="EW69" i="20"/>
  <c r="EZ69" i="20" s="1"/>
  <c r="FA69" i="20" s="1"/>
  <c r="EW39" i="20"/>
  <c r="EZ39" i="20" s="1"/>
  <c r="FA39" i="20" s="1"/>
  <c r="EJ44" i="22" l="1"/>
  <c r="EK44" i="22" s="1"/>
  <c r="EJ64" i="22"/>
  <c r="EK64" i="22" s="1"/>
  <c r="EN77" i="23"/>
  <c r="EL77" i="23"/>
  <c r="EM77" i="23"/>
  <c r="EN20" i="23"/>
  <c r="EM20" i="23"/>
  <c r="EL20" i="23"/>
  <c r="EL94" i="23"/>
  <c r="EN94" i="23"/>
  <c r="EM94" i="23"/>
  <c r="EN69" i="23"/>
  <c r="EM69" i="23"/>
  <c r="EL69" i="23"/>
  <c r="EN97" i="23"/>
  <c r="EM97" i="23"/>
  <c r="EL97" i="23"/>
  <c r="EL29" i="23"/>
  <c r="EN29" i="23"/>
  <c r="EM29" i="23"/>
  <c r="EN101" i="23"/>
  <c r="EM101" i="23"/>
  <c r="EL101" i="23"/>
  <c r="EN14" i="23"/>
  <c r="EM14" i="23"/>
  <c r="EL14" i="23"/>
  <c r="EL92" i="23"/>
  <c r="EN92" i="23"/>
  <c r="EM92" i="23"/>
  <c r="EN56" i="23"/>
  <c r="EM56" i="23"/>
  <c r="EL56" i="23"/>
  <c r="EN65" i="23"/>
  <c r="EL65" i="23"/>
  <c r="EM65" i="23"/>
  <c r="EN60" i="23"/>
  <c r="EM60" i="23"/>
  <c r="EL60" i="23"/>
  <c r="EN41" i="23"/>
  <c r="EM41" i="23"/>
  <c r="EL41" i="23"/>
  <c r="EN100" i="23"/>
  <c r="EM100" i="23"/>
  <c r="EL100" i="23"/>
  <c r="EN31" i="23"/>
  <c r="EM31" i="23"/>
  <c r="EL31" i="23"/>
  <c r="EN22" i="23"/>
  <c r="EM22" i="23"/>
  <c r="EL22" i="23"/>
  <c r="EN91" i="23"/>
  <c r="EM91" i="23"/>
  <c r="EL91" i="23"/>
  <c r="EM57" i="23"/>
  <c r="EL57" i="23"/>
  <c r="EN57" i="23"/>
  <c r="EL39" i="23"/>
  <c r="EN39" i="23"/>
  <c r="EM39" i="23"/>
  <c r="EN36" i="23"/>
  <c r="EM36" i="23"/>
  <c r="EL36" i="23"/>
  <c r="EL44" i="23"/>
  <c r="EN44" i="23"/>
  <c r="EM44" i="23"/>
  <c r="EL45" i="23"/>
  <c r="EM45" i="23"/>
  <c r="EN45" i="23"/>
  <c r="EN83" i="23"/>
  <c r="EM83" i="23"/>
  <c r="EL83" i="23"/>
  <c r="EM76" i="23"/>
  <c r="EN76" i="23"/>
  <c r="EL76" i="23"/>
  <c r="EN64" i="23"/>
  <c r="EM64" i="23"/>
  <c r="EL64" i="23"/>
  <c r="EN49" i="23"/>
  <c r="EM49" i="23"/>
  <c r="EL49" i="23"/>
  <c r="EN32" i="23"/>
  <c r="EL32" i="23"/>
  <c r="EM32" i="23"/>
  <c r="EN13" i="23"/>
  <c r="EM13" i="23"/>
  <c r="EL13" i="23"/>
  <c r="EN87" i="23"/>
  <c r="EM87" i="23"/>
  <c r="EL87" i="23"/>
  <c r="EN72" i="23"/>
  <c r="EM72" i="23"/>
  <c r="EL72" i="23"/>
  <c r="EN34" i="23"/>
  <c r="EM34" i="23"/>
  <c r="EL34" i="23"/>
  <c r="EN70" i="23"/>
  <c r="EM70" i="23"/>
  <c r="EL70" i="23"/>
  <c r="EN85" i="23"/>
  <c r="EM85" i="23"/>
  <c r="EL85" i="23"/>
  <c r="EK80" i="23"/>
  <c r="EN12" i="23"/>
  <c r="EM12" i="23"/>
  <c r="EL12" i="23"/>
  <c r="EN46" i="23"/>
  <c r="EM46" i="23"/>
  <c r="EL46" i="23"/>
  <c r="EN93" i="23"/>
  <c r="EM93" i="23"/>
  <c r="EL93" i="23"/>
  <c r="EK10" i="23"/>
  <c r="EN86" i="23"/>
  <c r="EM86" i="23"/>
  <c r="EL86" i="23"/>
  <c r="EN96" i="23"/>
  <c r="EM96" i="23"/>
  <c r="EL96" i="23"/>
  <c r="EK33" i="23"/>
  <c r="EK48" i="23"/>
  <c r="EM6" i="23"/>
  <c r="EL6" i="23"/>
  <c r="EN6" i="23"/>
  <c r="EN58" i="23"/>
  <c r="EL58" i="23"/>
  <c r="EM58" i="23"/>
  <c r="EN25" i="23"/>
  <c r="EM25" i="23"/>
  <c r="EL25" i="23"/>
  <c r="EK23" i="23"/>
  <c r="EK19" i="23"/>
  <c r="EN38" i="23"/>
  <c r="EM38" i="23"/>
  <c r="EL38" i="23"/>
  <c r="EK5" i="23"/>
  <c r="EL75" i="23"/>
  <c r="EN75" i="23"/>
  <c r="EM75" i="23"/>
  <c r="EN30" i="23"/>
  <c r="EM30" i="23"/>
  <c r="EL30" i="23"/>
  <c r="EK73" i="23"/>
  <c r="EN84" i="23"/>
  <c r="EM84" i="23"/>
  <c r="EL84" i="23"/>
  <c r="EN40" i="23"/>
  <c r="EM40" i="23"/>
  <c r="EL40" i="23"/>
  <c r="EN51" i="23"/>
  <c r="EM51" i="23"/>
  <c r="EL51" i="23"/>
  <c r="EN95" i="23"/>
  <c r="EM95" i="23"/>
  <c r="EL95" i="23"/>
  <c r="EN98" i="23"/>
  <c r="EM98" i="23"/>
  <c r="EL98" i="23"/>
  <c r="EN88" i="23"/>
  <c r="EM88" i="23"/>
  <c r="EL88" i="23"/>
  <c r="EK24" i="23"/>
  <c r="EM27" i="23"/>
  <c r="EL27" i="23"/>
  <c r="EN27" i="23"/>
  <c r="EK81" i="23"/>
  <c r="EL82" i="23"/>
  <c r="EN82" i="23"/>
  <c r="EM82" i="23"/>
  <c r="EN50" i="23"/>
  <c r="EL50" i="23"/>
  <c r="EM50" i="23"/>
  <c r="EN74" i="23"/>
  <c r="EM74" i="23"/>
  <c r="EL74" i="23"/>
  <c r="EM26" i="23"/>
  <c r="EL26" i="23"/>
  <c r="EN26" i="23"/>
  <c r="EK4" i="23"/>
  <c r="EM79" i="23"/>
  <c r="EL79" i="23"/>
  <c r="EN79" i="23"/>
  <c r="EK3" i="23"/>
  <c r="EN53" i="23"/>
  <c r="EM53" i="23"/>
  <c r="EL53" i="23"/>
  <c r="EN67" i="23"/>
  <c r="EM67" i="23"/>
  <c r="EL67" i="23"/>
  <c r="EN42" i="23"/>
  <c r="EM42" i="23"/>
  <c r="EL42" i="23"/>
  <c r="EM47" i="23"/>
  <c r="EL47" i="23"/>
  <c r="EN47" i="23"/>
  <c r="EK15" i="23"/>
  <c r="EM63" i="23"/>
  <c r="EL63" i="23"/>
  <c r="EN63" i="23"/>
  <c r="EN52" i="23"/>
  <c r="EM52" i="23"/>
  <c r="EL52" i="23"/>
  <c r="EN78" i="23"/>
  <c r="EM78" i="23"/>
  <c r="EL78" i="23"/>
  <c r="EN62" i="23"/>
  <c r="EM62" i="23"/>
  <c r="EL62" i="23"/>
  <c r="EN37" i="23"/>
  <c r="EM37" i="23"/>
  <c r="EL37" i="23"/>
  <c r="EL21" i="23"/>
  <c r="EN21" i="23"/>
  <c r="EM21" i="23"/>
  <c r="EM54" i="23"/>
  <c r="EL54" i="23"/>
  <c r="EN54" i="23"/>
  <c r="EN11" i="23"/>
  <c r="EM11" i="23"/>
  <c r="EL11" i="23"/>
  <c r="EJ35" i="23"/>
  <c r="EK35" i="23" s="1"/>
  <c r="EN28" i="23"/>
  <c r="EM28" i="23"/>
  <c r="EL28" i="23"/>
  <c r="EN61" i="23"/>
  <c r="EM61" i="23"/>
  <c r="EL61" i="23"/>
  <c r="EK71" i="23"/>
  <c r="EN90" i="23"/>
  <c r="EM90" i="23"/>
  <c r="EL90" i="23"/>
  <c r="EM66" i="23"/>
  <c r="EL66" i="23"/>
  <c r="EN66" i="23"/>
  <c r="EN18" i="23"/>
  <c r="EM18" i="23"/>
  <c r="EL18" i="23"/>
  <c r="EN16" i="23"/>
  <c r="EM16" i="23"/>
  <c r="EL16" i="23"/>
  <c r="EN43" i="23"/>
  <c r="EM43" i="23"/>
  <c r="EL43" i="23"/>
  <c r="EN59" i="23"/>
  <c r="EM59" i="23"/>
  <c r="EL59" i="23"/>
  <c r="EN55" i="22"/>
  <c r="EM55" i="22"/>
  <c r="EL55" i="22"/>
  <c r="EN17" i="22"/>
  <c r="EM17" i="22"/>
  <c r="EL17" i="22"/>
  <c r="EM5" i="22"/>
  <c r="EL5" i="22"/>
  <c r="EN5" i="22"/>
  <c r="EN56" i="22"/>
  <c r="EL56" i="22"/>
  <c r="EM56" i="22"/>
  <c r="EL76" i="22"/>
  <c r="EN76" i="22"/>
  <c r="EM76" i="22"/>
  <c r="EL8" i="22"/>
  <c r="EN8" i="22"/>
  <c r="EM8" i="22"/>
  <c r="EM62" i="22"/>
  <c r="EN62" i="22"/>
  <c r="EL62" i="22"/>
  <c r="EN57" i="22"/>
  <c r="EM57" i="22"/>
  <c r="EL57" i="22"/>
  <c r="EN84" i="22"/>
  <c r="EM84" i="22"/>
  <c r="EL84" i="22"/>
  <c r="EN49" i="22"/>
  <c r="EM49" i="22"/>
  <c r="EL49" i="22"/>
  <c r="EL95" i="22"/>
  <c r="EM95" i="22"/>
  <c r="EN95" i="22"/>
  <c r="EN80" i="22"/>
  <c r="EM80" i="22"/>
  <c r="EL80" i="22"/>
  <c r="EL46" i="22"/>
  <c r="EM46" i="22"/>
  <c r="EN46" i="22"/>
  <c r="EL38" i="22"/>
  <c r="EN38" i="22"/>
  <c r="EM38" i="22"/>
  <c r="EN48" i="22"/>
  <c r="EM48" i="22"/>
  <c r="EL48" i="22"/>
  <c r="EN23" i="22"/>
  <c r="EM23" i="22"/>
  <c r="EL23" i="22"/>
  <c r="EN37" i="22"/>
  <c r="EM37" i="22"/>
  <c r="EL37" i="22"/>
  <c r="EN60" i="22"/>
  <c r="EM60" i="22"/>
  <c r="EL60" i="22"/>
  <c r="EN50" i="22"/>
  <c r="EM50" i="22"/>
  <c r="EL50" i="22"/>
  <c r="EL52" i="22"/>
  <c r="EM52" i="22"/>
  <c r="EN52" i="22"/>
  <c r="EN90" i="22"/>
  <c r="EM90" i="22"/>
  <c r="EL90" i="22"/>
  <c r="EN73" i="22"/>
  <c r="EL73" i="22"/>
  <c r="EM73" i="22"/>
  <c r="EN35" i="22"/>
  <c r="EM35" i="22"/>
  <c r="EL35" i="22"/>
  <c r="EL72" i="22"/>
  <c r="EM72" i="22"/>
  <c r="EN72" i="22"/>
  <c r="EL78" i="22"/>
  <c r="EN78" i="22"/>
  <c r="EM78" i="22"/>
  <c r="EN53" i="22"/>
  <c r="EM53" i="22"/>
  <c r="EL53" i="22"/>
  <c r="EL18" i="22"/>
  <c r="EN18" i="22"/>
  <c r="EM18" i="22"/>
  <c r="EN100" i="22"/>
  <c r="EM100" i="22"/>
  <c r="EL100" i="22"/>
  <c r="EN94" i="22"/>
  <c r="EM94" i="22"/>
  <c r="EL94" i="22"/>
  <c r="EN69" i="22"/>
  <c r="EM69" i="22"/>
  <c r="EL69" i="22"/>
  <c r="EL88" i="22"/>
  <c r="EM88" i="22"/>
  <c r="EN88" i="22"/>
  <c r="EM99" i="22"/>
  <c r="EN99" i="22"/>
  <c r="EL99" i="22"/>
  <c r="EL28" i="22"/>
  <c r="EN28" i="22"/>
  <c r="EM28" i="22"/>
  <c r="EN6" i="22"/>
  <c r="EM6" i="22"/>
  <c r="EL6" i="22"/>
  <c r="EN64" i="22"/>
  <c r="EM64" i="22"/>
  <c r="EL64" i="22"/>
  <c r="EN42" i="22"/>
  <c r="EM42" i="22"/>
  <c r="EL42" i="22"/>
  <c r="EN29" i="22"/>
  <c r="EM29" i="22"/>
  <c r="EL29" i="22"/>
  <c r="EN101" i="22"/>
  <c r="EM101" i="22"/>
  <c r="EL101" i="22"/>
  <c r="EN41" i="22"/>
  <c r="EM41" i="22"/>
  <c r="EL41" i="22"/>
  <c r="EL4" i="22"/>
  <c r="EN4" i="22"/>
  <c r="EM4" i="22"/>
  <c r="EM15" i="22"/>
  <c r="EN15" i="22"/>
  <c r="EL15" i="22"/>
  <c r="EM20" i="22"/>
  <c r="EL20" i="22"/>
  <c r="EN20" i="22"/>
  <c r="EN25" i="22"/>
  <c r="EM25" i="22"/>
  <c r="EL25" i="22"/>
  <c r="EN63" i="22"/>
  <c r="EM63" i="22"/>
  <c r="EL63" i="22"/>
  <c r="EN87" i="22"/>
  <c r="EL87" i="22"/>
  <c r="EM87" i="22"/>
  <c r="EK24" i="22"/>
  <c r="EN71" i="22"/>
  <c r="EM71" i="22"/>
  <c r="EL71" i="22"/>
  <c r="EN40" i="22"/>
  <c r="EM40" i="22"/>
  <c r="EL40" i="22"/>
  <c r="EK82" i="22"/>
  <c r="EK75" i="22"/>
  <c r="EK31" i="22"/>
  <c r="EM58" i="22"/>
  <c r="EN58" i="22"/>
  <c r="EL58" i="22"/>
  <c r="EM79" i="22"/>
  <c r="EN79" i="22"/>
  <c r="EL79" i="22"/>
  <c r="EN26" i="22"/>
  <c r="EM26" i="22"/>
  <c r="EL26" i="22"/>
  <c r="EN13" i="22"/>
  <c r="EM13" i="22"/>
  <c r="EL13" i="22"/>
  <c r="EN11" i="22"/>
  <c r="EM11" i="22"/>
  <c r="EL11" i="22"/>
  <c r="EM70" i="22"/>
  <c r="EL70" i="22"/>
  <c r="EN70" i="22"/>
  <c r="EN43" i="22"/>
  <c r="EM43" i="22"/>
  <c r="EL43" i="22"/>
  <c r="EN36" i="22"/>
  <c r="EM36" i="22"/>
  <c r="EL36" i="22"/>
  <c r="EL68" i="22"/>
  <c r="EN68" i="22"/>
  <c r="EM68" i="22"/>
  <c r="EN47" i="22"/>
  <c r="EM47" i="22"/>
  <c r="EL47" i="22"/>
  <c r="EN19" i="22"/>
  <c r="EM19" i="22"/>
  <c r="EL19" i="22"/>
  <c r="EL44" i="22"/>
  <c r="EN44" i="22"/>
  <c r="EM44" i="22"/>
  <c r="EN32" i="22"/>
  <c r="EM32" i="22"/>
  <c r="EL32" i="22"/>
  <c r="EN34" i="22"/>
  <c r="EM34" i="22"/>
  <c r="EL34" i="22"/>
  <c r="EM89" i="22"/>
  <c r="EN89" i="22"/>
  <c r="EL89" i="22"/>
  <c r="EK77" i="22"/>
  <c r="EK74" i="22"/>
  <c r="EN45" i="22"/>
  <c r="EL45" i="22"/>
  <c r="EM45" i="22"/>
  <c r="EN61" i="22"/>
  <c r="EM61" i="22"/>
  <c r="EL61" i="22"/>
  <c r="EL83" i="22"/>
  <c r="EM83" i="22"/>
  <c r="EN83" i="22"/>
  <c r="EN91" i="22"/>
  <c r="EM91" i="22"/>
  <c r="EL91" i="22"/>
  <c r="EK59" i="22"/>
  <c r="EL33" i="22"/>
  <c r="EN33" i="22"/>
  <c r="EM33" i="22"/>
  <c r="EN27" i="22"/>
  <c r="EM27" i="22"/>
  <c r="EL27" i="22"/>
  <c r="EK67" i="22"/>
  <c r="EJ22" i="22"/>
  <c r="EK22" i="22" s="1"/>
  <c r="EN81" i="22"/>
  <c r="EM81" i="22"/>
  <c r="EL81" i="22"/>
  <c r="EK30" i="22"/>
  <c r="EL65" i="22"/>
  <c r="EN65" i="22"/>
  <c r="EM65" i="22"/>
  <c r="EN51" i="22"/>
  <c r="EM51" i="22"/>
  <c r="EL51" i="22"/>
  <c r="EM9" i="22"/>
  <c r="EN9" i="22"/>
  <c r="EL9" i="22"/>
  <c r="EJ98" i="22"/>
  <c r="EK98" i="22" s="1"/>
  <c r="DL66" i="22"/>
  <c r="EJ66" i="22" s="1"/>
  <c r="EK66" i="22" s="1"/>
  <c r="EN97" i="22"/>
  <c r="EL97" i="22"/>
  <c r="EM97" i="22"/>
  <c r="EN2" i="22"/>
  <c r="EM2" i="22"/>
  <c r="EK3" i="22"/>
  <c r="EK14" i="22"/>
  <c r="EN54" i="22"/>
  <c r="EM54" i="22"/>
  <c r="EL54" i="22"/>
  <c r="EN93" i="22"/>
  <c r="EM93" i="22"/>
  <c r="EL93" i="22"/>
  <c r="EN86" i="22"/>
  <c r="EM86" i="22"/>
  <c r="EL86" i="22"/>
  <c r="EN21" i="22"/>
  <c r="EM21" i="22"/>
  <c r="EL21" i="22"/>
  <c r="GA29" i="21"/>
  <c r="GA47" i="21"/>
  <c r="GA65" i="21"/>
  <c r="GD65" i="21" s="1"/>
  <c r="GA83" i="21"/>
  <c r="GB83" i="21" s="1"/>
  <c r="GA82" i="21"/>
  <c r="GB82" i="21" s="1"/>
  <c r="GA88" i="21"/>
  <c r="GC88" i="21" s="1"/>
  <c r="GA32" i="21"/>
  <c r="GD32" i="21" s="1"/>
  <c r="GA73" i="21"/>
  <c r="GD73" i="21" s="1"/>
  <c r="GA89" i="21"/>
  <c r="GB89" i="21" s="1"/>
  <c r="GA14" i="21"/>
  <c r="GD14" i="21" s="1"/>
  <c r="GA18" i="21"/>
  <c r="GB18" i="21" s="1"/>
  <c r="GA67" i="21"/>
  <c r="GD67" i="21" s="1"/>
  <c r="GA34" i="21"/>
  <c r="GC34" i="21" s="1"/>
  <c r="GA7" i="21"/>
  <c r="GD7" i="21" s="1"/>
  <c r="GA19" i="21"/>
  <c r="GC19" i="21" s="1"/>
  <c r="GD70" i="21"/>
  <c r="GB70" i="21"/>
  <c r="GC70" i="21"/>
  <c r="GD89" i="21"/>
  <c r="GC89" i="21"/>
  <c r="EN6" i="21"/>
  <c r="EO6" i="21" s="1"/>
  <c r="GA6" i="21" s="1"/>
  <c r="EN20" i="21"/>
  <c r="EO20" i="21" s="1"/>
  <c r="GA93" i="21"/>
  <c r="EN3" i="21"/>
  <c r="EO3" i="21" s="1"/>
  <c r="GA3" i="21" s="1"/>
  <c r="EN22" i="21"/>
  <c r="EO22" i="21" s="1"/>
  <c r="GA22" i="21" s="1"/>
  <c r="GD83" i="21"/>
  <c r="GC83" i="21"/>
  <c r="GD58" i="21"/>
  <c r="GC58" i="21"/>
  <c r="GB58" i="21"/>
  <c r="GB47" i="21"/>
  <c r="GD47" i="21"/>
  <c r="GC47" i="21"/>
  <c r="GC51" i="21"/>
  <c r="GB51" i="21"/>
  <c r="GD51" i="21"/>
  <c r="EN77" i="21"/>
  <c r="EO77" i="21" s="1"/>
  <c r="FZ98" i="21"/>
  <c r="GA101" i="21"/>
  <c r="GA54" i="21"/>
  <c r="EN2" i="21"/>
  <c r="EO2" i="21" s="1"/>
  <c r="FZ4" i="21"/>
  <c r="CY62" i="21"/>
  <c r="CX62" i="21"/>
  <c r="GC28" i="21"/>
  <c r="GB28" i="21"/>
  <c r="GD28" i="21"/>
  <c r="GA94" i="21"/>
  <c r="EN63" i="21"/>
  <c r="EO63" i="21" s="1"/>
  <c r="GA63" i="21" s="1"/>
  <c r="FZ40" i="21"/>
  <c r="EN61" i="21"/>
  <c r="EO61" i="21" s="1"/>
  <c r="GA61" i="21" s="1"/>
  <c r="EN85" i="21"/>
  <c r="EO85" i="21" s="1"/>
  <c r="GA85" i="21" s="1"/>
  <c r="EN96" i="21"/>
  <c r="EO96" i="21" s="1"/>
  <c r="CX72" i="21"/>
  <c r="CY72" i="21"/>
  <c r="CY43" i="21"/>
  <c r="CX43" i="21"/>
  <c r="GA17" i="21"/>
  <c r="CY49" i="21"/>
  <c r="CX49" i="21"/>
  <c r="CX6" i="21"/>
  <c r="CY6" i="21"/>
  <c r="CY78" i="21"/>
  <c r="CX78" i="21"/>
  <c r="EN78" i="21" s="1"/>
  <c r="EO78" i="21" s="1"/>
  <c r="GA78" i="21" s="1"/>
  <c r="EZ72" i="21"/>
  <c r="FA72" i="21" s="1"/>
  <c r="CY4" i="21"/>
  <c r="CX4" i="21"/>
  <c r="EN4" i="21" s="1"/>
  <c r="EO4" i="21" s="1"/>
  <c r="CY90" i="21"/>
  <c r="CX90" i="21"/>
  <c r="EN90" i="21" s="1"/>
  <c r="EO90" i="21" s="1"/>
  <c r="GC27" i="21"/>
  <c r="GB27" i="21"/>
  <c r="GD27" i="21"/>
  <c r="CY56" i="21"/>
  <c r="CX56" i="21"/>
  <c r="EN56" i="21" s="1"/>
  <c r="EO56" i="21" s="1"/>
  <c r="GA56" i="21" s="1"/>
  <c r="FZ75" i="21"/>
  <c r="GA75" i="21" s="1"/>
  <c r="EN33" i="21"/>
  <c r="EO33" i="21" s="1"/>
  <c r="GA33" i="21" s="1"/>
  <c r="CY16" i="21"/>
  <c r="CX16" i="21"/>
  <c r="CY77" i="21"/>
  <c r="CX77" i="21"/>
  <c r="GA44" i="21"/>
  <c r="EN5" i="21"/>
  <c r="EO5" i="21" s="1"/>
  <c r="GA5" i="21" s="1"/>
  <c r="CY22" i="21"/>
  <c r="CX22" i="21"/>
  <c r="FZ100" i="21"/>
  <c r="FZ77" i="21"/>
  <c r="FY21" i="21"/>
  <c r="FZ21" i="21" s="1"/>
  <c r="GA21" i="21" s="1"/>
  <c r="EN16" i="21"/>
  <c r="EO16" i="21" s="1"/>
  <c r="GA16" i="21" s="1"/>
  <c r="CY98" i="21"/>
  <c r="CX98" i="21"/>
  <c r="EN98" i="21" s="1"/>
  <c r="EO98" i="21" s="1"/>
  <c r="GD29" i="21"/>
  <c r="GC29" i="21"/>
  <c r="GB29" i="21"/>
  <c r="GA42" i="21"/>
  <c r="GC65" i="21"/>
  <c r="GB65" i="21"/>
  <c r="CY2" i="21"/>
  <c r="CX2" i="21"/>
  <c r="FZ12" i="21"/>
  <c r="GA12" i="21" s="1"/>
  <c r="CX74" i="21"/>
  <c r="CY74" i="21"/>
  <c r="CY53" i="21"/>
  <c r="CX53" i="21"/>
  <c r="CY25" i="21"/>
  <c r="CX25" i="21"/>
  <c r="CX35" i="21"/>
  <c r="CY35" i="21"/>
  <c r="CX55" i="21"/>
  <c r="CY55" i="21"/>
  <c r="EZ68" i="21"/>
  <c r="FA68" i="21" s="1"/>
  <c r="FZ68" i="21" s="1"/>
  <c r="GA68" i="21" s="1"/>
  <c r="EZ45" i="21"/>
  <c r="FA45" i="21" s="1"/>
  <c r="FZ45" i="21" s="1"/>
  <c r="FZ20" i="21"/>
  <c r="GA20" i="21" s="1"/>
  <c r="CY69" i="21"/>
  <c r="CX69" i="21"/>
  <c r="EZ77" i="21"/>
  <c r="FA77" i="21" s="1"/>
  <c r="CY61" i="21"/>
  <c r="CX61" i="21"/>
  <c r="EN64" i="21"/>
  <c r="EO64" i="21" s="1"/>
  <c r="GA64" i="21" s="1"/>
  <c r="EN80" i="21"/>
  <c r="EO80" i="21" s="1"/>
  <c r="GA80" i="21" s="1"/>
  <c r="FY46" i="21"/>
  <c r="FZ46" i="21" s="1"/>
  <c r="GA46" i="21" s="1"/>
  <c r="CY97" i="21"/>
  <c r="CX97" i="21"/>
  <c r="CY60" i="21"/>
  <c r="CX60" i="21"/>
  <c r="EN60" i="21" s="1"/>
  <c r="EO60" i="21" s="1"/>
  <c r="CY11" i="21"/>
  <c r="CX11" i="21"/>
  <c r="EN11" i="21" s="1"/>
  <c r="EO11" i="21" s="1"/>
  <c r="GA11" i="21" s="1"/>
  <c r="EZ39" i="21"/>
  <c r="FA39" i="21" s="1"/>
  <c r="FZ39" i="21" s="1"/>
  <c r="FZ50" i="21"/>
  <c r="FY95" i="21"/>
  <c r="FZ95" i="21" s="1"/>
  <c r="GA95" i="21" s="1"/>
  <c r="FZ90" i="21"/>
  <c r="GA23" i="21"/>
  <c r="FY96" i="21"/>
  <c r="FZ96" i="21" s="1"/>
  <c r="FZ35" i="21"/>
  <c r="CY15" i="21"/>
  <c r="CX15" i="21"/>
  <c r="EZ62" i="21"/>
  <c r="FA62" i="21" s="1"/>
  <c r="FZ62" i="21" s="1"/>
  <c r="EZ98" i="21"/>
  <c r="FA98" i="21" s="1"/>
  <c r="EZ97" i="21"/>
  <c r="FA97" i="21" s="1"/>
  <c r="FZ97" i="21" s="1"/>
  <c r="FY66" i="21"/>
  <c r="FZ66" i="21" s="1"/>
  <c r="GA66" i="21" s="1"/>
  <c r="EN79" i="21"/>
  <c r="EO79" i="21" s="1"/>
  <c r="GA79" i="21" s="1"/>
  <c r="EN38" i="21"/>
  <c r="EO38" i="21" s="1"/>
  <c r="GA38" i="21" s="1"/>
  <c r="CX39" i="21"/>
  <c r="CY39" i="21"/>
  <c r="EN97" i="21"/>
  <c r="EO97" i="21" s="1"/>
  <c r="CY50" i="21"/>
  <c r="CX50" i="21"/>
  <c r="EN50" i="21" s="1"/>
  <c r="EO50" i="21" s="1"/>
  <c r="CX71" i="21"/>
  <c r="CY71" i="21"/>
  <c r="EN69" i="21"/>
  <c r="EO69" i="21" s="1"/>
  <c r="EN81" i="21"/>
  <c r="EO81" i="21" s="1"/>
  <c r="GA81" i="21" s="1"/>
  <c r="FY76" i="21"/>
  <c r="FZ76" i="21" s="1"/>
  <c r="GA76" i="21" s="1"/>
  <c r="FY2" i="21"/>
  <c r="FZ2" i="21" s="1"/>
  <c r="CY91" i="21"/>
  <c r="CX91" i="21"/>
  <c r="EN91" i="21" s="1"/>
  <c r="EO91" i="21" s="1"/>
  <c r="FZ26" i="21"/>
  <c r="GA26" i="21" s="1"/>
  <c r="EN48" i="21"/>
  <c r="EO48" i="21" s="1"/>
  <c r="GA48" i="21" s="1"/>
  <c r="CY100" i="21"/>
  <c r="CX100" i="21"/>
  <c r="EN100" i="21" s="1"/>
  <c r="EO100" i="21" s="1"/>
  <c r="CY59" i="21"/>
  <c r="CX59" i="21"/>
  <c r="CY57" i="21"/>
  <c r="CX57" i="21"/>
  <c r="CY81" i="21"/>
  <c r="CX81" i="21"/>
  <c r="EZ24" i="21"/>
  <c r="FA24" i="21" s="1"/>
  <c r="FZ24" i="21" s="1"/>
  <c r="EZ40" i="21"/>
  <c r="FA40" i="21" s="1"/>
  <c r="CY20" i="21"/>
  <c r="CX20" i="21"/>
  <c r="CY24" i="21"/>
  <c r="CX24" i="21"/>
  <c r="EN24" i="21" s="1"/>
  <c r="EO24" i="21" s="1"/>
  <c r="CX40" i="21"/>
  <c r="CY40" i="21"/>
  <c r="FY31" i="21"/>
  <c r="FZ31" i="21" s="1"/>
  <c r="CX37" i="21"/>
  <c r="CY37" i="21"/>
  <c r="CY45" i="21"/>
  <c r="CX45" i="21"/>
  <c r="EN45" i="21" s="1"/>
  <c r="EO45" i="21" s="1"/>
  <c r="CX8" i="21"/>
  <c r="CY8" i="21"/>
  <c r="FY60" i="21"/>
  <c r="FZ60" i="21" s="1"/>
  <c r="CX52" i="21"/>
  <c r="CY52" i="21"/>
  <c r="GA41" i="21"/>
  <c r="FZ69" i="21"/>
  <c r="CX31" i="21"/>
  <c r="CY31" i="21"/>
  <c r="GD99" i="21"/>
  <c r="GC99" i="21"/>
  <c r="GB99" i="21"/>
  <c r="CY3" i="21"/>
  <c r="CX3" i="21"/>
  <c r="CY86" i="21"/>
  <c r="CX86" i="21"/>
  <c r="EN86" i="21" s="1"/>
  <c r="EO86" i="21" s="1"/>
  <c r="GA86" i="21" s="1"/>
  <c r="FZ72" i="21"/>
  <c r="FZ87" i="21"/>
  <c r="GA87" i="21" s="1"/>
  <c r="EN30" i="21"/>
  <c r="EO30" i="21" s="1"/>
  <c r="GA30" i="21" s="1"/>
  <c r="GD9" i="21"/>
  <c r="GC9" i="21"/>
  <c r="GB9" i="21"/>
  <c r="CY10" i="21"/>
  <c r="CX10" i="21"/>
  <c r="EN10" i="21" s="1"/>
  <c r="EO10" i="21" s="1"/>
  <c r="GA10" i="21" s="1"/>
  <c r="EW91" i="21"/>
  <c r="EZ91" i="21" s="1"/>
  <c r="FA91" i="21" s="1"/>
  <c r="FZ91" i="21" s="1"/>
  <c r="EN52" i="21"/>
  <c r="EO52" i="21" s="1"/>
  <c r="GA52" i="21" s="1"/>
  <c r="EN92" i="21"/>
  <c r="EO92" i="21" s="1"/>
  <c r="GA92" i="21" s="1"/>
  <c r="CX84" i="21"/>
  <c r="CY84" i="21"/>
  <c r="EW31" i="21"/>
  <c r="EZ31" i="21" s="1"/>
  <c r="FA31" i="21" s="1"/>
  <c r="CY9" i="20"/>
  <c r="CX9" i="20"/>
  <c r="CX37" i="20"/>
  <c r="CY37" i="20"/>
  <c r="CX81" i="20"/>
  <c r="CY81" i="20"/>
  <c r="CX20" i="20"/>
  <c r="CY20" i="20"/>
  <c r="CX66" i="20"/>
  <c r="CY66" i="20"/>
  <c r="CY86" i="20"/>
  <c r="CX86" i="20"/>
  <c r="CX38" i="20"/>
  <c r="CY38" i="20"/>
  <c r="FY5" i="20"/>
  <c r="FY100" i="20"/>
  <c r="EZ17" i="20"/>
  <c r="FA17" i="20" s="1"/>
  <c r="EZ73" i="20"/>
  <c r="FA73" i="20" s="1"/>
  <c r="CX18" i="20"/>
  <c r="CY18" i="20"/>
  <c r="CY23" i="20"/>
  <c r="CX23" i="20"/>
  <c r="EZ82" i="20"/>
  <c r="FA82" i="20" s="1"/>
  <c r="FY37" i="20"/>
  <c r="CY7" i="20"/>
  <c r="CX7" i="20"/>
  <c r="CY63" i="20"/>
  <c r="CX63" i="20"/>
  <c r="CX71" i="20"/>
  <c r="CY71" i="20"/>
  <c r="CY12" i="20"/>
  <c r="CX12" i="20"/>
  <c r="CY73" i="20"/>
  <c r="CX73" i="20"/>
  <c r="CX54" i="20"/>
  <c r="CY54" i="20"/>
  <c r="CX41" i="20"/>
  <c r="CY41" i="20"/>
  <c r="CX83" i="20"/>
  <c r="CY83" i="20"/>
  <c r="CX44" i="20"/>
  <c r="CY44" i="20"/>
  <c r="EZ71" i="20"/>
  <c r="FA71" i="20" s="1"/>
  <c r="EZ7" i="20"/>
  <c r="FA7" i="20" s="1"/>
  <c r="FY70" i="20"/>
  <c r="CY55" i="20"/>
  <c r="CX55" i="20"/>
  <c r="FY40" i="20"/>
  <c r="EZ97" i="20"/>
  <c r="FA97" i="20" s="1"/>
  <c r="CX28" i="20"/>
  <c r="CY28" i="20"/>
  <c r="EZ65" i="20"/>
  <c r="FA65" i="20" s="1"/>
  <c r="CX82" i="20"/>
  <c r="CY82" i="20"/>
  <c r="CX97" i="20"/>
  <c r="CY97" i="20"/>
  <c r="CY65" i="20"/>
  <c r="CX65" i="20"/>
  <c r="CY17" i="20"/>
  <c r="CX17" i="20"/>
  <c r="FY41" i="20"/>
  <c r="CY50" i="20"/>
  <c r="CX50" i="20"/>
  <c r="EZ5" i="20"/>
  <c r="FA5" i="20" s="1"/>
  <c r="EZ67" i="20"/>
  <c r="FA67" i="20" s="1"/>
  <c r="CX52" i="20"/>
  <c r="CY52" i="20"/>
  <c r="CY8" i="20"/>
  <c r="CX8" i="20"/>
  <c r="CX58" i="20"/>
  <c r="CY58" i="20"/>
  <c r="CY76" i="20"/>
  <c r="CX76" i="20"/>
  <c r="CY92" i="20"/>
  <c r="CX92" i="20"/>
  <c r="CY29" i="20"/>
  <c r="CX29" i="20"/>
  <c r="EZ23" i="20"/>
  <c r="FA23" i="20" s="1"/>
  <c r="CY31" i="20"/>
  <c r="CX31" i="20"/>
  <c r="EZ61" i="20"/>
  <c r="FA61" i="20" s="1"/>
  <c r="CY67" i="20"/>
  <c r="CX67" i="20"/>
  <c r="EZ40" i="20"/>
  <c r="FA40" i="20" s="1"/>
  <c r="CY90" i="20"/>
  <c r="CX90" i="20"/>
  <c r="EZ11" i="20"/>
  <c r="FA11" i="20" s="1"/>
  <c r="EZ72" i="20"/>
  <c r="FA72" i="20" s="1"/>
  <c r="CY101" i="20"/>
  <c r="CX101" i="20"/>
  <c r="CX6" i="20"/>
  <c r="CY6" i="20"/>
  <c r="CY47" i="20"/>
  <c r="CX47" i="20"/>
  <c r="CY46" i="20"/>
  <c r="CX46" i="20"/>
  <c r="CY42" i="20"/>
  <c r="CX42" i="20"/>
  <c r="CX96" i="20"/>
  <c r="CY96" i="20"/>
  <c r="CX77" i="20"/>
  <c r="CY77" i="20"/>
  <c r="CX72" i="20"/>
  <c r="CY72" i="20"/>
  <c r="EZ87" i="20"/>
  <c r="FA87" i="20" s="1"/>
  <c r="CX75" i="20"/>
  <c r="CY75" i="20"/>
  <c r="CY53" i="20"/>
  <c r="CX53" i="20"/>
  <c r="EZ92" i="20"/>
  <c r="FA92" i="20" s="1"/>
  <c r="EZ80" i="20"/>
  <c r="FA80" i="20" s="1"/>
  <c r="EZ46" i="20"/>
  <c r="FA46" i="20" s="1"/>
  <c r="FY60" i="20"/>
  <c r="EZ77" i="20"/>
  <c r="FA77" i="20" s="1"/>
  <c r="CY51" i="20"/>
  <c r="CX51" i="20"/>
  <c r="CY5" i="20"/>
  <c r="CX5" i="20"/>
  <c r="CY70" i="20"/>
  <c r="CX70" i="20"/>
  <c r="CX61" i="20"/>
  <c r="CY61" i="20"/>
  <c r="CY40" i="20"/>
  <c r="CX40" i="20"/>
  <c r="EW58" i="20"/>
  <c r="EZ58" i="20" s="1"/>
  <c r="FA58" i="20" s="1"/>
  <c r="CX11" i="20"/>
  <c r="CY11" i="20"/>
  <c r="EW18" i="20"/>
  <c r="EZ18" i="20" s="1"/>
  <c r="FA18" i="20" s="1"/>
  <c r="CY87" i="20"/>
  <c r="CX87" i="20"/>
  <c r="EW29" i="20"/>
  <c r="EZ29" i="20" s="1"/>
  <c r="FA29" i="20" s="1"/>
  <c r="EN73" i="23" l="1"/>
  <c r="EM73" i="23"/>
  <c r="EL73" i="23"/>
  <c r="EL24" i="23"/>
  <c r="EN24" i="23"/>
  <c r="EM24" i="23"/>
  <c r="EM35" i="23"/>
  <c r="EL35" i="23"/>
  <c r="EN35" i="23"/>
  <c r="EL33" i="23"/>
  <c r="EN33" i="23"/>
  <c r="EM33" i="23"/>
  <c r="EL10" i="23"/>
  <c r="EN10" i="23"/>
  <c r="EM10" i="23"/>
  <c r="EN23" i="23"/>
  <c r="EM23" i="23"/>
  <c r="EL23" i="23"/>
  <c r="EN48" i="23"/>
  <c r="EM48" i="23"/>
  <c r="EL48" i="23"/>
  <c r="EN15" i="23"/>
  <c r="EM15" i="23"/>
  <c r="EL15" i="23"/>
  <c r="EN80" i="23"/>
  <c r="EM80" i="23"/>
  <c r="EL80" i="23"/>
  <c r="EN19" i="23"/>
  <c r="EM19" i="23"/>
  <c r="EL19" i="23"/>
  <c r="EN71" i="23"/>
  <c r="EM71" i="23"/>
  <c r="EL71" i="23"/>
  <c r="EN3" i="23"/>
  <c r="EM3" i="23"/>
  <c r="EL3" i="23"/>
  <c r="EN4" i="23"/>
  <c r="EM4" i="23"/>
  <c r="EL4" i="23"/>
  <c r="EN5" i="23"/>
  <c r="EM5" i="23"/>
  <c r="EL5" i="23"/>
  <c r="EN81" i="23"/>
  <c r="EM81" i="23"/>
  <c r="EL81" i="23"/>
  <c r="EM74" i="22"/>
  <c r="EL74" i="22"/>
  <c r="EN74" i="22"/>
  <c r="EM77" i="22"/>
  <c r="EN77" i="22"/>
  <c r="EL77" i="22"/>
  <c r="EL98" i="22"/>
  <c r="EN98" i="22"/>
  <c r="EM98" i="22"/>
  <c r="EL24" i="22"/>
  <c r="EN24" i="22"/>
  <c r="EM24" i="22"/>
  <c r="EN3" i="22"/>
  <c r="EM3" i="22"/>
  <c r="EL3" i="22"/>
  <c r="EL67" i="22"/>
  <c r="EN67" i="22"/>
  <c r="EM67" i="22"/>
  <c r="EN59" i="22"/>
  <c r="EM59" i="22"/>
  <c r="EL59" i="22"/>
  <c r="EN31" i="22"/>
  <c r="EM31" i="22"/>
  <c r="EL31" i="22"/>
  <c r="EN30" i="22"/>
  <c r="EM30" i="22"/>
  <c r="EL30" i="22"/>
  <c r="EN66" i="22"/>
  <c r="EM66" i="22"/>
  <c r="EL66" i="22"/>
  <c r="EN75" i="22"/>
  <c r="EM75" i="22"/>
  <c r="EL75" i="22"/>
  <c r="EL82" i="22"/>
  <c r="EN82" i="22"/>
  <c r="EM82" i="22"/>
  <c r="EL14" i="22"/>
  <c r="EN14" i="22"/>
  <c r="EM14" i="22"/>
  <c r="EN22" i="22"/>
  <c r="EM22" i="22"/>
  <c r="EL22" i="22"/>
  <c r="GC32" i="21"/>
  <c r="GB32" i="21"/>
  <c r="GB88" i="21"/>
  <c r="GD88" i="21"/>
  <c r="GC18" i="21"/>
  <c r="GC82" i="21"/>
  <c r="GB14" i="21"/>
  <c r="GC14" i="21"/>
  <c r="GD82" i="21"/>
  <c r="GB67" i="21"/>
  <c r="GD18" i="21"/>
  <c r="GB19" i="21"/>
  <c r="GB73" i="21"/>
  <c r="GC73" i="21"/>
  <c r="GD19" i="21"/>
  <c r="GB7" i="21"/>
  <c r="GC7" i="21"/>
  <c r="GC67" i="21"/>
  <c r="GD34" i="21"/>
  <c r="GA60" i="21"/>
  <c r="GC60" i="21" s="1"/>
  <c r="GA96" i="21"/>
  <c r="GD96" i="21" s="1"/>
  <c r="GB34" i="21"/>
  <c r="GA45" i="21"/>
  <c r="GD45" i="21" s="1"/>
  <c r="GA2" i="21"/>
  <c r="GB2" i="21" s="1"/>
  <c r="GD22" i="21"/>
  <c r="GC22" i="21"/>
  <c r="GB22" i="21"/>
  <c r="GD10" i="21"/>
  <c r="GC10" i="21"/>
  <c r="GB10" i="21"/>
  <c r="GD78" i="21"/>
  <c r="GC78" i="21"/>
  <c r="GB78" i="21"/>
  <c r="GD6" i="21"/>
  <c r="GB6" i="21"/>
  <c r="GC6" i="21"/>
  <c r="GD79" i="21"/>
  <c r="GC79" i="21"/>
  <c r="GB79" i="21"/>
  <c r="GC3" i="21"/>
  <c r="GD3" i="21"/>
  <c r="GB3" i="21"/>
  <c r="GD56" i="21"/>
  <c r="GC56" i="21"/>
  <c r="GB56" i="21"/>
  <c r="GD68" i="21"/>
  <c r="GC68" i="21"/>
  <c r="GB68" i="21"/>
  <c r="GD38" i="21"/>
  <c r="GC38" i="21"/>
  <c r="GB38" i="21"/>
  <c r="GD48" i="21"/>
  <c r="GC48" i="21"/>
  <c r="GB48" i="21"/>
  <c r="GB11" i="21"/>
  <c r="GD11" i="21"/>
  <c r="GC11" i="21"/>
  <c r="GD86" i="21"/>
  <c r="GC86" i="21"/>
  <c r="GB86" i="21"/>
  <c r="GC63" i="21"/>
  <c r="GD63" i="21"/>
  <c r="GB63" i="21"/>
  <c r="GD92" i="21"/>
  <c r="GC92" i="21"/>
  <c r="GB92" i="21"/>
  <c r="GD52" i="21"/>
  <c r="GC52" i="21"/>
  <c r="GB52" i="21"/>
  <c r="GD61" i="21"/>
  <c r="GC61" i="21"/>
  <c r="GB61" i="21"/>
  <c r="EN62" i="21"/>
  <c r="EO62" i="21" s="1"/>
  <c r="GA62" i="21" s="1"/>
  <c r="GD80" i="21"/>
  <c r="GC80" i="21"/>
  <c r="GB80" i="21"/>
  <c r="GA98" i="21"/>
  <c r="GD42" i="21"/>
  <c r="GC42" i="21"/>
  <c r="GB42" i="21"/>
  <c r="EN55" i="21"/>
  <c r="EO55" i="21" s="1"/>
  <c r="GA55" i="21" s="1"/>
  <c r="EN35" i="21"/>
  <c r="EO35" i="21" s="1"/>
  <c r="GA35" i="21" s="1"/>
  <c r="GD76" i="21"/>
  <c r="GC76" i="21"/>
  <c r="GB76" i="21"/>
  <c r="GD64" i="21"/>
  <c r="GC64" i="21"/>
  <c r="GB64" i="21"/>
  <c r="EN53" i="21"/>
  <c r="EO53" i="21" s="1"/>
  <c r="GA53" i="21" s="1"/>
  <c r="GD21" i="21"/>
  <c r="GC21" i="21"/>
  <c r="GB21" i="21"/>
  <c r="EN49" i="21"/>
  <c r="EO49" i="21" s="1"/>
  <c r="GA49" i="21" s="1"/>
  <c r="EN8" i="21"/>
  <c r="EO8" i="21" s="1"/>
  <c r="GA8" i="21" s="1"/>
  <c r="GB66" i="21"/>
  <c r="GD66" i="21"/>
  <c r="GC66" i="21"/>
  <c r="GD94" i="21"/>
  <c r="GC94" i="21"/>
  <c r="GB94" i="21"/>
  <c r="GD93" i="21"/>
  <c r="GC93" i="21"/>
  <c r="GB93" i="21"/>
  <c r="EN40" i="21"/>
  <c r="EO40" i="21" s="1"/>
  <c r="GA40" i="21" s="1"/>
  <c r="GB75" i="21"/>
  <c r="GD75" i="21"/>
  <c r="GC75" i="21"/>
  <c r="GD17" i="21"/>
  <c r="GC17" i="21"/>
  <c r="GB17" i="21"/>
  <c r="GD20" i="21"/>
  <c r="GB20" i="21"/>
  <c r="GC20" i="21"/>
  <c r="GD85" i="21"/>
  <c r="GC85" i="21"/>
  <c r="GB85" i="21"/>
  <c r="EN39" i="21"/>
  <c r="EO39" i="21" s="1"/>
  <c r="GA39" i="21" s="1"/>
  <c r="GD33" i="21"/>
  <c r="GC33" i="21"/>
  <c r="GB33" i="21"/>
  <c r="EN59" i="21"/>
  <c r="EO59" i="21" s="1"/>
  <c r="GA59" i="21" s="1"/>
  <c r="EN31" i="21"/>
  <c r="EO31" i="21" s="1"/>
  <c r="GA31" i="21" s="1"/>
  <c r="GD23" i="21"/>
  <c r="GC23" i="21"/>
  <c r="GB23" i="21"/>
  <c r="EN74" i="21"/>
  <c r="EO74" i="21" s="1"/>
  <c r="GA74" i="21" s="1"/>
  <c r="GA100" i="21"/>
  <c r="GA50" i="21"/>
  <c r="GD101" i="21"/>
  <c r="GC101" i="21"/>
  <c r="GB101" i="21"/>
  <c r="GC30" i="21"/>
  <c r="GB30" i="21"/>
  <c r="GD30" i="21"/>
  <c r="EN37" i="21"/>
  <c r="EO37" i="21" s="1"/>
  <c r="GA37" i="21" s="1"/>
  <c r="GA91" i="21"/>
  <c r="GA69" i="21"/>
  <c r="GA24" i="21"/>
  <c r="EN71" i="21"/>
  <c r="EO71" i="21" s="1"/>
  <c r="GA71" i="21" s="1"/>
  <c r="GA90" i="21"/>
  <c r="GD12" i="21"/>
  <c r="GC12" i="21"/>
  <c r="GB12" i="21"/>
  <c r="EN43" i="21"/>
  <c r="EO43" i="21" s="1"/>
  <c r="GA43" i="21" s="1"/>
  <c r="GD5" i="21"/>
  <c r="GC5" i="21"/>
  <c r="GB5" i="21"/>
  <c r="GD41" i="21"/>
  <c r="GC41" i="21"/>
  <c r="GB41" i="21"/>
  <c r="GB95" i="21"/>
  <c r="GC95" i="21"/>
  <c r="GD95" i="21"/>
  <c r="GD87" i="21"/>
  <c r="GC87" i="21"/>
  <c r="GB87" i="21"/>
  <c r="GA97" i="21"/>
  <c r="GD81" i="21"/>
  <c r="GC81" i="21"/>
  <c r="GB81" i="21"/>
  <c r="GD46" i="21"/>
  <c r="GB46" i="21"/>
  <c r="GC46" i="21"/>
  <c r="EN15" i="21"/>
  <c r="EO15" i="21" s="1"/>
  <c r="GA15" i="21" s="1"/>
  <c r="EN25" i="21"/>
  <c r="EO25" i="21" s="1"/>
  <c r="GA25" i="21" s="1"/>
  <c r="EN72" i="21"/>
  <c r="EO72" i="21" s="1"/>
  <c r="GD54" i="21"/>
  <c r="GC54" i="21"/>
  <c r="GB54" i="21"/>
  <c r="GC16" i="21"/>
  <c r="GB16" i="21"/>
  <c r="GD16" i="21"/>
  <c r="GA72" i="21"/>
  <c r="GD44" i="21"/>
  <c r="GC44" i="21"/>
  <c r="GB44" i="21"/>
  <c r="GD26" i="21"/>
  <c r="GC26" i="21"/>
  <c r="GB26" i="21"/>
  <c r="EN84" i="21"/>
  <c r="EO84" i="21" s="1"/>
  <c r="GA84" i="21" s="1"/>
  <c r="GA77" i="21"/>
  <c r="EN57" i="21"/>
  <c r="EO57" i="21" s="1"/>
  <c r="GA57" i="21" s="1"/>
  <c r="GD60" i="21" l="1"/>
  <c r="GB96" i="21"/>
  <c r="GC96" i="21"/>
  <c r="GB60" i="21"/>
  <c r="GC45" i="21"/>
  <c r="GB45" i="21"/>
  <c r="GD53" i="21"/>
  <c r="GC53" i="21"/>
  <c r="GB53" i="21"/>
  <c r="GD84" i="21"/>
  <c r="GC84" i="21"/>
  <c r="GB84" i="21"/>
  <c r="GD35" i="21"/>
  <c r="GC35" i="21"/>
  <c r="GB35" i="21"/>
  <c r="GD40" i="21"/>
  <c r="GC40" i="21"/>
  <c r="GB40" i="21"/>
  <c r="GD74" i="21"/>
  <c r="GC74" i="21"/>
  <c r="GB74" i="21"/>
  <c r="GD100" i="21"/>
  <c r="GC100" i="21"/>
  <c r="GB100" i="21"/>
  <c r="GD57" i="21"/>
  <c r="GC57" i="21"/>
  <c r="GB57" i="21"/>
  <c r="GD37" i="21"/>
  <c r="GC37" i="21"/>
  <c r="GB37" i="21"/>
  <c r="GD62" i="21"/>
  <c r="GC62" i="21"/>
  <c r="GB62" i="21"/>
  <c r="GD97" i="21"/>
  <c r="GC97" i="21"/>
  <c r="GB97" i="21"/>
  <c r="GD91" i="21"/>
  <c r="GC91" i="21"/>
  <c r="GB91" i="21"/>
  <c r="GD55" i="21"/>
  <c r="GC55" i="21"/>
  <c r="GB55" i="21"/>
  <c r="GB43" i="21"/>
  <c r="GD43" i="21"/>
  <c r="GC43" i="21"/>
  <c r="GC39" i="21"/>
  <c r="GB39" i="21"/>
  <c r="GD39" i="21"/>
  <c r="GD72" i="21"/>
  <c r="GC72" i="21"/>
  <c r="GB72" i="21"/>
  <c r="GD50" i="21"/>
  <c r="GC50" i="21"/>
  <c r="GB50" i="21"/>
  <c r="GD24" i="21"/>
  <c r="GC24" i="21"/>
  <c r="GB24" i="21"/>
  <c r="GD98" i="21"/>
  <c r="GC98" i="21"/>
  <c r="GB98" i="21"/>
  <c r="GD49" i="21"/>
  <c r="GC49" i="21"/>
  <c r="GB49" i="21"/>
  <c r="GB69" i="21"/>
  <c r="GD69" i="21"/>
  <c r="GC69" i="21"/>
  <c r="GC4" i="21"/>
  <c r="GD4" i="21"/>
  <c r="GB4" i="21"/>
  <c r="GD15" i="21"/>
  <c r="GC15" i="21"/>
  <c r="GB15" i="21"/>
  <c r="GD77" i="21"/>
  <c r="GC77" i="21"/>
  <c r="GB77" i="21"/>
  <c r="GB59" i="21"/>
  <c r="GD59" i="21"/>
  <c r="GC59" i="21"/>
  <c r="GD71" i="21"/>
  <c r="GC71" i="21"/>
  <c r="GB71" i="21"/>
  <c r="GD31" i="21"/>
  <c r="GC31" i="21"/>
  <c r="GB31" i="21"/>
  <c r="GD90" i="21"/>
  <c r="GC90" i="21"/>
  <c r="GB90" i="21"/>
  <c r="GB25" i="21"/>
  <c r="GD25" i="21"/>
  <c r="GC25" i="21"/>
  <c r="GD8" i="21"/>
  <c r="GC8" i="21"/>
  <c r="GB8" i="21"/>
  <c r="CX3" i="13" l="1"/>
  <c r="CX4" i="13"/>
  <c r="CX5" i="13"/>
  <c r="CX6" i="13"/>
  <c r="CX7" i="13"/>
  <c r="CX8" i="13"/>
  <c r="CX9" i="13"/>
  <c r="CX10" i="13"/>
  <c r="CX11" i="13"/>
  <c r="CX12" i="13"/>
  <c r="CX13" i="13"/>
  <c r="CX14" i="13"/>
  <c r="CX15" i="13"/>
  <c r="CX16" i="13"/>
  <c r="DE16" i="13" s="1"/>
  <c r="DF16" i="13" s="1"/>
  <c r="CX17" i="13"/>
  <c r="DE17" i="13" s="1"/>
  <c r="DF17" i="13" s="1"/>
  <c r="CX18" i="13"/>
  <c r="DE18" i="13" s="1"/>
  <c r="DF18" i="13" s="1"/>
  <c r="CX19" i="13"/>
  <c r="DE19" i="13" s="1"/>
  <c r="DF19" i="13" s="1"/>
  <c r="CX20" i="13"/>
  <c r="DE20" i="13" s="1"/>
  <c r="DF20" i="13" s="1"/>
  <c r="CX21" i="13"/>
  <c r="CX22" i="13"/>
  <c r="CX23" i="13"/>
  <c r="CX24" i="13"/>
  <c r="CX25" i="13"/>
  <c r="CX26" i="13"/>
  <c r="CX27" i="13"/>
  <c r="CX28" i="13"/>
  <c r="CX29" i="13"/>
  <c r="CX30" i="13"/>
  <c r="CX31" i="13"/>
  <c r="CX32" i="13"/>
  <c r="CX33" i="13"/>
  <c r="CX34" i="13"/>
  <c r="CX35" i="13"/>
  <c r="CX36" i="13"/>
  <c r="DE36" i="13" s="1"/>
  <c r="DF36" i="13" s="1"/>
  <c r="CX37" i="13"/>
  <c r="DE37" i="13" s="1"/>
  <c r="DF37" i="13" s="1"/>
  <c r="CX38" i="13"/>
  <c r="DE38" i="13" s="1"/>
  <c r="DF38" i="13" s="1"/>
  <c r="CX39" i="13"/>
  <c r="DE39" i="13" s="1"/>
  <c r="DF39" i="13" s="1"/>
  <c r="CX40" i="13"/>
  <c r="DE40" i="13" s="1"/>
  <c r="DF40" i="13" s="1"/>
  <c r="CX41" i="13"/>
  <c r="CX42" i="13"/>
  <c r="CX43" i="13"/>
  <c r="CX44" i="13"/>
  <c r="CX45" i="13"/>
  <c r="CX46" i="13"/>
  <c r="CX47" i="13"/>
  <c r="CX48" i="13"/>
  <c r="CX49" i="13"/>
  <c r="CX50" i="13"/>
  <c r="CX51" i="13"/>
  <c r="CX52" i="13"/>
  <c r="CX53" i="13"/>
  <c r="CX54" i="13"/>
  <c r="CX55" i="13"/>
  <c r="CX56" i="13"/>
  <c r="DE56" i="13" s="1"/>
  <c r="DF56" i="13" s="1"/>
  <c r="CX57" i="13"/>
  <c r="DE57" i="13" s="1"/>
  <c r="DF57" i="13" s="1"/>
  <c r="CX58" i="13"/>
  <c r="DE58" i="13" s="1"/>
  <c r="DF58" i="13" s="1"/>
  <c r="CX59" i="13"/>
  <c r="DE59" i="13" s="1"/>
  <c r="DF59" i="13" s="1"/>
  <c r="CX60" i="13"/>
  <c r="DE60" i="13" s="1"/>
  <c r="DF60" i="13" s="1"/>
  <c r="CX61" i="13"/>
  <c r="CX62" i="13"/>
  <c r="CX63" i="13"/>
  <c r="CX64" i="13"/>
  <c r="CX65" i="13"/>
  <c r="CX66" i="13"/>
  <c r="CX67" i="13"/>
  <c r="CX68" i="13"/>
  <c r="CX69" i="13"/>
  <c r="CX70" i="13"/>
  <c r="CX71" i="13"/>
  <c r="CX72" i="13"/>
  <c r="CX73" i="13"/>
  <c r="CX74" i="13"/>
  <c r="CX75" i="13"/>
  <c r="CX76" i="13"/>
  <c r="DE76" i="13" s="1"/>
  <c r="DF76" i="13" s="1"/>
  <c r="CX77" i="13"/>
  <c r="DE77" i="13" s="1"/>
  <c r="DF77" i="13" s="1"/>
  <c r="CX78" i="13"/>
  <c r="DE78" i="13" s="1"/>
  <c r="DF78" i="13" s="1"/>
  <c r="CX79" i="13"/>
  <c r="DE79" i="13" s="1"/>
  <c r="DF79" i="13" s="1"/>
  <c r="CX80" i="13"/>
  <c r="DE80" i="13" s="1"/>
  <c r="DF80" i="13" s="1"/>
  <c r="CX81" i="13"/>
  <c r="CX82" i="13"/>
  <c r="CX83" i="13"/>
  <c r="CX84" i="13"/>
  <c r="CX85" i="13"/>
  <c r="CX86" i="13"/>
  <c r="CX87" i="13"/>
  <c r="CX88" i="13"/>
  <c r="CX89" i="13"/>
  <c r="CX90" i="13"/>
  <c r="CX91" i="13"/>
  <c r="CX92" i="13"/>
  <c r="CX93" i="13"/>
  <c r="CX94" i="13"/>
  <c r="CX95" i="13"/>
  <c r="CX96" i="13"/>
  <c r="DE96" i="13" s="1"/>
  <c r="DF96" i="13" s="1"/>
  <c r="CX97" i="13"/>
  <c r="DE97" i="13" s="1"/>
  <c r="DF97" i="13" s="1"/>
  <c r="CX98" i="13"/>
  <c r="DE98" i="13" s="1"/>
  <c r="DF98" i="13" s="1"/>
  <c r="CX99" i="13"/>
  <c r="DE99" i="13" s="1"/>
  <c r="DF99" i="13" s="1"/>
  <c r="CX100" i="13"/>
  <c r="DE100" i="13" s="1"/>
  <c r="DF100" i="13" s="1"/>
  <c r="CX101" i="13"/>
  <c r="DK2" i="7"/>
  <c r="CN2" i="13"/>
  <c r="CO2" i="13"/>
  <c r="CP2" i="13"/>
  <c r="CQ2" i="13"/>
  <c r="CR2" i="13"/>
  <c r="CN3" i="13"/>
  <c r="CO3" i="13"/>
  <c r="CP3" i="13"/>
  <c r="CQ3" i="13"/>
  <c r="CR3" i="13"/>
  <c r="CN4" i="13"/>
  <c r="CO4" i="13"/>
  <c r="CP4" i="13"/>
  <c r="CQ4" i="13"/>
  <c r="CR4" i="13"/>
  <c r="CN5" i="13"/>
  <c r="CO5" i="13"/>
  <c r="CP5" i="13"/>
  <c r="CQ5" i="13"/>
  <c r="CR5" i="13"/>
  <c r="CN6" i="13"/>
  <c r="CO6" i="13"/>
  <c r="CP6" i="13"/>
  <c r="CQ6" i="13"/>
  <c r="CR6" i="13"/>
  <c r="CN7" i="13"/>
  <c r="CO7" i="13"/>
  <c r="CP7" i="13"/>
  <c r="CQ7" i="13"/>
  <c r="CR7" i="13"/>
  <c r="CN8" i="13"/>
  <c r="CO8" i="13"/>
  <c r="CP8" i="13"/>
  <c r="CQ8" i="13"/>
  <c r="CR8" i="13"/>
  <c r="CN9" i="13"/>
  <c r="CO9" i="13"/>
  <c r="CP9" i="13"/>
  <c r="CQ9" i="13"/>
  <c r="CR9" i="13"/>
  <c r="CN10" i="13"/>
  <c r="CO10" i="13"/>
  <c r="CP10" i="13"/>
  <c r="CQ10" i="13"/>
  <c r="CR10" i="13"/>
  <c r="CN11" i="13"/>
  <c r="CO11" i="13"/>
  <c r="CP11" i="13"/>
  <c r="CQ11" i="13"/>
  <c r="CR11" i="13"/>
  <c r="CN12" i="13"/>
  <c r="CO12" i="13"/>
  <c r="CP12" i="13"/>
  <c r="CQ12" i="13"/>
  <c r="CR12" i="13"/>
  <c r="CN13" i="13"/>
  <c r="CO13" i="13"/>
  <c r="CP13" i="13"/>
  <c r="CQ13" i="13"/>
  <c r="CR13" i="13"/>
  <c r="CN14" i="13"/>
  <c r="CO14" i="13"/>
  <c r="CP14" i="13"/>
  <c r="CQ14" i="13"/>
  <c r="CR14" i="13"/>
  <c r="CN15" i="13"/>
  <c r="CO15" i="13"/>
  <c r="CP15" i="13"/>
  <c r="CQ15" i="13"/>
  <c r="CR15" i="13"/>
  <c r="CN16" i="13"/>
  <c r="CO16" i="13"/>
  <c r="CP16" i="13"/>
  <c r="CQ16" i="13"/>
  <c r="CR16" i="13"/>
  <c r="CN17" i="13"/>
  <c r="CO17" i="13"/>
  <c r="CP17" i="13"/>
  <c r="CQ17" i="13"/>
  <c r="CR17" i="13"/>
  <c r="CN18" i="13"/>
  <c r="CO18" i="13"/>
  <c r="CP18" i="13"/>
  <c r="CQ18" i="13"/>
  <c r="CR18" i="13"/>
  <c r="CN19" i="13"/>
  <c r="CO19" i="13"/>
  <c r="CP19" i="13"/>
  <c r="CQ19" i="13"/>
  <c r="CR19" i="13"/>
  <c r="CN20" i="13"/>
  <c r="CO20" i="13"/>
  <c r="CP20" i="13"/>
  <c r="CQ20" i="13"/>
  <c r="CR20" i="13"/>
  <c r="CN21" i="13"/>
  <c r="CO21" i="13"/>
  <c r="CP21" i="13"/>
  <c r="CQ21" i="13"/>
  <c r="CR21" i="13"/>
  <c r="CN22" i="13"/>
  <c r="CO22" i="13"/>
  <c r="CP22" i="13"/>
  <c r="CQ22" i="13"/>
  <c r="CR22" i="13"/>
  <c r="CN23" i="13"/>
  <c r="CO23" i="13"/>
  <c r="CP23" i="13"/>
  <c r="CQ23" i="13"/>
  <c r="CR23" i="13"/>
  <c r="CN24" i="13"/>
  <c r="CO24" i="13"/>
  <c r="CP24" i="13"/>
  <c r="CQ24" i="13"/>
  <c r="CR24" i="13"/>
  <c r="CN25" i="13"/>
  <c r="CO25" i="13"/>
  <c r="CP25" i="13"/>
  <c r="CQ25" i="13"/>
  <c r="CR25" i="13"/>
  <c r="CN26" i="13"/>
  <c r="CO26" i="13"/>
  <c r="CP26" i="13"/>
  <c r="CQ26" i="13"/>
  <c r="CR26" i="13"/>
  <c r="CN27" i="13"/>
  <c r="CO27" i="13"/>
  <c r="CP27" i="13"/>
  <c r="CQ27" i="13"/>
  <c r="CR27" i="13"/>
  <c r="CN28" i="13"/>
  <c r="CO28" i="13"/>
  <c r="CP28" i="13"/>
  <c r="CQ28" i="13"/>
  <c r="CR28" i="13"/>
  <c r="CN29" i="13"/>
  <c r="CO29" i="13"/>
  <c r="CP29" i="13"/>
  <c r="CQ29" i="13"/>
  <c r="CR29" i="13"/>
  <c r="CN30" i="13"/>
  <c r="CO30" i="13"/>
  <c r="CP30" i="13"/>
  <c r="CQ30" i="13"/>
  <c r="CR30" i="13"/>
  <c r="CN31" i="13"/>
  <c r="CO31" i="13"/>
  <c r="CP31" i="13"/>
  <c r="CQ31" i="13"/>
  <c r="CR31" i="13"/>
  <c r="CN32" i="13"/>
  <c r="CO32" i="13"/>
  <c r="CP32" i="13"/>
  <c r="CQ32" i="13"/>
  <c r="CR32" i="13"/>
  <c r="CN33" i="13"/>
  <c r="CO33" i="13"/>
  <c r="CP33" i="13"/>
  <c r="CQ33" i="13"/>
  <c r="CR33" i="13"/>
  <c r="CN34" i="13"/>
  <c r="CO34" i="13"/>
  <c r="CP34" i="13"/>
  <c r="CQ34" i="13"/>
  <c r="CR34" i="13"/>
  <c r="CN35" i="13"/>
  <c r="CO35" i="13"/>
  <c r="CP35" i="13"/>
  <c r="CQ35" i="13"/>
  <c r="CR35" i="13"/>
  <c r="CN36" i="13"/>
  <c r="CO36" i="13"/>
  <c r="CP36" i="13"/>
  <c r="CQ36" i="13"/>
  <c r="CR36" i="13"/>
  <c r="CN37" i="13"/>
  <c r="CO37" i="13"/>
  <c r="CP37" i="13"/>
  <c r="CQ37" i="13"/>
  <c r="CR37" i="13"/>
  <c r="CN38" i="13"/>
  <c r="CO38" i="13"/>
  <c r="CP38" i="13"/>
  <c r="CQ38" i="13"/>
  <c r="CR38" i="13"/>
  <c r="CN39" i="13"/>
  <c r="CO39" i="13"/>
  <c r="CP39" i="13"/>
  <c r="CQ39" i="13"/>
  <c r="CR39" i="13"/>
  <c r="CN40" i="13"/>
  <c r="CO40" i="13"/>
  <c r="CP40" i="13"/>
  <c r="CQ40" i="13"/>
  <c r="CR40" i="13"/>
  <c r="CN41" i="13"/>
  <c r="CO41" i="13"/>
  <c r="CP41" i="13"/>
  <c r="CQ41" i="13"/>
  <c r="CR41" i="13"/>
  <c r="CN42" i="13"/>
  <c r="CO42" i="13"/>
  <c r="CP42" i="13"/>
  <c r="CQ42" i="13"/>
  <c r="CR42" i="13"/>
  <c r="CN43" i="13"/>
  <c r="CO43" i="13"/>
  <c r="CP43" i="13"/>
  <c r="CQ43" i="13"/>
  <c r="CR43" i="13"/>
  <c r="CN44" i="13"/>
  <c r="CO44" i="13"/>
  <c r="CP44" i="13"/>
  <c r="CQ44" i="13"/>
  <c r="CR44" i="13"/>
  <c r="CN45" i="13"/>
  <c r="CO45" i="13"/>
  <c r="CP45" i="13"/>
  <c r="CQ45" i="13"/>
  <c r="CR45" i="13"/>
  <c r="CN46" i="13"/>
  <c r="CO46" i="13"/>
  <c r="CP46" i="13"/>
  <c r="CQ46" i="13"/>
  <c r="CR46" i="13"/>
  <c r="CN47" i="13"/>
  <c r="CO47" i="13"/>
  <c r="CP47" i="13"/>
  <c r="CQ47" i="13"/>
  <c r="CR47" i="13"/>
  <c r="CN48" i="13"/>
  <c r="CO48" i="13"/>
  <c r="CP48" i="13"/>
  <c r="CQ48" i="13"/>
  <c r="CR48" i="13"/>
  <c r="CN49" i="13"/>
  <c r="CO49" i="13"/>
  <c r="CP49" i="13"/>
  <c r="CQ49" i="13"/>
  <c r="CR49" i="13"/>
  <c r="CN50" i="13"/>
  <c r="CO50" i="13"/>
  <c r="CP50" i="13"/>
  <c r="CQ50" i="13"/>
  <c r="CR50" i="13"/>
  <c r="CN51" i="13"/>
  <c r="CO51" i="13"/>
  <c r="CP51" i="13"/>
  <c r="CQ51" i="13"/>
  <c r="CR51" i="13"/>
  <c r="CN52" i="13"/>
  <c r="CO52" i="13"/>
  <c r="CP52" i="13"/>
  <c r="CQ52" i="13"/>
  <c r="CR52" i="13"/>
  <c r="CN53" i="13"/>
  <c r="CO53" i="13"/>
  <c r="CP53" i="13"/>
  <c r="CQ53" i="13"/>
  <c r="CR53" i="13"/>
  <c r="CN54" i="13"/>
  <c r="CO54" i="13"/>
  <c r="CP54" i="13"/>
  <c r="CQ54" i="13"/>
  <c r="CR54" i="13"/>
  <c r="CN55" i="13"/>
  <c r="CO55" i="13"/>
  <c r="CP55" i="13"/>
  <c r="CQ55" i="13"/>
  <c r="CR55" i="13"/>
  <c r="CN56" i="13"/>
  <c r="CO56" i="13"/>
  <c r="CP56" i="13"/>
  <c r="CQ56" i="13"/>
  <c r="CR56" i="13"/>
  <c r="CN57" i="13"/>
  <c r="CO57" i="13"/>
  <c r="CP57" i="13"/>
  <c r="CQ57" i="13"/>
  <c r="CR57" i="13"/>
  <c r="CN58" i="13"/>
  <c r="CO58" i="13"/>
  <c r="CP58" i="13"/>
  <c r="CQ58" i="13"/>
  <c r="CR58" i="13"/>
  <c r="CN59" i="13"/>
  <c r="CO59" i="13"/>
  <c r="CP59" i="13"/>
  <c r="CQ59" i="13"/>
  <c r="CR59" i="13"/>
  <c r="CN60" i="13"/>
  <c r="CO60" i="13"/>
  <c r="CP60" i="13"/>
  <c r="CQ60" i="13"/>
  <c r="CR60" i="13"/>
  <c r="CN61" i="13"/>
  <c r="CO61" i="13"/>
  <c r="CP61" i="13"/>
  <c r="CQ61" i="13"/>
  <c r="CR61" i="13"/>
  <c r="CN62" i="13"/>
  <c r="CO62" i="13"/>
  <c r="CP62" i="13"/>
  <c r="CQ62" i="13"/>
  <c r="CR62" i="13"/>
  <c r="CN63" i="13"/>
  <c r="CO63" i="13"/>
  <c r="CP63" i="13"/>
  <c r="CQ63" i="13"/>
  <c r="CR63" i="13"/>
  <c r="CN64" i="13"/>
  <c r="CO64" i="13"/>
  <c r="CP64" i="13"/>
  <c r="CQ64" i="13"/>
  <c r="CR64" i="13"/>
  <c r="CN65" i="13"/>
  <c r="CO65" i="13"/>
  <c r="CP65" i="13"/>
  <c r="CQ65" i="13"/>
  <c r="CR65" i="13"/>
  <c r="CN66" i="13"/>
  <c r="CO66" i="13"/>
  <c r="CP66" i="13"/>
  <c r="CQ66" i="13"/>
  <c r="CR66" i="13"/>
  <c r="CN67" i="13"/>
  <c r="CO67" i="13"/>
  <c r="CP67" i="13"/>
  <c r="CQ67" i="13"/>
  <c r="CR67" i="13"/>
  <c r="CN68" i="13"/>
  <c r="CO68" i="13"/>
  <c r="CP68" i="13"/>
  <c r="CQ68" i="13"/>
  <c r="CR68" i="13"/>
  <c r="CN69" i="13"/>
  <c r="CO69" i="13"/>
  <c r="CP69" i="13"/>
  <c r="CQ69" i="13"/>
  <c r="CR69" i="13"/>
  <c r="CN70" i="13"/>
  <c r="CO70" i="13"/>
  <c r="CP70" i="13"/>
  <c r="CQ70" i="13"/>
  <c r="CR70" i="13"/>
  <c r="CN71" i="13"/>
  <c r="CO71" i="13"/>
  <c r="CP71" i="13"/>
  <c r="CQ71" i="13"/>
  <c r="CR71" i="13"/>
  <c r="CN72" i="13"/>
  <c r="CO72" i="13"/>
  <c r="CP72" i="13"/>
  <c r="CQ72" i="13"/>
  <c r="CR72" i="13"/>
  <c r="CN73" i="13"/>
  <c r="CO73" i="13"/>
  <c r="CP73" i="13"/>
  <c r="CQ73" i="13"/>
  <c r="CR73" i="13"/>
  <c r="CN74" i="13"/>
  <c r="CO74" i="13"/>
  <c r="CP74" i="13"/>
  <c r="CQ74" i="13"/>
  <c r="CR74" i="13"/>
  <c r="CN75" i="13"/>
  <c r="CO75" i="13"/>
  <c r="CP75" i="13"/>
  <c r="CQ75" i="13"/>
  <c r="CR75" i="13"/>
  <c r="CN76" i="13"/>
  <c r="CO76" i="13"/>
  <c r="CP76" i="13"/>
  <c r="CQ76" i="13"/>
  <c r="CR76" i="13"/>
  <c r="CN77" i="13"/>
  <c r="CO77" i="13"/>
  <c r="CP77" i="13"/>
  <c r="CQ77" i="13"/>
  <c r="CR77" i="13"/>
  <c r="CN78" i="13"/>
  <c r="CO78" i="13"/>
  <c r="CP78" i="13"/>
  <c r="CQ78" i="13"/>
  <c r="CR78" i="13"/>
  <c r="CN79" i="13"/>
  <c r="CO79" i="13"/>
  <c r="CP79" i="13"/>
  <c r="CQ79" i="13"/>
  <c r="CR79" i="13"/>
  <c r="CN80" i="13"/>
  <c r="CO80" i="13"/>
  <c r="CP80" i="13"/>
  <c r="CQ80" i="13"/>
  <c r="CR80" i="13"/>
  <c r="CN81" i="13"/>
  <c r="CO81" i="13"/>
  <c r="CP81" i="13"/>
  <c r="CQ81" i="13"/>
  <c r="CR81" i="13"/>
  <c r="CN82" i="13"/>
  <c r="CO82" i="13"/>
  <c r="CP82" i="13"/>
  <c r="CQ82" i="13"/>
  <c r="CR82" i="13"/>
  <c r="CN83" i="13"/>
  <c r="CO83" i="13"/>
  <c r="CP83" i="13"/>
  <c r="CQ83" i="13"/>
  <c r="CR83" i="13"/>
  <c r="CN84" i="13"/>
  <c r="CO84" i="13"/>
  <c r="CP84" i="13"/>
  <c r="CQ84" i="13"/>
  <c r="CR84" i="13"/>
  <c r="CN85" i="13"/>
  <c r="CO85" i="13"/>
  <c r="CP85" i="13"/>
  <c r="CQ85" i="13"/>
  <c r="CR85" i="13"/>
  <c r="CN86" i="13"/>
  <c r="CO86" i="13"/>
  <c r="CP86" i="13"/>
  <c r="CQ86" i="13"/>
  <c r="CR86" i="13"/>
  <c r="CN87" i="13"/>
  <c r="CO87" i="13"/>
  <c r="CP87" i="13"/>
  <c r="CQ87" i="13"/>
  <c r="CR87" i="13"/>
  <c r="CN88" i="13"/>
  <c r="CO88" i="13"/>
  <c r="CP88" i="13"/>
  <c r="CQ88" i="13"/>
  <c r="CR88" i="13"/>
  <c r="CN89" i="13"/>
  <c r="CO89" i="13"/>
  <c r="CP89" i="13"/>
  <c r="CQ89" i="13"/>
  <c r="CR89" i="13"/>
  <c r="CN90" i="13"/>
  <c r="CO90" i="13"/>
  <c r="CP90" i="13"/>
  <c r="CQ90" i="13"/>
  <c r="CR90" i="13"/>
  <c r="CN91" i="13"/>
  <c r="CO91" i="13"/>
  <c r="CP91" i="13"/>
  <c r="CQ91" i="13"/>
  <c r="CR91" i="13"/>
  <c r="CN92" i="13"/>
  <c r="CO92" i="13"/>
  <c r="CP92" i="13"/>
  <c r="CQ92" i="13"/>
  <c r="CR92" i="13"/>
  <c r="CN93" i="13"/>
  <c r="CO93" i="13"/>
  <c r="CP93" i="13"/>
  <c r="CQ93" i="13"/>
  <c r="CR93" i="13"/>
  <c r="CN94" i="13"/>
  <c r="CO94" i="13"/>
  <c r="CP94" i="13"/>
  <c r="CQ94" i="13"/>
  <c r="CR94" i="13"/>
  <c r="CN95" i="13"/>
  <c r="CO95" i="13"/>
  <c r="CP95" i="13"/>
  <c r="CQ95" i="13"/>
  <c r="CR95" i="13"/>
  <c r="CN96" i="13"/>
  <c r="CO96" i="13"/>
  <c r="CP96" i="13"/>
  <c r="CQ96" i="13"/>
  <c r="CR96" i="13"/>
  <c r="CN97" i="13"/>
  <c r="CO97" i="13"/>
  <c r="CP97" i="13"/>
  <c r="CQ97" i="13"/>
  <c r="CR97" i="13"/>
  <c r="CN98" i="13"/>
  <c r="CO98" i="13"/>
  <c r="CP98" i="13"/>
  <c r="CQ98" i="13"/>
  <c r="CR98" i="13"/>
  <c r="CN99" i="13"/>
  <c r="CO99" i="13"/>
  <c r="CP99" i="13"/>
  <c r="CQ99" i="13"/>
  <c r="CR99" i="13"/>
  <c r="CN100" i="13"/>
  <c r="CO100" i="13"/>
  <c r="CP100" i="13"/>
  <c r="CQ100" i="13"/>
  <c r="CR100" i="13"/>
  <c r="CN101" i="13"/>
  <c r="CO101" i="13"/>
  <c r="CP101" i="13"/>
  <c r="CQ101" i="13"/>
  <c r="CR101" i="13"/>
  <c r="CM2" i="13"/>
  <c r="CM3" i="13"/>
  <c r="CM4" i="13"/>
  <c r="CM5" i="13"/>
  <c r="CM6" i="13"/>
  <c r="CM7" i="13"/>
  <c r="CM8" i="13"/>
  <c r="CM9" i="13"/>
  <c r="CM10" i="13"/>
  <c r="CM11" i="13"/>
  <c r="CM12" i="13"/>
  <c r="CM13" i="13"/>
  <c r="CM14" i="13"/>
  <c r="CM15" i="13"/>
  <c r="CM16" i="13"/>
  <c r="CM17" i="13"/>
  <c r="CM18" i="13"/>
  <c r="CM19" i="13"/>
  <c r="CM20" i="13"/>
  <c r="CM21" i="13"/>
  <c r="CM22" i="13"/>
  <c r="CM23" i="13"/>
  <c r="CM24" i="13"/>
  <c r="CM25" i="13"/>
  <c r="CM26" i="13"/>
  <c r="CM27" i="13"/>
  <c r="CM28" i="13"/>
  <c r="CM29" i="13"/>
  <c r="CM30" i="13"/>
  <c r="CM31" i="13"/>
  <c r="CM32" i="13"/>
  <c r="CM33" i="13"/>
  <c r="CM34" i="13"/>
  <c r="CM35" i="13"/>
  <c r="CM36" i="13"/>
  <c r="CM37" i="13"/>
  <c r="CM38" i="13"/>
  <c r="CM39" i="13"/>
  <c r="CM40" i="13"/>
  <c r="CM41" i="13"/>
  <c r="CM42" i="13"/>
  <c r="CM43" i="13"/>
  <c r="CM44" i="13"/>
  <c r="CM45" i="13"/>
  <c r="CM46" i="13"/>
  <c r="CM47" i="13"/>
  <c r="CM48" i="13"/>
  <c r="CM49" i="13"/>
  <c r="CM50" i="13"/>
  <c r="CM51" i="13"/>
  <c r="CM52" i="13"/>
  <c r="CM53" i="13"/>
  <c r="CM54" i="13"/>
  <c r="CM55" i="13"/>
  <c r="CM56" i="13"/>
  <c r="CM57" i="13"/>
  <c r="CM58" i="13"/>
  <c r="CM59" i="13"/>
  <c r="CM60" i="13"/>
  <c r="CM61" i="13"/>
  <c r="CM62" i="13"/>
  <c r="CM63" i="13"/>
  <c r="CM64" i="13"/>
  <c r="CM65" i="13"/>
  <c r="CM66" i="13"/>
  <c r="CM67" i="13"/>
  <c r="CM68" i="13"/>
  <c r="CM69" i="13"/>
  <c r="CM70" i="13"/>
  <c r="CM71" i="13"/>
  <c r="CM72" i="13"/>
  <c r="CM73" i="13"/>
  <c r="CM74" i="13"/>
  <c r="CM75" i="13"/>
  <c r="CM76" i="13"/>
  <c r="CM77" i="13"/>
  <c r="CM78" i="13"/>
  <c r="CM79" i="13"/>
  <c r="CM80" i="13"/>
  <c r="CM81" i="13"/>
  <c r="CM82" i="13"/>
  <c r="CM83" i="13"/>
  <c r="CM84" i="13"/>
  <c r="CM85" i="13"/>
  <c r="CM86" i="13"/>
  <c r="CM87" i="13"/>
  <c r="CM88" i="13"/>
  <c r="CM89" i="13"/>
  <c r="CM90" i="13"/>
  <c r="CM91" i="13"/>
  <c r="CM92" i="13"/>
  <c r="CM93" i="13"/>
  <c r="CM94" i="13"/>
  <c r="CM95" i="13"/>
  <c r="CM96" i="13"/>
  <c r="CM97" i="13"/>
  <c r="CM98" i="13"/>
  <c r="CM99" i="13"/>
  <c r="CM100" i="13"/>
  <c r="CM101" i="13"/>
  <c r="CM1" i="13"/>
  <c r="DE2" i="7"/>
  <c r="CL3" i="13"/>
  <c r="CL4" i="13"/>
  <c r="CL5" i="13"/>
  <c r="CL6" i="13"/>
  <c r="CL7" i="13"/>
  <c r="CL8" i="13"/>
  <c r="CL9" i="13"/>
  <c r="CL10" i="13"/>
  <c r="CL11" i="13"/>
  <c r="CL12" i="13"/>
  <c r="CL13" i="13"/>
  <c r="CL14" i="13"/>
  <c r="CL15" i="13"/>
  <c r="CL16" i="13"/>
  <c r="CL17" i="13"/>
  <c r="CL18" i="13"/>
  <c r="CL19" i="13"/>
  <c r="CL20" i="13"/>
  <c r="CL21" i="13"/>
  <c r="CL22" i="13"/>
  <c r="CL23" i="13"/>
  <c r="CL24" i="13"/>
  <c r="CL25" i="13"/>
  <c r="CL26" i="13"/>
  <c r="CL27" i="13"/>
  <c r="CL28" i="13"/>
  <c r="CL29" i="13"/>
  <c r="CL30" i="13"/>
  <c r="CL31" i="13"/>
  <c r="CL32" i="13"/>
  <c r="CL33" i="13"/>
  <c r="CL34" i="13"/>
  <c r="CL35" i="13"/>
  <c r="CL36" i="13"/>
  <c r="CL37" i="13"/>
  <c r="CL38" i="13"/>
  <c r="CL39" i="13"/>
  <c r="CL40" i="13"/>
  <c r="CL41" i="13"/>
  <c r="CL42" i="13"/>
  <c r="CL43" i="13"/>
  <c r="CL44" i="13"/>
  <c r="CL45" i="13"/>
  <c r="CL46" i="13"/>
  <c r="CL47" i="13"/>
  <c r="CL48" i="13"/>
  <c r="CL49" i="13"/>
  <c r="CL50" i="13"/>
  <c r="CL51" i="13"/>
  <c r="CL52" i="13"/>
  <c r="CL53" i="13"/>
  <c r="CL54" i="13"/>
  <c r="CL55" i="13"/>
  <c r="CL56" i="13"/>
  <c r="CL57" i="13"/>
  <c r="CL58" i="13"/>
  <c r="CL59" i="13"/>
  <c r="CL60" i="13"/>
  <c r="CL61" i="13"/>
  <c r="CL62" i="13"/>
  <c r="CL63" i="13"/>
  <c r="CL64" i="13"/>
  <c r="CL65" i="13"/>
  <c r="CL66" i="13"/>
  <c r="CL67" i="13"/>
  <c r="CL68" i="13"/>
  <c r="CL69" i="13"/>
  <c r="CL70" i="13"/>
  <c r="CL71" i="13"/>
  <c r="CL72" i="13"/>
  <c r="CL73" i="13"/>
  <c r="CL74" i="13"/>
  <c r="CL75" i="13"/>
  <c r="CL76" i="13"/>
  <c r="CL77" i="13"/>
  <c r="CL78" i="13"/>
  <c r="CL79" i="13"/>
  <c r="CL80" i="13"/>
  <c r="CL81" i="13"/>
  <c r="CL82" i="13"/>
  <c r="CL83" i="13"/>
  <c r="CL84" i="13"/>
  <c r="CL85" i="13"/>
  <c r="CL86" i="13"/>
  <c r="CL87" i="13"/>
  <c r="CL88" i="13"/>
  <c r="CL89" i="13"/>
  <c r="CL90" i="13"/>
  <c r="CL91" i="13"/>
  <c r="CL92" i="13"/>
  <c r="CL93" i="13"/>
  <c r="CL94" i="13"/>
  <c r="CL95" i="13"/>
  <c r="CL96" i="13"/>
  <c r="CL97" i="13"/>
  <c r="CL98" i="13"/>
  <c r="CL99" i="13"/>
  <c r="CL100" i="13"/>
  <c r="CL101" i="13"/>
  <c r="CK3" i="13"/>
  <c r="CK4" i="13"/>
  <c r="CK5" i="13"/>
  <c r="CK6" i="13"/>
  <c r="CK7" i="13"/>
  <c r="CK8" i="13"/>
  <c r="CK9" i="13"/>
  <c r="CK10" i="13"/>
  <c r="CK11" i="13"/>
  <c r="CK12" i="13"/>
  <c r="CK13" i="13"/>
  <c r="CK14" i="13"/>
  <c r="CK15" i="13"/>
  <c r="CK16" i="13"/>
  <c r="CK17" i="13"/>
  <c r="CK18" i="13"/>
  <c r="CK19" i="13"/>
  <c r="CK20" i="13"/>
  <c r="CK21" i="13"/>
  <c r="CK22" i="13"/>
  <c r="CK23" i="13"/>
  <c r="CK24" i="13"/>
  <c r="CK25" i="13"/>
  <c r="CK26" i="13"/>
  <c r="CK27" i="13"/>
  <c r="CK28" i="13"/>
  <c r="CK29" i="13"/>
  <c r="CK30" i="13"/>
  <c r="CK31" i="13"/>
  <c r="CK32" i="13"/>
  <c r="CK33" i="13"/>
  <c r="CK34" i="13"/>
  <c r="CK35" i="13"/>
  <c r="CK36" i="13"/>
  <c r="CK37" i="13"/>
  <c r="CK38" i="13"/>
  <c r="CK39" i="13"/>
  <c r="CK40" i="13"/>
  <c r="CK41" i="13"/>
  <c r="CK42" i="13"/>
  <c r="CK43" i="13"/>
  <c r="CK44" i="13"/>
  <c r="CK45" i="13"/>
  <c r="CK46" i="13"/>
  <c r="CK47" i="13"/>
  <c r="CK48" i="13"/>
  <c r="CK49" i="13"/>
  <c r="CK50" i="13"/>
  <c r="CK51" i="13"/>
  <c r="CK52" i="13"/>
  <c r="CK53" i="13"/>
  <c r="CK54" i="13"/>
  <c r="CK55" i="13"/>
  <c r="CK56" i="13"/>
  <c r="CK57" i="13"/>
  <c r="CK58" i="13"/>
  <c r="CK59" i="13"/>
  <c r="CK60" i="13"/>
  <c r="CK61" i="13"/>
  <c r="CK62" i="13"/>
  <c r="CK63" i="13"/>
  <c r="CK64" i="13"/>
  <c r="CK65" i="13"/>
  <c r="CK66" i="13"/>
  <c r="CK67" i="13"/>
  <c r="CK68" i="13"/>
  <c r="CK69" i="13"/>
  <c r="CK70" i="13"/>
  <c r="CK71" i="13"/>
  <c r="CK72" i="13"/>
  <c r="CK73" i="13"/>
  <c r="CK74" i="13"/>
  <c r="CK75" i="13"/>
  <c r="CK76" i="13"/>
  <c r="CK77" i="13"/>
  <c r="CK78" i="13"/>
  <c r="CK79" i="13"/>
  <c r="CK80" i="13"/>
  <c r="CK81" i="13"/>
  <c r="CK82" i="13"/>
  <c r="CK83" i="13"/>
  <c r="CK84" i="13"/>
  <c r="CK85" i="13"/>
  <c r="CK86" i="13"/>
  <c r="CK87" i="13"/>
  <c r="CK88" i="13"/>
  <c r="CK89" i="13"/>
  <c r="CK90" i="13"/>
  <c r="CK91" i="13"/>
  <c r="CK92" i="13"/>
  <c r="CK93" i="13"/>
  <c r="CK94" i="13"/>
  <c r="CK95" i="13"/>
  <c r="CK96" i="13"/>
  <c r="CK97" i="13"/>
  <c r="CK98" i="13"/>
  <c r="CK99" i="13"/>
  <c r="CK100" i="13"/>
  <c r="CK101" i="13"/>
  <c r="CJ3" i="13"/>
  <c r="CJ4" i="13"/>
  <c r="CJ5" i="13"/>
  <c r="CJ6" i="13"/>
  <c r="CJ7" i="13"/>
  <c r="CJ8" i="13"/>
  <c r="CJ9" i="13"/>
  <c r="CJ10" i="13"/>
  <c r="CJ11" i="13"/>
  <c r="CJ12" i="13"/>
  <c r="CJ13" i="13"/>
  <c r="CJ14" i="13"/>
  <c r="CJ15" i="13"/>
  <c r="CJ16" i="13"/>
  <c r="CJ17" i="13"/>
  <c r="CJ18" i="13"/>
  <c r="CJ19" i="13"/>
  <c r="CJ20" i="13"/>
  <c r="CJ21" i="13"/>
  <c r="CJ22" i="13"/>
  <c r="CJ23" i="13"/>
  <c r="CJ24" i="13"/>
  <c r="CJ25" i="13"/>
  <c r="CJ26" i="13"/>
  <c r="CJ27" i="13"/>
  <c r="CJ28" i="13"/>
  <c r="CJ29" i="13"/>
  <c r="CJ30" i="13"/>
  <c r="CJ31" i="13"/>
  <c r="CJ32" i="13"/>
  <c r="CJ33" i="13"/>
  <c r="CJ34" i="13"/>
  <c r="CJ35" i="13"/>
  <c r="CJ36" i="13"/>
  <c r="CJ37" i="13"/>
  <c r="CJ38" i="13"/>
  <c r="CJ39" i="13"/>
  <c r="CJ40" i="13"/>
  <c r="CJ41" i="13"/>
  <c r="CJ42" i="13"/>
  <c r="CJ43" i="13"/>
  <c r="CJ44" i="13"/>
  <c r="CJ45" i="13"/>
  <c r="CJ46" i="13"/>
  <c r="CJ47" i="13"/>
  <c r="CJ48" i="13"/>
  <c r="CJ49" i="13"/>
  <c r="CJ50" i="13"/>
  <c r="CJ51" i="13"/>
  <c r="CJ52" i="13"/>
  <c r="CJ53" i="13"/>
  <c r="CJ54" i="13"/>
  <c r="CJ55" i="13"/>
  <c r="CJ56" i="13"/>
  <c r="CJ57" i="13"/>
  <c r="CJ58" i="13"/>
  <c r="CJ59" i="13"/>
  <c r="CJ60" i="13"/>
  <c r="CJ61" i="13"/>
  <c r="CJ62" i="13"/>
  <c r="CJ63" i="13"/>
  <c r="CJ64" i="13"/>
  <c r="CJ65" i="13"/>
  <c r="CJ66" i="13"/>
  <c r="CJ67" i="13"/>
  <c r="CJ68" i="13"/>
  <c r="CJ69" i="13"/>
  <c r="CJ70" i="13"/>
  <c r="CJ71" i="13"/>
  <c r="CJ72" i="13"/>
  <c r="CJ73" i="13"/>
  <c r="CJ74" i="13"/>
  <c r="CJ75" i="13"/>
  <c r="CJ76" i="13"/>
  <c r="CJ77" i="13"/>
  <c r="CJ78" i="13"/>
  <c r="CJ79" i="13"/>
  <c r="CJ80" i="13"/>
  <c r="CJ81" i="13"/>
  <c r="CJ82" i="13"/>
  <c r="CJ83" i="13"/>
  <c r="CJ84" i="13"/>
  <c r="CJ85" i="13"/>
  <c r="CJ86" i="13"/>
  <c r="CJ87" i="13"/>
  <c r="CJ88" i="13"/>
  <c r="CJ89" i="13"/>
  <c r="CJ90" i="13"/>
  <c r="CJ91" i="13"/>
  <c r="CJ92" i="13"/>
  <c r="CJ93" i="13"/>
  <c r="CJ94" i="13"/>
  <c r="CJ95" i="13"/>
  <c r="CJ96" i="13"/>
  <c r="CJ97" i="13"/>
  <c r="CJ98" i="13"/>
  <c r="CJ99" i="13"/>
  <c r="CJ100" i="13"/>
  <c r="CJ101" i="13"/>
  <c r="CI3" i="13"/>
  <c r="CI4" i="13"/>
  <c r="CI5" i="13"/>
  <c r="CI6" i="13"/>
  <c r="CI7" i="13"/>
  <c r="CI8" i="13"/>
  <c r="CI9" i="13"/>
  <c r="CI10" i="13"/>
  <c r="CI11" i="13"/>
  <c r="CI12" i="13"/>
  <c r="CI13" i="13"/>
  <c r="CI14" i="13"/>
  <c r="CI15" i="13"/>
  <c r="CI16" i="13"/>
  <c r="CI17" i="13"/>
  <c r="CI18" i="13"/>
  <c r="CI19" i="13"/>
  <c r="CI20" i="13"/>
  <c r="CI21" i="13"/>
  <c r="CI22" i="13"/>
  <c r="CI23" i="13"/>
  <c r="CI24" i="13"/>
  <c r="CI25" i="13"/>
  <c r="CI26" i="13"/>
  <c r="CI27" i="13"/>
  <c r="CI28" i="13"/>
  <c r="CI29" i="13"/>
  <c r="CI30" i="13"/>
  <c r="CI31" i="13"/>
  <c r="CI32" i="13"/>
  <c r="CI33" i="13"/>
  <c r="CI34" i="13"/>
  <c r="CI35" i="13"/>
  <c r="CI36" i="13"/>
  <c r="CI37" i="13"/>
  <c r="CI38" i="13"/>
  <c r="CI39" i="13"/>
  <c r="CI40" i="13"/>
  <c r="CI41" i="13"/>
  <c r="CI42" i="13"/>
  <c r="CI43" i="13"/>
  <c r="CI44" i="13"/>
  <c r="CI45" i="13"/>
  <c r="CI46" i="13"/>
  <c r="CI47" i="13"/>
  <c r="CI48" i="13"/>
  <c r="CI49" i="13"/>
  <c r="CI50" i="13"/>
  <c r="CI51" i="13"/>
  <c r="CI52" i="13"/>
  <c r="CI53" i="13"/>
  <c r="CI54" i="13"/>
  <c r="CI55" i="13"/>
  <c r="CI56" i="13"/>
  <c r="CI57" i="13"/>
  <c r="CI58" i="13"/>
  <c r="CI59" i="13"/>
  <c r="CI60" i="13"/>
  <c r="CI61" i="13"/>
  <c r="CI62" i="13"/>
  <c r="CI63" i="13"/>
  <c r="CI64" i="13"/>
  <c r="CI65" i="13"/>
  <c r="CI66" i="13"/>
  <c r="CI67" i="13"/>
  <c r="CI68" i="13"/>
  <c r="CI69" i="13"/>
  <c r="CI70" i="13"/>
  <c r="CI71" i="13"/>
  <c r="CI72" i="13"/>
  <c r="CI73" i="13"/>
  <c r="CI74" i="13"/>
  <c r="CI75" i="13"/>
  <c r="CI76" i="13"/>
  <c r="CI77" i="13"/>
  <c r="CI78" i="13"/>
  <c r="CI79" i="13"/>
  <c r="CI80" i="13"/>
  <c r="CI81" i="13"/>
  <c r="CI82" i="13"/>
  <c r="CI83" i="13"/>
  <c r="CI84" i="13"/>
  <c r="CI85" i="13"/>
  <c r="CI86" i="13"/>
  <c r="CI87" i="13"/>
  <c r="CI88" i="13"/>
  <c r="CI89" i="13"/>
  <c r="CI90" i="13"/>
  <c r="CI91" i="13"/>
  <c r="CI92" i="13"/>
  <c r="CI93" i="13"/>
  <c r="CI94" i="13"/>
  <c r="CI95" i="13"/>
  <c r="CI96" i="13"/>
  <c r="CI97" i="13"/>
  <c r="CI98" i="13"/>
  <c r="CI99" i="13"/>
  <c r="CI100" i="13"/>
  <c r="CI101" i="13"/>
  <c r="CJ2" i="13"/>
  <c r="CK2" i="13"/>
  <c r="CL2" i="13"/>
  <c r="CI2" i="13"/>
  <c r="CS2" i="7"/>
  <c r="CG3" i="13"/>
  <c r="CG4" i="13"/>
  <c r="CG5" i="13"/>
  <c r="CG6" i="13"/>
  <c r="CG7" i="13"/>
  <c r="CG8" i="13"/>
  <c r="CG9" i="13"/>
  <c r="CG10" i="13"/>
  <c r="CG11" i="13"/>
  <c r="CG12" i="13"/>
  <c r="CG13" i="13"/>
  <c r="CG14" i="13"/>
  <c r="CG15" i="13"/>
  <c r="CG16" i="13"/>
  <c r="CG17" i="13"/>
  <c r="CG18" i="13"/>
  <c r="CG19" i="13"/>
  <c r="CG20" i="13"/>
  <c r="CG21" i="13"/>
  <c r="CG22" i="13"/>
  <c r="CG23" i="13"/>
  <c r="CG24" i="13"/>
  <c r="CG25" i="13"/>
  <c r="CG26" i="13"/>
  <c r="CG27" i="13"/>
  <c r="CG28" i="13"/>
  <c r="CG29" i="13"/>
  <c r="CG30" i="13"/>
  <c r="CG31" i="13"/>
  <c r="CG32" i="13"/>
  <c r="CG33" i="13"/>
  <c r="CG34" i="13"/>
  <c r="CG35" i="13"/>
  <c r="CG36" i="13"/>
  <c r="CG37" i="13"/>
  <c r="CG38" i="13"/>
  <c r="CG39" i="13"/>
  <c r="CG40" i="13"/>
  <c r="CG41" i="13"/>
  <c r="CG42" i="13"/>
  <c r="CG43" i="13"/>
  <c r="CG44" i="13"/>
  <c r="CG45" i="13"/>
  <c r="CG46" i="13"/>
  <c r="CG47" i="13"/>
  <c r="CG48" i="13"/>
  <c r="CG49" i="13"/>
  <c r="CG50" i="13"/>
  <c r="CG51" i="13"/>
  <c r="CG52" i="13"/>
  <c r="CG53" i="13"/>
  <c r="CG54" i="13"/>
  <c r="CG55" i="13"/>
  <c r="CG56" i="13"/>
  <c r="CG57" i="13"/>
  <c r="CG58" i="13"/>
  <c r="CG59" i="13"/>
  <c r="CG60" i="13"/>
  <c r="CG61" i="13"/>
  <c r="CG62" i="13"/>
  <c r="CG63" i="13"/>
  <c r="CG64" i="13"/>
  <c r="CG65" i="13"/>
  <c r="CG66" i="13"/>
  <c r="CG67" i="13"/>
  <c r="CG68" i="13"/>
  <c r="CG69" i="13"/>
  <c r="CG70" i="13"/>
  <c r="CG71" i="13"/>
  <c r="CG72" i="13"/>
  <c r="CG73" i="13"/>
  <c r="CG74" i="13"/>
  <c r="CG75" i="13"/>
  <c r="CG76" i="13"/>
  <c r="CG77" i="13"/>
  <c r="CG78" i="13"/>
  <c r="CG79" i="13"/>
  <c r="CG80" i="13"/>
  <c r="CG81" i="13"/>
  <c r="CG82" i="13"/>
  <c r="CG83" i="13"/>
  <c r="CG84" i="13"/>
  <c r="CG85" i="13"/>
  <c r="CG86" i="13"/>
  <c r="CG87" i="13"/>
  <c r="CG88" i="13"/>
  <c r="CG89" i="13"/>
  <c r="CG90" i="13"/>
  <c r="CG91" i="13"/>
  <c r="CG92" i="13"/>
  <c r="CG93" i="13"/>
  <c r="CG94" i="13"/>
  <c r="CG95" i="13"/>
  <c r="CG96" i="13"/>
  <c r="CG97" i="13"/>
  <c r="CG98" i="13"/>
  <c r="CG99" i="13"/>
  <c r="CG100" i="13"/>
  <c r="CG101" i="13"/>
  <c r="BU2" i="13"/>
  <c r="CF3" i="13"/>
  <c r="CF4" i="13"/>
  <c r="CF5" i="13"/>
  <c r="CF6" i="13"/>
  <c r="CF7" i="13"/>
  <c r="CF8" i="13"/>
  <c r="CF9" i="13"/>
  <c r="CF10" i="13"/>
  <c r="CF11" i="13"/>
  <c r="CF12" i="13"/>
  <c r="CF13" i="13"/>
  <c r="CF14" i="13"/>
  <c r="CF15" i="13"/>
  <c r="CF16" i="13"/>
  <c r="CF17" i="13"/>
  <c r="CF18" i="13"/>
  <c r="CF19" i="13"/>
  <c r="CF20" i="13"/>
  <c r="CF21" i="13"/>
  <c r="CF22" i="13"/>
  <c r="CF23" i="13"/>
  <c r="CF24" i="13"/>
  <c r="CF25" i="13"/>
  <c r="CF26" i="13"/>
  <c r="CF27" i="13"/>
  <c r="CF28" i="13"/>
  <c r="CF29" i="13"/>
  <c r="CF30" i="13"/>
  <c r="CF31" i="13"/>
  <c r="CF32" i="13"/>
  <c r="CF33" i="13"/>
  <c r="CF34" i="13"/>
  <c r="CF35" i="13"/>
  <c r="CF36" i="13"/>
  <c r="CF37" i="13"/>
  <c r="CF38" i="13"/>
  <c r="CF39" i="13"/>
  <c r="CF40" i="13"/>
  <c r="CF41" i="13"/>
  <c r="CF42" i="13"/>
  <c r="CF43" i="13"/>
  <c r="CF44" i="13"/>
  <c r="CF45" i="13"/>
  <c r="CF46" i="13"/>
  <c r="CF47" i="13"/>
  <c r="CF48" i="13"/>
  <c r="CF49" i="13"/>
  <c r="CF50" i="13"/>
  <c r="CF51" i="13"/>
  <c r="CF52" i="13"/>
  <c r="CF53" i="13"/>
  <c r="CF54" i="13"/>
  <c r="CF55" i="13"/>
  <c r="CF56" i="13"/>
  <c r="CF57" i="13"/>
  <c r="CF58" i="13"/>
  <c r="CF59" i="13"/>
  <c r="CF60" i="13"/>
  <c r="CF61" i="13"/>
  <c r="CF62" i="13"/>
  <c r="CF63" i="13"/>
  <c r="CF64" i="13"/>
  <c r="CF65" i="13"/>
  <c r="CF66" i="13"/>
  <c r="CF67" i="13"/>
  <c r="CF68" i="13"/>
  <c r="CF69" i="13"/>
  <c r="CF70" i="13"/>
  <c r="CF71" i="13"/>
  <c r="CF72" i="13"/>
  <c r="CF73" i="13"/>
  <c r="CF74" i="13"/>
  <c r="CF75" i="13"/>
  <c r="CF76" i="13"/>
  <c r="CF77" i="13"/>
  <c r="CF78" i="13"/>
  <c r="CF79" i="13"/>
  <c r="CF80" i="13"/>
  <c r="CF81" i="13"/>
  <c r="CF82" i="13"/>
  <c r="CF83" i="13"/>
  <c r="CF84" i="13"/>
  <c r="CF85" i="13"/>
  <c r="CF86" i="13"/>
  <c r="CF87" i="13"/>
  <c r="CF88" i="13"/>
  <c r="CF89" i="13"/>
  <c r="CF90" i="13"/>
  <c r="CF91" i="13"/>
  <c r="CF92" i="13"/>
  <c r="CF93" i="13"/>
  <c r="CF94" i="13"/>
  <c r="CF95" i="13"/>
  <c r="CF96" i="13"/>
  <c r="CF97" i="13"/>
  <c r="CF98" i="13"/>
  <c r="CF99" i="13"/>
  <c r="CF100" i="13"/>
  <c r="CF101" i="13"/>
  <c r="CF2" i="13"/>
  <c r="CE3" i="13"/>
  <c r="CE4" i="13"/>
  <c r="CE5" i="13"/>
  <c r="CE6" i="13"/>
  <c r="CE7" i="13"/>
  <c r="CE8" i="13"/>
  <c r="CE9" i="13"/>
  <c r="CE10" i="13"/>
  <c r="CE11" i="13"/>
  <c r="CE12" i="13"/>
  <c r="CE13" i="13"/>
  <c r="CE14" i="13"/>
  <c r="CE15" i="13"/>
  <c r="CE16" i="13"/>
  <c r="CE17" i="13"/>
  <c r="CE18" i="13"/>
  <c r="CE19" i="13"/>
  <c r="CE20" i="13"/>
  <c r="CE21" i="13"/>
  <c r="CE22" i="13"/>
  <c r="CE23" i="13"/>
  <c r="CE24" i="13"/>
  <c r="CE25" i="13"/>
  <c r="CE26" i="13"/>
  <c r="CE27" i="13"/>
  <c r="CE28" i="13"/>
  <c r="CE29" i="13"/>
  <c r="CE30" i="13"/>
  <c r="CE31" i="13"/>
  <c r="CE32" i="13"/>
  <c r="CE33" i="13"/>
  <c r="CE34" i="13"/>
  <c r="CE35" i="13"/>
  <c r="CE36" i="13"/>
  <c r="CE37" i="13"/>
  <c r="CE38" i="13"/>
  <c r="CE39" i="13"/>
  <c r="CE40" i="13"/>
  <c r="CE41" i="13"/>
  <c r="CE42" i="13"/>
  <c r="CE43" i="13"/>
  <c r="CE44" i="13"/>
  <c r="CE45" i="13"/>
  <c r="CE46" i="13"/>
  <c r="CE47" i="13"/>
  <c r="CE48" i="13"/>
  <c r="CE49" i="13"/>
  <c r="CE50" i="13"/>
  <c r="CE51" i="13"/>
  <c r="CE52" i="13"/>
  <c r="CE53" i="13"/>
  <c r="CE54" i="13"/>
  <c r="CE55" i="13"/>
  <c r="CE56" i="13"/>
  <c r="CE57" i="13"/>
  <c r="CE58" i="13"/>
  <c r="CE59" i="13"/>
  <c r="CE60" i="13"/>
  <c r="CE61" i="13"/>
  <c r="CE62" i="13"/>
  <c r="CE63" i="13"/>
  <c r="CE64" i="13"/>
  <c r="CE65" i="13"/>
  <c r="CE66" i="13"/>
  <c r="CE67" i="13"/>
  <c r="CE68" i="13"/>
  <c r="CE69" i="13"/>
  <c r="CE70" i="13"/>
  <c r="CE71" i="13"/>
  <c r="CE72" i="13"/>
  <c r="CE73" i="13"/>
  <c r="CE74" i="13"/>
  <c r="CE75" i="13"/>
  <c r="CE76" i="13"/>
  <c r="CE77" i="13"/>
  <c r="CE78" i="13"/>
  <c r="CE79" i="13"/>
  <c r="CE80" i="13"/>
  <c r="CE81" i="13"/>
  <c r="CE82" i="13"/>
  <c r="CE83" i="13"/>
  <c r="CE84" i="13"/>
  <c r="CE85" i="13"/>
  <c r="CE86" i="13"/>
  <c r="CE87" i="13"/>
  <c r="CE88" i="13"/>
  <c r="CE89" i="13"/>
  <c r="CE90" i="13"/>
  <c r="CE91" i="13"/>
  <c r="CE92" i="13"/>
  <c r="CE93" i="13"/>
  <c r="CE94" i="13"/>
  <c r="CE95" i="13"/>
  <c r="CE96" i="13"/>
  <c r="CE97" i="13"/>
  <c r="CE98" i="13"/>
  <c r="CE99" i="13"/>
  <c r="CE100" i="13"/>
  <c r="CE101" i="13"/>
  <c r="CE2" i="13"/>
  <c r="DD2" i="7"/>
  <c r="CD3" i="13"/>
  <c r="CD4" i="13"/>
  <c r="CD5" i="13"/>
  <c r="CD6" i="13"/>
  <c r="CD7" i="13"/>
  <c r="CD8" i="13"/>
  <c r="CD9" i="13"/>
  <c r="CD10" i="13"/>
  <c r="CD11" i="13"/>
  <c r="CD12" i="13"/>
  <c r="CD13" i="13"/>
  <c r="CD14" i="13"/>
  <c r="CD15" i="13"/>
  <c r="CD16" i="13"/>
  <c r="CD17" i="13"/>
  <c r="CD18" i="13"/>
  <c r="CD19" i="13"/>
  <c r="CD20" i="13"/>
  <c r="CD21" i="13"/>
  <c r="CD22" i="13"/>
  <c r="CD23" i="13"/>
  <c r="CD24" i="13"/>
  <c r="CD25" i="13"/>
  <c r="CD26" i="13"/>
  <c r="CD27" i="13"/>
  <c r="CD28" i="13"/>
  <c r="CD29" i="13"/>
  <c r="CD30" i="13"/>
  <c r="CD31" i="13"/>
  <c r="CD32" i="13"/>
  <c r="CD33" i="13"/>
  <c r="CD34" i="13"/>
  <c r="CD35" i="13"/>
  <c r="CD36" i="13"/>
  <c r="CD37" i="13"/>
  <c r="CD38" i="13"/>
  <c r="CD39" i="13"/>
  <c r="CD40" i="13"/>
  <c r="CD41" i="13"/>
  <c r="CD42" i="13"/>
  <c r="CD43" i="13"/>
  <c r="CD44" i="13"/>
  <c r="CD45" i="13"/>
  <c r="CD46" i="13"/>
  <c r="CD47" i="13"/>
  <c r="CD48" i="13"/>
  <c r="CD49" i="13"/>
  <c r="CD50" i="13"/>
  <c r="CD51" i="13"/>
  <c r="CD52" i="13"/>
  <c r="CD53" i="13"/>
  <c r="CD54" i="13"/>
  <c r="CD55" i="13"/>
  <c r="CD56" i="13"/>
  <c r="CD57" i="13"/>
  <c r="CD58" i="13"/>
  <c r="CD59" i="13"/>
  <c r="CD60" i="13"/>
  <c r="CD61" i="13"/>
  <c r="CD62" i="13"/>
  <c r="CD63" i="13"/>
  <c r="CD64" i="13"/>
  <c r="CD65" i="13"/>
  <c r="CD66" i="13"/>
  <c r="CD67" i="13"/>
  <c r="CD68" i="13"/>
  <c r="CD69" i="13"/>
  <c r="CD70" i="13"/>
  <c r="CD71" i="13"/>
  <c r="CD72" i="13"/>
  <c r="CD73" i="13"/>
  <c r="CD74" i="13"/>
  <c r="CD75" i="13"/>
  <c r="CD76" i="13"/>
  <c r="CD77" i="13"/>
  <c r="CD78" i="13"/>
  <c r="CD79" i="13"/>
  <c r="CD80" i="13"/>
  <c r="CD81" i="13"/>
  <c r="CD82" i="13"/>
  <c r="CD83" i="13"/>
  <c r="CD84" i="13"/>
  <c r="CD85" i="13"/>
  <c r="CD86" i="13"/>
  <c r="CD87" i="13"/>
  <c r="CD88" i="13"/>
  <c r="CD89" i="13"/>
  <c r="CD90" i="13"/>
  <c r="CD91" i="13"/>
  <c r="CD92" i="13"/>
  <c r="CD93" i="13"/>
  <c r="CD94" i="13"/>
  <c r="CD95" i="13"/>
  <c r="CD96" i="13"/>
  <c r="CD97" i="13"/>
  <c r="CD98" i="13"/>
  <c r="CD99" i="13"/>
  <c r="CD100" i="13"/>
  <c r="CD101" i="13"/>
  <c r="CD2" i="13"/>
  <c r="DC2" i="7"/>
  <c r="DW2" i="7" s="1"/>
  <c r="J18" i="3"/>
  <c r="CC3" i="13"/>
  <c r="CC4" i="13"/>
  <c r="CC5" i="13"/>
  <c r="CC6" i="13"/>
  <c r="CC7" i="13"/>
  <c r="CC8" i="13"/>
  <c r="CC9" i="13"/>
  <c r="CC10" i="13"/>
  <c r="CC11" i="13"/>
  <c r="CC12" i="13"/>
  <c r="CC13" i="13"/>
  <c r="CC14" i="13"/>
  <c r="CC15" i="13"/>
  <c r="CC16" i="13"/>
  <c r="CC17" i="13"/>
  <c r="CC18" i="13"/>
  <c r="CC19" i="13"/>
  <c r="CC20" i="13"/>
  <c r="CC21" i="13"/>
  <c r="CC22" i="13"/>
  <c r="CC23" i="13"/>
  <c r="CC24" i="13"/>
  <c r="CC25" i="13"/>
  <c r="CC26" i="13"/>
  <c r="CC27" i="13"/>
  <c r="CC28" i="13"/>
  <c r="CC29" i="13"/>
  <c r="CC30" i="13"/>
  <c r="CC31" i="13"/>
  <c r="CC32" i="13"/>
  <c r="CC33" i="13"/>
  <c r="CC34" i="13"/>
  <c r="CC35" i="13"/>
  <c r="CC36" i="13"/>
  <c r="CC37" i="13"/>
  <c r="CC38" i="13"/>
  <c r="CC39" i="13"/>
  <c r="CC40" i="13"/>
  <c r="CC41" i="13"/>
  <c r="CC42" i="13"/>
  <c r="CC43" i="13"/>
  <c r="CC44" i="13"/>
  <c r="CC45" i="13"/>
  <c r="CC46" i="13"/>
  <c r="CC47" i="13"/>
  <c r="CC48" i="13"/>
  <c r="CC49" i="13"/>
  <c r="CC50" i="13"/>
  <c r="CC51" i="13"/>
  <c r="CC52" i="13"/>
  <c r="CC53" i="13"/>
  <c r="CC54" i="13"/>
  <c r="CC55" i="13"/>
  <c r="CC56" i="13"/>
  <c r="CC57" i="13"/>
  <c r="CC58" i="13"/>
  <c r="CC59" i="13"/>
  <c r="CC60" i="13"/>
  <c r="CC61" i="13"/>
  <c r="CC62" i="13"/>
  <c r="CC63" i="13"/>
  <c r="CC64" i="13"/>
  <c r="CC65" i="13"/>
  <c r="CC66" i="13"/>
  <c r="CC67" i="13"/>
  <c r="CC68" i="13"/>
  <c r="CC69" i="13"/>
  <c r="CC70" i="13"/>
  <c r="CC71" i="13"/>
  <c r="CC72" i="13"/>
  <c r="CC73" i="13"/>
  <c r="CC74" i="13"/>
  <c r="CC75" i="13"/>
  <c r="CC76" i="13"/>
  <c r="CC77" i="13"/>
  <c r="CC78" i="13"/>
  <c r="CC79" i="13"/>
  <c r="CC80" i="13"/>
  <c r="CC81" i="13"/>
  <c r="CC82" i="13"/>
  <c r="CC83" i="13"/>
  <c r="CC84" i="13"/>
  <c r="CC85" i="13"/>
  <c r="CC86" i="13"/>
  <c r="CC87" i="13"/>
  <c r="CC88" i="13"/>
  <c r="CC89" i="13"/>
  <c r="CC90" i="13"/>
  <c r="CC91" i="13"/>
  <c r="CC92" i="13"/>
  <c r="CC93" i="13"/>
  <c r="CC94" i="13"/>
  <c r="CC95" i="13"/>
  <c r="CC96" i="13"/>
  <c r="CC97" i="13"/>
  <c r="CC98" i="13"/>
  <c r="CC99" i="13"/>
  <c r="CC100" i="13"/>
  <c r="CC101" i="13"/>
  <c r="CC2" i="13"/>
  <c r="CB2" i="13"/>
  <c r="CB3" i="13"/>
  <c r="CB4" i="13"/>
  <c r="CB5" i="13"/>
  <c r="CB6" i="13"/>
  <c r="CB7" i="13"/>
  <c r="CB8" i="13"/>
  <c r="CB9" i="13"/>
  <c r="CB10" i="13"/>
  <c r="CB11" i="13"/>
  <c r="CB12" i="13"/>
  <c r="CB13" i="13"/>
  <c r="CB14" i="13"/>
  <c r="CB15" i="13"/>
  <c r="CB16" i="13"/>
  <c r="CB17" i="13"/>
  <c r="CB18" i="13"/>
  <c r="CB19" i="13"/>
  <c r="CB20" i="13"/>
  <c r="CB21" i="13"/>
  <c r="CB22" i="13"/>
  <c r="CB23" i="13"/>
  <c r="CB24" i="13"/>
  <c r="CB25" i="13"/>
  <c r="CB26" i="13"/>
  <c r="CB27" i="13"/>
  <c r="CB28" i="13"/>
  <c r="CB29" i="13"/>
  <c r="CB30" i="13"/>
  <c r="CB31" i="13"/>
  <c r="CB32" i="13"/>
  <c r="CB33" i="13"/>
  <c r="CB34" i="13"/>
  <c r="CB35" i="13"/>
  <c r="CB36" i="13"/>
  <c r="CB37" i="13"/>
  <c r="CB38" i="13"/>
  <c r="CB39" i="13"/>
  <c r="CB40" i="13"/>
  <c r="CB41" i="13"/>
  <c r="CB42" i="13"/>
  <c r="CB43" i="13"/>
  <c r="CB44" i="13"/>
  <c r="CB45" i="13"/>
  <c r="CB46" i="13"/>
  <c r="CB47" i="13"/>
  <c r="CB48" i="13"/>
  <c r="CB49" i="13"/>
  <c r="CB50" i="13"/>
  <c r="CB51" i="13"/>
  <c r="CB52" i="13"/>
  <c r="CB53" i="13"/>
  <c r="CB54" i="13"/>
  <c r="CB55" i="13"/>
  <c r="CB56" i="13"/>
  <c r="CB57" i="13"/>
  <c r="CB58" i="13"/>
  <c r="CB59" i="13"/>
  <c r="CB60" i="13"/>
  <c r="CB61" i="13"/>
  <c r="CB62" i="13"/>
  <c r="CB63" i="13"/>
  <c r="CB64" i="13"/>
  <c r="CB65" i="13"/>
  <c r="CB66" i="13"/>
  <c r="CB67" i="13"/>
  <c r="CB68" i="13"/>
  <c r="CB69" i="13"/>
  <c r="CB70" i="13"/>
  <c r="CB71" i="13"/>
  <c r="CB72" i="13"/>
  <c r="CB73" i="13"/>
  <c r="CB74" i="13"/>
  <c r="CB75" i="13"/>
  <c r="CB76" i="13"/>
  <c r="CB77" i="13"/>
  <c r="CB78" i="13"/>
  <c r="CB79" i="13"/>
  <c r="CB80" i="13"/>
  <c r="CB81" i="13"/>
  <c r="CB82" i="13"/>
  <c r="CB83" i="13"/>
  <c r="CB84" i="13"/>
  <c r="CB85" i="13"/>
  <c r="CB86" i="13"/>
  <c r="CB87" i="13"/>
  <c r="CB88" i="13"/>
  <c r="CB89" i="13"/>
  <c r="CB90" i="13"/>
  <c r="CB91" i="13"/>
  <c r="CB92" i="13"/>
  <c r="CB93" i="13"/>
  <c r="CB94" i="13"/>
  <c r="CB95" i="13"/>
  <c r="CB96" i="13"/>
  <c r="CB97" i="13"/>
  <c r="CB98" i="13"/>
  <c r="CB99" i="13"/>
  <c r="CB100" i="13"/>
  <c r="CB101" i="13"/>
  <c r="DA2" i="7"/>
  <c r="CA3" i="13"/>
  <c r="CA4" i="13"/>
  <c r="CA5" i="13"/>
  <c r="CA6" i="13"/>
  <c r="CA7" i="13"/>
  <c r="CA8" i="13"/>
  <c r="CA9" i="13"/>
  <c r="CA10" i="13"/>
  <c r="CA11" i="13"/>
  <c r="CA12" i="13"/>
  <c r="CA13" i="13"/>
  <c r="CA14" i="13"/>
  <c r="CA15" i="13"/>
  <c r="CA16" i="13"/>
  <c r="CA17" i="13"/>
  <c r="CA18" i="13"/>
  <c r="CA19" i="13"/>
  <c r="CA20" i="13"/>
  <c r="CA21" i="13"/>
  <c r="CA22" i="13"/>
  <c r="CA23" i="13"/>
  <c r="CA24" i="13"/>
  <c r="CA25" i="13"/>
  <c r="CA26" i="13"/>
  <c r="CA27" i="13"/>
  <c r="CA28" i="13"/>
  <c r="CA29" i="13"/>
  <c r="CA30" i="13"/>
  <c r="CA31" i="13"/>
  <c r="CA32" i="13"/>
  <c r="CA33" i="13"/>
  <c r="CA34" i="13"/>
  <c r="CA35" i="13"/>
  <c r="CA36" i="13"/>
  <c r="CA37" i="13"/>
  <c r="CA38" i="13"/>
  <c r="CA39" i="13"/>
  <c r="CA40" i="13"/>
  <c r="CA41" i="13"/>
  <c r="CA42" i="13"/>
  <c r="CA43" i="13"/>
  <c r="CA44" i="13"/>
  <c r="CA45" i="13"/>
  <c r="CA46" i="13"/>
  <c r="CA47" i="13"/>
  <c r="CA48" i="13"/>
  <c r="CA49" i="13"/>
  <c r="CA50" i="13"/>
  <c r="CA51" i="13"/>
  <c r="CA52" i="13"/>
  <c r="CA53" i="13"/>
  <c r="CA54" i="13"/>
  <c r="CA55" i="13"/>
  <c r="CA56" i="13"/>
  <c r="CA57" i="13"/>
  <c r="CA58" i="13"/>
  <c r="CA59" i="13"/>
  <c r="CA60" i="13"/>
  <c r="CA61" i="13"/>
  <c r="CA62" i="13"/>
  <c r="CA63" i="13"/>
  <c r="CA64" i="13"/>
  <c r="CA65" i="13"/>
  <c r="CA66" i="13"/>
  <c r="CA67" i="13"/>
  <c r="CA68" i="13"/>
  <c r="CA69" i="13"/>
  <c r="CA70" i="13"/>
  <c r="CA71" i="13"/>
  <c r="CA72" i="13"/>
  <c r="CA73" i="13"/>
  <c r="CA74" i="13"/>
  <c r="CA75" i="13"/>
  <c r="CA76" i="13"/>
  <c r="CA77" i="13"/>
  <c r="CA78" i="13"/>
  <c r="CA79" i="13"/>
  <c r="CA80" i="13"/>
  <c r="CA81" i="13"/>
  <c r="CA82" i="13"/>
  <c r="CA83" i="13"/>
  <c r="CA84" i="13"/>
  <c r="CA85" i="13"/>
  <c r="CA86" i="13"/>
  <c r="CA87" i="13"/>
  <c r="CA88" i="13"/>
  <c r="CA89" i="13"/>
  <c r="CA90" i="13"/>
  <c r="CA91" i="13"/>
  <c r="CA92" i="13"/>
  <c r="CA93" i="13"/>
  <c r="CA94" i="13"/>
  <c r="CA95" i="13"/>
  <c r="CA96" i="13"/>
  <c r="CA97" i="13"/>
  <c r="CA98" i="13"/>
  <c r="CA99" i="13"/>
  <c r="CA100" i="13"/>
  <c r="CA101" i="13"/>
  <c r="CA2" i="13"/>
  <c r="BZ3" i="13"/>
  <c r="BZ4" i="13"/>
  <c r="BZ5" i="13"/>
  <c r="BZ6" i="13"/>
  <c r="BZ7" i="13"/>
  <c r="BZ8" i="13"/>
  <c r="BZ9" i="13"/>
  <c r="BZ10" i="13"/>
  <c r="BZ11" i="13"/>
  <c r="BZ12" i="13"/>
  <c r="BZ13" i="13"/>
  <c r="BZ14" i="13"/>
  <c r="BZ15" i="13"/>
  <c r="BZ16" i="13"/>
  <c r="BZ17" i="13"/>
  <c r="BZ18" i="13"/>
  <c r="BZ19" i="13"/>
  <c r="BZ20" i="13"/>
  <c r="BZ21" i="13"/>
  <c r="BZ22" i="13"/>
  <c r="BZ23" i="13"/>
  <c r="BZ24" i="13"/>
  <c r="BZ25" i="13"/>
  <c r="BZ26" i="13"/>
  <c r="BZ27" i="13"/>
  <c r="BZ28" i="13"/>
  <c r="BZ29" i="13"/>
  <c r="BZ30" i="13"/>
  <c r="BZ31" i="13"/>
  <c r="BZ32" i="13"/>
  <c r="BZ33" i="13"/>
  <c r="BZ34" i="13"/>
  <c r="BZ35" i="13"/>
  <c r="BZ36" i="13"/>
  <c r="BZ37" i="13"/>
  <c r="BZ38" i="13"/>
  <c r="BZ39" i="13"/>
  <c r="BZ40" i="13"/>
  <c r="BZ41" i="13"/>
  <c r="BZ42" i="13"/>
  <c r="BZ43" i="13"/>
  <c r="BZ44" i="13"/>
  <c r="BZ45" i="13"/>
  <c r="BZ46" i="13"/>
  <c r="BZ47" i="13"/>
  <c r="BZ48" i="13"/>
  <c r="BZ49" i="13"/>
  <c r="BZ50" i="13"/>
  <c r="BZ51" i="13"/>
  <c r="BZ52" i="13"/>
  <c r="BZ53" i="13"/>
  <c r="BZ54" i="13"/>
  <c r="BZ55" i="13"/>
  <c r="BZ56" i="13"/>
  <c r="BZ57" i="13"/>
  <c r="BZ58" i="13"/>
  <c r="BZ59" i="13"/>
  <c r="BZ60" i="13"/>
  <c r="BZ61" i="13"/>
  <c r="BZ62" i="13"/>
  <c r="BZ63" i="13"/>
  <c r="BZ64" i="13"/>
  <c r="BZ65" i="13"/>
  <c r="BZ66" i="13"/>
  <c r="BZ67" i="13"/>
  <c r="BZ68" i="13"/>
  <c r="BZ69" i="13"/>
  <c r="BZ70" i="13"/>
  <c r="BZ71" i="13"/>
  <c r="BZ72" i="13"/>
  <c r="BZ73" i="13"/>
  <c r="BZ74" i="13"/>
  <c r="BZ75" i="13"/>
  <c r="BZ76" i="13"/>
  <c r="BZ77" i="13"/>
  <c r="BZ78" i="13"/>
  <c r="BZ79" i="13"/>
  <c r="BZ80" i="13"/>
  <c r="BZ81" i="13"/>
  <c r="BZ82" i="13"/>
  <c r="BZ83" i="13"/>
  <c r="BZ84" i="13"/>
  <c r="BZ85" i="13"/>
  <c r="BZ86" i="13"/>
  <c r="BZ87" i="13"/>
  <c r="BZ88" i="13"/>
  <c r="BZ89" i="13"/>
  <c r="BZ90" i="13"/>
  <c r="BZ91" i="13"/>
  <c r="BZ92" i="13"/>
  <c r="BZ93" i="13"/>
  <c r="BZ94" i="13"/>
  <c r="BZ95" i="13"/>
  <c r="BZ96" i="13"/>
  <c r="BZ97" i="13"/>
  <c r="BZ98" i="13"/>
  <c r="BZ99" i="13"/>
  <c r="BZ100" i="13"/>
  <c r="BZ101" i="13"/>
  <c r="BZ2" i="13"/>
  <c r="BX2" i="13"/>
  <c r="BY3" i="13"/>
  <c r="BY4" i="13"/>
  <c r="BY5" i="13"/>
  <c r="BY6" i="13"/>
  <c r="BY7" i="13"/>
  <c r="BY8" i="13"/>
  <c r="BY9" i="13"/>
  <c r="BY10" i="13"/>
  <c r="BY11" i="13"/>
  <c r="BY12" i="13"/>
  <c r="BY13" i="13"/>
  <c r="BY14" i="13"/>
  <c r="BY15" i="13"/>
  <c r="BY16" i="13"/>
  <c r="BY17" i="13"/>
  <c r="BY18" i="13"/>
  <c r="BY19" i="13"/>
  <c r="BY20" i="13"/>
  <c r="BY21" i="13"/>
  <c r="BY22" i="13"/>
  <c r="BY23" i="13"/>
  <c r="BY24" i="13"/>
  <c r="BY25" i="13"/>
  <c r="BY26" i="13"/>
  <c r="BY27" i="13"/>
  <c r="BY28" i="13"/>
  <c r="BY29" i="13"/>
  <c r="BY30" i="13"/>
  <c r="BY31" i="13"/>
  <c r="BY32" i="13"/>
  <c r="BY33" i="13"/>
  <c r="BY34" i="13"/>
  <c r="BY35" i="13"/>
  <c r="BY36" i="13"/>
  <c r="BY37" i="13"/>
  <c r="BY38" i="13"/>
  <c r="BY39" i="13"/>
  <c r="BY40" i="13"/>
  <c r="BY41" i="13"/>
  <c r="BY42" i="13"/>
  <c r="BY43" i="13"/>
  <c r="BY44" i="13"/>
  <c r="BY45" i="13"/>
  <c r="BY46" i="13"/>
  <c r="BY47" i="13"/>
  <c r="BY48" i="13"/>
  <c r="BY49" i="13"/>
  <c r="BY50" i="13"/>
  <c r="BY51" i="13"/>
  <c r="BY52" i="13"/>
  <c r="BY53" i="13"/>
  <c r="BY54" i="13"/>
  <c r="BY55" i="13"/>
  <c r="BY56" i="13"/>
  <c r="BY57" i="13"/>
  <c r="BY58" i="13"/>
  <c r="BY59" i="13"/>
  <c r="BY60" i="13"/>
  <c r="BY61" i="13"/>
  <c r="BY62" i="13"/>
  <c r="BY63" i="13"/>
  <c r="BY64" i="13"/>
  <c r="BY65" i="13"/>
  <c r="BY66" i="13"/>
  <c r="BY67" i="13"/>
  <c r="BY68" i="13"/>
  <c r="BY69" i="13"/>
  <c r="BY70" i="13"/>
  <c r="BY71" i="13"/>
  <c r="BY72" i="13"/>
  <c r="BY73" i="13"/>
  <c r="BY74" i="13"/>
  <c r="BY75" i="13"/>
  <c r="BY76" i="13"/>
  <c r="BY77" i="13"/>
  <c r="BY78" i="13"/>
  <c r="BY79" i="13"/>
  <c r="BY80" i="13"/>
  <c r="BY81" i="13"/>
  <c r="BY82" i="13"/>
  <c r="BY83" i="13"/>
  <c r="BY84" i="13"/>
  <c r="BY85" i="13"/>
  <c r="BY86" i="13"/>
  <c r="BY87" i="13"/>
  <c r="BY88" i="13"/>
  <c r="BY89" i="13"/>
  <c r="BY90" i="13"/>
  <c r="BY91" i="13"/>
  <c r="BY92" i="13"/>
  <c r="BY93" i="13"/>
  <c r="BY94" i="13"/>
  <c r="BY95" i="13"/>
  <c r="BY96" i="13"/>
  <c r="BY97" i="13"/>
  <c r="BY98" i="13"/>
  <c r="BY99" i="13"/>
  <c r="BY100" i="13"/>
  <c r="BY101" i="13"/>
  <c r="BY2" i="13"/>
  <c r="BW3" i="13"/>
  <c r="BW4" i="13"/>
  <c r="BW5" i="13"/>
  <c r="BW6" i="13"/>
  <c r="BW7" i="13"/>
  <c r="BW8" i="13"/>
  <c r="BW9" i="13"/>
  <c r="BW10" i="13"/>
  <c r="BW11" i="13"/>
  <c r="BW12" i="13"/>
  <c r="BW13" i="13"/>
  <c r="BW14" i="13"/>
  <c r="BW15" i="13"/>
  <c r="BW16" i="13"/>
  <c r="BW17" i="13"/>
  <c r="BW18" i="13"/>
  <c r="BW19" i="13"/>
  <c r="BW20" i="13"/>
  <c r="BW21" i="13"/>
  <c r="BW22" i="13"/>
  <c r="BW23" i="13"/>
  <c r="BW24" i="13"/>
  <c r="BW25" i="13"/>
  <c r="BW26" i="13"/>
  <c r="BW27" i="13"/>
  <c r="BW28" i="13"/>
  <c r="BW29" i="13"/>
  <c r="BW30" i="13"/>
  <c r="BW31" i="13"/>
  <c r="BW32" i="13"/>
  <c r="BW33" i="13"/>
  <c r="BW34" i="13"/>
  <c r="BW35" i="13"/>
  <c r="BW36" i="13"/>
  <c r="BW37" i="13"/>
  <c r="BW38" i="13"/>
  <c r="BW39" i="13"/>
  <c r="BW40" i="13"/>
  <c r="BW41" i="13"/>
  <c r="BW42" i="13"/>
  <c r="BW43" i="13"/>
  <c r="BW44" i="13"/>
  <c r="BW45" i="13"/>
  <c r="BW46" i="13"/>
  <c r="BW47" i="13"/>
  <c r="BW48" i="13"/>
  <c r="BW49" i="13"/>
  <c r="BW50" i="13"/>
  <c r="BW51" i="13"/>
  <c r="BW52" i="13"/>
  <c r="BW53" i="13"/>
  <c r="BW54" i="13"/>
  <c r="BW55" i="13"/>
  <c r="BW56" i="13"/>
  <c r="BW57" i="13"/>
  <c r="BW58" i="13"/>
  <c r="BW59" i="13"/>
  <c r="BW60" i="13"/>
  <c r="BW61" i="13"/>
  <c r="BW62" i="13"/>
  <c r="BW63" i="13"/>
  <c r="BW64" i="13"/>
  <c r="BW65" i="13"/>
  <c r="BW66" i="13"/>
  <c r="BW67" i="13"/>
  <c r="BW68" i="13"/>
  <c r="BW69" i="13"/>
  <c r="BW70" i="13"/>
  <c r="BW71" i="13"/>
  <c r="BW72" i="13"/>
  <c r="BW73" i="13"/>
  <c r="BW74" i="13"/>
  <c r="BW75" i="13"/>
  <c r="BW76" i="13"/>
  <c r="BW77" i="13"/>
  <c r="BW78" i="13"/>
  <c r="BW79" i="13"/>
  <c r="BW80" i="13"/>
  <c r="BW81" i="13"/>
  <c r="BW82" i="13"/>
  <c r="BW83" i="13"/>
  <c r="BW84" i="13"/>
  <c r="BW85" i="13"/>
  <c r="BW86" i="13"/>
  <c r="BW87" i="13"/>
  <c r="BW88" i="13"/>
  <c r="BW89" i="13"/>
  <c r="BW90" i="13"/>
  <c r="BW91" i="13"/>
  <c r="BW92" i="13"/>
  <c r="BW93" i="13"/>
  <c r="BW94" i="13"/>
  <c r="BW95" i="13"/>
  <c r="BW96" i="13"/>
  <c r="BW97" i="13"/>
  <c r="BW98" i="13"/>
  <c r="BW99" i="13"/>
  <c r="BW100" i="13"/>
  <c r="BW101" i="13"/>
  <c r="BW2" i="13"/>
  <c r="BV3" i="13"/>
  <c r="BV4" i="13"/>
  <c r="BV5" i="13"/>
  <c r="BV6" i="13"/>
  <c r="BV7" i="13"/>
  <c r="BV8" i="13"/>
  <c r="BV9" i="13"/>
  <c r="BV10" i="13"/>
  <c r="BV11" i="13"/>
  <c r="BV12" i="13"/>
  <c r="BV13" i="13"/>
  <c r="BV14" i="13"/>
  <c r="BV15" i="13"/>
  <c r="BV16" i="13"/>
  <c r="BV17" i="13"/>
  <c r="BV18" i="13"/>
  <c r="BV19" i="13"/>
  <c r="BV20" i="13"/>
  <c r="BV21" i="13"/>
  <c r="BV22" i="13"/>
  <c r="BV23" i="13"/>
  <c r="BV24" i="13"/>
  <c r="BV25" i="13"/>
  <c r="BV26" i="13"/>
  <c r="BV27" i="13"/>
  <c r="BV28" i="13"/>
  <c r="BV29" i="13"/>
  <c r="BV30" i="13"/>
  <c r="BV31" i="13"/>
  <c r="BV32" i="13"/>
  <c r="BV33" i="13"/>
  <c r="BV34" i="13"/>
  <c r="BV35" i="13"/>
  <c r="BV36" i="13"/>
  <c r="BV37" i="13"/>
  <c r="BV38" i="13"/>
  <c r="BV39" i="13"/>
  <c r="BV40" i="13"/>
  <c r="BV41" i="13"/>
  <c r="BV42" i="13"/>
  <c r="BV43" i="13"/>
  <c r="BV44" i="13"/>
  <c r="BV45" i="13"/>
  <c r="BV46" i="13"/>
  <c r="BV47" i="13"/>
  <c r="BV48" i="13"/>
  <c r="BV49" i="13"/>
  <c r="BV50" i="13"/>
  <c r="BV51" i="13"/>
  <c r="BV52" i="13"/>
  <c r="BV53" i="13"/>
  <c r="BV54" i="13"/>
  <c r="BV55" i="13"/>
  <c r="BV56" i="13"/>
  <c r="BV57" i="13"/>
  <c r="BV58" i="13"/>
  <c r="BV59" i="13"/>
  <c r="BV60" i="13"/>
  <c r="BV61" i="13"/>
  <c r="BV62" i="13"/>
  <c r="BV63" i="13"/>
  <c r="BV64" i="13"/>
  <c r="BV65" i="13"/>
  <c r="BV66" i="13"/>
  <c r="BV67" i="13"/>
  <c r="BV68" i="13"/>
  <c r="BV69" i="13"/>
  <c r="BV70" i="13"/>
  <c r="BV71" i="13"/>
  <c r="BV72" i="13"/>
  <c r="BV73" i="13"/>
  <c r="BV74" i="13"/>
  <c r="BV75" i="13"/>
  <c r="BV76" i="13"/>
  <c r="BV77" i="13"/>
  <c r="BV78" i="13"/>
  <c r="BV79" i="13"/>
  <c r="BV80" i="13"/>
  <c r="BV81" i="13"/>
  <c r="BV82" i="13"/>
  <c r="BV83" i="13"/>
  <c r="BV84" i="13"/>
  <c r="BV85" i="13"/>
  <c r="BV86" i="13"/>
  <c r="BV87" i="13"/>
  <c r="BV88" i="13"/>
  <c r="BV89" i="13"/>
  <c r="BV90" i="13"/>
  <c r="BV91" i="13"/>
  <c r="BV92" i="13"/>
  <c r="BV93" i="13"/>
  <c r="BV94" i="13"/>
  <c r="BV95" i="13"/>
  <c r="BV96" i="13"/>
  <c r="BV97" i="13"/>
  <c r="BV98" i="13"/>
  <c r="BV99" i="13"/>
  <c r="BV100" i="13"/>
  <c r="BV101" i="13"/>
  <c r="BV2" i="13"/>
  <c r="BU3" i="13"/>
  <c r="BU4" i="13"/>
  <c r="BU5" i="13"/>
  <c r="BU6" i="13"/>
  <c r="BU7" i="13"/>
  <c r="BU8" i="13"/>
  <c r="BU9" i="13"/>
  <c r="BU10" i="13"/>
  <c r="BU11" i="13"/>
  <c r="BU12" i="13"/>
  <c r="BU13" i="13"/>
  <c r="BU14" i="13"/>
  <c r="BU15" i="13"/>
  <c r="BU16" i="13"/>
  <c r="BU17" i="13"/>
  <c r="BU18" i="13"/>
  <c r="BU19" i="13"/>
  <c r="BU20" i="13"/>
  <c r="BU21" i="13"/>
  <c r="BU22" i="13"/>
  <c r="BU23" i="13"/>
  <c r="BU24" i="13"/>
  <c r="BU25" i="13"/>
  <c r="BU26" i="13"/>
  <c r="BU27" i="13"/>
  <c r="BU28" i="13"/>
  <c r="BU29" i="13"/>
  <c r="BU30" i="13"/>
  <c r="BU31" i="13"/>
  <c r="BU32" i="13"/>
  <c r="BU33" i="13"/>
  <c r="BU34" i="13"/>
  <c r="BU35" i="13"/>
  <c r="BU36" i="13"/>
  <c r="BU37" i="13"/>
  <c r="BU38" i="13"/>
  <c r="BU39" i="13"/>
  <c r="BU40" i="13"/>
  <c r="BU41" i="13"/>
  <c r="BU42" i="13"/>
  <c r="BU43" i="13"/>
  <c r="BU44" i="13"/>
  <c r="BU45" i="13"/>
  <c r="BU46" i="13"/>
  <c r="BU47" i="13"/>
  <c r="BU48" i="13"/>
  <c r="BU49" i="13"/>
  <c r="BU50" i="13"/>
  <c r="BU51" i="13"/>
  <c r="BU52" i="13"/>
  <c r="BU53" i="13"/>
  <c r="BU54" i="13"/>
  <c r="BU55" i="13"/>
  <c r="BU56" i="13"/>
  <c r="BU57" i="13"/>
  <c r="BU58" i="13"/>
  <c r="BU59" i="13"/>
  <c r="BU60" i="13"/>
  <c r="BU61" i="13"/>
  <c r="BU62" i="13"/>
  <c r="BU63" i="13"/>
  <c r="BU64" i="13"/>
  <c r="BU65" i="13"/>
  <c r="BU66" i="13"/>
  <c r="BU67" i="13"/>
  <c r="BU68" i="13"/>
  <c r="BU69" i="13"/>
  <c r="BU70" i="13"/>
  <c r="BU71" i="13"/>
  <c r="BU72" i="13"/>
  <c r="BU73" i="13"/>
  <c r="BU74" i="13"/>
  <c r="BU75" i="13"/>
  <c r="BU76" i="13"/>
  <c r="BU77" i="13"/>
  <c r="BU78" i="13"/>
  <c r="BU79" i="13"/>
  <c r="BU80" i="13"/>
  <c r="BU81" i="13"/>
  <c r="BU82" i="13"/>
  <c r="BU83" i="13"/>
  <c r="BU84" i="13"/>
  <c r="BU85" i="13"/>
  <c r="BU86" i="13"/>
  <c r="BU87" i="13"/>
  <c r="BU88" i="13"/>
  <c r="BU89" i="13"/>
  <c r="BU90" i="13"/>
  <c r="BU91" i="13"/>
  <c r="BU92" i="13"/>
  <c r="BU93" i="13"/>
  <c r="BU94" i="13"/>
  <c r="BU95" i="13"/>
  <c r="BU96" i="13"/>
  <c r="BU97" i="13"/>
  <c r="BU98" i="13"/>
  <c r="BU99" i="13"/>
  <c r="BU100" i="13"/>
  <c r="BU101" i="13"/>
  <c r="CN2" i="7"/>
  <c r="BX3" i="13"/>
  <c r="BX4" i="13"/>
  <c r="BX5" i="13"/>
  <c r="BX6" i="13"/>
  <c r="BX7" i="13"/>
  <c r="BX8" i="13"/>
  <c r="BX9" i="13"/>
  <c r="BX10" i="13"/>
  <c r="BX11" i="13"/>
  <c r="BX12" i="13"/>
  <c r="BX13" i="13"/>
  <c r="BX14" i="13"/>
  <c r="BX15" i="13"/>
  <c r="BX16" i="13"/>
  <c r="BX17" i="13"/>
  <c r="BX18" i="13"/>
  <c r="BX19" i="13"/>
  <c r="BX20" i="13"/>
  <c r="BX21" i="13"/>
  <c r="BX22" i="13"/>
  <c r="BX23" i="13"/>
  <c r="BX24" i="13"/>
  <c r="BX25" i="13"/>
  <c r="BX26" i="13"/>
  <c r="BX27" i="13"/>
  <c r="BX28" i="13"/>
  <c r="BX29" i="13"/>
  <c r="BX30" i="13"/>
  <c r="BX31" i="13"/>
  <c r="BX32" i="13"/>
  <c r="BX33" i="13"/>
  <c r="BX34" i="13"/>
  <c r="BX35" i="13"/>
  <c r="BX36" i="13"/>
  <c r="BX37" i="13"/>
  <c r="BX38" i="13"/>
  <c r="BX39" i="13"/>
  <c r="BX40" i="13"/>
  <c r="BX41" i="13"/>
  <c r="BX42" i="13"/>
  <c r="BX43" i="13"/>
  <c r="BX44" i="13"/>
  <c r="BX45" i="13"/>
  <c r="BX46" i="13"/>
  <c r="BX47" i="13"/>
  <c r="BX48" i="13"/>
  <c r="BX49" i="13"/>
  <c r="BX50" i="13"/>
  <c r="BX51" i="13"/>
  <c r="BX52" i="13"/>
  <c r="BX53" i="13"/>
  <c r="BX54" i="13"/>
  <c r="BX55" i="13"/>
  <c r="BX56" i="13"/>
  <c r="BX57" i="13"/>
  <c r="BX58" i="13"/>
  <c r="BX59" i="13"/>
  <c r="BX60" i="13"/>
  <c r="BX61" i="13"/>
  <c r="BX62" i="13"/>
  <c r="BX63" i="13"/>
  <c r="BX64" i="13"/>
  <c r="BX65" i="13"/>
  <c r="BX66" i="13"/>
  <c r="BX67" i="13"/>
  <c r="BX68" i="13"/>
  <c r="BX69" i="13"/>
  <c r="BX70" i="13"/>
  <c r="BX71" i="13"/>
  <c r="BX72" i="13"/>
  <c r="BX73" i="13"/>
  <c r="BX74" i="13"/>
  <c r="BX75" i="13"/>
  <c r="BX76" i="13"/>
  <c r="BX77" i="13"/>
  <c r="BX78" i="13"/>
  <c r="BX79" i="13"/>
  <c r="BX80" i="13"/>
  <c r="BX81" i="13"/>
  <c r="BX82" i="13"/>
  <c r="BX83" i="13"/>
  <c r="BX84" i="13"/>
  <c r="BX85" i="13"/>
  <c r="BX86" i="13"/>
  <c r="BX87" i="13"/>
  <c r="BX88" i="13"/>
  <c r="BX89" i="13"/>
  <c r="BX90" i="13"/>
  <c r="BX91" i="13"/>
  <c r="BX92" i="13"/>
  <c r="BX93" i="13"/>
  <c r="BX94" i="13"/>
  <c r="BX95" i="13"/>
  <c r="BX96" i="13"/>
  <c r="BX97" i="13"/>
  <c r="BX98" i="13"/>
  <c r="BX99" i="13"/>
  <c r="BX100" i="13"/>
  <c r="BX101" i="13"/>
  <c r="BT3" i="13"/>
  <c r="BT4" i="13"/>
  <c r="BT5" i="13"/>
  <c r="BT6" i="13"/>
  <c r="BT7" i="13"/>
  <c r="BT8" i="13"/>
  <c r="BT9" i="13"/>
  <c r="BT10" i="13"/>
  <c r="BT11" i="13"/>
  <c r="BT12" i="13"/>
  <c r="BT13" i="13"/>
  <c r="BT14" i="13"/>
  <c r="BT15" i="13"/>
  <c r="BT16" i="13"/>
  <c r="BT17" i="13"/>
  <c r="BT18" i="13"/>
  <c r="BT19" i="13"/>
  <c r="BT20" i="13"/>
  <c r="BT21" i="13"/>
  <c r="BT22" i="13"/>
  <c r="BT23" i="13"/>
  <c r="BT24" i="13"/>
  <c r="BT25" i="13"/>
  <c r="BT26" i="13"/>
  <c r="BT27" i="13"/>
  <c r="BT28" i="13"/>
  <c r="BT29" i="13"/>
  <c r="BT30" i="13"/>
  <c r="BT31" i="13"/>
  <c r="BT32" i="13"/>
  <c r="BT33" i="13"/>
  <c r="BT34" i="13"/>
  <c r="BT35" i="13"/>
  <c r="BT36" i="13"/>
  <c r="BT37" i="13"/>
  <c r="BT38" i="13"/>
  <c r="BT39" i="13"/>
  <c r="BT40" i="13"/>
  <c r="BT41" i="13"/>
  <c r="BT42" i="13"/>
  <c r="BT43" i="13"/>
  <c r="BT44" i="13"/>
  <c r="BT45" i="13"/>
  <c r="BT46" i="13"/>
  <c r="BT47" i="13"/>
  <c r="BT48" i="13"/>
  <c r="BT49" i="13"/>
  <c r="BT50" i="13"/>
  <c r="BT51" i="13"/>
  <c r="BT52" i="13"/>
  <c r="BT53" i="13"/>
  <c r="BT54" i="13"/>
  <c r="BT55" i="13"/>
  <c r="BT56" i="13"/>
  <c r="BT57" i="13"/>
  <c r="BT58" i="13"/>
  <c r="BT59" i="13"/>
  <c r="BT60" i="13"/>
  <c r="BT61" i="13"/>
  <c r="BT62" i="13"/>
  <c r="BT63" i="13"/>
  <c r="BT64" i="13"/>
  <c r="BT65" i="13"/>
  <c r="BT66" i="13"/>
  <c r="BT67" i="13"/>
  <c r="BT68" i="13"/>
  <c r="BT69" i="13"/>
  <c r="BT70" i="13"/>
  <c r="BT71" i="13"/>
  <c r="BT72" i="13"/>
  <c r="BT73" i="13"/>
  <c r="BT74" i="13"/>
  <c r="BT75" i="13"/>
  <c r="BT76" i="13"/>
  <c r="BT77" i="13"/>
  <c r="BT78" i="13"/>
  <c r="BT79" i="13"/>
  <c r="BT80" i="13"/>
  <c r="BT81" i="13"/>
  <c r="BT82" i="13"/>
  <c r="BT83" i="13"/>
  <c r="BT84" i="13"/>
  <c r="BT85" i="13"/>
  <c r="BT86" i="13"/>
  <c r="BT87" i="13"/>
  <c r="BT88" i="13"/>
  <c r="BT89" i="13"/>
  <c r="BT90" i="13"/>
  <c r="BT91" i="13"/>
  <c r="BT92" i="13"/>
  <c r="BT93" i="13"/>
  <c r="BT94" i="13"/>
  <c r="BT95" i="13"/>
  <c r="BT96" i="13"/>
  <c r="BT97" i="13"/>
  <c r="BT98" i="13"/>
  <c r="BT99" i="13"/>
  <c r="BT100" i="13"/>
  <c r="BT101" i="13"/>
  <c r="BT2" i="13"/>
  <c r="BS2" i="13"/>
  <c r="BS3" i="13"/>
  <c r="BS4" i="13"/>
  <c r="BS5" i="13"/>
  <c r="BS6" i="13"/>
  <c r="BS7" i="13"/>
  <c r="BS8" i="13"/>
  <c r="BS9" i="13"/>
  <c r="BS10" i="13"/>
  <c r="BS11" i="13"/>
  <c r="BS12" i="13"/>
  <c r="BS13" i="13"/>
  <c r="BS14" i="13"/>
  <c r="BS15" i="13"/>
  <c r="BS16" i="13"/>
  <c r="BS17" i="13"/>
  <c r="BS18" i="13"/>
  <c r="BS19" i="13"/>
  <c r="BS20" i="13"/>
  <c r="BS21" i="13"/>
  <c r="BS22" i="13"/>
  <c r="BS23" i="13"/>
  <c r="BS24" i="13"/>
  <c r="BS25" i="13"/>
  <c r="BS26" i="13"/>
  <c r="BS27" i="13"/>
  <c r="BS28" i="13"/>
  <c r="BS29" i="13"/>
  <c r="BS30" i="13"/>
  <c r="BS31" i="13"/>
  <c r="BS32" i="13"/>
  <c r="BS33" i="13"/>
  <c r="BS34" i="13"/>
  <c r="BS35" i="13"/>
  <c r="BS36" i="13"/>
  <c r="BS37" i="13"/>
  <c r="BS38" i="13"/>
  <c r="BS39" i="13"/>
  <c r="BS40" i="13"/>
  <c r="BS41" i="13"/>
  <c r="BS42" i="13"/>
  <c r="BS43" i="13"/>
  <c r="BS44" i="13"/>
  <c r="BS45" i="13"/>
  <c r="BS46" i="13"/>
  <c r="BS47" i="13"/>
  <c r="BS48" i="13"/>
  <c r="BS49" i="13"/>
  <c r="BS50" i="13"/>
  <c r="BS51" i="13"/>
  <c r="BS52" i="13"/>
  <c r="BS53" i="13"/>
  <c r="BS54" i="13"/>
  <c r="BS55" i="13"/>
  <c r="BS56" i="13"/>
  <c r="BS57" i="13"/>
  <c r="BS58" i="13"/>
  <c r="BS59" i="13"/>
  <c r="BS60" i="13"/>
  <c r="BS61" i="13"/>
  <c r="BS62" i="13"/>
  <c r="BS63" i="13"/>
  <c r="BS64" i="13"/>
  <c r="BS65" i="13"/>
  <c r="BS66" i="13"/>
  <c r="BS67" i="13"/>
  <c r="BS68" i="13"/>
  <c r="BS69" i="13"/>
  <c r="BS70" i="13"/>
  <c r="BS71" i="13"/>
  <c r="BS72" i="13"/>
  <c r="BS73" i="13"/>
  <c r="BS74" i="13"/>
  <c r="BS75" i="13"/>
  <c r="BS76" i="13"/>
  <c r="BS77" i="13"/>
  <c r="BS78" i="13"/>
  <c r="BS79" i="13"/>
  <c r="BS80" i="13"/>
  <c r="BS81" i="13"/>
  <c r="BS82" i="13"/>
  <c r="BS83" i="13"/>
  <c r="BS84" i="13"/>
  <c r="BS85" i="13"/>
  <c r="BS86" i="13"/>
  <c r="BS87" i="13"/>
  <c r="BS88" i="13"/>
  <c r="BS89" i="13"/>
  <c r="BS90" i="13"/>
  <c r="BS91" i="13"/>
  <c r="BS92" i="13"/>
  <c r="BS93" i="13"/>
  <c r="BS94" i="13"/>
  <c r="BS95" i="13"/>
  <c r="BS96" i="13"/>
  <c r="BS97" i="13"/>
  <c r="BS98" i="13"/>
  <c r="BS99" i="13"/>
  <c r="BS100" i="13"/>
  <c r="BS101" i="13"/>
  <c r="BY101" i="16"/>
  <c r="BN101" i="16"/>
  <c r="BW101" i="16" s="1"/>
  <c r="BH101" i="16"/>
  <c r="BM101" i="16" s="1"/>
  <c r="BG101" i="16"/>
  <c r="BF101" i="16"/>
  <c r="BE101" i="16"/>
  <c r="BP101" i="16" s="1"/>
  <c r="BD101" i="16"/>
  <c r="BC101" i="16"/>
  <c r="BB101" i="16"/>
  <c r="BA101" i="16"/>
  <c r="AZ101" i="16"/>
  <c r="AY101" i="16"/>
  <c r="AU101" i="16"/>
  <c r="AT101" i="16"/>
  <c r="AS101" i="16"/>
  <c r="AR101" i="16"/>
  <c r="AQ101" i="16"/>
  <c r="AX101" i="16" s="1"/>
  <c r="AP101" i="16"/>
  <c r="AO101" i="16"/>
  <c r="AV101" i="16" s="1"/>
  <c r="AN101" i="16"/>
  <c r="AL101" i="16"/>
  <c r="AJ101" i="16"/>
  <c r="AM101" i="16" s="1"/>
  <c r="AI101" i="16"/>
  <c r="AK101" i="16" s="1"/>
  <c r="BX101" i="16" s="1"/>
  <c r="AH101" i="16"/>
  <c r="BX100" i="16"/>
  <c r="BH100" i="16"/>
  <c r="BG100" i="16"/>
  <c r="BF100" i="16"/>
  <c r="BA100" i="16"/>
  <c r="AZ100" i="16"/>
  <c r="AY100" i="16"/>
  <c r="AW100" i="16"/>
  <c r="AV100" i="16"/>
  <c r="AU100" i="16"/>
  <c r="AT100" i="16"/>
  <c r="AS100" i="16"/>
  <c r="AR100" i="16"/>
  <c r="AQ100" i="16"/>
  <c r="AX100" i="16" s="1"/>
  <c r="AP100" i="16"/>
  <c r="AO100" i="16"/>
  <c r="AL100" i="16"/>
  <c r="AK100" i="16"/>
  <c r="AJ100" i="16"/>
  <c r="AI100" i="16"/>
  <c r="AH100" i="16"/>
  <c r="BN99" i="16"/>
  <c r="BW99" i="16" s="1"/>
  <c r="BM99" i="16"/>
  <c r="BH99" i="16"/>
  <c r="BG99" i="16"/>
  <c r="BF99" i="16"/>
  <c r="BI99" i="16" s="1"/>
  <c r="BK99" i="16" s="1"/>
  <c r="BA99" i="16"/>
  <c r="AZ99" i="16"/>
  <c r="AY99" i="16"/>
  <c r="AU99" i="16"/>
  <c r="AX99" i="16" s="1"/>
  <c r="AT99" i="16"/>
  <c r="AW99" i="16" s="1"/>
  <c r="AS99" i="16"/>
  <c r="AR99" i="16"/>
  <c r="AQ99" i="16"/>
  <c r="AP99" i="16"/>
  <c r="AO99" i="16"/>
  <c r="AV99" i="16" s="1"/>
  <c r="AL99" i="16"/>
  <c r="AI99" i="16"/>
  <c r="AK99" i="16" s="1"/>
  <c r="AH99" i="16"/>
  <c r="AJ99" i="16" s="1"/>
  <c r="BN98" i="16"/>
  <c r="BW98" i="16" s="1"/>
  <c r="BH98" i="16"/>
  <c r="BI98" i="16" s="1"/>
  <c r="BK98" i="16" s="1"/>
  <c r="BG98" i="16"/>
  <c r="BF98" i="16"/>
  <c r="BA98" i="16"/>
  <c r="BE98" i="16" s="1"/>
  <c r="BP98" i="16" s="1"/>
  <c r="AZ98" i="16"/>
  <c r="AY98" i="16"/>
  <c r="AV98" i="16"/>
  <c r="AU98" i="16"/>
  <c r="AX98" i="16" s="1"/>
  <c r="AT98" i="16"/>
  <c r="AW98" i="16" s="1"/>
  <c r="AS98" i="16"/>
  <c r="AR98" i="16"/>
  <c r="AQ98" i="16"/>
  <c r="AP98" i="16"/>
  <c r="AO98" i="16"/>
  <c r="AL98" i="16"/>
  <c r="AI98" i="16"/>
  <c r="AK98" i="16" s="1"/>
  <c r="AH98" i="16"/>
  <c r="AJ98" i="16" s="1"/>
  <c r="BX97" i="16"/>
  <c r="BH97" i="16"/>
  <c r="BG97" i="16"/>
  <c r="BF97" i="16"/>
  <c r="BD97" i="16"/>
  <c r="BB97" i="16"/>
  <c r="BA97" i="16"/>
  <c r="AZ97" i="16"/>
  <c r="AY97" i="16"/>
  <c r="AU97" i="16"/>
  <c r="AX97" i="16" s="1"/>
  <c r="AT97" i="16"/>
  <c r="AW97" i="16" s="1"/>
  <c r="AS97" i="16"/>
  <c r="AV97" i="16" s="1"/>
  <c r="AR97" i="16"/>
  <c r="AQ97" i="16"/>
  <c r="AP97" i="16"/>
  <c r="AO97" i="16"/>
  <c r="AL97" i="16"/>
  <c r="AI97" i="16"/>
  <c r="AK97" i="16" s="1"/>
  <c r="AH97" i="16"/>
  <c r="AJ97" i="16" s="1"/>
  <c r="BQ97" i="16" s="1"/>
  <c r="BQ96" i="16"/>
  <c r="BH96" i="16"/>
  <c r="BG96" i="16"/>
  <c r="BF96" i="16"/>
  <c r="BE96" i="16"/>
  <c r="BA96" i="16"/>
  <c r="BD96" i="16" s="1"/>
  <c r="AZ96" i="16"/>
  <c r="AY96" i="16"/>
  <c r="AU96" i="16"/>
  <c r="AX96" i="16" s="1"/>
  <c r="AT96" i="16"/>
  <c r="AW96" i="16" s="1"/>
  <c r="AS96" i="16"/>
  <c r="AV96" i="16" s="1"/>
  <c r="AR96" i="16"/>
  <c r="AQ96" i="16"/>
  <c r="AP96" i="16"/>
  <c r="AO96" i="16"/>
  <c r="AL96" i="16"/>
  <c r="AI96" i="16"/>
  <c r="AK96" i="16" s="1"/>
  <c r="BX96" i="16" s="1"/>
  <c r="AH96" i="16"/>
  <c r="AJ96" i="16" s="1"/>
  <c r="BH95" i="16"/>
  <c r="BM95" i="16" s="1"/>
  <c r="BG95" i="16"/>
  <c r="BF95" i="16"/>
  <c r="BE95" i="16"/>
  <c r="BP95" i="16" s="1"/>
  <c r="BA95" i="16"/>
  <c r="AZ95" i="16"/>
  <c r="AY95" i="16"/>
  <c r="AV95" i="16"/>
  <c r="AU95" i="16"/>
  <c r="AX95" i="16" s="1"/>
  <c r="AT95" i="16"/>
  <c r="AW95" i="16" s="1"/>
  <c r="AS95" i="16"/>
  <c r="AR95" i="16"/>
  <c r="AQ95" i="16"/>
  <c r="AP95" i="16"/>
  <c r="AO95" i="16"/>
  <c r="AL95" i="16"/>
  <c r="AI95" i="16"/>
  <c r="AK95" i="16" s="1"/>
  <c r="BX95" i="16" s="1"/>
  <c r="AH95" i="16"/>
  <c r="AJ95" i="16" s="1"/>
  <c r="BW94" i="16"/>
  <c r="BQ94" i="16"/>
  <c r="BN94" i="16"/>
  <c r="BH94" i="16"/>
  <c r="BG94" i="16"/>
  <c r="BF94" i="16"/>
  <c r="BA94" i="16"/>
  <c r="AZ94" i="16"/>
  <c r="AY94" i="16"/>
  <c r="AW94" i="16"/>
  <c r="AU94" i="16"/>
  <c r="AT94" i="16"/>
  <c r="AS94" i="16"/>
  <c r="AR94" i="16"/>
  <c r="AQ94" i="16"/>
  <c r="AX94" i="16" s="1"/>
  <c r="AP94" i="16"/>
  <c r="AO94" i="16"/>
  <c r="AV94" i="16" s="1"/>
  <c r="AL94" i="16"/>
  <c r="AK94" i="16"/>
  <c r="BX94" i="16" s="1"/>
  <c r="AJ94" i="16"/>
  <c r="AI94" i="16"/>
  <c r="AH94" i="16"/>
  <c r="BW93" i="16"/>
  <c r="BY93" i="16" s="1"/>
  <c r="BM93" i="16"/>
  <c r="BJ93" i="16"/>
  <c r="BV93" i="16" s="1"/>
  <c r="BI93" i="16"/>
  <c r="BK93" i="16" s="1"/>
  <c r="BH93" i="16"/>
  <c r="BG93" i="16"/>
  <c r="BN93" i="16" s="1"/>
  <c r="BF93" i="16"/>
  <c r="BA93" i="16"/>
  <c r="AZ93" i="16"/>
  <c r="AY93" i="16"/>
  <c r="AW93" i="16"/>
  <c r="AV93" i="16"/>
  <c r="AU93" i="16"/>
  <c r="AT93" i="16"/>
  <c r="AS93" i="16"/>
  <c r="AR93" i="16"/>
  <c r="AQ93" i="16"/>
  <c r="AX93" i="16" s="1"/>
  <c r="AP93" i="16"/>
  <c r="AO93" i="16"/>
  <c r="AL93" i="16"/>
  <c r="AK93" i="16"/>
  <c r="BX93" i="16" s="1"/>
  <c r="AI93" i="16"/>
  <c r="AH93" i="16"/>
  <c r="AJ93" i="16" s="1"/>
  <c r="BX92" i="16"/>
  <c r="BH92" i="16"/>
  <c r="BG92" i="16"/>
  <c r="BF92" i="16"/>
  <c r="BA92" i="16"/>
  <c r="AZ92" i="16"/>
  <c r="AY92" i="16"/>
  <c r="AU92" i="16"/>
  <c r="AX92" i="16" s="1"/>
  <c r="AT92" i="16"/>
  <c r="AW92" i="16" s="1"/>
  <c r="AS92" i="16"/>
  <c r="AV92" i="16" s="1"/>
  <c r="AR92" i="16"/>
  <c r="AQ92" i="16"/>
  <c r="AP92" i="16"/>
  <c r="AO92" i="16"/>
  <c r="AL92" i="16"/>
  <c r="AJ92" i="16"/>
  <c r="AI92" i="16"/>
  <c r="AK92" i="16" s="1"/>
  <c r="AH92" i="16"/>
  <c r="BH91" i="16"/>
  <c r="BG91" i="16"/>
  <c r="BF91" i="16"/>
  <c r="BE91" i="16"/>
  <c r="BP91" i="16" s="1"/>
  <c r="BB91" i="16"/>
  <c r="BA91" i="16"/>
  <c r="AZ91" i="16"/>
  <c r="AY91" i="16"/>
  <c r="AV91" i="16"/>
  <c r="AU91" i="16"/>
  <c r="AX91" i="16" s="1"/>
  <c r="AT91" i="16"/>
  <c r="AW91" i="16" s="1"/>
  <c r="AS91" i="16"/>
  <c r="AR91" i="16"/>
  <c r="AQ91" i="16"/>
  <c r="AP91" i="16"/>
  <c r="AO91" i="16"/>
  <c r="AL91" i="16"/>
  <c r="AJ91" i="16"/>
  <c r="AI91" i="16"/>
  <c r="AK91" i="16" s="1"/>
  <c r="AH91" i="16"/>
  <c r="BN90" i="16"/>
  <c r="BW90" i="16" s="1"/>
  <c r="BM90" i="16"/>
  <c r="BH90" i="16"/>
  <c r="BG90" i="16"/>
  <c r="BI90" i="16" s="1"/>
  <c r="BK90" i="16" s="1"/>
  <c r="BF90" i="16"/>
  <c r="BE90" i="16"/>
  <c r="BP90" i="16" s="1"/>
  <c r="BC90" i="16"/>
  <c r="BA90" i="16"/>
  <c r="AZ90" i="16"/>
  <c r="AY90" i="16"/>
  <c r="AU90" i="16"/>
  <c r="AT90" i="16"/>
  <c r="AS90" i="16"/>
  <c r="AR90" i="16"/>
  <c r="AQ90" i="16"/>
  <c r="AP90" i="16"/>
  <c r="AW90" i="16" s="1"/>
  <c r="AO90" i="16"/>
  <c r="AL90" i="16"/>
  <c r="AI90" i="16"/>
  <c r="AK90" i="16" s="1"/>
  <c r="AH90" i="16"/>
  <c r="AJ90" i="16" s="1"/>
  <c r="BH89" i="16"/>
  <c r="BG89" i="16"/>
  <c r="BF89" i="16"/>
  <c r="BE89" i="16"/>
  <c r="BP89" i="16" s="1"/>
  <c r="BD89" i="16"/>
  <c r="BA89" i="16"/>
  <c r="AZ89" i="16"/>
  <c r="AY89" i="16"/>
  <c r="BC89" i="16" s="1"/>
  <c r="AX89" i="16"/>
  <c r="AU89" i="16"/>
  <c r="AT89" i="16"/>
  <c r="AW89" i="16" s="1"/>
  <c r="AS89" i="16"/>
  <c r="AV89" i="16" s="1"/>
  <c r="AR89" i="16"/>
  <c r="AQ89" i="16"/>
  <c r="AP89" i="16"/>
  <c r="AO89" i="16"/>
  <c r="AM89" i="16"/>
  <c r="AL89" i="16"/>
  <c r="AJ89" i="16"/>
  <c r="AI89" i="16"/>
  <c r="AK89" i="16" s="1"/>
  <c r="AH89" i="16"/>
  <c r="BW88" i="16"/>
  <c r="BQ88" i="16"/>
  <c r="BO88" i="16"/>
  <c r="BM88" i="16"/>
  <c r="BL88" i="16"/>
  <c r="BI88" i="16"/>
  <c r="BK88" i="16" s="1"/>
  <c r="BH88" i="16"/>
  <c r="BG88" i="16"/>
  <c r="BF88" i="16"/>
  <c r="BN88" i="16" s="1"/>
  <c r="BA88" i="16"/>
  <c r="AZ88" i="16"/>
  <c r="AY88" i="16"/>
  <c r="AX88" i="16"/>
  <c r="AW88" i="16"/>
  <c r="AU88" i="16"/>
  <c r="AT88" i="16"/>
  <c r="AS88" i="16"/>
  <c r="AV88" i="16" s="1"/>
  <c r="AR88" i="16"/>
  <c r="AQ88" i="16"/>
  <c r="AP88" i="16"/>
  <c r="AO88" i="16"/>
  <c r="AN88" i="16"/>
  <c r="AL88" i="16"/>
  <c r="AM88" i="16" s="1"/>
  <c r="AK88" i="16"/>
  <c r="AI88" i="16"/>
  <c r="AH88" i="16"/>
  <c r="AJ88" i="16" s="1"/>
  <c r="BI87" i="16"/>
  <c r="BK87" i="16" s="1"/>
  <c r="BH87" i="16"/>
  <c r="BG87" i="16"/>
  <c r="BF87" i="16"/>
  <c r="BC87" i="16"/>
  <c r="BB87" i="16"/>
  <c r="BA87" i="16"/>
  <c r="AZ87" i="16"/>
  <c r="AY87" i="16"/>
  <c r="AU87" i="16"/>
  <c r="AT87" i="16"/>
  <c r="AS87" i="16"/>
  <c r="AR87" i="16"/>
  <c r="AQ87" i="16"/>
  <c r="AP87" i="16"/>
  <c r="AW87" i="16" s="1"/>
  <c r="AO87" i="16"/>
  <c r="AV87" i="16" s="1"/>
  <c r="AL87" i="16"/>
  <c r="AJ87" i="16"/>
  <c r="AI87" i="16"/>
  <c r="AK87" i="16" s="1"/>
  <c r="AH87" i="16"/>
  <c r="BN86" i="16"/>
  <c r="BW86" i="16" s="1"/>
  <c r="BK86" i="16"/>
  <c r="BI86" i="16"/>
  <c r="BH86" i="16"/>
  <c r="BG86" i="16"/>
  <c r="BF86" i="16"/>
  <c r="BD86" i="16"/>
  <c r="BA86" i="16"/>
  <c r="AZ86" i="16"/>
  <c r="AY86" i="16"/>
  <c r="AV86" i="16"/>
  <c r="AU86" i="16"/>
  <c r="AX86" i="16" s="1"/>
  <c r="AT86" i="16"/>
  <c r="AW86" i="16" s="1"/>
  <c r="AS86" i="16"/>
  <c r="AR86" i="16"/>
  <c r="AQ86" i="16"/>
  <c r="AP86" i="16"/>
  <c r="AO86" i="16"/>
  <c r="AL86" i="16"/>
  <c r="AI86" i="16"/>
  <c r="AK86" i="16" s="1"/>
  <c r="BJ86" i="16" s="1"/>
  <c r="BV86" i="16" s="1"/>
  <c r="AH86" i="16"/>
  <c r="AJ86" i="16" s="1"/>
  <c r="BN85" i="16"/>
  <c r="BW85" i="16" s="1"/>
  <c r="BI85" i="16"/>
  <c r="BK85" i="16" s="1"/>
  <c r="BH85" i="16"/>
  <c r="BG85" i="16"/>
  <c r="BF85" i="16"/>
  <c r="BM85" i="16" s="1"/>
  <c r="BC85" i="16"/>
  <c r="BA85" i="16"/>
  <c r="AZ85" i="16"/>
  <c r="AY85" i="16"/>
  <c r="AW85" i="16"/>
  <c r="AV85" i="16"/>
  <c r="AU85" i="16"/>
  <c r="AT85" i="16"/>
  <c r="AS85" i="16"/>
  <c r="AR85" i="16"/>
  <c r="AQ85" i="16"/>
  <c r="AX85" i="16" s="1"/>
  <c r="AP85" i="16"/>
  <c r="AO85" i="16"/>
  <c r="AL85" i="16"/>
  <c r="AK85" i="16"/>
  <c r="AI85" i="16"/>
  <c r="AH85" i="16"/>
  <c r="AJ85" i="16" s="1"/>
  <c r="BH84" i="16"/>
  <c r="BG84" i="16"/>
  <c r="BF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L84" i="16"/>
  <c r="AK84" i="16"/>
  <c r="BX84" i="16" s="1"/>
  <c r="AI84" i="16"/>
  <c r="AH84" i="16"/>
  <c r="AJ84" i="16" s="1"/>
  <c r="BQ83" i="16"/>
  <c r="BM83" i="16"/>
  <c r="BH83" i="16"/>
  <c r="BN83" i="16" s="1"/>
  <c r="BW83" i="16" s="1"/>
  <c r="BG83" i="16"/>
  <c r="BF83" i="16"/>
  <c r="BB83" i="16"/>
  <c r="BA83" i="16"/>
  <c r="AZ83" i="16"/>
  <c r="AY83" i="16"/>
  <c r="AU83" i="16"/>
  <c r="AT83" i="16"/>
  <c r="AW83" i="16" s="1"/>
  <c r="AS83" i="16"/>
  <c r="AV83" i="16" s="1"/>
  <c r="AR83" i="16"/>
  <c r="AQ83" i="16"/>
  <c r="AP83" i="16"/>
  <c r="AO83" i="16"/>
  <c r="AL83" i="16"/>
  <c r="AM83" i="16" s="1"/>
  <c r="AN83" i="16" s="1"/>
  <c r="AI83" i="16"/>
  <c r="AK83" i="16" s="1"/>
  <c r="AH83" i="16"/>
  <c r="AJ83" i="16" s="1"/>
  <c r="BI82" i="16"/>
  <c r="BK82" i="16" s="1"/>
  <c r="BH82" i="16"/>
  <c r="BG82" i="16"/>
  <c r="BF82" i="16"/>
  <c r="BD82" i="16"/>
  <c r="BC82" i="16"/>
  <c r="BB82" i="16"/>
  <c r="BA82" i="16"/>
  <c r="AZ82" i="16"/>
  <c r="AY82" i="16"/>
  <c r="BE82" i="16" s="1"/>
  <c r="BP82" i="16" s="1"/>
  <c r="AV82" i="16"/>
  <c r="AU82" i="16"/>
  <c r="AT82" i="16"/>
  <c r="AS82" i="16"/>
  <c r="AR82" i="16"/>
  <c r="AQ82" i="16"/>
  <c r="AX82" i="16" s="1"/>
  <c r="AP82" i="16"/>
  <c r="AO82" i="16"/>
  <c r="AM82" i="16"/>
  <c r="AL82" i="16"/>
  <c r="AK82" i="16"/>
  <c r="BX82" i="16" s="1"/>
  <c r="AJ82" i="16"/>
  <c r="AI82" i="16"/>
  <c r="AH82" i="16"/>
  <c r="BY81" i="16"/>
  <c r="BX81" i="16"/>
  <c r="BM81" i="16"/>
  <c r="BI81" i="16"/>
  <c r="BK81" i="16" s="1"/>
  <c r="BL81" i="16" s="1"/>
  <c r="BO81" i="16" s="1"/>
  <c r="BH81" i="16"/>
  <c r="BG81" i="16"/>
  <c r="BF81" i="16"/>
  <c r="BN81" i="16" s="1"/>
  <c r="BW81" i="16" s="1"/>
  <c r="BB81" i="16"/>
  <c r="BA81" i="16"/>
  <c r="AZ81" i="16"/>
  <c r="AY81" i="16"/>
  <c r="AX81" i="16"/>
  <c r="AV81" i="16"/>
  <c r="AU81" i="16"/>
  <c r="AT81" i="16"/>
  <c r="AS81" i="16"/>
  <c r="AR81" i="16"/>
  <c r="AQ81" i="16"/>
  <c r="AP81" i="16"/>
  <c r="AW81" i="16" s="1"/>
  <c r="AO81" i="16"/>
  <c r="AL81" i="16"/>
  <c r="AM81" i="16" s="1"/>
  <c r="AN81" i="16" s="1"/>
  <c r="AK81" i="16"/>
  <c r="AJ81" i="16"/>
  <c r="AI81" i="16"/>
  <c r="AH81" i="16"/>
  <c r="BQ80" i="16"/>
  <c r="BH80" i="16"/>
  <c r="BG80" i="16"/>
  <c r="BF80" i="16"/>
  <c r="BA80" i="16"/>
  <c r="AZ80" i="16"/>
  <c r="AY80" i="16"/>
  <c r="AX80" i="16"/>
  <c r="AU80" i="16"/>
  <c r="AT80" i="16"/>
  <c r="AS80" i="16"/>
  <c r="AR80" i="16"/>
  <c r="AQ80" i="16"/>
  <c r="AP80" i="16"/>
  <c r="AO80" i="16"/>
  <c r="AN80" i="16"/>
  <c r="AL80" i="16"/>
  <c r="AK80" i="16"/>
  <c r="AI80" i="16"/>
  <c r="AH80" i="16"/>
  <c r="AJ80" i="16" s="1"/>
  <c r="AM80" i="16" s="1"/>
  <c r="BX79" i="16"/>
  <c r="BH79" i="16"/>
  <c r="BG79" i="16"/>
  <c r="BF79" i="16"/>
  <c r="BB79" i="16"/>
  <c r="BA79" i="16"/>
  <c r="AZ79" i="16"/>
  <c r="AY79" i="16"/>
  <c r="AU79" i="16"/>
  <c r="AX79" i="16" s="1"/>
  <c r="AT79" i="16"/>
  <c r="AS79" i="16"/>
  <c r="AV79" i="16" s="1"/>
  <c r="AR79" i="16"/>
  <c r="AQ79" i="16"/>
  <c r="AP79" i="16"/>
  <c r="AW79" i="16" s="1"/>
  <c r="AO79" i="16"/>
  <c r="AL79" i="16"/>
  <c r="AK79" i="16"/>
  <c r="AI79" i="16"/>
  <c r="AH79" i="16"/>
  <c r="AJ79" i="16" s="1"/>
  <c r="BN78" i="16"/>
  <c r="BW78" i="16" s="1"/>
  <c r="BH78" i="16"/>
  <c r="BG78" i="16"/>
  <c r="BF78" i="16"/>
  <c r="BC78" i="16"/>
  <c r="BA78" i="16"/>
  <c r="AZ78" i="16"/>
  <c r="AY78" i="16"/>
  <c r="AU78" i="16"/>
  <c r="AX78" i="16" s="1"/>
  <c r="AT78" i="16"/>
  <c r="AS78" i="16"/>
  <c r="AR78" i="16"/>
  <c r="AQ78" i="16"/>
  <c r="AP78" i="16"/>
  <c r="AO78" i="16"/>
  <c r="AV78" i="16" s="1"/>
  <c r="AL78" i="16"/>
  <c r="AK78" i="16"/>
  <c r="AI78" i="16"/>
  <c r="AH78" i="16"/>
  <c r="AJ78" i="16" s="1"/>
  <c r="BH77" i="16"/>
  <c r="BG77" i="16"/>
  <c r="BF77" i="16"/>
  <c r="BA77" i="16"/>
  <c r="BE77" i="16" s="1"/>
  <c r="BP77" i="16" s="1"/>
  <c r="AZ77" i="16"/>
  <c r="AY77" i="16"/>
  <c r="AX77" i="16"/>
  <c r="AU77" i="16"/>
  <c r="AT77" i="16"/>
  <c r="AS77" i="16"/>
  <c r="AV77" i="16" s="1"/>
  <c r="AR77" i="16"/>
  <c r="AQ77" i="16"/>
  <c r="AP77" i="16"/>
  <c r="AO77" i="16"/>
  <c r="AL77" i="16"/>
  <c r="AI77" i="16"/>
  <c r="AK77" i="16" s="1"/>
  <c r="BX77" i="16" s="1"/>
  <c r="AH77" i="16"/>
  <c r="AJ77" i="16" s="1"/>
  <c r="BX76" i="16"/>
  <c r="BH76" i="16"/>
  <c r="BG76" i="16"/>
  <c r="BF76" i="16"/>
  <c r="BA76" i="16"/>
  <c r="AZ76" i="16"/>
  <c r="BC76" i="16" s="1"/>
  <c r="AY76" i="16"/>
  <c r="AX76" i="16"/>
  <c r="AW76" i="16"/>
  <c r="AU76" i="16"/>
  <c r="AT76" i="16"/>
  <c r="AS76" i="16"/>
  <c r="AV76" i="16" s="1"/>
  <c r="AR76" i="16"/>
  <c r="AQ76" i="16"/>
  <c r="AP76" i="16"/>
  <c r="AO76" i="16"/>
  <c r="AM76" i="16"/>
  <c r="AN76" i="16" s="1"/>
  <c r="AL76" i="16"/>
  <c r="AK76" i="16"/>
  <c r="AJ76" i="16"/>
  <c r="AI76" i="16"/>
  <c r="AH76" i="16"/>
  <c r="BM75" i="16"/>
  <c r="BI75" i="16"/>
  <c r="BK75" i="16" s="1"/>
  <c r="BH75" i="16"/>
  <c r="BG75" i="16"/>
  <c r="BF75" i="16"/>
  <c r="BN75" i="16" s="1"/>
  <c r="BW75" i="16" s="1"/>
  <c r="BA75" i="16"/>
  <c r="AZ75" i="16"/>
  <c r="AY75" i="16"/>
  <c r="AU75" i="16"/>
  <c r="AX75" i="16" s="1"/>
  <c r="AT75" i="16"/>
  <c r="AS75" i="16"/>
  <c r="AR75" i="16"/>
  <c r="AQ75" i="16"/>
  <c r="AP75" i="16"/>
  <c r="AW75" i="16" s="1"/>
  <c r="AO75" i="16"/>
  <c r="AV75" i="16" s="1"/>
  <c r="AL75" i="16"/>
  <c r="AJ75" i="16"/>
  <c r="BQ75" i="16" s="1"/>
  <c r="AI75" i="16"/>
  <c r="AK75" i="16" s="1"/>
  <c r="AH75" i="16"/>
  <c r="BH74" i="16"/>
  <c r="BG74" i="16"/>
  <c r="BM74" i="16" s="1"/>
  <c r="BF74" i="16"/>
  <c r="BA74" i="16"/>
  <c r="AZ74" i="16"/>
  <c r="AY74" i="16"/>
  <c r="BD74" i="16" s="1"/>
  <c r="AW74" i="16"/>
  <c r="AV74" i="16"/>
  <c r="AU74" i="16"/>
  <c r="AX74" i="16" s="1"/>
  <c r="AT74" i="16"/>
  <c r="AS74" i="16"/>
  <c r="AR74" i="16"/>
  <c r="AQ74" i="16"/>
  <c r="AP74" i="16"/>
  <c r="AO74" i="16"/>
  <c r="AL74" i="16"/>
  <c r="AJ74" i="16"/>
  <c r="AI74" i="16"/>
  <c r="AK74" i="16" s="1"/>
  <c r="AH74" i="16"/>
  <c r="BX73" i="16"/>
  <c r="BR73" i="16"/>
  <c r="BQ73" i="16"/>
  <c r="BI73" i="16"/>
  <c r="BK73" i="16" s="1"/>
  <c r="BH73" i="16"/>
  <c r="BG73" i="16"/>
  <c r="BF73" i="16"/>
  <c r="BE73" i="16"/>
  <c r="BP73" i="16" s="1"/>
  <c r="BD73" i="16"/>
  <c r="BC73" i="16"/>
  <c r="BB73" i="16"/>
  <c r="BA73" i="16"/>
  <c r="AZ73" i="16"/>
  <c r="AY73" i="16"/>
  <c r="AW73" i="16"/>
  <c r="AU73" i="16"/>
  <c r="AX73" i="16" s="1"/>
  <c r="AT73" i="16"/>
  <c r="AS73" i="16"/>
  <c r="AV73" i="16" s="1"/>
  <c r="AR73" i="16"/>
  <c r="AQ73" i="16"/>
  <c r="AP73" i="16"/>
  <c r="AO73" i="16"/>
  <c r="AL73" i="16"/>
  <c r="AK73" i="16"/>
  <c r="BJ73" i="16" s="1"/>
  <c r="BV73" i="16" s="1"/>
  <c r="AJ73" i="16"/>
  <c r="AI73" i="16"/>
  <c r="AH73" i="16"/>
  <c r="BX72" i="16"/>
  <c r="BQ72" i="16"/>
  <c r="BH72" i="16"/>
  <c r="BG72" i="16"/>
  <c r="BM72" i="16" s="1"/>
  <c r="BF72" i="16"/>
  <c r="BN72" i="16" s="1"/>
  <c r="BW72" i="16" s="1"/>
  <c r="BD72" i="16"/>
  <c r="BA72" i="16"/>
  <c r="AZ72" i="16"/>
  <c r="AY72" i="16"/>
  <c r="AV72" i="16"/>
  <c r="AU72" i="16"/>
  <c r="AT72" i="16"/>
  <c r="AS72" i="16"/>
  <c r="AR72" i="16"/>
  <c r="AQ72" i="16"/>
  <c r="AP72" i="16"/>
  <c r="AO72" i="16"/>
  <c r="AN72" i="16"/>
  <c r="AL72" i="16"/>
  <c r="AK72" i="16"/>
  <c r="BY72" i="16" s="1"/>
  <c r="AI72" i="16"/>
  <c r="AH72" i="16"/>
  <c r="AJ72" i="16" s="1"/>
  <c r="AM72" i="16" s="1"/>
  <c r="BN71" i="16"/>
  <c r="BW71" i="16" s="1"/>
  <c r="BM71" i="16"/>
  <c r="BH71" i="16"/>
  <c r="BG71" i="16"/>
  <c r="BF71" i="16"/>
  <c r="BA71" i="16"/>
  <c r="AZ71" i="16"/>
  <c r="AY71" i="16"/>
  <c r="AX71" i="16"/>
  <c r="AU71" i="16"/>
  <c r="AT71" i="16"/>
  <c r="AW71" i="16" s="1"/>
  <c r="AS71" i="16"/>
  <c r="AV71" i="16" s="1"/>
  <c r="AR71" i="16"/>
  <c r="AQ71" i="16"/>
  <c r="AP71" i="16"/>
  <c r="AO71" i="16"/>
  <c r="AL71" i="16"/>
  <c r="AJ71" i="16"/>
  <c r="AI71" i="16"/>
  <c r="AK71" i="16" s="1"/>
  <c r="AH71" i="16"/>
  <c r="BI70" i="16"/>
  <c r="BK70" i="16" s="1"/>
  <c r="BH70" i="16"/>
  <c r="BG70" i="16"/>
  <c r="BF70" i="16"/>
  <c r="BA70" i="16"/>
  <c r="AZ70" i="16"/>
  <c r="AY70" i="16"/>
  <c r="AW70" i="16"/>
  <c r="AU70" i="16"/>
  <c r="AT70" i="16"/>
  <c r="AS70" i="16"/>
  <c r="AV70" i="16" s="1"/>
  <c r="AR70" i="16"/>
  <c r="AQ70" i="16"/>
  <c r="AX70" i="16" s="1"/>
  <c r="AP70" i="16"/>
  <c r="AO70" i="16"/>
  <c r="AL70" i="16"/>
  <c r="AK70" i="16"/>
  <c r="BX70" i="16" s="1"/>
  <c r="AJ70" i="16"/>
  <c r="AI70" i="16"/>
  <c r="AH70" i="16"/>
  <c r="BX69" i="16"/>
  <c r="BH69" i="16"/>
  <c r="BG69" i="16"/>
  <c r="BF69" i="16"/>
  <c r="BC69" i="16"/>
  <c r="BA69" i="16"/>
  <c r="AZ69" i="16"/>
  <c r="AY69" i="16"/>
  <c r="AW69" i="16"/>
  <c r="AU69" i="16"/>
  <c r="AT69" i="16"/>
  <c r="AS69" i="16"/>
  <c r="AR69" i="16"/>
  <c r="AQ69" i="16"/>
  <c r="AX69" i="16" s="1"/>
  <c r="AP69" i="16"/>
  <c r="AO69" i="16"/>
  <c r="AV69" i="16" s="1"/>
  <c r="AL69" i="16"/>
  <c r="AK69" i="16"/>
  <c r="AI69" i="16"/>
  <c r="AH69" i="16"/>
  <c r="AJ69" i="16" s="1"/>
  <c r="BX68" i="16"/>
  <c r="BH68" i="16"/>
  <c r="BG68" i="16"/>
  <c r="BF68" i="16"/>
  <c r="BE68" i="16"/>
  <c r="BP68" i="16" s="1"/>
  <c r="BA68" i="16"/>
  <c r="AZ68" i="16"/>
  <c r="AY68" i="16"/>
  <c r="AU68" i="16"/>
  <c r="AT68" i="16"/>
  <c r="AW68" i="16" s="1"/>
  <c r="AS68" i="16"/>
  <c r="AV68" i="16" s="1"/>
  <c r="AR68" i="16"/>
  <c r="AQ68" i="16"/>
  <c r="AX68" i="16" s="1"/>
  <c r="AP68" i="16"/>
  <c r="AO68" i="16"/>
  <c r="AM68" i="16"/>
  <c r="AL68" i="16"/>
  <c r="AK68" i="16"/>
  <c r="AI68" i="16"/>
  <c r="AH68" i="16"/>
  <c r="AJ68" i="16" s="1"/>
  <c r="BW67" i="16"/>
  <c r="BN67" i="16"/>
  <c r="BH67" i="16"/>
  <c r="BG67" i="16"/>
  <c r="BF67" i="16"/>
  <c r="BD67" i="16"/>
  <c r="BA67" i="16"/>
  <c r="BB67" i="16" s="1"/>
  <c r="AZ67" i="16"/>
  <c r="AY67" i="16"/>
  <c r="AX67" i="16"/>
  <c r="AU67" i="16"/>
  <c r="AT67" i="16"/>
  <c r="AS67" i="16"/>
  <c r="AR67" i="16"/>
  <c r="AQ67" i="16"/>
  <c r="AP67" i="16"/>
  <c r="AO67" i="16"/>
  <c r="AL67" i="16"/>
  <c r="AM67" i="16" s="1"/>
  <c r="AK67" i="16"/>
  <c r="AI67" i="16"/>
  <c r="AH67" i="16"/>
  <c r="AJ67" i="16" s="1"/>
  <c r="BN66" i="16"/>
  <c r="BW66" i="16" s="1"/>
  <c r="BH66" i="16"/>
  <c r="BI66" i="16" s="1"/>
  <c r="BK66" i="16" s="1"/>
  <c r="BG66" i="16"/>
  <c r="BF66" i="16"/>
  <c r="BA66" i="16"/>
  <c r="BE66" i="16" s="1"/>
  <c r="BP66" i="16" s="1"/>
  <c r="AZ66" i="16"/>
  <c r="AY66" i="16"/>
  <c r="AU66" i="16"/>
  <c r="AX66" i="16" s="1"/>
  <c r="AT66" i="16"/>
  <c r="AW66" i="16" s="1"/>
  <c r="AS66" i="16"/>
  <c r="AV66" i="16" s="1"/>
  <c r="AR66" i="16"/>
  <c r="AQ66" i="16"/>
  <c r="AP66" i="16"/>
  <c r="AO66" i="16"/>
  <c r="AL66" i="16"/>
  <c r="AJ66" i="16"/>
  <c r="AI66" i="16"/>
  <c r="AK66" i="16" s="1"/>
  <c r="AH66" i="16"/>
  <c r="BQ65" i="16"/>
  <c r="BP65" i="16"/>
  <c r="BN65" i="16"/>
  <c r="BW65" i="16" s="1"/>
  <c r="BM65" i="16"/>
  <c r="BI65" i="16"/>
  <c r="BK65" i="16" s="1"/>
  <c r="BL65" i="16" s="1"/>
  <c r="BO65" i="16" s="1"/>
  <c r="BH65" i="16"/>
  <c r="BG65" i="16"/>
  <c r="BF65" i="16"/>
  <c r="BE65" i="16"/>
  <c r="BD65" i="16"/>
  <c r="BC65" i="16"/>
  <c r="BB65" i="16"/>
  <c r="BA65" i="16"/>
  <c r="AZ65" i="16"/>
  <c r="AY65" i="16"/>
  <c r="AX65" i="16"/>
  <c r="AW65" i="16"/>
  <c r="AU65" i="16"/>
  <c r="AT65" i="16"/>
  <c r="AS65" i="16"/>
  <c r="AR65" i="16"/>
  <c r="AQ65" i="16"/>
  <c r="AP65" i="16"/>
  <c r="AO65" i="16"/>
  <c r="AL65" i="16"/>
  <c r="AI65" i="16"/>
  <c r="AK65" i="16" s="1"/>
  <c r="AH65" i="16"/>
  <c r="AJ65" i="16" s="1"/>
  <c r="AM65" i="16" s="1"/>
  <c r="AN65" i="16" s="1"/>
  <c r="BH64" i="16"/>
  <c r="BN64" i="16" s="1"/>
  <c r="BG64" i="16"/>
  <c r="BF64" i="16"/>
  <c r="BB64" i="16"/>
  <c r="BA64" i="16"/>
  <c r="AZ64" i="16"/>
  <c r="AY64" i="16"/>
  <c r="AX64" i="16"/>
  <c r="AV64" i="16"/>
  <c r="AU64" i="16"/>
  <c r="AT64" i="16"/>
  <c r="AS64" i="16"/>
  <c r="AR64" i="16"/>
  <c r="AQ64" i="16"/>
  <c r="AP64" i="16"/>
  <c r="AW64" i="16" s="1"/>
  <c r="AO64" i="16"/>
  <c r="AL64" i="16"/>
  <c r="AK64" i="16"/>
  <c r="BX64" i="16" s="1"/>
  <c r="AJ64" i="16"/>
  <c r="AI64" i="16"/>
  <c r="AH64" i="16"/>
  <c r="BN63" i="16"/>
  <c r="BW63" i="16" s="1"/>
  <c r="BM63" i="16"/>
  <c r="BK63" i="16"/>
  <c r="BH63" i="16"/>
  <c r="BG63" i="16"/>
  <c r="BI63" i="16" s="1"/>
  <c r="BF63" i="16"/>
  <c r="BA63" i="16"/>
  <c r="AZ63" i="16"/>
  <c r="AY63" i="16"/>
  <c r="AX63" i="16"/>
  <c r="AV63" i="16"/>
  <c r="AU63" i="16"/>
  <c r="AT63" i="16"/>
  <c r="AS63" i="16"/>
  <c r="AR63" i="16"/>
  <c r="AQ63" i="16"/>
  <c r="AP63" i="16"/>
  <c r="AO63" i="16"/>
  <c r="AL63" i="16"/>
  <c r="AJ63" i="16"/>
  <c r="AI63" i="16"/>
  <c r="AK63" i="16" s="1"/>
  <c r="AH63" i="16"/>
  <c r="BX62" i="16"/>
  <c r="BH62" i="16"/>
  <c r="BG62" i="16"/>
  <c r="BF62" i="16"/>
  <c r="BD62" i="16"/>
  <c r="BC62" i="16"/>
  <c r="BA62" i="16"/>
  <c r="AZ62" i="16"/>
  <c r="AY62" i="16"/>
  <c r="AU62" i="16"/>
  <c r="AT62" i="16"/>
  <c r="AW62" i="16" s="1"/>
  <c r="AS62" i="16"/>
  <c r="AR62" i="16"/>
  <c r="AQ62" i="16"/>
  <c r="AX62" i="16" s="1"/>
  <c r="AP62" i="16"/>
  <c r="AO62" i="16"/>
  <c r="AN62" i="16"/>
  <c r="AM62" i="16"/>
  <c r="AL62" i="16"/>
  <c r="AK62" i="16"/>
  <c r="AJ62" i="16"/>
  <c r="AI62" i="16"/>
  <c r="AH62" i="16"/>
  <c r="BH61" i="16"/>
  <c r="BG61" i="16"/>
  <c r="BI61" i="16" s="1"/>
  <c r="BK61" i="16" s="1"/>
  <c r="BF61" i="16"/>
  <c r="BE61" i="16"/>
  <c r="BP61" i="16" s="1"/>
  <c r="BB61" i="16"/>
  <c r="BA61" i="16"/>
  <c r="AZ61" i="16"/>
  <c r="AY61" i="16"/>
  <c r="AW61" i="16"/>
  <c r="AU61" i="16"/>
  <c r="AX61" i="16" s="1"/>
  <c r="AT61" i="16"/>
  <c r="AS61" i="16"/>
  <c r="AV61" i="16" s="1"/>
  <c r="AR61" i="16"/>
  <c r="AQ61" i="16"/>
  <c r="AP61" i="16"/>
  <c r="AO61" i="16"/>
  <c r="AL61" i="16"/>
  <c r="AJ61" i="16"/>
  <c r="AI61" i="16"/>
  <c r="AK61" i="16" s="1"/>
  <c r="AH61" i="16"/>
  <c r="BQ60" i="16"/>
  <c r="BR60" i="16" s="1"/>
  <c r="BN60" i="16"/>
  <c r="BW60" i="16" s="1"/>
  <c r="BM60" i="16"/>
  <c r="BH60" i="16"/>
  <c r="BI60" i="16" s="1"/>
  <c r="BK60" i="16" s="1"/>
  <c r="BL60" i="16" s="1"/>
  <c r="BO60" i="16" s="1"/>
  <c r="BS60" i="16" s="1"/>
  <c r="BT60" i="16" s="1"/>
  <c r="BU60" i="16" s="1"/>
  <c r="BG60" i="16"/>
  <c r="BF60" i="16"/>
  <c r="BE60" i="16"/>
  <c r="BP60" i="16" s="1"/>
  <c r="BD60" i="16"/>
  <c r="BC60" i="16"/>
  <c r="BB60" i="16"/>
  <c r="BA60" i="16"/>
  <c r="AZ60" i="16"/>
  <c r="AY60" i="16"/>
  <c r="AW60" i="16"/>
  <c r="AU60" i="16"/>
  <c r="AT60" i="16"/>
  <c r="AS60" i="16"/>
  <c r="AR60" i="16"/>
  <c r="AQ60" i="16"/>
  <c r="AP60" i="16"/>
  <c r="AO60" i="16"/>
  <c r="AV60" i="16" s="1"/>
  <c r="AN60" i="16"/>
  <c r="AM60" i="16"/>
  <c r="AL60" i="16"/>
  <c r="AK60" i="16"/>
  <c r="AJ60" i="16"/>
  <c r="AI60" i="16"/>
  <c r="AH60" i="16"/>
  <c r="BX59" i="16"/>
  <c r="BH59" i="16"/>
  <c r="BG59" i="16"/>
  <c r="BF59" i="16"/>
  <c r="BA59" i="16"/>
  <c r="BE59" i="16" s="1"/>
  <c r="BP59" i="16" s="1"/>
  <c r="AZ59" i="16"/>
  <c r="AY59" i="16"/>
  <c r="AW59" i="16"/>
  <c r="AU59" i="16"/>
  <c r="AT59" i="16"/>
  <c r="AS59" i="16"/>
  <c r="AV59" i="16" s="1"/>
  <c r="AR59" i="16"/>
  <c r="AQ59" i="16"/>
  <c r="AX59" i="16" s="1"/>
  <c r="AP59" i="16"/>
  <c r="AO59" i="16"/>
  <c r="AL59" i="16"/>
  <c r="AI59" i="16"/>
  <c r="AK59" i="16" s="1"/>
  <c r="AH59" i="16"/>
  <c r="AJ59" i="16" s="1"/>
  <c r="BX58" i="16"/>
  <c r="BQ58" i="16"/>
  <c r="BN58" i="16"/>
  <c r="BW58" i="16" s="1"/>
  <c r="BM58" i="16"/>
  <c r="BK58" i="16"/>
  <c r="BI58" i="16"/>
  <c r="BH58" i="16"/>
  <c r="BG58" i="16"/>
  <c r="BF58" i="16"/>
  <c r="BA58" i="16"/>
  <c r="BD58" i="16" s="1"/>
  <c r="AZ58" i="16"/>
  <c r="AY58" i="16"/>
  <c r="AU58" i="16"/>
  <c r="AT58" i="16"/>
  <c r="AS58" i="16"/>
  <c r="AR58" i="16"/>
  <c r="AQ58" i="16"/>
  <c r="AP58" i="16"/>
  <c r="AW58" i="16" s="1"/>
  <c r="AO58" i="16"/>
  <c r="AV58" i="16" s="1"/>
  <c r="AM58" i="16"/>
  <c r="AN58" i="16" s="1"/>
  <c r="AL58" i="16"/>
  <c r="AK58" i="16"/>
  <c r="BJ58" i="16" s="1"/>
  <c r="BV58" i="16" s="1"/>
  <c r="AJ58" i="16"/>
  <c r="AI58" i="16"/>
  <c r="AH58" i="16"/>
  <c r="BQ57" i="16"/>
  <c r="BR57" i="16" s="1"/>
  <c r="BH57" i="16"/>
  <c r="BG57" i="16"/>
  <c r="BF57" i="16"/>
  <c r="BE57" i="16"/>
  <c r="BP57" i="16" s="1"/>
  <c r="BC57" i="16"/>
  <c r="BA57" i="16"/>
  <c r="AZ57" i="16"/>
  <c r="BB57" i="16" s="1"/>
  <c r="AY57" i="16"/>
  <c r="AX57" i="16"/>
  <c r="AW57" i="16"/>
  <c r="AV57" i="16"/>
  <c r="AU57" i="16"/>
  <c r="AT57" i="16"/>
  <c r="AS57" i="16"/>
  <c r="AR57" i="16"/>
  <c r="AQ57" i="16"/>
  <c r="AP57" i="16"/>
  <c r="AO57" i="16"/>
  <c r="AL57" i="16"/>
  <c r="AK57" i="16"/>
  <c r="AJ57" i="16"/>
  <c r="AI57" i="16"/>
  <c r="AH57" i="16"/>
  <c r="BH56" i="16"/>
  <c r="BG56" i="16"/>
  <c r="BI56" i="16" s="1"/>
  <c r="BK56" i="16" s="1"/>
  <c r="BL56" i="16" s="1"/>
  <c r="BO56" i="16" s="1"/>
  <c r="BF56" i="16"/>
  <c r="BA56" i="16"/>
  <c r="AZ56" i="16"/>
  <c r="AY56" i="16"/>
  <c r="AW56" i="16"/>
  <c r="AV56" i="16"/>
  <c r="AU56" i="16"/>
  <c r="AT56" i="16"/>
  <c r="AS56" i="16"/>
  <c r="AR56" i="16"/>
  <c r="AQ56" i="16"/>
  <c r="AX56" i="16" s="1"/>
  <c r="AP56" i="16"/>
  <c r="AO56" i="16"/>
  <c r="AM56" i="16"/>
  <c r="AL56" i="16"/>
  <c r="AK56" i="16"/>
  <c r="AI56" i="16"/>
  <c r="AH56" i="16"/>
  <c r="AJ56" i="16" s="1"/>
  <c r="BH55" i="16"/>
  <c r="BG55" i="16"/>
  <c r="BF55" i="16"/>
  <c r="BE55" i="16"/>
  <c r="BP55" i="16" s="1"/>
  <c r="BD55" i="16"/>
  <c r="BC55" i="16"/>
  <c r="BA55" i="16"/>
  <c r="BB55" i="16" s="1"/>
  <c r="AZ55" i="16"/>
  <c r="AY55" i="16"/>
  <c r="AV55" i="16"/>
  <c r="AU55" i="16"/>
  <c r="AT55" i="16"/>
  <c r="AW55" i="16" s="1"/>
  <c r="AS55" i="16"/>
  <c r="AR55" i="16"/>
  <c r="AQ55" i="16"/>
  <c r="AP55" i="16"/>
  <c r="AO55" i="16"/>
  <c r="AL55" i="16"/>
  <c r="AI55" i="16"/>
  <c r="AK55" i="16" s="1"/>
  <c r="BX55" i="16" s="1"/>
  <c r="AH55" i="16"/>
  <c r="AJ55" i="16" s="1"/>
  <c r="BQ55" i="16" s="1"/>
  <c r="BX54" i="16"/>
  <c r="BH54" i="16"/>
  <c r="BN54" i="16" s="1"/>
  <c r="BG54" i="16"/>
  <c r="BF54" i="16"/>
  <c r="BA54" i="16"/>
  <c r="AZ54" i="16"/>
  <c r="AY54" i="16"/>
  <c r="AV54" i="16"/>
  <c r="AU54" i="16"/>
  <c r="AX54" i="16" s="1"/>
  <c r="AT54" i="16"/>
  <c r="AW54" i="16" s="1"/>
  <c r="AS54" i="16"/>
  <c r="AR54" i="16"/>
  <c r="AQ54" i="16"/>
  <c r="AP54" i="16"/>
  <c r="AO54" i="16"/>
  <c r="AL54" i="16"/>
  <c r="AK54" i="16"/>
  <c r="AI54" i="16"/>
  <c r="AH54" i="16"/>
  <c r="AJ54" i="16" s="1"/>
  <c r="BH53" i="16"/>
  <c r="BG53" i="16"/>
  <c r="BF53" i="16"/>
  <c r="BE53" i="16"/>
  <c r="BP53" i="16" s="1"/>
  <c r="BD53" i="16"/>
  <c r="BC53" i="16"/>
  <c r="BA53" i="16"/>
  <c r="BB53" i="16" s="1"/>
  <c r="AZ53" i="16"/>
  <c r="AY53" i="16"/>
  <c r="AU53" i="16"/>
  <c r="AT53" i="16"/>
  <c r="AS53" i="16"/>
  <c r="AR53" i="16"/>
  <c r="AQ53" i="16"/>
  <c r="AX53" i="16" s="1"/>
  <c r="AP53" i="16"/>
  <c r="AO53" i="16"/>
  <c r="AL53" i="16"/>
  <c r="AI53" i="16"/>
  <c r="AK53" i="16" s="1"/>
  <c r="AH53" i="16"/>
  <c r="AJ53" i="16" s="1"/>
  <c r="BN52" i="16"/>
  <c r="BW52" i="16" s="1"/>
  <c r="BH52" i="16"/>
  <c r="BM52" i="16" s="1"/>
  <c r="BG52" i="16"/>
  <c r="BF52" i="16"/>
  <c r="BA52" i="16"/>
  <c r="AZ52" i="16"/>
  <c r="AY52" i="16"/>
  <c r="AX52" i="16"/>
  <c r="AW52" i="16"/>
  <c r="AU52" i="16"/>
  <c r="AT52" i="16"/>
  <c r="AS52" i="16"/>
  <c r="AV52" i="16" s="1"/>
  <c r="AR52" i="16"/>
  <c r="AQ52" i="16"/>
  <c r="AP52" i="16"/>
  <c r="AO52" i="16"/>
  <c r="AL52" i="16"/>
  <c r="AK52" i="16"/>
  <c r="AJ52" i="16"/>
  <c r="AI52" i="16"/>
  <c r="AH52" i="16"/>
  <c r="BX51" i="16"/>
  <c r="BN51" i="16"/>
  <c r="BW51" i="16" s="1"/>
  <c r="BM51" i="16"/>
  <c r="BH51" i="16"/>
  <c r="BG51" i="16"/>
  <c r="BF51" i="16"/>
  <c r="BA51" i="16"/>
  <c r="AZ51" i="16"/>
  <c r="AY51" i="16"/>
  <c r="AX51" i="16"/>
  <c r="AV51" i="16"/>
  <c r="AU51" i="16"/>
  <c r="AT51" i="16"/>
  <c r="AS51" i="16"/>
  <c r="AR51" i="16"/>
  <c r="AQ51" i="16"/>
  <c r="AP51" i="16"/>
  <c r="AO51" i="16"/>
  <c r="AL51" i="16"/>
  <c r="AK51" i="16"/>
  <c r="AJ51" i="16"/>
  <c r="AI51" i="16"/>
  <c r="AH51" i="16"/>
  <c r="BH50" i="16"/>
  <c r="BG50" i="16"/>
  <c r="BF50" i="16"/>
  <c r="BA50" i="16"/>
  <c r="BE50" i="16" s="1"/>
  <c r="BP50" i="16" s="1"/>
  <c r="AZ50" i="16"/>
  <c r="AY50" i="16"/>
  <c r="AV50" i="16"/>
  <c r="AU50" i="16"/>
  <c r="AT50" i="16"/>
  <c r="AW50" i="16" s="1"/>
  <c r="AS50" i="16"/>
  <c r="AR50" i="16"/>
  <c r="AQ50" i="16"/>
  <c r="AP50" i="16"/>
  <c r="AO50" i="16"/>
  <c r="AL50" i="16"/>
  <c r="AK50" i="16"/>
  <c r="BX50" i="16" s="1"/>
  <c r="AJ50" i="16"/>
  <c r="AI50" i="16"/>
  <c r="AH50" i="16"/>
  <c r="BQ49" i="16"/>
  <c r="BN49" i="16"/>
  <c r="BW49" i="16" s="1"/>
  <c r="BM49" i="16"/>
  <c r="BK49" i="16"/>
  <c r="BH49" i="16"/>
  <c r="BG49" i="16"/>
  <c r="BI49" i="16" s="1"/>
  <c r="BF49" i="16"/>
  <c r="BE49" i="16"/>
  <c r="BP49" i="16" s="1"/>
  <c r="BB49" i="16"/>
  <c r="BA49" i="16"/>
  <c r="AZ49" i="16"/>
  <c r="AY49" i="16"/>
  <c r="AU49" i="16"/>
  <c r="AX49" i="16" s="1"/>
  <c r="AT49" i="16"/>
  <c r="AS49" i="16"/>
  <c r="AR49" i="16"/>
  <c r="AQ49" i="16"/>
  <c r="AP49" i="16"/>
  <c r="AW49" i="16" s="1"/>
  <c r="AO49" i="16"/>
  <c r="AM49" i="16"/>
  <c r="AL49" i="16"/>
  <c r="AK49" i="16"/>
  <c r="AI49" i="16"/>
  <c r="AH49" i="16"/>
  <c r="AJ49" i="16" s="1"/>
  <c r="BH48" i="16"/>
  <c r="BG48" i="16"/>
  <c r="BM48" i="16" s="1"/>
  <c r="BF48" i="16"/>
  <c r="BD48" i="16"/>
  <c r="BB48" i="16"/>
  <c r="BA48" i="16"/>
  <c r="AZ48" i="16"/>
  <c r="AY48" i="16"/>
  <c r="AW48" i="16"/>
  <c r="AU48" i="16"/>
  <c r="AT48" i="16"/>
  <c r="AS48" i="16"/>
  <c r="AR48" i="16"/>
  <c r="AQ48" i="16"/>
  <c r="AP48" i="16"/>
  <c r="AO48" i="16"/>
  <c r="AV48" i="16" s="1"/>
  <c r="AM48" i="16"/>
  <c r="AL48" i="16"/>
  <c r="AJ48" i="16"/>
  <c r="AI48" i="16"/>
  <c r="AK48" i="16" s="1"/>
  <c r="AH48" i="16"/>
  <c r="BP47" i="16"/>
  <c r="BR47" i="16" s="1"/>
  <c r="BH47" i="16"/>
  <c r="BG47" i="16"/>
  <c r="BF47" i="16"/>
  <c r="BE47" i="16"/>
  <c r="BC47" i="16"/>
  <c r="BB47" i="16"/>
  <c r="BA47" i="16"/>
  <c r="AZ47" i="16"/>
  <c r="AY47" i="16"/>
  <c r="AX47" i="16"/>
  <c r="AU47" i="16"/>
  <c r="AT47" i="16"/>
  <c r="AW47" i="16" s="1"/>
  <c r="AS47" i="16"/>
  <c r="AR47" i="16"/>
  <c r="AQ47" i="16"/>
  <c r="AP47" i="16"/>
  <c r="AO47" i="16"/>
  <c r="AN47" i="16"/>
  <c r="AM47" i="16"/>
  <c r="AL47" i="16"/>
  <c r="AK47" i="16"/>
  <c r="AI47" i="16"/>
  <c r="AH47" i="16"/>
  <c r="AJ47" i="16" s="1"/>
  <c r="BQ47" i="16" s="1"/>
  <c r="BQ46" i="16"/>
  <c r="BN46" i="16"/>
  <c r="BW46" i="16" s="1"/>
  <c r="BM46" i="16"/>
  <c r="BH46" i="16"/>
  <c r="BG46" i="16"/>
  <c r="BI46" i="16" s="1"/>
  <c r="BK46" i="16" s="1"/>
  <c r="BF46" i="16"/>
  <c r="BC46" i="16"/>
  <c r="BB46" i="16"/>
  <c r="BA46" i="16"/>
  <c r="AZ46" i="16"/>
  <c r="AY46" i="16"/>
  <c r="AU46" i="16"/>
  <c r="AX46" i="16" s="1"/>
  <c r="AT46" i="16"/>
  <c r="AS46" i="16"/>
  <c r="AV46" i="16" s="1"/>
  <c r="AR46" i="16"/>
  <c r="AQ46" i="16"/>
  <c r="AP46" i="16"/>
  <c r="AW46" i="16" s="1"/>
  <c r="AO46" i="16"/>
  <c r="AM46" i="16"/>
  <c r="AN46" i="16" s="1"/>
  <c r="AL46" i="16"/>
  <c r="AJ46" i="16"/>
  <c r="AI46" i="16"/>
  <c r="AK46" i="16" s="1"/>
  <c r="AH46" i="16"/>
  <c r="BN45" i="16"/>
  <c r="BW45" i="16" s="1"/>
  <c r="BI45" i="16"/>
  <c r="BK45" i="16" s="1"/>
  <c r="BH45" i="16"/>
  <c r="BG45" i="16"/>
  <c r="BF45" i="16"/>
  <c r="BA45" i="16"/>
  <c r="AZ45" i="16"/>
  <c r="AY45" i="16"/>
  <c r="BC45" i="16" s="1"/>
  <c r="AV45" i="16"/>
  <c r="AU45" i="16"/>
  <c r="AX45" i="16" s="1"/>
  <c r="AT45" i="16"/>
  <c r="AW45" i="16" s="1"/>
  <c r="AS45" i="16"/>
  <c r="AR45" i="16"/>
  <c r="AQ45" i="16"/>
  <c r="AP45" i="16"/>
  <c r="AO45" i="16"/>
  <c r="AL45" i="16"/>
  <c r="AJ45" i="16"/>
  <c r="AI45" i="16"/>
  <c r="AK45" i="16" s="1"/>
  <c r="AH45" i="16"/>
  <c r="BX44" i="16"/>
  <c r="BM44" i="16"/>
  <c r="BK44" i="16"/>
  <c r="BI44" i="16"/>
  <c r="BJ44" i="16" s="1"/>
  <c r="BV44" i="16" s="1"/>
  <c r="BH44" i="16"/>
  <c r="BG44" i="16"/>
  <c r="BF44" i="16"/>
  <c r="BA44" i="16"/>
  <c r="BD44" i="16" s="1"/>
  <c r="AZ44" i="16"/>
  <c r="AY44" i="16"/>
  <c r="AX44" i="16"/>
  <c r="AV44" i="16"/>
  <c r="AU44" i="16"/>
  <c r="AT44" i="16"/>
  <c r="AW44" i="16" s="1"/>
  <c r="AS44" i="16"/>
  <c r="AR44" i="16"/>
  <c r="AQ44" i="16"/>
  <c r="AP44" i="16"/>
  <c r="AO44" i="16"/>
  <c r="AL44" i="16"/>
  <c r="AK44" i="16"/>
  <c r="AI44" i="16"/>
  <c r="AH44" i="16"/>
  <c r="AJ44" i="16" s="1"/>
  <c r="BQ43" i="16"/>
  <c r="BH43" i="16"/>
  <c r="BG43" i="16"/>
  <c r="BN43" i="16" s="1"/>
  <c r="BW43" i="16" s="1"/>
  <c r="BF43" i="16"/>
  <c r="BE43" i="16"/>
  <c r="BP43" i="16" s="1"/>
  <c r="BD43" i="16"/>
  <c r="BB43" i="16"/>
  <c r="BA43" i="16"/>
  <c r="AZ43" i="16"/>
  <c r="AY43" i="16"/>
  <c r="BC43" i="16" s="1"/>
  <c r="AX43" i="16"/>
  <c r="AU43" i="16"/>
  <c r="AT43" i="16"/>
  <c r="AS43" i="16"/>
  <c r="AV43" i="16" s="1"/>
  <c r="AR43" i="16"/>
  <c r="AQ43" i="16"/>
  <c r="AP43" i="16"/>
  <c r="AO43" i="16"/>
  <c r="AM43" i="16"/>
  <c r="AL43" i="16"/>
  <c r="AJ43" i="16"/>
  <c r="AI43" i="16"/>
  <c r="AK43" i="16" s="1"/>
  <c r="AH43" i="16"/>
  <c r="BQ42" i="16"/>
  <c r="BH42" i="16"/>
  <c r="BG42" i="16"/>
  <c r="BF42" i="16"/>
  <c r="BE42" i="16"/>
  <c r="BP42" i="16" s="1"/>
  <c r="BD42" i="16"/>
  <c r="BC42" i="16"/>
  <c r="BA42" i="16"/>
  <c r="AZ42" i="16"/>
  <c r="BB42" i="16" s="1"/>
  <c r="AY42" i="16"/>
  <c r="AU42" i="16"/>
  <c r="AT42" i="16"/>
  <c r="AW42" i="16" s="1"/>
  <c r="AS42" i="16"/>
  <c r="AR42" i="16"/>
  <c r="AQ42" i="16"/>
  <c r="AP42" i="16"/>
  <c r="AO42" i="16"/>
  <c r="AV42" i="16" s="1"/>
  <c r="AL42" i="16"/>
  <c r="AI42" i="16"/>
  <c r="AK42" i="16" s="1"/>
  <c r="AH42" i="16"/>
  <c r="AJ42" i="16" s="1"/>
  <c r="BN41" i="16"/>
  <c r="BW41" i="16" s="1"/>
  <c r="BM41" i="16"/>
  <c r="BJ41" i="16"/>
  <c r="BV41" i="16" s="1"/>
  <c r="BI41" i="16"/>
  <c r="BK41" i="16" s="1"/>
  <c r="BH41" i="16"/>
  <c r="BG41" i="16"/>
  <c r="BF41" i="16"/>
  <c r="BC41" i="16"/>
  <c r="BA41" i="16"/>
  <c r="AZ41" i="16"/>
  <c r="AY41" i="16"/>
  <c r="AU41" i="16"/>
  <c r="AX41" i="16" s="1"/>
  <c r="AT41" i="16"/>
  <c r="AW41" i="16" s="1"/>
  <c r="AS41" i="16"/>
  <c r="AR41" i="16"/>
  <c r="AQ41" i="16"/>
  <c r="AP41" i="16"/>
  <c r="AO41" i="16"/>
  <c r="AL41" i="16"/>
  <c r="AI41" i="16"/>
  <c r="AK41" i="16" s="1"/>
  <c r="AH41" i="16"/>
  <c r="AJ41" i="16" s="1"/>
  <c r="BH40" i="16"/>
  <c r="BG40" i="16"/>
  <c r="BF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L40" i="16"/>
  <c r="AM40" i="16" s="1"/>
  <c r="AN40" i="16" s="1"/>
  <c r="AK40" i="16"/>
  <c r="AJ40" i="16"/>
  <c r="AI40" i="16"/>
  <c r="AH40" i="16"/>
  <c r="BX39" i="16"/>
  <c r="BQ39" i="16"/>
  <c r="BH39" i="16"/>
  <c r="BG39" i="16"/>
  <c r="BM39" i="16" s="1"/>
  <c r="BF39" i="16"/>
  <c r="BA39" i="16"/>
  <c r="AZ39" i="16"/>
  <c r="AY39" i="16"/>
  <c r="AU39" i="16"/>
  <c r="AT39" i="16"/>
  <c r="AW39" i="16" s="1"/>
  <c r="AS39" i="16"/>
  <c r="AV39" i="16" s="1"/>
  <c r="AR39" i="16"/>
  <c r="AQ39" i="16"/>
  <c r="AP39" i="16"/>
  <c r="AO39" i="16"/>
  <c r="AM39" i="16"/>
  <c r="AL39" i="16"/>
  <c r="AI39" i="16"/>
  <c r="AK39" i="16" s="1"/>
  <c r="AH39" i="16"/>
  <c r="AJ39" i="16" s="1"/>
  <c r="BX38" i="16"/>
  <c r="BH38" i="16"/>
  <c r="BG38" i="16"/>
  <c r="BF38" i="16"/>
  <c r="BD38" i="16"/>
  <c r="BC38" i="16"/>
  <c r="BA38" i="16"/>
  <c r="AZ38" i="16"/>
  <c r="AY38" i="16"/>
  <c r="AU38" i="16"/>
  <c r="AT38" i="16"/>
  <c r="AW38" i="16" s="1"/>
  <c r="AS38" i="16"/>
  <c r="AV38" i="16" s="1"/>
  <c r="AR38" i="16"/>
  <c r="AQ38" i="16"/>
  <c r="AX38" i="16" s="1"/>
  <c r="AP38" i="16"/>
  <c r="AO38" i="16"/>
  <c r="AL38" i="16"/>
  <c r="AJ38" i="16"/>
  <c r="AI38" i="16"/>
  <c r="AK38" i="16" s="1"/>
  <c r="AH38" i="16"/>
  <c r="BN37" i="16"/>
  <c r="BW37" i="16" s="1"/>
  <c r="BH37" i="16"/>
  <c r="BI37" i="16" s="1"/>
  <c r="BK37" i="16" s="1"/>
  <c r="BG37" i="16"/>
  <c r="BF37" i="16"/>
  <c r="BA37" i="16"/>
  <c r="AZ37" i="16"/>
  <c r="AY37" i="16"/>
  <c r="AV37" i="16"/>
  <c r="AU37" i="16"/>
  <c r="AT37" i="16"/>
  <c r="AW37" i="16" s="1"/>
  <c r="AS37" i="16"/>
  <c r="AR37" i="16"/>
  <c r="AQ37" i="16"/>
  <c r="AX37" i="16" s="1"/>
  <c r="AP37" i="16"/>
  <c r="AO37" i="16"/>
  <c r="AL37" i="16"/>
  <c r="AI37" i="16"/>
  <c r="AK37" i="16" s="1"/>
  <c r="BJ37" i="16" s="1"/>
  <c r="BV37" i="16" s="1"/>
  <c r="AH37" i="16"/>
  <c r="AJ37" i="16" s="1"/>
  <c r="BX36" i="16"/>
  <c r="BH36" i="16"/>
  <c r="BG36" i="16"/>
  <c r="BF36" i="16"/>
  <c r="BD36" i="16"/>
  <c r="BC36" i="16"/>
  <c r="BA36" i="16"/>
  <c r="BB36" i="16" s="1"/>
  <c r="AZ36" i="16"/>
  <c r="AY36" i="16"/>
  <c r="AW36" i="16"/>
  <c r="AU36" i="16"/>
  <c r="AX36" i="16" s="1"/>
  <c r="AT36" i="16"/>
  <c r="AS36" i="16"/>
  <c r="AV36" i="16" s="1"/>
  <c r="AR36" i="16"/>
  <c r="AQ36" i="16"/>
  <c r="AP36" i="16"/>
  <c r="AO36" i="16"/>
  <c r="AL36" i="16"/>
  <c r="AJ36" i="16"/>
  <c r="AI36" i="16"/>
  <c r="AK36" i="16" s="1"/>
  <c r="AH36" i="16"/>
  <c r="BQ35" i="16"/>
  <c r="BN35" i="16"/>
  <c r="BW35" i="16" s="1"/>
  <c r="BM35" i="16"/>
  <c r="BI35" i="16"/>
  <c r="BK35" i="16" s="1"/>
  <c r="BH35" i="16"/>
  <c r="BG35" i="16"/>
  <c r="BF35" i="16"/>
  <c r="BA35" i="16"/>
  <c r="AZ35" i="16"/>
  <c r="AY35" i="16"/>
  <c r="AU35" i="16"/>
  <c r="AX35" i="16" s="1"/>
  <c r="AT35" i="16"/>
  <c r="AW35" i="16" s="1"/>
  <c r="AS35" i="16"/>
  <c r="AR35" i="16"/>
  <c r="AQ35" i="16"/>
  <c r="AP35" i="16"/>
  <c r="AO35" i="16"/>
  <c r="AL35" i="16"/>
  <c r="AK35" i="16"/>
  <c r="AI35" i="16"/>
  <c r="AH35" i="16"/>
  <c r="AJ35" i="16" s="1"/>
  <c r="BM34" i="16"/>
  <c r="BK34" i="16"/>
  <c r="BI34" i="16"/>
  <c r="BH34" i="16"/>
  <c r="BG34" i="16"/>
  <c r="BF34" i="16"/>
  <c r="BA34" i="16"/>
  <c r="AZ34" i="16"/>
  <c r="AY34" i="16"/>
  <c r="AW34" i="16"/>
  <c r="AV34" i="16"/>
  <c r="AU34" i="16"/>
  <c r="AX34" i="16" s="1"/>
  <c r="AT34" i="16"/>
  <c r="AS34" i="16"/>
  <c r="AR34" i="16"/>
  <c r="AQ34" i="16"/>
  <c r="AP34" i="16"/>
  <c r="AO34" i="16"/>
  <c r="AL34" i="16"/>
  <c r="AJ34" i="16"/>
  <c r="AI34" i="16"/>
  <c r="AK34" i="16" s="1"/>
  <c r="AH34" i="16"/>
  <c r="BQ33" i="16"/>
  <c r="BN33" i="16"/>
  <c r="BW33" i="16" s="1"/>
  <c r="BM33" i="16"/>
  <c r="BH33" i="16"/>
  <c r="BI33" i="16" s="1"/>
  <c r="BK33" i="16" s="1"/>
  <c r="BL33" i="16" s="1"/>
  <c r="BO33" i="16" s="1"/>
  <c r="BG33" i="16"/>
  <c r="BF33" i="16"/>
  <c r="BE33" i="16"/>
  <c r="BC33" i="16"/>
  <c r="BB33" i="16"/>
  <c r="BA33" i="16"/>
  <c r="AZ33" i="16"/>
  <c r="AY33" i="16"/>
  <c r="AU33" i="16"/>
  <c r="AT33" i="16"/>
  <c r="AS33" i="16"/>
  <c r="AR33" i="16"/>
  <c r="AQ33" i="16"/>
  <c r="AX33" i="16" s="1"/>
  <c r="AP33" i="16"/>
  <c r="AW33" i="16" s="1"/>
  <c r="AO33" i="16"/>
  <c r="AV33" i="16" s="1"/>
  <c r="AM33" i="16"/>
  <c r="AN33" i="16" s="1"/>
  <c r="AL33" i="16"/>
  <c r="AK33" i="16"/>
  <c r="AJ33" i="16"/>
  <c r="AI33" i="16"/>
  <c r="AH33" i="16"/>
  <c r="BH32" i="16"/>
  <c r="BG32" i="16"/>
  <c r="BF32" i="16"/>
  <c r="BE32" i="16"/>
  <c r="BP32" i="16" s="1"/>
  <c r="BD32" i="16"/>
  <c r="BB32" i="16"/>
  <c r="BA32" i="16"/>
  <c r="AZ32" i="16"/>
  <c r="AY32" i="16"/>
  <c r="AV32" i="16"/>
  <c r="AU32" i="16"/>
  <c r="AX32" i="16" s="1"/>
  <c r="AT32" i="16"/>
  <c r="AS32" i="16"/>
  <c r="AR32" i="16"/>
  <c r="AQ32" i="16"/>
  <c r="AP32" i="16"/>
  <c r="AO32" i="16"/>
  <c r="AL32" i="16"/>
  <c r="AI32" i="16"/>
  <c r="AK32" i="16" s="1"/>
  <c r="BX32" i="16" s="1"/>
  <c r="AH32" i="16"/>
  <c r="AJ32" i="16" s="1"/>
  <c r="BH31" i="16"/>
  <c r="BG31" i="16"/>
  <c r="BF31" i="16"/>
  <c r="BE31" i="16"/>
  <c r="BP31" i="16" s="1"/>
  <c r="BA31" i="16"/>
  <c r="AZ31" i="16"/>
  <c r="AY31" i="16"/>
  <c r="AW31" i="16"/>
  <c r="AU31" i="16"/>
  <c r="AX31" i="16" s="1"/>
  <c r="AT31" i="16"/>
  <c r="AS31" i="16"/>
  <c r="AV31" i="16" s="1"/>
  <c r="AR31" i="16"/>
  <c r="AQ31" i="16"/>
  <c r="AP31" i="16"/>
  <c r="AO31" i="16"/>
  <c r="AL31" i="16"/>
  <c r="AI31" i="16"/>
  <c r="AK31" i="16" s="1"/>
  <c r="AH31" i="16"/>
  <c r="AJ31" i="16" s="1"/>
  <c r="BH30" i="16"/>
  <c r="BG30" i="16"/>
  <c r="BF30" i="16"/>
  <c r="BA30" i="16"/>
  <c r="AZ30" i="16"/>
  <c r="AY30" i="16"/>
  <c r="AX30" i="16"/>
  <c r="AW30" i="16"/>
  <c r="AU30" i="16"/>
  <c r="AT30" i="16"/>
  <c r="AS30" i="16"/>
  <c r="AV30" i="16" s="1"/>
  <c r="AR30" i="16"/>
  <c r="AQ30" i="16"/>
  <c r="AP30" i="16"/>
  <c r="AO30" i="16"/>
  <c r="AL30" i="16"/>
  <c r="AK30" i="16"/>
  <c r="BX30" i="16" s="1"/>
  <c r="AJ30" i="16"/>
  <c r="AI30" i="16"/>
  <c r="AH30" i="16"/>
  <c r="BN29" i="16"/>
  <c r="BW29" i="16" s="1"/>
  <c r="BM29" i="16"/>
  <c r="BH29" i="16"/>
  <c r="BG29" i="16"/>
  <c r="BF29" i="16"/>
  <c r="BA29" i="16"/>
  <c r="AZ29" i="16"/>
  <c r="AY29" i="16"/>
  <c r="AX29" i="16"/>
  <c r="AU29" i="16"/>
  <c r="AT29" i="16"/>
  <c r="AW29" i="16" s="1"/>
  <c r="AS29" i="16"/>
  <c r="AR29" i="16"/>
  <c r="AQ29" i="16"/>
  <c r="AP29" i="16"/>
  <c r="AO29" i="16"/>
  <c r="AV29" i="16" s="1"/>
  <c r="AL29" i="16"/>
  <c r="AJ29" i="16"/>
  <c r="AI29" i="16"/>
  <c r="AK29" i="16" s="1"/>
  <c r="AH29" i="16"/>
  <c r="BP28" i="16"/>
  <c r="BH28" i="16"/>
  <c r="BI28" i="16" s="1"/>
  <c r="BK28" i="16" s="1"/>
  <c r="BG28" i="16"/>
  <c r="BF28" i="16"/>
  <c r="BE28" i="16"/>
  <c r="BD28" i="16"/>
  <c r="BC28" i="16"/>
  <c r="BB28" i="16"/>
  <c r="BA28" i="16"/>
  <c r="AZ28" i="16"/>
  <c r="AY28" i="16"/>
  <c r="AU28" i="16"/>
  <c r="AT28" i="16"/>
  <c r="AS28" i="16"/>
  <c r="AV28" i="16" s="1"/>
  <c r="AR28" i="16"/>
  <c r="AQ28" i="16"/>
  <c r="AX28" i="16" s="1"/>
  <c r="AP28" i="16"/>
  <c r="AW28" i="16" s="1"/>
  <c r="AO28" i="16"/>
  <c r="AL28" i="16"/>
  <c r="AK28" i="16"/>
  <c r="AJ28" i="16"/>
  <c r="BQ28" i="16" s="1"/>
  <c r="AI28" i="16"/>
  <c r="AH28" i="16"/>
  <c r="BX27" i="16"/>
  <c r="BH27" i="16"/>
  <c r="BM27" i="16" s="1"/>
  <c r="BG27" i="16"/>
  <c r="BF27" i="16"/>
  <c r="BN27" i="16" s="1"/>
  <c r="BW27" i="16" s="1"/>
  <c r="BA27" i="16"/>
  <c r="AZ27" i="16"/>
  <c r="AY27" i="16"/>
  <c r="AX27" i="16"/>
  <c r="AV27" i="16"/>
  <c r="AU27" i="16"/>
  <c r="AT27" i="16"/>
  <c r="AW27" i="16" s="1"/>
  <c r="AS27" i="16"/>
  <c r="AR27" i="16"/>
  <c r="AQ27" i="16"/>
  <c r="AP27" i="16"/>
  <c r="AO27" i="16"/>
  <c r="AM27" i="16"/>
  <c r="AL27" i="16"/>
  <c r="AK27" i="16"/>
  <c r="AJ27" i="16"/>
  <c r="AI27" i="16"/>
  <c r="AH27" i="16"/>
  <c r="BN26" i="16"/>
  <c r="BW26" i="16" s="1"/>
  <c r="BM26" i="16"/>
  <c r="BL26" i="16"/>
  <c r="BO26" i="16" s="1"/>
  <c r="BH26" i="16"/>
  <c r="BG26" i="16"/>
  <c r="BF26" i="16"/>
  <c r="BI26" i="16" s="1"/>
  <c r="BK26" i="16" s="1"/>
  <c r="BA26" i="16"/>
  <c r="AZ26" i="16"/>
  <c r="AY26" i="16"/>
  <c r="AX26" i="16"/>
  <c r="AU26" i="16"/>
  <c r="AT26" i="16"/>
  <c r="AS26" i="16"/>
  <c r="AR26" i="16"/>
  <c r="AQ26" i="16"/>
  <c r="AP26" i="16"/>
  <c r="AO26" i="16"/>
  <c r="AV26" i="16" s="1"/>
  <c r="AM26" i="16"/>
  <c r="AL26" i="16"/>
  <c r="AJ26" i="16"/>
  <c r="AN26" i="16" s="1"/>
  <c r="AI26" i="16"/>
  <c r="AK26" i="16" s="1"/>
  <c r="BX26" i="16" s="1"/>
  <c r="AH26" i="16"/>
  <c r="BQ25" i="16"/>
  <c r="BH25" i="16"/>
  <c r="BG25" i="16"/>
  <c r="BF25" i="16"/>
  <c r="BD25" i="16"/>
  <c r="BC25" i="16"/>
  <c r="BB25" i="16"/>
  <c r="BA25" i="16"/>
  <c r="AZ25" i="16"/>
  <c r="AY25" i="16"/>
  <c r="AV25" i="16"/>
  <c r="AU25" i="16"/>
  <c r="AT25" i="16"/>
  <c r="AS25" i="16"/>
  <c r="AR25" i="16"/>
  <c r="AQ25" i="16"/>
  <c r="AP25" i="16"/>
  <c r="AO25" i="16"/>
  <c r="AM25" i="16"/>
  <c r="AN25" i="16" s="1"/>
  <c r="AL25" i="16"/>
  <c r="AK25" i="16"/>
  <c r="AI25" i="16"/>
  <c r="AH25" i="16"/>
  <c r="AJ25" i="16" s="1"/>
  <c r="BI24" i="16"/>
  <c r="BK24" i="16" s="1"/>
  <c r="BH24" i="16"/>
  <c r="BG24" i="16"/>
  <c r="BF24" i="16"/>
  <c r="BE24" i="16"/>
  <c r="BP24" i="16" s="1"/>
  <c r="BC24" i="16"/>
  <c r="BA24" i="16"/>
  <c r="AZ24" i="16"/>
  <c r="BD24" i="16" s="1"/>
  <c r="AY24" i="16"/>
  <c r="AV24" i="16"/>
  <c r="AU24" i="16"/>
  <c r="AX24" i="16" s="1"/>
  <c r="AT24" i="16"/>
  <c r="AW24" i="16" s="1"/>
  <c r="AS24" i="16"/>
  <c r="AR24" i="16"/>
  <c r="AQ24" i="16"/>
  <c r="AP24" i="16"/>
  <c r="AO24" i="16"/>
  <c r="AL24" i="16"/>
  <c r="AI24" i="16"/>
  <c r="AK24" i="16" s="1"/>
  <c r="AH24" i="16"/>
  <c r="AJ24" i="16" s="1"/>
  <c r="BX23" i="16"/>
  <c r="BQ23" i="16"/>
  <c r="BH23" i="16"/>
  <c r="BG23" i="16"/>
  <c r="BN23" i="16" s="1"/>
  <c r="BW23" i="16" s="1"/>
  <c r="BF23" i="16"/>
  <c r="BB23" i="16"/>
  <c r="BA23" i="16"/>
  <c r="AZ23" i="16"/>
  <c r="AY23" i="16"/>
  <c r="AU23" i="16"/>
  <c r="AT23" i="16"/>
  <c r="AW23" i="16" s="1"/>
  <c r="AS23" i="16"/>
  <c r="AV23" i="16" s="1"/>
  <c r="AR23" i="16"/>
  <c r="AQ23" i="16"/>
  <c r="AX23" i="16" s="1"/>
  <c r="AP23" i="16"/>
  <c r="AO23" i="16"/>
  <c r="AL23" i="16"/>
  <c r="AM23" i="16" s="1"/>
  <c r="AN23" i="16" s="1"/>
  <c r="AJ23" i="16"/>
  <c r="AI23" i="16"/>
  <c r="AK23" i="16" s="1"/>
  <c r="AH23" i="16"/>
  <c r="BN22" i="16"/>
  <c r="BW22" i="16" s="1"/>
  <c r="BM22" i="16"/>
  <c r="BK22" i="16"/>
  <c r="BH22" i="16"/>
  <c r="BG22" i="16"/>
  <c r="BF22" i="16"/>
  <c r="BI22" i="16" s="1"/>
  <c r="BA22" i="16"/>
  <c r="AZ22" i="16"/>
  <c r="BB22" i="16" s="1"/>
  <c r="AY22" i="16"/>
  <c r="AX22" i="16"/>
  <c r="AW22" i="16"/>
  <c r="AU22" i="16"/>
  <c r="AT22" i="16"/>
  <c r="AS22" i="16"/>
  <c r="AR22" i="16"/>
  <c r="AQ22" i="16"/>
  <c r="AP22" i="16"/>
  <c r="AO22" i="16"/>
  <c r="AV22" i="16" s="1"/>
  <c r="AL22" i="16"/>
  <c r="AK22" i="16"/>
  <c r="AI22" i="16"/>
  <c r="AH22" i="16"/>
  <c r="AJ22" i="16" s="1"/>
  <c r="BQ22" i="16" s="1"/>
  <c r="BH21" i="16"/>
  <c r="BG21" i="16"/>
  <c r="BF21" i="16"/>
  <c r="BD21" i="16"/>
  <c r="BC21" i="16"/>
  <c r="BB21" i="16"/>
  <c r="BA21" i="16"/>
  <c r="AZ21" i="16"/>
  <c r="AY21" i="16"/>
  <c r="AU21" i="16"/>
  <c r="AT21" i="16"/>
  <c r="AS21" i="16"/>
  <c r="AR21" i="16"/>
  <c r="AQ21" i="16"/>
  <c r="AP21" i="16"/>
  <c r="AO21" i="16"/>
  <c r="AV21" i="16" s="1"/>
  <c r="AL21" i="16"/>
  <c r="AK21" i="16"/>
  <c r="AI21" i="16"/>
  <c r="AH21" i="16"/>
  <c r="AJ21" i="16" s="1"/>
  <c r="BR20" i="16"/>
  <c r="BQ20" i="16"/>
  <c r="BK20" i="16"/>
  <c r="BL20" i="16" s="1"/>
  <c r="BO20" i="16" s="1"/>
  <c r="BS20" i="16" s="1"/>
  <c r="BT20" i="16" s="1"/>
  <c r="BU20" i="16" s="1"/>
  <c r="BH20" i="16"/>
  <c r="BI20" i="16" s="1"/>
  <c r="BG20" i="16"/>
  <c r="BF20" i="16"/>
  <c r="BE20" i="16"/>
  <c r="BP20" i="16" s="1"/>
  <c r="BD20" i="16"/>
  <c r="BA20" i="16"/>
  <c r="AZ20" i="16"/>
  <c r="AY20" i="16"/>
  <c r="AW20" i="16"/>
  <c r="AU20" i="16"/>
  <c r="AX20" i="16" s="1"/>
  <c r="AT20" i="16"/>
  <c r="AS20" i="16"/>
  <c r="AV20" i="16" s="1"/>
  <c r="AR20" i="16"/>
  <c r="AQ20" i="16"/>
  <c r="AP20" i="16"/>
  <c r="AO20" i="16"/>
  <c r="AN20" i="16"/>
  <c r="AM20" i="16"/>
  <c r="AL20" i="16"/>
  <c r="AJ20" i="16"/>
  <c r="AI20" i="16"/>
  <c r="AK20" i="16" s="1"/>
  <c r="AH20" i="16"/>
  <c r="BH19" i="16"/>
  <c r="BG19" i="16"/>
  <c r="BN19" i="16" s="1"/>
  <c r="BW19" i="16" s="1"/>
  <c r="BF19" i="16"/>
  <c r="BA19" i="16"/>
  <c r="AZ19" i="16"/>
  <c r="AY19" i="16"/>
  <c r="AW19" i="16"/>
  <c r="AU19" i="16"/>
  <c r="AX19" i="16" s="1"/>
  <c r="AT19" i="16"/>
  <c r="AS19" i="16"/>
  <c r="AV19" i="16" s="1"/>
  <c r="AR19" i="16"/>
  <c r="AQ19" i="16"/>
  <c r="AP19" i="16"/>
  <c r="AO19" i="16"/>
  <c r="AL19" i="16"/>
  <c r="AK19" i="16"/>
  <c r="AI19" i="16"/>
  <c r="AH19" i="16"/>
  <c r="AJ19" i="16" s="1"/>
  <c r="BN18" i="16"/>
  <c r="BW18" i="16" s="1"/>
  <c r="BM18" i="16"/>
  <c r="BI18" i="16"/>
  <c r="BK18" i="16" s="1"/>
  <c r="BH18" i="16"/>
  <c r="BG18" i="16"/>
  <c r="BF18" i="16"/>
  <c r="BD18" i="16"/>
  <c r="BA18" i="16"/>
  <c r="AZ18" i="16"/>
  <c r="AY18" i="16"/>
  <c r="AW18" i="16"/>
  <c r="AV18" i="16"/>
  <c r="AU18" i="16"/>
  <c r="AX18" i="16" s="1"/>
  <c r="AT18" i="16"/>
  <c r="AS18" i="16"/>
  <c r="AR18" i="16"/>
  <c r="AQ18" i="16"/>
  <c r="AP18" i="16"/>
  <c r="AO18" i="16"/>
  <c r="AL18" i="16"/>
  <c r="AI18" i="16"/>
  <c r="AK18" i="16" s="1"/>
  <c r="AH18" i="16"/>
  <c r="AJ18" i="16" s="1"/>
  <c r="BQ17" i="16"/>
  <c r="BN17" i="16"/>
  <c r="BW17" i="16" s="1"/>
  <c r="BM17" i="16"/>
  <c r="BH17" i="16"/>
  <c r="BG17" i="16"/>
  <c r="BF17" i="16"/>
  <c r="BC17" i="16"/>
  <c r="BB17" i="16"/>
  <c r="BA17" i="16"/>
  <c r="AZ17" i="16"/>
  <c r="AY17" i="16"/>
  <c r="AX17" i="16"/>
  <c r="AU17" i="16"/>
  <c r="AT17" i="16"/>
  <c r="AS17" i="16"/>
  <c r="AR17" i="16"/>
  <c r="AQ17" i="16"/>
  <c r="AP17" i="16"/>
  <c r="AO17" i="16"/>
  <c r="AV17" i="16" s="1"/>
  <c r="AL17" i="16"/>
  <c r="AM17" i="16" s="1"/>
  <c r="AN17" i="16" s="1"/>
  <c r="AJ17" i="16"/>
  <c r="AI17" i="16"/>
  <c r="AK17" i="16" s="1"/>
  <c r="BX17" i="16" s="1"/>
  <c r="BY17" i="16" s="1"/>
  <c r="AH17" i="16"/>
  <c r="BH16" i="16"/>
  <c r="BM16" i="16" s="1"/>
  <c r="BG16" i="16"/>
  <c r="BF16" i="16"/>
  <c r="BA16" i="16"/>
  <c r="AZ16" i="16"/>
  <c r="AY16" i="16"/>
  <c r="BE16" i="16" s="1"/>
  <c r="BP16" i="16" s="1"/>
  <c r="AU16" i="16"/>
  <c r="AT16" i="16"/>
  <c r="AS16" i="16"/>
  <c r="AR16" i="16"/>
  <c r="AQ16" i="16"/>
  <c r="AX16" i="16" s="1"/>
  <c r="AP16" i="16"/>
  <c r="AW16" i="16" s="1"/>
  <c r="AO16" i="16"/>
  <c r="AL16" i="16"/>
  <c r="AK16" i="16"/>
  <c r="AI16" i="16"/>
  <c r="AH16" i="16"/>
  <c r="AJ16" i="16" s="1"/>
  <c r="BX15" i="16"/>
  <c r="BH15" i="16"/>
  <c r="BG15" i="16"/>
  <c r="BF15" i="16"/>
  <c r="BA15" i="16"/>
  <c r="BD15" i="16" s="1"/>
  <c r="AZ15" i="16"/>
  <c r="AY15" i="16"/>
  <c r="AU15" i="16"/>
  <c r="AX15" i="16" s="1"/>
  <c r="AT15" i="16"/>
  <c r="AW15" i="16" s="1"/>
  <c r="AS15" i="16"/>
  <c r="AR15" i="16"/>
  <c r="AQ15" i="16"/>
  <c r="AP15" i="16"/>
  <c r="AO15" i="16"/>
  <c r="AV15" i="16" s="1"/>
  <c r="AL15" i="16"/>
  <c r="AK15" i="16"/>
  <c r="AI15" i="16"/>
  <c r="AH15" i="16"/>
  <c r="AJ15" i="16" s="1"/>
  <c r="BX14" i="16"/>
  <c r="BH14" i="16"/>
  <c r="BG14" i="16"/>
  <c r="BF14" i="16"/>
  <c r="BM14" i="16" s="1"/>
  <c r="BA14" i="16"/>
  <c r="AZ14" i="16"/>
  <c r="AY14" i="16"/>
  <c r="AX14" i="16"/>
  <c r="AV14" i="16"/>
  <c r="AU14" i="16"/>
  <c r="AT14" i="16"/>
  <c r="AS14" i="16"/>
  <c r="AR14" i="16"/>
  <c r="AQ14" i="16"/>
  <c r="AP14" i="16"/>
  <c r="AW14" i="16" s="1"/>
  <c r="AO14" i="16"/>
  <c r="AL14" i="16"/>
  <c r="AK14" i="16"/>
  <c r="AJ14" i="16"/>
  <c r="AI14" i="16"/>
  <c r="AH14" i="16"/>
  <c r="BQ13" i="16"/>
  <c r="BH13" i="16"/>
  <c r="BI13" i="16" s="1"/>
  <c r="BK13" i="16" s="1"/>
  <c r="BG13" i="16"/>
  <c r="BF13" i="16"/>
  <c r="BE13" i="16"/>
  <c r="BP13" i="16" s="1"/>
  <c r="BD13" i="16"/>
  <c r="BC13" i="16"/>
  <c r="BB13" i="16"/>
  <c r="BA13" i="16"/>
  <c r="AZ13" i="16"/>
  <c r="AY13" i="16"/>
  <c r="AU13" i="16"/>
  <c r="AT13" i="16"/>
  <c r="AS13" i="16"/>
  <c r="AV13" i="16" s="1"/>
  <c r="AR13" i="16"/>
  <c r="AQ13" i="16"/>
  <c r="AX13" i="16" s="1"/>
  <c r="AP13" i="16"/>
  <c r="AW13" i="16" s="1"/>
  <c r="AO13" i="16"/>
  <c r="AL13" i="16"/>
  <c r="AK13" i="16"/>
  <c r="BJ13" i="16" s="1"/>
  <c r="BV13" i="16" s="1"/>
  <c r="AI13" i="16"/>
  <c r="AH13" i="16"/>
  <c r="AJ13" i="16" s="1"/>
  <c r="BH12" i="16"/>
  <c r="BG12" i="16"/>
  <c r="BF12" i="16"/>
  <c r="BI12" i="16" s="1"/>
  <c r="BK12" i="16" s="1"/>
  <c r="BE12" i="16"/>
  <c r="BP12" i="16" s="1"/>
  <c r="BA12" i="16"/>
  <c r="AZ12" i="16"/>
  <c r="AY12" i="16"/>
  <c r="BD12" i="16" s="1"/>
  <c r="AU12" i="16"/>
  <c r="AX12" i="16" s="1"/>
  <c r="AT12" i="16"/>
  <c r="AS12" i="16"/>
  <c r="AV12" i="16" s="1"/>
  <c r="AR12" i="16"/>
  <c r="AQ12" i="16"/>
  <c r="AP12" i="16"/>
  <c r="AO12" i="16"/>
  <c r="AL12" i="16"/>
  <c r="AJ12" i="16"/>
  <c r="AI12" i="16"/>
  <c r="AK12" i="16" s="1"/>
  <c r="BX12" i="16" s="1"/>
  <c r="AH12" i="16"/>
  <c r="BX11" i="16"/>
  <c r="BH11" i="16"/>
  <c r="BI11" i="16" s="1"/>
  <c r="BK11" i="16" s="1"/>
  <c r="BG11" i="16"/>
  <c r="BF11" i="16"/>
  <c r="BA11" i="16"/>
  <c r="AZ11" i="16"/>
  <c r="AY11" i="16"/>
  <c r="BB11" i="16" s="1"/>
  <c r="AX11" i="16"/>
  <c r="AW11" i="16"/>
  <c r="AV11" i="16"/>
  <c r="AU11" i="16"/>
  <c r="AT11" i="16"/>
  <c r="AS11" i="16"/>
  <c r="AR11" i="16"/>
  <c r="AQ11" i="16"/>
  <c r="AP11" i="16"/>
  <c r="AO11" i="16"/>
  <c r="AL11" i="16"/>
  <c r="AK11" i="16"/>
  <c r="AJ11" i="16"/>
  <c r="AI11" i="16"/>
  <c r="AH11" i="16"/>
  <c r="BN10" i="16"/>
  <c r="BW10" i="16" s="1"/>
  <c r="BH10" i="16"/>
  <c r="BG10" i="16"/>
  <c r="BM10" i="16" s="1"/>
  <c r="BF10" i="16"/>
  <c r="BA10" i="16"/>
  <c r="AZ10" i="16"/>
  <c r="AY10" i="16"/>
  <c r="AU10" i="16"/>
  <c r="AT10" i="16"/>
  <c r="AS10" i="16"/>
  <c r="AR10" i="16"/>
  <c r="AQ10" i="16"/>
  <c r="AP10" i="16"/>
  <c r="AW10" i="16" s="1"/>
  <c r="AO10" i="16"/>
  <c r="AV10" i="16" s="1"/>
  <c r="AM10" i="16"/>
  <c r="AN10" i="16" s="1"/>
  <c r="AL10" i="16"/>
  <c r="AK10" i="16"/>
  <c r="BX10" i="16" s="1"/>
  <c r="AJ10" i="16"/>
  <c r="BQ10" i="16" s="1"/>
  <c r="AI10" i="16"/>
  <c r="AH10" i="16"/>
  <c r="BH9" i="16"/>
  <c r="BG9" i="16"/>
  <c r="BM9" i="16" s="1"/>
  <c r="BF9" i="16"/>
  <c r="BE9" i="16"/>
  <c r="BP9" i="16" s="1"/>
  <c r="BD9" i="16"/>
  <c r="BB9" i="16"/>
  <c r="BA9" i="16"/>
  <c r="AZ9" i="16"/>
  <c r="AY9" i="16"/>
  <c r="AV9" i="16"/>
  <c r="AU9" i="16"/>
  <c r="AX9" i="16" s="1"/>
  <c r="AT9" i="16"/>
  <c r="AW9" i="16" s="1"/>
  <c r="AS9" i="16"/>
  <c r="AR9" i="16"/>
  <c r="AQ9" i="16"/>
  <c r="AP9" i="16"/>
  <c r="AO9" i="16"/>
  <c r="AL9" i="16"/>
  <c r="AK9" i="16"/>
  <c r="AI9" i="16"/>
  <c r="AH9" i="16"/>
  <c r="AJ9" i="16" s="1"/>
  <c r="BH8" i="16"/>
  <c r="BI8" i="16" s="1"/>
  <c r="BK8" i="16" s="1"/>
  <c r="BG8" i="16"/>
  <c r="BF8" i="16"/>
  <c r="BA8" i="16"/>
  <c r="AZ8" i="16"/>
  <c r="AY8" i="16"/>
  <c r="BE8" i="16" s="1"/>
  <c r="BP8" i="16" s="1"/>
  <c r="AX8" i="16"/>
  <c r="AW8" i="16"/>
  <c r="AV8" i="16"/>
  <c r="AU8" i="16"/>
  <c r="AT8" i="16"/>
  <c r="AS8" i="16"/>
  <c r="AR8" i="16"/>
  <c r="AQ8" i="16"/>
  <c r="AP8" i="16"/>
  <c r="AO8" i="16"/>
  <c r="AL8" i="16"/>
  <c r="AK8" i="16"/>
  <c r="AJ8" i="16"/>
  <c r="AI8" i="16"/>
  <c r="AH8" i="16"/>
  <c r="BX7" i="16"/>
  <c r="BQ7" i="16"/>
  <c r="BH7" i="16"/>
  <c r="BG7" i="16"/>
  <c r="BM7" i="16" s="1"/>
  <c r="BF7" i="16"/>
  <c r="BA7" i="16"/>
  <c r="AZ7" i="16"/>
  <c r="AY7" i="16"/>
  <c r="AU7" i="16"/>
  <c r="AT7" i="16"/>
  <c r="AS7" i="16"/>
  <c r="AR7" i="16"/>
  <c r="AQ7" i="16"/>
  <c r="AX7" i="16" s="1"/>
  <c r="AP7" i="16"/>
  <c r="AO7" i="16"/>
  <c r="AV7" i="16" s="1"/>
  <c r="AN7" i="16"/>
  <c r="AL7" i="16"/>
  <c r="AK7" i="16"/>
  <c r="AI7" i="16"/>
  <c r="AH7" i="16"/>
  <c r="AJ7" i="16" s="1"/>
  <c r="AM7" i="16" s="1"/>
  <c r="BX6" i="16"/>
  <c r="BH6" i="16"/>
  <c r="BG6" i="16"/>
  <c r="BF6" i="16"/>
  <c r="BI6" i="16" s="1"/>
  <c r="BK6" i="16" s="1"/>
  <c r="BE6" i="16"/>
  <c r="BP6" i="16" s="1"/>
  <c r="BB6" i="16"/>
  <c r="BA6" i="16"/>
  <c r="AZ6" i="16"/>
  <c r="AY6" i="16"/>
  <c r="AU6" i="16"/>
  <c r="AX6" i="16" s="1"/>
  <c r="AT6" i="16"/>
  <c r="AW6" i="16" s="1"/>
  <c r="AS6" i="16"/>
  <c r="AV6" i="16" s="1"/>
  <c r="AR6" i="16"/>
  <c r="AQ6" i="16"/>
  <c r="AP6" i="16"/>
  <c r="AO6" i="16"/>
  <c r="AL6" i="16"/>
  <c r="AI6" i="16"/>
  <c r="AK6" i="16" s="1"/>
  <c r="AH6" i="16"/>
  <c r="AJ6" i="16" s="1"/>
  <c r="BH5" i="16"/>
  <c r="BG5" i="16"/>
  <c r="BF5" i="16"/>
  <c r="BA5" i="16"/>
  <c r="AZ5" i="16"/>
  <c r="BE5" i="16" s="1"/>
  <c r="BP5" i="16" s="1"/>
  <c r="AY5" i="16"/>
  <c r="AX5" i="16"/>
  <c r="AU5" i="16"/>
  <c r="AT5" i="16"/>
  <c r="AW5" i="16" s="1"/>
  <c r="AS5" i="16"/>
  <c r="AV5" i="16" s="1"/>
  <c r="AR5" i="16"/>
  <c r="AQ5" i="16"/>
  <c r="AP5" i="16"/>
  <c r="AO5" i="16"/>
  <c r="AL5" i="16"/>
  <c r="AK5" i="16"/>
  <c r="BX5" i="16" s="1"/>
  <c r="AI5" i="16"/>
  <c r="AH5" i="16"/>
  <c r="AJ5" i="16" s="1"/>
  <c r="BN4" i="16"/>
  <c r="BW4" i="16" s="1"/>
  <c r="BM4" i="16"/>
  <c r="BK4" i="16"/>
  <c r="BI4" i="16"/>
  <c r="BH4" i="16"/>
  <c r="BG4" i="16"/>
  <c r="BF4" i="16"/>
  <c r="BA4" i="16"/>
  <c r="AZ4" i="16"/>
  <c r="AY4" i="16"/>
  <c r="AX4" i="16"/>
  <c r="AW4" i="16"/>
  <c r="AU4" i="16"/>
  <c r="AT4" i="16"/>
  <c r="AS4" i="16"/>
  <c r="AR4" i="16"/>
  <c r="AQ4" i="16"/>
  <c r="AP4" i="16"/>
  <c r="AO4" i="16"/>
  <c r="AV4" i="16" s="1"/>
  <c r="AL4" i="16"/>
  <c r="AM4" i="16" s="1"/>
  <c r="AN4" i="16" s="1"/>
  <c r="AK4" i="16"/>
  <c r="AJ4" i="16"/>
  <c r="BQ4" i="16" s="1"/>
  <c r="AI4" i="16"/>
  <c r="AH4" i="16"/>
  <c r="BX3" i="16"/>
  <c r="BH3" i="16"/>
  <c r="BG3" i="16"/>
  <c r="BF3" i="16"/>
  <c r="BA3" i="16"/>
  <c r="AZ3" i="16"/>
  <c r="AY3" i="16"/>
  <c r="AX3" i="16"/>
  <c r="AU3" i="16"/>
  <c r="AT3" i="16"/>
  <c r="AW3" i="16" s="1"/>
  <c r="AS3" i="16"/>
  <c r="AR3" i="16"/>
  <c r="AQ3" i="16"/>
  <c r="AP3" i="16"/>
  <c r="AO3" i="16"/>
  <c r="AV3" i="16" s="1"/>
  <c r="AL3" i="16"/>
  <c r="AK3" i="16"/>
  <c r="AI3" i="16"/>
  <c r="AH3" i="16"/>
  <c r="AJ3" i="16" s="1"/>
  <c r="BX2" i="16"/>
  <c r="BH2" i="16"/>
  <c r="BG2" i="16"/>
  <c r="BF2" i="16"/>
  <c r="BM2" i="16" s="1"/>
  <c r="BE2" i="16"/>
  <c r="BP2" i="16" s="1"/>
  <c r="BA2" i="16"/>
  <c r="AZ2" i="16"/>
  <c r="AY2" i="16"/>
  <c r="BD2" i="16" s="1"/>
  <c r="AU2" i="16"/>
  <c r="AX2" i="16" s="1"/>
  <c r="AT2" i="16"/>
  <c r="AW2" i="16" s="1"/>
  <c r="AS2" i="16"/>
  <c r="AV2" i="16" s="1"/>
  <c r="AR2" i="16"/>
  <c r="AQ2" i="16"/>
  <c r="AP2" i="16"/>
  <c r="AO2" i="16"/>
  <c r="AL2" i="16"/>
  <c r="AK2" i="16"/>
  <c r="AI2" i="16"/>
  <c r="AH2" i="16"/>
  <c r="AJ2" i="16" s="1"/>
  <c r="G48" i="15"/>
  <c r="F48" i="15"/>
  <c r="E48" i="15"/>
  <c r="C48" i="15"/>
  <c r="F47" i="15"/>
  <c r="B47" i="15" s="1"/>
  <c r="B48" i="15" s="1"/>
  <c r="D47" i="15"/>
  <c r="D48" i="15" s="1"/>
  <c r="D46" i="15"/>
  <c r="F40" i="15"/>
  <c r="E40" i="15"/>
  <c r="B12" i="15"/>
  <c r="L11" i="15"/>
  <c r="J11" i="15"/>
  <c r="H11" i="15"/>
  <c r="D11" i="15"/>
  <c r="D12" i="15" s="1"/>
  <c r="B11" i="15"/>
  <c r="F10" i="15"/>
  <c r="F11" i="15" s="1"/>
  <c r="F12" i="15" s="1"/>
  <c r="D10" i="15"/>
  <c r="B10" i="15"/>
  <c r="BO2" i="7"/>
  <c r="BR2" i="7"/>
  <c r="BR2" i="13"/>
  <c r="BR3" i="13"/>
  <c r="BR4" i="13"/>
  <c r="BR5" i="13"/>
  <c r="BR6" i="13"/>
  <c r="BR7" i="13"/>
  <c r="BR8" i="13"/>
  <c r="BR9" i="13"/>
  <c r="BR10" i="13"/>
  <c r="BR11" i="13"/>
  <c r="BR12" i="13"/>
  <c r="BR13" i="13"/>
  <c r="BR14" i="13"/>
  <c r="BR15" i="13"/>
  <c r="BR16" i="13"/>
  <c r="BR17" i="13"/>
  <c r="BR18" i="13"/>
  <c r="BR19" i="13"/>
  <c r="BR20" i="13"/>
  <c r="BR21" i="13"/>
  <c r="BR22" i="13"/>
  <c r="BR23" i="13"/>
  <c r="BR24" i="13"/>
  <c r="BR25" i="13"/>
  <c r="BR26" i="13"/>
  <c r="BR27" i="13"/>
  <c r="BR28" i="13"/>
  <c r="BR29" i="13"/>
  <c r="BR30" i="13"/>
  <c r="BR31" i="13"/>
  <c r="BR32" i="13"/>
  <c r="BR33" i="13"/>
  <c r="BR34" i="13"/>
  <c r="BR35" i="13"/>
  <c r="BR36" i="13"/>
  <c r="BR37" i="13"/>
  <c r="BR38" i="13"/>
  <c r="BR39" i="13"/>
  <c r="BR40" i="13"/>
  <c r="BR41" i="13"/>
  <c r="BR42" i="13"/>
  <c r="BR43" i="13"/>
  <c r="BR44" i="13"/>
  <c r="BR45" i="13"/>
  <c r="BR46" i="13"/>
  <c r="BR47" i="13"/>
  <c r="BR48" i="13"/>
  <c r="BR49" i="13"/>
  <c r="BR50" i="13"/>
  <c r="BR51" i="13"/>
  <c r="BR52" i="13"/>
  <c r="BR53" i="13"/>
  <c r="BR54" i="13"/>
  <c r="BR55" i="13"/>
  <c r="BR56" i="13"/>
  <c r="BR57" i="13"/>
  <c r="BR58" i="13"/>
  <c r="BR59" i="13"/>
  <c r="BR60" i="13"/>
  <c r="BR61" i="13"/>
  <c r="BR62" i="13"/>
  <c r="BR63" i="13"/>
  <c r="BR64" i="13"/>
  <c r="BR65" i="13"/>
  <c r="BR66" i="13"/>
  <c r="BR67" i="13"/>
  <c r="BR68" i="13"/>
  <c r="BR69" i="13"/>
  <c r="BR70" i="13"/>
  <c r="BR71" i="13"/>
  <c r="BR72" i="13"/>
  <c r="BR73" i="13"/>
  <c r="BR74" i="13"/>
  <c r="BR75" i="13"/>
  <c r="BR76" i="13"/>
  <c r="BR77" i="13"/>
  <c r="BR78" i="13"/>
  <c r="BR79" i="13"/>
  <c r="BR80" i="13"/>
  <c r="BR81" i="13"/>
  <c r="BR82" i="13"/>
  <c r="BR83" i="13"/>
  <c r="BR84" i="13"/>
  <c r="BR85" i="13"/>
  <c r="BR86" i="13"/>
  <c r="BR87" i="13"/>
  <c r="BR88" i="13"/>
  <c r="BR89" i="13"/>
  <c r="BR90" i="13"/>
  <c r="BR91" i="13"/>
  <c r="BR92" i="13"/>
  <c r="BR93" i="13"/>
  <c r="BR94" i="13"/>
  <c r="BR95" i="13"/>
  <c r="BR96" i="13"/>
  <c r="BR97" i="13"/>
  <c r="BR98" i="13"/>
  <c r="BR99" i="13"/>
  <c r="BR100" i="13"/>
  <c r="BR101" i="13"/>
  <c r="BO2" i="13"/>
  <c r="BQ2" i="13"/>
  <c r="BQ3" i="13"/>
  <c r="BQ4" i="13"/>
  <c r="BQ5" i="13"/>
  <c r="BQ6" i="13"/>
  <c r="BQ7" i="13"/>
  <c r="BQ8" i="13"/>
  <c r="BQ9" i="13"/>
  <c r="BQ10" i="13"/>
  <c r="BQ11" i="13"/>
  <c r="BQ12" i="13"/>
  <c r="BQ13" i="13"/>
  <c r="BQ14" i="13"/>
  <c r="BQ15" i="13"/>
  <c r="BQ16" i="13"/>
  <c r="BQ17" i="13"/>
  <c r="BQ18" i="13"/>
  <c r="BQ19" i="13"/>
  <c r="BQ20" i="13"/>
  <c r="BQ21" i="13"/>
  <c r="BQ22" i="13"/>
  <c r="BQ23" i="13"/>
  <c r="BQ24" i="13"/>
  <c r="BQ25" i="13"/>
  <c r="BQ26" i="13"/>
  <c r="BQ27" i="13"/>
  <c r="BQ28" i="13"/>
  <c r="BQ29" i="13"/>
  <c r="BQ30" i="13"/>
  <c r="BQ31" i="13"/>
  <c r="BQ32" i="13"/>
  <c r="BQ33" i="13"/>
  <c r="BQ34" i="13"/>
  <c r="BQ35" i="13"/>
  <c r="BQ36" i="13"/>
  <c r="BQ37" i="13"/>
  <c r="BQ38" i="13"/>
  <c r="BQ39" i="13"/>
  <c r="BQ40" i="13"/>
  <c r="BQ41" i="13"/>
  <c r="BQ42" i="13"/>
  <c r="BQ43" i="13"/>
  <c r="BQ44" i="13"/>
  <c r="BQ45" i="13"/>
  <c r="BQ46" i="13"/>
  <c r="BQ47" i="13"/>
  <c r="BQ48" i="13"/>
  <c r="BQ49" i="13"/>
  <c r="BQ50" i="13"/>
  <c r="BQ51" i="13"/>
  <c r="BQ52" i="13"/>
  <c r="BQ53" i="13"/>
  <c r="BQ54" i="13"/>
  <c r="BQ55" i="13"/>
  <c r="BQ56" i="13"/>
  <c r="BQ57" i="13"/>
  <c r="BQ58" i="13"/>
  <c r="BQ59" i="13"/>
  <c r="BQ60" i="13"/>
  <c r="BQ61" i="13"/>
  <c r="BQ62" i="13"/>
  <c r="BQ63" i="13"/>
  <c r="BQ64" i="13"/>
  <c r="BQ65" i="13"/>
  <c r="BQ66" i="13"/>
  <c r="BQ67" i="13"/>
  <c r="BQ68" i="13"/>
  <c r="BQ69" i="13"/>
  <c r="BQ70" i="13"/>
  <c r="BQ71" i="13"/>
  <c r="BQ72" i="13"/>
  <c r="BQ73" i="13"/>
  <c r="BQ74" i="13"/>
  <c r="BQ75" i="13"/>
  <c r="BQ76" i="13"/>
  <c r="BQ77" i="13"/>
  <c r="BQ78" i="13"/>
  <c r="BQ79" i="13"/>
  <c r="BQ80" i="13"/>
  <c r="BQ81" i="13"/>
  <c r="BQ82" i="13"/>
  <c r="BQ83" i="13"/>
  <c r="BQ84" i="13"/>
  <c r="BQ85" i="13"/>
  <c r="BQ86" i="13"/>
  <c r="BQ87" i="13"/>
  <c r="BQ88" i="13"/>
  <c r="BQ89" i="13"/>
  <c r="BQ90" i="13"/>
  <c r="BQ91" i="13"/>
  <c r="BQ92" i="13"/>
  <c r="BQ93" i="13"/>
  <c r="BQ94" i="13"/>
  <c r="BQ95" i="13"/>
  <c r="BQ96" i="13"/>
  <c r="BQ97" i="13"/>
  <c r="BQ98" i="13"/>
  <c r="BQ99" i="13"/>
  <c r="BQ100" i="13"/>
  <c r="BQ101" i="13"/>
  <c r="BP10" i="13"/>
  <c r="BP3" i="13"/>
  <c r="BP4" i="13"/>
  <c r="BP5" i="13"/>
  <c r="BP6" i="13"/>
  <c r="BP7" i="13"/>
  <c r="BP8" i="13"/>
  <c r="BP9" i="13"/>
  <c r="BP11" i="13"/>
  <c r="BP12" i="13"/>
  <c r="BP13" i="13"/>
  <c r="BP14" i="13"/>
  <c r="BP15" i="13"/>
  <c r="BP16" i="13"/>
  <c r="BP17" i="13"/>
  <c r="BP18" i="13"/>
  <c r="BP19" i="13"/>
  <c r="BP20" i="13"/>
  <c r="BP21" i="13"/>
  <c r="BP22" i="13"/>
  <c r="BP23" i="13"/>
  <c r="BP24" i="13"/>
  <c r="BP25" i="13"/>
  <c r="BP26" i="13"/>
  <c r="BP27" i="13"/>
  <c r="BP28" i="13"/>
  <c r="BP29" i="13"/>
  <c r="BP30" i="13"/>
  <c r="BP31" i="13"/>
  <c r="BP32" i="13"/>
  <c r="BP33" i="13"/>
  <c r="BP34" i="13"/>
  <c r="BP35" i="13"/>
  <c r="BP36" i="13"/>
  <c r="BP37" i="13"/>
  <c r="BP38" i="13"/>
  <c r="BP39" i="13"/>
  <c r="BP40" i="13"/>
  <c r="BP41" i="13"/>
  <c r="BP42" i="13"/>
  <c r="BP43" i="13"/>
  <c r="BP44" i="13"/>
  <c r="BP45" i="13"/>
  <c r="BP46" i="13"/>
  <c r="BP47" i="13"/>
  <c r="BP48" i="13"/>
  <c r="BP49" i="13"/>
  <c r="BP50" i="13"/>
  <c r="BP51" i="13"/>
  <c r="BP52" i="13"/>
  <c r="BP53" i="13"/>
  <c r="BP54" i="13"/>
  <c r="BP55" i="13"/>
  <c r="BP56" i="13"/>
  <c r="BP57" i="13"/>
  <c r="BP58" i="13"/>
  <c r="BP59" i="13"/>
  <c r="BP60" i="13"/>
  <c r="BP61" i="13"/>
  <c r="BP62" i="13"/>
  <c r="BP63" i="13"/>
  <c r="BP64" i="13"/>
  <c r="BP65" i="13"/>
  <c r="BP66" i="13"/>
  <c r="BP67" i="13"/>
  <c r="BP68" i="13"/>
  <c r="BP69" i="13"/>
  <c r="BP70" i="13"/>
  <c r="BP71" i="13"/>
  <c r="BP72" i="13"/>
  <c r="BP73" i="13"/>
  <c r="BP74" i="13"/>
  <c r="BP75" i="13"/>
  <c r="BP76" i="13"/>
  <c r="BP77" i="13"/>
  <c r="BP78" i="13"/>
  <c r="BP79" i="13"/>
  <c r="BP80" i="13"/>
  <c r="BP81" i="13"/>
  <c r="BP82" i="13"/>
  <c r="BP83" i="13"/>
  <c r="BP84" i="13"/>
  <c r="BP85" i="13"/>
  <c r="BP86" i="13"/>
  <c r="BP87" i="13"/>
  <c r="BP88" i="13"/>
  <c r="BP89" i="13"/>
  <c r="BP90" i="13"/>
  <c r="BP91" i="13"/>
  <c r="BP92" i="13"/>
  <c r="BP93" i="13"/>
  <c r="BP94" i="13"/>
  <c r="BP95" i="13"/>
  <c r="BP96" i="13"/>
  <c r="BP97" i="13"/>
  <c r="BP98" i="13"/>
  <c r="BP99" i="13"/>
  <c r="BP100" i="13"/>
  <c r="BP101" i="13"/>
  <c r="BP2" i="13"/>
  <c r="BO3" i="13"/>
  <c r="BO4" i="13"/>
  <c r="BO5" i="13"/>
  <c r="BO6" i="13"/>
  <c r="BO7" i="13"/>
  <c r="BO8" i="13"/>
  <c r="BO9" i="13"/>
  <c r="BO10" i="13"/>
  <c r="BO11" i="13"/>
  <c r="BO12" i="13"/>
  <c r="BO13" i="13"/>
  <c r="BO14" i="13"/>
  <c r="BO15" i="13"/>
  <c r="BO16" i="13"/>
  <c r="BO17" i="13"/>
  <c r="BO18" i="13"/>
  <c r="BO19" i="13"/>
  <c r="BO20" i="13"/>
  <c r="BO21" i="13"/>
  <c r="BO22" i="13"/>
  <c r="BO23" i="13"/>
  <c r="BO24" i="13"/>
  <c r="BO25" i="13"/>
  <c r="BO26" i="13"/>
  <c r="BO27" i="13"/>
  <c r="BO28" i="13"/>
  <c r="BO29" i="13"/>
  <c r="BO30" i="13"/>
  <c r="BO31" i="13"/>
  <c r="BO32" i="13"/>
  <c r="BO33" i="13"/>
  <c r="BO34" i="13"/>
  <c r="BO35" i="13"/>
  <c r="BO36" i="13"/>
  <c r="BO37" i="13"/>
  <c r="BO38" i="13"/>
  <c r="BO39" i="13"/>
  <c r="BO40" i="13"/>
  <c r="BO41" i="13"/>
  <c r="BO42" i="13"/>
  <c r="BO43" i="13"/>
  <c r="BO44" i="13"/>
  <c r="BO45" i="13"/>
  <c r="BO46" i="13"/>
  <c r="BO47" i="13"/>
  <c r="BO48" i="13"/>
  <c r="BO49" i="13"/>
  <c r="BO50" i="13"/>
  <c r="BO51" i="13"/>
  <c r="BO52" i="13"/>
  <c r="BO53" i="13"/>
  <c r="BO54" i="13"/>
  <c r="BO55" i="13"/>
  <c r="BO56" i="13"/>
  <c r="BO57" i="13"/>
  <c r="BO58" i="13"/>
  <c r="BO59" i="13"/>
  <c r="BO60" i="13"/>
  <c r="BO61" i="13"/>
  <c r="BO62" i="13"/>
  <c r="BO63" i="13"/>
  <c r="BO64" i="13"/>
  <c r="BO65" i="13"/>
  <c r="BO66" i="13"/>
  <c r="BO67" i="13"/>
  <c r="BO68" i="13"/>
  <c r="BO69" i="13"/>
  <c r="BO70" i="13"/>
  <c r="BO71" i="13"/>
  <c r="BO72" i="13"/>
  <c r="BO73" i="13"/>
  <c r="BO74" i="13"/>
  <c r="BO75" i="13"/>
  <c r="BO76" i="13"/>
  <c r="BO77" i="13"/>
  <c r="BO78" i="13"/>
  <c r="BO79" i="13"/>
  <c r="BO80" i="13"/>
  <c r="BO81" i="13"/>
  <c r="BO82" i="13"/>
  <c r="BO83" i="13"/>
  <c r="BO84" i="13"/>
  <c r="BO85" i="13"/>
  <c r="BO86" i="13"/>
  <c r="BO87" i="13"/>
  <c r="BO88" i="13"/>
  <c r="BO89" i="13"/>
  <c r="BO90" i="13"/>
  <c r="BO91" i="13"/>
  <c r="BO92" i="13"/>
  <c r="BO93" i="13"/>
  <c r="BO94" i="13"/>
  <c r="BO95" i="13"/>
  <c r="BO96" i="13"/>
  <c r="BO97" i="13"/>
  <c r="BO98" i="13"/>
  <c r="BO99" i="13"/>
  <c r="BO100" i="13"/>
  <c r="BO101" i="13"/>
  <c r="B1" i="13"/>
  <c r="C1" i="13"/>
  <c r="D1" i="13"/>
  <c r="E1" i="13"/>
  <c r="F1" i="13"/>
  <c r="G1" i="13"/>
  <c r="H1" i="13"/>
  <c r="I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AB1" i="13"/>
  <c r="AC1" i="13"/>
  <c r="AD1" i="13"/>
  <c r="AE1" i="13"/>
  <c r="AF1" i="13"/>
  <c r="AG1" i="13"/>
  <c r="AH1" i="13"/>
  <c r="AI1" i="13"/>
  <c r="AJ1" i="13"/>
  <c r="AK1" i="13"/>
  <c r="AL1" i="13"/>
  <c r="AM1" i="13"/>
  <c r="AN1" i="13"/>
  <c r="AO1" i="13"/>
  <c r="AP1" i="13"/>
  <c r="AQ1" i="13"/>
  <c r="AR1" i="13"/>
  <c r="AS1" i="13"/>
  <c r="AT1" i="13"/>
  <c r="AU1" i="13"/>
  <c r="AV1" i="13"/>
  <c r="AW1" i="13"/>
  <c r="AX1" i="13"/>
  <c r="AY1" i="13"/>
  <c r="AZ1" i="13"/>
  <c r="BA1" i="13"/>
  <c r="BB1" i="13"/>
  <c r="BC1" i="13"/>
  <c r="BD1" i="13"/>
  <c r="BE1" i="13"/>
  <c r="BF1" i="13"/>
  <c r="BG1" i="13"/>
  <c r="BH1" i="13"/>
  <c r="BI1" i="13"/>
  <c r="BJ1" i="13"/>
  <c r="BK1" i="13"/>
  <c r="BL1" i="13"/>
  <c r="BM1" i="13"/>
  <c r="BN1" i="13"/>
  <c r="B2" i="13"/>
  <c r="C2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BI2" i="13"/>
  <c r="BJ2" i="13"/>
  <c r="BK2" i="13"/>
  <c r="BL2" i="13"/>
  <c r="BM2" i="13"/>
  <c r="BN2" i="13"/>
  <c r="B3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M3" i="13"/>
  <c r="BN3" i="13"/>
  <c r="B4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BN4" i="13"/>
  <c r="B5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BC5" i="13"/>
  <c r="BD5" i="13"/>
  <c r="BE5" i="13"/>
  <c r="BF5" i="13"/>
  <c r="BG5" i="13"/>
  <c r="BH5" i="13"/>
  <c r="BI5" i="13"/>
  <c r="BJ5" i="13"/>
  <c r="BK5" i="13"/>
  <c r="BL5" i="13"/>
  <c r="BM5" i="13"/>
  <c r="BN5" i="13"/>
  <c r="B6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7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8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BN8" i="13"/>
  <c r="B9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AY9" i="13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10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11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12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BN12" i="13"/>
  <c r="B13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BN13" i="13"/>
  <c r="B14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15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BN15" i="13"/>
  <c r="B16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17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BL17" i="13"/>
  <c r="BM17" i="13"/>
  <c r="BN17" i="13"/>
  <c r="B18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19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G19" i="13"/>
  <c r="BH19" i="13"/>
  <c r="BI19" i="13"/>
  <c r="BJ19" i="13"/>
  <c r="BK19" i="13"/>
  <c r="BL19" i="13"/>
  <c r="BM19" i="13"/>
  <c r="BN19" i="13"/>
  <c r="B20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AY20" i="13"/>
  <c r="AZ20" i="13"/>
  <c r="BA20" i="13"/>
  <c r="BB20" i="13"/>
  <c r="BC20" i="13"/>
  <c r="BD20" i="13"/>
  <c r="BE20" i="13"/>
  <c r="BF20" i="13"/>
  <c r="BG20" i="13"/>
  <c r="BH20" i="13"/>
  <c r="BI20" i="13"/>
  <c r="BJ20" i="13"/>
  <c r="BK20" i="13"/>
  <c r="BL20" i="13"/>
  <c r="BM20" i="13"/>
  <c r="BN20" i="13"/>
  <c r="B21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22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AY22" i="13"/>
  <c r="AZ22" i="13"/>
  <c r="BA22" i="13"/>
  <c r="BB22" i="13"/>
  <c r="BC22" i="13"/>
  <c r="BD22" i="13"/>
  <c r="BE22" i="13"/>
  <c r="BF22" i="13"/>
  <c r="BG22" i="13"/>
  <c r="BH22" i="13"/>
  <c r="BI22" i="13"/>
  <c r="BJ22" i="13"/>
  <c r="BK22" i="13"/>
  <c r="BL22" i="13"/>
  <c r="BM22" i="13"/>
  <c r="BN22" i="13"/>
  <c r="B23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AY23" i="13"/>
  <c r="AZ23" i="13"/>
  <c r="BA23" i="13"/>
  <c r="BB23" i="13"/>
  <c r="BC23" i="13"/>
  <c r="BD23" i="13"/>
  <c r="BE23" i="13"/>
  <c r="BF23" i="13"/>
  <c r="BG23" i="13"/>
  <c r="BH23" i="13"/>
  <c r="BI23" i="13"/>
  <c r="BJ23" i="13"/>
  <c r="BK23" i="13"/>
  <c r="BL23" i="13"/>
  <c r="BM23" i="13"/>
  <c r="BN23" i="13"/>
  <c r="B24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25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BJ25" i="13"/>
  <c r="BK25" i="13"/>
  <c r="BL25" i="13"/>
  <c r="BM25" i="13"/>
  <c r="BN25" i="13"/>
  <c r="B26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BD26" i="13"/>
  <c r="BE26" i="13"/>
  <c r="BF26" i="13"/>
  <c r="BG26" i="13"/>
  <c r="BH26" i="13"/>
  <c r="BI26" i="13"/>
  <c r="BJ26" i="13"/>
  <c r="BK26" i="13"/>
  <c r="BL26" i="13"/>
  <c r="BM26" i="13"/>
  <c r="BN26" i="13"/>
  <c r="B27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N27" i="13"/>
  <c r="B28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AY28" i="13"/>
  <c r="AZ28" i="13"/>
  <c r="BA28" i="13"/>
  <c r="BB28" i="13"/>
  <c r="BC28" i="13"/>
  <c r="BD28" i="13"/>
  <c r="BE28" i="13"/>
  <c r="BF28" i="13"/>
  <c r="BG28" i="13"/>
  <c r="BH28" i="13"/>
  <c r="BI28" i="13"/>
  <c r="BJ28" i="13"/>
  <c r="BK28" i="13"/>
  <c r="BL28" i="13"/>
  <c r="BM28" i="13"/>
  <c r="BN28" i="13"/>
  <c r="B29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AY29" i="13"/>
  <c r="AZ29" i="13"/>
  <c r="BA29" i="13"/>
  <c r="BB29" i="13"/>
  <c r="BC29" i="13"/>
  <c r="BD29" i="13"/>
  <c r="BE29" i="13"/>
  <c r="BF29" i="13"/>
  <c r="BG29" i="13"/>
  <c r="BH29" i="13"/>
  <c r="BI29" i="13"/>
  <c r="BJ29" i="13"/>
  <c r="BK29" i="13"/>
  <c r="BL29" i="13"/>
  <c r="BM29" i="13"/>
  <c r="BN29" i="13"/>
  <c r="B30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AU30" i="13"/>
  <c r="AV30" i="13"/>
  <c r="AW30" i="13"/>
  <c r="AX30" i="13"/>
  <c r="AY30" i="13"/>
  <c r="AZ30" i="13"/>
  <c r="BA30" i="13"/>
  <c r="BB30" i="13"/>
  <c r="BC30" i="13"/>
  <c r="BD30" i="13"/>
  <c r="BE30" i="13"/>
  <c r="BF30" i="13"/>
  <c r="BG30" i="13"/>
  <c r="BH30" i="13"/>
  <c r="BI30" i="13"/>
  <c r="BJ30" i="13"/>
  <c r="BK30" i="13"/>
  <c r="BL30" i="13"/>
  <c r="BM30" i="13"/>
  <c r="BN30" i="13"/>
  <c r="B31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AU31" i="13"/>
  <c r="AV31" i="13"/>
  <c r="AW31" i="13"/>
  <c r="AX31" i="13"/>
  <c r="AY31" i="13"/>
  <c r="AZ31" i="13"/>
  <c r="BA31" i="13"/>
  <c r="BB31" i="13"/>
  <c r="BC31" i="13"/>
  <c r="BD31" i="13"/>
  <c r="BE31" i="13"/>
  <c r="BF31" i="13"/>
  <c r="BG31" i="13"/>
  <c r="BH31" i="13"/>
  <c r="BI31" i="13"/>
  <c r="BJ31" i="13"/>
  <c r="BK31" i="13"/>
  <c r="BL31" i="13"/>
  <c r="BM31" i="13"/>
  <c r="BN31" i="13"/>
  <c r="B32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AU32" i="13"/>
  <c r="AV32" i="13"/>
  <c r="AW32" i="13"/>
  <c r="AX32" i="13"/>
  <c r="AY32" i="13"/>
  <c r="AZ32" i="13"/>
  <c r="BA32" i="13"/>
  <c r="BB32" i="13"/>
  <c r="BC32" i="13"/>
  <c r="BD32" i="13"/>
  <c r="BE32" i="13"/>
  <c r="BF32" i="13"/>
  <c r="BG32" i="13"/>
  <c r="BH32" i="13"/>
  <c r="BI32" i="13"/>
  <c r="BJ32" i="13"/>
  <c r="BK32" i="13"/>
  <c r="BL32" i="13"/>
  <c r="BM32" i="13"/>
  <c r="BN32" i="13"/>
  <c r="B33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34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AY34" i="13"/>
  <c r="AZ34" i="13"/>
  <c r="BA34" i="13"/>
  <c r="BB34" i="13"/>
  <c r="BC34" i="13"/>
  <c r="BD34" i="13"/>
  <c r="BE34" i="13"/>
  <c r="BF34" i="13"/>
  <c r="BG34" i="13"/>
  <c r="BH34" i="13"/>
  <c r="BI34" i="13"/>
  <c r="BJ34" i="13"/>
  <c r="BK34" i="13"/>
  <c r="BL34" i="13"/>
  <c r="BM34" i="13"/>
  <c r="BN34" i="13"/>
  <c r="B35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AY35" i="13"/>
  <c r="AZ35" i="13"/>
  <c r="BA35" i="13"/>
  <c r="BB35" i="13"/>
  <c r="BC35" i="13"/>
  <c r="BD35" i="13"/>
  <c r="BE35" i="13"/>
  <c r="BF35" i="13"/>
  <c r="BG35" i="13"/>
  <c r="BH35" i="13"/>
  <c r="BI35" i="13"/>
  <c r="BJ35" i="13"/>
  <c r="BK35" i="13"/>
  <c r="BL35" i="13"/>
  <c r="BM35" i="13"/>
  <c r="BN35" i="13"/>
  <c r="B36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37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Z37" i="13"/>
  <c r="BA37" i="13"/>
  <c r="BB37" i="13"/>
  <c r="BC37" i="13"/>
  <c r="BD37" i="13"/>
  <c r="BE37" i="13"/>
  <c r="BF37" i="13"/>
  <c r="BG37" i="13"/>
  <c r="BH37" i="13"/>
  <c r="BI37" i="13"/>
  <c r="BJ37" i="13"/>
  <c r="BK37" i="13"/>
  <c r="BL37" i="13"/>
  <c r="BM37" i="13"/>
  <c r="BN37" i="13"/>
  <c r="B38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AY38" i="13"/>
  <c r="AZ38" i="13"/>
  <c r="BA38" i="13"/>
  <c r="BB38" i="13"/>
  <c r="BC38" i="13"/>
  <c r="BD38" i="13"/>
  <c r="BE38" i="13"/>
  <c r="BF38" i="13"/>
  <c r="BG38" i="13"/>
  <c r="BH38" i="13"/>
  <c r="BI38" i="13"/>
  <c r="BJ38" i="13"/>
  <c r="BK38" i="13"/>
  <c r="BL38" i="13"/>
  <c r="BM38" i="13"/>
  <c r="BN38" i="13"/>
  <c r="B39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40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AY40" i="13"/>
  <c r="AZ40" i="13"/>
  <c r="BA40" i="13"/>
  <c r="BB40" i="13"/>
  <c r="BC40" i="13"/>
  <c r="BD40" i="13"/>
  <c r="BE40" i="13"/>
  <c r="BF40" i="13"/>
  <c r="BG40" i="13"/>
  <c r="BH40" i="13"/>
  <c r="BI40" i="13"/>
  <c r="BJ40" i="13"/>
  <c r="BK40" i="13"/>
  <c r="BL40" i="13"/>
  <c r="BM40" i="13"/>
  <c r="BN40" i="13"/>
  <c r="B41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AY41" i="13"/>
  <c r="AZ41" i="13"/>
  <c r="BA41" i="13"/>
  <c r="BB41" i="13"/>
  <c r="BC41" i="13"/>
  <c r="BD41" i="13"/>
  <c r="BE41" i="13"/>
  <c r="BF41" i="13"/>
  <c r="BG41" i="13"/>
  <c r="BH41" i="13"/>
  <c r="BI41" i="13"/>
  <c r="BJ41" i="13"/>
  <c r="BK41" i="13"/>
  <c r="BL41" i="13"/>
  <c r="BM41" i="13"/>
  <c r="BN41" i="13"/>
  <c r="B42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Z42" i="13"/>
  <c r="BA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43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AX43" i="13"/>
  <c r="AY43" i="13"/>
  <c r="AZ43" i="13"/>
  <c r="BA43" i="13"/>
  <c r="BB43" i="13"/>
  <c r="BC43" i="13"/>
  <c r="BD43" i="13"/>
  <c r="BE43" i="13"/>
  <c r="BF43" i="13"/>
  <c r="BG43" i="13"/>
  <c r="BH43" i="13"/>
  <c r="BI43" i="13"/>
  <c r="BJ43" i="13"/>
  <c r="BK43" i="13"/>
  <c r="BL43" i="13"/>
  <c r="BM43" i="13"/>
  <c r="BN43" i="13"/>
  <c r="B44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AX44" i="13"/>
  <c r="AY44" i="13"/>
  <c r="AZ44" i="13"/>
  <c r="BA44" i="13"/>
  <c r="BB44" i="13"/>
  <c r="BC44" i="13"/>
  <c r="BD44" i="13"/>
  <c r="BE44" i="13"/>
  <c r="BF44" i="13"/>
  <c r="BG44" i="13"/>
  <c r="BH44" i="13"/>
  <c r="BI44" i="13"/>
  <c r="BJ44" i="13"/>
  <c r="BK44" i="13"/>
  <c r="BL44" i="13"/>
  <c r="BM44" i="13"/>
  <c r="BN44" i="13"/>
  <c r="B45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N45" i="13"/>
  <c r="B46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AY46" i="13"/>
  <c r="AZ46" i="13"/>
  <c r="BA46" i="13"/>
  <c r="BB46" i="13"/>
  <c r="BC46" i="13"/>
  <c r="BD46" i="13"/>
  <c r="BE46" i="13"/>
  <c r="BF46" i="13"/>
  <c r="BG46" i="13"/>
  <c r="BH46" i="13"/>
  <c r="BI46" i="13"/>
  <c r="BJ46" i="13"/>
  <c r="BK46" i="13"/>
  <c r="BL46" i="13"/>
  <c r="BM46" i="13"/>
  <c r="BN46" i="13"/>
  <c r="B47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BF47" i="13"/>
  <c r="BG47" i="13"/>
  <c r="BH47" i="13"/>
  <c r="BI47" i="13"/>
  <c r="BJ47" i="13"/>
  <c r="BK47" i="13"/>
  <c r="BL47" i="13"/>
  <c r="BM47" i="13"/>
  <c r="BN47" i="13"/>
  <c r="B48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BD48" i="13"/>
  <c r="BE48" i="13"/>
  <c r="BF48" i="13"/>
  <c r="BG48" i="13"/>
  <c r="BH48" i="13"/>
  <c r="BI48" i="13"/>
  <c r="BJ48" i="13"/>
  <c r="BK48" i="13"/>
  <c r="BL48" i="13"/>
  <c r="BM48" i="13"/>
  <c r="BN48" i="13"/>
  <c r="B49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AY49" i="13"/>
  <c r="AZ49" i="13"/>
  <c r="BA49" i="13"/>
  <c r="BB49" i="13"/>
  <c r="BC49" i="13"/>
  <c r="BD49" i="13"/>
  <c r="BE49" i="13"/>
  <c r="BF49" i="13"/>
  <c r="BG49" i="13"/>
  <c r="BH49" i="13"/>
  <c r="BI49" i="13"/>
  <c r="BJ49" i="13"/>
  <c r="BK49" i="13"/>
  <c r="BL49" i="13"/>
  <c r="BM49" i="13"/>
  <c r="BN49" i="13"/>
  <c r="B50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AY50" i="13"/>
  <c r="AZ50" i="13"/>
  <c r="BA50" i="13"/>
  <c r="BB50" i="13"/>
  <c r="BC50" i="13"/>
  <c r="BD50" i="13"/>
  <c r="BE50" i="13"/>
  <c r="BF50" i="13"/>
  <c r="BG50" i="13"/>
  <c r="BH50" i="13"/>
  <c r="BI50" i="13"/>
  <c r="BJ50" i="13"/>
  <c r="BK50" i="13"/>
  <c r="BL50" i="13"/>
  <c r="BM50" i="13"/>
  <c r="BN50" i="13"/>
  <c r="B51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Z51" i="13"/>
  <c r="BA51" i="13"/>
  <c r="BB51" i="13"/>
  <c r="BC51" i="13"/>
  <c r="BD51" i="13"/>
  <c r="BE51" i="13"/>
  <c r="BF51" i="13"/>
  <c r="BG51" i="13"/>
  <c r="BH51" i="13"/>
  <c r="BI51" i="13"/>
  <c r="BJ51" i="13"/>
  <c r="BK51" i="13"/>
  <c r="BL51" i="13"/>
  <c r="BM51" i="13"/>
  <c r="BN51" i="13"/>
  <c r="B52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AY52" i="13"/>
  <c r="AZ52" i="13"/>
  <c r="BA52" i="13"/>
  <c r="BB52" i="13"/>
  <c r="BC52" i="13"/>
  <c r="BD52" i="13"/>
  <c r="BE52" i="13"/>
  <c r="BF52" i="13"/>
  <c r="BG52" i="13"/>
  <c r="BH52" i="13"/>
  <c r="BI52" i="13"/>
  <c r="BJ52" i="13"/>
  <c r="BK52" i="13"/>
  <c r="BL52" i="13"/>
  <c r="BM52" i="13"/>
  <c r="BN52" i="13"/>
  <c r="B53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AX53" i="13"/>
  <c r="AY53" i="13"/>
  <c r="AZ53" i="13"/>
  <c r="BA53" i="13"/>
  <c r="BB53" i="13"/>
  <c r="BC53" i="13"/>
  <c r="BD53" i="13"/>
  <c r="BE53" i="13"/>
  <c r="BF53" i="13"/>
  <c r="BG53" i="13"/>
  <c r="BH53" i="13"/>
  <c r="BI53" i="13"/>
  <c r="BJ53" i="13"/>
  <c r="BK53" i="13"/>
  <c r="BL53" i="13"/>
  <c r="BM53" i="13"/>
  <c r="BN53" i="13"/>
  <c r="B54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AX54" i="13"/>
  <c r="AY54" i="13"/>
  <c r="AZ54" i="13"/>
  <c r="BA54" i="13"/>
  <c r="BB54" i="13"/>
  <c r="BC54" i="13"/>
  <c r="BD54" i="13"/>
  <c r="BE54" i="13"/>
  <c r="BF54" i="13"/>
  <c r="BG54" i="13"/>
  <c r="BH54" i="13"/>
  <c r="BI54" i="13"/>
  <c r="BJ54" i="13"/>
  <c r="BK54" i="13"/>
  <c r="BL54" i="13"/>
  <c r="BM54" i="13"/>
  <c r="BN54" i="13"/>
  <c r="B55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AX55" i="13"/>
  <c r="AY55" i="13"/>
  <c r="AZ55" i="13"/>
  <c r="BA55" i="13"/>
  <c r="BB55" i="13"/>
  <c r="BC55" i="13"/>
  <c r="BD55" i="13"/>
  <c r="BE55" i="13"/>
  <c r="BF55" i="13"/>
  <c r="BG55" i="13"/>
  <c r="BH55" i="13"/>
  <c r="BI55" i="13"/>
  <c r="BJ55" i="13"/>
  <c r="BK55" i="13"/>
  <c r="BL55" i="13"/>
  <c r="BM55" i="13"/>
  <c r="BN55" i="13"/>
  <c r="B56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AX56" i="13"/>
  <c r="AY56" i="13"/>
  <c r="AZ56" i="13"/>
  <c r="BA56" i="13"/>
  <c r="BB56" i="13"/>
  <c r="BC56" i="13"/>
  <c r="BD56" i="13"/>
  <c r="BE56" i="13"/>
  <c r="BF56" i="13"/>
  <c r="BG56" i="13"/>
  <c r="BH56" i="13"/>
  <c r="BI56" i="13"/>
  <c r="BJ56" i="13"/>
  <c r="BK56" i="13"/>
  <c r="BL56" i="13"/>
  <c r="BM56" i="13"/>
  <c r="BN56" i="13"/>
  <c r="B57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AX57" i="13"/>
  <c r="AY57" i="13"/>
  <c r="AZ57" i="13"/>
  <c r="BA57" i="13"/>
  <c r="BB57" i="13"/>
  <c r="BC57" i="13"/>
  <c r="BD57" i="13"/>
  <c r="BE57" i="13"/>
  <c r="BF57" i="13"/>
  <c r="BG57" i="13"/>
  <c r="BH57" i="13"/>
  <c r="BI57" i="13"/>
  <c r="BJ57" i="13"/>
  <c r="BK57" i="13"/>
  <c r="BL57" i="13"/>
  <c r="BM57" i="13"/>
  <c r="BN57" i="13"/>
  <c r="B58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AX58" i="13"/>
  <c r="AY58" i="13"/>
  <c r="AZ58" i="13"/>
  <c r="BA58" i="13"/>
  <c r="BB58" i="13"/>
  <c r="BC58" i="13"/>
  <c r="BD58" i="13"/>
  <c r="BE58" i="13"/>
  <c r="BF58" i="13"/>
  <c r="BG58" i="13"/>
  <c r="BH58" i="13"/>
  <c r="BI58" i="13"/>
  <c r="BJ58" i="13"/>
  <c r="BK58" i="13"/>
  <c r="BL58" i="13"/>
  <c r="BM58" i="13"/>
  <c r="BN58" i="13"/>
  <c r="B59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AU59" i="13"/>
  <c r="AV59" i="13"/>
  <c r="AW59" i="13"/>
  <c r="AX59" i="13"/>
  <c r="AY59" i="13"/>
  <c r="AZ59" i="13"/>
  <c r="BA59" i="13"/>
  <c r="BB59" i="13"/>
  <c r="BC59" i="13"/>
  <c r="BD59" i="13"/>
  <c r="BE59" i="13"/>
  <c r="BF59" i="13"/>
  <c r="BG59" i="13"/>
  <c r="BH59" i="13"/>
  <c r="BI59" i="13"/>
  <c r="BJ59" i="13"/>
  <c r="BK59" i="13"/>
  <c r="BL59" i="13"/>
  <c r="BM59" i="13"/>
  <c r="BN59" i="13"/>
  <c r="B60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BN60" i="13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G61" i="13"/>
  <c r="BH61" i="13"/>
  <c r="BI61" i="13"/>
  <c r="BJ61" i="13"/>
  <c r="BK61" i="13"/>
  <c r="BL61" i="13"/>
  <c r="BM61" i="13"/>
  <c r="BN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G62" i="13"/>
  <c r="BH62" i="13"/>
  <c r="BI62" i="13"/>
  <c r="BJ62" i="13"/>
  <c r="BK62" i="13"/>
  <c r="BL62" i="13"/>
  <c r="BM62" i="13"/>
  <c r="BN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G63" i="13"/>
  <c r="BH63" i="13"/>
  <c r="BI63" i="13"/>
  <c r="BJ63" i="13"/>
  <c r="BK63" i="13"/>
  <c r="BL63" i="13"/>
  <c r="BM63" i="13"/>
  <c r="BN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G64" i="13"/>
  <c r="BH64" i="13"/>
  <c r="BI64" i="13"/>
  <c r="BJ64" i="13"/>
  <c r="BK64" i="13"/>
  <c r="BL64" i="13"/>
  <c r="BM64" i="13"/>
  <c r="BN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BN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G66" i="13"/>
  <c r="BH66" i="13"/>
  <c r="BI66" i="13"/>
  <c r="BJ66" i="13"/>
  <c r="BK66" i="13"/>
  <c r="BL66" i="13"/>
  <c r="BM66" i="13"/>
  <c r="BN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G67" i="13"/>
  <c r="BH67" i="13"/>
  <c r="BI67" i="13"/>
  <c r="BJ67" i="13"/>
  <c r="BK67" i="13"/>
  <c r="BL67" i="13"/>
  <c r="BM67" i="13"/>
  <c r="BN67" i="13"/>
  <c r="B68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AU68" i="13"/>
  <c r="AV68" i="13"/>
  <c r="AW68" i="13"/>
  <c r="AX68" i="13"/>
  <c r="AY68" i="13"/>
  <c r="AZ68" i="13"/>
  <c r="BA68" i="13"/>
  <c r="BB68" i="13"/>
  <c r="BC68" i="13"/>
  <c r="BD68" i="13"/>
  <c r="BE68" i="13"/>
  <c r="BF68" i="13"/>
  <c r="BG68" i="13"/>
  <c r="BH68" i="13"/>
  <c r="BI68" i="13"/>
  <c r="BJ68" i="13"/>
  <c r="BK68" i="13"/>
  <c r="BL68" i="13"/>
  <c r="BM68" i="13"/>
  <c r="BN68" i="13"/>
  <c r="B69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AU69" i="13"/>
  <c r="AV69" i="13"/>
  <c r="AW69" i="13"/>
  <c r="AX69" i="13"/>
  <c r="AY69" i="13"/>
  <c r="AZ69" i="13"/>
  <c r="BA69" i="13"/>
  <c r="BB69" i="13"/>
  <c r="BC69" i="13"/>
  <c r="BD69" i="13"/>
  <c r="BE69" i="13"/>
  <c r="BF69" i="13"/>
  <c r="BG69" i="13"/>
  <c r="BH69" i="13"/>
  <c r="BI69" i="13"/>
  <c r="BJ69" i="13"/>
  <c r="BK69" i="13"/>
  <c r="BL69" i="13"/>
  <c r="BM69" i="13"/>
  <c r="BN69" i="13"/>
  <c r="B70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AU70" i="13"/>
  <c r="AV70" i="13"/>
  <c r="AW70" i="13"/>
  <c r="AX70" i="13"/>
  <c r="AY70" i="13"/>
  <c r="AZ70" i="13"/>
  <c r="BA70" i="13"/>
  <c r="BB70" i="13"/>
  <c r="BC70" i="13"/>
  <c r="BD70" i="13"/>
  <c r="BE70" i="13"/>
  <c r="BF70" i="13"/>
  <c r="BG70" i="13"/>
  <c r="BH70" i="13"/>
  <c r="BI70" i="13"/>
  <c r="BJ70" i="13"/>
  <c r="BK70" i="13"/>
  <c r="BL70" i="13"/>
  <c r="BM70" i="13"/>
  <c r="BN70" i="13"/>
  <c r="B71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AU71" i="13"/>
  <c r="AV71" i="13"/>
  <c r="AW71" i="13"/>
  <c r="AX71" i="13"/>
  <c r="AY71" i="13"/>
  <c r="AZ71" i="13"/>
  <c r="BA71" i="13"/>
  <c r="BB71" i="13"/>
  <c r="BC71" i="13"/>
  <c r="BD71" i="13"/>
  <c r="BE71" i="13"/>
  <c r="BF71" i="13"/>
  <c r="BG71" i="13"/>
  <c r="BH71" i="13"/>
  <c r="BI71" i="13"/>
  <c r="BJ71" i="13"/>
  <c r="BK71" i="13"/>
  <c r="BL71" i="13"/>
  <c r="BM71" i="13"/>
  <c r="BN71" i="13"/>
  <c r="B72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AU72" i="13"/>
  <c r="AV72" i="13"/>
  <c r="AW72" i="13"/>
  <c r="AX72" i="13"/>
  <c r="AY72" i="13"/>
  <c r="AZ72" i="13"/>
  <c r="BA72" i="13"/>
  <c r="BB72" i="13"/>
  <c r="BC72" i="13"/>
  <c r="BD72" i="13"/>
  <c r="BE72" i="13"/>
  <c r="BF72" i="13"/>
  <c r="BG72" i="13"/>
  <c r="BH72" i="13"/>
  <c r="BI72" i="13"/>
  <c r="BJ72" i="13"/>
  <c r="BK72" i="13"/>
  <c r="BL72" i="13"/>
  <c r="BM72" i="13"/>
  <c r="BN72" i="13"/>
  <c r="B73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AU73" i="13"/>
  <c r="AV73" i="13"/>
  <c r="AW73" i="13"/>
  <c r="AX73" i="13"/>
  <c r="AY73" i="13"/>
  <c r="AZ73" i="13"/>
  <c r="BA73" i="13"/>
  <c r="BB73" i="13"/>
  <c r="BC73" i="13"/>
  <c r="BD73" i="13"/>
  <c r="BE73" i="13"/>
  <c r="BF73" i="13"/>
  <c r="BG73" i="13"/>
  <c r="BH73" i="13"/>
  <c r="BI73" i="13"/>
  <c r="BJ73" i="13"/>
  <c r="BK73" i="13"/>
  <c r="BL73" i="13"/>
  <c r="BM73" i="13"/>
  <c r="BN73" i="13"/>
  <c r="B74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AU74" i="13"/>
  <c r="AV74" i="13"/>
  <c r="AW74" i="13"/>
  <c r="AX74" i="13"/>
  <c r="AY74" i="13"/>
  <c r="AZ74" i="13"/>
  <c r="BA74" i="13"/>
  <c r="BB74" i="13"/>
  <c r="BC74" i="13"/>
  <c r="BD74" i="13"/>
  <c r="BE74" i="13"/>
  <c r="BF74" i="13"/>
  <c r="BG74" i="13"/>
  <c r="BH74" i="13"/>
  <c r="BI74" i="13"/>
  <c r="BJ74" i="13"/>
  <c r="BK74" i="13"/>
  <c r="BL74" i="13"/>
  <c r="BM74" i="13"/>
  <c r="BN74" i="13"/>
  <c r="B75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AX75" i="13"/>
  <c r="AY75" i="13"/>
  <c r="AZ75" i="13"/>
  <c r="BA75" i="13"/>
  <c r="BB75" i="13"/>
  <c r="BC75" i="13"/>
  <c r="BD75" i="13"/>
  <c r="BE75" i="13"/>
  <c r="BF75" i="13"/>
  <c r="BG75" i="13"/>
  <c r="BH75" i="13"/>
  <c r="BI75" i="13"/>
  <c r="BJ75" i="13"/>
  <c r="BK75" i="13"/>
  <c r="BL75" i="13"/>
  <c r="BM75" i="13"/>
  <c r="BN75" i="13"/>
  <c r="B76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AU76" i="13"/>
  <c r="AV76" i="13"/>
  <c r="AW76" i="13"/>
  <c r="AX76" i="13"/>
  <c r="AY76" i="13"/>
  <c r="AZ76" i="13"/>
  <c r="BA76" i="13"/>
  <c r="BB76" i="13"/>
  <c r="BC76" i="13"/>
  <c r="BD76" i="13"/>
  <c r="BE76" i="13"/>
  <c r="BF76" i="13"/>
  <c r="BG76" i="13"/>
  <c r="BH76" i="13"/>
  <c r="BI76" i="13"/>
  <c r="BJ76" i="13"/>
  <c r="BK76" i="13"/>
  <c r="BL76" i="13"/>
  <c r="BM76" i="13"/>
  <c r="BN76" i="13"/>
  <c r="B77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AX77" i="13"/>
  <c r="AY77" i="13"/>
  <c r="AZ77" i="13"/>
  <c r="BA77" i="13"/>
  <c r="BB77" i="13"/>
  <c r="BC77" i="13"/>
  <c r="BD77" i="13"/>
  <c r="BE77" i="13"/>
  <c r="BF77" i="13"/>
  <c r="BG77" i="13"/>
  <c r="BH77" i="13"/>
  <c r="BI77" i="13"/>
  <c r="BJ77" i="13"/>
  <c r="BK77" i="13"/>
  <c r="BL77" i="13"/>
  <c r="BM77" i="13"/>
  <c r="BN77" i="13"/>
  <c r="B78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BN78" i="13"/>
  <c r="B79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AU79" i="13"/>
  <c r="AV79" i="13"/>
  <c r="AW79" i="13"/>
  <c r="AX79" i="13"/>
  <c r="AY79" i="13"/>
  <c r="AZ79" i="13"/>
  <c r="BA79" i="13"/>
  <c r="BB79" i="13"/>
  <c r="BC79" i="13"/>
  <c r="BD79" i="13"/>
  <c r="BE79" i="13"/>
  <c r="BF79" i="13"/>
  <c r="BG79" i="13"/>
  <c r="BH79" i="13"/>
  <c r="BI79" i="13"/>
  <c r="BJ79" i="13"/>
  <c r="BK79" i="13"/>
  <c r="BL79" i="13"/>
  <c r="BM79" i="13"/>
  <c r="BN79" i="13"/>
  <c r="B80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AX80" i="13"/>
  <c r="AY80" i="13"/>
  <c r="AZ80" i="13"/>
  <c r="BA80" i="13"/>
  <c r="BB80" i="13"/>
  <c r="BC80" i="13"/>
  <c r="BD80" i="13"/>
  <c r="BE80" i="13"/>
  <c r="BF80" i="13"/>
  <c r="BG80" i="13"/>
  <c r="BH80" i="13"/>
  <c r="BI80" i="13"/>
  <c r="BJ80" i="13"/>
  <c r="BK80" i="13"/>
  <c r="BL80" i="13"/>
  <c r="BM80" i="13"/>
  <c r="BN80" i="13"/>
  <c r="B81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AU81" i="13"/>
  <c r="AV81" i="13"/>
  <c r="AW81" i="13"/>
  <c r="AX81" i="13"/>
  <c r="AY81" i="13"/>
  <c r="AZ81" i="13"/>
  <c r="BA81" i="13"/>
  <c r="BB81" i="13"/>
  <c r="BC81" i="13"/>
  <c r="BD81" i="13"/>
  <c r="BE81" i="13"/>
  <c r="BF81" i="13"/>
  <c r="BG81" i="13"/>
  <c r="BH81" i="13"/>
  <c r="BI81" i="13"/>
  <c r="BJ81" i="13"/>
  <c r="BK81" i="13"/>
  <c r="BL81" i="13"/>
  <c r="BM81" i="13"/>
  <c r="BN81" i="13"/>
  <c r="B82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AU82" i="13"/>
  <c r="AV82" i="13"/>
  <c r="AW82" i="13"/>
  <c r="AX82" i="13"/>
  <c r="AY82" i="13"/>
  <c r="AZ82" i="13"/>
  <c r="BA82" i="13"/>
  <c r="BB82" i="13"/>
  <c r="BC82" i="13"/>
  <c r="BD82" i="13"/>
  <c r="BE82" i="13"/>
  <c r="BF82" i="13"/>
  <c r="BG82" i="13"/>
  <c r="BH82" i="13"/>
  <c r="BI82" i="13"/>
  <c r="BJ82" i="13"/>
  <c r="BK82" i="13"/>
  <c r="BL82" i="13"/>
  <c r="BM82" i="13"/>
  <c r="BN82" i="13"/>
  <c r="B83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AU83" i="13"/>
  <c r="AV83" i="13"/>
  <c r="AW83" i="13"/>
  <c r="AX83" i="13"/>
  <c r="AY83" i="13"/>
  <c r="AZ83" i="13"/>
  <c r="BA83" i="13"/>
  <c r="BB83" i="13"/>
  <c r="BC83" i="13"/>
  <c r="BD83" i="13"/>
  <c r="BE83" i="13"/>
  <c r="BF83" i="13"/>
  <c r="BG83" i="13"/>
  <c r="BH83" i="13"/>
  <c r="BI83" i="13"/>
  <c r="BJ83" i="13"/>
  <c r="BK83" i="13"/>
  <c r="BL83" i="13"/>
  <c r="BM83" i="13"/>
  <c r="BN83" i="13"/>
  <c r="B84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AU84" i="13"/>
  <c r="AV84" i="13"/>
  <c r="AW84" i="13"/>
  <c r="AX84" i="13"/>
  <c r="AY84" i="13"/>
  <c r="AZ84" i="13"/>
  <c r="BA84" i="13"/>
  <c r="BB84" i="13"/>
  <c r="BC84" i="13"/>
  <c r="BD84" i="13"/>
  <c r="BE84" i="13"/>
  <c r="BF84" i="13"/>
  <c r="BG84" i="13"/>
  <c r="BH84" i="13"/>
  <c r="BI84" i="13"/>
  <c r="BJ84" i="13"/>
  <c r="BK84" i="13"/>
  <c r="BL84" i="13"/>
  <c r="BM84" i="13"/>
  <c r="BN84" i="13"/>
  <c r="B85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AU85" i="13"/>
  <c r="AV85" i="13"/>
  <c r="AW85" i="13"/>
  <c r="AX85" i="13"/>
  <c r="AY85" i="13"/>
  <c r="AZ85" i="13"/>
  <c r="BA85" i="13"/>
  <c r="BB85" i="13"/>
  <c r="BC85" i="13"/>
  <c r="BD85" i="13"/>
  <c r="BE85" i="13"/>
  <c r="BF85" i="13"/>
  <c r="BG85" i="13"/>
  <c r="BH85" i="13"/>
  <c r="BI85" i="13"/>
  <c r="BJ85" i="13"/>
  <c r="BK85" i="13"/>
  <c r="BL85" i="13"/>
  <c r="BM85" i="13"/>
  <c r="BN85" i="13"/>
  <c r="B86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AU86" i="13"/>
  <c r="AV86" i="13"/>
  <c r="AW86" i="13"/>
  <c r="AX86" i="13"/>
  <c r="AY86" i="13"/>
  <c r="AZ86" i="13"/>
  <c r="BA86" i="13"/>
  <c r="BB86" i="13"/>
  <c r="BC86" i="13"/>
  <c r="BD86" i="13"/>
  <c r="BE86" i="13"/>
  <c r="BF86" i="13"/>
  <c r="BG86" i="13"/>
  <c r="BH86" i="13"/>
  <c r="BI86" i="13"/>
  <c r="BJ86" i="13"/>
  <c r="BK86" i="13"/>
  <c r="BL86" i="13"/>
  <c r="BM86" i="13"/>
  <c r="BN86" i="13"/>
  <c r="B87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AU87" i="13"/>
  <c r="AV87" i="13"/>
  <c r="AW87" i="13"/>
  <c r="AX87" i="13"/>
  <c r="AY87" i="13"/>
  <c r="AZ87" i="13"/>
  <c r="BA87" i="13"/>
  <c r="BB87" i="13"/>
  <c r="BC87" i="13"/>
  <c r="BD87" i="13"/>
  <c r="BE87" i="13"/>
  <c r="BF87" i="13"/>
  <c r="BG87" i="13"/>
  <c r="BH87" i="13"/>
  <c r="BI87" i="13"/>
  <c r="BJ87" i="13"/>
  <c r="BK87" i="13"/>
  <c r="BL87" i="13"/>
  <c r="BM87" i="13"/>
  <c r="BN87" i="13"/>
  <c r="B88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AU88" i="13"/>
  <c r="AV88" i="13"/>
  <c r="AW88" i="13"/>
  <c r="AX88" i="13"/>
  <c r="AY88" i="13"/>
  <c r="AZ88" i="13"/>
  <c r="BA88" i="13"/>
  <c r="BB88" i="13"/>
  <c r="BC88" i="13"/>
  <c r="BD88" i="13"/>
  <c r="BE88" i="13"/>
  <c r="BF88" i="13"/>
  <c r="BG88" i="13"/>
  <c r="BH88" i="13"/>
  <c r="BI88" i="13"/>
  <c r="BJ88" i="13"/>
  <c r="BK88" i="13"/>
  <c r="BL88" i="13"/>
  <c r="BM88" i="13"/>
  <c r="BN88" i="13"/>
  <c r="B89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AU89" i="13"/>
  <c r="AV89" i="13"/>
  <c r="AW89" i="13"/>
  <c r="AX89" i="13"/>
  <c r="AY89" i="13"/>
  <c r="AZ89" i="13"/>
  <c r="BA89" i="13"/>
  <c r="BB89" i="13"/>
  <c r="BC89" i="13"/>
  <c r="BD89" i="13"/>
  <c r="BE89" i="13"/>
  <c r="BF89" i="13"/>
  <c r="BG89" i="13"/>
  <c r="BH89" i="13"/>
  <c r="BI89" i="13"/>
  <c r="BJ89" i="13"/>
  <c r="BK89" i="13"/>
  <c r="BL89" i="13"/>
  <c r="BM89" i="13"/>
  <c r="BN89" i="13"/>
  <c r="B90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AM90" i="13"/>
  <c r="AN90" i="13"/>
  <c r="AO90" i="13"/>
  <c r="AP90" i="13"/>
  <c r="AQ90" i="13"/>
  <c r="AR90" i="13"/>
  <c r="AS90" i="13"/>
  <c r="AT90" i="13"/>
  <c r="AU90" i="13"/>
  <c r="AV90" i="13"/>
  <c r="AW90" i="13"/>
  <c r="AX90" i="13"/>
  <c r="AY90" i="13"/>
  <c r="AZ90" i="13"/>
  <c r="BA90" i="13"/>
  <c r="BB90" i="13"/>
  <c r="BC90" i="13"/>
  <c r="BD90" i="13"/>
  <c r="BE90" i="13"/>
  <c r="BF90" i="13"/>
  <c r="BG90" i="13"/>
  <c r="BH90" i="13"/>
  <c r="BI90" i="13"/>
  <c r="BJ90" i="13"/>
  <c r="BK90" i="13"/>
  <c r="BL90" i="13"/>
  <c r="BM90" i="13"/>
  <c r="BN90" i="13"/>
  <c r="B91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AH91" i="13"/>
  <c r="AI91" i="13"/>
  <c r="AJ91" i="13"/>
  <c r="AK91" i="13"/>
  <c r="AL91" i="13"/>
  <c r="AM91" i="13"/>
  <c r="AN91" i="13"/>
  <c r="AO91" i="13"/>
  <c r="AP91" i="13"/>
  <c r="AQ91" i="13"/>
  <c r="AR91" i="13"/>
  <c r="AS91" i="13"/>
  <c r="AT91" i="13"/>
  <c r="AU91" i="13"/>
  <c r="AV91" i="13"/>
  <c r="AW91" i="13"/>
  <c r="AX91" i="13"/>
  <c r="AY91" i="13"/>
  <c r="AZ91" i="13"/>
  <c r="BA91" i="13"/>
  <c r="BB91" i="13"/>
  <c r="BC91" i="13"/>
  <c r="BD91" i="13"/>
  <c r="BE91" i="13"/>
  <c r="BF91" i="13"/>
  <c r="BG91" i="13"/>
  <c r="BH91" i="13"/>
  <c r="BI91" i="13"/>
  <c r="BJ91" i="13"/>
  <c r="BK91" i="13"/>
  <c r="BL91" i="13"/>
  <c r="BM91" i="13"/>
  <c r="BN91" i="13"/>
  <c r="B92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AM92" i="13"/>
  <c r="AN92" i="13"/>
  <c r="AO92" i="13"/>
  <c r="AP92" i="13"/>
  <c r="AQ92" i="13"/>
  <c r="AR92" i="13"/>
  <c r="AS92" i="13"/>
  <c r="AT92" i="13"/>
  <c r="AU92" i="13"/>
  <c r="AV92" i="13"/>
  <c r="AW92" i="13"/>
  <c r="AX92" i="13"/>
  <c r="AY92" i="13"/>
  <c r="AZ92" i="13"/>
  <c r="BA92" i="13"/>
  <c r="BB92" i="13"/>
  <c r="BC92" i="13"/>
  <c r="BD92" i="13"/>
  <c r="BE92" i="13"/>
  <c r="BF92" i="13"/>
  <c r="BG92" i="13"/>
  <c r="BH92" i="13"/>
  <c r="BI92" i="13"/>
  <c r="BJ92" i="13"/>
  <c r="BK92" i="13"/>
  <c r="BL92" i="13"/>
  <c r="BM92" i="13"/>
  <c r="BN92" i="13"/>
  <c r="B93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AU93" i="13"/>
  <c r="AV93" i="13"/>
  <c r="AW93" i="13"/>
  <c r="AX93" i="13"/>
  <c r="AY93" i="13"/>
  <c r="AZ93" i="13"/>
  <c r="BA93" i="13"/>
  <c r="BB93" i="13"/>
  <c r="BC93" i="13"/>
  <c r="BD93" i="13"/>
  <c r="BE93" i="13"/>
  <c r="BF93" i="13"/>
  <c r="BG93" i="13"/>
  <c r="BH93" i="13"/>
  <c r="BI93" i="13"/>
  <c r="BJ93" i="13"/>
  <c r="BK93" i="13"/>
  <c r="BL93" i="13"/>
  <c r="BM93" i="13"/>
  <c r="BN93" i="13"/>
  <c r="B94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AU94" i="13"/>
  <c r="AV94" i="13"/>
  <c r="AW94" i="13"/>
  <c r="AX94" i="13"/>
  <c r="AY94" i="13"/>
  <c r="AZ94" i="13"/>
  <c r="BA94" i="13"/>
  <c r="BB94" i="13"/>
  <c r="BC94" i="13"/>
  <c r="BD94" i="13"/>
  <c r="BE94" i="13"/>
  <c r="BF94" i="13"/>
  <c r="BG94" i="13"/>
  <c r="BH94" i="13"/>
  <c r="BI94" i="13"/>
  <c r="BJ94" i="13"/>
  <c r="BK94" i="13"/>
  <c r="BL94" i="13"/>
  <c r="BM94" i="13"/>
  <c r="BN94" i="13"/>
  <c r="B95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AU95" i="13"/>
  <c r="AV95" i="13"/>
  <c r="AW95" i="13"/>
  <c r="AX95" i="13"/>
  <c r="AY95" i="13"/>
  <c r="AZ95" i="13"/>
  <c r="BA95" i="13"/>
  <c r="BB95" i="13"/>
  <c r="BC95" i="13"/>
  <c r="BD95" i="13"/>
  <c r="BE95" i="13"/>
  <c r="BF95" i="13"/>
  <c r="BG95" i="13"/>
  <c r="BH95" i="13"/>
  <c r="BI95" i="13"/>
  <c r="BJ95" i="13"/>
  <c r="BK95" i="13"/>
  <c r="BL95" i="13"/>
  <c r="BM95" i="13"/>
  <c r="BN95" i="13"/>
  <c r="B96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AU96" i="13"/>
  <c r="AV96" i="13"/>
  <c r="AW96" i="13"/>
  <c r="AX96" i="13"/>
  <c r="AY96" i="13"/>
  <c r="AZ96" i="13"/>
  <c r="BA96" i="13"/>
  <c r="BB96" i="13"/>
  <c r="BC96" i="13"/>
  <c r="BD96" i="13"/>
  <c r="BE96" i="13"/>
  <c r="BF96" i="13"/>
  <c r="BG96" i="13"/>
  <c r="BH96" i="13"/>
  <c r="BI96" i="13"/>
  <c r="BJ96" i="13"/>
  <c r="BK96" i="13"/>
  <c r="BL96" i="13"/>
  <c r="BM96" i="13"/>
  <c r="BN96" i="13"/>
  <c r="B97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AN97" i="13"/>
  <c r="AO97" i="13"/>
  <c r="AP97" i="13"/>
  <c r="AQ97" i="13"/>
  <c r="AR97" i="13"/>
  <c r="AS97" i="13"/>
  <c r="AT97" i="13"/>
  <c r="AU97" i="13"/>
  <c r="AV97" i="13"/>
  <c r="AW97" i="13"/>
  <c r="AX97" i="13"/>
  <c r="AY97" i="13"/>
  <c r="AZ97" i="13"/>
  <c r="BA97" i="13"/>
  <c r="BB97" i="13"/>
  <c r="BC97" i="13"/>
  <c r="BD97" i="13"/>
  <c r="BE97" i="13"/>
  <c r="BF97" i="13"/>
  <c r="BG97" i="13"/>
  <c r="BH97" i="13"/>
  <c r="BI97" i="13"/>
  <c r="BJ97" i="13"/>
  <c r="BK97" i="13"/>
  <c r="BL97" i="13"/>
  <c r="BM97" i="13"/>
  <c r="BN97" i="13"/>
  <c r="B98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L98" i="13"/>
  <c r="AM98" i="13"/>
  <c r="AN98" i="13"/>
  <c r="AO98" i="13"/>
  <c r="AP98" i="13"/>
  <c r="AQ98" i="13"/>
  <c r="AR98" i="13"/>
  <c r="AS98" i="13"/>
  <c r="AT98" i="13"/>
  <c r="AU98" i="13"/>
  <c r="AV98" i="13"/>
  <c r="AW98" i="13"/>
  <c r="AX98" i="13"/>
  <c r="AY98" i="13"/>
  <c r="AZ98" i="13"/>
  <c r="BA98" i="13"/>
  <c r="BB98" i="13"/>
  <c r="BC98" i="13"/>
  <c r="BD98" i="13"/>
  <c r="BE98" i="13"/>
  <c r="BF98" i="13"/>
  <c r="BG98" i="13"/>
  <c r="BH98" i="13"/>
  <c r="BI98" i="13"/>
  <c r="BJ98" i="13"/>
  <c r="BK98" i="13"/>
  <c r="BL98" i="13"/>
  <c r="BM98" i="13"/>
  <c r="BN98" i="13"/>
  <c r="B99" i="13"/>
  <c r="C99" i="13"/>
  <c r="D99" i="13"/>
  <c r="E99" i="13"/>
  <c r="F99" i="13"/>
  <c r="G99" i="13"/>
  <c r="H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L99" i="13"/>
  <c r="AM99" i="13"/>
  <c r="AN99" i="13"/>
  <c r="AO99" i="13"/>
  <c r="AP99" i="13"/>
  <c r="AQ99" i="13"/>
  <c r="AR99" i="13"/>
  <c r="AS99" i="13"/>
  <c r="AT99" i="13"/>
  <c r="AU99" i="13"/>
  <c r="AV99" i="13"/>
  <c r="AW99" i="13"/>
  <c r="AX99" i="13"/>
  <c r="AY99" i="13"/>
  <c r="AZ99" i="13"/>
  <c r="BA99" i="13"/>
  <c r="BB99" i="13"/>
  <c r="BC99" i="13"/>
  <c r="BD99" i="13"/>
  <c r="BE99" i="13"/>
  <c r="BF99" i="13"/>
  <c r="BG99" i="13"/>
  <c r="BH99" i="13"/>
  <c r="BI99" i="13"/>
  <c r="BJ99" i="13"/>
  <c r="BK99" i="13"/>
  <c r="BL99" i="13"/>
  <c r="BM99" i="13"/>
  <c r="BN99" i="13"/>
  <c r="B100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L100" i="13"/>
  <c r="AM100" i="13"/>
  <c r="AN100" i="13"/>
  <c r="AO100" i="13"/>
  <c r="AP100" i="13"/>
  <c r="AQ100" i="13"/>
  <c r="AR100" i="13"/>
  <c r="AS100" i="13"/>
  <c r="AT100" i="13"/>
  <c r="AU100" i="13"/>
  <c r="AV100" i="13"/>
  <c r="AW100" i="13"/>
  <c r="AX100" i="13"/>
  <c r="AY100" i="13"/>
  <c r="AZ100" i="13"/>
  <c r="BA100" i="13"/>
  <c r="BB100" i="13"/>
  <c r="BC100" i="13"/>
  <c r="BD100" i="13"/>
  <c r="BE100" i="13"/>
  <c r="BF100" i="13"/>
  <c r="BG100" i="13"/>
  <c r="BH100" i="13"/>
  <c r="BI100" i="13"/>
  <c r="BJ100" i="13"/>
  <c r="BK100" i="13"/>
  <c r="BL100" i="13"/>
  <c r="BM100" i="13"/>
  <c r="BN100" i="13"/>
  <c r="B101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AJ101" i="13"/>
  <c r="AK101" i="13"/>
  <c r="AL101" i="13"/>
  <c r="AM101" i="13"/>
  <c r="AN101" i="13"/>
  <c r="AO101" i="13"/>
  <c r="AP101" i="13"/>
  <c r="AQ101" i="13"/>
  <c r="AR101" i="13"/>
  <c r="AS101" i="13"/>
  <c r="AT101" i="13"/>
  <c r="AU101" i="13"/>
  <c r="AV101" i="13"/>
  <c r="AW101" i="13"/>
  <c r="AX101" i="13"/>
  <c r="AY101" i="13"/>
  <c r="AZ101" i="13"/>
  <c r="BA101" i="13"/>
  <c r="BB101" i="13"/>
  <c r="BC101" i="13"/>
  <c r="BD101" i="13"/>
  <c r="BE101" i="13"/>
  <c r="BF101" i="13"/>
  <c r="BG101" i="13"/>
  <c r="BH101" i="13"/>
  <c r="BI101" i="13"/>
  <c r="BJ101" i="13"/>
  <c r="BK101" i="13"/>
  <c r="BL101" i="13"/>
  <c r="BM101" i="13"/>
  <c r="BN101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1" i="13"/>
  <c r="DK90" i="13" l="1"/>
  <c r="CH90" i="14"/>
  <c r="EN90" i="14" s="1"/>
  <c r="EO90" i="14" s="1"/>
  <c r="CH90" i="20"/>
  <c r="EN90" i="20" s="1"/>
  <c r="EO90" i="20" s="1"/>
  <c r="DK70" i="13"/>
  <c r="CH70" i="20"/>
  <c r="EN70" i="20" s="1"/>
  <c r="EO70" i="20" s="1"/>
  <c r="CH70" i="14"/>
  <c r="EN70" i="14" s="1"/>
  <c r="EO70" i="14" s="1"/>
  <c r="DK10" i="13"/>
  <c r="CH10" i="20"/>
  <c r="EN10" i="20" s="1"/>
  <c r="EO10" i="20" s="1"/>
  <c r="CH10" i="14"/>
  <c r="EN10" i="14" s="1"/>
  <c r="EO10" i="14" s="1"/>
  <c r="DE15" i="13"/>
  <c r="DF15" i="13" s="1"/>
  <c r="CH89" i="20"/>
  <c r="EN89" i="20" s="1"/>
  <c r="EO89" i="20" s="1"/>
  <c r="DK89" i="13"/>
  <c r="CH89" i="14"/>
  <c r="EN89" i="14" s="1"/>
  <c r="EO89" i="14" s="1"/>
  <c r="CH69" i="20"/>
  <c r="EN69" i="20" s="1"/>
  <c r="EO69" i="20" s="1"/>
  <c r="DK69" i="13"/>
  <c r="CH69" i="14"/>
  <c r="EN69" i="14" s="1"/>
  <c r="EO69" i="14" s="1"/>
  <c r="DK49" i="13"/>
  <c r="CH49" i="20"/>
  <c r="EN49" i="20" s="1"/>
  <c r="EO49" i="20" s="1"/>
  <c r="CH49" i="14"/>
  <c r="EN49" i="14" s="1"/>
  <c r="EO49" i="14" s="1"/>
  <c r="DK29" i="13"/>
  <c r="CH29" i="14"/>
  <c r="EN29" i="14" s="1"/>
  <c r="EO29" i="14" s="1"/>
  <c r="CH29" i="20"/>
  <c r="EN29" i="20" s="1"/>
  <c r="EO29" i="20" s="1"/>
  <c r="CH9" i="20"/>
  <c r="EN9" i="20" s="1"/>
  <c r="EO9" i="20" s="1"/>
  <c r="DK9" i="13"/>
  <c r="CH9" i="14"/>
  <c r="EN9" i="14" s="1"/>
  <c r="EO9" i="14" s="1"/>
  <c r="DE94" i="13"/>
  <c r="DF94" i="13" s="1"/>
  <c r="DE74" i="13"/>
  <c r="DF74" i="13" s="1"/>
  <c r="DE54" i="13"/>
  <c r="DF54" i="13" s="1"/>
  <c r="DE34" i="13"/>
  <c r="DF34" i="13" s="1"/>
  <c r="DE14" i="13"/>
  <c r="DF14" i="13" s="1"/>
  <c r="DK95" i="13"/>
  <c r="CH95" i="14"/>
  <c r="EN95" i="14" s="1"/>
  <c r="EO95" i="14" s="1"/>
  <c r="CH95" i="20"/>
  <c r="EN95" i="20" s="1"/>
  <c r="EO95" i="20" s="1"/>
  <c r="DK75" i="13"/>
  <c r="CH75" i="14"/>
  <c r="EN75" i="14" s="1"/>
  <c r="EO75" i="14" s="1"/>
  <c r="CH75" i="20"/>
  <c r="EN75" i="20" s="1"/>
  <c r="EO75" i="20" s="1"/>
  <c r="DK55" i="13"/>
  <c r="CH55" i="14"/>
  <c r="EN55" i="14" s="1"/>
  <c r="EO55" i="14" s="1"/>
  <c r="CH55" i="20"/>
  <c r="EN55" i="20" s="1"/>
  <c r="EO55" i="20" s="1"/>
  <c r="DK35" i="13"/>
  <c r="CH35" i="14"/>
  <c r="EN35" i="14" s="1"/>
  <c r="EO35" i="14" s="1"/>
  <c r="CH35" i="20"/>
  <c r="EN35" i="20" s="1"/>
  <c r="EO35" i="20" s="1"/>
  <c r="DK15" i="13"/>
  <c r="CH15" i="14"/>
  <c r="EN15" i="14" s="1"/>
  <c r="EO15" i="14" s="1"/>
  <c r="CH15" i="20"/>
  <c r="EN15" i="20" s="1"/>
  <c r="EO15" i="20" s="1"/>
  <c r="CH94" i="20"/>
  <c r="EN94" i="20" s="1"/>
  <c r="EO94" i="20" s="1"/>
  <c r="DK94" i="13"/>
  <c r="CH94" i="14"/>
  <c r="EN94" i="14" s="1"/>
  <c r="EO94" i="14" s="1"/>
  <c r="CH74" i="20"/>
  <c r="EN74" i="20" s="1"/>
  <c r="EO74" i="20" s="1"/>
  <c r="DK74" i="13"/>
  <c r="CH74" i="14"/>
  <c r="EN74" i="14" s="1"/>
  <c r="EO74" i="14" s="1"/>
  <c r="DK54" i="13"/>
  <c r="CH54" i="14"/>
  <c r="EN54" i="14" s="1"/>
  <c r="EO54" i="14" s="1"/>
  <c r="CH54" i="20"/>
  <c r="EN54" i="20" s="1"/>
  <c r="EO54" i="20" s="1"/>
  <c r="DK34" i="13"/>
  <c r="CH34" i="20"/>
  <c r="EN34" i="20" s="1"/>
  <c r="EO34" i="20" s="1"/>
  <c r="CH34" i="14"/>
  <c r="EN34" i="14" s="1"/>
  <c r="EO34" i="14" s="1"/>
  <c r="CH14" i="20"/>
  <c r="EN14" i="20" s="1"/>
  <c r="EO14" i="20" s="1"/>
  <c r="DK14" i="13"/>
  <c r="CH14" i="14"/>
  <c r="EN14" i="14" s="1"/>
  <c r="EO14" i="14" s="1"/>
  <c r="CH93" i="14"/>
  <c r="EN93" i="14" s="1"/>
  <c r="EO93" i="14" s="1"/>
  <c r="DK93" i="13"/>
  <c r="CH93" i="20"/>
  <c r="EN93" i="20" s="1"/>
  <c r="EO93" i="20" s="1"/>
  <c r="CH73" i="20"/>
  <c r="EN73" i="20" s="1"/>
  <c r="EO73" i="20" s="1"/>
  <c r="CH73" i="14"/>
  <c r="EN73" i="14" s="1"/>
  <c r="EO73" i="14" s="1"/>
  <c r="DK73" i="13"/>
  <c r="CH53" i="14"/>
  <c r="EN53" i="14" s="1"/>
  <c r="EO53" i="14" s="1"/>
  <c r="CH53" i="20"/>
  <c r="EN53" i="20" s="1"/>
  <c r="EO53" i="20" s="1"/>
  <c r="DK53" i="13"/>
  <c r="CH33" i="20"/>
  <c r="EN33" i="20" s="1"/>
  <c r="EO33" i="20" s="1"/>
  <c r="CH33" i="14"/>
  <c r="EN33" i="14" s="1"/>
  <c r="EO33" i="14" s="1"/>
  <c r="DK33" i="13"/>
  <c r="CH13" i="14"/>
  <c r="EN13" i="14" s="1"/>
  <c r="EO13" i="14" s="1"/>
  <c r="DK13" i="13"/>
  <c r="CH13" i="20"/>
  <c r="EN13" i="20" s="1"/>
  <c r="EO13" i="20" s="1"/>
  <c r="CH92" i="14"/>
  <c r="EN92" i="14" s="1"/>
  <c r="EO92" i="14" s="1"/>
  <c r="CH92" i="20"/>
  <c r="EN92" i="20" s="1"/>
  <c r="EO92" i="20" s="1"/>
  <c r="DK92" i="13"/>
  <c r="CH72" i="14"/>
  <c r="EN72" i="14" s="1"/>
  <c r="EO72" i="14" s="1"/>
  <c r="DK72" i="13"/>
  <c r="CH72" i="20"/>
  <c r="EN72" i="20" s="1"/>
  <c r="EO72" i="20" s="1"/>
  <c r="CH52" i="14"/>
  <c r="EN52" i="14" s="1"/>
  <c r="EO52" i="14" s="1"/>
  <c r="DK52" i="13"/>
  <c r="CH52" i="20"/>
  <c r="EN52" i="20" s="1"/>
  <c r="EO52" i="20" s="1"/>
  <c r="CH32" i="14"/>
  <c r="EN32" i="14" s="1"/>
  <c r="EO32" i="14" s="1"/>
  <c r="DK32" i="13"/>
  <c r="CH32" i="20"/>
  <c r="EN32" i="20" s="1"/>
  <c r="EO32" i="20" s="1"/>
  <c r="CH12" i="14"/>
  <c r="EN12" i="14" s="1"/>
  <c r="EO12" i="14" s="1"/>
  <c r="CH12" i="20"/>
  <c r="EN12" i="20" s="1"/>
  <c r="EO12" i="20" s="1"/>
  <c r="DK12" i="13"/>
  <c r="DK91" i="13"/>
  <c r="CH91" i="20"/>
  <c r="EN91" i="20" s="1"/>
  <c r="EO91" i="20" s="1"/>
  <c r="CH91" i="14"/>
  <c r="EN91" i="14" s="1"/>
  <c r="EO91" i="14" s="1"/>
  <c r="CH71" i="20"/>
  <c r="EN71" i="20" s="1"/>
  <c r="EO71" i="20" s="1"/>
  <c r="DK71" i="13"/>
  <c r="CH71" i="14"/>
  <c r="EN71" i="14" s="1"/>
  <c r="EO71" i="14" s="1"/>
  <c r="DK31" i="13"/>
  <c r="CH31" i="20"/>
  <c r="EN31" i="20" s="1"/>
  <c r="EO31" i="20" s="1"/>
  <c r="CH31" i="14"/>
  <c r="EN31" i="14" s="1"/>
  <c r="EO31" i="14" s="1"/>
  <c r="DK11" i="13"/>
  <c r="CH11" i="14"/>
  <c r="EN11" i="14" s="1"/>
  <c r="EO11" i="14" s="1"/>
  <c r="CH11" i="20"/>
  <c r="EN11" i="20" s="1"/>
  <c r="EO11" i="20" s="1"/>
  <c r="CH30" i="20"/>
  <c r="EN30" i="20" s="1"/>
  <c r="EO30" i="20" s="1"/>
  <c r="DK30" i="13"/>
  <c r="CH30" i="14"/>
  <c r="EN30" i="14" s="1"/>
  <c r="EO30" i="14" s="1"/>
  <c r="DE35" i="13"/>
  <c r="DF35" i="13" s="1"/>
  <c r="DK88" i="13"/>
  <c r="CH88" i="14"/>
  <c r="EN88" i="14" s="1"/>
  <c r="EO88" i="14" s="1"/>
  <c r="CH88" i="20"/>
  <c r="EN88" i="20" s="1"/>
  <c r="EO88" i="20" s="1"/>
  <c r="DK68" i="13"/>
  <c r="CH68" i="14"/>
  <c r="EN68" i="14" s="1"/>
  <c r="EO68" i="14" s="1"/>
  <c r="CH68" i="20"/>
  <c r="EN68" i="20" s="1"/>
  <c r="EO68" i="20" s="1"/>
  <c r="DK48" i="13"/>
  <c r="CH48" i="14"/>
  <c r="EN48" i="14" s="1"/>
  <c r="EO48" i="14" s="1"/>
  <c r="CH48" i="20"/>
  <c r="EN48" i="20" s="1"/>
  <c r="EO48" i="20" s="1"/>
  <c r="DK28" i="13"/>
  <c r="CH28" i="20"/>
  <c r="EN28" i="20" s="1"/>
  <c r="EO28" i="20" s="1"/>
  <c r="CH28" i="14"/>
  <c r="EN28" i="14" s="1"/>
  <c r="EO28" i="14" s="1"/>
  <c r="DK8" i="13"/>
  <c r="CH8" i="14"/>
  <c r="EN8" i="14" s="1"/>
  <c r="EO8" i="14" s="1"/>
  <c r="CH8" i="20"/>
  <c r="EN8" i="20" s="1"/>
  <c r="EO8" i="20" s="1"/>
  <c r="DE93" i="13"/>
  <c r="DF93" i="13" s="1"/>
  <c r="DE73" i="13"/>
  <c r="DF73" i="13" s="1"/>
  <c r="DE53" i="13"/>
  <c r="DF53" i="13" s="1"/>
  <c r="DE33" i="13"/>
  <c r="DF33" i="13" s="1"/>
  <c r="DE13" i="13"/>
  <c r="DF13" i="13" s="1"/>
  <c r="DE95" i="13"/>
  <c r="DF95" i="13" s="1"/>
  <c r="CH87" i="14"/>
  <c r="EN87" i="14" s="1"/>
  <c r="EO87" i="14" s="1"/>
  <c r="DK87" i="13"/>
  <c r="CH87" i="20"/>
  <c r="EN87" i="20" s="1"/>
  <c r="EO87" i="20" s="1"/>
  <c r="CH67" i="20"/>
  <c r="EN67" i="20" s="1"/>
  <c r="EO67" i="20" s="1"/>
  <c r="CH67" i="14"/>
  <c r="EN67" i="14" s="1"/>
  <c r="EO67" i="14" s="1"/>
  <c r="DK67" i="13"/>
  <c r="CH47" i="14"/>
  <c r="EN47" i="14" s="1"/>
  <c r="EO47" i="14" s="1"/>
  <c r="DK47" i="13"/>
  <c r="CH47" i="20"/>
  <c r="EN47" i="20" s="1"/>
  <c r="EO47" i="20" s="1"/>
  <c r="CH27" i="14"/>
  <c r="EN27" i="14" s="1"/>
  <c r="EO27" i="14" s="1"/>
  <c r="DK27" i="13"/>
  <c r="CH27" i="20"/>
  <c r="EN27" i="20" s="1"/>
  <c r="EO27" i="20" s="1"/>
  <c r="CH7" i="14"/>
  <c r="EN7" i="14" s="1"/>
  <c r="EO7" i="14" s="1"/>
  <c r="DK7" i="13"/>
  <c r="CH7" i="20"/>
  <c r="EN7" i="20" s="1"/>
  <c r="EO7" i="20" s="1"/>
  <c r="DE92" i="13"/>
  <c r="DF92" i="13" s="1"/>
  <c r="DE72" i="13"/>
  <c r="DF72" i="13" s="1"/>
  <c r="DE52" i="13"/>
  <c r="DF52" i="13" s="1"/>
  <c r="DE32" i="13"/>
  <c r="DF32" i="13" s="1"/>
  <c r="DE12" i="13"/>
  <c r="DF12" i="13" s="1"/>
  <c r="DK86" i="13"/>
  <c r="CH86" i="20"/>
  <c r="EN86" i="20" s="1"/>
  <c r="EO86" i="20" s="1"/>
  <c r="CH86" i="14"/>
  <c r="EN86" i="14" s="1"/>
  <c r="EO86" i="14" s="1"/>
  <c r="DK66" i="13"/>
  <c r="CH66" i="14"/>
  <c r="EN66" i="14" s="1"/>
  <c r="EO66" i="14" s="1"/>
  <c r="CH66" i="20"/>
  <c r="EN66" i="20" s="1"/>
  <c r="EO66" i="20" s="1"/>
  <c r="DK46" i="13"/>
  <c r="CH46" i="20"/>
  <c r="EN46" i="20" s="1"/>
  <c r="EO46" i="20" s="1"/>
  <c r="CH46" i="14"/>
  <c r="EN46" i="14" s="1"/>
  <c r="EO46" i="14" s="1"/>
  <c r="DK26" i="13"/>
  <c r="CH26" i="20"/>
  <c r="EN26" i="20" s="1"/>
  <c r="EO26" i="20" s="1"/>
  <c r="CH26" i="14"/>
  <c r="EN26" i="14" s="1"/>
  <c r="EO26" i="14" s="1"/>
  <c r="DK6" i="13"/>
  <c r="CH6" i="20"/>
  <c r="EN6" i="20" s="1"/>
  <c r="EO6" i="20" s="1"/>
  <c r="CH6" i="14"/>
  <c r="EN6" i="14" s="1"/>
  <c r="EO6" i="14" s="1"/>
  <c r="DE91" i="13"/>
  <c r="DF91" i="13" s="1"/>
  <c r="DE71" i="13"/>
  <c r="DF71" i="13" s="1"/>
  <c r="DE51" i="13"/>
  <c r="DF51" i="13" s="1"/>
  <c r="DE31" i="13"/>
  <c r="DF31" i="13" s="1"/>
  <c r="DE11" i="13"/>
  <c r="DF11" i="13" s="1"/>
  <c r="CH85" i="14"/>
  <c r="EN85" i="14" s="1"/>
  <c r="EO85" i="14" s="1"/>
  <c r="CH85" i="20"/>
  <c r="EN85" i="20" s="1"/>
  <c r="EO85" i="20" s="1"/>
  <c r="DK85" i="13"/>
  <c r="CH65" i="20"/>
  <c r="EN65" i="20" s="1"/>
  <c r="EO65" i="20" s="1"/>
  <c r="CH65" i="14"/>
  <c r="EN65" i="14" s="1"/>
  <c r="EO65" i="14" s="1"/>
  <c r="DK65" i="13"/>
  <c r="CH45" i="14"/>
  <c r="EN45" i="14" s="1"/>
  <c r="EO45" i="14" s="1"/>
  <c r="CH45" i="20"/>
  <c r="EN45" i="20" s="1"/>
  <c r="EO45" i="20" s="1"/>
  <c r="DK45" i="13"/>
  <c r="CH25" i="20"/>
  <c r="EN25" i="20" s="1"/>
  <c r="EO25" i="20" s="1"/>
  <c r="CH25" i="14"/>
  <c r="EN25" i="14" s="1"/>
  <c r="EO25" i="14" s="1"/>
  <c r="DK25" i="13"/>
  <c r="CH5" i="14"/>
  <c r="EN5" i="14" s="1"/>
  <c r="EO5" i="14" s="1"/>
  <c r="CH5" i="20"/>
  <c r="EN5" i="20" s="1"/>
  <c r="EO5" i="20" s="1"/>
  <c r="DK5" i="13"/>
  <c r="DE90" i="13"/>
  <c r="DF90" i="13" s="1"/>
  <c r="DE70" i="13"/>
  <c r="DF70" i="13" s="1"/>
  <c r="DE50" i="13"/>
  <c r="DF50" i="13" s="1"/>
  <c r="DE30" i="13"/>
  <c r="DF30" i="13" s="1"/>
  <c r="DE10" i="13"/>
  <c r="DF10" i="13" s="1"/>
  <c r="CH84" i="20"/>
  <c r="EN84" i="20" s="1"/>
  <c r="EO84" i="20" s="1"/>
  <c r="CH84" i="14"/>
  <c r="EN84" i="14" s="1"/>
  <c r="EO84" i="14" s="1"/>
  <c r="DK84" i="13"/>
  <c r="CH64" i="20"/>
  <c r="EN64" i="20" s="1"/>
  <c r="EO64" i="20" s="1"/>
  <c r="CH64" i="14"/>
  <c r="EN64" i="14" s="1"/>
  <c r="EO64" i="14" s="1"/>
  <c r="DK64" i="13"/>
  <c r="CH44" i="20"/>
  <c r="EN44" i="20" s="1"/>
  <c r="EO44" i="20" s="1"/>
  <c r="CH44" i="14"/>
  <c r="EN44" i="14" s="1"/>
  <c r="EO44" i="14" s="1"/>
  <c r="DK44" i="13"/>
  <c r="CH24" i="14"/>
  <c r="EN24" i="14" s="1"/>
  <c r="EO24" i="14" s="1"/>
  <c r="CH24" i="20"/>
  <c r="EN24" i="20" s="1"/>
  <c r="EO24" i="20" s="1"/>
  <c r="DK24" i="13"/>
  <c r="CH4" i="20"/>
  <c r="EN4" i="20" s="1"/>
  <c r="EO4" i="20" s="1"/>
  <c r="CH4" i="14"/>
  <c r="EN4" i="14" s="1"/>
  <c r="EO4" i="14" s="1"/>
  <c r="DK4" i="13"/>
  <c r="DE89" i="13"/>
  <c r="DF89" i="13" s="1"/>
  <c r="DE69" i="13"/>
  <c r="DF69" i="13" s="1"/>
  <c r="DE49" i="13"/>
  <c r="DF49" i="13" s="1"/>
  <c r="DE29" i="13"/>
  <c r="DF29" i="13" s="1"/>
  <c r="DE9" i="13"/>
  <c r="DF9" i="13" s="1"/>
  <c r="CH83" i="14"/>
  <c r="EN83" i="14" s="1"/>
  <c r="EO83" i="14" s="1"/>
  <c r="CH83" i="20"/>
  <c r="EN83" i="20" s="1"/>
  <c r="EO83" i="20" s="1"/>
  <c r="DK83" i="13"/>
  <c r="CH63" i="14"/>
  <c r="EN63" i="14" s="1"/>
  <c r="EO63" i="14" s="1"/>
  <c r="CH63" i="20"/>
  <c r="EN63" i="20" s="1"/>
  <c r="EO63" i="20" s="1"/>
  <c r="DK63" i="13"/>
  <c r="CH43" i="20"/>
  <c r="EN43" i="20" s="1"/>
  <c r="EO43" i="20" s="1"/>
  <c r="CH43" i="14"/>
  <c r="EN43" i="14" s="1"/>
  <c r="EO43" i="14" s="1"/>
  <c r="DK43" i="13"/>
  <c r="CH23" i="14"/>
  <c r="EN23" i="14" s="1"/>
  <c r="EO23" i="14" s="1"/>
  <c r="CH23" i="20"/>
  <c r="EN23" i="20" s="1"/>
  <c r="EO23" i="20" s="1"/>
  <c r="DK23" i="13"/>
  <c r="CH3" i="20"/>
  <c r="EN3" i="20" s="1"/>
  <c r="EO3" i="20" s="1"/>
  <c r="CH3" i="14"/>
  <c r="EN3" i="14" s="1"/>
  <c r="EO3" i="14" s="1"/>
  <c r="DK3" i="13"/>
  <c r="DE88" i="13"/>
  <c r="DF88" i="13" s="1"/>
  <c r="DE68" i="13"/>
  <c r="DF68" i="13" s="1"/>
  <c r="DE48" i="13"/>
  <c r="DF48" i="13" s="1"/>
  <c r="DE28" i="13"/>
  <c r="DF28" i="13" s="1"/>
  <c r="DE8" i="13"/>
  <c r="DF8" i="13" s="1"/>
  <c r="CH2" i="14"/>
  <c r="EN2" i="14" s="1"/>
  <c r="EO2" i="14" s="1"/>
  <c r="DE2" i="13"/>
  <c r="DK2" i="13"/>
  <c r="CH2" i="20"/>
  <c r="EN2" i="20" s="1"/>
  <c r="EO2" i="20" s="1"/>
  <c r="CH82" i="14"/>
  <c r="EN82" i="14" s="1"/>
  <c r="EO82" i="14" s="1"/>
  <c r="CH82" i="20"/>
  <c r="EN82" i="20" s="1"/>
  <c r="EO82" i="20" s="1"/>
  <c r="DK82" i="13"/>
  <c r="CH62" i="14"/>
  <c r="EN62" i="14" s="1"/>
  <c r="EO62" i="14" s="1"/>
  <c r="CH62" i="20"/>
  <c r="EN62" i="20" s="1"/>
  <c r="EO62" i="20" s="1"/>
  <c r="DK62" i="13"/>
  <c r="CH42" i="14"/>
  <c r="EN42" i="14" s="1"/>
  <c r="EO42" i="14" s="1"/>
  <c r="DK42" i="13"/>
  <c r="CH42" i="20"/>
  <c r="EN42" i="20" s="1"/>
  <c r="EO42" i="20" s="1"/>
  <c r="CH22" i="14"/>
  <c r="EN22" i="14" s="1"/>
  <c r="EO22" i="14" s="1"/>
  <c r="CH22" i="20"/>
  <c r="EN22" i="20" s="1"/>
  <c r="EO22" i="20" s="1"/>
  <c r="DK22" i="13"/>
  <c r="DE87" i="13"/>
  <c r="DF87" i="13" s="1"/>
  <c r="DE67" i="13"/>
  <c r="DF67" i="13" s="1"/>
  <c r="DE47" i="13"/>
  <c r="DF47" i="13" s="1"/>
  <c r="DE27" i="13"/>
  <c r="DF27" i="13" s="1"/>
  <c r="DE7" i="13"/>
  <c r="DF7" i="13" s="1"/>
  <c r="DE75" i="13"/>
  <c r="DF75" i="13" s="1"/>
  <c r="CH101" i="20"/>
  <c r="EN101" i="20" s="1"/>
  <c r="EO101" i="20" s="1"/>
  <c r="CH101" i="14"/>
  <c r="EN101" i="14" s="1"/>
  <c r="EO101" i="14" s="1"/>
  <c r="DK101" i="13"/>
  <c r="CH81" i="20"/>
  <c r="EN81" i="20" s="1"/>
  <c r="EO81" i="20" s="1"/>
  <c r="CH81" i="14"/>
  <c r="EN81" i="14" s="1"/>
  <c r="EO81" i="14" s="1"/>
  <c r="DK81" i="13"/>
  <c r="CH61" i="20"/>
  <c r="EN61" i="20" s="1"/>
  <c r="EO61" i="20" s="1"/>
  <c r="CH61" i="14"/>
  <c r="EN61" i="14" s="1"/>
  <c r="EO61" i="14" s="1"/>
  <c r="DK61" i="13"/>
  <c r="CH41" i="20"/>
  <c r="EN41" i="20" s="1"/>
  <c r="EO41" i="20" s="1"/>
  <c r="CH41" i="14"/>
  <c r="EN41" i="14" s="1"/>
  <c r="EO41" i="14" s="1"/>
  <c r="DK41" i="13"/>
  <c r="CH21" i="14"/>
  <c r="EN21" i="14" s="1"/>
  <c r="EO21" i="14" s="1"/>
  <c r="CH21" i="20"/>
  <c r="EN21" i="20" s="1"/>
  <c r="EO21" i="20" s="1"/>
  <c r="DK21" i="13"/>
  <c r="DE86" i="13"/>
  <c r="DF86" i="13" s="1"/>
  <c r="DE66" i="13"/>
  <c r="DF66" i="13" s="1"/>
  <c r="DE46" i="13"/>
  <c r="DF46" i="13" s="1"/>
  <c r="DE26" i="13"/>
  <c r="DF26" i="13" s="1"/>
  <c r="DE6" i="13"/>
  <c r="DF6" i="13" s="1"/>
  <c r="DE55" i="13"/>
  <c r="DF55" i="13" s="1"/>
  <c r="CH100" i="14"/>
  <c r="EN100" i="14" s="1"/>
  <c r="EO100" i="14" s="1"/>
  <c r="DK100" i="13"/>
  <c r="CH100" i="20"/>
  <c r="EN100" i="20" s="1"/>
  <c r="EO100" i="20" s="1"/>
  <c r="CH80" i="14"/>
  <c r="EN80" i="14" s="1"/>
  <c r="EO80" i="14" s="1"/>
  <c r="CH80" i="20"/>
  <c r="EN80" i="20" s="1"/>
  <c r="EO80" i="20" s="1"/>
  <c r="DK80" i="13"/>
  <c r="CH60" i="20"/>
  <c r="EN60" i="20" s="1"/>
  <c r="EO60" i="20" s="1"/>
  <c r="CH60" i="14"/>
  <c r="EN60" i="14" s="1"/>
  <c r="EO60" i="14" s="1"/>
  <c r="DK60" i="13"/>
  <c r="CH40" i="14"/>
  <c r="EN40" i="14" s="1"/>
  <c r="EO40" i="14" s="1"/>
  <c r="CH40" i="20"/>
  <c r="EN40" i="20" s="1"/>
  <c r="EO40" i="20" s="1"/>
  <c r="DK40" i="13"/>
  <c r="CH20" i="20"/>
  <c r="EN20" i="20" s="1"/>
  <c r="EO20" i="20" s="1"/>
  <c r="CH20" i="14"/>
  <c r="EN20" i="14" s="1"/>
  <c r="EO20" i="14" s="1"/>
  <c r="DK20" i="13"/>
  <c r="DE85" i="13"/>
  <c r="DF85" i="13" s="1"/>
  <c r="DE65" i="13"/>
  <c r="DF65" i="13" s="1"/>
  <c r="DE45" i="13"/>
  <c r="DF45" i="13" s="1"/>
  <c r="DE25" i="13"/>
  <c r="DF25" i="13" s="1"/>
  <c r="DE5" i="13"/>
  <c r="DF5" i="13" s="1"/>
  <c r="DK50" i="13"/>
  <c r="CH50" i="14"/>
  <c r="EN50" i="14" s="1"/>
  <c r="EO50" i="14" s="1"/>
  <c r="CH50" i="20"/>
  <c r="EN50" i="20" s="1"/>
  <c r="EO50" i="20" s="1"/>
  <c r="CH99" i="20"/>
  <c r="EN99" i="20" s="1"/>
  <c r="EO99" i="20" s="1"/>
  <c r="CH99" i="14"/>
  <c r="EN99" i="14" s="1"/>
  <c r="EO99" i="14" s="1"/>
  <c r="DK99" i="13"/>
  <c r="CH79" i="20"/>
  <c r="EN79" i="20" s="1"/>
  <c r="EO79" i="20" s="1"/>
  <c r="CH79" i="14"/>
  <c r="EN79" i="14" s="1"/>
  <c r="EO79" i="14" s="1"/>
  <c r="DK79" i="13"/>
  <c r="CH59" i="14"/>
  <c r="EN59" i="14" s="1"/>
  <c r="EO59" i="14" s="1"/>
  <c r="DK59" i="13"/>
  <c r="CH59" i="20"/>
  <c r="EN59" i="20" s="1"/>
  <c r="EO59" i="20" s="1"/>
  <c r="CH39" i="20"/>
  <c r="EN39" i="20" s="1"/>
  <c r="EO39" i="20" s="1"/>
  <c r="CH39" i="14"/>
  <c r="EN39" i="14" s="1"/>
  <c r="EO39" i="14" s="1"/>
  <c r="DK39" i="13"/>
  <c r="CH19" i="14"/>
  <c r="EN19" i="14" s="1"/>
  <c r="EO19" i="14" s="1"/>
  <c r="DK19" i="13"/>
  <c r="CH19" i="20"/>
  <c r="EN19" i="20" s="1"/>
  <c r="EO19" i="20" s="1"/>
  <c r="DE84" i="13"/>
  <c r="DF84" i="13" s="1"/>
  <c r="DE64" i="13"/>
  <c r="DF64" i="13" s="1"/>
  <c r="DE44" i="13"/>
  <c r="DF44" i="13" s="1"/>
  <c r="DE24" i="13"/>
  <c r="DF24" i="13" s="1"/>
  <c r="DE4" i="13"/>
  <c r="DF4" i="13" s="1"/>
  <c r="DK51" i="13"/>
  <c r="CH51" i="20"/>
  <c r="EN51" i="20" s="1"/>
  <c r="EO51" i="20" s="1"/>
  <c r="CH51" i="14"/>
  <c r="EN51" i="14" s="1"/>
  <c r="EO51" i="14" s="1"/>
  <c r="CH98" i="20"/>
  <c r="EN98" i="20" s="1"/>
  <c r="EO98" i="20" s="1"/>
  <c r="CH98" i="14"/>
  <c r="EN98" i="14" s="1"/>
  <c r="EO98" i="14" s="1"/>
  <c r="DK98" i="13"/>
  <c r="CH78" i="20"/>
  <c r="EN78" i="20" s="1"/>
  <c r="EO78" i="20" s="1"/>
  <c r="CH78" i="14"/>
  <c r="EN78" i="14" s="1"/>
  <c r="EO78" i="14" s="1"/>
  <c r="DK78" i="13"/>
  <c r="CH58" i="20"/>
  <c r="EN58" i="20" s="1"/>
  <c r="EO58" i="20" s="1"/>
  <c r="CH58" i="14"/>
  <c r="EN58" i="14" s="1"/>
  <c r="EO58" i="14" s="1"/>
  <c r="DK58" i="13"/>
  <c r="CH38" i="14"/>
  <c r="EN38" i="14" s="1"/>
  <c r="EO38" i="14" s="1"/>
  <c r="DK38" i="13"/>
  <c r="CH38" i="20"/>
  <c r="EN38" i="20" s="1"/>
  <c r="EO38" i="20" s="1"/>
  <c r="CH18" i="20"/>
  <c r="EN18" i="20" s="1"/>
  <c r="EO18" i="20" s="1"/>
  <c r="CH18" i="14"/>
  <c r="EN18" i="14" s="1"/>
  <c r="EO18" i="14" s="1"/>
  <c r="DK18" i="13"/>
  <c r="DE83" i="13"/>
  <c r="DF83" i="13" s="1"/>
  <c r="DE63" i="13"/>
  <c r="DF63" i="13" s="1"/>
  <c r="DE43" i="13"/>
  <c r="DF43" i="13" s="1"/>
  <c r="DE23" i="13"/>
  <c r="DF23" i="13" s="1"/>
  <c r="DE3" i="13"/>
  <c r="DF3" i="13" s="1"/>
  <c r="CH97" i="14"/>
  <c r="EN97" i="14" s="1"/>
  <c r="EO97" i="14" s="1"/>
  <c r="CH97" i="20"/>
  <c r="EN97" i="20" s="1"/>
  <c r="EO97" i="20" s="1"/>
  <c r="DK97" i="13"/>
  <c r="CH77" i="14"/>
  <c r="EN77" i="14" s="1"/>
  <c r="EO77" i="14" s="1"/>
  <c r="DK77" i="13"/>
  <c r="CH77" i="20"/>
  <c r="EN77" i="20" s="1"/>
  <c r="EO77" i="20" s="1"/>
  <c r="CH57" i="14"/>
  <c r="EN57" i="14" s="1"/>
  <c r="EO57" i="14" s="1"/>
  <c r="CH57" i="20"/>
  <c r="EN57" i="20" s="1"/>
  <c r="EO57" i="20" s="1"/>
  <c r="DK57" i="13"/>
  <c r="CH37" i="14"/>
  <c r="EN37" i="14" s="1"/>
  <c r="EO37" i="14" s="1"/>
  <c r="CH37" i="20"/>
  <c r="EN37" i="20" s="1"/>
  <c r="EO37" i="20" s="1"/>
  <c r="DK37" i="13"/>
  <c r="CH17" i="14"/>
  <c r="EN17" i="14" s="1"/>
  <c r="EO17" i="14" s="1"/>
  <c r="DK17" i="13"/>
  <c r="CH17" i="20"/>
  <c r="EN17" i="20" s="1"/>
  <c r="EO17" i="20" s="1"/>
  <c r="DF2" i="13"/>
  <c r="DE82" i="13"/>
  <c r="DF82" i="13" s="1"/>
  <c r="DE62" i="13"/>
  <c r="DF62" i="13" s="1"/>
  <c r="DE42" i="13"/>
  <c r="DF42" i="13" s="1"/>
  <c r="DE22" i="13"/>
  <c r="DF22" i="13" s="1"/>
  <c r="CH96" i="20"/>
  <c r="EN96" i="20" s="1"/>
  <c r="EO96" i="20" s="1"/>
  <c r="DK96" i="13"/>
  <c r="CH96" i="14"/>
  <c r="EN96" i="14" s="1"/>
  <c r="EO96" i="14" s="1"/>
  <c r="CH76" i="20"/>
  <c r="EN76" i="20" s="1"/>
  <c r="EO76" i="20" s="1"/>
  <c r="DK76" i="13"/>
  <c r="CH76" i="14"/>
  <c r="EN76" i="14" s="1"/>
  <c r="EO76" i="14" s="1"/>
  <c r="CH56" i="20"/>
  <c r="EN56" i="20" s="1"/>
  <c r="EO56" i="20" s="1"/>
  <c r="DK56" i="13"/>
  <c r="CH56" i="14"/>
  <c r="EN56" i="14" s="1"/>
  <c r="EO56" i="14" s="1"/>
  <c r="DK36" i="13"/>
  <c r="CH36" i="14"/>
  <c r="EN36" i="14" s="1"/>
  <c r="EO36" i="14" s="1"/>
  <c r="CH36" i="20"/>
  <c r="EN36" i="20" s="1"/>
  <c r="EO36" i="20" s="1"/>
  <c r="CH16" i="20"/>
  <c r="EN16" i="20" s="1"/>
  <c r="EO16" i="20" s="1"/>
  <c r="DK16" i="13"/>
  <c r="CH16" i="14"/>
  <c r="EN16" i="14" s="1"/>
  <c r="EO16" i="14" s="1"/>
  <c r="DE101" i="13"/>
  <c r="DF101" i="13" s="1"/>
  <c r="DE81" i="13"/>
  <c r="DF81" i="13" s="1"/>
  <c r="DE61" i="13"/>
  <c r="DF61" i="13" s="1"/>
  <c r="DE41" i="13"/>
  <c r="DF41" i="13" s="1"/>
  <c r="DE21" i="13"/>
  <c r="DF21" i="13" s="1"/>
  <c r="AM3" i="16"/>
  <c r="BJ4" i="16"/>
  <c r="BV4" i="16" s="1"/>
  <c r="BX4" i="16"/>
  <c r="BY4" i="16" s="1"/>
  <c r="BQ8" i="16"/>
  <c r="BR8" i="16" s="1"/>
  <c r="AN8" i="16"/>
  <c r="AM8" i="16"/>
  <c r="BJ20" i="16"/>
  <c r="BV20" i="16" s="1"/>
  <c r="BX20" i="16"/>
  <c r="BR39" i="16"/>
  <c r="BL18" i="16"/>
  <c r="BO18" i="16" s="1"/>
  <c r="AM36" i="16"/>
  <c r="AN36" i="16" s="1"/>
  <c r="BQ36" i="16"/>
  <c r="BL90" i="16"/>
  <c r="BO90" i="16" s="1"/>
  <c r="BS90" i="16" s="1"/>
  <c r="BT90" i="16" s="1"/>
  <c r="BU90" i="16" s="1"/>
  <c r="BE7" i="16"/>
  <c r="BP7" i="16" s="1"/>
  <c r="BD7" i="16"/>
  <c r="BC7" i="16"/>
  <c r="BB7" i="16"/>
  <c r="BY42" i="16"/>
  <c r="BY54" i="16"/>
  <c r="BW54" i="16"/>
  <c r="BM5" i="16"/>
  <c r="BN5" i="16"/>
  <c r="BI5" i="16"/>
  <c r="BQ2" i="16"/>
  <c r="BR2" i="16" s="1"/>
  <c r="AM2" i="16"/>
  <c r="AN2" i="16" s="1"/>
  <c r="AN3" i="16"/>
  <c r="BL12" i="16"/>
  <c r="BO12" i="16" s="1"/>
  <c r="BJ24" i="16"/>
  <c r="BV24" i="16" s="1"/>
  <c r="BX24" i="16"/>
  <c r="BY24" i="16" s="1"/>
  <c r="BQ6" i="16"/>
  <c r="BR6" i="16"/>
  <c r="AM6" i="16"/>
  <c r="BL6" i="16" s="1"/>
  <c r="BO6" i="16" s="1"/>
  <c r="BS6" i="16" s="1"/>
  <c r="BT6" i="16" s="1"/>
  <c r="BU6" i="16" s="1"/>
  <c r="BY11" i="16"/>
  <c r="BX31" i="16"/>
  <c r="BY31" i="16" s="1"/>
  <c r="BJ34" i="16"/>
  <c r="BV34" i="16" s="1"/>
  <c r="BX34" i="16"/>
  <c r="BY34" i="16"/>
  <c r="BE39" i="16"/>
  <c r="BP39" i="16" s="1"/>
  <c r="BC39" i="16"/>
  <c r="BB39" i="16"/>
  <c r="BL4" i="16"/>
  <c r="BO4" i="16" s="1"/>
  <c r="BL8" i="16"/>
  <c r="BO8" i="16" s="1"/>
  <c r="BS26" i="16"/>
  <c r="BT26" i="16" s="1"/>
  <c r="BU26" i="16" s="1"/>
  <c r="BY27" i="16"/>
  <c r="BY41" i="16"/>
  <c r="BX41" i="16"/>
  <c r="BE3" i="16"/>
  <c r="BP3" i="16" s="1"/>
  <c r="BD3" i="16"/>
  <c r="BQ3" i="16"/>
  <c r="BR3" i="16" s="1"/>
  <c r="BI15" i="16"/>
  <c r="BN15" i="16"/>
  <c r="BW15" i="16" s="1"/>
  <c r="BM15" i="16"/>
  <c r="AM18" i="16"/>
  <c r="BR18" i="16"/>
  <c r="AN18" i="16"/>
  <c r="BQ18" i="16"/>
  <c r="BM42" i="16"/>
  <c r="BN42" i="16"/>
  <c r="BW42" i="16" s="1"/>
  <c r="BI42" i="16"/>
  <c r="BK42" i="16" s="1"/>
  <c r="BN30" i="16"/>
  <c r="BW30" i="16" s="1"/>
  <c r="BM30" i="16"/>
  <c r="BP33" i="16"/>
  <c r="BR33" i="16" s="1"/>
  <c r="BS33" i="16" s="1"/>
  <c r="BT33" i="16" s="1"/>
  <c r="BU33" i="16" s="1"/>
  <c r="BQ44" i="16"/>
  <c r="AM44" i="16"/>
  <c r="AN44" i="16" s="1"/>
  <c r="BW64" i="16"/>
  <c r="BY64" i="16" s="1"/>
  <c r="AM5" i="16"/>
  <c r="BQ5" i="16"/>
  <c r="BR5" i="16" s="1"/>
  <c r="AN5" i="16"/>
  <c r="BE14" i="16"/>
  <c r="BP14" i="16" s="1"/>
  <c r="BB14" i="16"/>
  <c r="BL24" i="16"/>
  <c r="BO24" i="16" s="1"/>
  <c r="BX37" i="16"/>
  <c r="BY37" i="16" s="1"/>
  <c r="BZ37" i="16" s="1"/>
  <c r="CA37" i="16" s="1"/>
  <c r="BZ41" i="16"/>
  <c r="CA41" i="16" s="1"/>
  <c r="BX65" i="16"/>
  <c r="BY65" i="16" s="1"/>
  <c r="BJ65" i="16"/>
  <c r="BV65" i="16" s="1"/>
  <c r="BR7" i="16"/>
  <c r="BR9" i="16"/>
  <c r="BQ9" i="16"/>
  <c r="AM9" i="16"/>
  <c r="AN9" i="16" s="1"/>
  <c r="BD10" i="16"/>
  <c r="BC10" i="16"/>
  <c r="BB10" i="16"/>
  <c r="BM11" i="16"/>
  <c r="AM13" i="16"/>
  <c r="AN13" i="16" s="1"/>
  <c r="BR13" i="16"/>
  <c r="AN29" i="16"/>
  <c r="AM29" i="16"/>
  <c r="BQ29" i="16"/>
  <c r="BR29" i="16" s="1"/>
  <c r="BL35" i="16"/>
  <c r="BO35" i="16" s="1"/>
  <c r="BN38" i="16"/>
  <c r="BM38" i="16"/>
  <c r="BI38" i="16"/>
  <c r="BQ93" i="16"/>
  <c r="AM93" i="16"/>
  <c r="AN93" i="16"/>
  <c r="BL44" i="16"/>
  <c r="BO44" i="16" s="1"/>
  <c r="BM53" i="16"/>
  <c r="BI53" i="16"/>
  <c r="BK53" i="16" s="1"/>
  <c r="BL53" i="16" s="1"/>
  <c r="BO53" i="16" s="1"/>
  <c r="BN53" i="16"/>
  <c r="BW53" i="16" s="1"/>
  <c r="BI55" i="16"/>
  <c r="BM55" i="16"/>
  <c r="BN55" i="16"/>
  <c r="BR64" i="16"/>
  <c r="BQ64" i="16"/>
  <c r="AM64" i="16"/>
  <c r="AN64" i="16" s="1"/>
  <c r="AM70" i="16"/>
  <c r="BI77" i="16"/>
  <c r="BK77" i="16" s="1"/>
  <c r="BL77" i="16" s="1"/>
  <c r="BO77" i="16" s="1"/>
  <c r="BS77" i="16" s="1"/>
  <c r="BT77" i="16" s="1"/>
  <c r="BU77" i="16" s="1"/>
  <c r="BM77" i="16"/>
  <c r="BN77" i="16"/>
  <c r="BQ79" i="16"/>
  <c r="BR79" i="16"/>
  <c r="AN79" i="16"/>
  <c r="BD80" i="16"/>
  <c r="BE80" i="16"/>
  <c r="BP80" i="16" s="1"/>
  <c r="BX8" i="16"/>
  <c r="BY8" i="16" s="1"/>
  <c r="BE29" i="16"/>
  <c r="BP29" i="16" s="1"/>
  <c r="BC29" i="16"/>
  <c r="BR34" i="16"/>
  <c r="AM34" i="16"/>
  <c r="AN34" i="16" s="1"/>
  <c r="BQ34" i="16"/>
  <c r="BX40" i="16"/>
  <c r="BY40" i="16"/>
  <c r="BM59" i="16"/>
  <c r="BN59" i="16"/>
  <c r="BW59" i="16" s="1"/>
  <c r="BB70" i="16"/>
  <c r="BE70" i="16"/>
  <c r="BP70" i="16" s="1"/>
  <c r="BD70" i="16"/>
  <c r="BB80" i="16"/>
  <c r="BR83" i="16"/>
  <c r="BC84" i="16"/>
  <c r="BE84" i="16"/>
  <c r="BP84" i="16" s="1"/>
  <c r="BB84" i="16"/>
  <c r="BE4" i="16"/>
  <c r="BP4" i="16" s="1"/>
  <c r="BB4" i="16"/>
  <c r="BJ8" i="16"/>
  <c r="BV8" i="16" s="1"/>
  <c r="BJ11" i="16"/>
  <c r="BV11" i="16" s="1"/>
  <c r="BQ16" i="16"/>
  <c r="BX18" i="16"/>
  <c r="BY18" i="16" s="1"/>
  <c r="BJ18" i="16"/>
  <c r="BV18" i="16" s="1"/>
  <c r="BM31" i="16"/>
  <c r="BN31" i="16"/>
  <c r="BW31" i="16" s="1"/>
  <c r="BQ32" i="16"/>
  <c r="BR32" i="16" s="1"/>
  <c r="AM32" i="16"/>
  <c r="AN32" i="16" s="1"/>
  <c r="BD40" i="16"/>
  <c r="BE40" i="16"/>
  <c r="BP40" i="16" s="1"/>
  <c r="BC40" i="16"/>
  <c r="BB40" i="16"/>
  <c r="BQ41" i="16"/>
  <c r="BJ45" i="16"/>
  <c r="BV45" i="16" s="1"/>
  <c r="BZ45" i="16" s="1"/>
  <c r="CA45" i="16" s="1"/>
  <c r="BN62" i="16"/>
  <c r="BW62" i="16" s="1"/>
  <c r="BI62" i="16"/>
  <c r="BM62" i="16"/>
  <c r="BR16" i="16"/>
  <c r="BN21" i="16"/>
  <c r="BW21" i="16" s="1"/>
  <c r="BM21" i="16"/>
  <c r="AM24" i="16"/>
  <c r="BQ24" i="16"/>
  <c r="BR24" i="16" s="1"/>
  <c r="AN24" i="16"/>
  <c r="BY26" i="16"/>
  <c r="BM28" i="16"/>
  <c r="BB29" i="16"/>
  <c r="AM37" i="16"/>
  <c r="BL37" i="16" s="1"/>
  <c r="BO37" i="16" s="1"/>
  <c r="BS37" i="16" s="1"/>
  <c r="BT37" i="16" s="1"/>
  <c r="BU37" i="16" s="1"/>
  <c r="BR37" i="16"/>
  <c r="BQ37" i="16"/>
  <c r="BQ51" i="16"/>
  <c r="AM51" i="16"/>
  <c r="AN51" i="16" s="1"/>
  <c r="BD51" i="16"/>
  <c r="BC51" i="16"/>
  <c r="BE51" i="16"/>
  <c r="BP51" i="16" s="1"/>
  <c r="BB51" i="16"/>
  <c r="BJ56" i="16"/>
  <c r="BV56" i="16" s="1"/>
  <c r="AN70" i="16"/>
  <c r="BC70" i="16"/>
  <c r="BQ71" i="16"/>
  <c r="AM71" i="16"/>
  <c r="AN71" i="16" s="1"/>
  <c r="BN76" i="16"/>
  <c r="BW76" i="16" s="1"/>
  <c r="BI76" i="16"/>
  <c r="BK76" i="16" s="1"/>
  <c r="BL76" i="16" s="1"/>
  <c r="BO76" i="16" s="1"/>
  <c r="BM76" i="16"/>
  <c r="BD84" i="16"/>
  <c r="BI2" i="16"/>
  <c r="BK2" i="16" s="1"/>
  <c r="BL2" i="16" s="1"/>
  <c r="BO2" i="16" s="1"/>
  <c r="BI3" i="16"/>
  <c r="BK3" i="16" s="1"/>
  <c r="BL3" i="16" s="1"/>
  <c r="BO3" i="16" s="1"/>
  <c r="BI9" i="16"/>
  <c r="BK9" i="16" s="1"/>
  <c r="BL9" i="16" s="1"/>
  <c r="BO9" i="16" s="1"/>
  <c r="BS9" i="16" s="1"/>
  <c r="BT9" i="16" s="1"/>
  <c r="BU9" i="16" s="1"/>
  <c r="BX9" i="16"/>
  <c r="BY9" i="16" s="1"/>
  <c r="AM11" i="16"/>
  <c r="BL11" i="16" s="1"/>
  <c r="BO11" i="16" s="1"/>
  <c r="BB16" i="16"/>
  <c r="BB18" i="16"/>
  <c r="BE18" i="16"/>
  <c r="BP18" i="16" s="1"/>
  <c r="BC18" i="16"/>
  <c r="BY22" i="16"/>
  <c r="BJ22" i="16"/>
  <c r="BV22" i="16" s="1"/>
  <c r="BZ22" i="16" s="1"/>
  <c r="CA22" i="16" s="1"/>
  <c r="BX22" i="16"/>
  <c r="BM25" i="16"/>
  <c r="BN25" i="16"/>
  <c r="BW25" i="16" s="1"/>
  <c r="BI25" i="16"/>
  <c r="BK25" i="16" s="1"/>
  <c r="BL25" i="16" s="1"/>
  <c r="BO25" i="16" s="1"/>
  <c r="BC26" i="16"/>
  <c r="BE26" i="16"/>
  <c r="BP26" i="16" s="1"/>
  <c r="BQ26" i="16"/>
  <c r="BN28" i="16"/>
  <c r="BW28" i="16" s="1"/>
  <c r="BD29" i="16"/>
  <c r="BE34" i="16"/>
  <c r="BP34" i="16" s="1"/>
  <c r="BD34" i="16"/>
  <c r="BB34" i="16"/>
  <c r="BM36" i="16"/>
  <c r="BN36" i="16"/>
  <c r="BW36" i="16" s="1"/>
  <c r="BB37" i="16"/>
  <c r="BD37" i="16"/>
  <c r="BC37" i="16"/>
  <c r="BI39" i="16"/>
  <c r="BK39" i="16" s="1"/>
  <c r="BL39" i="16" s="1"/>
  <c r="BO39" i="16" s="1"/>
  <c r="BS39" i="16" s="1"/>
  <c r="BT39" i="16" s="1"/>
  <c r="BU39" i="16" s="1"/>
  <c r="BI48" i="16"/>
  <c r="BK48" i="16" s="1"/>
  <c r="BL48" i="16" s="1"/>
  <c r="BO48" i="16" s="1"/>
  <c r="BN57" i="16"/>
  <c r="BW57" i="16" s="1"/>
  <c r="BI57" i="16"/>
  <c r="BK57" i="16" s="1"/>
  <c r="BI59" i="16"/>
  <c r="BI69" i="16"/>
  <c r="BN69" i="16"/>
  <c r="BM69" i="16"/>
  <c r="BX74" i="16"/>
  <c r="BY74" i="16" s="1"/>
  <c r="AM78" i="16"/>
  <c r="AN78" i="16"/>
  <c r="BQ78" i="16"/>
  <c r="BR78" i="16" s="1"/>
  <c r="AM79" i="16"/>
  <c r="BM79" i="16"/>
  <c r="BN79" i="16"/>
  <c r="BW79" i="16" s="1"/>
  <c r="BI79" i="16"/>
  <c r="BC92" i="16"/>
  <c r="BB92" i="16"/>
  <c r="BE92" i="16"/>
  <c r="BP92" i="16" s="1"/>
  <c r="BP96" i="16"/>
  <c r="BR96" i="16"/>
  <c r="BC4" i="16"/>
  <c r="BJ6" i="16"/>
  <c r="BV6" i="16" s="1"/>
  <c r="BI7" i="16"/>
  <c r="BK7" i="16" s="1"/>
  <c r="BL7" i="16" s="1"/>
  <c r="BO7" i="16" s="1"/>
  <c r="BS7" i="16" s="1"/>
  <c r="BT7" i="16" s="1"/>
  <c r="BU7" i="16" s="1"/>
  <c r="BN7" i="16"/>
  <c r="BW7" i="16" s="1"/>
  <c r="AN11" i="16"/>
  <c r="AM16" i="16"/>
  <c r="AN16" i="16" s="1"/>
  <c r="BC16" i="16"/>
  <c r="BC22" i="16"/>
  <c r="BD22" i="16"/>
  <c r="BE22" i="16"/>
  <c r="BP22" i="16" s="1"/>
  <c r="BR22" i="16"/>
  <c r="BR26" i="16"/>
  <c r="BI27" i="16"/>
  <c r="BI31" i="16"/>
  <c r="BK31" i="16" s="1"/>
  <c r="BL31" i="16" s="1"/>
  <c r="BO31" i="16" s="1"/>
  <c r="BC34" i="16"/>
  <c r="AM35" i="16"/>
  <c r="AN35" i="16" s="1"/>
  <c r="BE41" i="16"/>
  <c r="BP41" i="16" s="1"/>
  <c r="BD41" i="16"/>
  <c r="BB41" i="16"/>
  <c r="BM43" i="16"/>
  <c r="BL49" i="16"/>
  <c r="BO49" i="16" s="1"/>
  <c r="BQ52" i="16"/>
  <c r="BR52" i="16" s="1"/>
  <c r="AM52" i="16"/>
  <c r="AN52" i="16" s="1"/>
  <c r="BM56" i="16"/>
  <c r="BD78" i="16"/>
  <c r="BE78" i="16"/>
  <c r="BP78" i="16" s="1"/>
  <c r="BB78" i="16"/>
  <c r="BR80" i="16"/>
  <c r="BN84" i="16"/>
  <c r="BW84" i="16" s="1"/>
  <c r="BI84" i="16"/>
  <c r="BI89" i="16"/>
  <c r="BK89" i="16" s="1"/>
  <c r="BL89" i="16" s="1"/>
  <c r="BO89" i="16" s="1"/>
  <c r="BN89" i="16"/>
  <c r="BW89" i="16" s="1"/>
  <c r="BM89" i="16"/>
  <c r="AV90" i="16"/>
  <c r="BD93" i="16"/>
  <c r="BB93" i="16"/>
  <c r="BC93" i="16"/>
  <c r="BN100" i="16"/>
  <c r="BW100" i="16" s="1"/>
  <c r="BM100" i="16"/>
  <c r="BI100" i="16"/>
  <c r="BK100" i="16" s="1"/>
  <c r="BL100" i="16" s="1"/>
  <c r="BO100" i="16" s="1"/>
  <c r="BD16" i="16"/>
  <c r="BN2" i="16"/>
  <c r="BW2" i="16" s="1"/>
  <c r="BC8" i="16"/>
  <c r="BC9" i="16"/>
  <c r="BC11" i="16"/>
  <c r="BQ11" i="16"/>
  <c r="BR11" i="16" s="1"/>
  <c r="BN12" i="16"/>
  <c r="BI14" i="16"/>
  <c r="BK14" i="16" s="1"/>
  <c r="BL14" i="16" s="1"/>
  <c r="BO14" i="16" s="1"/>
  <c r="BS14" i="16" s="1"/>
  <c r="BT14" i="16" s="1"/>
  <c r="BU14" i="16" s="1"/>
  <c r="BQ15" i="16"/>
  <c r="BR15" i="16"/>
  <c r="AM15" i="16"/>
  <c r="AN15" i="16" s="1"/>
  <c r="AM19" i="16"/>
  <c r="AN19" i="16" s="1"/>
  <c r="BQ19" i="16"/>
  <c r="BR19" i="16" s="1"/>
  <c r="BM23" i="16"/>
  <c r="AW25" i="16"/>
  <c r="BB26" i="16"/>
  <c r="BY28" i="16"/>
  <c r="AM30" i="16"/>
  <c r="AN30" i="16" s="1"/>
  <c r="BQ30" i="16"/>
  <c r="BR30" i="16"/>
  <c r="BM32" i="16"/>
  <c r="BN32" i="16"/>
  <c r="BW32" i="16" s="1"/>
  <c r="BI32" i="16"/>
  <c r="BD33" i="16"/>
  <c r="BY35" i="16"/>
  <c r="BJ35" i="16"/>
  <c r="BV35" i="16" s="1"/>
  <c r="BZ35" i="16" s="1"/>
  <c r="CA35" i="16" s="1"/>
  <c r="BX35" i="16"/>
  <c r="BI36" i="16"/>
  <c r="BK36" i="16" s="1"/>
  <c r="BE37" i="16"/>
  <c r="BP37" i="16" s="1"/>
  <c r="BQ45" i="16"/>
  <c r="AM45" i="16"/>
  <c r="BL45" i="16" s="1"/>
  <c r="BO45" i="16" s="1"/>
  <c r="BI50" i="16"/>
  <c r="BK50" i="16" s="1"/>
  <c r="BM50" i="16"/>
  <c r="BX53" i="16"/>
  <c r="BY53" i="16" s="1"/>
  <c r="BQ54" i="16"/>
  <c r="AM54" i="16"/>
  <c r="AN54" i="16" s="1"/>
  <c r="BD54" i="16"/>
  <c r="BE54" i="16"/>
  <c r="BP54" i="16" s="1"/>
  <c r="BB54" i="16"/>
  <c r="BC54" i="16"/>
  <c r="BQ56" i="16"/>
  <c r="AN56" i="16"/>
  <c r="BM57" i="16"/>
  <c r="BB58" i="16"/>
  <c r="BI64" i="16"/>
  <c r="BQ74" i="16"/>
  <c r="BR74" i="16" s="1"/>
  <c r="AM74" i="16"/>
  <c r="AN74" i="16" s="1"/>
  <c r="BY76" i="16"/>
  <c r="BD92" i="16"/>
  <c r="BN95" i="16"/>
  <c r="BW95" i="16" s="1"/>
  <c r="BB5" i="16"/>
  <c r="BM6" i="16"/>
  <c r="BD8" i="16"/>
  <c r="BN9" i="16"/>
  <c r="BW9" i="16" s="1"/>
  <c r="AX10" i="16"/>
  <c r="BI10" i="16"/>
  <c r="BK10" i="16" s="1"/>
  <c r="BL10" i="16" s="1"/>
  <c r="BO10" i="16" s="1"/>
  <c r="BY10" i="16"/>
  <c r="BD11" i="16"/>
  <c r="AM12" i="16"/>
  <c r="BN16" i="16"/>
  <c r="BW16" i="16" s="1"/>
  <c r="BI16" i="16"/>
  <c r="BK16" i="16" s="1"/>
  <c r="BL16" i="16" s="1"/>
  <c r="BO16" i="16" s="1"/>
  <c r="BN20" i="16"/>
  <c r="BW20" i="16" s="1"/>
  <c r="BM20" i="16"/>
  <c r="AX21" i="16"/>
  <c r="BD26" i="16"/>
  <c r="BY30" i="16"/>
  <c r="BJ33" i="16"/>
  <c r="BV33" i="16" s="1"/>
  <c r="BM37" i="16"/>
  <c r="BJ40" i="16"/>
  <c r="BV40" i="16" s="1"/>
  <c r="BJ42" i="16"/>
  <c r="BV42" i="16" s="1"/>
  <c r="BX42" i="16"/>
  <c r="AW43" i="16"/>
  <c r="BI43" i="16"/>
  <c r="BK43" i="16" s="1"/>
  <c r="BL43" i="16" s="1"/>
  <c r="BO43" i="16" s="1"/>
  <c r="BS43" i="16" s="1"/>
  <c r="BT43" i="16" s="1"/>
  <c r="BU43" i="16" s="1"/>
  <c r="BJ48" i="16"/>
  <c r="BV48" i="16" s="1"/>
  <c r="BX48" i="16"/>
  <c r="BY48" i="16" s="1"/>
  <c r="AN49" i="16"/>
  <c r="BR49" i="16"/>
  <c r="BE52" i="16"/>
  <c r="BP52" i="16" s="1"/>
  <c r="BB52" i="16"/>
  <c r="BC58" i="16"/>
  <c r="BY59" i="16"/>
  <c r="BI67" i="16"/>
  <c r="BK67" i="16" s="1"/>
  <c r="BL67" i="16" s="1"/>
  <c r="BO67" i="16" s="1"/>
  <c r="BM67" i="16"/>
  <c r="BX75" i="16"/>
  <c r="BY75" i="16"/>
  <c r="BJ75" i="16"/>
  <c r="BV75" i="16" s="1"/>
  <c r="AM77" i="16"/>
  <c r="AN77" i="16" s="1"/>
  <c r="BQ77" i="16"/>
  <c r="BR77" i="16"/>
  <c r="AM85" i="16"/>
  <c r="BL85" i="16" s="1"/>
  <c r="BO85" i="16" s="1"/>
  <c r="BQ85" i="16"/>
  <c r="BR85" i="16" s="1"/>
  <c r="AN85" i="16"/>
  <c r="BX91" i="16"/>
  <c r="BY91" i="16" s="1"/>
  <c r="BQ98" i="16"/>
  <c r="BR98" i="16" s="1"/>
  <c r="AM98" i="16"/>
  <c r="AN98" i="16" s="1"/>
  <c r="BD4" i="16"/>
  <c r="BB8" i="16"/>
  <c r="BM12" i="16"/>
  <c r="BC35" i="16"/>
  <c r="BE35" i="16"/>
  <c r="BP35" i="16" s="1"/>
  <c r="BD35" i="16"/>
  <c r="BY45" i="16"/>
  <c r="BX45" i="16"/>
  <c r="BX61" i="16"/>
  <c r="BY61" i="16" s="1"/>
  <c r="BJ61" i="16"/>
  <c r="BV61" i="16" s="1"/>
  <c r="BY78" i="16"/>
  <c r="BX78" i="16"/>
  <c r="BB2" i="16"/>
  <c r="BC5" i="16"/>
  <c r="BD6" i="16"/>
  <c r="BC6" i="16"/>
  <c r="BN6" i="16"/>
  <c r="BW6" i="16" s="1"/>
  <c r="BJ10" i="16"/>
  <c r="BV10" i="16" s="1"/>
  <c r="BE11" i="16"/>
  <c r="BP11" i="16" s="1"/>
  <c r="AN12" i="16"/>
  <c r="BB12" i="16"/>
  <c r="BX13" i="16"/>
  <c r="BQ14" i="16"/>
  <c r="BR14" i="16"/>
  <c r="AM14" i="16"/>
  <c r="AN14" i="16" s="1"/>
  <c r="BB15" i="16"/>
  <c r="BR17" i="16"/>
  <c r="BE17" i="16"/>
  <c r="BP17" i="16" s="1"/>
  <c r="BD17" i="16"/>
  <c r="BY19" i="16"/>
  <c r="BB19" i="16"/>
  <c r="BE19" i="16"/>
  <c r="BP19" i="16" s="1"/>
  <c r="BD19" i="16"/>
  <c r="BC19" i="16"/>
  <c r="BX19" i="16"/>
  <c r="BN24" i="16"/>
  <c r="BW24" i="16" s="1"/>
  <c r="BM24" i="16"/>
  <c r="BQ27" i="16"/>
  <c r="BR27" i="16" s="1"/>
  <c r="AN27" i="16"/>
  <c r="BB35" i="16"/>
  <c r="BR38" i="16"/>
  <c r="AM38" i="16"/>
  <c r="AN38" i="16" s="1"/>
  <c r="BQ38" i="16"/>
  <c r="BX46" i="16"/>
  <c r="BY46" i="16" s="1"/>
  <c r="BJ46" i="16"/>
  <c r="BV46" i="16" s="1"/>
  <c r="BZ46" i="16" s="1"/>
  <c r="CA46" i="16" s="1"/>
  <c r="BD46" i="16"/>
  <c r="BE46" i="16"/>
  <c r="BP46" i="16" s="1"/>
  <c r="BD49" i="16"/>
  <c r="BC49" i="16"/>
  <c r="BY56" i="16"/>
  <c r="BX56" i="16"/>
  <c r="BB56" i="16"/>
  <c r="BE56" i="16"/>
  <c r="BP56" i="16" s="1"/>
  <c r="BD56" i="16"/>
  <c r="BC56" i="16"/>
  <c r="BY58" i="16"/>
  <c r="BZ58" i="16" s="1"/>
  <c r="CA58" i="16" s="1"/>
  <c r="BJ63" i="16"/>
  <c r="BV63" i="16" s="1"/>
  <c r="BY63" i="16"/>
  <c r="BX63" i="16"/>
  <c r="BQ70" i="16"/>
  <c r="BR70" i="16" s="1"/>
  <c r="BR72" i="16"/>
  <c r="AM86" i="16"/>
  <c r="BL86" i="16" s="1"/>
  <c r="BO86" i="16" s="1"/>
  <c r="BS86" i="16" s="1"/>
  <c r="BT86" i="16" s="1"/>
  <c r="BU86" i="16" s="1"/>
  <c r="BQ86" i="16"/>
  <c r="AN86" i="16"/>
  <c r="BR86" i="16"/>
  <c r="BX88" i="16"/>
  <c r="BY88" i="16" s="1"/>
  <c r="BJ88" i="16"/>
  <c r="BV88" i="16" s="1"/>
  <c r="BE88" i="16"/>
  <c r="BD88" i="16"/>
  <c r="BB88" i="16"/>
  <c r="BC88" i="16"/>
  <c r="BR91" i="16"/>
  <c r="BQ91" i="16"/>
  <c r="AM91" i="16"/>
  <c r="AN91" i="16" s="1"/>
  <c r="BI92" i="16"/>
  <c r="BN92" i="16"/>
  <c r="BW92" i="16" s="1"/>
  <c r="BM92" i="16"/>
  <c r="BY2" i="16"/>
  <c r="AW7" i="16"/>
  <c r="AM22" i="16"/>
  <c r="AN22" i="16" s="1"/>
  <c r="AM41" i="16"/>
  <c r="BL41" i="16" s="1"/>
  <c r="BO41" i="16" s="1"/>
  <c r="AX48" i="16"/>
  <c r="BE75" i="16"/>
  <c r="BC75" i="16"/>
  <c r="BD75" i="16"/>
  <c r="BB75" i="16"/>
  <c r="BC2" i="16"/>
  <c r="BM3" i="16"/>
  <c r="BD5" i="16"/>
  <c r="BN11" i="16"/>
  <c r="BW11" i="16" s="1"/>
  <c r="BC12" i="16"/>
  <c r="BQ12" i="16"/>
  <c r="BR12" i="16" s="1"/>
  <c r="AV16" i="16"/>
  <c r="BY23" i="16"/>
  <c r="BE23" i="16"/>
  <c r="BD23" i="16"/>
  <c r="BC23" i="16"/>
  <c r="BE30" i="16"/>
  <c r="BP30" i="16" s="1"/>
  <c r="BC30" i="16"/>
  <c r="BB30" i="16"/>
  <c r="BD31" i="16"/>
  <c r="BC31" i="16"/>
  <c r="BB31" i="16"/>
  <c r="AW32" i="16"/>
  <c r="BL34" i="16"/>
  <c r="BO34" i="16" s="1"/>
  <c r="AN39" i="16"/>
  <c r="BR43" i="16"/>
  <c r="BN47" i="16"/>
  <c r="BW47" i="16" s="1"/>
  <c r="BM47" i="16"/>
  <c r="BX49" i="16"/>
  <c r="BY49" i="16" s="1"/>
  <c r="BJ49" i="16"/>
  <c r="BV49" i="16" s="1"/>
  <c r="BQ63" i="16"/>
  <c r="BR63" i="16" s="1"/>
  <c r="AM63" i="16"/>
  <c r="BD63" i="16"/>
  <c r="BB63" i="16"/>
  <c r="BE63" i="16"/>
  <c r="BP63" i="16" s="1"/>
  <c r="BC63" i="16"/>
  <c r="BB85" i="16"/>
  <c r="BD85" i="16"/>
  <c r="BX86" i="16"/>
  <c r="BY86" i="16" s="1"/>
  <c r="BZ86" i="16" s="1"/>
  <c r="CA86" i="16" s="1"/>
  <c r="BL93" i="16"/>
  <c r="BO93" i="16" s="1"/>
  <c r="BI21" i="16"/>
  <c r="BK21" i="16" s="1"/>
  <c r="BL21" i="16" s="1"/>
  <c r="BO21" i="16" s="1"/>
  <c r="BR28" i="16"/>
  <c r="AM28" i="16"/>
  <c r="AN28" i="16" s="1"/>
  <c r="BM40" i="16"/>
  <c r="BI40" i="16"/>
  <c r="BK40" i="16" s="1"/>
  <c r="BL40" i="16" s="1"/>
  <c r="BO40" i="16" s="1"/>
  <c r="BS40" i="16" s="1"/>
  <c r="BT40" i="16" s="1"/>
  <c r="BU40" i="16" s="1"/>
  <c r="BD45" i="16"/>
  <c r="BB45" i="16"/>
  <c r="BE45" i="16"/>
  <c r="BP45" i="16" s="1"/>
  <c r="BX52" i="16"/>
  <c r="BY52" i="16" s="1"/>
  <c r="AV62" i="16"/>
  <c r="BC74" i="16"/>
  <c r="BB74" i="16"/>
  <c r="BE74" i="16"/>
  <c r="BP74" i="16" s="1"/>
  <c r="BE94" i="16"/>
  <c r="BP94" i="16" s="1"/>
  <c r="BC94" i="16"/>
  <c r="BD94" i="16"/>
  <c r="BB94" i="16"/>
  <c r="BC3" i="16"/>
  <c r="BB3" i="16"/>
  <c r="BN3" i="16"/>
  <c r="BW3" i="16" s="1"/>
  <c r="BE10" i="16"/>
  <c r="BN14" i="16"/>
  <c r="BW14" i="16" s="1"/>
  <c r="BE27" i="16"/>
  <c r="BP27" i="16" s="1"/>
  <c r="BB27" i="16"/>
  <c r="BD27" i="16"/>
  <c r="BC27" i="16"/>
  <c r="BY29" i="16"/>
  <c r="BX29" i="16"/>
  <c r="BQ31" i="16"/>
  <c r="BR31" i="16"/>
  <c r="AM31" i="16"/>
  <c r="AN31" i="16" s="1"/>
  <c r="BN40" i="16"/>
  <c r="BW40" i="16" s="1"/>
  <c r="BX43" i="16"/>
  <c r="BY43" i="16" s="1"/>
  <c r="BM54" i="16"/>
  <c r="BI54" i="16"/>
  <c r="BK54" i="16" s="1"/>
  <c r="BJ57" i="16"/>
  <c r="BV57" i="16" s="1"/>
  <c r="BX57" i="16"/>
  <c r="BY57" i="16" s="1"/>
  <c r="BL61" i="16"/>
  <c r="BO61" i="16" s="1"/>
  <c r="BB76" i="16"/>
  <c r="BE76" i="16"/>
  <c r="BP76" i="16" s="1"/>
  <c r="BD76" i="16"/>
  <c r="BD77" i="16"/>
  <c r="BY80" i="16"/>
  <c r="BX80" i="16"/>
  <c r="BJ80" i="16"/>
  <c r="BV80" i="16" s="1"/>
  <c r="BZ80" i="16" s="1"/>
  <c r="CA80" i="16" s="1"/>
  <c r="BM8" i="16"/>
  <c r="BN8" i="16"/>
  <c r="BW8" i="16" s="1"/>
  <c r="BJ12" i="16"/>
  <c r="BV12" i="16" s="1"/>
  <c r="BC14" i="16"/>
  <c r="BD14" i="16"/>
  <c r="AW21" i="16"/>
  <c r="BD30" i="16"/>
  <c r="BE36" i="16"/>
  <c r="BP36" i="16" s="1"/>
  <c r="BJ50" i="16"/>
  <c r="BV50" i="16" s="1"/>
  <c r="BY51" i="16"/>
  <c r="BD52" i="16"/>
  <c r="BC52" i="16"/>
  <c r="BJ54" i="16"/>
  <c r="BV54" i="16" s="1"/>
  <c r="BM61" i="16"/>
  <c r="BN61" i="16"/>
  <c r="BW61" i="16" s="1"/>
  <c r="BY71" i="16"/>
  <c r="BD71" i="16"/>
  <c r="BC71" i="16"/>
  <c r="BE71" i="16"/>
  <c r="BP71" i="16" s="1"/>
  <c r="BB71" i="16"/>
  <c r="AW82" i="16"/>
  <c r="BL82" i="16"/>
  <c r="BO82" i="16" s="1"/>
  <c r="BM84" i="16"/>
  <c r="BY87" i="16"/>
  <c r="BX87" i="16"/>
  <c r="BJ87" i="16"/>
  <c r="BV87" i="16" s="1"/>
  <c r="AM94" i="16"/>
  <c r="AN94" i="16" s="1"/>
  <c r="BR94" i="16"/>
  <c r="BM13" i="16"/>
  <c r="BN13" i="16"/>
  <c r="BW13" i="16" s="1"/>
  <c r="BE15" i="16"/>
  <c r="BP15" i="16" s="1"/>
  <c r="BC15" i="16"/>
  <c r="BQ21" i="16"/>
  <c r="AM21" i="16"/>
  <c r="AN21" i="16" s="1"/>
  <c r="AX25" i="16"/>
  <c r="BX25" i="16"/>
  <c r="BY25" i="16" s="1"/>
  <c r="BX28" i="16"/>
  <c r="BY32" i="16"/>
  <c r="BX33" i="16"/>
  <c r="BB38" i="16"/>
  <c r="BE38" i="16"/>
  <c r="BP38" i="16" s="1"/>
  <c r="AX42" i="16"/>
  <c r="BB44" i="16"/>
  <c r="BE44" i="16"/>
  <c r="BP44" i="16" s="1"/>
  <c r="BC44" i="16"/>
  <c r="BL46" i="16"/>
  <c r="BO46" i="16" s="1"/>
  <c r="AN48" i="16"/>
  <c r="BQ48" i="16"/>
  <c r="BR48" i="16" s="1"/>
  <c r="AX50" i="16"/>
  <c r="AW53" i="16"/>
  <c r="AX55" i="16"/>
  <c r="BQ59" i="16"/>
  <c r="BR59" i="16" s="1"/>
  <c r="AM59" i="16"/>
  <c r="AN59" i="16" s="1"/>
  <c r="BQ62" i="16"/>
  <c r="BR62" i="16" s="1"/>
  <c r="BC64" i="16"/>
  <c r="BE64" i="16"/>
  <c r="BP64" i="16" s="1"/>
  <c r="BD64" i="16"/>
  <c r="BJ66" i="16"/>
  <c r="BV66" i="16" s="1"/>
  <c r="BX66" i="16"/>
  <c r="BY66" i="16" s="1"/>
  <c r="BE67" i="16"/>
  <c r="BP67" i="16" s="1"/>
  <c r="BC67" i="16"/>
  <c r="BN70" i="16"/>
  <c r="BW70" i="16" s="1"/>
  <c r="BM70" i="16"/>
  <c r="AW17" i="16"/>
  <c r="BC20" i="16"/>
  <c r="BB20" i="16"/>
  <c r="AW26" i="16"/>
  <c r="BJ28" i="16"/>
  <c r="BV28" i="16" s="1"/>
  <c r="BZ28" i="16" s="1"/>
  <c r="CA28" i="16" s="1"/>
  <c r="BI29" i="16"/>
  <c r="BK29" i="16" s="1"/>
  <c r="BL29" i="16" s="1"/>
  <c r="BO29" i="16" s="1"/>
  <c r="BC32" i="16"/>
  <c r="BY33" i="16"/>
  <c r="BM45" i="16"/>
  <c r="BE48" i="16"/>
  <c r="BP48" i="16" s="1"/>
  <c r="BC48" i="16"/>
  <c r="BX67" i="16"/>
  <c r="BY67" i="16" s="1"/>
  <c r="BN87" i="16"/>
  <c r="BW87" i="16" s="1"/>
  <c r="BM87" i="16"/>
  <c r="BQ95" i="16"/>
  <c r="BR95" i="16" s="1"/>
  <c r="AM95" i="16"/>
  <c r="AN95" i="16"/>
  <c r="BC96" i="16"/>
  <c r="BE97" i="16"/>
  <c r="BP97" i="16" s="1"/>
  <c r="BC97" i="16"/>
  <c r="BE99" i="16"/>
  <c r="BP99" i="16" s="1"/>
  <c r="BD99" i="16"/>
  <c r="BC99" i="16"/>
  <c r="BB99" i="16"/>
  <c r="BX21" i="16"/>
  <c r="BY21" i="16" s="1"/>
  <c r="BJ21" i="16"/>
  <c r="BV21" i="16" s="1"/>
  <c r="BJ47" i="16"/>
  <c r="BV47" i="16" s="1"/>
  <c r="BX47" i="16"/>
  <c r="BD47" i="16"/>
  <c r="BQ50" i="16"/>
  <c r="BR50" i="16" s="1"/>
  <c r="AM50" i="16"/>
  <c r="AN50" i="16" s="1"/>
  <c r="BL58" i="16"/>
  <c r="BO58" i="16" s="1"/>
  <c r="BQ68" i="16"/>
  <c r="BR68" i="16" s="1"/>
  <c r="AN68" i="16"/>
  <c r="BC68" i="16"/>
  <c r="BB68" i="16"/>
  <c r="BD68" i="16"/>
  <c r="BE72" i="16"/>
  <c r="BP72" i="16" s="1"/>
  <c r="BB72" i="16"/>
  <c r="BD83" i="16"/>
  <c r="BC83" i="16"/>
  <c r="BE83" i="16"/>
  <c r="BP83" i="16" s="1"/>
  <c r="BD90" i="16"/>
  <c r="BB90" i="16"/>
  <c r="BZ93" i="16"/>
  <c r="CA93" i="16" s="1"/>
  <c r="BY96" i="16"/>
  <c r="BJ96" i="16"/>
  <c r="BV96" i="16" s="1"/>
  <c r="BZ96" i="16" s="1"/>
  <c r="CA96" i="16" s="1"/>
  <c r="BX98" i="16"/>
  <c r="BY98" i="16" s="1"/>
  <c r="BJ98" i="16"/>
  <c r="BV98" i="16" s="1"/>
  <c r="BQ100" i="16"/>
  <c r="BR100" i="16" s="1"/>
  <c r="AN100" i="16"/>
  <c r="AM100" i="16"/>
  <c r="BM19" i="16"/>
  <c r="BI19" i="16"/>
  <c r="BI23" i="16"/>
  <c r="BK23" i="16" s="1"/>
  <c r="BL23" i="16" s="1"/>
  <c r="BO23" i="16" s="1"/>
  <c r="BB24" i="16"/>
  <c r="BE25" i="16"/>
  <c r="BP25" i="16" s="1"/>
  <c r="BJ26" i="16"/>
  <c r="BV26" i="16" s="1"/>
  <c r="BZ26" i="16" s="1"/>
  <c r="CA26" i="16" s="1"/>
  <c r="BI30" i="16"/>
  <c r="BN34" i="16"/>
  <c r="BW34" i="16" s="1"/>
  <c r="BN39" i="16"/>
  <c r="BW39" i="16" s="1"/>
  <c r="AM42" i="16"/>
  <c r="AN42" i="16" s="1"/>
  <c r="BR42" i="16"/>
  <c r="BB50" i="16"/>
  <c r="BD50" i="16"/>
  <c r="BC50" i="16"/>
  <c r="AM53" i="16"/>
  <c r="AN53" i="16" s="1"/>
  <c r="BQ53" i="16"/>
  <c r="BR53" i="16" s="1"/>
  <c r="AN55" i="16"/>
  <c r="AM55" i="16"/>
  <c r="BR55" i="16"/>
  <c r="BL70" i="16"/>
  <c r="BO70" i="16" s="1"/>
  <c r="BC72" i="16"/>
  <c r="BN74" i="16"/>
  <c r="BW74" i="16" s="1"/>
  <c r="BI74" i="16"/>
  <c r="AM84" i="16"/>
  <c r="AN84" i="16" s="1"/>
  <c r="BQ84" i="16"/>
  <c r="BR84" i="16"/>
  <c r="BY90" i="16"/>
  <c r="BJ90" i="16"/>
  <c r="BV90" i="16" s="1"/>
  <c r="BX90" i="16"/>
  <c r="BD91" i="16"/>
  <c r="BC91" i="16"/>
  <c r="BY97" i="16"/>
  <c r="BQ99" i="16"/>
  <c r="BR99" i="16" s="1"/>
  <c r="AN99" i="16"/>
  <c r="AM99" i="16"/>
  <c r="BL99" i="16"/>
  <c r="BO99" i="16" s="1"/>
  <c r="AW12" i="16"/>
  <c r="BY16" i="16"/>
  <c r="BX16" i="16"/>
  <c r="BI17" i="16"/>
  <c r="AX39" i="16"/>
  <c r="BI47" i="16"/>
  <c r="BK47" i="16" s="1"/>
  <c r="BL47" i="16" s="1"/>
  <c r="BO47" i="16" s="1"/>
  <c r="BS47" i="16" s="1"/>
  <c r="BT47" i="16" s="1"/>
  <c r="BU47" i="16" s="1"/>
  <c r="BN50" i="16"/>
  <c r="BI51" i="16"/>
  <c r="AV53" i="16"/>
  <c r="AM57" i="16"/>
  <c r="AN57" i="16" s="1"/>
  <c r="BD66" i="16"/>
  <c r="BC66" i="16"/>
  <c r="BB66" i="16"/>
  <c r="AV67" i="16"/>
  <c r="BQ69" i="16"/>
  <c r="AN69" i="16"/>
  <c r="AM69" i="16"/>
  <c r="BE69" i="16"/>
  <c r="BP69" i="16" s="1"/>
  <c r="BD69" i="16"/>
  <c r="BB69" i="16"/>
  <c r="BJ81" i="16"/>
  <c r="BV81" i="16" s="1"/>
  <c r="BZ81" i="16" s="1"/>
  <c r="CA81" i="16" s="1"/>
  <c r="BX83" i="16"/>
  <c r="BY83" i="16"/>
  <c r="BM91" i="16"/>
  <c r="BN91" i="16"/>
  <c r="BW91" i="16" s="1"/>
  <c r="BI91" i="16"/>
  <c r="BK91" i="16" s="1"/>
  <c r="AM92" i="16"/>
  <c r="AN92" i="16" s="1"/>
  <c r="BQ92" i="16"/>
  <c r="BD95" i="16"/>
  <c r="BC95" i="16"/>
  <c r="BB95" i="16"/>
  <c r="BY100" i="16"/>
  <c r="BJ100" i="16"/>
  <c r="BV100" i="16" s="1"/>
  <c r="BZ100" i="16" s="1"/>
  <c r="CA100" i="16" s="1"/>
  <c r="BB100" i="16"/>
  <c r="BE100" i="16"/>
  <c r="BP100" i="16" s="1"/>
  <c r="BD100" i="16"/>
  <c r="BJ39" i="16"/>
  <c r="BV39" i="16" s="1"/>
  <c r="BD39" i="16"/>
  <c r="AN43" i="16"/>
  <c r="AV47" i="16"/>
  <c r="BJ60" i="16"/>
  <c r="BV60" i="16" s="1"/>
  <c r="BX60" i="16"/>
  <c r="BY60" i="16" s="1"/>
  <c r="AN61" i="16"/>
  <c r="AM61" i="16"/>
  <c r="BQ61" i="16"/>
  <c r="BR61" i="16" s="1"/>
  <c r="BY62" i="16"/>
  <c r="BB62" i="16"/>
  <c r="BE62" i="16"/>
  <c r="BP62" i="16" s="1"/>
  <c r="BQ66" i="16"/>
  <c r="BR66" i="16" s="1"/>
  <c r="AM66" i="16"/>
  <c r="BL66" i="16" s="1"/>
  <c r="BO66" i="16" s="1"/>
  <c r="BS66" i="16" s="1"/>
  <c r="BT66" i="16" s="1"/>
  <c r="BU66" i="16" s="1"/>
  <c r="AN66" i="16"/>
  <c r="BN68" i="16"/>
  <c r="BW68" i="16" s="1"/>
  <c r="BI68" i="16"/>
  <c r="BM68" i="16"/>
  <c r="AX72" i="16"/>
  <c r="BR76" i="16"/>
  <c r="BQ76" i="16"/>
  <c r="BE81" i="16"/>
  <c r="BP81" i="16" s="1"/>
  <c r="BD81" i="16"/>
  <c r="BC81" i="16"/>
  <c r="BN82" i="16"/>
  <c r="BW82" i="16" s="1"/>
  <c r="BM82" i="16"/>
  <c r="BE86" i="16"/>
  <c r="BP86" i="16" s="1"/>
  <c r="BB86" i="16"/>
  <c r="AX87" i="16"/>
  <c r="BX89" i="16"/>
  <c r="BY89" i="16" s="1"/>
  <c r="BJ89" i="16"/>
  <c r="BV89" i="16" s="1"/>
  <c r="BZ89" i="16" s="1"/>
  <c r="CA89" i="16" s="1"/>
  <c r="BM94" i="16"/>
  <c r="BI94" i="16"/>
  <c r="BK94" i="16" s="1"/>
  <c r="BR40" i="16"/>
  <c r="BQ40" i="16"/>
  <c r="BN44" i="16"/>
  <c r="BW44" i="16" s="1"/>
  <c r="BN48" i="16"/>
  <c r="BW48" i="16" s="1"/>
  <c r="AV49" i="16"/>
  <c r="AW51" i="16"/>
  <c r="BI52" i="16"/>
  <c r="BE58" i="16"/>
  <c r="BP58" i="16" s="1"/>
  <c r="BC59" i="16"/>
  <c r="BD59" i="16"/>
  <c r="BB59" i="16"/>
  <c r="BD61" i="16"/>
  <c r="BC61" i="16"/>
  <c r="BM64" i="16"/>
  <c r="AN67" i="16"/>
  <c r="BQ67" i="16"/>
  <c r="BJ76" i="16"/>
  <c r="BV76" i="16" s="1"/>
  <c r="BZ76" i="16" s="1"/>
  <c r="CA76" i="16" s="1"/>
  <c r="AW80" i="16"/>
  <c r="AX90" i="16"/>
  <c r="BL98" i="16"/>
  <c r="BO98" i="16" s="1"/>
  <c r="BC100" i="16"/>
  <c r="BE21" i="16"/>
  <c r="BP21" i="16" s="1"/>
  <c r="AV35" i="16"/>
  <c r="BR46" i="16"/>
  <c r="BN56" i="16"/>
  <c r="BW56" i="16" s="1"/>
  <c r="BD57" i="16"/>
  <c r="AW72" i="16"/>
  <c r="BX85" i="16"/>
  <c r="BY85" i="16" s="1"/>
  <c r="BJ85" i="16"/>
  <c r="BV85" i="16" s="1"/>
  <c r="BE85" i="16"/>
  <c r="BP85" i="16" s="1"/>
  <c r="AM90" i="16"/>
  <c r="AN90" i="16" s="1"/>
  <c r="BQ90" i="16"/>
  <c r="BR90" i="16" s="1"/>
  <c r="BY92" i="16"/>
  <c r="BI96" i="16"/>
  <c r="BK96" i="16" s="1"/>
  <c r="BN96" i="16"/>
  <c r="BW96" i="16" s="1"/>
  <c r="BM96" i="16"/>
  <c r="BM98" i="16"/>
  <c r="BX99" i="16"/>
  <c r="BY99" i="16" s="1"/>
  <c r="BJ99" i="16"/>
  <c r="BV99" i="16" s="1"/>
  <c r="AX60" i="16"/>
  <c r="BM66" i="16"/>
  <c r="AW67" i="16"/>
  <c r="BY73" i="16"/>
  <c r="BZ73" i="16" s="1"/>
  <c r="CA73" i="16" s="1"/>
  <c r="BC77" i="16"/>
  <c r="BD79" i="16"/>
  <c r="BE79" i="16"/>
  <c r="BP79" i="16" s="1"/>
  <c r="BC79" i="16"/>
  <c r="BI80" i="16"/>
  <c r="BK80" i="16" s="1"/>
  <c r="BL80" i="16" s="1"/>
  <c r="BO80" i="16" s="1"/>
  <c r="BN80" i="16"/>
  <c r="BW80" i="16" s="1"/>
  <c r="BM80" i="16"/>
  <c r="BQ82" i="16"/>
  <c r="BR82" i="16" s="1"/>
  <c r="AN82" i="16"/>
  <c r="BM86" i="16"/>
  <c r="BR97" i="16"/>
  <c r="AX58" i="16"/>
  <c r="AW63" i="16"/>
  <c r="AW78" i="16"/>
  <c r="BQ81" i="16"/>
  <c r="BR81" i="16"/>
  <c r="BS81" i="16" s="1"/>
  <c r="BT81" i="16" s="1"/>
  <c r="BU81" i="16" s="1"/>
  <c r="BY82" i="16"/>
  <c r="AM97" i="16"/>
  <c r="AN97" i="16" s="1"/>
  <c r="BQ101" i="16"/>
  <c r="BR101" i="16" s="1"/>
  <c r="AV41" i="16"/>
  <c r="AV65" i="16"/>
  <c r="BR65" i="16"/>
  <c r="BS65" i="16" s="1"/>
  <c r="BT65" i="16" s="1"/>
  <c r="BU65" i="16" s="1"/>
  <c r="BM73" i="16"/>
  <c r="BN73" i="16"/>
  <c r="BW73" i="16" s="1"/>
  <c r="AV80" i="16"/>
  <c r="BE93" i="16"/>
  <c r="BP93" i="16" s="1"/>
  <c r="AM96" i="16"/>
  <c r="AN96" i="16" s="1"/>
  <c r="BI101" i="16"/>
  <c r="BK101" i="16" s="1"/>
  <c r="BL101" i="16" s="1"/>
  <c r="BO101" i="16" s="1"/>
  <c r="BJ70" i="16"/>
  <c r="BV70" i="16" s="1"/>
  <c r="BY70" i="16"/>
  <c r="BI71" i="16"/>
  <c r="BK71" i="16" s="1"/>
  <c r="BL71" i="16" s="1"/>
  <c r="BO71" i="16" s="1"/>
  <c r="BM78" i="16"/>
  <c r="BJ82" i="16"/>
  <c r="BV82" i="16" s="1"/>
  <c r="BZ82" i="16" s="1"/>
  <c r="CA82" i="16" s="1"/>
  <c r="BI83" i="16"/>
  <c r="BK83" i="16" s="1"/>
  <c r="BL83" i="16" s="1"/>
  <c r="BO83" i="16" s="1"/>
  <c r="BS83" i="16" s="1"/>
  <c r="BT83" i="16" s="1"/>
  <c r="BU83" i="16" s="1"/>
  <c r="BQ87" i="16"/>
  <c r="AN89" i="16"/>
  <c r="BC98" i="16"/>
  <c r="BM97" i="16"/>
  <c r="BN97" i="16"/>
  <c r="BW97" i="16" s="1"/>
  <c r="BJ101" i="16"/>
  <c r="BV101" i="16" s="1"/>
  <c r="BZ101" i="16" s="1"/>
  <c r="CA101" i="16" s="1"/>
  <c r="BJ71" i="16"/>
  <c r="BV71" i="16" s="1"/>
  <c r="BX71" i="16"/>
  <c r="AM73" i="16"/>
  <c r="BL73" i="16" s="1"/>
  <c r="BO73" i="16" s="1"/>
  <c r="BS73" i="16" s="1"/>
  <c r="BT73" i="16" s="1"/>
  <c r="BU73" i="16" s="1"/>
  <c r="AM75" i="16"/>
  <c r="AN75" i="16" s="1"/>
  <c r="BB77" i="16"/>
  <c r="BI78" i="16"/>
  <c r="BK78" i="16" s="1"/>
  <c r="BL78" i="16" s="1"/>
  <c r="BO78" i="16" s="1"/>
  <c r="BC80" i="16"/>
  <c r="AX83" i="16"/>
  <c r="AM87" i="16"/>
  <c r="AN87" i="16" s="1"/>
  <c r="BE87" i="16"/>
  <c r="BP87" i="16" s="1"/>
  <c r="BD87" i="16"/>
  <c r="BB89" i="16"/>
  <c r="BJ94" i="16"/>
  <c r="BV94" i="16" s="1"/>
  <c r="BZ94" i="16" s="1"/>
  <c r="CA94" i="16" s="1"/>
  <c r="BY94" i="16"/>
  <c r="BI95" i="16"/>
  <c r="BB96" i="16"/>
  <c r="BB98" i="16"/>
  <c r="BI72" i="16"/>
  <c r="BK72" i="16" s="1"/>
  <c r="BL72" i="16" s="1"/>
  <c r="BO72" i="16" s="1"/>
  <c r="BQ89" i="16"/>
  <c r="BR89" i="16" s="1"/>
  <c r="BI97" i="16"/>
  <c r="BK97" i="16" s="1"/>
  <c r="BD98" i="16"/>
  <c r="AW77" i="16"/>
  <c r="BC86" i="16"/>
  <c r="AW101" i="16"/>
  <c r="F13" i="15"/>
  <c r="H47" i="15"/>
  <c r="H48" i="15" s="1"/>
  <c r="I47" i="15"/>
  <c r="I48" i="15" s="1"/>
  <c r="J47" i="15"/>
  <c r="J48" i="15" s="1"/>
  <c r="ET57" i="14" l="1"/>
  <c r="EU57" i="14" s="1"/>
  <c r="FZ57" i="14" s="1"/>
  <c r="GA57" i="14" s="1"/>
  <c r="GB57" i="14" s="1"/>
  <c r="ET57" i="20"/>
  <c r="EU57" i="20" s="1"/>
  <c r="FZ57" i="20" s="1"/>
  <c r="GA57" i="20" s="1"/>
  <c r="GB57" i="20" s="1"/>
  <c r="DL57" i="13"/>
  <c r="EJ57" i="13" s="1"/>
  <c r="EK57" i="13" s="1"/>
  <c r="ET58" i="14"/>
  <c r="EU58" i="14" s="1"/>
  <c r="FZ58" i="14" s="1"/>
  <c r="GA58" i="14" s="1"/>
  <c r="GB58" i="14" s="1"/>
  <c r="ET58" i="20"/>
  <c r="EU58" i="20" s="1"/>
  <c r="FZ58" i="20" s="1"/>
  <c r="GA58" i="20" s="1"/>
  <c r="GB58" i="20" s="1"/>
  <c r="DL58" i="13"/>
  <c r="EJ58" i="13" s="1"/>
  <c r="EK58" i="13" s="1"/>
  <c r="ET39" i="14"/>
  <c r="EU39" i="14" s="1"/>
  <c r="FZ39" i="14" s="1"/>
  <c r="GA39" i="14" s="1"/>
  <c r="GB39" i="14" s="1"/>
  <c r="ET39" i="20"/>
  <c r="EU39" i="20" s="1"/>
  <c r="FZ39" i="20" s="1"/>
  <c r="GA39" i="20" s="1"/>
  <c r="GB39" i="20" s="1"/>
  <c r="DL39" i="13"/>
  <c r="EJ39" i="13" s="1"/>
  <c r="EK39" i="13" s="1"/>
  <c r="ET20" i="14"/>
  <c r="EU20" i="14" s="1"/>
  <c r="FZ20" i="14" s="1"/>
  <c r="GA20" i="14" s="1"/>
  <c r="GB20" i="14" s="1"/>
  <c r="ET20" i="20"/>
  <c r="EU20" i="20" s="1"/>
  <c r="FZ20" i="20" s="1"/>
  <c r="GA20" i="20" s="1"/>
  <c r="GB20" i="20" s="1"/>
  <c r="DL20" i="13"/>
  <c r="EJ20" i="13" s="1"/>
  <c r="EK20" i="13" s="1"/>
  <c r="GA42" i="20"/>
  <c r="GB42" i="20" s="1"/>
  <c r="ET6" i="14"/>
  <c r="EU6" i="14" s="1"/>
  <c r="FZ6" i="14" s="1"/>
  <c r="GA6" i="14" s="1"/>
  <c r="GB6" i="14" s="1"/>
  <c r="ET6" i="20"/>
  <c r="EU6" i="20" s="1"/>
  <c r="FZ6" i="20" s="1"/>
  <c r="GA6" i="20" s="1"/>
  <c r="GB6" i="20" s="1"/>
  <c r="DL6" i="13"/>
  <c r="EJ6" i="13" s="1"/>
  <c r="EK6" i="13" s="1"/>
  <c r="ET11" i="20"/>
  <c r="EU11" i="20" s="1"/>
  <c r="FZ11" i="20" s="1"/>
  <c r="GA11" i="20" s="1"/>
  <c r="GB11" i="20" s="1"/>
  <c r="ET11" i="14"/>
  <c r="EU11" i="14" s="1"/>
  <c r="FZ11" i="14" s="1"/>
  <c r="GA11" i="14" s="1"/>
  <c r="GB11" i="14" s="1"/>
  <c r="DL11" i="13"/>
  <c r="EJ11" i="13" s="1"/>
  <c r="EK11" i="13" s="1"/>
  <c r="ET72" i="14"/>
  <c r="EU72" i="14" s="1"/>
  <c r="FZ72" i="14" s="1"/>
  <c r="GA72" i="14" s="1"/>
  <c r="GB72" i="14" s="1"/>
  <c r="ET72" i="20"/>
  <c r="EU72" i="20" s="1"/>
  <c r="FZ72" i="20" s="1"/>
  <c r="DL72" i="13"/>
  <c r="EJ72" i="13" s="1"/>
  <c r="EK72" i="13" s="1"/>
  <c r="ET35" i="20"/>
  <c r="EU35" i="20" s="1"/>
  <c r="FZ35" i="20" s="1"/>
  <c r="GA35" i="20" s="1"/>
  <c r="GB35" i="20" s="1"/>
  <c r="ET35" i="14"/>
  <c r="EU35" i="14" s="1"/>
  <c r="FZ35" i="14" s="1"/>
  <c r="GA35" i="14" s="1"/>
  <c r="GB35" i="14" s="1"/>
  <c r="DL35" i="13"/>
  <c r="EJ35" i="13" s="1"/>
  <c r="EK35" i="13" s="1"/>
  <c r="ET29" i="14"/>
  <c r="EU29" i="14" s="1"/>
  <c r="FZ29" i="14" s="1"/>
  <c r="GA29" i="14" s="1"/>
  <c r="GB29" i="14" s="1"/>
  <c r="ET29" i="20"/>
  <c r="EU29" i="20" s="1"/>
  <c r="FZ29" i="20" s="1"/>
  <c r="GA29" i="20" s="1"/>
  <c r="GB29" i="20" s="1"/>
  <c r="DL29" i="13"/>
  <c r="EJ29" i="13" s="1"/>
  <c r="EK29" i="13" s="1"/>
  <c r="ET97" i="14"/>
  <c r="EU97" i="14" s="1"/>
  <c r="FZ97" i="14" s="1"/>
  <c r="GA97" i="14" s="1"/>
  <c r="GB97" i="14" s="1"/>
  <c r="ET97" i="20"/>
  <c r="EU97" i="20" s="1"/>
  <c r="FZ97" i="20" s="1"/>
  <c r="GA97" i="20" s="1"/>
  <c r="GB97" i="20" s="1"/>
  <c r="DL97" i="13"/>
  <c r="EJ97" i="13" s="1"/>
  <c r="EK97" i="13" s="1"/>
  <c r="ET98" i="20"/>
  <c r="EU98" i="20" s="1"/>
  <c r="FZ98" i="20" s="1"/>
  <c r="GA98" i="20" s="1"/>
  <c r="GB98" i="20" s="1"/>
  <c r="ET98" i="14"/>
  <c r="EU98" i="14" s="1"/>
  <c r="FZ98" i="14" s="1"/>
  <c r="GA98" i="14" s="1"/>
  <c r="GB98" i="14" s="1"/>
  <c r="DL98" i="13"/>
  <c r="EJ98" i="13" s="1"/>
  <c r="EK98" i="13" s="1"/>
  <c r="ET79" i="14"/>
  <c r="EU79" i="14" s="1"/>
  <c r="FZ79" i="14" s="1"/>
  <c r="GA79" i="14" s="1"/>
  <c r="GB79" i="14" s="1"/>
  <c r="ET79" i="20"/>
  <c r="EU79" i="20" s="1"/>
  <c r="FZ79" i="20" s="1"/>
  <c r="GA79" i="20" s="1"/>
  <c r="GB79" i="20" s="1"/>
  <c r="DL79" i="13"/>
  <c r="EJ79" i="13" s="1"/>
  <c r="EK79" i="13" s="1"/>
  <c r="ET60" i="20"/>
  <c r="EU60" i="20" s="1"/>
  <c r="FZ60" i="20" s="1"/>
  <c r="GA60" i="20" s="1"/>
  <c r="GB60" i="20" s="1"/>
  <c r="ET60" i="14"/>
  <c r="EU60" i="14" s="1"/>
  <c r="FZ60" i="14" s="1"/>
  <c r="GA60" i="14" s="1"/>
  <c r="GB60" i="14" s="1"/>
  <c r="DL60" i="13"/>
  <c r="EJ60" i="13" s="1"/>
  <c r="EK60" i="13" s="1"/>
  <c r="ET42" i="20"/>
  <c r="EU42" i="20" s="1"/>
  <c r="FZ42" i="20" s="1"/>
  <c r="ET42" i="14"/>
  <c r="EU42" i="14" s="1"/>
  <c r="FZ42" i="14" s="1"/>
  <c r="GA42" i="14" s="1"/>
  <c r="GB42" i="14" s="1"/>
  <c r="DL42" i="13"/>
  <c r="EJ42" i="13" s="1"/>
  <c r="EK42" i="13" s="1"/>
  <c r="ET23" i="14"/>
  <c r="EU23" i="14" s="1"/>
  <c r="FZ23" i="14" s="1"/>
  <c r="GA23" i="14" s="1"/>
  <c r="GB23" i="14" s="1"/>
  <c r="ET23" i="20"/>
  <c r="EU23" i="20" s="1"/>
  <c r="FZ23" i="20" s="1"/>
  <c r="GA23" i="20" s="1"/>
  <c r="GB23" i="20" s="1"/>
  <c r="DL23" i="13"/>
  <c r="EJ23" i="13" s="1"/>
  <c r="EK23" i="13" s="1"/>
  <c r="ET24" i="14"/>
  <c r="EU24" i="14" s="1"/>
  <c r="FZ24" i="14" s="1"/>
  <c r="GA24" i="14" s="1"/>
  <c r="GB24" i="14" s="1"/>
  <c r="ET24" i="20"/>
  <c r="EU24" i="20" s="1"/>
  <c r="FZ24" i="20" s="1"/>
  <c r="GA24" i="20" s="1"/>
  <c r="GB24" i="20" s="1"/>
  <c r="DL24" i="13"/>
  <c r="EJ24" i="13" s="1"/>
  <c r="EK24" i="13" s="1"/>
  <c r="ET25" i="14"/>
  <c r="EU25" i="14" s="1"/>
  <c r="FZ25" i="14" s="1"/>
  <c r="GA25" i="14" s="1"/>
  <c r="GB25" i="14" s="1"/>
  <c r="ET25" i="20"/>
  <c r="EU25" i="20" s="1"/>
  <c r="FZ25" i="20" s="1"/>
  <c r="GA25" i="20" s="1"/>
  <c r="GB25" i="20" s="1"/>
  <c r="DL25" i="13"/>
  <c r="EJ25" i="13" s="1"/>
  <c r="EK25" i="13" s="1"/>
  <c r="GA27" i="20"/>
  <c r="GB27" i="20" s="1"/>
  <c r="ET8" i="14"/>
  <c r="EU8" i="14" s="1"/>
  <c r="FZ8" i="14" s="1"/>
  <c r="GA8" i="14" s="1"/>
  <c r="GB8" i="14" s="1"/>
  <c r="ET8" i="20"/>
  <c r="EU8" i="20" s="1"/>
  <c r="FZ8" i="20" s="1"/>
  <c r="GA8" i="20" s="1"/>
  <c r="GB8" i="20" s="1"/>
  <c r="DL8" i="13"/>
  <c r="EJ8" i="13" s="1"/>
  <c r="EK8" i="13" s="1"/>
  <c r="ET14" i="20"/>
  <c r="EU14" i="20" s="1"/>
  <c r="FZ14" i="20" s="1"/>
  <c r="GA14" i="20" s="1"/>
  <c r="GB14" i="20" s="1"/>
  <c r="ET14" i="14"/>
  <c r="EU14" i="14" s="1"/>
  <c r="FZ14" i="14" s="1"/>
  <c r="GA14" i="14" s="1"/>
  <c r="GB14" i="14" s="1"/>
  <c r="DL14" i="13"/>
  <c r="EJ14" i="13" s="1"/>
  <c r="EK14" i="13" s="1"/>
  <c r="ET61" i="20"/>
  <c r="EU61" i="20" s="1"/>
  <c r="FZ61" i="20" s="1"/>
  <c r="GA61" i="20" s="1"/>
  <c r="GB61" i="20" s="1"/>
  <c r="ET61" i="14"/>
  <c r="EU61" i="14" s="1"/>
  <c r="FZ61" i="14" s="1"/>
  <c r="GA61" i="14" s="1"/>
  <c r="GB61" i="14" s="1"/>
  <c r="DL61" i="13"/>
  <c r="EJ61" i="13" s="1"/>
  <c r="EK61" i="13" s="1"/>
  <c r="ET27" i="20"/>
  <c r="EU27" i="20" s="1"/>
  <c r="FZ27" i="20" s="1"/>
  <c r="ET27" i="14"/>
  <c r="EU27" i="14" s="1"/>
  <c r="FZ27" i="14" s="1"/>
  <c r="GA27" i="14" s="1"/>
  <c r="GB27" i="14" s="1"/>
  <c r="DL27" i="13"/>
  <c r="EJ27" i="13" s="1"/>
  <c r="EK27" i="13" s="1"/>
  <c r="ET92" i="14"/>
  <c r="EU92" i="14" s="1"/>
  <c r="FZ92" i="14" s="1"/>
  <c r="GA92" i="14" s="1"/>
  <c r="GB92" i="14" s="1"/>
  <c r="ET92" i="20"/>
  <c r="EU92" i="20" s="1"/>
  <c r="FZ92" i="20" s="1"/>
  <c r="GA92" i="20" s="1"/>
  <c r="GB92" i="20" s="1"/>
  <c r="DL92" i="13"/>
  <c r="EJ92" i="13" s="1"/>
  <c r="EK92" i="13" s="1"/>
  <c r="ET26" i="14"/>
  <c r="EU26" i="14" s="1"/>
  <c r="FZ26" i="14" s="1"/>
  <c r="GA26" i="14" s="1"/>
  <c r="GB26" i="14" s="1"/>
  <c r="ET26" i="20"/>
  <c r="EU26" i="20" s="1"/>
  <c r="FZ26" i="20" s="1"/>
  <c r="GA26" i="20" s="1"/>
  <c r="GB26" i="20" s="1"/>
  <c r="DL26" i="13"/>
  <c r="EJ26" i="13" s="1"/>
  <c r="EK26" i="13" s="1"/>
  <c r="ET31" i="20"/>
  <c r="EU31" i="20" s="1"/>
  <c r="FZ31" i="20" s="1"/>
  <c r="GA31" i="20" s="1"/>
  <c r="GB31" i="20" s="1"/>
  <c r="ET31" i="14"/>
  <c r="EU31" i="14" s="1"/>
  <c r="FZ31" i="14" s="1"/>
  <c r="GA31" i="14" s="1"/>
  <c r="GB31" i="14" s="1"/>
  <c r="DL31" i="13"/>
  <c r="EJ31" i="13" s="1"/>
  <c r="EK31" i="13" s="1"/>
  <c r="ET55" i="20"/>
  <c r="EU55" i="20" s="1"/>
  <c r="FZ55" i="20" s="1"/>
  <c r="GA55" i="20" s="1"/>
  <c r="GB55" i="20" s="1"/>
  <c r="ET55" i="14"/>
  <c r="EU55" i="14" s="1"/>
  <c r="FZ55" i="14" s="1"/>
  <c r="GA55" i="14" s="1"/>
  <c r="GB55" i="14" s="1"/>
  <c r="DL55" i="13"/>
  <c r="EJ55" i="13" s="1"/>
  <c r="EK55" i="13" s="1"/>
  <c r="ET49" i="20"/>
  <c r="EU49" i="20" s="1"/>
  <c r="FZ49" i="20" s="1"/>
  <c r="GA49" i="20" s="1"/>
  <c r="GB49" i="20" s="1"/>
  <c r="ET49" i="14"/>
  <c r="EU49" i="14" s="1"/>
  <c r="FZ49" i="14" s="1"/>
  <c r="GA49" i="14" s="1"/>
  <c r="GB49" i="14" s="1"/>
  <c r="DL49" i="13"/>
  <c r="EJ49" i="13" s="1"/>
  <c r="EK49" i="13" s="1"/>
  <c r="ET99" i="14"/>
  <c r="EU99" i="14" s="1"/>
  <c r="FZ99" i="14" s="1"/>
  <c r="GA99" i="14" s="1"/>
  <c r="GB99" i="14" s="1"/>
  <c r="ET99" i="20"/>
  <c r="EU99" i="20" s="1"/>
  <c r="FZ99" i="20" s="1"/>
  <c r="GA99" i="20" s="1"/>
  <c r="GB99" i="20" s="1"/>
  <c r="DL99" i="13"/>
  <c r="EJ99" i="13" s="1"/>
  <c r="EK99" i="13" s="1"/>
  <c r="ET80" i="20"/>
  <c r="EU80" i="20" s="1"/>
  <c r="FZ80" i="20" s="1"/>
  <c r="GA80" i="20" s="1"/>
  <c r="GB80" i="20" s="1"/>
  <c r="ET80" i="14"/>
  <c r="EU80" i="14" s="1"/>
  <c r="FZ80" i="14" s="1"/>
  <c r="GA80" i="14" s="1"/>
  <c r="GB80" i="14" s="1"/>
  <c r="DL80" i="13"/>
  <c r="EJ80" i="13" s="1"/>
  <c r="EK80" i="13" s="1"/>
  <c r="ET43" i="20"/>
  <c r="EU43" i="20" s="1"/>
  <c r="FZ43" i="20" s="1"/>
  <c r="GA43" i="20" s="1"/>
  <c r="GB43" i="20" s="1"/>
  <c r="ET43" i="14"/>
  <c r="EU43" i="14" s="1"/>
  <c r="FZ43" i="14" s="1"/>
  <c r="GA43" i="14" s="1"/>
  <c r="GB43" i="14" s="1"/>
  <c r="DL43" i="13"/>
  <c r="EJ43" i="13" s="1"/>
  <c r="EK43" i="13" s="1"/>
  <c r="ET44" i="14"/>
  <c r="EU44" i="14" s="1"/>
  <c r="FZ44" i="14" s="1"/>
  <c r="GA44" i="14" s="1"/>
  <c r="GB44" i="14" s="1"/>
  <c r="ET44" i="20"/>
  <c r="EU44" i="20" s="1"/>
  <c r="FZ44" i="20" s="1"/>
  <c r="GA44" i="20" s="1"/>
  <c r="GB44" i="20" s="1"/>
  <c r="DL44" i="13"/>
  <c r="EJ44" i="13" s="1"/>
  <c r="EK44" i="13" s="1"/>
  <c r="ET45" i="14"/>
  <c r="EU45" i="14" s="1"/>
  <c r="FZ45" i="14" s="1"/>
  <c r="GA45" i="14" s="1"/>
  <c r="GB45" i="14" s="1"/>
  <c r="ET45" i="20"/>
  <c r="EU45" i="20" s="1"/>
  <c r="FZ45" i="20" s="1"/>
  <c r="GA45" i="20" s="1"/>
  <c r="GB45" i="20" s="1"/>
  <c r="DL45" i="13"/>
  <c r="EJ45" i="13" s="1"/>
  <c r="EK45" i="13" s="1"/>
  <c r="ET28" i="14"/>
  <c r="EU28" i="14" s="1"/>
  <c r="FZ28" i="14" s="1"/>
  <c r="GA28" i="14" s="1"/>
  <c r="GB28" i="14" s="1"/>
  <c r="ET28" i="20"/>
  <c r="EU28" i="20" s="1"/>
  <c r="FZ28" i="20" s="1"/>
  <c r="GA28" i="20" s="1"/>
  <c r="GB28" i="20" s="1"/>
  <c r="DL28" i="13"/>
  <c r="EJ28" i="13" s="1"/>
  <c r="EK28" i="13" s="1"/>
  <c r="ET62" i="20"/>
  <c r="EU62" i="20" s="1"/>
  <c r="FZ62" i="20" s="1"/>
  <c r="GA62" i="20" s="1"/>
  <c r="GB62" i="20" s="1"/>
  <c r="ET62" i="14"/>
  <c r="EU62" i="14" s="1"/>
  <c r="FZ62" i="14" s="1"/>
  <c r="GA62" i="14" s="1"/>
  <c r="GB62" i="14" s="1"/>
  <c r="DL62" i="13"/>
  <c r="EJ62" i="13" s="1"/>
  <c r="EK62" i="13" s="1"/>
  <c r="ET81" i="20"/>
  <c r="EU81" i="20" s="1"/>
  <c r="FZ81" i="20" s="1"/>
  <c r="GA81" i="20" s="1"/>
  <c r="GB81" i="20" s="1"/>
  <c r="ET81" i="14"/>
  <c r="EU81" i="14" s="1"/>
  <c r="FZ81" i="14" s="1"/>
  <c r="GA81" i="14" s="1"/>
  <c r="GB81" i="14" s="1"/>
  <c r="DL81" i="13"/>
  <c r="EJ81" i="13" s="1"/>
  <c r="EK81" i="13" s="1"/>
  <c r="ET47" i="14"/>
  <c r="EU47" i="14" s="1"/>
  <c r="FZ47" i="14" s="1"/>
  <c r="GA47" i="14" s="1"/>
  <c r="GB47" i="14" s="1"/>
  <c r="ET47" i="20"/>
  <c r="EU47" i="20" s="1"/>
  <c r="FZ47" i="20" s="1"/>
  <c r="GA47" i="20" s="1"/>
  <c r="GB47" i="20" s="1"/>
  <c r="DL47" i="13"/>
  <c r="EJ47" i="13" s="1"/>
  <c r="EK47" i="13" s="1"/>
  <c r="ET71" i="14"/>
  <c r="EU71" i="14" s="1"/>
  <c r="FZ71" i="14" s="1"/>
  <c r="GA71" i="14" s="1"/>
  <c r="GB71" i="14" s="1"/>
  <c r="ET71" i="20"/>
  <c r="EU71" i="20" s="1"/>
  <c r="FZ71" i="20" s="1"/>
  <c r="GA71" i="20" s="1"/>
  <c r="GB71" i="20" s="1"/>
  <c r="DL71" i="13"/>
  <c r="EJ71" i="13" s="1"/>
  <c r="EK71" i="13" s="1"/>
  <c r="ET34" i="20"/>
  <c r="EU34" i="20" s="1"/>
  <c r="FZ34" i="20" s="1"/>
  <c r="GA34" i="20" s="1"/>
  <c r="GB34" i="20" s="1"/>
  <c r="ET34" i="14"/>
  <c r="EU34" i="14" s="1"/>
  <c r="FZ34" i="14" s="1"/>
  <c r="GA34" i="14" s="1"/>
  <c r="GB34" i="14" s="1"/>
  <c r="DL34" i="13"/>
  <c r="EJ34" i="13" s="1"/>
  <c r="EK34" i="13" s="1"/>
  <c r="ET69" i="20"/>
  <c r="EU69" i="20" s="1"/>
  <c r="FZ69" i="20" s="1"/>
  <c r="GA69" i="20" s="1"/>
  <c r="GB69" i="20" s="1"/>
  <c r="ET69" i="14"/>
  <c r="EU69" i="14" s="1"/>
  <c r="FZ69" i="14" s="1"/>
  <c r="GA69" i="14" s="1"/>
  <c r="GB69" i="14" s="1"/>
  <c r="DL69" i="13"/>
  <c r="EJ69" i="13" s="1"/>
  <c r="EK69" i="13" s="1"/>
  <c r="ET46" i="14"/>
  <c r="EU46" i="14" s="1"/>
  <c r="FZ46" i="14" s="1"/>
  <c r="GA46" i="14" s="1"/>
  <c r="GB46" i="14" s="1"/>
  <c r="ET46" i="20"/>
  <c r="EU46" i="20" s="1"/>
  <c r="FZ46" i="20" s="1"/>
  <c r="GA46" i="20" s="1"/>
  <c r="GB46" i="20" s="1"/>
  <c r="DL46" i="13"/>
  <c r="EJ46" i="13" s="1"/>
  <c r="EK46" i="13" s="1"/>
  <c r="ET13" i="14"/>
  <c r="EU13" i="14" s="1"/>
  <c r="FZ13" i="14" s="1"/>
  <c r="GA13" i="14" s="1"/>
  <c r="GB13" i="14" s="1"/>
  <c r="ET13" i="20"/>
  <c r="EU13" i="20" s="1"/>
  <c r="FZ13" i="20" s="1"/>
  <c r="GA13" i="20" s="1"/>
  <c r="GB13" i="20" s="1"/>
  <c r="DL13" i="13"/>
  <c r="EJ13" i="13" s="1"/>
  <c r="EK13" i="13" s="1"/>
  <c r="ET75" i="20"/>
  <c r="EU75" i="20" s="1"/>
  <c r="FZ75" i="20" s="1"/>
  <c r="GA75" i="20" s="1"/>
  <c r="GB75" i="20" s="1"/>
  <c r="ET75" i="14"/>
  <c r="EU75" i="14" s="1"/>
  <c r="FZ75" i="14" s="1"/>
  <c r="GA75" i="14" s="1"/>
  <c r="GB75" i="14" s="1"/>
  <c r="DL75" i="13"/>
  <c r="EJ75" i="13" s="1"/>
  <c r="EK75" i="13" s="1"/>
  <c r="ET51" i="14"/>
  <c r="EU51" i="14" s="1"/>
  <c r="FZ51" i="14" s="1"/>
  <c r="GA51" i="14" s="1"/>
  <c r="GB51" i="14" s="1"/>
  <c r="ET51" i="20"/>
  <c r="EU51" i="20" s="1"/>
  <c r="FZ51" i="20" s="1"/>
  <c r="GA51" i="20" s="1"/>
  <c r="GB51" i="20" s="1"/>
  <c r="DL51" i="13"/>
  <c r="EJ51" i="13" s="1"/>
  <c r="EK51" i="13" s="1"/>
  <c r="ET63" i="20"/>
  <c r="EU63" i="20" s="1"/>
  <c r="FZ63" i="20" s="1"/>
  <c r="GA63" i="20" s="1"/>
  <c r="GB63" i="20" s="1"/>
  <c r="ET63" i="14"/>
  <c r="EU63" i="14" s="1"/>
  <c r="FZ63" i="14" s="1"/>
  <c r="GA63" i="14" s="1"/>
  <c r="GB63" i="14" s="1"/>
  <c r="DL63" i="13"/>
  <c r="EJ63" i="13" s="1"/>
  <c r="EK63" i="13" s="1"/>
  <c r="ET64" i="14"/>
  <c r="EU64" i="14" s="1"/>
  <c r="FZ64" i="14" s="1"/>
  <c r="GA64" i="14" s="1"/>
  <c r="GB64" i="14" s="1"/>
  <c r="ET64" i="20"/>
  <c r="EU64" i="20" s="1"/>
  <c r="FZ64" i="20" s="1"/>
  <c r="GA64" i="20" s="1"/>
  <c r="GB64" i="20" s="1"/>
  <c r="DL64" i="13"/>
  <c r="EJ64" i="13" s="1"/>
  <c r="EK64" i="13" s="1"/>
  <c r="ET65" i="14"/>
  <c r="EU65" i="14" s="1"/>
  <c r="FZ65" i="14" s="1"/>
  <c r="GA65" i="14" s="1"/>
  <c r="GB65" i="14" s="1"/>
  <c r="ET65" i="20"/>
  <c r="EU65" i="20" s="1"/>
  <c r="FZ65" i="20" s="1"/>
  <c r="GA65" i="20" s="1"/>
  <c r="GB65" i="20" s="1"/>
  <c r="DL65" i="13"/>
  <c r="EJ65" i="13" s="1"/>
  <c r="EK65" i="13" s="1"/>
  <c r="ET67" i="20"/>
  <c r="EU67" i="20" s="1"/>
  <c r="FZ67" i="20" s="1"/>
  <c r="GA67" i="20" s="1"/>
  <c r="GB67" i="20" s="1"/>
  <c r="ET67" i="14"/>
  <c r="EU67" i="14" s="1"/>
  <c r="FZ67" i="14" s="1"/>
  <c r="GA67" i="14" s="1"/>
  <c r="GB67" i="14" s="1"/>
  <c r="DL67" i="13"/>
  <c r="EJ67" i="13" s="1"/>
  <c r="EK67" i="13" s="1"/>
  <c r="ET48" i="20"/>
  <c r="EU48" i="20" s="1"/>
  <c r="FZ48" i="20" s="1"/>
  <c r="GA48" i="20" s="1"/>
  <c r="GB48" i="20" s="1"/>
  <c r="ET48" i="14"/>
  <c r="EU48" i="14" s="1"/>
  <c r="FZ48" i="14" s="1"/>
  <c r="GA48" i="14" s="1"/>
  <c r="GB48" i="14" s="1"/>
  <c r="DL48" i="13"/>
  <c r="EJ48" i="13" s="1"/>
  <c r="EK48" i="13" s="1"/>
  <c r="ET82" i="20"/>
  <c r="EU82" i="20" s="1"/>
  <c r="FZ82" i="20" s="1"/>
  <c r="GA82" i="20" s="1"/>
  <c r="GB82" i="20" s="1"/>
  <c r="ET82" i="14"/>
  <c r="EU82" i="14" s="1"/>
  <c r="FZ82" i="14" s="1"/>
  <c r="GA82" i="14" s="1"/>
  <c r="GB82" i="14" s="1"/>
  <c r="DL82" i="13"/>
  <c r="EJ82" i="13" s="1"/>
  <c r="EK82" i="13" s="1"/>
  <c r="EK2" i="13"/>
  <c r="ET100" i="20"/>
  <c r="EU100" i="20" s="1"/>
  <c r="FZ100" i="20" s="1"/>
  <c r="GA100" i="20" s="1"/>
  <c r="GB100" i="20" s="1"/>
  <c r="ET100" i="14"/>
  <c r="EU100" i="14" s="1"/>
  <c r="FZ100" i="14" s="1"/>
  <c r="GA100" i="14" s="1"/>
  <c r="GB100" i="14" s="1"/>
  <c r="DL100" i="13"/>
  <c r="EJ100" i="13" s="1"/>
  <c r="EK100" i="13" s="1"/>
  <c r="ET101" i="14"/>
  <c r="EU101" i="14" s="1"/>
  <c r="FZ101" i="14" s="1"/>
  <c r="GA101" i="14" s="1"/>
  <c r="GB101" i="14" s="1"/>
  <c r="ET101" i="20"/>
  <c r="EU101" i="20" s="1"/>
  <c r="FZ101" i="20" s="1"/>
  <c r="GA101" i="20" s="1"/>
  <c r="GB101" i="20" s="1"/>
  <c r="DL101" i="13"/>
  <c r="EJ101" i="13" s="1"/>
  <c r="EK101" i="13" s="1"/>
  <c r="ET33" i="20"/>
  <c r="EU33" i="20" s="1"/>
  <c r="FZ33" i="20" s="1"/>
  <c r="GA33" i="20" s="1"/>
  <c r="GB33" i="20" s="1"/>
  <c r="ET33" i="14"/>
  <c r="EU33" i="14" s="1"/>
  <c r="FZ33" i="14" s="1"/>
  <c r="GA33" i="14" s="1"/>
  <c r="GB33" i="14" s="1"/>
  <c r="DL33" i="13"/>
  <c r="EJ33" i="13" s="1"/>
  <c r="EK33" i="13" s="1"/>
  <c r="ET54" i="14"/>
  <c r="EU54" i="14" s="1"/>
  <c r="FZ54" i="14" s="1"/>
  <c r="GA54" i="14" s="1"/>
  <c r="GB54" i="14" s="1"/>
  <c r="ET54" i="20"/>
  <c r="EU54" i="20" s="1"/>
  <c r="FZ54" i="20" s="1"/>
  <c r="GA54" i="20" s="1"/>
  <c r="GB54" i="20" s="1"/>
  <c r="DL54" i="13"/>
  <c r="EJ54" i="13" s="1"/>
  <c r="EK54" i="13" s="1"/>
  <c r="ET89" i="20"/>
  <c r="EU89" i="20" s="1"/>
  <c r="FZ89" i="20" s="1"/>
  <c r="GA89" i="20" s="1"/>
  <c r="GB89" i="20" s="1"/>
  <c r="ET89" i="14"/>
  <c r="EU89" i="14" s="1"/>
  <c r="FZ89" i="14" s="1"/>
  <c r="GA89" i="14" s="1"/>
  <c r="GB89" i="14" s="1"/>
  <c r="DL89" i="13"/>
  <c r="EJ89" i="13" s="1"/>
  <c r="EK89" i="13" s="1"/>
  <c r="ET66" i="14"/>
  <c r="EU66" i="14" s="1"/>
  <c r="FZ66" i="14" s="1"/>
  <c r="GA66" i="14" s="1"/>
  <c r="GB66" i="14" s="1"/>
  <c r="ET66" i="20"/>
  <c r="EU66" i="20" s="1"/>
  <c r="FZ66" i="20" s="1"/>
  <c r="GA66" i="20" s="1"/>
  <c r="GB66" i="20" s="1"/>
  <c r="DL66" i="13"/>
  <c r="EJ66" i="13" s="1"/>
  <c r="EK66" i="13" s="1"/>
  <c r="ET91" i="14"/>
  <c r="EU91" i="14" s="1"/>
  <c r="FZ91" i="14" s="1"/>
  <c r="GA91" i="14" s="1"/>
  <c r="GB91" i="14" s="1"/>
  <c r="ET91" i="20"/>
  <c r="EU91" i="20" s="1"/>
  <c r="FZ91" i="20" s="1"/>
  <c r="GA91" i="20" s="1"/>
  <c r="GB91" i="20" s="1"/>
  <c r="DL91" i="13"/>
  <c r="EJ91" i="13" s="1"/>
  <c r="EK91" i="13" s="1"/>
  <c r="ET95" i="14"/>
  <c r="EU95" i="14" s="1"/>
  <c r="FZ95" i="14" s="1"/>
  <c r="GA95" i="14" s="1"/>
  <c r="GB95" i="14" s="1"/>
  <c r="ET95" i="20"/>
  <c r="EU95" i="20" s="1"/>
  <c r="FZ95" i="20" s="1"/>
  <c r="GA95" i="20" s="1"/>
  <c r="GB95" i="20" s="1"/>
  <c r="DL95" i="13"/>
  <c r="EJ95" i="13" s="1"/>
  <c r="EK95" i="13" s="1"/>
  <c r="ET18" i="14"/>
  <c r="EU18" i="14" s="1"/>
  <c r="FZ18" i="14" s="1"/>
  <c r="GA18" i="14" s="1"/>
  <c r="GB18" i="14" s="1"/>
  <c r="ET18" i="20"/>
  <c r="EU18" i="20" s="1"/>
  <c r="FZ18" i="20" s="1"/>
  <c r="GA18" i="20" s="1"/>
  <c r="GB18" i="20" s="1"/>
  <c r="DL18" i="13"/>
  <c r="EJ18" i="13" s="1"/>
  <c r="EK18" i="13" s="1"/>
  <c r="ET16" i="20"/>
  <c r="EU16" i="20" s="1"/>
  <c r="FZ16" i="20" s="1"/>
  <c r="GA16" i="20" s="1"/>
  <c r="GB16" i="20" s="1"/>
  <c r="ET16" i="14"/>
  <c r="EU16" i="14" s="1"/>
  <c r="FZ16" i="14" s="1"/>
  <c r="GA16" i="14" s="1"/>
  <c r="GB16" i="14" s="1"/>
  <c r="DL16" i="13"/>
  <c r="EJ16" i="13" s="1"/>
  <c r="EK16" i="13" s="1"/>
  <c r="ET17" i="20"/>
  <c r="EU17" i="20" s="1"/>
  <c r="FZ17" i="20" s="1"/>
  <c r="GA17" i="20" s="1"/>
  <c r="GB17" i="20" s="1"/>
  <c r="ET17" i="14"/>
  <c r="EU17" i="14" s="1"/>
  <c r="FZ17" i="14" s="1"/>
  <c r="GA17" i="14" s="1"/>
  <c r="GB17" i="14" s="1"/>
  <c r="DL17" i="13"/>
  <c r="EJ17" i="13" s="1"/>
  <c r="EK17" i="13" s="1"/>
  <c r="ET2" i="20"/>
  <c r="EU2" i="20" s="1"/>
  <c r="FZ2" i="20" s="1"/>
  <c r="GA2" i="20" s="1"/>
  <c r="GB2" i="20" s="1"/>
  <c r="ET2" i="14"/>
  <c r="EU2" i="14" s="1"/>
  <c r="FZ2" i="14" s="1"/>
  <c r="GA2" i="14" s="1"/>
  <c r="DL2" i="13"/>
  <c r="EJ2" i="13" s="1"/>
  <c r="ET83" i="20"/>
  <c r="EU83" i="20" s="1"/>
  <c r="FZ83" i="20" s="1"/>
  <c r="GA83" i="20" s="1"/>
  <c r="GB83" i="20" s="1"/>
  <c r="ET83" i="14"/>
  <c r="EU83" i="14" s="1"/>
  <c r="FZ83" i="14" s="1"/>
  <c r="GA83" i="14" s="1"/>
  <c r="GB83" i="14" s="1"/>
  <c r="DL83" i="13"/>
  <c r="EJ83" i="13" s="1"/>
  <c r="EK83" i="13" s="1"/>
  <c r="ET84" i="14"/>
  <c r="EU84" i="14" s="1"/>
  <c r="FZ84" i="14" s="1"/>
  <c r="GA84" i="14" s="1"/>
  <c r="GB84" i="14" s="1"/>
  <c r="ET84" i="20"/>
  <c r="EU84" i="20" s="1"/>
  <c r="FZ84" i="20" s="1"/>
  <c r="GA84" i="20" s="1"/>
  <c r="GB84" i="20" s="1"/>
  <c r="DL84" i="13"/>
  <c r="EJ84" i="13" s="1"/>
  <c r="EK84" i="13" s="1"/>
  <c r="ET85" i="14"/>
  <c r="EU85" i="14" s="1"/>
  <c r="FZ85" i="14" s="1"/>
  <c r="GA85" i="14" s="1"/>
  <c r="GB85" i="14" s="1"/>
  <c r="ET85" i="20"/>
  <c r="EU85" i="20" s="1"/>
  <c r="FZ85" i="20" s="1"/>
  <c r="GA85" i="20" s="1"/>
  <c r="GB85" i="20" s="1"/>
  <c r="DL85" i="13"/>
  <c r="EJ85" i="13" s="1"/>
  <c r="EK85" i="13" s="1"/>
  <c r="ET68" i="14"/>
  <c r="EU68" i="14" s="1"/>
  <c r="FZ68" i="14" s="1"/>
  <c r="GA68" i="14" s="1"/>
  <c r="GB68" i="14" s="1"/>
  <c r="ET68" i="20"/>
  <c r="EU68" i="20" s="1"/>
  <c r="FZ68" i="20" s="1"/>
  <c r="GA68" i="20" s="1"/>
  <c r="GB68" i="20" s="1"/>
  <c r="DL68" i="13"/>
  <c r="EJ68" i="13" s="1"/>
  <c r="EK68" i="13" s="1"/>
  <c r="ET12" i="14"/>
  <c r="EU12" i="14" s="1"/>
  <c r="FZ12" i="14" s="1"/>
  <c r="GA12" i="14" s="1"/>
  <c r="GB12" i="14" s="1"/>
  <c r="ET12" i="20"/>
  <c r="EU12" i="20" s="1"/>
  <c r="FZ12" i="20" s="1"/>
  <c r="GA12" i="20" s="1"/>
  <c r="GB12" i="20" s="1"/>
  <c r="DL12" i="13"/>
  <c r="EJ12" i="13" s="1"/>
  <c r="EK12" i="13" s="1"/>
  <c r="ET74" i="20"/>
  <c r="EU74" i="20" s="1"/>
  <c r="FZ74" i="20" s="1"/>
  <c r="GA74" i="20" s="1"/>
  <c r="GB74" i="20" s="1"/>
  <c r="ET74" i="14"/>
  <c r="EU74" i="14" s="1"/>
  <c r="FZ74" i="14" s="1"/>
  <c r="GA74" i="14" s="1"/>
  <c r="GB74" i="14" s="1"/>
  <c r="DL74" i="13"/>
  <c r="EJ74" i="13" s="1"/>
  <c r="EK74" i="13" s="1"/>
  <c r="ET87" i="14"/>
  <c r="EU87" i="14" s="1"/>
  <c r="FZ87" i="14" s="1"/>
  <c r="GA87" i="14" s="1"/>
  <c r="GB87" i="14" s="1"/>
  <c r="ET87" i="20"/>
  <c r="EU87" i="20" s="1"/>
  <c r="FZ87" i="20" s="1"/>
  <c r="GA87" i="20" s="1"/>
  <c r="GB87" i="20" s="1"/>
  <c r="DL87" i="13"/>
  <c r="EJ87" i="13" s="1"/>
  <c r="EK87" i="13" s="1"/>
  <c r="ET53" i="14"/>
  <c r="EU53" i="14" s="1"/>
  <c r="FZ53" i="14" s="1"/>
  <c r="GA53" i="14" s="1"/>
  <c r="GB53" i="14" s="1"/>
  <c r="ET53" i="20"/>
  <c r="EU53" i="20" s="1"/>
  <c r="FZ53" i="20" s="1"/>
  <c r="GA53" i="20" s="1"/>
  <c r="GB53" i="20" s="1"/>
  <c r="DL53" i="13"/>
  <c r="EJ53" i="13" s="1"/>
  <c r="EK53" i="13" s="1"/>
  <c r="ET37" i="14"/>
  <c r="EU37" i="14" s="1"/>
  <c r="FZ37" i="14" s="1"/>
  <c r="GA37" i="14" s="1"/>
  <c r="GB37" i="14" s="1"/>
  <c r="ET37" i="20"/>
  <c r="EU37" i="20" s="1"/>
  <c r="FZ37" i="20" s="1"/>
  <c r="GA37" i="20" s="1"/>
  <c r="GB37" i="20" s="1"/>
  <c r="DL37" i="13"/>
  <c r="EJ37" i="13" s="1"/>
  <c r="EK37" i="13" s="1"/>
  <c r="ET86" i="20"/>
  <c r="EU86" i="20" s="1"/>
  <c r="FZ86" i="20" s="1"/>
  <c r="GA86" i="20" s="1"/>
  <c r="GB86" i="20" s="1"/>
  <c r="ET86" i="14"/>
  <c r="EU86" i="14" s="1"/>
  <c r="FZ86" i="14" s="1"/>
  <c r="GA86" i="14" s="1"/>
  <c r="GB86" i="14" s="1"/>
  <c r="DL86" i="13"/>
  <c r="EJ86" i="13" s="1"/>
  <c r="EK86" i="13" s="1"/>
  <c r="ET38" i="20"/>
  <c r="EU38" i="20" s="1"/>
  <c r="FZ38" i="20" s="1"/>
  <c r="GA38" i="20" s="1"/>
  <c r="GB38" i="20" s="1"/>
  <c r="ET38" i="14"/>
  <c r="EU38" i="14" s="1"/>
  <c r="FZ38" i="14" s="1"/>
  <c r="GA38" i="14" s="1"/>
  <c r="GB38" i="14" s="1"/>
  <c r="DL38" i="13"/>
  <c r="EJ38" i="13" s="1"/>
  <c r="EK38" i="13" s="1"/>
  <c r="ET19" i="20"/>
  <c r="EU19" i="20" s="1"/>
  <c r="FZ19" i="20" s="1"/>
  <c r="GA19" i="20" s="1"/>
  <c r="GB19" i="20" s="1"/>
  <c r="ET19" i="14"/>
  <c r="EU19" i="14" s="1"/>
  <c r="FZ19" i="14" s="1"/>
  <c r="GA19" i="14" s="1"/>
  <c r="GB19" i="14" s="1"/>
  <c r="DL19" i="13"/>
  <c r="EJ19" i="13" s="1"/>
  <c r="EK19" i="13" s="1"/>
  <c r="ET88" i="14"/>
  <c r="EU88" i="14" s="1"/>
  <c r="FZ88" i="14" s="1"/>
  <c r="GA88" i="14" s="1"/>
  <c r="GB88" i="14" s="1"/>
  <c r="ET88" i="20"/>
  <c r="EU88" i="20" s="1"/>
  <c r="FZ88" i="20" s="1"/>
  <c r="GA88" i="20" s="1"/>
  <c r="GB88" i="20" s="1"/>
  <c r="DL88" i="13"/>
  <c r="EJ88" i="13" s="1"/>
  <c r="EK88" i="13" s="1"/>
  <c r="ET94" i="20"/>
  <c r="EU94" i="20" s="1"/>
  <c r="FZ94" i="20" s="1"/>
  <c r="GA94" i="20" s="1"/>
  <c r="GB94" i="20" s="1"/>
  <c r="ET94" i="14"/>
  <c r="EU94" i="14" s="1"/>
  <c r="FZ94" i="14" s="1"/>
  <c r="GA94" i="14" s="1"/>
  <c r="GB94" i="14" s="1"/>
  <c r="DL94" i="13"/>
  <c r="EJ94" i="13" s="1"/>
  <c r="EK94" i="13" s="1"/>
  <c r="ET10" i="20"/>
  <c r="EU10" i="20" s="1"/>
  <c r="FZ10" i="20" s="1"/>
  <c r="GA10" i="20" s="1"/>
  <c r="GB10" i="20" s="1"/>
  <c r="ET10" i="14"/>
  <c r="EU10" i="14" s="1"/>
  <c r="FZ10" i="14" s="1"/>
  <c r="GA10" i="14" s="1"/>
  <c r="GB10" i="14" s="1"/>
  <c r="DL10" i="13"/>
  <c r="EJ10" i="13" s="1"/>
  <c r="EK10" i="13" s="1"/>
  <c r="ET96" i="20"/>
  <c r="EU96" i="20" s="1"/>
  <c r="FZ96" i="20" s="1"/>
  <c r="GA96" i="20" s="1"/>
  <c r="GB96" i="20" s="1"/>
  <c r="ET96" i="14"/>
  <c r="EU96" i="14" s="1"/>
  <c r="FZ96" i="14" s="1"/>
  <c r="GA96" i="14" s="1"/>
  <c r="GB96" i="14" s="1"/>
  <c r="DL96" i="13"/>
  <c r="EJ96" i="13" s="1"/>
  <c r="EK96" i="13" s="1"/>
  <c r="ET50" i="20"/>
  <c r="EU50" i="20" s="1"/>
  <c r="FZ50" i="20" s="1"/>
  <c r="GA50" i="20" s="1"/>
  <c r="GB50" i="20" s="1"/>
  <c r="ET50" i="14"/>
  <c r="EU50" i="14" s="1"/>
  <c r="FZ50" i="14" s="1"/>
  <c r="GA50" i="14" s="1"/>
  <c r="GB50" i="14" s="1"/>
  <c r="DL50" i="13"/>
  <c r="EJ50" i="13" s="1"/>
  <c r="EK50" i="13" s="1"/>
  <c r="ET36" i="14"/>
  <c r="EU36" i="14" s="1"/>
  <c r="FZ36" i="14" s="1"/>
  <c r="GA36" i="14" s="1"/>
  <c r="GB36" i="14" s="1"/>
  <c r="ET36" i="20"/>
  <c r="EU36" i="20" s="1"/>
  <c r="FZ36" i="20" s="1"/>
  <c r="GA36" i="20" s="1"/>
  <c r="DL36" i="13"/>
  <c r="EJ36" i="13" s="1"/>
  <c r="EK36" i="13" s="1"/>
  <c r="ET32" i="14"/>
  <c r="EU32" i="14" s="1"/>
  <c r="FZ32" i="14" s="1"/>
  <c r="GA32" i="14" s="1"/>
  <c r="GB32" i="14" s="1"/>
  <c r="ET32" i="20"/>
  <c r="EU32" i="20" s="1"/>
  <c r="FZ32" i="20" s="1"/>
  <c r="GA32" i="20" s="1"/>
  <c r="GB32" i="20" s="1"/>
  <c r="DL32" i="13"/>
  <c r="EJ32" i="13" s="1"/>
  <c r="EK32" i="13" s="1"/>
  <c r="ET73" i="20"/>
  <c r="EU73" i="20" s="1"/>
  <c r="FZ73" i="20" s="1"/>
  <c r="GA73" i="20" s="1"/>
  <c r="GB73" i="20" s="1"/>
  <c r="ET73" i="14"/>
  <c r="EU73" i="14" s="1"/>
  <c r="FZ73" i="14" s="1"/>
  <c r="GA73" i="14" s="1"/>
  <c r="GB73" i="14" s="1"/>
  <c r="DL73" i="13"/>
  <c r="EJ73" i="13" s="1"/>
  <c r="EK73" i="13" s="1"/>
  <c r="ET56" i="20"/>
  <c r="EU56" i="20" s="1"/>
  <c r="FZ56" i="20" s="1"/>
  <c r="GA56" i="20" s="1"/>
  <c r="GB56" i="20" s="1"/>
  <c r="ET56" i="14"/>
  <c r="EU56" i="14" s="1"/>
  <c r="FZ56" i="14" s="1"/>
  <c r="GA56" i="14" s="1"/>
  <c r="GB56" i="14" s="1"/>
  <c r="DL56" i="13"/>
  <c r="EJ56" i="13" s="1"/>
  <c r="EK56" i="13" s="1"/>
  <c r="ET21" i="20"/>
  <c r="EU21" i="20" s="1"/>
  <c r="FZ21" i="20" s="1"/>
  <c r="GA21" i="20" s="1"/>
  <c r="GB21" i="20" s="1"/>
  <c r="ET21" i="14"/>
  <c r="EU21" i="14" s="1"/>
  <c r="FZ21" i="14" s="1"/>
  <c r="GA21" i="14" s="1"/>
  <c r="GB21" i="14" s="1"/>
  <c r="DL21" i="13"/>
  <c r="EJ21" i="13" s="1"/>
  <c r="EK21" i="13" s="1"/>
  <c r="ET30" i="20"/>
  <c r="EU30" i="20" s="1"/>
  <c r="FZ30" i="20" s="1"/>
  <c r="GA30" i="20" s="1"/>
  <c r="GB30" i="20" s="1"/>
  <c r="ET30" i="14"/>
  <c r="EU30" i="14" s="1"/>
  <c r="FZ30" i="14" s="1"/>
  <c r="GA30" i="14" s="1"/>
  <c r="GB30" i="14" s="1"/>
  <c r="DL30" i="13"/>
  <c r="EJ30" i="13" s="1"/>
  <c r="EK30" i="13" s="1"/>
  <c r="ET9" i="20"/>
  <c r="EU9" i="20" s="1"/>
  <c r="FZ9" i="20" s="1"/>
  <c r="GA9" i="20" s="1"/>
  <c r="GB9" i="20" s="1"/>
  <c r="ET9" i="14"/>
  <c r="EU9" i="14" s="1"/>
  <c r="FZ9" i="14" s="1"/>
  <c r="GA9" i="14" s="1"/>
  <c r="GB9" i="14" s="1"/>
  <c r="DL9" i="13"/>
  <c r="EJ9" i="13" s="1"/>
  <c r="EK9" i="13" s="1"/>
  <c r="ET70" i="20"/>
  <c r="EU70" i="20" s="1"/>
  <c r="FZ70" i="20" s="1"/>
  <c r="GA70" i="20" s="1"/>
  <c r="GB70" i="20" s="1"/>
  <c r="ET70" i="14"/>
  <c r="EU70" i="14" s="1"/>
  <c r="FZ70" i="14" s="1"/>
  <c r="GA70" i="14" s="1"/>
  <c r="GB70" i="14" s="1"/>
  <c r="DL70" i="13"/>
  <c r="EJ70" i="13" s="1"/>
  <c r="EK70" i="13" s="1"/>
  <c r="ET52" i="20"/>
  <c r="EU52" i="20" s="1"/>
  <c r="FZ52" i="20" s="1"/>
  <c r="GA52" i="20" s="1"/>
  <c r="GB52" i="20" s="1"/>
  <c r="ET52" i="14"/>
  <c r="EU52" i="14" s="1"/>
  <c r="FZ52" i="14" s="1"/>
  <c r="GA52" i="14" s="1"/>
  <c r="GB52" i="14" s="1"/>
  <c r="DL52" i="13"/>
  <c r="EJ52" i="13" s="1"/>
  <c r="EK52" i="13" s="1"/>
  <c r="ET15" i="20"/>
  <c r="EU15" i="20" s="1"/>
  <c r="FZ15" i="20" s="1"/>
  <c r="GA15" i="20" s="1"/>
  <c r="GB15" i="20" s="1"/>
  <c r="ET15" i="14"/>
  <c r="EU15" i="14" s="1"/>
  <c r="FZ15" i="14" s="1"/>
  <c r="GA15" i="14" s="1"/>
  <c r="GB15" i="14" s="1"/>
  <c r="DL15" i="13"/>
  <c r="EJ15" i="13" s="1"/>
  <c r="EK15" i="13" s="1"/>
  <c r="ET5" i="20"/>
  <c r="EU5" i="20" s="1"/>
  <c r="FZ5" i="20" s="1"/>
  <c r="GA5" i="20" s="1"/>
  <c r="GB5" i="20" s="1"/>
  <c r="ET5" i="14"/>
  <c r="EU5" i="14" s="1"/>
  <c r="FZ5" i="14" s="1"/>
  <c r="GA5" i="14" s="1"/>
  <c r="GB5" i="14" s="1"/>
  <c r="DL5" i="13"/>
  <c r="EJ5" i="13" s="1"/>
  <c r="EK5" i="13" s="1"/>
  <c r="ET93" i="20"/>
  <c r="EU93" i="20" s="1"/>
  <c r="FZ93" i="20" s="1"/>
  <c r="GA93" i="20" s="1"/>
  <c r="ET93" i="14"/>
  <c r="EU93" i="14" s="1"/>
  <c r="FZ93" i="14" s="1"/>
  <c r="GA93" i="14" s="1"/>
  <c r="GB93" i="14" s="1"/>
  <c r="DL93" i="13"/>
  <c r="EJ93" i="13" s="1"/>
  <c r="EK93" i="13" s="1"/>
  <c r="ET22" i="20"/>
  <c r="EU22" i="20" s="1"/>
  <c r="FZ22" i="20" s="1"/>
  <c r="GA22" i="20" s="1"/>
  <c r="GB22" i="20" s="1"/>
  <c r="ET22" i="14"/>
  <c r="EU22" i="14" s="1"/>
  <c r="FZ22" i="14" s="1"/>
  <c r="GA22" i="14" s="1"/>
  <c r="GB22" i="14" s="1"/>
  <c r="DL22" i="13"/>
  <c r="EJ22" i="13" s="1"/>
  <c r="EK22" i="13" s="1"/>
  <c r="ET78" i="14"/>
  <c r="EU78" i="14" s="1"/>
  <c r="FZ78" i="14" s="1"/>
  <c r="GA78" i="14" s="1"/>
  <c r="GB78" i="14" s="1"/>
  <c r="ET78" i="20"/>
  <c r="EU78" i="20" s="1"/>
  <c r="FZ78" i="20" s="1"/>
  <c r="GA78" i="20" s="1"/>
  <c r="GB78" i="20" s="1"/>
  <c r="DL78" i="13"/>
  <c r="EJ78" i="13" s="1"/>
  <c r="EK78" i="13" s="1"/>
  <c r="ET40" i="20"/>
  <c r="EU40" i="20" s="1"/>
  <c r="FZ40" i="20" s="1"/>
  <c r="GA40" i="20" s="1"/>
  <c r="GB40" i="20" s="1"/>
  <c r="ET40" i="14"/>
  <c r="EU40" i="14" s="1"/>
  <c r="FZ40" i="14" s="1"/>
  <c r="GA40" i="14" s="1"/>
  <c r="GB40" i="14" s="1"/>
  <c r="DL40" i="13"/>
  <c r="EJ40" i="13" s="1"/>
  <c r="EK40" i="13" s="1"/>
  <c r="ET3" i="20"/>
  <c r="EU3" i="20" s="1"/>
  <c r="FZ3" i="20" s="1"/>
  <c r="GA3" i="20" s="1"/>
  <c r="GB3" i="20" s="1"/>
  <c r="ET3" i="14"/>
  <c r="EU3" i="14" s="1"/>
  <c r="FZ3" i="14" s="1"/>
  <c r="GA3" i="14" s="1"/>
  <c r="DL3" i="13"/>
  <c r="EJ3" i="13" s="1"/>
  <c r="EK3" i="13" s="1"/>
  <c r="ET4" i="14"/>
  <c r="EU4" i="14" s="1"/>
  <c r="FZ4" i="14" s="1"/>
  <c r="GA4" i="14" s="1"/>
  <c r="GB4" i="14" s="1"/>
  <c r="ET4" i="20"/>
  <c r="EU4" i="20" s="1"/>
  <c r="FZ4" i="20" s="1"/>
  <c r="GA4" i="20" s="1"/>
  <c r="GB4" i="20" s="1"/>
  <c r="DL4" i="13"/>
  <c r="EJ4" i="13" s="1"/>
  <c r="EK4" i="13" s="1"/>
  <c r="ET76" i="14"/>
  <c r="EU76" i="14" s="1"/>
  <c r="FZ76" i="14" s="1"/>
  <c r="GA76" i="14" s="1"/>
  <c r="GB76" i="14" s="1"/>
  <c r="ET76" i="20"/>
  <c r="EU76" i="20" s="1"/>
  <c r="FZ76" i="20" s="1"/>
  <c r="GA76" i="20" s="1"/>
  <c r="GB76" i="20" s="1"/>
  <c r="DL76" i="13"/>
  <c r="EJ76" i="13" s="1"/>
  <c r="EK76" i="13" s="1"/>
  <c r="ET77" i="14"/>
  <c r="EU77" i="14" s="1"/>
  <c r="FZ77" i="14" s="1"/>
  <c r="GA77" i="14" s="1"/>
  <c r="GB77" i="14" s="1"/>
  <c r="ET77" i="20"/>
  <c r="EU77" i="20" s="1"/>
  <c r="FZ77" i="20" s="1"/>
  <c r="GA77" i="20" s="1"/>
  <c r="GB77" i="20" s="1"/>
  <c r="DL77" i="13"/>
  <c r="EJ77" i="13" s="1"/>
  <c r="EK77" i="13" s="1"/>
  <c r="ET59" i="14"/>
  <c r="EU59" i="14" s="1"/>
  <c r="FZ59" i="14" s="1"/>
  <c r="GA59" i="14" s="1"/>
  <c r="GB59" i="14" s="1"/>
  <c r="ET59" i="20"/>
  <c r="EU59" i="20" s="1"/>
  <c r="FZ59" i="20" s="1"/>
  <c r="GA59" i="20" s="1"/>
  <c r="GB59" i="20" s="1"/>
  <c r="DL59" i="13"/>
  <c r="EJ59" i="13" s="1"/>
  <c r="EK59" i="13" s="1"/>
  <c r="ET41" i="14"/>
  <c r="EU41" i="14" s="1"/>
  <c r="FZ41" i="14" s="1"/>
  <c r="GA41" i="14" s="1"/>
  <c r="GB41" i="14" s="1"/>
  <c r="ET41" i="20"/>
  <c r="EU41" i="20" s="1"/>
  <c r="FZ41" i="20" s="1"/>
  <c r="GA41" i="20" s="1"/>
  <c r="GB41" i="20" s="1"/>
  <c r="DL41" i="13"/>
  <c r="EJ41" i="13" s="1"/>
  <c r="EK41" i="13" s="1"/>
  <c r="ET7" i="20"/>
  <c r="EU7" i="20" s="1"/>
  <c r="FZ7" i="20" s="1"/>
  <c r="GA7" i="20" s="1"/>
  <c r="GB7" i="20" s="1"/>
  <c r="ET7" i="14"/>
  <c r="EU7" i="14" s="1"/>
  <c r="FZ7" i="14" s="1"/>
  <c r="GA7" i="14" s="1"/>
  <c r="GB7" i="14" s="1"/>
  <c r="DL7" i="13"/>
  <c r="EJ7" i="13" s="1"/>
  <c r="EK7" i="13" s="1"/>
  <c r="GA72" i="20"/>
  <c r="GB72" i="20" s="1"/>
  <c r="ET90" i="20"/>
  <c r="EU90" i="20" s="1"/>
  <c r="FZ90" i="20" s="1"/>
  <c r="GA90" i="20" s="1"/>
  <c r="GB90" i="20" s="1"/>
  <c r="ET90" i="14"/>
  <c r="EU90" i="14" s="1"/>
  <c r="FZ90" i="14" s="1"/>
  <c r="GA90" i="14" s="1"/>
  <c r="GB90" i="14" s="1"/>
  <c r="DL90" i="13"/>
  <c r="EJ90" i="13" s="1"/>
  <c r="EK90" i="13" s="1"/>
  <c r="BS11" i="16"/>
  <c r="BT11" i="16" s="1"/>
  <c r="BU11" i="16" s="1"/>
  <c r="BS99" i="16"/>
  <c r="BT99" i="16" s="1"/>
  <c r="BU99" i="16" s="1"/>
  <c r="BY47" i="16"/>
  <c r="BS100" i="16"/>
  <c r="BT100" i="16" s="1"/>
  <c r="BU100" i="16" s="1"/>
  <c r="BS3" i="16"/>
  <c r="BT3" i="16" s="1"/>
  <c r="BU3" i="16" s="1"/>
  <c r="BS8" i="16"/>
  <c r="BT8" i="16" s="1"/>
  <c r="BU8" i="16" s="1"/>
  <c r="BZ24" i="16"/>
  <c r="CA24" i="16" s="1"/>
  <c r="BW5" i="16"/>
  <c r="BY5" i="16" s="1"/>
  <c r="BK5" i="16"/>
  <c r="BL5" i="16" s="1"/>
  <c r="BO5" i="16" s="1"/>
  <c r="BS5" i="16" s="1"/>
  <c r="BT5" i="16" s="1"/>
  <c r="BU5" i="16" s="1"/>
  <c r="BJ5" i="16"/>
  <c r="BV5" i="16" s="1"/>
  <c r="BS16" i="16"/>
  <c r="BT16" i="16" s="1"/>
  <c r="BU16" i="16" s="1"/>
  <c r="BR45" i="16"/>
  <c r="BS45" i="16" s="1"/>
  <c r="BT45" i="16" s="1"/>
  <c r="BU45" i="16" s="1"/>
  <c r="BW55" i="16"/>
  <c r="BY55" i="16" s="1"/>
  <c r="BY20" i="16"/>
  <c r="BZ20" i="16" s="1"/>
  <c r="CA20" i="16" s="1"/>
  <c r="BK95" i="16"/>
  <c r="BL95" i="16" s="1"/>
  <c r="BO95" i="16" s="1"/>
  <c r="BS95" i="16" s="1"/>
  <c r="BT95" i="16" s="1"/>
  <c r="BU95" i="16" s="1"/>
  <c r="BJ95" i="16"/>
  <c r="BV95" i="16" s="1"/>
  <c r="BZ95" i="16" s="1"/>
  <c r="CA95" i="16" s="1"/>
  <c r="BS98" i="16"/>
  <c r="BT98" i="16" s="1"/>
  <c r="BU98" i="16" s="1"/>
  <c r="BZ87" i="16"/>
  <c r="CA87" i="16" s="1"/>
  <c r="BZ57" i="16"/>
  <c r="CA57" i="16" s="1"/>
  <c r="BR23" i="16"/>
  <c r="BS23" i="16" s="1"/>
  <c r="BT23" i="16" s="1"/>
  <c r="BU23" i="16" s="1"/>
  <c r="BP23" i="16"/>
  <c r="BZ10" i="16"/>
  <c r="CA10" i="16" s="1"/>
  <c r="BJ91" i="16"/>
  <c r="BV91" i="16" s="1"/>
  <c r="BZ91" i="16" s="1"/>
  <c r="CA91" i="16" s="1"/>
  <c r="BY14" i="16"/>
  <c r="BW69" i="16"/>
  <c r="BY69" i="16"/>
  <c r="BS2" i="16"/>
  <c r="BT2" i="16" s="1"/>
  <c r="BZ56" i="16"/>
  <c r="CA56" i="16" s="1"/>
  <c r="AN37" i="16"/>
  <c r="BK62" i="16"/>
  <c r="BL62" i="16" s="1"/>
  <c r="BO62" i="16" s="1"/>
  <c r="BS62" i="16" s="1"/>
  <c r="BT62" i="16" s="1"/>
  <c r="BU62" i="16" s="1"/>
  <c r="BJ62" i="16"/>
  <c r="BV62" i="16" s="1"/>
  <c r="BZ62" i="16" s="1"/>
  <c r="CA62" i="16" s="1"/>
  <c r="BY38" i="16"/>
  <c r="BW38" i="16"/>
  <c r="BY6" i="16"/>
  <c r="BZ34" i="16"/>
  <c r="CA34" i="16" s="1"/>
  <c r="BL22" i="16"/>
  <c r="BO22" i="16" s="1"/>
  <c r="BS22" i="16" s="1"/>
  <c r="BT22" i="16" s="1"/>
  <c r="BU22" i="16" s="1"/>
  <c r="BK68" i="16"/>
  <c r="BL68" i="16" s="1"/>
  <c r="BO68" i="16" s="1"/>
  <c r="BS68" i="16" s="1"/>
  <c r="BT68" i="16" s="1"/>
  <c r="BU68" i="16" s="1"/>
  <c r="BJ68" i="16"/>
  <c r="BV68" i="16" s="1"/>
  <c r="BY95" i="16"/>
  <c r="BZ21" i="16"/>
  <c r="CA21" i="16" s="1"/>
  <c r="BS29" i="16"/>
  <c r="BT29" i="16" s="1"/>
  <c r="BU29" i="16" s="1"/>
  <c r="BZ54" i="16"/>
  <c r="CA54" i="16" s="1"/>
  <c r="BL54" i="16"/>
  <c r="BO54" i="16" s="1"/>
  <c r="BS34" i="16"/>
  <c r="BT34" i="16" s="1"/>
  <c r="BU34" i="16" s="1"/>
  <c r="BR75" i="16"/>
  <c r="BP75" i="16"/>
  <c r="BS67" i="16"/>
  <c r="BT67" i="16" s="1"/>
  <c r="BU67" i="16" s="1"/>
  <c r="BZ42" i="16"/>
  <c r="CA42" i="16" s="1"/>
  <c r="AN45" i="16"/>
  <c r="BR35" i="16"/>
  <c r="BS35" i="16" s="1"/>
  <c r="BT35" i="16" s="1"/>
  <c r="BU35" i="16" s="1"/>
  <c r="BL87" i="16"/>
  <c r="BO87" i="16" s="1"/>
  <c r="BK69" i="16"/>
  <c r="BL69" i="16" s="1"/>
  <c r="BO69" i="16" s="1"/>
  <c r="BJ69" i="16"/>
  <c r="BV69" i="16" s="1"/>
  <c r="BZ69" i="16" s="1"/>
  <c r="CA69" i="16" s="1"/>
  <c r="BY77" i="16"/>
  <c r="BW77" i="16"/>
  <c r="BK55" i="16"/>
  <c r="BL55" i="16" s="1"/>
  <c r="BO55" i="16" s="1"/>
  <c r="BS55" i="16" s="1"/>
  <c r="BT55" i="16" s="1"/>
  <c r="BU55" i="16" s="1"/>
  <c r="BJ55" i="16"/>
  <c r="BV55" i="16" s="1"/>
  <c r="BY36" i="16"/>
  <c r="BJ14" i="16"/>
  <c r="BV14" i="16" s="1"/>
  <c r="BZ14" i="16" s="1"/>
  <c r="CA14" i="16" s="1"/>
  <c r="BL13" i="16"/>
  <c r="BO13" i="16" s="1"/>
  <c r="BS13" i="16" s="1"/>
  <c r="BT13" i="16" s="1"/>
  <c r="BU13" i="16" s="1"/>
  <c r="BR36" i="16"/>
  <c r="BZ47" i="16"/>
  <c r="CA47" i="16" s="1"/>
  <c r="BS61" i="16"/>
  <c r="BT61" i="16" s="1"/>
  <c r="BU61" i="16" s="1"/>
  <c r="BK92" i="16"/>
  <c r="BL92" i="16" s="1"/>
  <c r="BO92" i="16" s="1"/>
  <c r="BS92" i="16" s="1"/>
  <c r="BT92" i="16" s="1"/>
  <c r="BU92" i="16" s="1"/>
  <c r="BJ92" i="16"/>
  <c r="BV92" i="16" s="1"/>
  <c r="BZ92" i="16" s="1"/>
  <c r="CA92" i="16" s="1"/>
  <c r="BZ61" i="16"/>
  <c r="CA61" i="16" s="1"/>
  <c r="BK38" i="16"/>
  <c r="BL38" i="16" s="1"/>
  <c r="BO38" i="16" s="1"/>
  <c r="BS38" i="16" s="1"/>
  <c r="BT38" i="16" s="1"/>
  <c r="BU38" i="16" s="1"/>
  <c r="BJ38" i="16"/>
  <c r="BV38" i="16" s="1"/>
  <c r="BZ71" i="16"/>
  <c r="CA71" i="16" s="1"/>
  <c r="BZ85" i="16"/>
  <c r="CA85" i="16" s="1"/>
  <c r="BK52" i="16"/>
  <c r="BL52" i="16" s="1"/>
  <c r="BO52" i="16" s="1"/>
  <c r="BS52" i="16" s="1"/>
  <c r="BT52" i="16" s="1"/>
  <c r="BU52" i="16" s="1"/>
  <c r="BJ52" i="16"/>
  <c r="BV52" i="16" s="1"/>
  <c r="BZ52" i="16" s="1"/>
  <c r="CA52" i="16" s="1"/>
  <c r="BK51" i="16"/>
  <c r="BL51" i="16" s="1"/>
  <c r="BO51" i="16" s="1"/>
  <c r="BS51" i="16" s="1"/>
  <c r="BT51" i="16" s="1"/>
  <c r="BU51" i="16" s="1"/>
  <c r="BJ51" i="16"/>
  <c r="BV51" i="16" s="1"/>
  <c r="BZ51" i="16" s="1"/>
  <c r="CA51" i="16" s="1"/>
  <c r="BK74" i="16"/>
  <c r="BL74" i="16" s="1"/>
  <c r="BO74" i="16" s="1"/>
  <c r="BS74" i="16" s="1"/>
  <c r="BT74" i="16" s="1"/>
  <c r="BU74" i="16" s="1"/>
  <c r="BJ74" i="16"/>
  <c r="BV74" i="16" s="1"/>
  <c r="BZ74" i="16" s="1"/>
  <c r="CA74" i="16" s="1"/>
  <c r="BK19" i="16"/>
  <c r="BL19" i="16" s="1"/>
  <c r="BO19" i="16" s="1"/>
  <c r="BS19" i="16" s="1"/>
  <c r="BT19" i="16" s="1"/>
  <c r="BU19" i="16" s="1"/>
  <c r="BJ19" i="16"/>
  <c r="BV19" i="16" s="1"/>
  <c r="BZ19" i="16" s="1"/>
  <c r="CA19" i="16" s="1"/>
  <c r="BZ66" i="16"/>
  <c r="CA66" i="16" s="1"/>
  <c r="BY84" i="16"/>
  <c r="BZ40" i="16"/>
  <c r="CA40" i="16" s="1"/>
  <c r="BW12" i="16"/>
  <c r="BY12" i="16" s="1"/>
  <c r="BZ12" i="16" s="1"/>
  <c r="CA12" i="16" s="1"/>
  <c r="BJ9" i="16"/>
  <c r="BV9" i="16" s="1"/>
  <c r="BZ9" i="16" s="1"/>
  <c r="CA9" i="16" s="1"/>
  <c r="BK79" i="16"/>
  <c r="BL79" i="16" s="1"/>
  <c r="BO79" i="16" s="1"/>
  <c r="BS79" i="16" s="1"/>
  <c r="BT79" i="16" s="1"/>
  <c r="BU79" i="16" s="1"/>
  <c r="BJ79" i="16"/>
  <c r="BV79" i="16" s="1"/>
  <c r="BZ79" i="16" s="1"/>
  <c r="CA79" i="16" s="1"/>
  <c r="BY68" i="16"/>
  <c r="BS12" i="16"/>
  <c r="BT12" i="16" s="1"/>
  <c r="BU12" i="16" s="1"/>
  <c r="BZ70" i="16"/>
  <c r="CA70" i="16" s="1"/>
  <c r="BZ99" i="16"/>
  <c r="CA99" i="16" s="1"/>
  <c r="BZ60" i="16"/>
  <c r="CA60" i="16" s="1"/>
  <c r="BW50" i="16"/>
  <c r="BY50" i="16"/>
  <c r="BZ50" i="16" s="1"/>
  <c r="CA50" i="16" s="1"/>
  <c r="BJ43" i="16"/>
  <c r="BV43" i="16" s="1"/>
  <c r="BZ43" i="16" s="1"/>
  <c r="CA43" i="16" s="1"/>
  <c r="BL36" i="16"/>
  <c r="BO36" i="16" s="1"/>
  <c r="BS36" i="16" s="1"/>
  <c r="BT36" i="16" s="1"/>
  <c r="BU36" i="16" s="1"/>
  <c r="BS31" i="16"/>
  <c r="BT31" i="16" s="1"/>
  <c r="BU31" i="16" s="1"/>
  <c r="BK59" i="16"/>
  <c r="BL59" i="16" s="1"/>
  <c r="BO59" i="16" s="1"/>
  <c r="BS59" i="16" s="1"/>
  <c r="BT59" i="16" s="1"/>
  <c r="BU59" i="16" s="1"/>
  <c r="BJ59" i="16"/>
  <c r="BV59" i="16" s="1"/>
  <c r="BZ59" i="16" s="1"/>
  <c r="CA59" i="16" s="1"/>
  <c r="BS76" i="16"/>
  <c r="BT76" i="16" s="1"/>
  <c r="BU76" i="16" s="1"/>
  <c r="AN41" i="16"/>
  <c r="BL28" i="16"/>
  <c r="BO28" i="16" s="1"/>
  <c r="BS28" i="16" s="1"/>
  <c r="BT28" i="16" s="1"/>
  <c r="BU28" i="16" s="1"/>
  <c r="BS53" i="16"/>
  <c r="BT53" i="16" s="1"/>
  <c r="BU53" i="16" s="1"/>
  <c r="BS24" i="16"/>
  <c r="BT24" i="16" s="1"/>
  <c r="BU24" i="16" s="1"/>
  <c r="BK15" i="16"/>
  <c r="BL15" i="16" s="1"/>
  <c r="BO15" i="16" s="1"/>
  <c r="BS15" i="16" s="1"/>
  <c r="BT15" i="16" s="1"/>
  <c r="BU15" i="16" s="1"/>
  <c r="BJ15" i="16"/>
  <c r="BV15" i="16" s="1"/>
  <c r="BS18" i="16"/>
  <c r="BT18" i="16" s="1"/>
  <c r="BU18" i="16" s="1"/>
  <c r="BS101" i="16"/>
  <c r="BT101" i="16" s="1"/>
  <c r="BU101" i="16" s="1"/>
  <c r="BR92" i="16"/>
  <c r="BJ97" i="16"/>
  <c r="BV97" i="16" s="1"/>
  <c r="BZ97" i="16" s="1"/>
  <c r="CA97" i="16" s="1"/>
  <c r="AN73" i="16"/>
  <c r="BS46" i="16"/>
  <c r="BT46" i="16" s="1"/>
  <c r="BU46" i="16" s="1"/>
  <c r="BS82" i="16"/>
  <c r="BT82" i="16" s="1"/>
  <c r="BU82" i="16" s="1"/>
  <c r="BL63" i="16"/>
  <c r="BO63" i="16" s="1"/>
  <c r="BS63" i="16" s="1"/>
  <c r="BT63" i="16" s="1"/>
  <c r="BU63" i="16" s="1"/>
  <c r="AN63" i="16"/>
  <c r="BZ33" i="16"/>
  <c r="CA33" i="16" s="1"/>
  <c r="BR54" i="16"/>
  <c r="BJ27" i="16"/>
  <c r="BV27" i="16" s="1"/>
  <c r="BZ27" i="16" s="1"/>
  <c r="CA27" i="16" s="1"/>
  <c r="BK27" i="16"/>
  <c r="BL27" i="16" s="1"/>
  <c r="BO27" i="16" s="1"/>
  <c r="BS27" i="16" s="1"/>
  <c r="BT27" i="16" s="1"/>
  <c r="BU27" i="16" s="1"/>
  <c r="BL57" i="16"/>
  <c r="BO57" i="16" s="1"/>
  <c r="BS57" i="16" s="1"/>
  <c r="BT57" i="16" s="1"/>
  <c r="BU57" i="16" s="1"/>
  <c r="BL75" i="16"/>
  <c r="BO75" i="16" s="1"/>
  <c r="BS75" i="16" s="1"/>
  <c r="BT75" i="16" s="1"/>
  <c r="BU75" i="16" s="1"/>
  <c r="BY15" i="16"/>
  <c r="BY44" i="16"/>
  <c r="BZ44" i="16" s="1"/>
  <c r="CA44" i="16" s="1"/>
  <c r="AN6" i="16"/>
  <c r="BY3" i="16"/>
  <c r="BL97" i="16"/>
  <c r="BO97" i="16" s="1"/>
  <c r="BS97" i="16" s="1"/>
  <c r="BT97" i="16" s="1"/>
  <c r="BU97" i="16" s="1"/>
  <c r="BS80" i="16"/>
  <c r="BT80" i="16" s="1"/>
  <c r="BU80" i="16" s="1"/>
  <c r="BR67" i="16"/>
  <c r="BJ72" i="16"/>
  <c r="BV72" i="16" s="1"/>
  <c r="BZ72" i="16" s="1"/>
  <c r="CA72" i="16" s="1"/>
  <c r="BR21" i="16"/>
  <c r="BS85" i="16"/>
  <c r="BT85" i="16" s="1"/>
  <c r="BU85" i="16" s="1"/>
  <c r="BK64" i="16"/>
  <c r="BL64" i="16" s="1"/>
  <c r="BO64" i="16" s="1"/>
  <c r="BS64" i="16" s="1"/>
  <c r="BT64" i="16" s="1"/>
  <c r="BU64" i="16" s="1"/>
  <c r="BJ64" i="16"/>
  <c r="BV64" i="16" s="1"/>
  <c r="BZ64" i="16" s="1"/>
  <c r="CA64" i="16" s="1"/>
  <c r="BJ53" i="16"/>
  <c r="BV53" i="16" s="1"/>
  <c r="BZ53" i="16" s="1"/>
  <c r="CA53" i="16" s="1"/>
  <c r="BZ6" i="16"/>
  <c r="CA6" i="16" s="1"/>
  <c r="BR51" i="16"/>
  <c r="BR41" i="16"/>
  <c r="BS41" i="16" s="1"/>
  <c r="BT41" i="16" s="1"/>
  <c r="BU41" i="16" s="1"/>
  <c r="BZ18" i="16"/>
  <c r="CA18" i="16" s="1"/>
  <c r="BL42" i="16"/>
  <c r="BO42" i="16" s="1"/>
  <c r="BS42" i="16" s="1"/>
  <c r="BT42" i="16" s="1"/>
  <c r="BU42" i="16" s="1"/>
  <c r="BZ4" i="16"/>
  <c r="CA4" i="16" s="1"/>
  <c r="BL91" i="16"/>
  <c r="BO91" i="16" s="1"/>
  <c r="BS91" i="16" s="1"/>
  <c r="BT91" i="16" s="1"/>
  <c r="BU91" i="16" s="1"/>
  <c r="BR69" i="16"/>
  <c r="BK17" i="16"/>
  <c r="BL17" i="16" s="1"/>
  <c r="BO17" i="16" s="1"/>
  <c r="BS17" i="16" s="1"/>
  <c r="BT17" i="16" s="1"/>
  <c r="BU17" i="16" s="1"/>
  <c r="BJ17" i="16"/>
  <c r="BV17" i="16" s="1"/>
  <c r="BZ17" i="16" s="1"/>
  <c r="CA17" i="16" s="1"/>
  <c r="BS70" i="16"/>
  <c r="BT70" i="16" s="1"/>
  <c r="BU70" i="16" s="1"/>
  <c r="BJ67" i="16"/>
  <c r="BV67" i="16" s="1"/>
  <c r="BZ67" i="16" s="1"/>
  <c r="CA67" i="16" s="1"/>
  <c r="BJ36" i="16"/>
  <c r="BV36" i="16" s="1"/>
  <c r="BZ36" i="16" s="1"/>
  <c r="CA36" i="16" s="1"/>
  <c r="BS21" i="16"/>
  <c r="BT21" i="16" s="1"/>
  <c r="BU21" i="16" s="1"/>
  <c r="BZ49" i="16"/>
  <c r="CA49" i="16" s="1"/>
  <c r="BJ2" i="16"/>
  <c r="BV2" i="16" s="1"/>
  <c r="BZ2" i="16" s="1"/>
  <c r="CA2" i="16" s="1"/>
  <c r="BP88" i="16"/>
  <c r="BR88" i="16"/>
  <c r="BS88" i="16" s="1"/>
  <c r="BT88" i="16" s="1"/>
  <c r="BU88" i="16" s="1"/>
  <c r="BZ63" i="16"/>
  <c r="CA63" i="16" s="1"/>
  <c r="BR4" i="16"/>
  <c r="BS4" i="16" s="1"/>
  <c r="BT4" i="16" s="1"/>
  <c r="BU4" i="16" s="1"/>
  <c r="BS48" i="16"/>
  <c r="BT48" i="16" s="1"/>
  <c r="BU48" i="16" s="1"/>
  <c r="BR58" i="16"/>
  <c r="BS58" i="16" s="1"/>
  <c r="BT58" i="16" s="1"/>
  <c r="BU58" i="16" s="1"/>
  <c r="BR10" i="16"/>
  <c r="BS10" i="16" s="1"/>
  <c r="BT10" i="16" s="1"/>
  <c r="BU10" i="16" s="1"/>
  <c r="BP10" i="16"/>
  <c r="BJ78" i="16"/>
  <c r="BV78" i="16" s="1"/>
  <c r="BZ78" i="16" s="1"/>
  <c r="CA78" i="16" s="1"/>
  <c r="BR25" i="16"/>
  <c r="BS25" i="16" s="1"/>
  <c r="BT25" i="16" s="1"/>
  <c r="BU25" i="16" s="1"/>
  <c r="BY7" i="16"/>
  <c r="BS49" i="16"/>
  <c r="BT49" i="16" s="1"/>
  <c r="BU49" i="16" s="1"/>
  <c r="BJ23" i="16"/>
  <c r="BV23" i="16" s="1"/>
  <c r="BZ23" i="16" s="1"/>
  <c r="CA23" i="16" s="1"/>
  <c r="BJ31" i="16"/>
  <c r="BV31" i="16" s="1"/>
  <c r="BZ31" i="16" s="1"/>
  <c r="CA31" i="16" s="1"/>
  <c r="BR87" i="16"/>
  <c r="BJ77" i="16"/>
  <c r="BV77" i="16" s="1"/>
  <c r="BJ16" i="16"/>
  <c r="BV16" i="16" s="1"/>
  <c r="BZ16" i="16" s="1"/>
  <c r="CA16" i="16" s="1"/>
  <c r="BZ88" i="16"/>
  <c r="CA88" i="16" s="1"/>
  <c r="BY39" i="16"/>
  <c r="BZ39" i="16" s="1"/>
  <c r="CA39" i="16" s="1"/>
  <c r="BY13" i="16"/>
  <c r="BZ13" i="16" s="1"/>
  <c r="CA13" i="16" s="1"/>
  <c r="BK32" i="16"/>
  <c r="BL32" i="16" s="1"/>
  <c r="BO32" i="16" s="1"/>
  <c r="BS32" i="16" s="1"/>
  <c r="BT32" i="16" s="1"/>
  <c r="BU32" i="16" s="1"/>
  <c r="BJ32" i="16"/>
  <c r="BV32" i="16" s="1"/>
  <c r="BZ32" i="16" s="1"/>
  <c r="CA32" i="16" s="1"/>
  <c r="BJ3" i="16"/>
  <c r="BV3" i="16" s="1"/>
  <c r="BZ3" i="16" s="1"/>
  <c r="CA3" i="16" s="1"/>
  <c r="BS89" i="16"/>
  <c r="BT89" i="16" s="1"/>
  <c r="BU89" i="16" s="1"/>
  <c r="BR71" i="16"/>
  <c r="BS71" i="16" s="1"/>
  <c r="BT71" i="16" s="1"/>
  <c r="BU71" i="16" s="1"/>
  <c r="BZ11" i="16"/>
  <c r="CA11" i="16" s="1"/>
  <c r="BR93" i="16"/>
  <c r="BS93" i="16" s="1"/>
  <c r="BT93" i="16" s="1"/>
  <c r="BU93" i="16" s="1"/>
  <c r="BR44" i="16"/>
  <c r="BS44" i="16" s="1"/>
  <c r="BT44" i="16" s="1"/>
  <c r="BU44" i="16" s="1"/>
  <c r="BJ29" i="16"/>
  <c r="BV29" i="16" s="1"/>
  <c r="BZ29" i="16" s="1"/>
  <c r="CA29" i="16" s="1"/>
  <c r="BS72" i="16"/>
  <c r="BT72" i="16" s="1"/>
  <c r="BU72" i="16" s="1"/>
  <c r="BS78" i="16"/>
  <c r="BT78" i="16" s="1"/>
  <c r="BU78" i="16" s="1"/>
  <c r="BY79" i="16"/>
  <c r="BL96" i="16"/>
  <c r="BO96" i="16" s="1"/>
  <c r="BS96" i="16" s="1"/>
  <c r="BT96" i="16" s="1"/>
  <c r="BU96" i="16" s="1"/>
  <c r="BL94" i="16"/>
  <c r="BO94" i="16" s="1"/>
  <c r="BS94" i="16" s="1"/>
  <c r="BT94" i="16" s="1"/>
  <c r="BU94" i="16" s="1"/>
  <c r="BJ83" i="16"/>
  <c r="BV83" i="16" s="1"/>
  <c r="BZ83" i="16" s="1"/>
  <c r="CA83" i="16" s="1"/>
  <c r="BZ90" i="16"/>
  <c r="CA90" i="16" s="1"/>
  <c r="BK30" i="16"/>
  <c r="BL30" i="16" s="1"/>
  <c r="BO30" i="16" s="1"/>
  <c r="BS30" i="16" s="1"/>
  <c r="BT30" i="16" s="1"/>
  <c r="BU30" i="16" s="1"/>
  <c r="BJ30" i="16"/>
  <c r="BV30" i="16" s="1"/>
  <c r="BZ30" i="16" s="1"/>
  <c r="CA30" i="16" s="1"/>
  <c r="BZ98" i="16"/>
  <c r="CA98" i="16" s="1"/>
  <c r="BJ25" i="16"/>
  <c r="BV25" i="16" s="1"/>
  <c r="BZ25" i="16" s="1"/>
  <c r="CA25" i="16" s="1"/>
  <c r="BZ75" i="16"/>
  <c r="CA75" i="16" s="1"/>
  <c r="BZ48" i="16"/>
  <c r="CA48" i="16" s="1"/>
  <c r="BR56" i="16"/>
  <c r="BS56" i="16" s="1"/>
  <c r="BT56" i="16" s="1"/>
  <c r="BU56" i="16" s="1"/>
  <c r="BL50" i="16"/>
  <c r="BO50" i="16" s="1"/>
  <c r="BS50" i="16" s="1"/>
  <c r="BT50" i="16" s="1"/>
  <c r="BU50" i="16" s="1"/>
  <c r="BK84" i="16"/>
  <c r="BL84" i="16" s="1"/>
  <c r="BO84" i="16" s="1"/>
  <c r="BS84" i="16" s="1"/>
  <c r="BT84" i="16" s="1"/>
  <c r="BU84" i="16" s="1"/>
  <c r="BJ84" i="16"/>
  <c r="BV84" i="16" s="1"/>
  <c r="BZ84" i="16" s="1"/>
  <c r="CA84" i="16" s="1"/>
  <c r="BZ8" i="16"/>
  <c r="CA8" i="16" s="1"/>
  <c r="BZ65" i="16"/>
  <c r="CA65" i="16" s="1"/>
  <c r="BJ7" i="16"/>
  <c r="BV7" i="16" s="1"/>
  <c r="BZ7" i="16" s="1"/>
  <c r="CA7" i="16" s="1"/>
  <c r="D13" i="15"/>
  <c r="D14" i="15" s="1"/>
  <c r="D15" i="15" s="1"/>
  <c r="N21" i="15" s="1"/>
  <c r="B13" i="15"/>
  <c r="B14" i="15" s="1"/>
  <c r="B15" i="15" s="1"/>
  <c r="N20" i="15" s="1"/>
  <c r="L13" i="15"/>
  <c r="L14" i="15" s="1"/>
  <c r="L15" i="15" s="1"/>
  <c r="N23" i="15" s="1"/>
  <c r="H13" i="15"/>
  <c r="H14" i="15" s="1"/>
  <c r="H15" i="15" s="1"/>
  <c r="N22" i="15" s="1"/>
  <c r="J13" i="15"/>
  <c r="J14" i="15" s="1"/>
  <c r="J15" i="15" s="1"/>
  <c r="F14" i="15"/>
  <c r="F15" i="15" s="1"/>
  <c r="EM80" i="13" l="1"/>
  <c r="EN80" i="13"/>
  <c r="EL80" i="13"/>
  <c r="EN9" i="13"/>
  <c r="EL9" i="13"/>
  <c r="EM9" i="13"/>
  <c r="GB93" i="20"/>
  <c r="EM21" i="13"/>
  <c r="EN21" i="13"/>
  <c r="EL21" i="13"/>
  <c r="EN16" i="13"/>
  <c r="EL16" i="13"/>
  <c r="EM16" i="13"/>
  <c r="EL67" i="13"/>
  <c r="EN67" i="13"/>
  <c r="EM67" i="13"/>
  <c r="EM44" i="13"/>
  <c r="EL44" i="13"/>
  <c r="EN44" i="13"/>
  <c r="EN32" i="13"/>
  <c r="EM32" i="13"/>
  <c r="EL32" i="13"/>
  <c r="EN12" i="13"/>
  <c r="EM12" i="13"/>
  <c r="EL12" i="13"/>
  <c r="EN31" i="13"/>
  <c r="EM31" i="13"/>
  <c r="EL31" i="13"/>
  <c r="EM14" i="13"/>
  <c r="EN14" i="13"/>
  <c r="EL14" i="13"/>
  <c r="EL11" i="13"/>
  <c r="EN11" i="13"/>
  <c r="EM11" i="13"/>
  <c r="EL7" i="13"/>
  <c r="EN7" i="13"/>
  <c r="EM7" i="13"/>
  <c r="EL3" i="13"/>
  <c r="EN3" i="13"/>
  <c r="EM3" i="13"/>
  <c r="EM10" i="13"/>
  <c r="EL10" i="13"/>
  <c r="EN10" i="13"/>
  <c r="EM33" i="13"/>
  <c r="EN33" i="13"/>
  <c r="EL33" i="13"/>
  <c r="EN75" i="13"/>
  <c r="EM75" i="13"/>
  <c r="EL75" i="13"/>
  <c r="EN79" i="13"/>
  <c r="EM79" i="13"/>
  <c r="EL79" i="13"/>
  <c r="EN15" i="13"/>
  <c r="EL15" i="13"/>
  <c r="EM15" i="13"/>
  <c r="EN56" i="13"/>
  <c r="EL56" i="13"/>
  <c r="EM56" i="13"/>
  <c r="EN37" i="13"/>
  <c r="EM37" i="13"/>
  <c r="EL37" i="13"/>
  <c r="EM68" i="13"/>
  <c r="EL68" i="13"/>
  <c r="EN68" i="13"/>
  <c r="EL47" i="13"/>
  <c r="EN47" i="13"/>
  <c r="EM47" i="13"/>
  <c r="EL8" i="13"/>
  <c r="EN8" i="13"/>
  <c r="EM8" i="13"/>
  <c r="EL6" i="13"/>
  <c r="EM6" i="13"/>
  <c r="EN6" i="13"/>
  <c r="EL59" i="13"/>
  <c r="EN59" i="13"/>
  <c r="EM59" i="13"/>
  <c r="EM40" i="13"/>
  <c r="EL40" i="13"/>
  <c r="EN40" i="13"/>
  <c r="EM94" i="13"/>
  <c r="EL94" i="13"/>
  <c r="EN94" i="13"/>
  <c r="EL18" i="13"/>
  <c r="EM18" i="13"/>
  <c r="EN18" i="13"/>
  <c r="EL43" i="13"/>
  <c r="EN43" i="13"/>
  <c r="EM43" i="13"/>
  <c r="EM64" i="13"/>
  <c r="EN64" i="13"/>
  <c r="EL64" i="13"/>
  <c r="EN26" i="13"/>
  <c r="EL26" i="13"/>
  <c r="EM26" i="13"/>
  <c r="EL65" i="13"/>
  <c r="EN65" i="13"/>
  <c r="EM65" i="13"/>
  <c r="EM98" i="13"/>
  <c r="EN98" i="13"/>
  <c r="EL98" i="13"/>
  <c r="EM53" i="13"/>
  <c r="EL53" i="13"/>
  <c r="EN53" i="13"/>
  <c r="EN85" i="13"/>
  <c r="EM85" i="13"/>
  <c r="EL85" i="13"/>
  <c r="EL101" i="13"/>
  <c r="EN101" i="13"/>
  <c r="EM101" i="13"/>
  <c r="EM13" i="13"/>
  <c r="EL13" i="13"/>
  <c r="EN13" i="13"/>
  <c r="EM78" i="13"/>
  <c r="EN78" i="13"/>
  <c r="EL78" i="13"/>
  <c r="EN88" i="13"/>
  <c r="EL88" i="13"/>
  <c r="EM88" i="13"/>
  <c r="EM95" i="13"/>
  <c r="EN95" i="13"/>
  <c r="EL95" i="13"/>
  <c r="EL81" i="13"/>
  <c r="EN81" i="13"/>
  <c r="EM81" i="13"/>
  <c r="EL25" i="13"/>
  <c r="EM25" i="13"/>
  <c r="EN25" i="13"/>
  <c r="EN92" i="13"/>
  <c r="EM92" i="13"/>
  <c r="EL92" i="13"/>
  <c r="EN97" i="13"/>
  <c r="EL97" i="13"/>
  <c r="EM97" i="13"/>
  <c r="EM20" i="13"/>
  <c r="EL20" i="13"/>
  <c r="EN20" i="13"/>
  <c r="EL100" i="13"/>
  <c r="EM100" i="13"/>
  <c r="EN100" i="13"/>
  <c r="EM19" i="13"/>
  <c r="EN19" i="13"/>
  <c r="EL19" i="13"/>
  <c r="EN91" i="13"/>
  <c r="EM91" i="13"/>
  <c r="EL91" i="13"/>
  <c r="EM46" i="13"/>
  <c r="EL46" i="13"/>
  <c r="EN46" i="13"/>
  <c r="EL24" i="13"/>
  <c r="EM24" i="13"/>
  <c r="EN24" i="13"/>
  <c r="EL70" i="13"/>
  <c r="EM70" i="13"/>
  <c r="EN70" i="13"/>
  <c r="EL84" i="13"/>
  <c r="EM84" i="13"/>
  <c r="EN84" i="13"/>
  <c r="EL22" i="13"/>
  <c r="EN22" i="13"/>
  <c r="EM22" i="13"/>
  <c r="EL87" i="13"/>
  <c r="EM87" i="13"/>
  <c r="EN87" i="13"/>
  <c r="EN63" i="13"/>
  <c r="EL63" i="13"/>
  <c r="EM63" i="13"/>
  <c r="EN62" i="13"/>
  <c r="EL62" i="13"/>
  <c r="EM62" i="13"/>
  <c r="EM99" i="13"/>
  <c r="EN99" i="13"/>
  <c r="EL99" i="13"/>
  <c r="EL29" i="13"/>
  <c r="EN29" i="13"/>
  <c r="EM29" i="13"/>
  <c r="EM39" i="13"/>
  <c r="EN39" i="13"/>
  <c r="EL39" i="13"/>
  <c r="EL27" i="13"/>
  <c r="EM27" i="13"/>
  <c r="EN27" i="13"/>
  <c r="EM73" i="13"/>
  <c r="EN73" i="13"/>
  <c r="EL73" i="13"/>
  <c r="EM36" i="13"/>
  <c r="EN36" i="13"/>
  <c r="GD36" i="14" s="1"/>
  <c r="EL36" i="13"/>
  <c r="EM38" i="13"/>
  <c r="EN38" i="13"/>
  <c r="EL38" i="13"/>
  <c r="EN69" i="13"/>
  <c r="EL69" i="13"/>
  <c r="EM69" i="13"/>
  <c r="EN23" i="13"/>
  <c r="EL23" i="13"/>
  <c r="EM23" i="13"/>
  <c r="EL83" i="13"/>
  <c r="EM83" i="13"/>
  <c r="EN83" i="13"/>
  <c r="EL2" i="13"/>
  <c r="EN2" i="13"/>
  <c r="GD2" i="21" s="1"/>
  <c r="EM2" i="13"/>
  <c r="GC2" i="21" s="1"/>
  <c r="EL66" i="13"/>
  <c r="EM66" i="13"/>
  <c r="EN66" i="13"/>
  <c r="EN93" i="13"/>
  <c r="GD93" i="14" s="1"/>
  <c r="EL93" i="13"/>
  <c r="EM93" i="13"/>
  <c r="EL82" i="13"/>
  <c r="EN82" i="13"/>
  <c r="EM82" i="13"/>
  <c r="EN49" i="13"/>
  <c r="EL49" i="13"/>
  <c r="EM49" i="13"/>
  <c r="EM35" i="13"/>
  <c r="EL35" i="13"/>
  <c r="EN35" i="13"/>
  <c r="EM58" i="13"/>
  <c r="EL58" i="13"/>
  <c r="EN58" i="13"/>
  <c r="EM52" i="13"/>
  <c r="EL52" i="13"/>
  <c r="EN52" i="13"/>
  <c r="GD36" i="20"/>
  <c r="GB36" i="20"/>
  <c r="EN76" i="13"/>
  <c r="EL76" i="13"/>
  <c r="EM76" i="13"/>
  <c r="EN50" i="13"/>
  <c r="EM50" i="13"/>
  <c r="EL50" i="13"/>
  <c r="EN28" i="13"/>
  <c r="EM28" i="13"/>
  <c r="EL28" i="13"/>
  <c r="EL89" i="13"/>
  <c r="EM89" i="13"/>
  <c r="EN89" i="13"/>
  <c r="EM34" i="13"/>
  <c r="EN34" i="13"/>
  <c r="EL34" i="13"/>
  <c r="EL61" i="13"/>
  <c r="EN61" i="13"/>
  <c r="EM61" i="13"/>
  <c r="EM42" i="13"/>
  <c r="EL42" i="13"/>
  <c r="EN42" i="13"/>
  <c r="EM51" i="13"/>
  <c r="EL51" i="13"/>
  <c r="EN51" i="13"/>
  <c r="EL55" i="13"/>
  <c r="EN55" i="13"/>
  <c r="EM55" i="13"/>
  <c r="EM72" i="13"/>
  <c r="EN72" i="13"/>
  <c r="EL72" i="13"/>
  <c r="EL57" i="13"/>
  <c r="EM57" i="13"/>
  <c r="EN57" i="13"/>
  <c r="EL41" i="13"/>
  <c r="EM41" i="13"/>
  <c r="EN41" i="13"/>
  <c r="EN77" i="13"/>
  <c r="EM77" i="13"/>
  <c r="EL77" i="13"/>
  <c r="EN30" i="13"/>
  <c r="EL30" i="13"/>
  <c r="EM30" i="13"/>
  <c r="EM74" i="13"/>
  <c r="EL74" i="13"/>
  <c r="EN74" i="13"/>
  <c r="EL4" i="13"/>
  <c r="EN4" i="13"/>
  <c r="EM4" i="13"/>
  <c r="EL5" i="13"/>
  <c r="EN5" i="13"/>
  <c r="EM5" i="13"/>
  <c r="EN96" i="13"/>
  <c r="EL96" i="13"/>
  <c r="EM96" i="13"/>
  <c r="EM17" i="13"/>
  <c r="EN17" i="13"/>
  <c r="EL17" i="13"/>
  <c r="EN48" i="13"/>
  <c r="EM48" i="13"/>
  <c r="EL48" i="13"/>
  <c r="EN45" i="13"/>
  <c r="EL45" i="13"/>
  <c r="EM45" i="13"/>
  <c r="EL90" i="13"/>
  <c r="EN90" i="13"/>
  <c r="EM90" i="13"/>
  <c r="EN86" i="13"/>
  <c r="EL86" i="13"/>
  <c r="EM86" i="13"/>
  <c r="EN54" i="13"/>
  <c r="EM54" i="13"/>
  <c r="EL54" i="13"/>
  <c r="EM71" i="13"/>
  <c r="EL71" i="13"/>
  <c r="EN71" i="13"/>
  <c r="EL60" i="13"/>
  <c r="EM60" i="13"/>
  <c r="EN60" i="13"/>
  <c r="BS87" i="16"/>
  <c r="BT87" i="16" s="1"/>
  <c r="BU87" i="16" s="1"/>
  <c r="BS69" i="16"/>
  <c r="BT69" i="16" s="1"/>
  <c r="BU69" i="16" s="1"/>
  <c r="BZ15" i="16"/>
  <c r="CA15" i="16" s="1"/>
  <c r="BZ68" i="16"/>
  <c r="CA68" i="16" s="1"/>
  <c r="BZ38" i="16"/>
  <c r="CA38" i="16" s="1"/>
  <c r="BZ55" i="16"/>
  <c r="CA55" i="16" s="1"/>
  <c r="BZ77" i="16"/>
  <c r="CA77" i="16" s="1"/>
  <c r="BS54" i="16"/>
  <c r="BT54" i="16" s="1"/>
  <c r="BU54" i="16" s="1"/>
  <c r="BZ5" i="16"/>
  <c r="CA5" i="16" s="1"/>
  <c r="GD44" i="14" l="1"/>
  <c r="GD44" i="20"/>
  <c r="GD35" i="14"/>
  <c r="GD35" i="20"/>
  <c r="GD39" i="14"/>
  <c r="GD39" i="20"/>
  <c r="GD84" i="14"/>
  <c r="GD84" i="20"/>
  <c r="GC65" i="14"/>
  <c r="GC65" i="20"/>
  <c r="GC40" i="14"/>
  <c r="GC40" i="20"/>
  <c r="GC7" i="14"/>
  <c r="GC7" i="20"/>
  <c r="GC44" i="14"/>
  <c r="GC44" i="20"/>
  <c r="GC5" i="14"/>
  <c r="GC5" i="20"/>
  <c r="GC67" i="14"/>
  <c r="GC67" i="20"/>
  <c r="GD100" i="14"/>
  <c r="GD100" i="20"/>
  <c r="GC83" i="14"/>
  <c r="GC83" i="20"/>
  <c r="GC84" i="14"/>
  <c r="GC84" i="20"/>
  <c r="GC11" i="14"/>
  <c r="GC11" i="20"/>
  <c r="GD83" i="14"/>
  <c r="GD83" i="20"/>
  <c r="GC34" i="14"/>
  <c r="GC34" i="20"/>
  <c r="GD65" i="14"/>
  <c r="GD65" i="20"/>
  <c r="GC72" i="14"/>
  <c r="GC72" i="20"/>
  <c r="GC16" i="14"/>
  <c r="GC16" i="20"/>
  <c r="GD88" i="14"/>
  <c r="GD88" i="20"/>
  <c r="GD5" i="14"/>
  <c r="GD5" i="20"/>
  <c r="GC26" i="14"/>
  <c r="GC26" i="20"/>
  <c r="GD49" i="14"/>
  <c r="GD49" i="20"/>
  <c r="GD13" i="14"/>
  <c r="GD13" i="20"/>
  <c r="GD26" i="14"/>
  <c r="GD26" i="20"/>
  <c r="GC6" i="14"/>
  <c r="GC6" i="20"/>
  <c r="GD22" i="14"/>
  <c r="GD22" i="20"/>
  <c r="GC54" i="14"/>
  <c r="GC54" i="20"/>
  <c r="GD20" i="14"/>
  <c r="GD20" i="20"/>
  <c r="GD29" i="14"/>
  <c r="GD29" i="20"/>
  <c r="GC28" i="14"/>
  <c r="GC28" i="20"/>
  <c r="GD55" i="14"/>
  <c r="GD55" i="20"/>
  <c r="GD69" i="14"/>
  <c r="GD69" i="20"/>
  <c r="GD99" i="14"/>
  <c r="GD99" i="20"/>
  <c r="GD24" i="14"/>
  <c r="GD24" i="20"/>
  <c r="GD97" i="14"/>
  <c r="GD97" i="20"/>
  <c r="GC79" i="14"/>
  <c r="GC79" i="20"/>
  <c r="GD16" i="14"/>
  <c r="GD16" i="20"/>
  <c r="GD37" i="14"/>
  <c r="GD37" i="20"/>
  <c r="GC71" i="14"/>
  <c r="GC71" i="20"/>
  <c r="GD7" i="14"/>
  <c r="GD7" i="20"/>
  <c r="GD78" i="14"/>
  <c r="GD78" i="20"/>
  <c r="GC13" i="14"/>
  <c r="GC13" i="20"/>
  <c r="GD64" i="14"/>
  <c r="GD64" i="20"/>
  <c r="GC8" i="14"/>
  <c r="GC8" i="20"/>
  <c r="GD79" i="14"/>
  <c r="GD79" i="20"/>
  <c r="GD14" i="14"/>
  <c r="GD14" i="20"/>
  <c r="GC56" i="14"/>
  <c r="GC56" i="20"/>
  <c r="GC39" i="14"/>
  <c r="GC39" i="20"/>
  <c r="GD70" i="14"/>
  <c r="GD70" i="20"/>
  <c r="GC69" i="14"/>
  <c r="GC69" i="20"/>
  <c r="GD28" i="14"/>
  <c r="GD28" i="20"/>
  <c r="GD38" i="14"/>
  <c r="GD38" i="20"/>
  <c r="GC101" i="14"/>
  <c r="GC101" i="20"/>
  <c r="GC64" i="14"/>
  <c r="GC64" i="20"/>
  <c r="GD8" i="14"/>
  <c r="GD8" i="20"/>
  <c r="GC14" i="14"/>
  <c r="GC14" i="20"/>
  <c r="GD21" i="14"/>
  <c r="GD21" i="20"/>
  <c r="GD98" i="14"/>
  <c r="GD98" i="20"/>
  <c r="GD57" i="14"/>
  <c r="GD57" i="20"/>
  <c r="GC59" i="14"/>
  <c r="GC59" i="20"/>
  <c r="GC21" i="14"/>
  <c r="GC21" i="20"/>
  <c r="GC95" i="14"/>
  <c r="GC95" i="20"/>
  <c r="GC58" i="14"/>
  <c r="GC58" i="20"/>
  <c r="GD56" i="14"/>
  <c r="GD56" i="20"/>
  <c r="GC20" i="14"/>
  <c r="GC20" i="20"/>
  <c r="GD4" i="14"/>
  <c r="GD4" i="20"/>
  <c r="GC31" i="14"/>
  <c r="GC31" i="20"/>
  <c r="GD34" i="14"/>
  <c r="GD34" i="20"/>
  <c r="GC88" i="14"/>
  <c r="GC88" i="20"/>
  <c r="GC57" i="14"/>
  <c r="GC57" i="20"/>
  <c r="GC89" i="14"/>
  <c r="GC89" i="20"/>
  <c r="GC35" i="14"/>
  <c r="GC35" i="20"/>
  <c r="GD23" i="14"/>
  <c r="GD23" i="20"/>
  <c r="GC97" i="14"/>
  <c r="GC97" i="20"/>
  <c r="GC63" i="14"/>
  <c r="GC63" i="20"/>
  <c r="GC46" i="14"/>
  <c r="GC46" i="20"/>
  <c r="GC25" i="14"/>
  <c r="GC25" i="20"/>
  <c r="GD47" i="14"/>
  <c r="GD47" i="20"/>
  <c r="GD31" i="14"/>
  <c r="GD31" i="20"/>
  <c r="GD93" i="20"/>
  <c r="GC23" i="14"/>
  <c r="GC23" i="20"/>
  <c r="GD15" i="14"/>
  <c r="GD15" i="20"/>
  <c r="GC90" i="14"/>
  <c r="GC90" i="20"/>
  <c r="GD66" i="14"/>
  <c r="GD66" i="20"/>
  <c r="GC36" i="14"/>
  <c r="GC36" i="20"/>
  <c r="GC85" i="14"/>
  <c r="GC85" i="20"/>
  <c r="GD18" i="14"/>
  <c r="GD18" i="20"/>
  <c r="GD33" i="14"/>
  <c r="GD33" i="20"/>
  <c r="GC9" i="14"/>
  <c r="GC9" i="20"/>
  <c r="GC29" i="14"/>
  <c r="GC29" i="20"/>
  <c r="GD6" i="14"/>
  <c r="GD6" i="20"/>
  <c r="GC66" i="14"/>
  <c r="GC66" i="20"/>
  <c r="GD63" i="14"/>
  <c r="GD63" i="20"/>
  <c r="GC91" i="14"/>
  <c r="GC91" i="20"/>
  <c r="GC81" i="14"/>
  <c r="GC81" i="20"/>
  <c r="GD85" i="14"/>
  <c r="GD85" i="20"/>
  <c r="GC18" i="14"/>
  <c r="GC18" i="20"/>
  <c r="GD68" i="14"/>
  <c r="GD68" i="20"/>
  <c r="GC33" i="14"/>
  <c r="GC33" i="20"/>
  <c r="GC12" i="14"/>
  <c r="GC12" i="20"/>
  <c r="GC100" i="14"/>
  <c r="GC100" i="20"/>
  <c r="GD59" i="14"/>
  <c r="GD59" i="20"/>
  <c r="GC49" i="14"/>
  <c r="GC49" i="20"/>
  <c r="GC70" i="14"/>
  <c r="GC70" i="20"/>
  <c r="GC55" i="14"/>
  <c r="GC55" i="20"/>
  <c r="GC62" i="14"/>
  <c r="GC62" i="20"/>
  <c r="GD46" i="14"/>
  <c r="GD46" i="20"/>
  <c r="GD75" i="14"/>
  <c r="GD75" i="20"/>
  <c r="GC77" i="14"/>
  <c r="GC77" i="20"/>
  <c r="GD73" i="14"/>
  <c r="GD73" i="20"/>
  <c r="GD81" i="14"/>
  <c r="GD81" i="20"/>
  <c r="GD53" i="14"/>
  <c r="GD53" i="20"/>
  <c r="GD10" i="14"/>
  <c r="GD10" i="20"/>
  <c r="GD12" i="14"/>
  <c r="GD12" i="20"/>
  <c r="GD9" i="14"/>
  <c r="GD9" i="20"/>
  <c r="GC96" i="14"/>
  <c r="GC96" i="20"/>
  <c r="GD89" i="14"/>
  <c r="GD89" i="20"/>
  <c r="GD11" i="14"/>
  <c r="GD11" i="20"/>
  <c r="GC82" i="14"/>
  <c r="GC82" i="20"/>
  <c r="GD90" i="14"/>
  <c r="GD90" i="20"/>
  <c r="GC50" i="14"/>
  <c r="GC50" i="20"/>
  <c r="GC99" i="14"/>
  <c r="GC99" i="20"/>
  <c r="GD50" i="14"/>
  <c r="GD50" i="20"/>
  <c r="GC45" i="14"/>
  <c r="GC45" i="20"/>
  <c r="GC76" i="14"/>
  <c r="GC76" i="20"/>
  <c r="GD92" i="14"/>
  <c r="GD92" i="20"/>
  <c r="GC30" i="14"/>
  <c r="GC30" i="20"/>
  <c r="GC51" i="14"/>
  <c r="GC51" i="20"/>
  <c r="GD45" i="14"/>
  <c r="GD45" i="20"/>
  <c r="GD42" i="14"/>
  <c r="GD42" i="20"/>
  <c r="GC48" i="14"/>
  <c r="GC48" i="20"/>
  <c r="GC61" i="14"/>
  <c r="GC61" i="20"/>
  <c r="GD91" i="14"/>
  <c r="GD91" i="20"/>
  <c r="GC60" i="14"/>
  <c r="GC60" i="20"/>
  <c r="GD77" i="14"/>
  <c r="GD77" i="20"/>
  <c r="GD61" i="14"/>
  <c r="GD61" i="20"/>
  <c r="GC2" i="14"/>
  <c r="GC2" i="20"/>
  <c r="GC73" i="14"/>
  <c r="GC73" i="20"/>
  <c r="GC87" i="14"/>
  <c r="GC87" i="20"/>
  <c r="GD94" i="14"/>
  <c r="GD94" i="20"/>
  <c r="GC68" i="14"/>
  <c r="GC68" i="20"/>
  <c r="GD3" i="14"/>
  <c r="GD3" i="20"/>
  <c r="GD67" i="14"/>
  <c r="GD67" i="20"/>
  <c r="GC78" i="14"/>
  <c r="GC78" i="20"/>
  <c r="GD74" i="14"/>
  <c r="GD74" i="20"/>
  <c r="GC24" i="14"/>
  <c r="GC24" i="20"/>
  <c r="GC38" i="14"/>
  <c r="GC38" i="20"/>
  <c r="GC47" i="14"/>
  <c r="GC47" i="20"/>
  <c r="GD30" i="14"/>
  <c r="GD30" i="20"/>
  <c r="GD60" i="14"/>
  <c r="GD60" i="20"/>
  <c r="GD2" i="14"/>
  <c r="GD2" i="20"/>
  <c r="GD27" i="14"/>
  <c r="GD27" i="20"/>
  <c r="GC53" i="14"/>
  <c r="GC53" i="20"/>
  <c r="GC10" i="14"/>
  <c r="GC10" i="20"/>
  <c r="GC32" i="14"/>
  <c r="GC32" i="20"/>
  <c r="GD80" i="14"/>
  <c r="GD80" i="20"/>
  <c r="GD40" i="14"/>
  <c r="GD40" i="20"/>
  <c r="GC98" i="14"/>
  <c r="GC98" i="20"/>
  <c r="GD96" i="14"/>
  <c r="GD96" i="20"/>
  <c r="GD54" i="14"/>
  <c r="GD54" i="20"/>
  <c r="GC15" i="14"/>
  <c r="GC15" i="20"/>
  <c r="GC86" i="14"/>
  <c r="GC86" i="20"/>
  <c r="GD72" i="14"/>
  <c r="GD72" i="20"/>
  <c r="GC4" i="14"/>
  <c r="GC4" i="20"/>
  <c r="GD86" i="14"/>
  <c r="GD86" i="20"/>
  <c r="GD82" i="14"/>
  <c r="GD82" i="20"/>
  <c r="GD51" i="14"/>
  <c r="GD51" i="20"/>
  <c r="GC92" i="14"/>
  <c r="GC92" i="20"/>
  <c r="GC74" i="14"/>
  <c r="GC74" i="20"/>
  <c r="GC93" i="14"/>
  <c r="GC93" i="20"/>
  <c r="GD101" i="14"/>
  <c r="GD101" i="20"/>
  <c r="GC43" i="14"/>
  <c r="GC43" i="20"/>
  <c r="GC75" i="14"/>
  <c r="GC75" i="20"/>
  <c r="GD62" i="14"/>
  <c r="GD62" i="20"/>
  <c r="GD25" i="14"/>
  <c r="GD25" i="20"/>
  <c r="GD43" i="14"/>
  <c r="GD43" i="20"/>
  <c r="GD76" i="14"/>
  <c r="GD76" i="20"/>
  <c r="GC42" i="14"/>
  <c r="GC42" i="20"/>
  <c r="GD48" i="14"/>
  <c r="GD48" i="20"/>
  <c r="GD52" i="14"/>
  <c r="GD52" i="20"/>
  <c r="GD87" i="14"/>
  <c r="GD87" i="20"/>
  <c r="GD17" i="14"/>
  <c r="GD17" i="20"/>
  <c r="GD41" i="14"/>
  <c r="GD41" i="20"/>
  <c r="GC52" i="14"/>
  <c r="GC52" i="20"/>
  <c r="GD19" i="14"/>
  <c r="GD19" i="20"/>
  <c r="GD71" i="14"/>
  <c r="GD71" i="20"/>
  <c r="GC17" i="14"/>
  <c r="GC17" i="20"/>
  <c r="GC41" i="14"/>
  <c r="GC41" i="20"/>
  <c r="GD58" i="14"/>
  <c r="GD58" i="20"/>
  <c r="GC27" i="14"/>
  <c r="GC27" i="20"/>
  <c r="GC22" i="14"/>
  <c r="GC22" i="20"/>
  <c r="GC19" i="14"/>
  <c r="GC19" i="20"/>
  <c r="GD95" i="14"/>
  <c r="GD95" i="20"/>
  <c r="GC94" i="14"/>
  <c r="GC94" i="20"/>
  <c r="GC37" i="14"/>
  <c r="GC37" i="20"/>
  <c r="GC3" i="14"/>
  <c r="GC3" i="20"/>
  <c r="GD32" i="14"/>
  <c r="GD32" i="20"/>
  <c r="GC80" i="14"/>
  <c r="GC80" i="20"/>
  <c r="CN3" i="7"/>
  <c r="CN4" i="7"/>
  <c r="CN5" i="7"/>
  <c r="CN6" i="7"/>
  <c r="CN7" i="7"/>
  <c r="CN8" i="7"/>
  <c r="CN9" i="7"/>
  <c r="CN10" i="7"/>
  <c r="CN11" i="7"/>
  <c r="CN12" i="7"/>
  <c r="CN13" i="7"/>
  <c r="CN14" i="7"/>
  <c r="CN15" i="7"/>
  <c r="CN16" i="7"/>
  <c r="CN17" i="7"/>
  <c r="CN18" i="7"/>
  <c r="CN19" i="7"/>
  <c r="CN20" i="7"/>
  <c r="CN21" i="7"/>
  <c r="CN22" i="7"/>
  <c r="CN23" i="7"/>
  <c r="CN24" i="7"/>
  <c r="CN25" i="7"/>
  <c r="CN26" i="7"/>
  <c r="CN27" i="7"/>
  <c r="CN28" i="7"/>
  <c r="CN29" i="7"/>
  <c r="CN30" i="7"/>
  <c r="CN31" i="7"/>
  <c r="CN32" i="7"/>
  <c r="CN33" i="7"/>
  <c r="CN34" i="7"/>
  <c r="CN35" i="7"/>
  <c r="CN36" i="7"/>
  <c r="CN37" i="7"/>
  <c r="CN38" i="7"/>
  <c r="CN39" i="7"/>
  <c r="CN40" i="7"/>
  <c r="CN41" i="7"/>
  <c r="CN42" i="7"/>
  <c r="CN43" i="7"/>
  <c r="CN44" i="7"/>
  <c r="CN45" i="7"/>
  <c r="CN46" i="7"/>
  <c r="CN47" i="7"/>
  <c r="CN48" i="7"/>
  <c r="CN49" i="7"/>
  <c r="CN50" i="7"/>
  <c r="CN51" i="7"/>
  <c r="CN52" i="7"/>
  <c r="CN53" i="7"/>
  <c r="CN54" i="7"/>
  <c r="CN55" i="7"/>
  <c r="CN56" i="7"/>
  <c r="CN57" i="7"/>
  <c r="CN58" i="7"/>
  <c r="CN59" i="7"/>
  <c r="CN60" i="7"/>
  <c r="CN61" i="7"/>
  <c r="CN62" i="7"/>
  <c r="CN63" i="7"/>
  <c r="CN64" i="7"/>
  <c r="CN65" i="7"/>
  <c r="CN66" i="7"/>
  <c r="CN67" i="7"/>
  <c r="CN68" i="7"/>
  <c r="CN69" i="7"/>
  <c r="CN70" i="7"/>
  <c r="CN71" i="7"/>
  <c r="CN72" i="7"/>
  <c r="CN73" i="7"/>
  <c r="CN74" i="7"/>
  <c r="CN75" i="7"/>
  <c r="CN76" i="7"/>
  <c r="CN77" i="7"/>
  <c r="CN78" i="7"/>
  <c r="CN79" i="7"/>
  <c r="CN80" i="7"/>
  <c r="CN81" i="7"/>
  <c r="CN82" i="7"/>
  <c r="CN83" i="7"/>
  <c r="CN84" i="7"/>
  <c r="CN85" i="7"/>
  <c r="CN86" i="7"/>
  <c r="CN87" i="7"/>
  <c r="CN88" i="7"/>
  <c r="CN89" i="7"/>
  <c r="CN90" i="7"/>
  <c r="CN91" i="7"/>
  <c r="CN92" i="7"/>
  <c r="CN93" i="7"/>
  <c r="CN94" i="7"/>
  <c r="CN95" i="7"/>
  <c r="CN96" i="7"/>
  <c r="CN97" i="7"/>
  <c r="CN98" i="7"/>
  <c r="CN99" i="7"/>
  <c r="CN100" i="7"/>
  <c r="CN101" i="7"/>
  <c r="BV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V36" i="7"/>
  <c r="BV37" i="7"/>
  <c r="BV38" i="7"/>
  <c r="BV39" i="7"/>
  <c r="BV40" i="7"/>
  <c r="BV41" i="7"/>
  <c r="BV42" i="7"/>
  <c r="BV43" i="7"/>
  <c r="BV44" i="7"/>
  <c r="BV45" i="7"/>
  <c r="BV46" i="7"/>
  <c r="BV47" i="7"/>
  <c r="BV48" i="7"/>
  <c r="BV49" i="7"/>
  <c r="BV50" i="7"/>
  <c r="BV51" i="7"/>
  <c r="BV52" i="7"/>
  <c r="BV53" i="7"/>
  <c r="BV54" i="7"/>
  <c r="BV55" i="7"/>
  <c r="BV56" i="7"/>
  <c r="BV57" i="7"/>
  <c r="BV58" i="7"/>
  <c r="BV59" i="7"/>
  <c r="BV60" i="7"/>
  <c r="BV61" i="7"/>
  <c r="BV62" i="7"/>
  <c r="BV63" i="7"/>
  <c r="BV64" i="7"/>
  <c r="BV65" i="7"/>
  <c r="BV66" i="7"/>
  <c r="BV67" i="7"/>
  <c r="BV68" i="7"/>
  <c r="BV69" i="7"/>
  <c r="BV70" i="7"/>
  <c r="BV71" i="7"/>
  <c r="BV72" i="7"/>
  <c r="BV73" i="7"/>
  <c r="BV74" i="7"/>
  <c r="BV75" i="7"/>
  <c r="BV76" i="7"/>
  <c r="BV77" i="7"/>
  <c r="BV78" i="7"/>
  <c r="BV79" i="7"/>
  <c r="BV80" i="7"/>
  <c r="BV81" i="7"/>
  <c r="BV82" i="7"/>
  <c r="BV83" i="7"/>
  <c r="BV84" i="7"/>
  <c r="BV85" i="7"/>
  <c r="BV86" i="7"/>
  <c r="BV87" i="7"/>
  <c r="BV88" i="7"/>
  <c r="BV89" i="7"/>
  <c r="BV90" i="7"/>
  <c r="BV91" i="7"/>
  <c r="BV92" i="7"/>
  <c r="BV93" i="7"/>
  <c r="BV94" i="7"/>
  <c r="BV95" i="7"/>
  <c r="BV96" i="7"/>
  <c r="BV97" i="7"/>
  <c r="BV98" i="7"/>
  <c r="BV99" i="7"/>
  <c r="BV100" i="7"/>
  <c r="BV101" i="7"/>
  <c r="BV2" i="7"/>
  <c r="I24" i="4" l="1"/>
  <c r="I32" i="4" s="1"/>
  <c r="I22" i="4"/>
  <c r="C22" i="4"/>
  <c r="EA2" i="7"/>
  <c r="FD2" i="7"/>
  <c r="FC3" i="7"/>
  <c r="FC4" i="7"/>
  <c r="FC5" i="7"/>
  <c r="FC6" i="7"/>
  <c r="FC7" i="7"/>
  <c r="FC8" i="7"/>
  <c r="FC9" i="7"/>
  <c r="FC10" i="7"/>
  <c r="FC11" i="7"/>
  <c r="FC12" i="7"/>
  <c r="FC13" i="7"/>
  <c r="FC14" i="7"/>
  <c r="FC15" i="7"/>
  <c r="FC16" i="7"/>
  <c r="FC17" i="7"/>
  <c r="FC18" i="7"/>
  <c r="FC19" i="7"/>
  <c r="FC20" i="7"/>
  <c r="FC21" i="7"/>
  <c r="FC22" i="7"/>
  <c r="FC23" i="7"/>
  <c r="FC24" i="7"/>
  <c r="FC25" i="7"/>
  <c r="FC26" i="7"/>
  <c r="FC27" i="7"/>
  <c r="FC28" i="7"/>
  <c r="FC29" i="7"/>
  <c r="FC30" i="7"/>
  <c r="FC31" i="7"/>
  <c r="FC32" i="7"/>
  <c r="FC33" i="7"/>
  <c r="FC34" i="7"/>
  <c r="FC35" i="7"/>
  <c r="FC36" i="7"/>
  <c r="FC37" i="7"/>
  <c r="FC38" i="7"/>
  <c r="FC39" i="7"/>
  <c r="FC40" i="7"/>
  <c r="FC41" i="7"/>
  <c r="FC42" i="7"/>
  <c r="FC43" i="7"/>
  <c r="FC44" i="7"/>
  <c r="FC45" i="7"/>
  <c r="FC46" i="7"/>
  <c r="FC47" i="7"/>
  <c r="FC48" i="7"/>
  <c r="FC49" i="7"/>
  <c r="FC50" i="7"/>
  <c r="FC51" i="7"/>
  <c r="FC52" i="7"/>
  <c r="FC53" i="7"/>
  <c r="FC54" i="7"/>
  <c r="FC55" i="7"/>
  <c r="FC56" i="7"/>
  <c r="FC57" i="7"/>
  <c r="FC58" i="7"/>
  <c r="FC59" i="7"/>
  <c r="FC60" i="7"/>
  <c r="FC61" i="7"/>
  <c r="FC62" i="7"/>
  <c r="FC63" i="7"/>
  <c r="FC64" i="7"/>
  <c r="FC65" i="7"/>
  <c r="FC66" i="7"/>
  <c r="FC67" i="7"/>
  <c r="FC68" i="7"/>
  <c r="FC69" i="7"/>
  <c r="FC70" i="7"/>
  <c r="FC71" i="7"/>
  <c r="FC72" i="7"/>
  <c r="FC73" i="7"/>
  <c r="FC74" i="7"/>
  <c r="FC75" i="7"/>
  <c r="FC76" i="7"/>
  <c r="FC77" i="7"/>
  <c r="FC78" i="7"/>
  <c r="FC79" i="7"/>
  <c r="FC80" i="7"/>
  <c r="FC81" i="7"/>
  <c r="FC82" i="7"/>
  <c r="FC83" i="7"/>
  <c r="FC84" i="7"/>
  <c r="FC85" i="7"/>
  <c r="FC86" i="7"/>
  <c r="FC87" i="7"/>
  <c r="FC88" i="7"/>
  <c r="FC89" i="7"/>
  <c r="FC90" i="7"/>
  <c r="FC91" i="7"/>
  <c r="FC92" i="7"/>
  <c r="FC93" i="7"/>
  <c r="FC94" i="7"/>
  <c r="FC95" i="7"/>
  <c r="FC96" i="7"/>
  <c r="FC97" i="7"/>
  <c r="FC98" i="7"/>
  <c r="FC99" i="7"/>
  <c r="FC100" i="7"/>
  <c r="FC101" i="7"/>
  <c r="FB3" i="7"/>
  <c r="FB4" i="7"/>
  <c r="FB5" i="7"/>
  <c r="FB6" i="7"/>
  <c r="FB7" i="7"/>
  <c r="FB8" i="7"/>
  <c r="FB9" i="7"/>
  <c r="FB10" i="7"/>
  <c r="FB11" i="7"/>
  <c r="FB12" i="7"/>
  <c r="FB13" i="7"/>
  <c r="FB14" i="7"/>
  <c r="FB15" i="7"/>
  <c r="FB16" i="7"/>
  <c r="FB17" i="7"/>
  <c r="FB18" i="7"/>
  <c r="FB19" i="7"/>
  <c r="FB20" i="7"/>
  <c r="FB21" i="7"/>
  <c r="FB22" i="7"/>
  <c r="FB23" i="7"/>
  <c r="FB24" i="7"/>
  <c r="FB25" i="7"/>
  <c r="FB26" i="7"/>
  <c r="FB27" i="7"/>
  <c r="FB28" i="7"/>
  <c r="FB29" i="7"/>
  <c r="FB30" i="7"/>
  <c r="FB31" i="7"/>
  <c r="FB32" i="7"/>
  <c r="FB33" i="7"/>
  <c r="FB34" i="7"/>
  <c r="FB35" i="7"/>
  <c r="FB36" i="7"/>
  <c r="FB37" i="7"/>
  <c r="FB38" i="7"/>
  <c r="FB39" i="7"/>
  <c r="FB40" i="7"/>
  <c r="FB41" i="7"/>
  <c r="FB42" i="7"/>
  <c r="FB43" i="7"/>
  <c r="FB44" i="7"/>
  <c r="FB45" i="7"/>
  <c r="FB46" i="7"/>
  <c r="FB47" i="7"/>
  <c r="FB48" i="7"/>
  <c r="FB49" i="7"/>
  <c r="FB50" i="7"/>
  <c r="FB51" i="7"/>
  <c r="FB52" i="7"/>
  <c r="FB53" i="7"/>
  <c r="FB54" i="7"/>
  <c r="FB55" i="7"/>
  <c r="FB56" i="7"/>
  <c r="FB57" i="7"/>
  <c r="FB58" i="7"/>
  <c r="FB59" i="7"/>
  <c r="FB60" i="7"/>
  <c r="FB61" i="7"/>
  <c r="FB62" i="7"/>
  <c r="FB63" i="7"/>
  <c r="FB64" i="7"/>
  <c r="FB65" i="7"/>
  <c r="FB66" i="7"/>
  <c r="FB67" i="7"/>
  <c r="FB68" i="7"/>
  <c r="FB69" i="7"/>
  <c r="FB70" i="7"/>
  <c r="FB71" i="7"/>
  <c r="FB72" i="7"/>
  <c r="FB73" i="7"/>
  <c r="FB74" i="7"/>
  <c r="FB75" i="7"/>
  <c r="FB76" i="7"/>
  <c r="FB77" i="7"/>
  <c r="FB78" i="7"/>
  <c r="FB79" i="7"/>
  <c r="FB80" i="7"/>
  <c r="FB81" i="7"/>
  <c r="FB82" i="7"/>
  <c r="FB83" i="7"/>
  <c r="FB84" i="7"/>
  <c r="FB85" i="7"/>
  <c r="FB86" i="7"/>
  <c r="FB87" i="7"/>
  <c r="FB88" i="7"/>
  <c r="FB89" i="7"/>
  <c r="FB90" i="7"/>
  <c r="FB91" i="7"/>
  <c r="FB92" i="7"/>
  <c r="FB93" i="7"/>
  <c r="FB94" i="7"/>
  <c r="FB95" i="7"/>
  <c r="FB96" i="7"/>
  <c r="FB97" i="7"/>
  <c r="FB98" i="7"/>
  <c r="FB99" i="7"/>
  <c r="FB100" i="7"/>
  <c r="FB101" i="7"/>
  <c r="FA3" i="7"/>
  <c r="FA4" i="7"/>
  <c r="FA5" i="7"/>
  <c r="FA6" i="7"/>
  <c r="FA7" i="7"/>
  <c r="FA8" i="7"/>
  <c r="FA9" i="7"/>
  <c r="FA10" i="7"/>
  <c r="FA11" i="7"/>
  <c r="FA12" i="7"/>
  <c r="FA13" i="7"/>
  <c r="FA14" i="7"/>
  <c r="FA15" i="7"/>
  <c r="FA16" i="7"/>
  <c r="FA17" i="7"/>
  <c r="FA18" i="7"/>
  <c r="FA19" i="7"/>
  <c r="FA20" i="7"/>
  <c r="FA21" i="7"/>
  <c r="FA22" i="7"/>
  <c r="FA23" i="7"/>
  <c r="FA24" i="7"/>
  <c r="FA25" i="7"/>
  <c r="FA26" i="7"/>
  <c r="FA27" i="7"/>
  <c r="FA28" i="7"/>
  <c r="FA29" i="7"/>
  <c r="FA30" i="7"/>
  <c r="FA31" i="7"/>
  <c r="FA32" i="7"/>
  <c r="FA33" i="7"/>
  <c r="FA34" i="7"/>
  <c r="FA35" i="7"/>
  <c r="FA36" i="7"/>
  <c r="FA37" i="7"/>
  <c r="FA38" i="7"/>
  <c r="FA39" i="7"/>
  <c r="FA40" i="7"/>
  <c r="FA41" i="7"/>
  <c r="FA42" i="7"/>
  <c r="FA43" i="7"/>
  <c r="FA44" i="7"/>
  <c r="FA45" i="7"/>
  <c r="FA46" i="7"/>
  <c r="FA47" i="7"/>
  <c r="FA48" i="7"/>
  <c r="FA49" i="7"/>
  <c r="FA50" i="7"/>
  <c r="FA51" i="7"/>
  <c r="FA52" i="7"/>
  <c r="FA53" i="7"/>
  <c r="FA54" i="7"/>
  <c r="FA55" i="7"/>
  <c r="FA56" i="7"/>
  <c r="FA57" i="7"/>
  <c r="FA58" i="7"/>
  <c r="FA59" i="7"/>
  <c r="FA60" i="7"/>
  <c r="FA61" i="7"/>
  <c r="FA62" i="7"/>
  <c r="FA63" i="7"/>
  <c r="FA64" i="7"/>
  <c r="FA65" i="7"/>
  <c r="FA66" i="7"/>
  <c r="FA67" i="7"/>
  <c r="FA68" i="7"/>
  <c r="FA69" i="7"/>
  <c r="FA70" i="7"/>
  <c r="FA71" i="7"/>
  <c r="FA72" i="7"/>
  <c r="FA73" i="7"/>
  <c r="FA74" i="7"/>
  <c r="FA75" i="7"/>
  <c r="FA76" i="7"/>
  <c r="FA77" i="7"/>
  <c r="FA78" i="7"/>
  <c r="FA79" i="7"/>
  <c r="FA80" i="7"/>
  <c r="FA81" i="7"/>
  <c r="FA82" i="7"/>
  <c r="FA83" i="7"/>
  <c r="FA84" i="7"/>
  <c r="FA85" i="7"/>
  <c r="FA86" i="7"/>
  <c r="FA87" i="7"/>
  <c r="FA88" i="7"/>
  <c r="FA89" i="7"/>
  <c r="FA90" i="7"/>
  <c r="FA91" i="7"/>
  <c r="FA92" i="7"/>
  <c r="FA93" i="7"/>
  <c r="FA94" i="7"/>
  <c r="FA95" i="7"/>
  <c r="FA96" i="7"/>
  <c r="FA97" i="7"/>
  <c r="FA98" i="7"/>
  <c r="FA99" i="7"/>
  <c r="FA100" i="7"/>
  <c r="FA101" i="7"/>
  <c r="EZ3" i="7"/>
  <c r="EZ4" i="7"/>
  <c r="EZ5" i="7"/>
  <c r="EZ6" i="7"/>
  <c r="EZ7" i="7"/>
  <c r="EZ8" i="7"/>
  <c r="EZ9" i="7"/>
  <c r="EZ10" i="7"/>
  <c r="EZ11" i="7"/>
  <c r="EZ12" i="7"/>
  <c r="EZ13" i="7"/>
  <c r="EZ14" i="7"/>
  <c r="EZ15" i="7"/>
  <c r="EZ16" i="7"/>
  <c r="EZ17" i="7"/>
  <c r="EZ18" i="7"/>
  <c r="EZ19" i="7"/>
  <c r="EZ20" i="7"/>
  <c r="EZ21" i="7"/>
  <c r="EZ22" i="7"/>
  <c r="EZ23" i="7"/>
  <c r="EZ24" i="7"/>
  <c r="EZ25" i="7"/>
  <c r="EZ26" i="7"/>
  <c r="EZ27" i="7"/>
  <c r="EZ28" i="7"/>
  <c r="EZ29" i="7"/>
  <c r="EZ30" i="7"/>
  <c r="EZ31" i="7"/>
  <c r="EZ32" i="7"/>
  <c r="EZ33" i="7"/>
  <c r="EZ34" i="7"/>
  <c r="EZ35" i="7"/>
  <c r="EZ36" i="7"/>
  <c r="EZ37" i="7"/>
  <c r="EZ38" i="7"/>
  <c r="EZ39" i="7"/>
  <c r="EZ40" i="7"/>
  <c r="EZ41" i="7"/>
  <c r="EZ42" i="7"/>
  <c r="EZ43" i="7"/>
  <c r="EZ44" i="7"/>
  <c r="EZ45" i="7"/>
  <c r="EZ46" i="7"/>
  <c r="EZ47" i="7"/>
  <c r="EZ48" i="7"/>
  <c r="EZ49" i="7"/>
  <c r="EZ50" i="7"/>
  <c r="EZ51" i="7"/>
  <c r="EZ52" i="7"/>
  <c r="EZ53" i="7"/>
  <c r="EZ54" i="7"/>
  <c r="EZ55" i="7"/>
  <c r="EZ56" i="7"/>
  <c r="EZ57" i="7"/>
  <c r="EZ58" i="7"/>
  <c r="EZ59" i="7"/>
  <c r="EZ60" i="7"/>
  <c r="EZ61" i="7"/>
  <c r="EZ62" i="7"/>
  <c r="EZ63" i="7"/>
  <c r="EZ64" i="7"/>
  <c r="EZ65" i="7"/>
  <c r="EZ66" i="7"/>
  <c r="EZ67" i="7"/>
  <c r="EZ68" i="7"/>
  <c r="EZ69" i="7"/>
  <c r="EZ70" i="7"/>
  <c r="EZ71" i="7"/>
  <c r="EZ72" i="7"/>
  <c r="EZ73" i="7"/>
  <c r="EZ74" i="7"/>
  <c r="EZ75" i="7"/>
  <c r="EZ76" i="7"/>
  <c r="EZ77" i="7"/>
  <c r="EZ78" i="7"/>
  <c r="EZ79" i="7"/>
  <c r="EZ80" i="7"/>
  <c r="EZ81" i="7"/>
  <c r="EZ82" i="7"/>
  <c r="EZ83" i="7"/>
  <c r="EZ84" i="7"/>
  <c r="EZ85" i="7"/>
  <c r="EZ86" i="7"/>
  <c r="EZ87" i="7"/>
  <c r="EZ88" i="7"/>
  <c r="EZ89" i="7"/>
  <c r="EZ90" i="7"/>
  <c r="EZ91" i="7"/>
  <c r="EZ92" i="7"/>
  <c r="EZ93" i="7"/>
  <c r="EZ94" i="7"/>
  <c r="EZ95" i="7"/>
  <c r="EZ96" i="7"/>
  <c r="EZ97" i="7"/>
  <c r="EZ98" i="7"/>
  <c r="EZ99" i="7"/>
  <c r="EZ100" i="7"/>
  <c r="EZ101" i="7"/>
  <c r="FC2" i="7"/>
  <c r="FB2" i="7"/>
  <c r="FA2" i="7"/>
  <c r="EY3" i="7"/>
  <c r="EY4" i="7"/>
  <c r="EY5" i="7"/>
  <c r="EY6" i="7"/>
  <c r="EY7" i="7"/>
  <c r="EY8" i="7"/>
  <c r="EY9" i="7"/>
  <c r="EY10" i="7"/>
  <c r="EY11" i="7"/>
  <c r="EY12" i="7"/>
  <c r="EY13" i="7"/>
  <c r="EY14" i="7"/>
  <c r="EY15" i="7"/>
  <c r="EY16" i="7"/>
  <c r="EY17" i="7"/>
  <c r="EY18" i="7"/>
  <c r="EY19" i="7"/>
  <c r="EY20" i="7"/>
  <c r="EY21" i="7"/>
  <c r="EY22" i="7"/>
  <c r="EY23" i="7"/>
  <c r="EY24" i="7"/>
  <c r="EY25" i="7"/>
  <c r="EY26" i="7"/>
  <c r="EY27" i="7"/>
  <c r="EY28" i="7"/>
  <c r="EY29" i="7"/>
  <c r="EY30" i="7"/>
  <c r="EY31" i="7"/>
  <c r="EY32" i="7"/>
  <c r="EY33" i="7"/>
  <c r="EY34" i="7"/>
  <c r="EY35" i="7"/>
  <c r="EY36" i="7"/>
  <c r="EY37" i="7"/>
  <c r="EY38" i="7"/>
  <c r="EY39" i="7"/>
  <c r="EY40" i="7"/>
  <c r="EY41" i="7"/>
  <c r="EY42" i="7"/>
  <c r="EY43" i="7"/>
  <c r="EY44" i="7"/>
  <c r="EY45" i="7"/>
  <c r="EY46" i="7"/>
  <c r="EY47" i="7"/>
  <c r="EY48" i="7"/>
  <c r="EY49" i="7"/>
  <c r="EY50" i="7"/>
  <c r="EY51" i="7"/>
  <c r="EY52" i="7"/>
  <c r="EY53" i="7"/>
  <c r="EY54" i="7"/>
  <c r="EY55" i="7"/>
  <c r="EY56" i="7"/>
  <c r="EY57" i="7"/>
  <c r="EY58" i="7"/>
  <c r="EY59" i="7"/>
  <c r="EY60" i="7"/>
  <c r="EY61" i="7"/>
  <c r="EY62" i="7"/>
  <c r="EY63" i="7"/>
  <c r="EY64" i="7"/>
  <c r="EY65" i="7"/>
  <c r="EY66" i="7"/>
  <c r="EY67" i="7"/>
  <c r="EY68" i="7"/>
  <c r="EY69" i="7"/>
  <c r="EY70" i="7"/>
  <c r="EY71" i="7"/>
  <c r="EY72" i="7"/>
  <c r="EY73" i="7"/>
  <c r="EY74" i="7"/>
  <c r="EY75" i="7"/>
  <c r="EY76" i="7"/>
  <c r="EY77" i="7"/>
  <c r="EY78" i="7"/>
  <c r="EY79" i="7"/>
  <c r="EY80" i="7"/>
  <c r="EY81" i="7"/>
  <c r="EY82" i="7"/>
  <c r="EY83" i="7"/>
  <c r="EY84" i="7"/>
  <c r="EY85" i="7"/>
  <c r="EY86" i="7"/>
  <c r="EY87" i="7"/>
  <c r="EY88" i="7"/>
  <c r="EY89" i="7"/>
  <c r="EY90" i="7"/>
  <c r="EY91" i="7"/>
  <c r="EY92" i="7"/>
  <c r="EY93" i="7"/>
  <c r="EY94" i="7"/>
  <c r="EY95" i="7"/>
  <c r="EY96" i="7"/>
  <c r="EY97" i="7"/>
  <c r="EY98" i="7"/>
  <c r="EY99" i="7"/>
  <c r="EY100" i="7"/>
  <c r="EY101" i="7"/>
  <c r="EY2" i="7"/>
  <c r="EU3" i="7"/>
  <c r="EV3" i="7"/>
  <c r="EW3" i="7"/>
  <c r="EU4" i="7"/>
  <c r="EV4" i="7"/>
  <c r="EW4" i="7"/>
  <c r="EU5" i="7"/>
  <c r="EV5" i="7"/>
  <c r="EW5" i="7"/>
  <c r="EU6" i="7"/>
  <c r="EV6" i="7"/>
  <c r="EW6" i="7"/>
  <c r="EU7" i="7"/>
  <c r="EV7" i="7"/>
  <c r="EW7" i="7"/>
  <c r="EU8" i="7"/>
  <c r="EV8" i="7"/>
  <c r="EW8" i="7"/>
  <c r="EU9" i="7"/>
  <c r="EV9" i="7"/>
  <c r="EW9" i="7"/>
  <c r="EU10" i="7"/>
  <c r="EV10" i="7"/>
  <c r="EW10" i="7"/>
  <c r="EU11" i="7"/>
  <c r="EV11" i="7"/>
  <c r="EW11" i="7"/>
  <c r="EU12" i="7"/>
  <c r="EV12" i="7"/>
  <c r="EW12" i="7"/>
  <c r="EU13" i="7"/>
  <c r="EV13" i="7"/>
  <c r="EW13" i="7"/>
  <c r="EU14" i="7"/>
  <c r="EV14" i="7"/>
  <c r="EW14" i="7"/>
  <c r="EU15" i="7"/>
  <c r="EV15" i="7"/>
  <c r="EW15" i="7"/>
  <c r="EU16" i="7"/>
  <c r="EV16" i="7"/>
  <c r="EW16" i="7"/>
  <c r="EU17" i="7"/>
  <c r="EV17" i="7"/>
  <c r="EW17" i="7"/>
  <c r="EU18" i="7"/>
  <c r="EV18" i="7"/>
  <c r="EW18" i="7"/>
  <c r="EU19" i="7"/>
  <c r="EV19" i="7"/>
  <c r="EW19" i="7"/>
  <c r="EU20" i="7"/>
  <c r="EV20" i="7"/>
  <c r="EW20" i="7"/>
  <c r="EU21" i="7"/>
  <c r="EV21" i="7"/>
  <c r="EW21" i="7"/>
  <c r="EU22" i="7"/>
  <c r="EV22" i="7"/>
  <c r="EW22" i="7"/>
  <c r="EU23" i="7"/>
  <c r="EV23" i="7"/>
  <c r="EW23" i="7"/>
  <c r="EU24" i="7"/>
  <c r="EV24" i="7"/>
  <c r="EW24" i="7"/>
  <c r="EU25" i="7"/>
  <c r="EV25" i="7"/>
  <c r="EW25" i="7"/>
  <c r="EU26" i="7"/>
  <c r="EV26" i="7"/>
  <c r="EW26" i="7"/>
  <c r="EU27" i="7"/>
  <c r="EV27" i="7"/>
  <c r="EW27" i="7"/>
  <c r="EU28" i="7"/>
  <c r="EV28" i="7"/>
  <c r="EW28" i="7"/>
  <c r="EU29" i="7"/>
  <c r="EV29" i="7"/>
  <c r="EW29" i="7"/>
  <c r="EU30" i="7"/>
  <c r="EV30" i="7"/>
  <c r="EW30" i="7"/>
  <c r="EU31" i="7"/>
  <c r="EV31" i="7"/>
  <c r="EW31" i="7"/>
  <c r="EU32" i="7"/>
  <c r="EV32" i="7"/>
  <c r="EW32" i="7"/>
  <c r="EU33" i="7"/>
  <c r="EV33" i="7"/>
  <c r="EW33" i="7"/>
  <c r="EU34" i="7"/>
  <c r="EV34" i="7"/>
  <c r="EW34" i="7"/>
  <c r="EU35" i="7"/>
  <c r="EV35" i="7"/>
  <c r="EW35" i="7"/>
  <c r="EU36" i="7"/>
  <c r="EV36" i="7"/>
  <c r="EW36" i="7"/>
  <c r="EU37" i="7"/>
  <c r="EV37" i="7"/>
  <c r="EW37" i="7"/>
  <c r="EU38" i="7"/>
  <c r="EV38" i="7"/>
  <c r="EW38" i="7"/>
  <c r="EU39" i="7"/>
  <c r="EV39" i="7"/>
  <c r="EW39" i="7"/>
  <c r="EU40" i="7"/>
  <c r="EV40" i="7"/>
  <c r="EW40" i="7"/>
  <c r="EU41" i="7"/>
  <c r="EV41" i="7"/>
  <c r="EW41" i="7"/>
  <c r="EU42" i="7"/>
  <c r="EV42" i="7"/>
  <c r="EW42" i="7"/>
  <c r="EU43" i="7"/>
  <c r="EV43" i="7"/>
  <c r="EW43" i="7"/>
  <c r="EU44" i="7"/>
  <c r="EV44" i="7"/>
  <c r="EW44" i="7"/>
  <c r="EU45" i="7"/>
  <c r="EV45" i="7"/>
  <c r="EW45" i="7"/>
  <c r="EU46" i="7"/>
  <c r="EV46" i="7"/>
  <c r="EW46" i="7"/>
  <c r="EU47" i="7"/>
  <c r="EV47" i="7"/>
  <c r="EW47" i="7"/>
  <c r="EU48" i="7"/>
  <c r="EV48" i="7"/>
  <c r="EW48" i="7"/>
  <c r="EU49" i="7"/>
  <c r="EV49" i="7"/>
  <c r="EW49" i="7"/>
  <c r="EU50" i="7"/>
  <c r="EV50" i="7"/>
  <c r="EW50" i="7"/>
  <c r="EU51" i="7"/>
  <c r="EV51" i="7"/>
  <c r="EW51" i="7"/>
  <c r="EU52" i="7"/>
  <c r="EV52" i="7"/>
  <c r="EW52" i="7"/>
  <c r="EU53" i="7"/>
  <c r="EV53" i="7"/>
  <c r="EW53" i="7"/>
  <c r="EU54" i="7"/>
  <c r="EV54" i="7"/>
  <c r="EW54" i="7"/>
  <c r="EU55" i="7"/>
  <c r="EV55" i="7"/>
  <c r="EW55" i="7"/>
  <c r="EU56" i="7"/>
  <c r="EV56" i="7"/>
  <c r="EW56" i="7"/>
  <c r="EU57" i="7"/>
  <c r="EV57" i="7"/>
  <c r="EW57" i="7"/>
  <c r="EU58" i="7"/>
  <c r="EV58" i="7"/>
  <c r="EW58" i="7"/>
  <c r="EU59" i="7"/>
  <c r="EV59" i="7"/>
  <c r="EW59" i="7"/>
  <c r="EU60" i="7"/>
  <c r="EV60" i="7"/>
  <c r="EW60" i="7"/>
  <c r="EU61" i="7"/>
  <c r="EV61" i="7"/>
  <c r="EW61" i="7"/>
  <c r="EU62" i="7"/>
  <c r="EV62" i="7"/>
  <c r="EW62" i="7"/>
  <c r="EU63" i="7"/>
  <c r="EV63" i="7"/>
  <c r="EW63" i="7"/>
  <c r="EU64" i="7"/>
  <c r="EV64" i="7"/>
  <c r="EW64" i="7"/>
  <c r="EU65" i="7"/>
  <c r="EV65" i="7"/>
  <c r="EW65" i="7"/>
  <c r="EU66" i="7"/>
  <c r="EV66" i="7"/>
  <c r="EW66" i="7"/>
  <c r="EU67" i="7"/>
  <c r="EV67" i="7"/>
  <c r="EW67" i="7"/>
  <c r="EU68" i="7"/>
  <c r="EV68" i="7"/>
  <c r="EW68" i="7"/>
  <c r="EU69" i="7"/>
  <c r="EV69" i="7"/>
  <c r="EW69" i="7"/>
  <c r="EU70" i="7"/>
  <c r="EV70" i="7"/>
  <c r="EW70" i="7"/>
  <c r="EU71" i="7"/>
  <c r="EV71" i="7"/>
  <c r="EW71" i="7"/>
  <c r="EU72" i="7"/>
  <c r="EV72" i="7"/>
  <c r="EW72" i="7"/>
  <c r="EU73" i="7"/>
  <c r="EV73" i="7"/>
  <c r="EW73" i="7"/>
  <c r="EU74" i="7"/>
  <c r="EV74" i="7"/>
  <c r="EW74" i="7"/>
  <c r="EU75" i="7"/>
  <c r="EV75" i="7"/>
  <c r="EW75" i="7"/>
  <c r="EU76" i="7"/>
  <c r="EV76" i="7"/>
  <c r="EW76" i="7"/>
  <c r="EU77" i="7"/>
  <c r="EV77" i="7"/>
  <c r="EW77" i="7"/>
  <c r="EU78" i="7"/>
  <c r="EV78" i="7"/>
  <c r="EW78" i="7"/>
  <c r="EU79" i="7"/>
  <c r="EV79" i="7"/>
  <c r="EW79" i="7"/>
  <c r="EU80" i="7"/>
  <c r="EV80" i="7"/>
  <c r="EW80" i="7"/>
  <c r="EU81" i="7"/>
  <c r="EV81" i="7"/>
  <c r="EW81" i="7"/>
  <c r="EU82" i="7"/>
  <c r="EV82" i="7"/>
  <c r="EW82" i="7"/>
  <c r="EU83" i="7"/>
  <c r="EV83" i="7"/>
  <c r="EW83" i="7"/>
  <c r="EU84" i="7"/>
  <c r="EV84" i="7"/>
  <c r="EW84" i="7"/>
  <c r="EU85" i="7"/>
  <c r="EV85" i="7"/>
  <c r="EW85" i="7"/>
  <c r="EU86" i="7"/>
  <c r="EV86" i="7"/>
  <c r="EW86" i="7"/>
  <c r="EU87" i="7"/>
  <c r="EV87" i="7"/>
  <c r="EW87" i="7"/>
  <c r="EU88" i="7"/>
  <c r="EV88" i="7"/>
  <c r="EW88" i="7"/>
  <c r="EU89" i="7"/>
  <c r="EV89" i="7"/>
  <c r="EW89" i="7"/>
  <c r="EU90" i="7"/>
  <c r="EV90" i="7"/>
  <c r="EW90" i="7"/>
  <c r="EU91" i="7"/>
  <c r="EV91" i="7"/>
  <c r="EW91" i="7"/>
  <c r="EU92" i="7"/>
  <c r="EV92" i="7"/>
  <c r="EW92" i="7"/>
  <c r="EU93" i="7"/>
  <c r="EV93" i="7"/>
  <c r="EW93" i="7"/>
  <c r="EU94" i="7"/>
  <c r="EV94" i="7"/>
  <c r="EW94" i="7"/>
  <c r="EU95" i="7"/>
  <c r="EV95" i="7"/>
  <c r="EW95" i="7"/>
  <c r="EU96" i="7"/>
  <c r="EV96" i="7"/>
  <c r="EW96" i="7"/>
  <c r="EU97" i="7"/>
  <c r="EV97" i="7"/>
  <c r="EW97" i="7"/>
  <c r="EU98" i="7"/>
  <c r="EV98" i="7"/>
  <c r="EW98" i="7"/>
  <c r="EU99" i="7"/>
  <c r="EV99" i="7"/>
  <c r="EW99" i="7"/>
  <c r="EU100" i="7"/>
  <c r="EV100" i="7"/>
  <c r="EW100" i="7"/>
  <c r="EU101" i="7"/>
  <c r="EV101" i="7"/>
  <c r="EW101" i="7"/>
  <c r="ET3" i="7"/>
  <c r="ET4" i="7"/>
  <c r="ET5" i="7"/>
  <c r="ET6" i="7"/>
  <c r="ET7" i="7"/>
  <c r="ET8" i="7"/>
  <c r="ET9" i="7"/>
  <c r="ET10" i="7"/>
  <c r="ET11" i="7"/>
  <c r="ET12" i="7"/>
  <c r="ET13" i="7"/>
  <c r="ET14" i="7"/>
  <c r="ET15" i="7"/>
  <c r="ET16" i="7"/>
  <c r="ET17" i="7"/>
  <c r="ET18" i="7"/>
  <c r="ET19" i="7"/>
  <c r="ET20" i="7"/>
  <c r="ET21" i="7"/>
  <c r="ET22" i="7"/>
  <c r="ET23" i="7"/>
  <c r="ET24" i="7"/>
  <c r="ET25" i="7"/>
  <c r="ET26" i="7"/>
  <c r="ET27" i="7"/>
  <c r="ET28" i="7"/>
  <c r="ET29" i="7"/>
  <c r="ET30" i="7"/>
  <c r="ET31" i="7"/>
  <c r="ET32" i="7"/>
  <c r="ET33" i="7"/>
  <c r="ET34" i="7"/>
  <c r="ET35" i="7"/>
  <c r="ET36" i="7"/>
  <c r="ET37" i="7"/>
  <c r="ET38" i="7"/>
  <c r="ET39" i="7"/>
  <c r="ET40" i="7"/>
  <c r="ET41" i="7"/>
  <c r="ET42" i="7"/>
  <c r="ET43" i="7"/>
  <c r="ET44" i="7"/>
  <c r="ET45" i="7"/>
  <c r="ET46" i="7"/>
  <c r="ET47" i="7"/>
  <c r="ET48" i="7"/>
  <c r="ET49" i="7"/>
  <c r="ET50" i="7"/>
  <c r="ET51" i="7"/>
  <c r="ET52" i="7"/>
  <c r="ET53" i="7"/>
  <c r="ET54" i="7"/>
  <c r="ET55" i="7"/>
  <c r="ET56" i="7"/>
  <c r="ET57" i="7"/>
  <c r="ET58" i="7"/>
  <c r="ET59" i="7"/>
  <c r="ET60" i="7"/>
  <c r="ET61" i="7"/>
  <c r="ET62" i="7"/>
  <c r="ET63" i="7"/>
  <c r="ET64" i="7"/>
  <c r="ET65" i="7"/>
  <c r="ET66" i="7"/>
  <c r="ET67" i="7"/>
  <c r="ET68" i="7"/>
  <c r="ET69" i="7"/>
  <c r="ET70" i="7"/>
  <c r="ET71" i="7"/>
  <c r="ET72" i="7"/>
  <c r="ET73" i="7"/>
  <c r="ET74" i="7"/>
  <c r="ET75" i="7"/>
  <c r="ET76" i="7"/>
  <c r="ET77" i="7"/>
  <c r="ET78" i="7"/>
  <c r="ET79" i="7"/>
  <c r="ET80" i="7"/>
  <c r="ET81" i="7"/>
  <c r="ET82" i="7"/>
  <c r="ET83" i="7"/>
  <c r="ET84" i="7"/>
  <c r="ET85" i="7"/>
  <c r="ET86" i="7"/>
  <c r="ET87" i="7"/>
  <c r="ET88" i="7"/>
  <c r="ET89" i="7"/>
  <c r="ET90" i="7"/>
  <c r="ET91" i="7"/>
  <c r="ET92" i="7"/>
  <c r="ET93" i="7"/>
  <c r="ET94" i="7"/>
  <c r="ET95" i="7"/>
  <c r="ET96" i="7"/>
  <c r="ET97" i="7"/>
  <c r="ET98" i="7"/>
  <c r="ET99" i="7"/>
  <c r="ET100" i="7"/>
  <c r="ET101" i="7"/>
  <c r="ES3" i="7"/>
  <c r="ES4" i="7"/>
  <c r="ES5" i="7"/>
  <c r="ES6" i="7"/>
  <c r="ES7" i="7"/>
  <c r="ES8" i="7"/>
  <c r="ES9" i="7"/>
  <c r="ES10" i="7"/>
  <c r="ES11" i="7"/>
  <c r="ES12" i="7"/>
  <c r="ES13" i="7"/>
  <c r="ES14" i="7"/>
  <c r="ES15" i="7"/>
  <c r="ES16" i="7"/>
  <c r="ES17" i="7"/>
  <c r="ES18" i="7"/>
  <c r="ES19" i="7"/>
  <c r="ES20" i="7"/>
  <c r="ES21" i="7"/>
  <c r="ES22" i="7"/>
  <c r="ES23" i="7"/>
  <c r="ES24" i="7"/>
  <c r="ES25" i="7"/>
  <c r="ES26" i="7"/>
  <c r="ES27" i="7"/>
  <c r="ES28" i="7"/>
  <c r="ES29" i="7"/>
  <c r="ES30" i="7"/>
  <c r="ES31" i="7"/>
  <c r="ES32" i="7"/>
  <c r="ES33" i="7"/>
  <c r="ES34" i="7"/>
  <c r="ES35" i="7"/>
  <c r="ES36" i="7"/>
  <c r="ES37" i="7"/>
  <c r="ES38" i="7"/>
  <c r="ES39" i="7"/>
  <c r="ES40" i="7"/>
  <c r="ES41" i="7"/>
  <c r="ES42" i="7"/>
  <c r="ES43" i="7"/>
  <c r="ES44" i="7"/>
  <c r="ES45" i="7"/>
  <c r="ES46" i="7"/>
  <c r="ES47" i="7"/>
  <c r="ES48" i="7"/>
  <c r="ES49" i="7"/>
  <c r="ES50" i="7"/>
  <c r="ES51" i="7"/>
  <c r="ES52" i="7"/>
  <c r="ES53" i="7"/>
  <c r="ES54" i="7"/>
  <c r="ES55" i="7"/>
  <c r="ES56" i="7"/>
  <c r="ES57" i="7"/>
  <c r="ES58" i="7"/>
  <c r="ES59" i="7"/>
  <c r="ES60" i="7"/>
  <c r="ES61" i="7"/>
  <c r="ES62" i="7"/>
  <c r="ES63" i="7"/>
  <c r="ES64" i="7"/>
  <c r="ES65" i="7"/>
  <c r="ES66" i="7"/>
  <c r="ES67" i="7"/>
  <c r="ES68" i="7"/>
  <c r="ES69" i="7"/>
  <c r="ES70" i="7"/>
  <c r="ES71" i="7"/>
  <c r="ES72" i="7"/>
  <c r="ES73" i="7"/>
  <c r="ES74" i="7"/>
  <c r="ES75" i="7"/>
  <c r="ES76" i="7"/>
  <c r="ES77" i="7"/>
  <c r="ES78" i="7"/>
  <c r="ES79" i="7"/>
  <c r="ES80" i="7"/>
  <c r="ES81" i="7"/>
  <c r="ES82" i="7"/>
  <c r="ES83" i="7"/>
  <c r="ES84" i="7"/>
  <c r="ES85" i="7"/>
  <c r="ES86" i="7"/>
  <c r="ES87" i="7"/>
  <c r="ES88" i="7"/>
  <c r="ES89" i="7"/>
  <c r="ES90" i="7"/>
  <c r="ES91" i="7"/>
  <c r="ES92" i="7"/>
  <c r="ES93" i="7"/>
  <c r="ES94" i="7"/>
  <c r="ES95" i="7"/>
  <c r="ES96" i="7"/>
  <c r="ES97" i="7"/>
  <c r="ES98" i="7"/>
  <c r="ES99" i="7"/>
  <c r="ES100" i="7"/>
  <c r="ES101" i="7"/>
  <c r="EX2" i="7"/>
  <c r="K117" i="4"/>
  <c r="DJ2" i="7"/>
  <c r="H49" i="1"/>
  <c r="H56" i="1" s="1"/>
  <c r="J56" i="1" s="1"/>
  <c r="H50" i="1"/>
  <c r="H51" i="1"/>
  <c r="H52" i="1"/>
  <c r="H53" i="1"/>
  <c r="H54" i="1"/>
  <c r="H55" i="1"/>
  <c r="H48" i="1"/>
  <c r="H20" i="1"/>
  <c r="H19" i="1"/>
  <c r="G126" i="4"/>
  <c r="CD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D35" i="7"/>
  <c r="CD36" i="7"/>
  <c r="CD37" i="7"/>
  <c r="CD38" i="7"/>
  <c r="CD39" i="7"/>
  <c r="CD40" i="7"/>
  <c r="CD41" i="7"/>
  <c r="CD42" i="7"/>
  <c r="CD43" i="7"/>
  <c r="CD44" i="7"/>
  <c r="CD45" i="7"/>
  <c r="CD46" i="7"/>
  <c r="CD47" i="7"/>
  <c r="CD48" i="7"/>
  <c r="CD49" i="7"/>
  <c r="CD50" i="7"/>
  <c r="CD51" i="7"/>
  <c r="CD52" i="7"/>
  <c r="CD53" i="7"/>
  <c r="CD54" i="7"/>
  <c r="CD55" i="7"/>
  <c r="CD56" i="7"/>
  <c r="CD57" i="7"/>
  <c r="CD58" i="7"/>
  <c r="CD59" i="7"/>
  <c r="CD60" i="7"/>
  <c r="CD61" i="7"/>
  <c r="CD62" i="7"/>
  <c r="CD63" i="7"/>
  <c r="CD64" i="7"/>
  <c r="CD65" i="7"/>
  <c r="CD66" i="7"/>
  <c r="CD67" i="7"/>
  <c r="CD68" i="7"/>
  <c r="CD69" i="7"/>
  <c r="CD70" i="7"/>
  <c r="CD71" i="7"/>
  <c r="CD72" i="7"/>
  <c r="CD73" i="7"/>
  <c r="CD74" i="7"/>
  <c r="CD75" i="7"/>
  <c r="CD76" i="7"/>
  <c r="CD77" i="7"/>
  <c r="CD78" i="7"/>
  <c r="CD79" i="7"/>
  <c r="CD80" i="7"/>
  <c r="CD81" i="7"/>
  <c r="CD82" i="7"/>
  <c r="CD83" i="7"/>
  <c r="CD84" i="7"/>
  <c r="CD85" i="7"/>
  <c r="CD86" i="7"/>
  <c r="CD87" i="7"/>
  <c r="CD88" i="7"/>
  <c r="CD89" i="7"/>
  <c r="CD90" i="7"/>
  <c r="CD91" i="7"/>
  <c r="CD92" i="7"/>
  <c r="CD93" i="7"/>
  <c r="CD94" i="7"/>
  <c r="CD95" i="7"/>
  <c r="CD96" i="7"/>
  <c r="CD97" i="7"/>
  <c r="CD98" i="7"/>
  <c r="CD99" i="7"/>
  <c r="CD100" i="7"/>
  <c r="CD101" i="7"/>
  <c r="CB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CB35" i="7"/>
  <c r="CB36" i="7"/>
  <c r="CB37" i="7"/>
  <c r="CB38" i="7"/>
  <c r="CB39" i="7"/>
  <c r="CB40" i="7"/>
  <c r="CB41" i="7"/>
  <c r="CB42" i="7"/>
  <c r="CB43" i="7"/>
  <c r="CB44" i="7"/>
  <c r="CB45" i="7"/>
  <c r="CB46" i="7"/>
  <c r="CB47" i="7"/>
  <c r="CB48" i="7"/>
  <c r="CB49" i="7"/>
  <c r="CB50" i="7"/>
  <c r="CB51" i="7"/>
  <c r="CB52" i="7"/>
  <c r="CB53" i="7"/>
  <c r="CB54" i="7"/>
  <c r="CB55" i="7"/>
  <c r="CB56" i="7"/>
  <c r="CB57" i="7"/>
  <c r="CB58" i="7"/>
  <c r="CB59" i="7"/>
  <c r="CB60" i="7"/>
  <c r="CB61" i="7"/>
  <c r="CB62" i="7"/>
  <c r="CB63" i="7"/>
  <c r="CB64" i="7"/>
  <c r="CB65" i="7"/>
  <c r="CB66" i="7"/>
  <c r="CB67" i="7"/>
  <c r="CB68" i="7"/>
  <c r="CB69" i="7"/>
  <c r="CB70" i="7"/>
  <c r="CB71" i="7"/>
  <c r="CB72" i="7"/>
  <c r="CB73" i="7"/>
  <c r="CB74" i="7"/>
  <c r="CB75" i="7"/>
  <c r="CB76" i="7"/>
  <c r="CB77" i="7"/>
  <c r="CB78" i="7"/>
  <c r="CB79" i="7"/>
  <c r="CB80" i="7"/>
  <c r="CB81" i="7"/>
  <c r="CB82" i="7"/>
  <c r="CB83" i="7"/>
  <c r="CB84" i="7"/>
  <c r="CB85" i="7"/>
  <c r="CB86" i="7"/>
  <c r="CB87" i="7"/>
  <c r="CB88" i="7"/>
  <c r="CB89" i="7"/>
  <c r="CB90" i="7"/>
  <c r="CB91" i="7"/>
  <c r="CB92" i="7"/>
  <c r="CB93" i="7"/>
  <c r="CB94" i="7"/>
  <c r="CB95" i="7"/>
  <c r="CB96" i="7"/>
  <c r="CB97" i="7"/>
  <c r="CB98" i="7"/>
  <c r="CB99" i="7"/>
  <c r="CB100" i="7"/>
  <c r="CB101" i="7"/>
  <c r="CA3" i="7"/>
  <c r="CA4" i="7"/>
  <c r="CA5" i="7"/>
  <c r="CA6" i="7"/>
  <c r="CA7" i="7"/>
  <c r="CA8" i="7"/>
  <c r="CA9" i="7"/>
  <c r="CA10" i="7"/>
  <c r="CA11" i="7"/>
  <c r="CA12" i="7"/>
  <c r="CA13" i="7"/>
  <c r="CA14" i="7"/>
  <c r="CA15" i="7"/>
  <c r="CA16" i="7"/>
  <c r="CA17" i="7"/>
  <c r="CA18" i="7"/>
  <c r="CA19" i="7"/>
  <c r="CA20" i="7"/>
  <c r="CA21" i="7"/>
  <c r="CA22" i="7"/>
  <c r="CA23" i="7"/>
  <c r="CA24" i="7"/>
  <c r="CA25" i="7"/>
  <c r="CA26" i="7"/>
  <c r="CA27" i="7"/>
  <c r="CA28" i="7"/>
  <c r="CA29" i="7"/>
  <c r="CA30" i="7"/>
  <c r="CA31" i="7"/>
  <c r="CA32" i="7"/>
  <c r="CA33" i="7"/>
  <c r="CA34" i="7"/>
  <c r="CA35" i="7"/>
  <c r="CA36" i="7"/>
  <c r="CA37" i="7"/>
  <c r="CA38" i="7"/>
  <c r="CA39" i="7"/>
  <c r="CA40" i="7"/>
  <c r="CA41" i="7"/>
  <c r="CA42" i="7"/>
  <c r="CA43" i="7"/>
  <c r="CA44" i="7"/>
  <c r="CA45" i="7"/>
  <c r="CA46" i="7"/>
  <c r="CA47" i="7"/>
  <c r="CA48" i="7"/>
  <c r="CA49" i="7"/>
  <c r="CA50" i="7"/>
  <c r="CA51" i="7"/>
  <c r="CA52" i="7"/>
  <c r="CA53" i="7"/>
  <c r="CA54" i="7"/>
  <c r="CA55" i="7"/>
  <c r="CA56" i="7"/>
  <c r="CA57" i="7"/>
  <c r="CA58" i="7"/>
  <c r="CA59" i="7"/>
  <c r="CA60" i="7"/>
  <c r="CA61" i="7"/>
  <c r="CA62" i="7"/>
  <c r="CA63" i="7"/>
  <c r="CA64" i="7"/>
  <c r="CA65" i="7"/>
  <c r="CA66" i="7"/>
  <c r="CA67" i="7"/>
  <c r="CA68" i="7"/>
  <c r="CA69" i="7"/>
  <c r="CA70" i="7"/>
  <c r="CA71" i="7"/>
  <c r="CA72" i="7"/>
  <c r="CA73" i="7"/>
  <c r="CA74" i="7"/>
  <c r="CA75" i="7"/>
  <c r="CA76" i="7"/>
  <c r="CA77" i="7"/>
  <c r="CA78" i="7"/>
  <c r="CA79" i="7"/>
  <c r="CA80" i="7"/>
  <c r="CA81" i="7"/>
  <c r="CA82" i="7"/>
  <c r="CA83" i="7"/>
  <c r="CA84" i="7"/>
  <c r="CA85" i="7"/>
  <c r="CA86" i="7"/>
  <c r="CA87" i="7"/>
  <c r="CA88" i="7"/>
  <c r="CA89" i="7"/>
  <c r="CA90" i="7"/>
  <c r="CA91" i="7"/>
  <c r="CA92" i="7"/>
  <c r="CA93" i="7"/>
  <c r="CA94" i="7"/>
  <c r="CA95" i="7"/>
  <c r="CA96" i="7"/>
  <c r="CA97" i="7"/>
  <c r="CA98" i="7"/>
  <c r="CA99" i="7"/>
  <c r="CA100" i="7"/>
  <c r="CA101" i="7"/>
  <c r="CD2" i="7"/>
  <c r="CB2" i="7"/>
  <c r="CA2" i="7"/>
  <c r="CM2" i="7"/>
  <c r="CQ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35" i="7"/>
  <c r="CQ36" i="7"/>
  <c r="CQ37" i="7"/>
  <c r="CQ38" i="7"/>
  <c r="CQ39" i="7"/>
  <c r="CQ40" i="7"/>
  <c r="CQ41" i="7"/>
  <c r="CQ42" i="7"/>
  <c r="CQ43" i="7"/>
  <c r="CQ44" i="7"/>
  <c r="CQ45" i="7"/>
  <c r="CQ46" i="7"/>
  <c r="CQ47" i="7"/>
  <c r="CQ48" i="7"/>
  <c r="CQ49" i="7"/>
  <c r="CQ50" i="7"/>
  <c r="CQ51" i="7"/>
  <c r="CQ52" i="7"/>
  <c r="CQ53" i="7"/>
  <c r="CQ54" i="7"/>
  <c r="CQ55" i="7"/>
  <c r="CQ56" i="7"/>
  <c r="CQ57" i="7"/>
  <c r="CQ58" i="7"/>
  <c r="CQ59" i="7"/>
  <c r="CQ60" i="7"/>
  <c r="CQ61" i="7"/>
  <c r="CQ62" i="7"/>
  <c r="CQ63" i="7"/>
  <c r="CQ64" i="7"/>
  <c r="CQ65" i="7"/>
  <c r="CQ66" i="7"/>
  <c r="CQ67" i="7"/>
  <c r="CQ68" i="7"/>
  <c r="CQ69" i="7"/>
  <c r="CQ70" i="7"/>
  <c r="CQ71" i="7"/>
  <c r="CQ72" i="7"/>
  <c r="CQ73" i="7"/>
  <c r="CQ74" i="7"/>
  <c r="CQ75" i="7"/>
  <c r="CQ76" i="7"/>
  <c r="CQ77" i="7"/>
  <c r="CQ78" i="7"/>
  <c r="CQ79" i="7"/>
  <c r="CQ80" i="7"/>
  <c r="CQ81" i="7"/>
  <c r="CQ82" i="7"/>
  <c r="CQ83" i="7"/>
  <c r="CQ84" i="7"/>
  <c r="CQ85" i="7"/>
  <c r="CQ86" i="7"/>
  <c r="CQ87" i="7"/>
  <c r="CQ88" i="7"/>
  <c r="CQ89" i="7"/>
  <c r="CQ90" i="7"/>
  <c r="CQ91" i="7"/>
  <c r="CQ92" i="7"/>
  <c r="CQ93" i="7"/>
  <c r="CQ94" i="7"/>
  <c r="CQ95" i="7"/>
  <c r="CQ96" i="7"/>
  <c r="CQ97" i="7"/>
  <c r="CQ98" i="7"/>
  <c r="CQ99" i="7"/>
  <c r="CQ100" i="7"/>
  <c r="CQ101" i="7"/>
  <c r="CQ2" i="7"/>
  <c r="BY3" i="7"/>
  <c r="BY4" i="7"/>
  <c r="BY5" i="7"/>
  <c r="BY6" i="7"/>
  <c r="BY7" i="7"/>
  <c r="BY8" i="7"/>
  <c r="BY9" i="7"/>
  <c r="BY10" i="7"/>
  <c r="BY11" i="7"/>
  <c r="BY12" i="7"/>
  <c r="BY13" i="7"/>
  <c r="BY14" i="7"/>
  <c r="BY15" i="7"/>
  <c r="BY16" i="7"/>
  <c r="BY17" i="7"/>
  <c r="BY18" i="7"/>
  <c r="BY19" i="7"/>
  <c r="BY20" i="7"/>
  <c r="BY21" i="7"/>
  <c r="BY22" i="7"/>
  <c r="BY23" i="7"/>
  <c r="BY24" i="7"/>
  <c r="BY25" i="7"/>
  <c r="BY26" i="7"/>
  <c r="BY27" i="7"/>
  <c r="BY28" i="7"/>
  <c r="BY29" i="7"/>
  <c r="BY30" i="7"/>
  <c r="BY31" i="7"/>
  <c r="BY32" i="7"/>
  <c r="BY33" i="7"/>
  <c r="BY34" i="7"/>
  <c r="BY35" i="7"/>
  <c r="BY36" i="7"/>
  <c r="BY37" i="7"/>
  <c r="BY38" i="7"/>
  <c r="BY39" i="7"/>
  <c r="BY40" i="7"/>
  <c r="BY41" i="7"/>
  <c r="BY42" i="7"/>
  <c r="BY43" i="7"/>
  <c r="BY44" i="7"/>
  <c r="BY45" i="7"/>
  <c r="BY46" i="7"/>
  <c r="BY47" i="7"/>
  <c r="BY48" i="7"/>
  <c r="BY49" i="7"/>
  <c r="BY50" i="7"/>
  <c r="BY51" i="7"/>
  <c r="BY52" i="7"/>
  <c r="BY53" i="7"/>
  <c r="BY54" i="7"/>
  <c r="BY55" i="7"/>
  <c r="BY56" i="7"/>
  <c r="BY57" i="7"/>
  <c r="BY58" i="7"/>
  <c r="BY59" i="7"/>
  <c r="BY60" i="7"/>
  <c r="BY61" i="7"/>
  <c r="BY62" i="7"/>
  <c r="BY63" i="7"/>
  <c r="BY64" i="7"/>
  <c r="BY65" i="7"/>
  <c r="BY66" i="7"/>
  <c r="BY67" i="7"/>
  <c r="BY68" i="7"/>
  <c r="BY69" i="7"/>
  <c r="BY70" i="7"/>
  <c r="BY71" i="7"/>
  <c r="BY72" i="7"/>
  <c r="BY73" i="7"/>
  <c r="BY74" i="7"/>
  <c r="BY75" i="7"/>
  <c r="BY76" i="7"/>
  <c r="BY77" i="7"/>
  <c r="BY78" i="7"/>
  <c r="BY79" i="7"/>
  <c r="BY80" i="7"/>
  <c r="BY81" i="7"/>
  <c r="BY82" i="7"/>
  <c r="BY83" i="7"/>
  <c r="BY84" i="7"/>
  <c r="BY85" i="7"/>
  <c r="BY86" i="7"/>
  <c r="BY87" i="7"/>
  <c r="BY88" i="7"/>
  <c r="BY89" i="7"/>
  <c r="BY90" i="7"/>
  <c r="BY91" i="7"/>
  <c r="BY92" i="7"/>
  <c r="BY93" i="7"/>
  <c r="BY94" i="7"/>
  <c r="BY95" i="7"/>
  <c r="BY96" i="7"/>
  <c r="BY97" i="7"/>
  <c r="BY98" i="7"/>
  <c r="BY99" i="7"/>
  <c r="BY100" i="7"/>
  <c r="BY101" i="7"/>
  <c r="BY2" i="7"/>
  <c r="CP2" i="7"/>
  <c r="CR3" i="7"/>
  <c r="CR4" i="7"/>
  <c r="CR5" i="7"/>
  <c r="CR6" i="7"/>
  <c r="CR7" i="7"/>
  <c r="CR8" i="7"/>
  <c r="CR9" i="7"/>
  <c r="CR10" i="7"/>
  <c r="CR11" i="7"/>
  <c r="CR12" i="7"/>
  <c r="CR13" i="7"/>
  <c r="CR14" i="7"/>
  <c r="CR15" i="7"/>
  <c r="CR16" i="7"/>
  <c r="CR17" i="7"/>
  <c r="CR18" i="7"/>
  <c r="CR19" i="7"/>
  <c r="CR20" i="7"/>
  <c r="CR21" i="7"/>
  <c r="CR22" i="7"/>
  <c r="CR23" i="7"/>
  <c r="CR24" i="7"/>
  <c r="CR25" i="7"/>
  <c r="CR26" i="7"/>
  <c r="CR27" i="7"/>
  <c r="CR28" i="7"/>
  <c r="CR29" i="7"/>
  <c r="CR30" i="7"/>
  <c r="CR31" i="7"/>
  <c r="CR32" i="7"/>
  <c r="CR33" i="7"/>
  <c r="CR34" i="7"/>
  <c r="CR35" i="7"/>
  <c r="CR36" i="7"/>
  <c r="CR37" i="7"/>
  <c r="CR38" i="7"/>
  <c r="CR39" i="7"/>
  <c r="CR40" i="7"/>
  <c r="CR41" i="7"/>
  <c r="CR42" i="7"/>
  <c r="CR43" i="7"/>
  <c r="CR44" i="7"/>
  <c r="CR45" i="7"/>
  <c r="CR46" i="7"/>
  <c r="CR47" i="7"/>
  <c r="CR48" i="7"/>
  <c r="CR49" i="7"/>
  <c r="CR50" i="7"/>
  <c r="CR51" i="7"/>
  <c r="CR52" i="7"/>
  <c r="CR53" i="7"/>
  <c r="CR54" i="7"/>
  <c r="CR55" i="7"/>
  <c r="CR56" i="7"/>
  <c r="CR57" i="7"/>
  <c r="CR58" i="7"/>
  <c r="CR59" i="7"/>
  <c r="CR60" i="7"/>
  <c r="CR61" i="7"/>
  <c r="CR62" i="7"/>
  <c r="CR63" i="7"/>
  <c r="CR64" i="7"/>
  <c r="CR65" i="7"/>
  <c r="CR66" i="7"/>
  <c r="CR67" i="7"/>
  <c r="CR68" i="7"/>
  <c r="CR69" i="7"/>
  <c r="CR70" i="7"/>
  <c r="CR71" i="7"/>
  <c r="CR72" i="7"/>
  <c r="CR73" i="7"/>
  <c r="CR74" i="7"/>
  <c r="CR75" i="7"/>
  <c r="CR76" i="7"/>
  <c r="CR77" i="7"/>
  <c r="CR78" i="7"/>
  <c r="CR79" i="7"/>
  <c r="CR80" i="7"/>
  <c r="CR81" i="7"/>
  <c r="CR82" i="7"/>
  <c r="CR83" i="7"/>
  <c r="CR84" i="7"/>
  <c r="CR85" i="7"/>
  <c r="CR86" i="7"/>
  <c r="CR87" i="7"/>
  <c r="CR88" i="7"/>
  <c r="CR89" i="7"/>
  <c r="CR90" i="7"/>
  <c r="CR91" i="7"/>
  <c r="CR92" i="7"/>
  <c r="CR93" i="7"/>
  <c r="CR94" i="7"/>
  <c r="CR95" i="7"/>
  <c r="CR96" i="7"/>
  <c r="CR97" i="7"/>
  <c r="CR98" i="7"/>
  <c r="CR99" i="7"/>
  <c r="CR100" i="7"/>
  <c r="CR101" i="7"/>
  <c r="CR2" i="7"/>
  <c r="BZ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Z35" i="7"/>
  <c r="BZ36" i="7"/>
  <c r="BZ37" i="7"/>
  <c r="BZ38" i="7"/>
  <c r="BZ39" i="7"/>
  <c r="BZ40" i="7"/>
  <c r="BZ41" i="7"/>
  <c r="BZ42" i="7"/>
  <c r="BZ43" i="7"/>
  <c r="BZ44" i="7"/>
  <c r="BZ45" i="7"/>
  <c r="BZ46" i="7"/>
  <c r="BZ47" i="7"/>
  <c r="BZ48" i="7"/>
  <c r="BZ49" i="7"/>
  <c r="BZ50" i="7"/>
  <c r="BZ51" i="7"/>
  <c r="BZ52" i="7"/>
  <c r="BZ53" i="7"/>
  <c r="BZ54" i="7"/>
  <c r="BZ55" i="7"/>
  <c r="BZ56" i="7"/>
  <c r="BZ57" i="7"/>
  <c r="BZ58" i="7"/>
  <c r="BZ59" i="7"/>
  <c r="BZ60" i="7"/>
  <c r="BZ61" i="7"/>
  <c r="BZ62" i="7"/>
  <c r="BZ63" i="7"/>
  <c r="BZ64" i="7"/>
  <c r="BZ65" i="7"/>
  <c r="BZ66" i="7"/>
  <c r="BZ67" i="7"/>
  <c r="BZ68" i="7"/>
  <c r="BZ69" i="7"/>
  <c r="BZ70" i="7"/>
  <c r="BZ71" i="7"/>
  <c r="BZ72" i="7"/>
  <c r="BZ73" i="7"/>
  <c r="BZ74" i="7"/>
  <c r="BZ75" i="7"/>
  <c r="BZ76" i="7"/>
  <c r="BZ77" i="7"/>
  <c r="BZ78" i="7"/>
  <c r="BZ79" i="7"/>
  <c r="BZ80" i="7"/>
  <c r="BZ81" i="7"/>
  <c r="BZ82" i="7"/>
  <c r="BZ83" i="7"/>
  <c r="BZ84" i="7"/>
  <c r="BZ85" i="7"/>
  <c r="BZ86" i="7"/>
  <c r="BZ87" i="7"/>
  <c r="BZ88" i="7"/>
  <c r="BZ89" i="7"/>
  <c r="BZ90" i="7"/>
  <c r="BZ91" i="7"/>
  <c r="BZ92" i="7"/>
  <c r="BZ93" i="7"/>
  <c r="BZ94" i="7"/>
  <c r="BZ95" i="7"/>
  <c r="BZ96" i="7"/>
  <c r="BZ97" i="7"/>
  <c r="BZ98" i="7"/>
  <c r="BZ99" i="7"/>
  <c r="BZ100" i="7"/>
  <c r="BZ101" i="7"/>
  <c r="EF2" i="7"/>
  <c r="BZ2" i="7"/>
  <c r="BT2" i="7"/>
  <c r="D6" i="3"/>
  <c r="J14" i="3"/>
  <c r="DG2" i="7"/>
  <c r="B6" i="3"/>
  <c r="C39" i="3"/>
  <c r="C38" i="3"/>
  <c r="C35" i="3"/>
  <c r="C34" i="3"/>
  <c r="F119" i="4"/>
  <c r="DF2" i="7"/>
  <c r="DJ3" i="7"/>
  <c r="DJ4" i="7"/>
  <c r="DJ5" i="7"/>
  <c r="DJ6" i="7"/>
  <c r="DJ7" i="7"/>
  <c r="DJ8" i="7"/>
  <c r="DJ9" i="7"/>
  <c r="DJ10" i="7"/>
  <c r="DJ11" i="7"/>
  <c r="DJ12" i="7"/>
  <c r="DJ13" i="7"/>
  <c r="DJ14" i="7"/>
  <c r="DJ15" i="7"/>
  <c r="DJ16" i="7"/>
  <c r="DJ17" i="7"/>
  <c r="DJ18" i="7"/>
  <c r="DJ19" i="7"/>
  <c r="DJ20" i="7"/>
  <c r="DJ21" i="7"/>
  <c r="DJ22" i="7"/>
  <c r="DJ23" i="7"/>
  <c r="DJ24" i="7"/>
  <c r="DJ25" i="7"/>
  <c r="DJ26" i="7"/>
  <c r="DJ27" i="7"/>
  <c r="DJ28" i="7"/>
  <c r="DJ29" i="7"/>
  <c r="DJ30" i="7"/>
  <c r="DJ31" i="7"/>
  <c r="DJ32" i="7"/>
  <c r="DJ33" i="7"/>
  <c r="DJ34" i="7"/>
  <c r="DJ35" i="7"/>
  <c r="DJ36" i="7"/>
  <c r="DJ37" i="7"/>
  <c r="DJ38" i="7"/>
  <c r="DJ39" i="7"/>
  <c r="DJ40" i="7"/>
  <c r="DJ41" i="7"/>
  <c r="DJ42" i="7"/>
  <c r="DJ43" i="7"/>
  <c r="DJ44" i="7"/>
  <c r="DJ45" i="7"/>
  <c r="DJ46" i="7"/>
  <c r="DJ47" i="7"/>
  <c r="DJ48" i="7"/>
  <c r="DJ49" i="7"/>
  <c r="DJ50" i="7"/>
  <c r="DJ51" i="7"/>
  <c r="DJ52" i="7"/>
  <c r="DJ53" i="7"/>
  <c r="DJ54" i="7"/>
  <c r="DJ55" i="7"/>
  <c r="DJ56" i="7"/>
  <c r="DJ57" i="7"/>
  <c r="DJ58" i="7"/>
  <c r="DJ59" i="7"/>
  <c r="DJ60" i="7"/>
  <c r="DJ61" i="7"/>
  <c r="DJ62" i="7"/>
  <c r="DJ63" i="7"/>
  <c r="DJ64" i="7"/>
  <c r="DJ65" i="7"/>
  <c r="DJ66" i="7"/>
  <c r="DJ67" i="7"/>
  <c r="DJ68" i="7"/>
  <c r="DJ69" i="7"/>
  <c r="DJ70" i="7"/>
  <c r="DJ71" i="7"/>
  <c r="DJ72" i="7"/>
  <c r="DJ73" i="7"/>
  <c r="DJ74" i="7"/>
  <c r="DJ75" i="7"/>
  <c r="DJ76" i="7"/>
  <c r="DJ77" i="7"/>
  <c r="DJ78" i="7"/>
  <c r="DJ79" i="7"/>
  <c r="DJ80" i="7"/>
  <c r="DJ81" i="7"/>
  <c r="DJ82" i="7"/>
  <c r="DJ83" i="7"/>
  <c r="DJ84" i="7"/>
  <c r="DJ85" i="7"/>
  <c r="DJ86" i="7"/>
  <c r="DJ87" i="7"/>
  <c r="DJ88" i="7"/>
  <c r="DJ89" i="7"/>
  <c r="DJ90" i="7"/>
  <c r="DJ91" i="7"/>
  <c r="DJ92" i="7"/>
  <c r="DJ93" i="7"/>
  <c r="DJ94" i="7"/>
  <c r="DJ95" i="7"/>
  <c r="DJ96" i="7"/>
  <c r="DJ97" i="7"/>
  <c r="DJ98" i="7"/>
  <c r="DJ99" i="7"/>
  <c r="DJ100" i="7"/>
  <c r="DJ101" i="7"/>
  <c r="DI3" i="7"/>
  <c r="DI4" i="7"/>
  <c r="DI5" i="7"/>
  <c r="DI6" i="7"/>
  <c r="DI7" i="7"/>
  <c r="DI8" i="7"/>
  <c r="DI9" i="7"/>
  <c r="DI10" i="7"/>
  <c r="DI11" i="7"/>
  <c r="DI12" i="7"/>
  <c r="DI13" i="7"/>
  <c r="DI14" i="7"/>
  <c r="DI15" i="7"/>
  <c r="DI16" i="7"/>
  <c r="DI17" i="7"/>
  <c r="DI18" i="7"/>
  <c r="DI19" i="7"/>
  <c r="DI20" i="7"/>
  <c r="DI21" i="7"/>
  <c r="DI22" i="7"/>
  <c r="DI23" i="7"/>
  <c r="DI24" i="7"/>
  <c r="DI25" i="7"/>
  <c r="DI26" i="7"/>
  <c r="DI27" i="7"/>
  <c r="DI28" i="7"/>
  <c r="DI29" i="7"/>
  <c r="DI30" i="7"/>
  <c r="DI31" i="7"/>
  <c r="DI32" i="7"/>
  <c r="DI33" i="7"/>
  <c r="DI34" i="7"/>
  <c r="DI35" i="7"/>
  <c r="DI36" i="7"/>
  <c r="DI37" i="7"/>
  <c r="DI38" i="7"/>
  <c r="DT38" i="7" s="1"/>
  <c r="DI39" i="7"/>
  <c r="DI40" i="7"/>
  <c r="DI41" i="7"/>
  <c r="DI42" i="7"/>
  <c r="DI43" i="7"/>
  <c r="DI44" i="7"/>
  <c r="DI45" i="7"/>
  <c r="DI46" i="7"/>
  <c r="DI47" i="7"/>
  <c r="DI48" i="7"/>
  <c r="DI49" i="7"/>
  <c r="DI50" i="7"/>
  <c r="DI51" i="7"/>
  <c r="DI52" i="7"/>
  <c r="DI53" i="7"/>
  <c r="DI54" i="7"/>
  <c r="DI55" i="7"/>
  <c r="DI56" i="7"/>
  <c r="DI57" i="7"/>
  <c r="DI58" i="7"/>
  <c r="DI59" i="7"/>
  <c r="DI60" i="7"/>
  <c r="DI61" i="7"/>
  <c r="DI62" i="7"/>
  <c r="DI63" i="7"/>
  <c r="DI64" i="7"/>
  <c r="DI65" i="7"/>
  <c r="DI66" i="7"/>
  <c r="DI67" i="7"/>
  <c r="DI68" i="7"/>
  <c r="DI69" i="7"/>
  <c r="DI70" i="7"/>
  <c r="DI71" i="7"/>
  <c r="DI72" i="7"/>
  <c r="DI73" i="7"/>
  <c r="DI74" i="7"/>
  <c r="DI75" i="7"/>
  <c r="DI76" i="7"/>
  <c r="DI77" i="7"/>
  <c r="DI78" i="7"/>
  <c r="DI79" i="7"/>
  <c r="DI80" i="7"/>
  <c r="DI81" i="7"/>
  <c r="DI82" i="7"/>
  <c r="DI83" i="7"/>
  <c r="DI84" i="7"/>
  <c r="DI85" i="7"/>
  <c r="DI86" i="7"/>
  <c r="DI87" i="7"/>
  <c r="DI88" i="7"/>
  <c r="DI89" i="7"/>
  <c r="DI90" i="7"/>
  <c r="DI91" i="7"/>
  <c r="DI92" i="7"/>
  <c r="DI93" i="7"/>
  <c r="DI94" i="7"/>
  <c r="DI95" i="7"/>
  <c r="DI96" i="7"/>
  <c r="DI97" i="7"/>
  <c r="DI98" i="7"/>
  <c r="DI99" i="7"/>
  <c r="DI100" i="7"/>
  <c r="DI101" i="7"/>
  <c r="J73" i="4"/>
  <c r="DI2" i="7"/>
  <c r="C73" i="4"/>
  <c r="J71" i="4"/>
  <c r="C71" i="4" s="1"/>
  <c r="J69" i="4"/>
  <c r="C69" i="4" s="1"/>
  <c r="DH3" i="7"/>
  <c r="DH4" i="7"/>
  <c r="DH5" i="7"/>
  <c r="DH6" i="7"/>
  <c r="DH7" i="7"/>
  <c r="DH8" i="7"/>
  <c r="DH9" i="7"/>
  <c r="DH10" i="7"/>
  <c r="DH11" i="7"/>
  <c r="DH12" i="7"/>
  <c r="DH13" i="7"/>
  <c r="DH14" i="7"/>
  <c r="DH15" i="7"/>
  <c r="DH16" i="7"/>
  <c r="DH17" i="7"/>
  <c r="DH18" i="7"/>
  <c r="DH19" i="7"/>
  <c r="DH20" i="7"/>
  <c r="DH21" i="7"/>
  <c r="DH22" i="7"/>
  <c r="DH23" i="7"/>
  <c r="DH24" i="7"/>
  <c r="DH25" i="7"/>
  <c r="DH26" i="7"/>
  <c r="DH27" i="7"/>
  <c r="DH28" i="7"/>
  <c r="DH29" i="7"/>
  <c r="DH30" i="7"/>
  <c r="DH31" i="7"/>
  <c r="DS31" i="7" s="1"/>
  <c r="DH32" i="7"/>
  <c r="DH33" i="7"/>
  <c r="DH34" i="7"/>
  <c r="DH35" i="7"/>
  <c r="DH36" i="7"/>
  <c r="DH37" i="7"/>
  <c r="DH38" i="7"/>
  <c r="DH39" i="7"/>
  <c r="DH40" i="7"/>
  <c r="DH41" i="7"/>
  <c r="DH42" i="7"/>
  <c r="DH43" i="7"/>
  <c r="DH44" i="7"/>
  <c r="DH45" i="7"/>
  <c r="DH46" i="7"/>
  <c r="DH47" i="7"/>
  <c r="DH48" i="7"/>
  <c r="DH49" i="7"/>
  <c r="DH50" i="7"/>
  <c r="DH51" i="7"/>
  <c r="DH52" i="7"/>
  <c r="DH53" i="7"/>
  <c r="DH54" i="7"/>
  <c r="DH55" i="7"/>
  <c r="DH56" i="7"/>
  <c r="DH57" i="7"/>
  <c r="DH58" i="7"/>
  <c r="DH59" i="7"/>
  <c r="DH60" i="7"/>
  <c r="DH61" i="7"/>
  <c r="DH62" i="7"/>
  <c r="DH63" i="7"/>
  <c r="DH64" i="7"/>
  <c r="DH65" i="7"/>
  <c r="DH66" i="7"/>
  <c r="DH67" i="7"/>
  <c r="DH68" i="7"/>
  <c r="DH69" i="7"/>
  <c r="DH70" i="7"/>
  <c r="DH71" i="7"/>
  <c r="DH72" i="7"/>
  <c r="DH73" i="7"/>
  <c r="DH74" i="7"/>
  <c r="DH75" i="7"/>
  <c r="DH76" i="7"/>
  <c r="DH77" i="7"/>
  <c r="DH78" i="7"/>
  <c r="DH79" i="7"/>
  <c r="DH80" i="7"/>
  <c r="DH81" i="7"/>
  <c r="DH82" i="7"/>
  <c r="DH83" i="7"/>
  <c r="DH84" i="7"/>
  <c r="DH85" i="7"/>
  <c r="DH86" i="7"/>
  <c r="DH87" i="7"/>
  <c r="DH88" i="7"/>
  <c r="DH89" i="7"/>
  <c r="DH90" i="7"/>
  <c r="DH91" i="7"/>
  <c r="DH92" i="7"/>
  <c r="DH93" i="7"/>
  <c r="DH94" i="7"/>
  <c r="DH95" i="7"/>
  <c r="DH96" i="7"/>
  <c r="DH97" i="7"/>
  <c r="DH98" i="7"/>
  <c r="DH99" i="7"/>
  <c r="DH100" i="7"/>
  <c r="DH101" i="7"/>
  <c r="DH2" i="7"/>
  <c r="DG3" i="7"/>
  <c r="DG4" i="7"/>
  <c r="DG5" i="7"/>
  <c r="DG6" i="7"/>
  <c r="DG7" i="7"/>
  <c r="DG8" i="7"/>
  <c r="DG9" i="7"/>
  <c r="DG10" i="7"/>
  <c r="DG11" i="7"/>
  <c r="DG12" i="7"/>
  <c r="DG13" i="7"/>
  <c r="DG14" i="7"/>
  <c r="DG15" i="7"/>
  <c r="DG16" i="7"/>
  <c r="DG17" i="7"/>
  <c r="DG18" i="7"/>
  <c r="DG19" i="7"/>
  <c r="DG20" i="7"/>
  <c r="DG21" i="7"/>
  <c r="DG22" i="7"/>
  <c r="DG23" i="7"/>
  <c r="DG24" i="7"/>
  <c r="DG25" i="7"/>
  <c r="DG26" i="7"/>
  <c r="DG27" i="7"/>
  <c r="DG28" i="7"/>
  <c r="DG29" i="7"/>
  <c r="DG30" i="7"/>
  <c r="DG31" i="7"/>
  <c r="DG32" i="7"/>
  <c r="DG33" i="7"/>
  <c r="DG34" i="7"/>
  <c r="DG35" i="7"/>
  <c r="DG36" i="7"/>
  <c r="DG37" i="7"/>
  <c r="DG38" i="7"/>
  <c r="DG39" i="7"/>
  <c r="DG40" i="7"/>
  <c r="DG41" i="7"/>
  <c r="DG42" i="7"/>
  <c r="DG43" i="7"/>
  <c r="DG44" i="7"/>
  <c r="DG45" i="7"/>
  <c r="DG46" i="7"/>
  <c r="DG47" i="7"/>
  <c r="DG48" i="7"/>
  <c r="DG49" i="7"/>
  <c r="DG50" i="7"/>
  <c r="DG51" i="7"/>
  <c r="DG52" i="7"/>
  <c r="DG53" i="7"/>
  <c r="DG54" i="7"/>
  <c r="DG55" i="7"/>
  <c r="DG56" i="7"/>
  <c r="DG57" i="7"/>
  <c r="DG58" i="7"/>
  <c r="DG59" i="7"/>
  <c r="DG60" i="7"/>
  <c r="DG61" i="7"/>
  <c r="DG62" i="7"/>
  <c r="DG63" i="7"/>
  <c r="DG64" i="7"/>
  <c r="DG65" i="7"/>
  <c r="DG66" i="7"/>
  <c r="DG67" i="7"/>
  <c r="DG68" i="7"/>
  <c r="DG69" i="7"/>
  <c r="DG70" i="7"/>
  <c r="DG71" i="7"/>
  <c r="DG72" i="7"/>
  <c r="DG73" i="7"/>
  <c r="DG74" i="7"/>
  <c r="DG75" i="7"/>
  <c r="DG76" i="7"/>
  <c r="DG77" i="7"/>
  <c r="DG78" i="7"/>
  <c r="DL78" i="7" s="1"/>
  <c r="DG79" i="7"/>
  <c r="DG80" i="7"/>
  <c r="DG81" i="7"/>
  <c r="DG82" i="7"/>
  <c r="DG83" i="7"/>
  <c r="DG84" i="7"/>
  <c r="DG85" i="7"/>
  <c r="DG86" i="7"/>
  <c r="DG87" i="7"/>
  <c r="DG88" i="7"/>
  <c r="DG89" i="7"/>
  <c r="DG90" i="7"/>
  <c r="DG91" i="7"/>
  <c r="DG92" i="7"/>
  <c r="DG93" i="7"/>
  <c r="DG94" i="7"/>
  <c r="DG95" i="7"/>
  <c r="DG96" i="7"/>
  <c r="DG97" i="7"/>
  <c r="DG98" i="7"/>
  <c r="DG99" i="7"/>
  <c r="DG100" i="7"/>
  <c r="DG101" i="7"/>
  <c r="J68" i="4"/>
  <c r="DF3" i="7"/>
  <c r="DF4" i="7"/>
  <c r="DF5" i="7"/>
  <c r="DF6" i="7"/>
  <c r="DF7" i="7"/>
  <c r="DF8" i="7"/>
  <c r="DF9" i="7"/>
  <c r="DF10" i="7"/>
  <c r="DF11" i="7"/>
  <c r="DF12" i="7"/>
  <c r="DF13" i="7"/>
  <c r="DF14" i="7"/>
  <c r="DF15" i="7"/>
  <c r="DF16" i="7"/>
  <c r="DF17" i="7"/>
  <c r="DF18" i="7"/>
  <c r="DF19" i="7"/>
  <c r="DF20" i="7"/>
  <c r="DF21" i="7"/>
  <c r="DF22" i="7"/>
  <c r="DF23" i="7"/>
  <c r="DF24" i="7"/>
  <c r="DF25" i="7"/>
  <c r="DF26" i="7"/>
  <c r="DF27" i="7"/>
  <c r="DF28" i="7"/>
  <c r="DF29" i="7"/>
  <c r="DF30" i="7"/>
  <c r="DF31" i="7"/>
  <c r="DQ31" i="7" s="1"/>
  <c r="DF32" i="7"/>
  <c r="DF33" i="7"/>
  <c r="DF34" i="7"/>
  <c r="DF35" i="7"/>
  <c r="DF36" i="7"/>
  <c r="DF37" i="7"/>
  <c r="DF38" i="7"/>
  <c r="DF39" i="7"/>
  <c r="DF40" i="7"/>
  <c r="DF41" i="7"/>
  <c r="DF42" i="7"/>
  <c r="DF43" i="7"/>
  <c r="DF44" i="7"/>
  <c r="DF45" i="7"/>
  <c r="DF46" i="7"/>
  <c r="DF47" i="7"/>
  <c r="DF48" i="7"/>
  <c r="DF49" i="7"/>
  <c r="DF50" i="7"/>
  <c r="DF51" i="7"/>
  <c r="DF52" i="7"/>
  <c r="DF53" i="7"/>
  <c r="DF54" i="7"/>
  <c r="DF55" i="7"/>
  <c r="DF56" i="7"/>
  <c r="DF57" i="7"/>
  <c r="DF58" i="7"/>
  <c r="DF59" i="7"/>
  <c r="DF60" i="7"/>
  <c r="DF61" i="7"/>
  <c r="DF62" i="7"/>
  <c r="DF63" i="7"/>
  <c r="DF64" i="7"/>
  <c r="DF65" i="7"/>
  <c r="DF66" i="7"/>
  <c r="DF67" i="7"/>
  <c r="DF68" i="7"/>
  <c r="DF69" i="7"/>
  <c r="DF70" i="7"/>
  <c r="DF71" i="7"/>
  <c r="DF72" i="7"/>
  <c r="DF73" i="7"/>
  <c r="DF74" i="7"/>
  <c r="DF75" i="7"/>
  <c r="DF76" i="7"/>
  <c r="DF77" i="7"/>
  <c r="DF78" i="7"/>
  <c r="DF79" i="7"/>
  <c r="DF80" i="7"/>
  <c r="DF81" i="7"/>
  <c r="DF82" i="7"/>
  <c r="DF83" i="7"/>
  <c r="DF84" i="7"/>
  <c r="DF85" i="7"/>
  <c r="DF86" i="7"/>
  <c r="DF87" i="7"/>
  <c r="DF88" i="7"/>
  <c r="DF89" i="7"/>
  <c r="DF90" i="7"/>
  <c r="DF91" i="7"/>
  <c r="DF92" i="7"/>
  <c r="DF93" i="7"/>
  <c r="DF94" i="7"/>
  <c r="DF95" i="7"/>
  <c r="DF96" i="7"/>
  <c r="DF97" i="7"/>
  <c r="DF98" i="7"/>
  <c r="DF99" i="7"/>
  <c r="DF100" i="7"/>
  <c r="DF101" i="7"/>
  <c r="J67" i="4"/>
  <c r="C67" i="4" s="1"/>
  <c r="C99" i="4" s="1"/>
  <c r="J99" i="4"/>
  <c r="DE3" i="7"/>
  <c r="DE4" i="7"/>
  <c r="DE5" i="7"/>
  <c r="DE6" i="7"/>
  <c r="DE7" i="7"/>
  <c r="DE8" i="7"/>
  <c r="DE9" i="7"/>
  <c r="DE10" i="7"/>
  <c r="DE11" i="7"/>
  <c r="DE12" i="7"/>
  <c r="DE13" i="7"/>
  <c r="DE14" i="7"/>
  <c r="DE15" i="7"/>
  <c r="DE16" i="7"/>
  <c r="DE17" i="7"/>
  <c r="DE18" i="7"/>
  <c r="DE19" i="7"/>
  <c r="DE20" i="7"/>
  <c r="DE21" i="7"/>
  <c r="DE22" i="7"/>
  <c r="DE23" i="7"/>
  <c r="DE24" i="7"/>
  <c r="DE25" i="7"/>
  <c r="DE26" i="7"/>
  <c r="DE27" i="7"/>
  <c r="DE28" i="7"/>
  <c r="DE29" i="7"/>
  <c r="DE30" i="7"/>
  <c r="DE31" i="7"/>
  <c r="DE32" i="7"/>
  <c r="DE33" i="7"/>
  <c r="DE34" i="7"/>
  <c r="DE35" i="7"/>
  <c r="DE36" i="7"/>
  <c r="DE37" i="7"/>
  <c r="DE38" i="7"/>
  <c r="DE39" i="7"/>
  <c r="DE40" i="7"/>
  <c r="DE41" i="7"/>
  <c r="DE42" i="7"/>
  <c r="DE43" i="7"/>
  <c r="DE44" i="7"/>
  <c r="DE45" i="7"/>
  <c r="DE46" i="7"/>
  <c r="DE47" i="7"/>
  <c r="DE48" i="7"/>
  <c r="DE49" i="7"/>
  <c r="DE50" i="7"/>
  <c r="DE51" i="7"/>
  <c r="DE52" i="7"/>
  <c r="DE53" i="7"/>
  <c r="DE54" i="7"/>
  <c r="DE55" i="7"/>
  <c r="DE56" i="7"/>
  <c r="DE57" i="7"/>
  <c r="DE58" i="7"/>
  <c r="DE59" i="7"/>
  <c r="DE60" i="7"/>
  <c r="DE61" i="7"/>
  <c r="DE62" i="7"/>
  <c r="DE63" i="7"/>
  <c r="DE64" i="7"/>
  <c r="DE65" i="7"/>
  <c r="DE66" i="7"/>
  <c r="DE67" i="7"/>
  <c r="DE68" i="7"/>
  <c r="DE69" i="7"/>
  <c r="DE70" i="7"/>
  <c r="DE71" i="7"/>
  <c r="DE72" i="7"/>
  <c r="DE73" i="7"/>
  <c r="DE74" i="7"/>
  <c r="DE75" i="7"/>
  <c r="DE76" i="7"/>
  <c r="DE77" i="7"/>
  <c r="DE78" i="7"/>
  <c r="DE79" i="7"/>
  <c r="DE80" i="7"/>
  <c r="DE81" i="7"/>
  <c r="DE82" i="7"/>
  <c r="DE83" i="7"/>
  <c r="DE84" i="7"/>
  <c r="DE85" i="7"/>
  <c r="DE86" i="7"/>
  <c r="DE87" i="7"/>
  <c r="DE88" i="7"/>
  <c r="DE89" i="7"/>
  <c r="DE90" i="7"/>
  <c r="DE91" i="7"/>
  <c r="DE92" i="7"/>
  <c r="DE93" i="7"/>
  <c r="DE94" i="7"/>
  <c r="DE95" i="7"/>
  <c r="DE96" i="7"/>
  <c r="DE97" i="7"/>
  <c r="DE98" i="7"/>
  <c r="DE99" i="7"/>
  <c r="DE100" i="7"/>
  <c r="DE101" i="7"/>
  <c r="M65" i="4"/>
  <c r="C68" i="4"/>
  <c r="EB2" i="7"/>
  <c r="DB2" i="7"/>
  <c r="EK2" i="7" s="1"/>
  <c r="E18" i="3"/>
  <c r="DB3" i="7"/>
  <c r="EK3" i="7" s="1"/>
  <c r="DB4" i="7"/>
  <c r="EK4" i="7" s="1"/>
  <c r="DB5" i="7"/>
  <c r="EK5" i="7" s="1"/>
  <c r="DB6" i="7"/>
  <c r="EK6" i="7" s="1"/>
  <c r="DB7" i="7"/>
  <c r="EK7" i="7" s="1"/>
  <c r="DB8" i="7"/>
  <c r="EK8" i="7" s="1"/>
  <c r="DB9" i="7"/>
  <c r="EK9" i="7" s="1"/>
  <c r="DB10" i="7"/>
  <c r="EK10" i="7" s="1"/>
  <c r="DB11" i="7"/>
  <c r="EK11" i="7" s="1"/>
  <c r="DB12" i="7"/>
  <c r="EK12" i="7" s="1"/>
  <c r="DB13" i="7"/>
  <c r="EK13" i="7" s="1"/>
  <c r="DB14" i="7"/>
  <c r="EK14" i="7" s="1"/>
  <c r="DB15" i="7"/>
  <c r="EK15" i="7" s="1"/>
  <c r="DB16" i="7"/>
  <c r="EK16" i="7" s="1"/>
  <c r="DB17" i="7"/>
  <c r="EK17" i="7" s="1"/>
  <c r="DB18" i="7"/>
  <c r="EK18" i="7" s="1"/>
  <c r="DB19" i="7"/>
  <c r="EK19" i="7" s="1"/>
  <c r="DB20" i="7"/>
  <c r="EK20" i="7" s="1"/>
  <c r="DB21" i="7"/>
  <c r="EK21" i="7" s="1"/>
  <c r="DB22" i="7"/>
  <c r="EK22" i="7" s="1"/>
  <c r="DB23" i="7"/>
  <c r="EK23" i="7" s="1"/>
  <c r="DB24" i="7"/>
  <c r="EK24" i="7" s="1"/>
  <c r="DB25" i="7"/>
  <c r="EK25" i="7" s="1"/>
  <c r="DB26" i="7"/>
  <c r="EK26" i="7" s="1"/>
  <c r="DB27" i="7"/>
  <c r="EK27" i="7" s="1"/>
  <c r="DB28" i="7"/>
  <c r="EK28" i="7" s="1"/>
  <c r="DB29" i="7"/>
  <c r="EK29" i="7" s="1"/>
  <c r="DB30" i="7"/>
  <c r="EK30" i="7" s="1"/>
  <c r="DB31" i="7"/>
  <c r="EK31" i="7" s="1"/>
  <c r="DB32" i="7"/>
  <c r="EK32" i="7" s="1"/>
  <c r="DB33" i="7"/>
  <c r="EK33" i="7" s="1"/>
  <c r="DB34" i="7"/>
  <c r="EK34" i="7" s="1"/>
  <c r="DB35" i="7"/>
  <c r="EK35" i="7" s="1"/>
  <c r="DB36" i="7"/>
  <c r="EK36" i="7" s="1"/>
  <c r="DB37" i="7"/>
  <c r="EK37" i="7" s="1"/>
  <c r="DB38" i="7"/>
  <c r="EK38" i="7" s="1"/>
  <c r="DB39" i="7"/>
  <c r="EK39" i="7" s="1"/>
  <c r="DB40" i="7"/>
  <c r="EK40" i="7" s="1"/>
  <c r="DB41" i="7"/>
  <c r="EK41" i="7" s="1"/>
  <c r="DB42" i="7"/>
  <c r="EK42" i="7" s="1"/>
  <c r="DB43" i="7"/>
  <c r="EK43" i="7" s="1"/>
  <c r="DB44" i="7"/>
  <c r="EK44" i="7" s="1"/>
  <c r="DB45" i="7"/>
  <c r="EK45" i="7" s="1"/>
  <c r="DB46" i="7"/>
  <c r="EK46" i="7" s="1"/>
  <c r="DB47" i="7"/>
  <c r="EK47" i="7" s="1"/>
  <c r="DB48" i="7"/>
  <c r="EK48" i="7" s="1"/>
  <c r="DB49" i="7"/>
  <c r="EK49" i="7" s="1"/>
  <c r="DB50" i="7"/>
  <c r="EK50" i="7" s="1"/>
  <c r="DB51" i="7"/>
  <c r="EK51" i="7" s="1"/>
  <c r="DB52" i="7"/>
  <c r="EK52" i="7" s="1"/>
  <c r="DB53" i="7"/>
  <c r="EK53" i="7" s="1"/>
  <c r="DB54" i="7"/>
  <c r="EK54" i="7" s="1"/>
  <c r="DB55" i="7"/>
  <c r="EK55" i="7" s="1"/>
  <c r="DB56" i="7"/>
  <c r="EK56" i="7" s="1"/>
  <c r="DB57" i="7"/>
  <c r="EK57" i="7" s="1"/>
  <c r="DB58" i="7"/>
  <c r="EK58" i="7" s="1"/>
  <c r="DB59" i="7"/>
  <c r="EK59" i="7" s="1"/>
  <c r="DB60" i="7"/>
  <c r="EK60" i="7" s="1"/>
  <c r="DB61" i="7"/>
  <c r="EK61" i="7" s="1"/>
  <c r="DB62" i="7"/>
  <c r="EK62" i="7" s="1"/>
  <c r="DB63" i="7"/>
  <c r="EK63" i="7" s="1"/>
  <c r="DB64" i="7"/>
  <c r="EK64" i="7" s="1"/>
  <c r="DB65" i="7"/>
  <c r="EK65" i="7" s="1"/>
  <c r="DB66" i="7"/>
  <c r="EK66" i="7" s="1"/>
  <c r="DB67" i="7"/>
  <c r="EK67" i="7" s="1"/>
  <c r="DB68" i="7"/>
  <c r="EK68" i="7" s="1"/>
  <c r="DB69" i="7"/>
  <c r="EK69" i="7" s="1"/>
  <c r="DB70" i="7"/>
  <c r="EK70" i="7" s="1"/>
  <c r="DB71" i="7"/>
  <c r="EK71" i="7" s="1"/>
  <c r="DB72" i="7"/>
  <c r="EK72" i="7" s="1"/>
  <c r="DB73" i="7"/>
  <c r="EK73" i="7" s="1"/>
  <c r="DB74" i="7"/>
  <c r="EK74" i="7" s="1"/>
  <c r="DB75" i="7"/>
  <c r="EK75" i="7" s="1"/>
  <c r="DB76" i="7"/>
  <c r="EK76" i="7" s="1"/>
  <c r="DB77" i="7"/>
  <c r="EK77" i="7" s="1"/>
  <c r="DB78" i="7"/>
  <c r="EK78" i="7" s="1"/>
  <c r="DB79" i="7"/>
  <c r="EK79" i="7" s="1"/>
  <c r="DB80" i="7"/>
  <c r="EK80" i="7" s="1"/>
  <c r="DB81" i="7"/>
  <c r="EK81" i="7" s="1"/>
  <c r="DB82" i="7"/>
  <c r="EK82" i="7" s="1"/>
  <c r="DB83" i="7"/>
  <c r="EK83" i="7" s="1"/>
  <c r="DB84" i="7"/>
  <c r="EK84" i="7" s="1"/>
  <c r="DB85" i="7"/>
  <c r="EK85" i="7" s="1"/>
  <c r="DB86" i="7"/>
  <c r="EK86" i="7" s="1"/>
  <c r="DB87" i="7"/>
  <c r="EK87" i="7" s="1"/>
  <c r="DB88" i="7"/>
  <c r="EK88" i="7" s="1"/>
  <c r="DB89" i="7"/>
  <c r="EK89" i="7" s="1"/>
  <c r="DB90" i="7"/>
  <c r="EK90" i="7" s="1"/>
  <c r="DB91" i="7"/>
  <c r="EK91" i="7" s="1"/>
  <c r="DB92" i="7"/>
  <c r="EK92" i="7" s="1"/>
  <c r="DB93" i="7"/>
  <c r="EK93" i="7" s="1"/>
  <c r="DB94" i="7"/>
  <c r="EK94" i="7" s="1"/>
  <c r="DB95" i="7"/>
  <c r="EK95" i="7" s="1"/>
  <c r="DB96" i="7"/>
  <c r="EK96" i="7" s="1"/>
  <c r="DB97" i="7"/>
  <c r="EK97" i="7" s="1"/>
  <c r="DB98" i="7"/>
  <c r="EK98" i="7" s="1"/>
  <c r="DB99" i="7"/>
  <c r="EK99" i="7" s="1"/>
  <c r="DB100" i="7"/>
  <c r="EK100" i="7" s="1"/>
  <c r="DB101" i="7"/>
  <c r="EK101" i="7" s="1"/>
  <c r="DA3" i="7"/>
  <c r="EB3" i="7" s="1"/>
  <c r="DA4" i="7"/>
  <c r="EB4" i="7" s="1"/>
  <c r="DA5" i="7"/>
  <c r="EB5" i="7" s="1"/>
  <c r="DA6" i="7"/>
  <c r="EB6" i="7" s="1"/>
  <c r="DA7" i="7"/>
  <c r="EB7" i="7" s="1"/>
  <c r="DA8" i="7"/>
  <c r="EB8" i="7" s="1"/>
  <c r="DA9" i="7"/>
  <c r="EB9" i="7" s="1"/>
  <c r="DA10" i="7"/>
  <c r="EB10" i="7" s="1"/>
  <c r="DA11" i="7"/>
  <c r="EB11" i="7" s="1"/>
  <c r="DA12" i="7"/>
  <c r="EB12" i="7" s="1"/>
  <c r="DA13" i="7"/>
  <c r="EB13" i="7" s="1"/>
  <c r="DA14" i="7"/>
  <c r="EB14" i="7" s="1"/>
  <c r="DA15" i="7"/>
  <c r="EB15" i="7" s="1"/>
  <c r="DA16" i="7"/>
  <c r="EB16" i="7" s="1"/>
  <c r="DA17" i="7"/>
  <c r="EB17" i="7" s="1"/>
  <c r="DA18" i="7"/>
  <c r="EB18" i="7" s="1"/>
  <c r="DA19" i="7"/>
  <c r="EB19" i="7" s="1"/>
  <c r="DA20" i="7"/>
  <c r="EB20" i="7" s="1"/>
  <c r="DA21" i="7"/>
  <c r="EB21" i="7" s="1"/>
  <c r="DA22" i="7"/>
  <c r="EB22" i="7" s="1"/>
  <c r="DA23" i="7"/>
  <c r="EB23" i="7" s="1"/>
  <c r="DA24" i="7"/>
  <c r="EB24" i="7" s="1"/>
  <c r="DA25" i="7"/>
  <c r="EB25" i="7" s="1"/>
  <c r="DA26" i="7"/>
  <c r="EB26" i="7" s="1"/>
  <c r="DA27" i="7"/>
  <c r="EB27" i="7" s="1"/>
  <c r="DA28" i="7"/>
  <c r="EB28" i="7" s="1"/>
  <c r="DA29" i="7"/>
  <c r="EB29" i="7" s="1"/>
  <c r="DA30" i="7"/>
  <c r="EB30" i="7" s="1"/>
  <c r="DA31" i="7"/>
  <c r="EB31" i="7" s="1"/>
  <c r="DA32" i="7"/>
  <c r="EB32" i="7" s="1"/>
  <c r="DA33" i="7"/>
  <c r="EB33" i="7" s="1"/>
  <c r="DA34" i="7"/>
  <c r="EB34" i="7" s="1"/>
  <c r="DA35" i="7"/>
  <c r="EB35" i="7" s="1"/>
  <c r="DA36" i="7"/>
  <c r="EB36" i="7" s="1"/>
  <c r="DA37" i="7"/>
  <c r="EB37" i="7" s="1"/>
  <c r="DA38" i="7"/>
  <c r="EB38" i="7" s="1"/>
  <c r="DA39" i="7"/>
  <c r="EB39" i="7" s="1"/>
  <c r="DA40" i="7"/>
  <c r="EB40" i="7" s="1"/>
  <c r="DA41" i="7"/>
  <c r="EB41" i="7" s="1"/>
  <c r="DA42" i="7"/>
  <c r="EB42" i="7" s="1"/>
  <c r="DA43" i="7"/>
  <c r="EB43" i="7" s="1"/>
  <c r="DA44" i="7"/>
  <c r="EB44" i="7" s="1"/>
  <c r="DA45" i="7"/>
  <c r="EB45" i="7" s="1"/>
  <c r="DA46" i="7"/>
  <c r="EB46" i="7" s="1"/>
  <c r="DA47" i="7"/>
  <c r="EB47" i="7" s="1"/>
  <c r="DA48" i="7"/>
  <c r="EB48" i="7" s="1"/>
  <c r="DA49" i="7"/>
  <c r="EB49" i="7" s="1"/>
  <c r="DA50" i="7"/>
  <c r="EB50" i="7" s="1"/>
  <c r="DA51" i="7"/>
  <c r="EB51" i="7" s="1"/>
  <c r="DA52" i="7"/>
  <c r="EB52" i="7" s="1"/>
  <c r="DA53" i="7"/>
  <c r="EB53" i="7" s="1"/>
  <c r="DA54" i="7"/>
  <c r="EB54" i="7" s="1"/>
  <c r="DA55" i="7"/>
  <c r="EB55" i="7" s="1"/>
  <c r="DA56" i="7"/>
  <c r="EB56" i="7" s="1"/>
  <c r="DA57" i="7"/>
  <c r="EB57" i="7" s="1"/>
  <c r="DA58" i="7"/>
  <c r="EB58" i="7" s="1"/>
  <c r="DA59" i="7"/>
  <c r="EB59" i="7" s="1"/>
  <c r="DA60" i="7"/>
  <c r="EB60" i="7" s="1"/>
  <c r="DA61" i="7"/>
  <c r="EB61" i="7" s="1"/>
  <c r="DA62" i="7"/>
  <c r="EB62" i="7" s="1"/>
  <c r="DA63" i="7"/>
  <c r="EB63" i="7" s="1"/>
  <c r="DA64" i="7"/>
  <c r="EB64" i="7" s="1"/>
  <c r="DA65" i="7"/>
  <c r="EB65" i="7" s="1"/>
  <c r="DA66" i="7"/>
  <c r="EB66" i="7" s="1"/>
  <c r="DA67" i="7"/>
  <c r="EB67" i="7" s="1"/>
  <c r="DA68" i="7"/>
  <c r="EB68" i="7" s="1"/>
  <c r="DA69" i="7"/>
  <c r="EB69" i="7" s="1"/>
  <c r="DA70" i="7"/>
  <c r="EB70" i="7" s="1"/>
  <c r="DA71" i="7"/>
  <c r="EB71" i="7" s="1"/>
  <c r="DA72" i="7"/>
  <c r="EB72" i="7" s="1"/>
  <c r="DA73" i="7"/>
  <c r="EB73" i="7" s="1"/>
  <c r="DA74" i="7"/>
  <c r="EB74" i="7" s="1"/>
  <c r="DA75" i="7"/>
  <c r="EB75" i="7" s="1"/>
  <c r="DA76" i="7"/>
  <c r="EB76" i="7" s="1"/>
  <c r="DA77" i="7"/>
  <c r="EB77" i="7" s="1"/>
  <c r="DA78" i="7"/>
  <c r="EB78" i="7" s="1"/>
  <c r="DA79" i="7"/>
  <c r="EB79" i="7" s="1"/>
  <c r="DA80" i="7"/>
  <c r="EB80" i="7" s="1"/>
  <c r="DA81" i="7"/>
  <c r="EB81" i="7" s="1"/>
  <c r="DA82" i="7"/>
  <c r="EB82" i="7" s="1"/>
  <c r="DA83" i="7"/>
  <c r="EB83" i="7" s="1"/>
  <c r="DA84" i="7"/>
  <c r="EB84" i="7" s="1"/>
  <c r="DA85" i="7"/>
  <c r="EB85" i="7" s="1"/>
  <c r="DA86" i="7"/>
  <c r="EB86" i="7" s="1"/>
  <c r="DA87" i="7"/>
  <c r="EB87" i="7" s="1"/>
  <c r="DA88" i="7"/>
  <c r="EB88" i="7" s="1"/>
  <c r="DA89" i="7"/>
  <c r="EB89" i="7" s="1"/>
  <c r="DA90" i="7"/>
  <c r="EB90" i="7" s="1"/>
  <c r="DA91" i="7"/>
  <c r="EB91" i="7" s="1"/>
  <c r="DA92" i="7"/>
  <c r="EB92" i="7" s="1"/>
  <c r="DA93" i="7"/>
  <c r="EB93" i="7" s="1"/>
  <c r="DA94" i="7"/>
  <c r="EB94" i="7" s="1"/>
  <c r="DA95" i="7"/>
  <c r="EB95" i="7" s="1"/>
  <c r="DA96" i="7"/>
  <c r="EB96" i="7" s="1"/>
  <c r="DA97" i="7"/>
  <c r="EB97" i="7" s="1"/>
  <c r="DA98" i="7"/>
  <c r="EB98" i="7" s="1"/>
  <c r="DA99" i="7"/>
  <c r="EB99" i="7" s="1"/>
  <c r="DA100" i="7"/>
  <c r="EB100" i="7" s="1"/>
  <c r="DA101" i="7"/>
  <c r="EB101" i="7" s="1"/>
  <c r="E11" i="3"/>
  <c r="J11" i="3"/>
  <c r="CX3" i="7"/>
  <c r="CX4" i="7"/>
  <c r="CX5" i="7"/>
  <c r="CX6" i="7"/>
  <c r="CX7" i="7"/>
  <c r="CX8" i="7"/>
  <c r="CX9" i="7"/>
  <c r="CX10" i="7"/>
  <c r="CX11" i="7"/>
  <c r="CX12" i="7"/>
  <c r="CX13" i="7"/>
  <c r="CX14" i="7"/>
  <c r="CX15" i="7"/>
  <c r="CX16" i="7"/>
  <c r="CX17" i="7"/>
  <c r="CX18" i="7"/>
  <c r="CX19" i="7"/>
  <c r="CX20" i="7"/>
  <c r="CX21" i="7"/>
  <c r="CX22" i="7"/>
  <c r="CX23" i="7"/>
  <c r="CX24" i="7"/>
  <c r="CX25" i="7"/>
  <c r="CX26" i="7"/>
  <c r="CX27" i="7"/>
  <c r="CX28" i="7"/>
  <c r="CX29" i="7"/>
  <c r="CX30" i="7"/>
  <c r="CX31" i="7"/>
  <c r="CX32" i="7"/>
  <c r="CX33" i="7"/>
  <c r="CX34" i="7"/>
  <c r="CX35" i="7"/>
  <c r="CX36" i="7"/>
  <c r="CX37" i="7"/>
  <c r="CX38" i="7"/>
  <c r="CX39" i="7"/>
  <c r="CX40" i="7"/>
  <c r="CX41" i="7"/>
  <c r="CX42" i="7"/>
  <c r="CX43" i="7"/>
  <c r="CX44" i="7"/>
  <c r="CX45" i="7"/>
  <c r="CX46" i="7"/>
  <c r="CX47" i="7"/>
  <c r="CX48" i="7"/>
  <c r="CX49" i="7"/>
  <c r="CX50" i="7"/>
  <c r="CX51" i="7"/>
  <c r="CX52" i="7"/>
  <c r="CX53" i="7"/>
  <c r="CX54" i="7"/>
  <c r="CX55" i="7"/>
  <c r="CX56" i="7"/>
  <c r="CX57" i="7"/>
  <c r="CX58" i="7"/>
  <c r="CX59" i="7"/>
  <c r="CX60" i="7"/>
  <c r="CX61" i="7"/>
  <c r="CX62" i="7"/>
  <c r="CX63" i="7"/>
  <c r="CX64" i="7"/>
  <c r="CX65" i="7"/>
  <c r="CX66" i="7"/>
  <c r="CX67" i="7"/>
  <c r="CX68" i="7"/>
  <c r="CX69" i="7"/>
  <c r="CX70" i="7"/>
  <c r="CX71" i="7"/>
  <c r="CX72" i="7"/>
  <c r="CX73" i="7"/>
  <c r="CX74" i="7"/>
  <c r="CX75" i="7"/>
  <c r="CX76" i="7"/>
  <c r="CX77" i="7"/>
  <c r="CX78" i="7"/>
  <c r="CX79" i="7"/>
  <c r="CX80" i="7"/>
  <c r="CX81" i="7"/>
  <c r="CX82" i="7"/>
  <c r="CX83" i="7"/>
  <c r="CX84" i="7"/>
  <c r="CX85" i="7"/>
  <c r="CX86" i="7"/>
  <c r="CX87" i="7"/>
  <c r="CX88" i="7"/>
  <c r="CX89" i="7"/>
  <c r="CX90" i="7"/>
  <c r="CX91" i="7"/>
  <c r="CX92" i="7"/>
  <c r="CX93" i="7"/>
  <c r="CX94" i="7"/>
  <c r="CX95" i="7"/>
  <c r="CX96" i="7"/>
  <c r="CX97" i="7"/>
  <c r="CX98" i="7"/>
  <c r="CX99" i="7"/>
  <c r="CX100" i="7"/>
  <c r="CX101" i="7"/>
  <c r="CX2" i="7"/>
  <c r="CK82" i="7"/>
  <c r="CK83" i="7"/>
  <c r="BQ37" i="7"/>
  <c r="BO93" i="7"/>
  <c r="BO94" i="7"/>
  <c r="S9" i="3"/>
  <c r="S6" i="3"/>
  <c r="S4" i="3"/>
  <c r="BT31" i="7"/>
  <c r="BT32" i="7"/>
  <c r="BT33" i="7"/>
  <c r="BT36" i="7"/>
  <c r="BN3" i="7"/>
  <c r="CI3" i="7" s="1"/>
  <c r="EJ3" i="7" s="1"/>
  <c r="BN4" i="7"/>
  <c r="BN5" i="7"/>
  <c r="CJ5" i="7" s="1"/>
  <c r="BN6" i="7"/>
  <c r="BN7" i="7"/>
  <c r="BN8" i="7"/>
  <c r="CI8" i="7" s="1"/>
  <c r="BN9" i="7"/>
  <c r="BN10" i="7"/>
  <c r="CK10" i="7" s="1"/>
  <c r="BN11" i="7"/>
  <c r="CJ11" i="7" s="1"/>
  <c r="BN12" i="7"/>
  <c r="CJ12" i="7" s="1"/>
  <c r="BN13" i="7"/>
  <c r="CH13" i="7" s="1"/>
  <c r="BN14" i="7"/>
  <c r="CL14" i="7" s="1"/>
  <c r="CS14" i="7" s="1"/>
  <c r="BN15" i="7"/>
  <c r="CL15" i="7" s="1"/>
  <c r="CS15" i="7" s="1"/>
  <c r="BN16" i="7"/>
  <c r="CI16" i="7" s="1"/>
  <c r="BN17" i="7"/>
  <c r="BN18" i="7"/>
  <c r="CL18" i="7" s="1"/>
  <c r="CS18" i="7" s="1"/>
  <c r="BN19" i="7"/>
  <c r="CL19" i="7" s="1"/>
  <c r="CS19" i="7" s="1"/>
  <c r="BN20" i="7"/>
  <c r="FH20" i="7" s="1"/>
  <c r="BN21" i="7"/>
  <c r="CL21" i="7" s="1"/>
  <c r="CS21" i="7" s="1"/>
  <c r="BN22" i="7"/>
  <c r="CI22" i="7" s="1"/>
  <c r="EJ22" i="7" s="1"/>
  <c r="BN23" i="7"/>
  <c r="BN24" i="7"/>
  <c r="CI24" i="7" s="1"/>
  <c r="BN25" i="7"/>
  <c r="CI25" i="7" s="1"/>
  <c r="BN26" i="7"/>
  <c r="CM26" i="7" s="1"/>
  <c r="CT26" i="7" s="1"/>
  <c r="BN27" i="7"/>
  <c r="BN28" i="7"/>
  <c r="BN29" i="7"/>
  <c r="CI29" i="7" s="1"/>
  <c r="BN30" i="7"/>
  <c r="CI30" i="7" s="1"/>
  <c r="BN31" i="7"/>
  <c r="CH31" i="7" s="1"/>
  <c r="BN32" i="7"/>
  <c r="BN33" i="7"/>
  <c r="CH33" i="7" s="1"/>
  <c r="BN34" i="7"/>
  <c r="CL34" i="7" s="1"/>
  <c r="CS34" i="7" s="1"/>
  <c r="BN35" i="7"/>
  <c r="CM35" i="7" s="1"/>
  <c r="CT35" i="7" s="1"/>
  <c r="BN36" i="7"/>
  <c r="CL36" i="7" s="1"/>
  <c r="CS36" i="7" s="1"/>
  <c r="BN37" i="7"/>
  <c r="CG37" i="7" s="1"/>
  <c r="BN38" i="7"/>
  <c r="CG38" i="7" s="1"/>
  <c r="BN39" i="7"/>
  <c r="CJ39" i="7" s="1"/>
  <c r="BN40" i="7"/>
  <c r="FH40" i="7" s="1"/>
  <c r="BN41" i="7"/>
  <c r="BN42" i="7"/>
  <c r="CG42" i="7" s="1"/>
  <c r="BN43" i="7"/>
  <c r="CG43" i="7" s="1"/>
  <c r="BN44" i="7"/>
  <c r="CH44" i="7" s="1"/>
  <c r="BN45" i="7"/>
  <c r="CG45" i="7" s="1"/>
  <c r="BN46" i="7"/>
  <c r="BN47" i="7"/>
  <c r="BN48" i="7"/>
  <c r="BN49" i="7"/>
  <c r="CG49" i="7" s="1"/>
  <c r="BN50" i="7"/>
  <c r="CM50" i="7" s="1"/>
  <c r="CT50" i="7" s="1"/>
  <c r="BN51" i="7"/>
  <c r="BN52" i="7"/>
  <c r="CL52" i="7" s="1"/>
  <c r="CS52" i="7" s="1"/>
  <c r="BN53" i="7"/>
  <c r="BN54" i="7"/>
  <c r="CM54" i="7" s="1"/>
  <c r="CT54" i="7" s="1"/>
  <c r="BN55" i="7"/>
  <c r="CL55" i="7" s="1"/>
  <c r="CS55" i="7" s="1"/>
  <c r="BN56" i="7"/>
  <c r="CG56" i="7" s="1"/>
  <c r="BN57" i="7"/>
  <c r="CK57" i="7" s="1"/>
  <c r="BN58" i="7"/>
  <c r="CL58" i="7" s="1"/>
  <c r="CS58" i="7" s="1"/>
  <c r="BN59" i="7"/>
  <c r="CH59" i="7" s="1"/>
  <c r="BN60" i="7"/>
  <c r="FH60" i="7" s="1"/>
  <c r="BN61" i="7"/>
  <c r="BN62" i="7"/>
  <c r="BN63" i="7"/>
  <c r="BN64" i="7"/>
  <c r="EO64" i="7" s="1"/>
  <c r="BN65" i="7"/>
  <c r="EO65" i="7" s="1"/>
  <c r="BN66" i="7"/>
  <c r="BN67" i="7"/>
  <c r="BN68" i="7"/>
  <c r="BN69" i="7"/>
  <c r="CG69" i="7" s="1"/>
  <c r="BN70" i="7"/>
  <c r="CH70" i="7" s="1"/>
  <c r="BN71" i="7"/>
  <c r="CG71" i="7" s="1"/>
  <c r="BN72" i="7"/>
  <c r="CG72" i="7" s="1"/>
  <c r="BN73" i="7"/>
  <c r="BN74" i="7"/>
  <c r="CH74" i="7" s="1"/>
  <c r="BN75" i="7"/>
  <c r="CJ75" i="7" s="1"/>
  <c r="BN76" i="7"/>
  <c r="CH76" i="7" s="1"/>
  <c r="EI76" i="7" s="1"/>
  <c r="BN77" i="7"/>
  <c r="CK77" i="7" s="1"/>
  <c r="BN78" i="7"/>
  <c r="CL78" i="7" s="1"/>
  <c r="CS78" i="7" s="1"/>
  <c r="BN79" i="7"/>
  <c r="CG79" i="7" s="1"/>
  <c r="BN80" i="7"/>
  <c r="FH80" i="7" s="1"/>
  <c r="BN81" i="7"/>
  <c r="CL81" i="7" s="1"/>
  <c r="CS81" i="7" s="1"/>
  <c r="BN82" i="7"/>
  <c r="CL82" i="7" s="1"/>
  <c r="CS82" i="7" s="1"/>
  <c r="BN83" i="7"/>
  <c r="BN84" i="7"/>
  <c r="CL84" i="7" s="1"/>
  <c r="CS84" i="7" s="1"/>
  <c r="BN85" i="7"/>
  <c r="CL85" i="7" s="1"/>
  <c r="CS85" i="7" s="1"/>
  <c r="BN86" i="7"/>
  <c r="BN87" i="7"/>
  <c r="BN88" i="7"/>
  <c r="BN89" i="7"/>
  <c r="CL89" i="7" s="1"/>
  <c r="CS89" i="7" s="1"/>
  <c r="BN90" i="7"/>
  <c r="BN91" i="7"/>
  <c r="BN92" i="7"/>
  <c r="CG92" i="7" s="1"/>
  <c r="BN93" i="7"/>
  <c r="BN94" i="7"/>
  <c r="CH94" i="7" s="1"/>
  <c r="BN95" i="7"/>
  <c r="BN96" i="7"/>
  <c r="CK96" i="7" s="1"/>
  <c r="BN97" i="7"/>
  <c r="BN98" i="7"/>
  <c r="BN99" i="7"/>
  <c r="BN100" i="7"/>
  <c r="FH100" i="7" s="1"/>
  <c r="BN101" i="7"/>
  <c r="CG101" i="7" s="1"/>
  <c r="BN2" i="7"/>
  <c r="CI2" i="7" s="1"/>
  <c r="EJ2" i="7" s="1"/>
  <c r="BM3" i="7"/>
  <c r="BM4" i="7"/>
  <c r="DU4" i="7" s="1"/>
  <c r="BM5" i="7"/>
  <c r="CZ5" i="7" s="1"/>
  <c r="BM6" i="7"/>
  <c r="BM7" i="7"/>
  <c r="BM8" i="7"/>
  <c r="BM9" i="7"/>
  <c r="CZ9" i="7" s="1"/>
  <c r="BM10" i="7"/>
  <c r="CZ10" i="7" s="1"/>
  <c r="BM11" i="7"/>
  <c r="CZ11" i="7" s="1"/>
  <c r="BM12" i="7"/>
  <c r="CZ12" i="7" s="1"/>
  <c r="BM13" i="7"/>
  <c r="CZ13" i="7" s="1"/>
  <c r="BM14" i="7"/>
  <c r="CZ14" i="7" s="1"/>
  <c r="BM15" i="7"/>
  <c r="CZ15" i="7" s="1"/>
  <c r="BM16" i="7"/>
  <c r="BM17" i="7"/>
  <c r="BM18" i="7"/>
  <c r="BM19" i="7"/>
  <c r="BM20" i="7"/>
  <c r="BM21" i="7"/>
  <c r="BM22" i="7"/>
  <c r="BM23" i="7"/>
  <c r="BM24" i="7"/>
  <c r="BM25" i="7"/>
  <c r="EM25" i="7" s="1"/>
  <c r="BM26" i="7"/>
  <c r="BM27" i="7"/>
  <c r="BM28" i="7"/>
  <c r="BM29" i="7"/>
  <c r="BM30" i="7"/>
  <c r="BM31" i="7"/>
  <c r="BM32" i="7"/>
  <c r="BM33" i="7"/>
  <c r="BM34" i="7"/>
  <c r="CZ34" i="7" s="1"/>
  <c r="BM35" i="7"/>
  <c r="CZ35" i="7" s="1"/>
  <c r="BM36" i="7"/>
  <c r="BM37" i="7"/>
  <c r="BM38" i="7"/>
  <c r="CZ38" i="7" s="1"/>
  <c r="BM39" i="7"/>
  <c r="BM40" i="7"/>
  <c r="BM41" i="7"/>
  <c r="BM42" i="7"/>
  <c r="BM43" i="7"/>
  <c r="BM44" i="7"/>
  <c r="BM45" i="7"/>
  <c r="BM46" i="7"/>
  <c r="BM47" i="7"/>
  <c r="BM48" i="7"/>
  <c r="BM49" i="7"/>
  <c r="CZ49" i="7" s="1"/>
  <c r="BM50" i="7"/>
  <c r="BM51" i="7"/>
  <c r="BM52" i="7"/>
  <c r="CZ52" i="7" s="1"/>
  <c r="BM53" i="7"/>
  <c r="EM53" i="7" s="1"/>
  <c r="BM54" i="7"/>
  <c r="CZ54" i="7" s="1"/>
  <c r="BM55" i="7"/>
  <c r="CZ55" i="7" s="1"/>
  <c r="BM56" i="7"/>
  <c r="BM57" i="7"/>
  <c r="BM58" i="7"/>
  <c r="BM59" i="7"/>
  <c r="BM60" i="7"/>
  <c r="CZ60" i="7" s="1"/>
  <c r="BM61" i="7"/>
  <c r="BM62" i="7"/>
  <c r="BM63" i="7"/>
  <c r="BM64" i="7"/>
  <c r="BM65" i="7"/>
  <c r="BM66" i="7"/>
  <c r="BM67" i="7"/>
  <c r="BM68" i="7"/>
  <c r="BM69" i="7"/>
  <c r="BM70" i="7"/>
  <c r="BM71" i="7"/>
  <c r="BM72" i="7"/>
  <c r="BM73" i="7"/>
  <c r="BM74" i="7"/>
  <c r="BM75" i="7"/>
  <c r="BM76" i="7"/>
  <c r="BM77" i="7"/>
  <c r="BM78" i="7"/>
  <c r="CZ78" i="7" s="1"/>
  <c r="BM79" i="7"/>
  <c r="BM80" i="7"/>
  <c r="BM81" i="7"/>
  <c r="BM82" i="7"/>
  <c r="CZ82" i="7" s="1"/>
  <c r="BM83" i="7"/>
  <c r="BM84" i="7"/>
  <c r="CZ84" i="7" s="1"/>
  <c r="BM85" i="7"/>
  <c r="CZ85" i="7" s="1"/>
  <c r="BM86" i="7"/>
  <c r="BM87" i="7"/>
  <c r="BM88" i="7"/>
  <c r="BM89" i="7"/>
  <c r="BM90" i="7"/>
  <c r="BM91" i="7"/>
  <c r="BM92" i="7"/>
  <c r="BM93" i="7"/>
  <c r="BM94" i="7"/>
  <c r="BM95" i="7"/>
  <c r="CZ95" i="7" s="1"/>
  <c r="BM96" i="7"/>
  <c r="BM97" i="7"/>
  <c r="CZ97" i="7" s="1"/>
  <c r="BM98" i="7"/>
  <c r="BM99" i="7"/>
  <c r="BM100" i="7"/>
  <c r="CZ100" i="7" s="1"/>
  <c r="BM101" i="7"/>
  <c r="BM2" i="7"/>
  <c r="BL3" i="7"/>
  <c r="BT3" i="7" s="1"/>
  <c r="BL4" i="7"/>
  <c r="BS4" i="7" s="1"/>
  <c r="BL5" i="7"/>
  <c r="BR5" i="7" s="1"/>
  <c r="BL6" i="7"/>
  <c r="BL7" i="7"/>
  <c r="BQ7" i="7" s="1"/>
  <c r="EA7" i="7" s="1"/>
  <c r="BL8" i="7"/>
  <c r="EE8" i="7" s="1"/>
  <c r="BL9" i="7"/>
  <c r="BQ9" i="7" s="1"/>
  <c r="EA9" i="7" s="1"/>
  <c r="BL10" i="7"/>
  <c r="BQ10" i="7" s="1"/>
  <c r="EA10" i="7" s="1"/>
  <c r="BL11" i="7"/>
  <c r="EF11" i="7" s="1"/>
  <c r="BL12" i="7"/>
  <c r="BT12" i="7" s="1"/>
  <c r="BL13" i="7"/>
  <c r="BP13" i="7" s="1"/>
  <c r="BL14" i="7"/>
  <c r="BP14" i="7" s="1"/>
  <c r="BL15" i="7"/>
  <c r="BL16" i="7"/>
  <c r="BP16" i="7" s="1"/>
  <c r="BL17" i="7"/>
  <c r="BP17" i="7" s="1"/>
  <c r="BL18" i="7"/>
  <c r="BL19" i="7"/>
  <c r="BL20" i="7"/>
  <c r="BL21" i="7"/>
  <c r="BL22" i="7"/>
  <c r="BR22" i="7" s="1"/>
  <c r="BL23" i="7"/>
  <c r="BT23" i="7" s="1"/>
  <c r="BL24" i="7"/>
  <c r="BL25" i="7"/>
  <c r="BT25" i="7" s="1"/>
  <c r="BL26" i="7"/>
  <c r="BP26" i="7" s="1"/>
  <c r="BL27" i="7"/>
  <c r="BT27" i="7" s="1"/>
  <c r="BL28" i="7"/>
  <c r="EE28" i="7" s="1"/>
  <c r="BL29" i="7"/>
  <c r="BR29" i="7" s="1"/>
  <c r="BL30" i="7"/>
  <c r="BR30" i="7" s="1"/>
  <c r="BL31" i="7"/>
  <c r="BS31" i="7" s="1"/>
  <c r="BL32" i="7"/>
  <c r="BO32" i="7" s="1"/>
  <c r="BL33" i="7"/>
  <c r="BU33" i="7" s="1"/>
  <c r="BL34" i="7"/>
  <c r="BO34" i="7" s="1"/>
  <c r="BL35" i="7"/>
  <c r="EE35" i="7" s="1"/>
  <c r="BL36" i="7"/>
  <c r="EE36" i="7" s="1"/>
  <c r="BL37" i="7"/>
  <c r="EE37" i="7" s="1"/>
  <c r="BL38" i="7"/>
  <c r="EE38" i="7" s="1"/>
  <c r="BL39" i="7"/>
  <c r="BO39" i="7" s="1"/>
  <c r="BL40" i="7"/>
  <c r="BL41" i="7"/>
  <c r="BL42" i="7"/>
  <c r="BL43" i="7"/>
  <c r="BO43" i="7" s="1"/>
  <c r="BL44" i="7"/>
  <c r="BO44" i="7" s="1"/>
  <c r="BL45" i="7"/>
  <c r="BS45" i="7" s="1"/>
  <c r="BL46" i="7"/>
  <c r="BO46" i="7" s="1"/>
  <c r="BL47" i="7"/>
  <c r="BO47" i="7" s="1"/>
  <c r="BL48" i="7"/>
  <c r="BU48" i="7" s="1"/>
  <c r="BL49" i="7"/>
  <c r="BS49" i="7" s="1"/>
  <c r="BL50" i="7"/>
  <c r="EF50" i="7" s="1"/>
  <c r="BL51" i="7"/>
  <c r="BR51" i="7" s="1"/>
  <c r="BL52" i="7"/>
  <c r="BL53" i="7"/>
  <c r="BR53" i="7" s="1"/>
  <c r="BL54" i="7"/>
  <c r="BL55" i="7"/>
  <c r="BL56" i="7"/>
  <c r="BT56" i="7" s="1"/>
  <c r="BL57" i="7"/>
  <c r="BT57" i="7" s="1"/>
  <c r="BL58" i="7"/>
  <c r="EE58" i="7" s="1"/>
  <c r="BL59" i="7"/>
  <c r="BT59" i="7" s="1"/>
  <c r="BL60" i="7"/>
  <c r="BL61" i="7"/>
  <c r="BT61" i="7" s="1"/>
  <c r="BL62" i="7"/>
  <c r="BO62" i="7" s="1"/>
  <c r="BL63" i="7"/>
  <c r="EE63" i="7" s="1"/>
  <c r="BL64" i="7"/>
  <c r="EE64" i="7" s="1"/>
  <c r="BL65" i="7"/>
  <c r="BQ65" i="7" s="1"/>
  <c r="BL66" i="7"/>
  <c r="BP66" i="7" s="1"/>
  <c r="BL67" i="7"/>
  <c r="BR67" i="7" s="1"/>
  <c r="BL68" i="7"/>
  <c r="BL69" i="7"/>
  <c r="BU69" i="7" s="1"/>
  <c r="BL70" i="7"/>
  <c r="BO70" i="7" s="1"/>
  <c r="BL71" i="7"/>
  <c r="EE71" i="7" s="1"/>
  <c r="BL72" i="7"/>
  <c r="BR72" i="7" s="1"/>
  <c r="BL73" i="7"/>
  <c r="BQ73" i="7" s="1"/>
  <c r="EA73" i="7" s="1"/>
  <c r="BL74" i="7"/>
  <c r="BU74" i="7" s="1"/>
  <c r="BL75" i="7"/>
  <c r="BU75" i="7" s="1"/>
  <c r="BL76" i="7"/>
  <c r="BP76" i="7" s="1"/>
  <c r="BL77" i="7"/>
  <c r="BT77" i="7" s="1"/>
  <c r="BL78" i="7"/>
  <c r="BS78" i="7" s="1"/>
  <c r="BL79" i="7"/>
  <c r="BP79" i="7" s="1"/>
  <c r="BL80" i="7"/>
  <c r="BR80" i="7" s="1"/>
  <c r="BL81" i="7"/>
  <c r="BS81" i="7" s="1"/>
  <c r="BL82" i="7"/>
  <c r="BL83" i="7"/>
  <c r="BL84" i="7"/>
  <c r="BU84" i="7" s="1"/>
  <c r="BL85" i="7"/>
  <c r="BR85" i="7" s="1"/>
  <c r="BL86" i="7"/>
  <c r="BL87" i="7"/>
  <c r="BU87" i="7" s="1"/>
  <c r="BL88" i="7"/>
  <c r="BQ88" i="7" s="1"/>
  <c r="BL89" i="7"/>
  <c r="BO89" i="7" s="1"/>
  <c r="BL90" i="7"/>
  <c r="BL91" i="7"/>
  <c r="BT91" i="7" s="1"/>
  <c r="BL92" i="7"/>
  <c r="BU92" i="7" s="1"/>
  <c r="BL93" i="7"/>
  <c r="BL94" i="7"/>
  <c r="BP94" i="7" s="1"/>
  <c r="DZ94" i="7" s="1"/>
  <c r="BL95" i="7"/>
  <c r="BL96" i="7"/>
  <c r="BR96" i="7" s="1"/>
  <c r="BL97" i="7"/>
  <c r="BS97" i="7" s="1"/>
  <c r="BL98" i="7"/>
  <c r="EE98" i="7" s="1"/>
  <c r="BL99" i="7"/>
  <c r="BR99" i="7" s="1"/>
  <c r="BL100" i="7"/>
  <c r="BL101" i="7"/>
  <c r="BT101" i="7" s="1"/>
  <c r="BK3" i="7"/>
  <c r="BK4" i="7"/>
  <c r="BK5" i="7"/>
  <c r="BK6" i="7"/>
  <c r="BK7" i="7"/>
  <c r="BK8" i="7"/>
  <c r="BK9" i="7"/>
  <c r="BK10" i="7"/>
  <c r="CY10" i="7" s="1"/>
  <c r="BK11" i="7"/>
  <c r="BK12" i="7"/>
  <c r="BK13" i="7"/>
  <c r="BK14" i="7"/>
  <c r="BK15" i="7"/>
  <c r="BK16" i="7"/>
  <c r="BK17" i="7"/>
  <c r="BK18" i="7"/>
  <c r="BK19" i="7"/>
  <c r="BK20" i="7"/>
  <c r="BK21" i="7"/>
  <c r="CY21" i="7" s="1"/>
  <c r="BK22" i="7"/>
  <c r="BK23" i="7"/>
  <c r="BK24" i="7"/>
  <c r="BK25" i="7"/>
  <c r="BK26" i="7"/>
  <c r="BK27" i="7"/>
  <c r="BK28" i="7"/>
  <c r="BK29" i="7"/>
  <c r="BK30" i="7"/>
  <c r="CY30" i="7" s="1"/>
  <c r="BK31" i="7"/>
  <c r="CY31" i="7" s="1"/>
  <c r="BK32" i="7"/>
  <c r="CY32" i="7" s="1"/>
  <c r="BK33" i="7"/>
  <c r="CY33" i="7" s="1"/>
  <c r="BK34" i="7"/>
  <c r="BK35" i="7"/>
  <c r="BK36" i="7"/>
  <c r="BK37" i="7"/>
  <c r="BK38" i="7"/>
  <c r="BK39" i="7"/>
  <c r="BK40" i="7"/>
  <c r="BK41" i="7"/>
  <c r="ED41" i="7" s="1"/>
  <c r="BK42" i="7"/>
  <c r="BK43" i="7"/>
  <c r="BK44" i="7"/>
  <c r="BK45" i="7"/>
  <c r="BK46" i="7"/>
  <c r="BK47" i="7"/>
  <c r="BK48" i="7"/>
  <c r="BK49" i="7"/>
  <c r="BK50" i="7"/>
  <c r="BK51" i="7"/>
  <c r="BK52" i="7"/>
  <c r="CY52" i="7" s="1"/>
  <c r="BK53" i="7"/>
  <c r="CY53" i="7" s="1"/>
  <c r="BK54" i="7"/>
  <c r="BK55" i="7"/>
  <c r="CY55" i="7" s="1"/>
  <c r="BK56" i="7"/>
  <c r="CY56" i="7" s="1"/>
  <c r="BK57" i="7"/>
  <c r="BK58" i="7"/>
  <c r="BK59" i="7"/>
  <c r="BK60" i="7"/>
  <c r="BK61" i="7"/>
  <c r="CY61" i="7" s="1"/>
  <c r="BK62" i="7"/>
  <c r="BK63" i="7"/>
  <c r="BK64" i="7"/>
  <c r="BK65" i="7"/>
  <c r="BK66" i="7"/>
  <c r="CY66" i="7" s="1"/>
  <c r="BK67" i="7"/>
  <c r="BK68" i="7"/>
  <c r="BK69" i="7"/>
  <c r="BK70" i="7"/>
  <c r="CY70" i="7" s="1"/>
  <c r="BK71" i="7"/>
  <c r="CY71" i="7" s="1"/>
  <c r="BK72" i="7"/>
  <c r="CY72" i="7" s="1"/>
  <c r="BK73" i="7"/>
  <c r="CY73" i="7" s="1"/>
  <c r="BK74" i="7"/>
  <c r="BK75" i="7"/>
  <c r="BK76" i="7"/>
  <c r="BK77" i="7"/>
  <c r="BK78" i="7"/>
  <c r="BK79" i="7"/>
  <c r="BK80" i="7"/>
  <c r="BK81" i="7"/>
  <c r="CY81" i="7" s="1"/>
  <c r="BK82" i="7"/>
  <c r="BK83" i="7"/>
  <c r="BK84" i="7"/>
  <c r="BK85" i="7"/>
  <c r="BK86" i="7"/>
  <c r="BK87" i="7"/>
  <c r="BK88" i="7"/>
  <c r="BK89" i="7"/>
  <c r="BK90" i="7"/>
  <c r="BK91" i="7"/>
  <c r="CY91" i="7" s="1"/>
  <c r="BK92" i="7"/>
  <c r="CY92" i="7" s="1"/>
  <c r="BK93" i="7"/>
  <c r="BK94" i="7"/>
  <c r="CY94" i="7" s="1"/>
  <c r="BK95" i="7"/>
  <c r="CY95" i="7" s="1"/>
  <c r="BK96" i="7"/>
  <c r="CY96" i="7" s="1"/>
  <c r="BK97" i="7"/>
  <c r="BK98" i="7"/>
  <c r="CY98" i="7" s="1"/>
  <c r="BK99" i="7"/>
  <c r="CY99" i="7" s="1"/>
  <c r="BK100" i="7"/>
  <c r="CY100" i="7" s="1"/>
  <c r="BK101" i="7"/>
  <c r="CY101" i="7" s="1"/>
  <c r="BL2" i="7"/>
  <c r="BK2" i="7"/>
  <c r="DD52" i="7" l="1"/>
  <c r="EL52" i="7" s="1"/>
  <c r="J59" i="1"/>
  <c r="DD95" i="7"/>
  <c r="EL95" i="7" s="1"/>
  <c r="DD75" i="7"/>
  <c r="EL75" i="7" s="1"/>
  <c r="DD55" i="7"/>
  <c r="EL55" i="7" s="1"/>
  <c r="DD35" i="7"/>
  <c r="EL35" i="7" s="1"/>
  <c r="DD15" i="7"/>
  <c r="EL15" i="7" s="1"/>
  <c r="DD94" i="7"/>
  <c r="EL94" i="7" s="1"/>
  <c r="DD74" i="7"/>
  <c r="EL74" i="7" s="1"/>
  <c r="DD54" i="7"/>
  <c r="EL54" i="7" s="1"/>
  <c r="DD34" i="7"/>
  <c r="EL34" i="7" s="1"/>
  <c r="DD14" i="7"/>
  <c r="EL14" i="7" s="1"/>
  <c r="DD92" i="7"/>
  <c r="EL92" i="7" s="1"/>
  <c r="DD72" i="7"/>
  <c r="EL72" i="7" s="1"/>
  <c r="DD32" i="7"/>
  <c r="EL32" i="7" s="1"/>
  <c r="DD12" i="7"/>
  <c r="EL12" i="7" s="1"/>
  <c r="DD91" i="7"/>
  <c r="EL91" i="7" s="1"/>
  <c r="DD71" i="7"/>
  <c r="EL71" i="7" s="1"/>
  <c r="DD51" i="7"/>
  <c r="EL51" i="7" s="1"/>
  <c r="DD31" i="7"/>
  <c r="EL31" i="7" s="1"/>
  <c r="DD11" i="7"/>
  <c r="EL11" i="7" s="1"/>
  <c r="DD53" i="7"/>
  <c r="EL53" i="7" s="1"/>
  <c r="DD33" i="7"/>
  <c r="EL33" i="7" s="1"/>
  <c r="DD90" i="7"/>
  <c r="EL90" i="7" s="1"/>
  <c r="DD70" i="7"/>
  <c r="EL70" i="7" s="1"/>
  <c r="DD50" i="7"/>
  <c r="EL50" i="7" s="1"/>
  <c r="DD30" i="7"/>
  <c r="EL30" i="7" s="1"/>
  <c r="DD10" i="7"/>
  <c r="EL10" i="7" s="1"/>
  <c r="DD93" i="7"/>
  <c r="EL93" i="7" s="1"/>
  <c r="DD13" i="7"/>
  <c r="EL13" i="7" s="1"/>
  <c r="DD73" i="7"/>
  <c r="EL73" i="7" s="1"/>
  <c r="DD47" i="7"/>
  <c r="EL47" i="7" s="1"/>
  <c r="DD101" i="7"/>
  <c r="EL101" i="7" s="1"/>
  <c r="DD81" i="7"/>
  <c r="EL81" i="7" s="1"/>
  <c r="DD61" i="7"/>
  <c r="EL61" i="7" s="1"/>
  <c r="DD41" i="7"/>
  <c r="EL41" i="7" s="1"/>
  <c r="DD21" i="7"/>
  <c r="EL21" i="7" s="1"/>
  <c r="DD88" i="7"/>
  <c r="EL88" i="7" s="1"/>
  <c r="DD8" i="7"/>
  <c r="EL8" i="7" s="1"/>
  <c r="DD67" i="7"/>
  <c r="EL67" i="7" s="1"/>
  <c r="DD7" i="7"/>
  <c r="EL7" i="7" s="1"/>
  <c r="EL2" i="7"/>
  <c r="DD82" i="7"/>
  <c r="EL82" i="7" s="1"/>
  <c r="DD62" i="7"/>
  <c r="EL62" i="7" s="1"/>
  <c r="DD42" i="7"/>
  <c r="EL42" i="7" s="1"/>
  <c r="DD22" i="7"/>
  <c r="EL22" i="7" s="1"/>
  <c r="DD100" i="7"/>
  <c r="EL100" i="7" s="1"/>
  <c r="DD80" i="7"/>
  <c r="EL80" i="7" s="1"/>
  <c r="DD60" i="7"/>
  <c r="EL60" i="7" s="1"/>
  <c r="DD40" i="7"/>
  <c r="EL40" i="7" s="1"/>
  <c r="DD20" i="7"/>
  <c r="EL20" i="7" s="1"/>
  <c r="DD79" i="7"/>
  <c r="EL79" i="7" s="1"/>
  <c r="DD39" i="7"/>
  <c r="EL39" i="7" s="1"/>
  <c r="DD98" i="7"/>
  <c r="EL98" i="7" s="1"/>
  <c r="DD78" i="7"/>
  <c r="EL78" i="7" s="1"/>
  <c r="DD58" i="7"/>
  <c r="EL58" i="7" s="1"/>
  <c r="DD38" i="7"/>
  <c r="EL38" i="7" s="1"/>
  <c r="DD18" i="7"/>
  <c r="EL18" i="7" s="1"/>
  <c r="DD99" i="7"/>
  <c r="EL99" i="7" s="1"/>
  <c r="DD59" i="7"/>
  <c r="EL59" i="7" s="1"/>
  <c r="DD19" i="7"/>
  <c r="EL19" i="7" s="1"/>
  <c r="DD97" i="7"/>
  <c r="EL97" i="7" s="1"/>
  <c r="DD77" i="7"/>
  <c r="EL77" i="7" s="1"/>
  <c r="DD57" i="7"/>
  <c r="EL57" i="7" s="1"/>
  <c r="DD37" i="7"/>
  <c r="EL37" i="7" s="1"/>
  <c r="DD17" i="7"/>
  <c r="EL17" i="7" s="1"/>
  <c r="DD96" i="7"/>
  <c r="EL96" i="7" s="1"/>
  <c r="DD76" i="7"/>
  <c r="EL76" i="7" s="1"/>
  <c r="DD56" i="7"/>
  <c r="EL56" i="7" s="1"/>
  <c r="DD36" i="7"/>
  <c r="EL36" i="7" s="1"/>
  <c r="DD16" i="7"/>
  <c r="EL16" i="7" s="1"/>
  <c r="DD89" i="7"/>
  <c r="EL89" i="7" s="1"/>
  <c r="DD69" i="7"/>
  <c r="EL69" i="7" s="1"/>
  <c r="DD49" i="7"/>
  <c r="EL49" i="7" s="1"/>
  <c r="DD29" i="7"/>
  <c r="EL29" i="7" s="1"/>
  <c r="DD9" i="7"/>
  <c r="EL9" i="7" s="1"/>
  <c r="DD48" i="7"/>
  <c r="EL48" i="7" s="1"/>
  <c r="DD86" i="7"/>
  <c r="EL86" i="7" s="1"/>
  <c r="DD66" i="7"/>
  <c r="EL66" i="7" s="1"/>
  <c r="DD46" i="7"/>
  <c r="EL46" i="7" s="1"/>
  <c r="DD26" i="7"/>
  <c r="EL26" i="7" s="1"/>
  <c r="DD6" i="7"/>
  <c r="EL6" i="7" s="1"/>
  <c r="DD28" i="7"/>
  <c r="EL28" i="7" s="1"/>
  <c r="DD27" i="7"/>
  <c r="EL27" i="7" s="1"/>
  <c r="DD85" i="7"/>
  <c r="EL85" i="7" s="1"/>
  <c r="DD65" i="7"/>
  <c r="EL65" i="7" s="1"/>
  <c r="DD45" i="7"/>
  <c r="EL45" i="7" s="1"/>
  <c r="DD25" i="7"/>
  <c r="EL25" i="7" s="1"/>
  <c r="DD5" i="7"/>
  <c r="EL5" i="7" s="1"/>
  <c r="DD84" i="7"/>
  <c r="EL84" i="7" s="1"/>
  <c r="DD64" i="7"/>
  <c r="EL64" i="7" s="1"/>
  <c r="DD44" i="7"/>
  <c r="EL44" i="7" s="1"/>
  <c r="DD24" i="7"/>
  <c r="EL24" i="7" s="1"/>
  <c r="DD4" i="7"/>
  <c r="EL4" i="7" s="1"/>
  <c r="DD68" i="7"/>
  <c r="EL68" i="7" s="1"/>
  <c r="DD87" i="7"/>
  <c r="EL87" i="7" s="1"/>
  <c r="DD83" i="7"/>
  <c r="EL83" i="7" s="1"/>
  <c r="DD63" i="7"/>
  <c r="EL63" i="7" s="1"/>
  <c r="DD43" i="7"/>
  <c r="EL43" i="7" s="1"/>
  <c r="DD23" i="7"/>
  <c r="EL23" i="7" s="1"/>
  <c r="DD3" i="7"/>
  <c r="EL3" i="7" s="1"/>
  <c r="EO62" i="7"/>
  <c r="EO61" i="7"/>
  <c r="EO32" i="7"/>
  <c r="EF18" i="7"/>
  <c r="EF55" i="7"/>
  <c r="EF15" i="7"/>
  <c r="EF54" i="7"/>
  <c r="EF93" i="7"/>
  <c r="DL93" i="7"/>
  <c r="BU18" i="7"/>
  <c r="EF40" i="7"/>
  <c r="BO13" i="7"/>
  <c r="BQ60" i="7"/>
  <c r="BQ51" i="7"/>
  <c r="BU13" i="7"/>
  <c r="BQ56" i="7"/>
  <c r="DR12" i="7"/>
  <c r="DS92" i="7"/>
  <c r="BU12" i="7"/>
  <c r="DT73" i="7"/>
  <c r="BR93" i="7"/>
  <c r="CJ32" i="7"/>
  <c r="EE30" i="7"/>
  <c r="EF36" i="7"/>
  <c r="CK73" i="7"/>
  <c r="DU56" i="7"/>
  <c r="BS96" i="7"/>
  <c r="EF35" i="7"/>
  <c r="EO10" i="7"/>
  <c r="DU49" i="7"/>
  <c r="DU80" i="7"/>
  <c r="BS92" i="7"/>
  <c r="EF30" i="7"/>
  <c r="BQ36" i="7"/>
  <c r="EA36" i="7" s="1"/>
  <c r="BS72" i="7"/>
  <c r="EF16" i="7"/>
  <c r="DU73" i="7"/>
  <c r="BS93" i="7"/>
  <c r="BS13" i="7"/>
  <c r="DT35" i="7"/>
  <c r="DU92" i="7"/>
  <c r="EE31" i="7"/>
  <c r="EF31" i="7"/>
  <c r="BT93" i="7"/>
  <c r="BT6" i="7"/>
  <c r="CM85" i="7"/>
  <c r="CT85" i="7" s="1"/>
  <c r="BT5" i="7"/>
  <c r="BQ5" i="7"/>
  <c r="EA5" i="7" s="1"/>
  <c r="BQ4" i="7"/>
  <c r="BS76" i="7"/>
  <c r="BR20" i="7"/>
  <c r="BS75" i="7"/>
  <c r="BU16" i="7"/>
  <c r="BR16" i="7"/>
  <c r="BS74" i="7"/>
  <c r="BR15" i="7"/>
  <c r="DU25" i="7"/>
  <c r="BS11" i="7"/>
  <c r="BO25" i="7"/>
  <c r="CH65" i="7"/>
  <c r="EI65" i="7" s="1"/>
  <c r="BU25" i="7"/>
  <c r="BO38" i="7"/>
  <c r="DY38" i="7" s="1"/>
  <c r="BT94" i="7"/>
  <c r="EE73" i="7"/>
  <c r="BO16" i="7"/>
  <c r="CH38" i="7"/>
  <c r="EI38" i="7" s="1"/>
  <c r="BT90" i="7"/>
  <c r="EE54" i="7"/>
  <c r="BO11" i="7"/>
  <c r="CH15" i="7"/>
  <c r="CH16" i="7"/>
  <c r="EI16" i="7" s="1"/>
  <c r="BT85" i="7"/>
  <c r="EE34" i="7"/>
  <c r="BP53" i="7"/>
  <c r="DZ53" i="7" s="1"/>
  <c r="CI75" i="7"/>
  <c r="EJ75" i="7" s="1"/>
  <c r="DQ56" i="7"/>
  <c r="DR76" i="7"/>
  <c r="DS56" i="7"/>
  <c r="DT40" i="7"/>
  <c r="CM64" i="7"/>
  <c r="CT64" i="7" s="1"/>
  <c r="CG76" i="7"/>
  <c r="BS16" i="7"/>
  <c r="EE56" i="7"/>
  <c r="BT72" i="7"/>
  <c r="EE33" i="7"/>
  <c r="BP32" i="7"/>
  <c r="DZ32" i="7" s="1"/>
  <c r="CI74" i="7"/>
  <c r="EJ74" i="7" s="1"/>
  <c r="BO20" i="7"/>
  <c r="DY20" i="7" s="1"/>
  <c r="CM79" i="7"/>
  <c r="CT79" i="7" s="1"/>
  <c r="CI80" i="7"/>
  <c r="CK81" i="7"/>
  <c r="DQ78" i="7"/>
  <c r="BU11" i="7"/>
  <c r="EE18" i="7"/>
  <c r="CI60" i="7"/>
  <c r="EJ60" i="7" s="1"/>
  <c r="CK60" i="7"/>
  <c r="CM56" i="7"/>
  <c r="CT56" i="7" s="1"/>
  <c r="DS74" i="7"/>
  <c r="BS71" i="7"/>
  <c r="BT81" i="7"/>
  <c r="BU101" i="7"/>
  <c r="EE16" i="7"/>
  <c r="BP60" i="7"/>
  <c r="DZ60" i="7" s="1"/>
  <c r="CG40" i="7"/>
  <c r="EH40" i="7" s="1"/>
  <c r="CI59" i="7"/>
  <c r="EJ59" i="7" s="1"/>
  <c r="CK56" i="7"/>
  <c r="EN71" i="7"/>
  <c r="DQ73" i="7"/>
  <c r="BS70" i="7"/>
  <c r="BT80" i="7"/>
  <c r="BU100" i="7"/>
  <c r="EE13" i="7"/>
  <c r="BP58" i="7"/>
  <c r="DZ58" i="7" s="1"/>
  <c r="BR100" i="7"/>
  <c r="CI58" i="7"/>
  <c r="EJ58" i="7" s="1"/>
  <c r="CK21" i="7"/>
  <c r="EN70" i="7"/>
  <c r="DU60" i="7"/>
  <c r="DQ92" i="7"/>
  <c r="BS60" i="7"/>
  <c r="BT79" i="7"/>
  <c r="BU98" i="7"/>
  <c r="EE11" i="7"/>
  <c r="BP55" i="7"/>
  <c r="DZ55" i="7" s="1"/>
  <c r="CG20" i="7"/>
  <c r="EH20" i="7" s="1"/>
  <c r="CI57" i="7"/>
  <c r="EJ57" i="7" s="1"/>
  <c r="EN65" i="7"/>
  <c r="DL47" i="7"/>
  <c r="DM47" i="7"/>
  <c r="DU90" i="7"/>
  <c r="DO10" i="7"/>
  <c r="BU80" i="7"/>
  <c r="BP40" i="7"/>
  <c r="DZ40" i="7" s="1"/>
  <c r="CG16" i="7"/>
  <c r="EH16" i="7" s="1"/>
  <c r="CL79" i="7"/>
  <c r="CS79" i="7" s="1"/>
  <c r="EN56" i="7"/>
  <c r="DR69" i="7"/>
  <c r="BS54" i="7"/>
  <c r="BT73" i="7"/>
  <c r="BU60" i="7"/>
  <c r="EE74" i="7"/>
  <c r="EF96" i="7"/>
  <c r="BO92" i="7"/>
  <c r="DY92" i="7" s="1"/>
  <c r="BP35" i="7"/>
  <c r="DZ35" i="7" s="1"/>
  <c r="BR95" i="7"/>
  <c r="CH96" i="7"/>
  <c r="EI96" i="7" s="1"/>
  <c r="CI53" i="7"/>
  <c r="EJ53" i="7" s="1"/>
  <c r="EN54" i="7"/>
  <c r="EM54" i="7"/>
  <c r="CM60" i="7"/>
  <c r="CT60" i="7" s="1"/>
  <c r="BT75" i="7"/>
  <c r="BU59" i="7"/>
  <c r="BT54" i="7"/>
  <c r="DU66" i="7"/>
  <c r="BS34" i="7"/>
  <c r="BT53" i="7"/>
  <c r="BU56" i="7"/>
  <c r="EF91" i="7"/>
  <c r="BO80" i="7"/>
  <c r="BQ80" i="7"/>
  <c r="EA80" i="7" s="1"/>
  <c r="BR73" i="7"/>
  <c r="CH61" i="7"/>
  <c r="EI61" i="7" s="1"/>
  <c r="CJ72" i="7"/>
  <c r="CL56" i="7"/>
  <c r="CS56" i="7" s="1"/>
  <c r="EO60" i="7"/>
  <c r="DM101" i="7"/>
  <c r="BR97" i="7"/>
  <c r="BP34" i="7"/>
  <c r="DZ34" i="7" s="1"/>
  <c r="EE70" i="7"/>
  <c r="BS33" i="7"/>
  <c r="BT52" i="7"/>
  <c r="BU55" i="7"/>
  <c r="EF90" i="7"/>
  <c r="BO76" i="7"/>
  <c r="DY76" i="7" s="1"/>
  <c r="BQ79" i="7"/>
  <c r="EA79" i="7" s="1"/>
  <c r="BR46" i="7"/>
  <c r="CH60" i="7"/>
  <c r="EI60" i="7" s="1"/>
  <c r="CJ71" i="7"/>
  <c r="CL40" i="7"/>
  <c r="CS40" i="7" s="1"/>
  <c r="EO40" i="7"/>
  <c r="BU96" i="7"/>
  <c r="DQ50" i="7"/>
  <c r="BS38" i="7"/>
  <c r="CH95" i="7"/>
  <c r="EI95" i="7" s="1"/>
  <c r="BO90" i="7"/>
  <c r="DY90" i="7" s="1"/>
  <c r="BS32" i="7"/>
  <c r="BT51" i="7"/>
  <c r="BU54" i="7"/>
  <c r="BW62" i="7"/>
  <c r="BX62" i="7" s="1"/>
  <c r="CC62" i="7" s="1"/>
  <c r="EF53" i="7"/>
  <c r="BO71" i="7"/>
  <c r="BQ78" i="7"/>
  <c r="EA78" i="7" s="1"/>
  <c r="BR40" i="7"/>
  <c r="CJ60" i="7"/>
  <c r="EO39" i="7"/>
  <c r="BU20" i="7"/>
  <c r="BW76" i="7"/>
  <c r="BX76" i="7" s="1"/>
  <c r="CC76" i="7" s="1"/>
  <c r="EF98" i="7"/>
  <c r="BS36" i="7"/>
  <c r="CJ73" i="7"/>
  <c r="DN4" i="7"/>
  <c r="BS30" i="7"/>
  <c r="BT40" i="7"/>
  <c r="BU53" i="7"/>
  <c r="EE61" i="7"/>
  <c r="EF51" i="7"/>
  <c r="BO40" i="7"/>
  <c r="DY40" i="7" s="1"/>
  <c r="BQ76" i="7"/>
  <c r="EA76" i="7" s="1"/>
  <c r="BR36" i="7"/>
  <c r="CH58" i="7"/>
  <c r="EI58" i="7" s="1"/>
  <c r="CJ40" i="7"/>
  <c r="CL31" i="7"/>
  <c r="CS31" i="7" s="1"/>
  <c r="EO20" i="7"/>
  <c r="CM80" i="7"/>
  <c r="CT80" i="7" s="1"/>
  <c r="BO18" i="7"/>
  <c r="DY18" i="7" s="1"/>
  <c r="CK80" i="7"/>
  <c r="BQ16" i="7"/>
  <c r="EA16" i="7" s="1"/>
  <c r="CM57" i="7"/>
  <c r="CT57" i="7" s="1"/>
  <c r="BW71" i="7"/>
  <c r="BX71" i="7" s="1"/>
  <c r="CC71" i="7" s="1"/>
  <c r="BW31" i="7"/>
  <c r="BX31" i="7" s="1"/>
  <c r="CC31" i="7" s="1"/>
  <c r="BS56" i="7"/>
  <c r="EF100" i="7"/>
  <c r="BR98" i="7"/>
  <c r="CG19" i="7"/>
  <c r="EH19" i="7" s="1"/>
  <c r="CI56" i="7"/>
  <c r="EJ56" i="7" s="1"/>
  <c r="CL80" i="7"/>
  <c r="CS80" i="7" s="1"/>
  <c r="EN60" i="7"/>
  <c r="BW30" i="7"/>
  <c r="BX30" i="7" s="1"/>
  <c r="CC30" i="7" s="1"/>
  <c r="BS55" i="7"/>
  <c r="EE75" i="7"/>
  <c r="CI54" i="7"/>
  <c r="EJ54" i="7" s="1"/>
  <c r="EF95" i="7"/>
  <c r="BO91" i="7"/>
  <c r="DY91" i="7" s="1"/>
  <c r="CJ74" i="7"/>
  <c r="CL60" i="7"/>
  <c r="CS60" i="7" s="1"/>
  <c r="EN30" i="7"/>
  <c r="BU58" i="7"/>
  <c r="BR76" i="7"/>
  <c r="BS101" i="7"/>
  <c r="BS20" i="7"/>
  <c r="BT37" i="7"/>
  <c r="BU52" i="7"/>
  <c r="EE57" i="7"/>
  <c r="EF45" i="7"/>
  <c r="BQ62" i="7"/>
  <c r="EA62" i="7" s="1"/>
  <c r="BR25" i="7"/>
  <c r="CH40" i="7"/>
  <c r="EI40" i="7" s="1"/>
  <c r="CJ33" i="7"/>
  <c r="EO12" i="7"/>
  <c r="DU100" i="7"/>
  <c r="DU40" i="7"/>
  <c r="BW58" i="7"/>
  <c r="BX58" i="7" s="1"/>
  <c r="CC58" i="7" s="1"/>
  <c r="BT7" i="7"/>
  <c r="BU62" i="7"/>
  <c r="BU29" i="7"/>
  <c r="BP65" i="7"/>
  <c r="DZ65" i="7" s="1"/>
  <c r="BQ85" i="7"/>
  <c r="EA85" i="7" s="1"/>
  <c r="BR49" i="7"/>
  <c r="CG44" i="7"/>
  <c r="EH44" i="7" s="1"/>
  <c r="CH69" i="7"/>
  <c r="EI69" i="7" s="1"/>
  <c r="CI85" i="7"/>
  <c r="EJ85" i="7" s="1"/>
  <c r="CK84" i="7"/>
  <c r="CM89" i="7"/>
  <c r="CT89" i="7" s="1"/>
  <c r="DS35" i="7"/>
  <c r="BT49" i="7"/>
  <c r="BT45" i="7"/>
  <c r="CG25" i="7"/>
  <c r="EH25" i="7" s="1"/>
  <c r="BS25" i="7"/>
  <c r="BU90" i="7"/>
  <c r="BU10" i="7"/>
  <c r="EF87" i="7"/>
  <c r="EF25" i="7"/>
  <c r="CK45" i="7"/>
  <c r="EN29" i="7"/>
  <c r="BS100" i="7"/>
  <c r="BS58" i="7"/>
  <c r="BS18" i="7"/>
  <c r="BT76" i="7"/>
  <c r="BT35" i="7"/>
  <c r="BU89" i="7"/>
  <c r="BU51" i="7"/>
  <c r="BU9" i="7"/>
  <c r="EE12" i="7"/>
  <c r="EF85" i="7"/>
  <c r="EF20" i="7"/>
  <c r="BO72" i="7"/>
  <c r="DY72" i="7" s="1"/>
  <c r="BO12" i="7"/>
  <c r="DY12" i="7" s="1"/>
  <c r="BP31" i="7"/>
  <c r="DZ31" i="7" s="1"/>
  <c r="BQ49" i="7"/>
  <c r="EA49" i="7" s="1"/>
  <c r="BR79" i="7"/>
  <c r="CG100" i="7"/>
  <c r="EH100" i="7" s="1"/>
  <c r="CG9" i="7"/>
  <c r="EH9" i="7" s="1"/>
  <c r="CH36" i="7"/>
  <c r="EI36" i="7" s="1"/>
  <c r="CI55" i="7"/>
  <c r="EJ55" i="7" s="1"/>
  <c r="CK40" i="7"/>
  <c r="CL32" i="7"/>
  <c r="CS32" i="7" s="1"/>
  <c r="CM32" i="7"/>
  <c r="CT32" i="7" s="1"/>
  <c r="CP25" i="7"/>
  <c r="CU25" i="7" s="1"/>
  <c r="CZ80" i="7"/>
  <c r="BU85" i="7"/>
  <c r="BU45" i="7"/>
  <c r="BU5" i="7"/>
  <c r="EF80" i="7"/>
  <c r="BP27" i="7"/>
  <c r="DZ27" i="7" s="1"/>
  <c r="BQ40" i="7"/>
  <c r="EA40" i="7" s="1"/>
  <c r="BR78" i="7"/>
  <c r="CG80" i="7"/>
  <c r="CH100" i="7"/>
  <c r="EI100" i="7" s="1"/>
  <c r="CH20" i="7"/>
  <c r="CK25" i="7"/>
  <c r="CM30" i="7"/>
  <c r="CT30" i="7" s="1"/>
  <c r="EN20" i="7"/>
  <c r="BP20" i="7"/>
  <c r="DZ20" i="7" s="1"/>
  <c r="CI50" i="7"/>
  <c r="CJ20" i="7"/>
  <c r="CM18" i="7"/>
  <c r="CT18" i="7" s="1"/>
  <c r="CP5" i="7"/>
  <c r="CU5" i="7" s="1"/>
  <c r="CZ58" i="7"/>
  <c r="DK76" i="7"/>
  <c r="DQ36" i="7"/>
  <c r="DL76" i="7"/>
  <c r="DM76" i="7"/>
  <c r="DM36" i="7"/>
  <c r="DT60" i="7"/>
  <c r="DK50" i="7"/>
  <c r="CM69" i="7"/>
  <c r="CT69" i="7" s="1"/>
  <c r="EE5" i="7"/>
  <c r="BS91" i="7"/>
  <c r="BS53" i="7"/>
  <c r="BS9" i="7"/>
  <c r="BT70" i="7"/>
  <c r="BT30" i="7"/>
  <c r="BU78" i="7"/>
  <c r="BU36" i="7"/>
  <c r="EE53" i="7"/>
  <c r="EF76" i="7"/>
  <c r="EF5" i="7"/>
  <c r="BO65" i="7"/>
  <c r="BP100" i="7"/>
  <c r="DZ100" i="7" s="1"/>
  <c r="BQ34" i="7"/>
  <c r="EA34" i="7" s="1"/>
  <c r="BR60" i="7"/>
  <c r="CJ19" i="7"/>
  <c r="CK20" i="7"/>
  <c r="CL20" i="7"/>
  <c r="CS20" i="7" s="1"/>
  <c r="CM16" i="7"/>
  <c r="CT16" i="7" s="1"/>
  <c r="CK22" i="7"/>
  <c r="BS90" i="7"/>
  <c r="BS51" i="7"/>
  <c r="BS5" i="7"/>
  <c r="BT69" i="7"/>
  <c r="BT20" i="7"/>
  <c r="BU76" i="7"/>
  <c r="BU35" i="7"/>
  <c r="EE51" i="7"/>
  <c r="EF73" i="7"/>
  <c r="BO60" i="7"/>
  <c r="DY60" i="7" s="1"/>
  <c r="BP91" i="7"/>
  <c r="DZ91" i="7" s="1"/>
  <c r="BP15" i="7"/>
  <c r="DZ15" i="7" s="1"/>
  <c r="BQ33" i="7"/>
  <c r="EA33" i="7" s="1"/>
  <c r="BR56" i="7"/>
  <c r="CH91" i="7"/>
  <c r="EI91" i="7" s="1"/>
  <c r="CH11" i="7"/>
  <c r="EI11" i="7" s="1"/>
  <c r="CI20" i="7"/>
  <c r="EJ20" i="7" s="1"/>
  <c r="CJ18" i="7"/>
  <c r="CK19" i="7"/>
  <c r="CM15" i="7"/>
  <c r="CT15" i="7" s="1"/>
  <c r="EN69" i="7"/>
  <c r="CJ69" i="7"/>
  <c r="BO85" i="7"/>
  <c r="CH45" i="7"/>
  <c r="EI45" i="7" s="1"/>
  <c r="CJ49" i="7"/>
  <c r="EF10" i="7"/>
  <c r="BS89" i="7"/>
  <c r="BS50" i="7"/>
  <c r="BT65" i="7"/>
  <c r="BT16" i="7"/>
  <c r="BU34" i="7"/>
  <c r="EE96" i="7"/>
  <c r="EE50" i="7"/>
  <c r="EF65" i="7"/>
  <c r="BO59" i="7"/>
  <c r="DY59" i="7" s="1"/>
  <c r="BP90" i="7"/>
  <c r="DZ90" i="7" s="1"/>
  <c r="BQ31" i="7"/>
  <c r="EA31" i="7" s="1"/>
  <c r="BR55" i="7"/>
  <c r="CG70" i="7"/>
  <c r="CH90" i="7"/>
  <c r="EI90" i="7" s="1"/>
  <c r="CH10" i="7"/>
  <c r="EI10" i="7" s="1"/>
  <c r="CI18" i="7"/>
  <c r="CJ16" i="7"/>
  <c r="CK18" i="7"/>
  <c r="CM5" i="7"/>
  <c r="CT5" i="7" s="1"/>
  <c r="EE25" i="7"/>
  <c r="CM29" i="7"/>
  <c r="CT29" i="7" s="1"/>
  <c r="BU79" i="7"/>
  <c r="BS85" i="7"/>
  <c r="BU73" i="7"/>
  <c r="EE92" i="7"/>
  <c r="EE45" i="7"/>
  <c r="EF60" i="7"/>
  <c r="BO55" i="7"/>
  <c r="DY55" i="7" s="1"/>
  <c r="BP89" i="7"/>
  <c r="BP11" i="7"/>
  <c r="DZ11" i="7" s="1"/>
  <c r="BQ30" i="7"/>
  <c r="EA30" i="7" s="1"/>
  <c r="CH80" i="7"/>
  <c r="EI80" i="7" s="1"/>
  <c r="CH9" i="7"/>
  <c r="EI9" i="7" s="1"/>
  <c r="CI5" i="7"/>
  <c r="EO80" i="7"/>
  <c r="DT56" i="7"/>
  <c r="DU55" i="7"/>
  <c r="BT89" i="7"/>
  <c r="BS69" i="7"/>
  <c r="BS65" i="7"/>
  <c r="CJ45" i="7"/>
  <c r="BU40" i="7"/>
  <c r="CL22" i="7"/>
  <c r="CS22" i="7" s="1"/>
  <c r="BU38" i="7"/>
  <c r="BO69" i="7"/>
  <c r="DY69" i="7" s="1"/>
  <c r="BS46" i="7"/>
  <c r="BT100" i="7"/>
  <c r="BT60" i="7"/>
  <c r="BT11" i="7"/>
  <c r="BU72" i="7"/>
  <c r="BU32" i="7"/>
  <c r="EE91" i="7"/>
  <c r="EF56" i="7"/>
  <c r="BP85" i="7"/>
  <c r="BP10" i="7"/>
  <c r="DZ10" i="7" s="1"/>
  <c r="BQ29" i="7"/>
  <c r="BR52" i="7"/>
  <c r="CG64" i="7"/>
  <c r="EH64" i="7" s="1"/>
  <c r="CI100" i="7"/>
  <c r="EJ100" i="7" s="1"/>
  <c r="CJ100" i="7"/>
  <c r="CJ9" i="7"/>
  <c r="CK5" i="7"/>
  <c r="CM100" i="7"/>
  <c r="CT100" i="7" s="1"/>
  <c r="EN96" i="7"/>
  <c r="EO75" i="7"/>
  <c r="EF78" i="7"/>
  <c r="BS80" i="7"/>
  <c r="BT96" i="7"/>
  <c r="BT10" i="7"/>
  <c r="BU71" i="7"/>
  <c r="BU31" i="7"/>
  <c r="BO100" i="7"/>
  <c r="DY100" i="7" s="1"/>
  <c r="BP80" i="7"/>
  <c r="DZ80" i="7" s="1"/>
  <c r="BP5" i="7"/>
  <c r="DZ5" i="7" s="1"/>
  <c r="BQ25" i="7"/>
  <c r="EA25" i="7" s="1"/>
  <c r="CG60" i="7"/>
  <c r="EH60" i="7" s="1"/>
  <c r="CH73" i="7"/>
  <c r="EI73" i="7" s="1"/>
  <c r="CI96" i="7"/>
  <c r="EJ96" i="7" s="1"/>
  <c r="CJ96" i="7"/>
  <c r="CL100" i="7"/>
  <c r="CS100" i="7" s="1"/>
  <c r="CM96" i="7"/>
  <c r="CT96" i="7" s="1"/>
  <c r="DR67" i="7"/>
  <c r="BS29" i="7"/>
  <c r="EF79" i="7"/>
  <c r="BO10" i="7"/>
  <c r="DY10" i="7" s="1"/>
  <c r="BO9" i="7"/>
  <c r="DY9" i="7" s="1"/>
  <c r="BS40" i="7"/>
  <c r="BT95" i="7"/>
  <c r="BT9" i="7"/>
  <c r="BU30" i="7"/>
  <c r="EE85" i="7"/>
  <c r="BO96" i="7"/>
  <c r="DY96" i="7" s="1"/>
  <c r="BQ100" i="7"/>
  <c r="EA100" i="7" s="1"/>
  <c r="BQ20" i="7"/>
  <c r="BR50" i="7"/>
  <c r="CI89" i="7"/>
  <c r="EJ89" i="7" s="1"/>
  <c r="CK85" i="7"/>
  <c r="CM90" i="7"/>
  <c r="CT90" i="7" s="1"/>
  <c r="EH37" i="7"/>
  <c r="EE6" i="7"/>
  <c r="EN28" i="7"/>
  <c r="CP28" i="7"/>
  <c r="EN27" i="7"/>
  <c r="CP27" i="7"/>
  <c r="CU27" i="7" s="1"/>
  <c r="EE86" i="7"/>
  <c r="EN86" i="7"/>
  <c r="CP86" i="7"/>
  <c r="CU86" i="7" s="1"/>
  <c r="CP90" i="7"/>
  <c r="CU90" i="7" s="1"/>
  <c r="EN90" i="7"/>
  <c r="FI89" i="7"/>
  <c r="ED89" i="7"/>
  <c r="CY89" i="7"/>
  <c r="FI29" i="7"/>
  <c r="ED29" i="7"/>
  <c r="CY29" i="7"/>
  <c r="EF28" i="7"/>
  <c r="BO28" i="7"/>
  <c r="BP28" i="7"/>
  <c r="BU28" i="7"/>
  <c r="BR28" i="7"/>
  <c r="FH68" i="7"/>
  <c r="EO68" i="7"/>
  <c r="CH68" i="7"/>
  <c r="EI68" i="7" s="1"/>
  <c r="CL68" i="7"/>
  <c r="CS68" i="7" s="1"/>
  <c r="CI68" i="7"/>
  <c r="EJ68" i="7" s="1"/>
  <c r="CK68" i="7"/>
  <c r="CG68" i="7"/>
  <c r="BS8" i="7"/>
  <c r="ED88" i="7"/>
  <c r="FI88" i="7"/>
  <c r="CY88" i="7"/>
  <c r="ED28" i="7"/>
  <c r="FI28" i="7"/>
  <c r="CY28" i="7"/>
  <c r="BR47" i="7"/>
  <c r="BP47" i="7"/>
  <c r="BU47" i="7"/>
  <c r="BT47" i="7"/>
  <c r="EE47" i="7"/>
  <c r="BS47" i="7"/>
  <c r="FG87" i="7"/>
  <c r="EM87" i="7"/>
  <c r="CZ87" i="7"/>
  <c r="FG27" i="7"/>
  <c r="EM27" i="7"/>
  <c r="CZ27" i="7"/>
  <c r="FH67" i="7"/>
  <c r="EO67" i="7"/>
  <c r="CH67" i="7"/>
  <c r="EI67" i="7" s="1"/>
  <c r="CL67" i="7"/>
  <c r="CS67" i="7" s="1"/>
  <c r="CM67" i="7"/>
  <c r="CT67" i="7" s="1"/>
  <c r="CI67" i="7"/>
  <c r="EJ67" i="7" s="1"/>
  <c r="CK67" i="7"/>
  <c r="CG67" i="7"/>
  <c r="EH67" i="7" s="1"/>
  <c r="FH7" i="7"/>
  <c r="CK7" i="7"/>
  <c r="CL7" i="7"/>
  <c r="CS7" i="7" s="1"/>
  <c r="EO7" i="7"/>
  <c r="CM7" i="7"/>
  <c r="CT7" i="7" s="1"/>
  <c r="CI7" i="7"/>
  <c r="EJ7" i="7" s="1"/>
  <c r="CG7" i="7"/>
  <c r="EH7" i="7" s="1"/>
  <c r="CJ7" i="7"/>
  <c r="BS7" i="7"/>
  <c r="DY93" i="7"/>
  <c r="FI87" i="7"/>
  <c r="ED87" i="7"/>
  <c r="CY87" i="7"/>
  <c r="EX7" i="7"/>
  <c r="FI7" i="7"/>
  <c r="ED7" i="7"/>
  <c r="CY7" i="7"/>
  <c r="BR26" i="7"/>
  <c r="BO26" i="7"/>
  <c r="DY26" i="7" s="1"/>
  <c r="BQ26" i="7"/>
  <c r="EA26" i="7" s="1"/>
  <c r="BW26" i="7"/>
  <c r="BU26" i="7"/>
  <c r="BT26" i="7"/>
  <c r="FG46" i="7"/>
  <c r="EM46" i="7"/>
  <c r="CZ46" i="7"/>
  <c r="DU46" i="7"/>
  <c r="FH6" i="7"/>
  <c r="CK6" i="7"/>
  <c r="CH6" i="7"/>
  <c r="EI6" i="7" s="1"/>
  <c r="CL6" i="7"/>
  <c r="CS6" i="7" s="1"/>
  <c r="EO6" i="7"/>
  <c r="CM6" i="7"/>
  <c r="CT6" i="7" s="1"/>
  <c r="CG6" i="7"/>
  <c r="CJ6" i="7"/>
  <c r="CI6" i="7"/>
  <c r="EJ6" i="7" s="1"/>
  <c r="BS6" i="7"/>
  <c r="EF26" i="7"/>
  <c r="BP67" i="7"/>
  <c r="DZ67" i="7" s="1"/>
  <c r="CH86" i="7"/>
  <c r="EI86" i="7" s="1"/>
  <c r="DQ67" i="7"/>
  <c r="EX85" i="7"/>
  <c r="FI85" i="7"/>
  <c r="ED85" i="7"/>
  <c r="CY85" i="7"/>
  <c r="FI65" i="7"/>
  <c r="DO16" i="7"/>
  <c r="ED65" i="7"/>
  <c r="DN37" i="7"/>
  <c r="DN32" i="7"/>
  <c r="DN77" i="7"/>
  <c r="DO11" i="7"/>
  <c r="DN17" i="7"/>
  <c r="DO51" i="7"/>
  <c r="DL28" i="7"/>
  <c r="DK65" i="7"/>
  <c r="DK48" i="7"/>
  <c r="DM65" i="7"/>
  <c r="DK68" i="7"/>
  <c r="DO71" i="7"/>
  <c r="DO91" i="7"/>
  <c r="DK45" i="7"/>
  <c r="DL48" i="7"/>
  <c r="DL68" i="7"/>
  <c r="DN29" i="7"/>
  <c r="DM45" i="7"/>
  <c r="DM48" i="7"/>
  <c r="DM68" i="7"/>
  <c r="DN12" i="7"/>
  <c r="DO48" i="7"/>
  <c r="DN89" i="7"/>
  <c r="DN97" i="7"/>
  <c r="DL5" i="7"/>
  <c r="DO13" i="7"/>
  <c r="DM28" i="7"/>
  <c r="DN75" i="7"/>
  <c r="DO93" i="7"/>
  <c r="DN98" i="7"/>
  <c r="DL2" i="7"/>
  <c r="DM5" i="7"/>
  <c r="DK85" i="7"/>
  <c r="DO28" i="7"/>
  <c r="DL85" i="7"/>
  <c r="DO30" i="7"/>
  <c r="DO36" i="7"/>
  <c r="DL49" i="7"/>
  <c r="DL54" i="7"/>
  <c r="DM70" i="7"/>
  <c r="DM85" i="7"/>
  <c r="DM90" i="7"/>
  <c r="DN49" i="7"/>
  <c r="DM54" i="7"/>
  <c r="DN70" i="7"/>
  <c r="DN90" i="7"/>
  <c r="DN15" i="7"/>
  <c r="DL31" i="7"/>
  <c r="DN54" i="7"/>
  <c r="DK66" i="7"/>
  <c r="DO70" i="7"/>
  <c r="DO90" i="7"/>
  <c r="DL9" i="7"/>
  <c r="DM31" i="7"/>
  <c r="DO54" i="7"/>
  <c r="DL66" i="7"/>
  <c r="DN95" i="7"/>
  <c r="DO56" i="7"/>
  <c r="DL67" i="7"/>
  <c r="DN72" i="7"/>
  <c r="DM87" i="7"/>
  <c r="DK91" i="7"/>
  <c r="DK5" i="7"/>
  <c r="DN52" i="7"/>
  <c r="DN93" i="7"/>
  <c r="DN101" i="7"/>
  <c r="DM9" i="7"/>
  <c r="DO52" i="7"/>
  <c r="DO101" i="7"/>
  <c r="DO9" i="7"/>
  <c r="DK19" i="7"/>
  <c r="DM33" i="7"/>
  <c r="DN63" i="7"/>
  <c r="DO72" i="7"/>
  <c r="DK79" i="7"/>
  <c r="DK88" i="7"/>
  <c r="DN34" i="7"/>
  <c r="DL88" i="7"/>
  <c r="DM2" i="7"/>
  <c r="DO34" i="7"/>
  <c r="DM88" i="7"/>
  <c r="DM96" i="7"/>
  <c r="DM10" i="7"/>
  <c r="DK56" i="7"/>
  <c r="DM73" i="7"/>
  <c r="DK82" i="7"/>
  <c r="DK26" i="7"/>
  <c r="DM46" i="7"/>
  <c r="DL39" i="7"/>
  <c r="DM93" i="7"/>
  <c r="CY65" i="7"/>
  <c r="DM26" i="7"/>
  <c r="DN57" i="7"/>
  <c r="DK87" i="7"/>
  <c r="DN26" i="7"/>
  <c r="DN87" i="7"/>
  <c r="DK18" i="7"/>
  <c r="DM39" i="7"/>
  <c r="DL69" i="7"/>
  <c r="DO96" i="7"/>
  <c r="DL18" i="7"/>
  <c r="DO39" i="7"/>
  <c r="DN69" i="7"/>
  <c r="DO97" i="7"/>
  <c r="DO18" i="7"/>
  <c r="DK57" i="7"/>
  <c r="DO40" i="7"/>
  <c r="DL57" i="7"/>
  <c r="DN73" i="7"/>
  <c r="DM57" i="7"/>
  <c r="DM4" i="7"/>
  <c r="DO4" i="7"/>
  <c r="DO26" i="7"/>
  <c r="DK46" i="7"/>
  <c r="DL59" i="7"/>
  <c r="DL46" i="7"/>
  <c r="DN76" i="7"/>
  <c r="DO89" i="7"/>
  <c r="DK61" i="7"/>
  <c r="DO76" i="7"/>
  <c r="DK101" i="7"/>
  <c r="FI25" i="7"/>
  <c r="ED25" i="7"/>
  <c r="CY25" i="7"/>
  <c r="FI5" i="7"/>
  <c r="ED5" i="7"/>
  <c r="CY5" i="7"/>
  <c r="BQ64" i="7"/>
  <c r="EA64" i="7" s="1"/>
  <c r="BR64" i="7"/>
  <c r="BU64" i="7"/>
  <c r="BT64" i="7"/>
  <c r="BO64" i="7"/>
  <c r="BS64" i="7"/>
  <c r="BQ24" i="7"/>
  <c r="EA24" i="7" s="1"/>
  <c r="BO24" i="7"/>
  <c r="BP24" i="7"/>
  <c r="DZ24" i="7" s="1"/>
  <c r="BU24" i="7"/>
  <c r="EE24" i="7"/>
  <c r="BT24" i="7"/>
  <c r="BS24" i="7"/>
  <c r="FG44" i="7"/>
  <c r="EM44" i="7"/>
  <c r="CZ44" i="7"/>
  <c r="FH64" i="7"/>
  <c r="CJ64" i="7"/>
  <c r="CI64" i="7"/>
  <c r="EJ64" i="7" s="1"/>
  <c r="CL64" i="7"/>
  <c r="CS64" i="7" s="1"/>
  <c r="CK64" i="7"/>
  <c r="CH64" i="7"/>
  <c r="EI64" i="7" s="1"/>
  <c r="BR24" i="7"/>
  <c r="FI84" i="7"/>
  <c r="ED84" i="7"/>
  <c r="CY84" i="7"/>
  <c r="FI44" i="7"/>
  <c r="ED44" i="7"/>
  <c r="CY44" i="7"/>
  <c r="FI4" i="7"/>
  <c r="ED4" i="7"/>
  <c r="CY4" i="7"/>
  <c r="EF83" i="7"/>
  <c r="BO83" i="7"/>
  <c r="BS83" i="7"/>
  <c r="BP83" i="7"/>
  <c r="DZ83" i="7" s="1"/>
  <c r="BR83" i="7"/>
  <c r="BR63" i="7"/>
  <c r="BQ63" i="7"/>
  <c r="EA63" i="7" s="1"/>
  <c r="BO63" i="7"/>
  <c r="BU63" i="7"/>
  <c r="BT63" i="7"/>
  <c r="BS63" i="7"/>
  <c r="BQ43" i="7"/>
  <c r="EA43" i="7" s="1"/>
  <c r="EF43" i="7"/>
  <c r="EE43" i="7"/>
  <c r="BU43" i="7"/>
  <c r="BT43" i="7"/>
  <c r="BS43" i="7"/>
  <c r="BP43" i="7"/>
  <c r="DZ43" i="7" s="1"/>
  <c r="BR43" i="7"/>
  <c r="BQ3" i="7"/>
  <c r="EA3" i="7" s="1"/>
  <c r="BO3" i="7"/>
  <c r="BP3" i="7"/>
  <c r="DZ3" i="7" s="1"/>
  <c r="EF3" i="7"/>
  <c r="BR3" i="7"/>
  <c r="FG83" i="7"/>
  <c r="EM83" i="7"/>
  <c r="CZ83" i="7"/>
  <c r="EM63" i="7"/>
  <c r="FG63" i="7"/>
  <c r="CZ63" i="7"/>
  <c r="EM43" i="7"/>
  <c r="CZ43" i="7"/>
  <c r="FG43" i="7"/>
  <c r="FG3" i="7"/>
  <c r="EM3" i="7"/>
  <c r="CZ3" i="7"/>
  <c r="FH83" i="7"/>
  <c r="CM83" i="7"/>
  <c r="CT83" i="7" s="1"/>
  <c r="CI83" i="7"/>
  <c r="EJ83" i="7" s="1"/>
  <c r="CG83" i="7"/>
  <c r="CJ83" i="7"/>
  <c r="EO83" i="7"/>
  <c r="CH83" i="7"/>
  <c r="EI83" i="7" s="1"/>
  <c r="FH63" i="7"/>
  <c r="CM63" i="7"/>
  <c r="CT63" i="7" s="1"/>
  <c r="CI63" i="7"/>
  <c r="EJ63" i="7" s="1"/>
  <c r="CL63" i="7"/>
  <c r="CS63" i="7" s="1"/>
  <c r="CK63" i="7"/>
  <c r="EO63" i="7"/>
  <c r="CH63" i="7"/>
  <c r="EI63" i="7" s="1"/>
  <c r="CG63" i="7"/>
  <c r="CJ63" i="7"/>
  <c r="FH43" i="7"/>
  <c r="CJ43" i="7"/>
  <c r="CM43" i="7"/>
  <c r="CT43" i="7" s="1"/>
  <c r="CI43" i="7"/>
  <c r="EJ43" i="7" s="1"/>
  <c r="CK43" i="7"/>
  <c r="CL43" i="7"/>
  <c r="CS43" i="7" s="1"/>
  <c r="EO43" i="7"/>
  <c r="FH23" i="7"/>
  <c r="EO23" i="7"/>
  <c r="CL23" i="7"/>
  <c r="CS23" i="7" s="1"/>
  <c r="CM23" i="7"/>
  <c r="CT23" i="7" s="1"/>
  <c r="CI23" i="7"/>
  <c r="EJ23" i="7" s="1"/>
  <c r="CH23" i="7"/>
  <c r="EI23" i="7" s="1"/>
  <c r="CG23" i="7"/>
  <c r="EH23" i="7" s="1"/>
  <c r="BS3" i="7"/>
  <c r="EF24" i="7"/>
  <c r="DY89" i="7"/>
  <c r="BR23" i="7"/>
  <c r="CJ67" i="7"/>
  <c r="CM27" i="7"/>
  <c r="CT27" i="7" s="1"/>
  <c r="FI23" i="7"/>
  <c r="ED23" i="7"/>
  <c r="CY23" i="7"/>
  <c r="BR42" i="7"/>
  <c r="BQ42" i="7"/>
  <c r="EA42" i="7" s="1"/>
  <c r="BT42" i="7"/>
  <c r="BU42" i="7"/>
  <c r="BP42" i="7"/>
  <c r="DZ42" i="7" s="1"/>
  <c r="EF42" i="7"/>
  <c r="BS42" i="7"/>
  <c r="BO42" i="7"/>
  <c r="DY42" i="7" s="1"/>
  <c r="FG2" i="7"/>
  <c r="EM2" i="7"/>
  <c r="CZ2" i="7"/>
  <c r="EM62" i="7"/>
  <c r="CZ62" i="7"/>
  <c r="DT62" i="7"/>
  <c r="FG62" i="7"/>
  <c r="FG22" i="7"/>
  <c r="EM22" i="7"/>
  <c r="CZ22" i="7"/>
  <c r="EE88" i="7"/>
  <c r="EE7" i="7"/>
  <c r="EF64" i="7"/>
  <c r="EF23" i="7"/>
  <c r="BO88" i="7"/>
  <c r="BP64" i="7"/>
  <c r="DZ64" i="7" s="1"/>
  <c r="CI26" i="7"/>
  <c r="EJ26" i="7" s="1"/>
  <c r="BW2" i="7"/>
  <c r="BX2" i="7" s="1"/>
  <c r="CC2" i="7" s="1"/>
  <c r="BU2" i="7"/>
  <c r="DY2" i="7"/>
  <c r="BP2" i="7"/>
  <c r="DZ2" i="7" s="1"/>
  <c r="BQ2" i="7"/>
  <c r="BS2" i="7"/>
  <c r="FI82" i="7"/>
  <c r="CY82" i="7"/>
  <c r="ED82" i="7"/>
  <c r="FI62" i="7"/>
  <c r="ED62" i="7"/>
  <c r="CY62" i="7"/>
  <c r="FI42" i="7"/>
  <c r="ED42" i="7"/>
  <c r="CY42" i="7"/>
  <c r="FI22" i="7"/>
  <c r="ED22" i="7"/>
  <c r="CY22" i="7"/>
  <c r="BR101" i="7"/>
  <c r="BO101" i="7"/>
  <c r="DY101" i="7" s="1"/>
  <c r="BP101" i="7"/>
  <c r="DZ101" i="7" s="1"/>
  <c r="BQ101" i="7"/>
  <c r="EA101" i="7" s="1"/>
  <c r="EF101" i="7"/>
  <c r="EE101" i="7"/>
  <c r="BR81" i="7"/>
  <c r="BP81" i="7"/>
  <c r="DZ81" i="7" s="1"/>
  <c r="BO81" i="7"/>
  <c r="EF81" i="7"/>
  <c r="BO61" i="7"/>
  <c r="DY61" i="7" s="1"/>
  <c r="BU61" i="7"/>
  <c r="BR61" i="7"/>
  <c r="BS61" i="7"/>
  <c r="BQ61" i="7"/>
  <c r="EA61" i="7" s="1"/>
  <c r="BP61" i="7"/>
  <c r="DZ61" i="7" s="1"/>
  <c r="EE41" i="7"/>
  <c r="BQ41" i="7"/>
  <c r="EA41" i="7" s="1"/>
  <c r="BR41" i="7"/>
  <c r="BS41" i="7"/>
  <c r="BU41" i="7"/>
  <c r="BT41" i="7"/>
  <c r="BP41" i="7"/>
  <c r="DZ41" i="7" s="1"/>
  <c r="EF41" i="7"/>
  <c r="BO41" i="7"/>
  <c r="DY41" i="7" s="1"/>
  <c r="BR21" i="7"/>
  <c r="BP21" i="7"/>
  <c r="DZ21" i="7" s="1"/>
  <c r="BS21" i="7"/>
  <c r="BO21" i="7"/>
  <c r="DY21" i="7" s="1"/>
  <c r="EE21" i="7"/>
  <c r="BT21" i="7"/>
  <c r="BQ21" i="7"/>
  <c r="EA21" i="7" s="1"/>
  <c r="BU21" i="7"/>
  <c r="EF21" i="7"/>
  <c r="EM101" i="7"/>
  <c r="FG101" i="7"/>
  <c r="CZ101" i="7"/>
  <c r="EM81" i="7"/>
  <c r="FG81" i="7"/>
  <c r="DU81" i="7"/>
  <c r="EM61" i="7"/>
  <c r="FG61" i="7"/>
  <c r="CZ61" i="7"/>
  <c r="EM41" i="7"/>
  <c r="FG41" i="7"/>
  <c r="CZ41" i="7"/>
  <c r="DT41" i="7"/>
  <c r="EM21" i="7"/>
  <c r="FG21" i="7"/>
  <c r="CZ21" i="7"/>
  <c r="FH101" i="7"/>
  <c r="CJ101" i="7"/>
  <c r="CH101" i="7"/>
  <c r="EI101" i="7" s="1"/>
  <c r="CM101" i="7"/>
  <c r="CT101" i="7" s="1"/>
  <c r="CL101" i="7"/>
  <c r="CS101" i="7" s="1"/>
  <c r="CK101" i="7"/>
  <c r="EO101" i="7"/>
  <c r="FH81" i="7"/>
  <c r="CJ81" i="7"/>
  <c r="CG81" i="7"/>
  <c r="CH81" i="7"/>
  <c r="EI81" i="7" s="1"/>
  <c r="CM81" i="7"/>
  <c r="CT81" i="7" s="1"/>
  <c r="EO81" i="7"/>
  <c r="CI81" i="7"/>
  <c r="EJ81" i="7" s="1"/>
  <c r="FH61" i="7"/>
  <c r="CM61" i="7"/>
  <c r="CT61" i="7" s="1"/>
  <c r="CI61" i="7"/>
  <c r="CJ61" i="7"/>
  <c r="CG61" i="7"/>
  <c r="CL61" i="7"/>
  <c r="CS61" i="7" s="1"/>
  <c r="CK61" i="7"/>
  <c r="FH41" i="7"/>
  <c r="CM41" i="7"/>
  <c r="CT41" i="7" s="1"/>
  <c r="CI41" i="7"/>
  <c r="EJ41" i="7" s="1"/>
  <c r="CG41" i="7"/>
  <c r="EH41" i="7" s="1"/>
  <c r="CL41" i="7"/>
  <c r="CS41" i="7" s="1"/>
  <c r="CK41" i="7"/>
  <c r="CJ41" i="7"/>
  <c r="EO41" i="7"/>
  <c r="CH41" i="7"/>
  <c r="EI41" i="7" s="1"/>
  <c r="FH21" i="7"/>
  <c r="CM21" i="7"/>
  <c r="CT21" i="7" s="1"/>
  <c r="CI21" i="7"/>
  <c r="EJ21" i="7" s="1"/>
  <c r="CH21" i="7"/>
  <c r="EI21" i="7" s="1"/>
  <c r="EO21" i="7"/>
  <c r="CG21" i="7"/>
  <c r="EF63" i="7"/>
  <c r="BP63" i="7"/>
  <c r="DZ63" i="7" s="1"/>
  <c r="EH38" i="7"/>
  <c r="CM22" i="7"/>
  <c r="CT22" i="7" s="1"/>
  <c r="EO8" i="7"/>
  <c r="DT63" i="7"/>
  <c r="EE100" i="7"/>
  <c r="BW100" i="7"/>
  <c r="BX100" i="7" s="1"/>
  <c r="CC100" i="7" s="1"/>
  <c r="BW60" i="7"/>
  <c r="BX60" i="7" s="1"/>
  <c r="CC60" i="7" s="1"/>
  <c r="EE60" i="7"/>
  <c r="BW40" i="7"/>
  <c r="BX40" i="7" s="1"/>
  <c r="CC40" i="7" s="1"/>
  <c r="EE40" i="7"/>
  <c r="BW20" i="7"/>
  <c r="BX20" i="7" s="1"/>
  <c r="CC20" i="7" s="1"/>
  <c r="EE20" i="7"/>
  <c r="EF61" i="7"/>
  <c r="BP62" i="7"/>
  <c r="DZ62" i="7" s="1"/>
  <c r="CH7" i="7"/>
  <c r="EI7" i="7" s="1"/>
  <c r="CL83" i="7"/>
  <c r="CS83" i="7" s="1"/>
  <c r="DN92" i="7"/>
  <c r="DS63" i="7"/>
  <c r="FI3" i="7"/>
  <c r="ED3" i="7"/>
  <c r="CY3" i="7"/>
  <c r="EE84" i="7"/>
  <c r="CI101" i="7"/>
  <c r="EJ101" i="7" s="1"/>
  <c r="DM92" i="7"/>
  <c r="DM61" i="7"/>
  <c r="DO31" i="7"/>
  <c r="FH66" i="7"/>
  <c r="CL66" i="7"/>
  <c r="CS66" i="7" s="1"/>
  <c r="CM66" i="7"/>
  <c r="CT66" i="7" s="1"/>
  <c r="CI66" i="7"/>
  <c r="EJ66" i="7" s="1"/>
  <c r="CK66" i="7"/>
  <c r="CH66" i="7"/>
  <c r="EI66" i="7" s="1"/>
  <c r="CG66" i="7"/>
  <c r="EH66" i="7" s="1"/>
  <c r="CJ66" i="7"/>
  <c r="FH4" i="7"/>
  <c r="CH4" i="7"/>
  <c r="EI4" i="7" s="1"/>
  <c r="CL4" i="7"/>
  <c r="CS4" i="7" s="1"/>
  <c r="EO4" i="7"/>
  <c r="CM4" i="7"/>
  <c r="CT4" i="7" s="1"/>
  <c r="CG4" i="7"/>
  <c r="CK4" i="7"/>
  <c r="CJ4" i="7"/>
  <c r="CI4" i="7"/>
  <c r="DO67" i="7"/>
  <c r="DM67" i="7"/>
  <c r="FI83" i="7"/>
  <c r="ED83" i="7"/>
  <c r="CY83" i="7"/>
  <c r="EE3" i="7"/>
  <c r="DL91" i="7"/>
  <c r="FI18" i="7"/>
  <c r="ED18" i="7"/>
  <c r="CY18" i="7"/>
  <c r="EM37" i="7"/>
  <c r="FG37" i="7"/>
  <c r="DT37" i="7"/>
  <c r="CZ37" i="7"/>
  <c r="BW37" i="7"/>
  <c r="BX37" i="7" s="1"/>
  <c r="CC37" i="7" s="1"/>
  <c r="EE81" i="7"/>
  <c r="BQ83" i="7"/>
  <c r="EA83" i="7" s="1"/>
  <c r="BR57" i="7"/>
  <c r="DQ3" i="7"/>
  <c r="DU27" i="7"/>
  <c r="FH28" i="7"/>
  <c r="CK28" i="7"/>
  <c r="EO28" i="7"/>
  <c r="CL28" i="7"/>
  <c r="CS28" i="7" s="1"/>
  <c r="CM28" i="7"/>
  <c r="CT28" i="7" s="1"/>
  <c r="CI28" i="7"/>
  <c r="CG28" i="7"/>
  <c r="CJ28" i="7"/>
  <c r="CH28" i="7"/>
  <c r="BT67" i="7"/>
  <c r="BQ67" i="7"/>
  <c r="EA67" i="7" s="1"/>
  <c r="EF67" i="7"/>
  <c r="EE67" i="7"/>
  <c r="BO67" i="7"/>
  <c r="BU67" i="7"/>
  <c r="BS67" i="7"/>
  <c r="FG4" i="7"/>
  <c r="EM4" i="7"/>
  <c r="CZ4" i="7"/>
  <c r="DQ4" i="7"/>
  <c r="DS4" i="7"/>
  <c r="BO82" i="7"/>
  <c r="DY82" i="7" s="1"/>
  <c r="EF82" i="7"/>
  <c r="BU82" i="7"/>
  <c r="BP82" i="7"/>
  <c r="DZ82" i="7" s="1"/>
  <c r="BR82" i="7"/>
  <c r="DK28" i="7"/>
  <c r="FI38" i="7"/>
  <c r="ED38" i="7"/>
  <c r="CY38" i="7"/>
  <c r="BO77" i="7"/>
  <c r="BU77" i="7"/>
  <c r="EF77" i="7"/>
  <c r="EE77" i="7"/>
  <c r="BS77" i="7"/>
  <c r="BP77" i="7"/>
  <c r="DZ77" i="7" s="1"/>
  <c r="BQ77" i="7"/>
  <c r="EA77" i="7" s="1"/>
  <c r="BR77" i="7"/>
  <c r="BO17" i="7"/>
  <c r="DY17" i="7" s="1"/>
  <c r="BR17" i="7"/>
  <c r="BU17" i="7"/>
  <c r="EF17" i="7"/>
  <c r="BQ17" i="7"/>
  <c r="EA17" i="7" s="1"/>
  <c r="EE17" i="7"/>
  <c r="BT17" i="7"/>
  <c r="BS17" i="7"/>
  <c r="FG97" i="7"/>
  <c r="EM97" i="7"/>
  <c r="DQ97" i="7"/>
  <c r="DS97" i="7"/>
  <c r="DT97" i="7"/>
  <c r="DU97" i="7"/>
  <c r="EM77" i="7"/>
  <c r="FG77" i="7"/>
  <c r="DT77" i="7"/>
  <c r="CZ77" i="7"/>
  <c r="EM17" i="7"/>
  <c r="FG17" i="7"/>
  <c r="CZ17" i="7"/>
  <c r="DT17" i="7"/>
  <c r="DU17" i="7"/>
  <c r="FH97" i="7"/>
  <c r="CJ97" i="7"/>
  <c r="EO97" i="7"/>
  <c r="CK97" i="7"/>
  <c r="CI97" i="7"/>
  <c r="EJ97" i="7" s="1"/>
  <c r="CM97" i="7"/>
  <c r="CT97" i="7" s="1"/>
  <c r="CL97" i="7"/>
  <c r="CS97" i="7" s="1"/>
  <c r="CG97" i="7"/>
  <c r="FH77" i="7"/>
  <c r="CJ77" i="7"/>
  <c r="CH77" i="7"/>
  <c r="CM77" i="7"/>
  <c r="CT77" i="7" s="1"/>
  <c r="CL77" i="7"/>
  <c r="CS77" i="7" s="1"/>
  <c r="CI77" i="7"/>
  <c r="EJ77" i="7" s="1"/>
  <c r="FH57" i="7"/>
  <c r="CJ57" i="7"/>
  <c r="CG57" i="7"/>
  <c r="EO57" i="7"/>
  <c r="CH57" i="7"/>
  <c r="EI57" i="7" s="1"/>
  <c r="CL57" i="7"/>
  <c r="CS57" i="7" s="1"/>
  <c r="FH37" i="7"/>
  <c r="CK37" i="7"/>
  <c r="CM37" i="7"/>
  <c r="CT37" i="7" s="1"/>
  <c r="CL37" i="7"/>
  <c r="CS37" i="7" s="1"/>
  <c r="CI37" i="7"/>
  <c r="EJ37" i="7" s="1"/>
  <c r="CJ37" i="7"/>
  <c r="CH37" i="7"/>
  <c r="EI37" i="7" s="1"/>
  <c r="EO37" i="7"/>
  <c r="FH17" i="7"/>
  <c r="CJ17" i="7"/>
  <c r="EO17" i="7"/>
  <c r="CM17" i="7"/>
  <c r="CT17" i="7" s="1"/>
  <c r="CH17" i="7"/>
  <c r="EI17" i="7" s="1"/>
  <c r="CG17" i="7"/>
  <c r="CL17" i="7"/>
  <c r="CS17" i="7" s="1"/>
  <c r="CK17" i="7"/>
  <c r="BS57" i="7"/>
  <c r="BS26" i="7"/>
  <c r="BU83" i="7"/>
  <c r="BQ82" i="7"/>
  <c r="EA82" i="7" s="1"/>
  <c r="BQ28" i="7"/>
  <c r="CI17" i="7"/>
  <c r="EJ17" i="7" s="1"/>
  <c r="EN98" i="7"/>
  <c r="CP98" i="7"/>
  <c r="CU98" i="7" s="1"/>
  <c r="DR82" i="7"/>
  <c r="FG88" i="7"/>
  <c r="DR88" i="7"/>
  <c r="DS88" i="7"/>
  <c r="DU88" i="7"/>
  <c r="CZ88" i="7"/>
  <c r="DQ88" i="7"/>
  <c r="FI8" i="7"/>
  <c r="ED8" i="7"/>
  <c r="CY8" i="7"/>
  <c r="FH46" i="7"/>
  <c r="CH46" i="7"/>
  <c r="EI46" i="7" s="1"/>
  <c r="EO46" i="7"/>
  <c r="CL46" i="7"/>
  <c r="CS46" i="7" s="1"/>
  <c r="CM46" i="7"/>
  <c r="CT46" i="7" s="1"/>
  <c r="CG46" i="7"/>
  <c r="EH46" i="7" s="1"/>
  <c r="CK46" i="7"/>
  <c r="CJ46" i="7"/>
  <c r="CI46" i="7"/>
  <c r="EJ46" i="7" s="1"/>
  <c r="FG64" i="7"/>
  <c r="EM64" i="7"/>
  <c r="CZ64" i="7"/>
  <c r="FI63" i="7"/>
  <c r="ED63" i="7"/>
  <c r="CY63" i="7"/>
  <c r="EM42" i="7"/>
  <c r="FG42" i="7"/>
  <c r="CZ42" i="7"/>
  <c r="EE83" i="7"/>
  <c r="EN95" i="7"/>
  <c r="CP95" i="7"/>
  <c r="BS22" i="7"/>
  <c r="BU81" i="7"/>
  <c r="BQ81" i="7"/>
  <c r="EA81" i="7" s="1"/>
  <c r="CJ23" i="7"/>
  <c r="EN9" i="7"/>
  <c r="CP9" i="7"/>
  <c r="DO82" i="7"/>
  <c r="DQ17" i="7"/>
  <c r="FH27" i="7"/>
  <c r="CK27" i="7"/>
  <c r="CH27" i="7"/>
  <c r="EI27" i="7" s="1"/>
  <c r="EO27" i="7"/>
  <c r="CL27" i="7"/>
  <c r="CS27" i="7" s="1"/>
  <c r="CG27" i="7"/>
  <c r="EH27" i="7" s="1"/>
  <c r="CJ27" i="7"/>
  <c r="CI27" i="7"/>
  <c r="EJ27" i="7" s="1"/>
  <c r="FG26" i="7"/>
  <c r="CZ26" i="7"/>
  <c r="DQ26" i="7"/>
  <c r="DU26" i="7"/>
  <c r="FH24" i="7"/>
  <c r="EO24" i="7"/>
  <c r="CL24" i="7"/>
  <c r="CS24" i="7" s="1"/>
  <c r="CM24" i="7"/>
  <c r="CT24" i="7" s="1"/>
  <c r="CJ24" i="7"/>
  <c r="CH24" i="7"/>
  <c r="EI24" i="7" s="1"/>
  <c r="DK93" i="7"/>
  <c r="FH62" i="7"/>
  <c r="CM62" i="7"/>
  <c r="CT62" i="7" s="1"/>
  <c r="CI62" i="7"/>
  <c r="CG62" i="7"/>
  <c r="CK62" i="7"/>
  <c r="CH62" i="7"/>
  <c r="EI62" i="7" s="1"/>
  <c r="CJ62" i="7"/>
  <c r="CG24" i="7"/>
  <c r="CG77" i="7"/>
  <c r="EH77" i="7" s="1"/>
  <c r="CJ21" i="7"/>
  <c r="CL62" i="7"/>
  <c r="CS62" i="7" s="1"/>
  <c r="EO77" i="7"/>
  <c r="CZ81" i="7"/>
  <c r="DQ100" i="7"/>
  <c r="DK100" i="7"/>
  <c r="DK80" i="7"/>
  <c r="DQ80" i="7"/>
  <c r="DK60" i="7"/>
  <c r="DQ60" i="7"/>
  <c r="DK40" i="7"/>
  <c r="DQ40" i="7"/>
  <c r="DK20" i="7"/>
  <c r="DQ20" i="7"/>
  <c r="DL100" i="7"/>
  <c r="DR100" i="7"/>
  <c r="DL80" i="7"/>
  <c r="DR80" i="7"/>
  <c r="DR60" i="7"/>
  <c r="DL60" i="7"/>
  <c r="DR40" i="7"/>
  <c r="DL40" i="7"/>
  <c r="DR20" i="7"/>
  <c r="DL20" i="7"/>
  <c r="DM100" i="7"/>
  <c r="DS100" i="7"/>
  <c r="DM80" i="7"/>
  <c r="DS80" i="7"/>
  <c r="DM60" i="7"/>
  <c r="DS60" i="7"/>
  <c r="DS40" i="7"/>
  <c r="DM40" i="7"/>
  <c r="DM20" i="7"/>
  <c r="DS20" i="7"/>
  <c r="DT84" i="7"/>
  <c r="DN84" i="7"/>
  <c r="DN64" i="7"/>
  <c r="DT64" i="7"/>
  <c r="DN44" i="7"/>
  <c r="DT44" i="7"/>
  <c r="DN24" i="7"/>
  <c r="DT24" i="7"/>
  <c r="DT4" i="7"/>
  <c r="DO83" i="7"/>
  <c r="DU83" i="7"/>
  <c r="DU63" i="7"/>
  <c r="DO63" i="7"/>
  <c r="DO43" i="7"/>
  <c r="DU43" i="7"/>
  <c r="DO23" i="7"/>
  <c r="DU23" i="7"/>
  <c r="DU3" i="7"/>
  <c r="DO3" i="7"/>
  <c r="DN82" i="7"/>
  <c r="DO17" i="7"/>
  <c r="FH86" i="7"/>
  <c r="CL86" i="7"/>
  <c r="CS86" i="7" s="1"/>
  <c r="CM86" i="7"/>
  <c r="CT86" i="7" s="1"/>
  <c r="CI86" i="7"/>
  <c r="EJ86" i="7" s="1"/>
  <c r="EO86" i="7"/>
  <c r="CJ86" i="7"/>
  <c r="CG86" i="7"/>
  <c r="CK86" i="7"/>
  <c r="FH22" i="7"/>
  <c r="CJ22" i="7"/>
  <c r="CH22" i="7"/>
  <c r="EI22" i="7" s="1"/>
  <c r="EO22" i="7"/>
  <c r="CG22" i="7"/>
  <c r="BT28" i="7"/>
  <c r="ED58" i="7"/>
  <c r="FI58" i="7"/>
  <c r="CY58" i="7"/>
  <c r="EF47" i="7"/>
  <c r="BO7" i="7"/>
  <c r="DK39" i="7"/>
  <c r="DN43" i="7"/>
  <c r="DN23" i="7"/>
  <c r="DO50" i="7"/>
  <c r="DN13" i="7"/>
  <c r="FH82" i="7"/>
  <c r="CM82" i="7"/>
  <c r="CT82" i="7" s="1"/>
  <c r="CI82" i="7"/>
  <c r="CJ82" i="7"/>
  <c r="CG82" i="7"/>
  <c r="EH82" i="7" s="1"/>
  <c r="CH82" i="7"/>
  <c r="EI82" i="7" s="1"/>
  <c r="EO82" i="7"/>
  <c r="FI98" i="7"/>
  <c r="ED98" i="7"/>
  <c r="BO57" i="7"/>
  <c r="BU57" i="7"/>
  <c r="EF57" i="7"/>
  <c r="BP57" i="7"/>
  <c r="BQ57" i="7"/>
  <c r="CH97" i="7"/>
  <c r="EI97" i="7" s="1"/>
  <c r="CH43" i="7"/>
  <c r="CK24" i="7"/>
  <c r="EN73" i="7"/>
  <c r="CP73" i="7"/>
  <c r="EO66" i="7"/>
  <c r="DO78" i="7"/>
  <c r="DN50" i="7"/>
  <c r="DM13" i="7"/>
  <c r="FI69" i="7"/>
  <c r="ED69" i="7"/>
  <c r="CY69" i="7"/>
  <c r="FI49" i="7"/>
  <c r="ED49" i="7"/>
  <c r="EX49" i="7"/>
  <c r="CY49" i="7"/>
  <c r="FI9" i="7"/>
  <c r="ED9" i="7"/>
  <c r="CY9" i="7"/>
  <c r="EF88" i="7"/>
  <c r="BT88" i="7"/>
  <c r="BR88" i="7"/>
  <c r="BU88" i="7"/>
  <c r="BS88" i="7"/>
  <c r="BP88" i="7"/>
  <c r="EF68" i="7"/>
  <c r="BR68" i="7"/>
  <c r="BP68" i="7"/>
  <c r="DZ68" i="7" s="1"/>
  <c r="BQ68" i="7"/>
  <c r="EA68" i="7" s="1"/>
  <c r="EE68" i="7"/>
  <c r="BS68" i="7"/>
  <c r="BO68" i="7"/>
  <c r="DY68" i="7" s="1"/>
  <c r="BU68" i="7"/>
  <c r="BT68" i="7"/>
  <c r="EF48" i="7"/>
  <c r="BQ48" i="7"/>
  <c r="EA48" i="7" s="1"/>
  <c r="BO48" i="7"/>
  <c r="DY48" i="7" s="1"/>
  <c r="BP48" i="7"/>
  <c r="DZ48" i="7" s="1"/>
  <c r="EE48" i="7"/>
  <c r="BR48" i="7"/>
  <c r="BS48" i="7"/>
  <c r="BP8" i="7"/>
  <c r="DZ8" i="7" s="1"/>
  <c r="EF8" i="7"/>
  <c r="BR8" i="7"/>
  <c r="BT8" i="7"/>
  <c r="BO8" i="7"/>
  <c r="DY8" i="7" s="1"/>
  <c r="BQ8" i="7"/>
  <c r="EA8" i="7" s="1"/>
  <c r="FG68" i="7"/>
  <c r="EM68" i="7"/>
  <c r="DQ68" i="7"/>
  <c r="DS68" i="7"/>
  <c r="CZ68" i="7"/>
  <c r="FG48" i="7"/>
  <c r="EM48" i="7"/>
  <c r="DS48" i="7"/>
  <c r="CZ48" i="7"/>
  <c r="FG28" i="7"/>
  <c r="DQ28" i="7"/>
  <c r="DS28" i="7"/>
  <c r="CZ28" i="7"/>
  <c r="FG8" i="7"/>
  <c r="EM8" i="7"/>
  <c r="DR8" i="7"/>
  <c r="CZ8" i="7"/>
  <c r="FH88" i="7"/>
  <c r="CH88" i="7"/>
  <c r="EI88" i="7" s="1"/>
  <c r="CL88" i="7"/>
  <c r="CS88" i="7" s="1"/>
  <c r="CM88" i="7"/>
  <c r="CT88" i="7" s="1"/>
  <c r="EO88" i="7"/>
  <c r="CJ88" i="7"/>
  <c r="CG88" i="7"/>
  <c r="CK88" i="7"/>
  <c r="CI88" i="7"/>
  <c r="EJ88" i="7" s="1"/>
  <c r="FH48" i="7"/>
  <c r="CK48" i="7"/>
  <c r="EO48" i="7"/>
  <c r="CL48" i="7"/>
  <c r="CS48" i="7" s="1"/>
  <c r="CH48" i="7"/>
  <c r="EI48" i="7" s="1"/>
  <c r="CM48" i="7"/>
  <c r="CT48" i="7" s="1"/>
  <c r="CI48" i="7"/>
  <c r="CG48" i="7"/>
  <c r="CJ48" i="7"/>
  <c r="FH8" i="7"/>
  <c r="CK8" i="7"/>
  <c r="CH8" i="7"/>
  <c r="EI8" i="7" s="1"/>
  <c r="CL8" i="7"/>
  <c r="CS8" i="7" s="1"/>
  <c r="CM8" i="7"/>
  <c r="CT8" i="7" s="1"/>
  <c r="CG8" i="7"/>
  <c r="EH8" i="7" s="1"/>
  <c r="CJ8" i="7"/>
  <c r="BT48" i="7"/>
  <c r="DY94" i="7"/>
  <c r="EM28" i="7"/>
  <c r="ED68" i="7"/>
  <c r="FI68" i="7"/>
  <c r="CY68" i="7"/>
  <c r="FI48" i="7"/>
  <c r="ED48" i="7"/>
  <c r="CY48" i="7"/>
  <c r="BQ87" i="7"/>
  <c r="EA87" i="7" s="1"/>
  <c r="BO87" i="7"/>
  <c r="BR87" i="7"/>
  <c r="EE87" i="7"/>
  <c r="BT87" i="7"/>
  <c r="BS87" i="7"/>
  <c r="BP87" i="7"/>
  <c r="DZ87" i="7" s="1"/>
  <c r="BQ27" i="7"/>
  <c r="EA27" i="7" s="1"/>
  <c r="BO27" i="7"/>
  <c r="EE27" i="7"/>
  <c r="BU27" i="7"/>
  <c r="BR7" i="7"/>
  <c r="EF7" i="7"/>
  <c r="BU7" i="7"/>
  <c r="BP7" i="7"/>
  <c r="DZ7" i="7" s="1"/>
  <c r="FG67" i="7"/>
  <c r="EM67" i="7"/>
  <c r="CZ67" i="7"/>
  <c r="DS67" i="7"/>
  <c r="FG47" i="7"/>
  <c r="EM47" i="7"/>
  <c r="DQ47" i="7"/>
  <c r="DR47" i="7"/>
  <c r="CZ47" i="7"/>
  <c r="FG7" i="7"/>
  <c r="EM7" i="7"/>
  <c r="DQ7" i="7"/>
  <c r="DS7" i="7"/>
  <c r="CZ7" i="7"/>
  <c r="FH87" i="7"/>
  <c r="CL87" i="7"/>
  <c r="CS87" i="7" s="1"/>
  <c r="CM87" i="7"/>
  <c r="CT87" i="7" s="1"/>
  <c r="EO87" i="7"/>
  <c r="CJ87" i="7"/>
  <c r="CG87" i="7"/>
  <c r="EH87" i="7" s="1"/>
  <c r="CK87" i="7"/>
  <c r="CI87" i="7"/>
  <c r="EJ87" i="7" s="1"/>
  <c r="FH47" i="7"/>
  <c r="CH47" i="7"/>
  <c r="EI47" i="7" s="1"/>
  <c r="EO47" i="7"/>
  <c r="CM47" i="7"/>
  <c r="CT47" i="7" s="1"/>
  <c r="CL47" i="7"/>
  <c r="CS47" i="7" s="1"/>
  <c r="CI47" i="7"/>
  <c r="EJ47" i="7" s="1"/>
  <c r="CG47" i="7"/>
  <c r="CK47" i="7"/>
  <c r="CJ47" i="7"/>
  <c r="EM26" i="7"/>
  <c r="FI67" i="7"/>
  <c r="ED67" i="7"/>
  <c r="CY67" i="7"/>
  <c r="FI47" i="7"/>
  <c r="ED47" i="7"/>
  <c r="CY47" i="7"/>
  <c r="FI27" i="7"/>
  <c r="ED27" i="7"/>
  <c r="CY27" i="7"/>
  <c r="BQ86" i="7"/>
  <c r="EA86" i="7" s="1"/>
  <c r="BR86" i="7"/>
  <c r="EF86" i="7"/>
  <c r="BU86" i="7"/>
  <c r="BO86" i="7"/>
  <c r="BT86" i="7"/>
  <c r="BS86" i="7"/>
  <c r="BP86" i="7"/>
  <c r="DZ86" i="7" s="1"/>
  <c r="BQ66" i="7"/>
  <c r="EA66" i="7" s="1"/>
  <c r="BO66" i="7"/>
  <c r="DY66" i="7" s="1"/>
  <c r="BR66" i="7"/>
  <c r="EF66" i="7"/>
  <c r="BU66" i="7"/>
  <c r="BT66" i="7"/>
  <c r="BS66" i="7"/>
  <c r="BT46" i="7"/>
  <c r="BP46" i="7"/>
  <c r="DZ46" i="7" s="1"/>
  <c r="BQ46" i="7"/>
  <c r="EA46" i="7" s="1"/>
  <c r="EF46" i="7"/>
  <c r="BU46" i="7"/>
  <c r="BQ6" i="7"/>
  <c r="BU6" i="7"/>
  <c r="EF6" i="7"/>
  <c r="BP6" i="7"/>
  <c r="DZ6" i="7" s="1"/>
  <c r="BR6" i="7"/>
  <c r="BO6" i="7"/>
  <c r="DY6" i="7" s="1"/>
  <c r="FG86" i="7"/>
  <c r="EM86" i="7"/>
  <c r="BW86" i="7"/>
  <c r="BX86" i="7" s="1"/>
  <c r="CC86" i="7" s="1"/>
  <c r="DU86" i="7"/>
  <c r="FG66" i="7"/>
  <c r="EM66" i="7"/>
  <c r="CZ66" i="7"/>
  <c r="DT66" i="7"/>
  <c r="FG6" i="7"/>
  <c r="EM6" i="7"/>
  <c r="BW6" i="7"/>
  <c r="BX6" i="7" s="1"/>
  <c r="CC6" i="7" s="1"/>
  <c r="CZ6" i="7"/>
  <c r="FH26" i="7"/>
  <c r="CH26" i="7"/>
  <c r="EI26" i="7" s="1"/>
  <c r="EO26" i="7"/>
  <c r="CK26" i="7"/>
  <c r="CG26" i="7"/>
  <c r="EH26" i="7" s="1"/>
  <c r="CJ26" i="7"/>
  <c r="EF27" i="7"/>
  <c r="BR27" i="7"/>
  <c r="CH87" i="7"/>
  <c r="EI87" i="7" s="1"/>
  <c r="CL26" i="7"/>
  <c r="CS26" i="7" s="1"/>
  <c r="BQ47" i="7"/>
  <c r="EA47" i="7" s="1"/>
  <c r="FI45" i="7"/>
  <c r="CY45" i="7"/>
  <c r="ED45" i="7"/>
  <c r="BR84" i="7"/>
  <c r="BP84" i="7"/>
  <c r="DZ84" i="7" s="1"/>
  <c r="BO84" i="7"/>
  <c r="EF84" i="7"/>
  <c r="BQ44" i="7"/>
  <c r="EA44" i="7" s="1"/>
  <c r="BP44" i="7"/>
  <c r="DZ44" i="7" s="1"/>
  <c r="BU44" i="7"/>
  <c r="EE44" i="7"/>
  <c r="BR44" i="7"/>
  <c r="EF44" i="7"/>
  <c r="BT44" i="7"/>
  <c r="BS44" i="7"/>
  <c r="BT4" i="7"/>
  <c r="BO4" i="7"/>
  <c r="EF4" i="7"/>
  <c r="BP4" i="7"/>
  <c r="DZ4" i="7" s="1"/>
  <c r="BR4" i="7"/>
  <c r="FG84" i="7"/>
  <c r="FJ84" i="7" s="1"/>
  <c r="EM84" i="7"/>
  <c r="FG24" i="7"/>
  <c r="EM24" i="7"/>
  <c r="CZ24" i="7"/>
  <c r="FH84" i="7"/>
  <c r="CM84" i="7"/>
  <c r="CT84" i="7" s="1"/>
  <c r="CI84" i="7"/>
  <c r="EO84" i="7"/>
  <c r="CJ84" i="7"/>
  <c r="CG84" i="7"/>
  <c r="EH84" i="7" s="1"/>
  <c r="CH84" i="7"/>
  <c r="EI84" i="7" s="1"/>
  <c r="FH44" i="7"/>
  <c r="CL44" i="7"/>
  <c r="CS44" i="7" s="1"/>
  <c r="CM44" i="7"/>
  <c r="CT44" i="7" s="1"/>
  <c r="CI44" i="7"/>
  <c r="EJ44" i="7" s="1"/>
  <c r="EO44" i="7"/>
  <c r="CK44" i="7"/>
  <c r="CJ44" i="7"/>
  <c r="CJ68" i="7"/>
  <c r="FI64" i="7"/>
  <c r="ED64" i="7"/>
  <c r="CY64" i="7"/>
  <c r="FI24" i="7"/>
  <c r="ED24" i="7"/>
  <c r="CY24" i="7"/>
  <c r="BQ23" i="7"/>
  <c r="EA23" i="7" s="1"/>
  <c r="BO23" i="7"/>
  <c r="DY23" i="7" s="1"/>
  <c r="BP23" i="7"/>
  <c r="DZ23" i="7" s="1"/>
  <c r="BU23" i="7"/>
  <c r="EE23" i="7"/>
  <c r="BS23" i="7"/>
  <c r="FG23" i="7"/>
  <c r="EM23" i="7"/>
  <c r="CZ23" i="7"/>
  <c r="DT23" i="7"/>
  <c r="FH3" i="7"/>
  <c r="CL3" i="7"/>
  <c r="CS3" i="7" s="1"/>
  <c r="EO3" i="7"/>
  <c r="CM3" i="7"/>
  <c r="CT3" i="7" s="1"/>
  <c r="CG3" i="7"/>
  <c r="CK3" i="7"/>
  <c r="CJ3" i="7"/>
  <c r="CH3" i="7"/>
  <c r="EI3" i="7" s="1"/>
  <c r="EE90" i="7"/>
  <c r="BW90" i="7"/>
  <c r="BX90" i="7" s="1"/>
  <c r="CC90" i="7" s="1"/>
  <c r="FI2" i="7"/>
  <c r="ED2" i="7"/>
  <c r="CY2" i="7"/>
  <c r="FI43" i="7"/>
  <c r="ED43" i="7"/>
  <c r="CY43" i="7"/>
  <c r="BR62" i="7"/>
  <c r="EF62" i="7"/>
  <c r="BS62" i="7"/>
  <c r="BP22" i="7"/>
  <c r="DZ22" i="7" s="1"/>
  <c r="BQ22" i="7"/>
  <c r="EA22" i="7" s="1"/>
  <c r="BT22" i="7"/>
  <c r="BO22" i="7"/>
  <c r="DY22" i="7" s="1"/>
  <c r="BU22" i="7"/>
  <c r="EF22" i="7"/>
  <c r="FG82" i="7"/>
  <c r="EM82" i="7"/>
  <c r="DQ82" i="7"/>
  <c r="DS82" i="7"/>
  <c r="FH2" i="7"/>
  <c r="CG2" i="7"/>
  <c r="EH2" i="7" s="1"/>
  <c r="CT2" i="7"/>
  <c r="CL2" i="7"/>
  <c r="EO2" i="7"/>
  <c r="CJ2" i="7"/>
  <c r="CK2" i="7"/>
  <c r="CH2" i="7"/>
  <c r="EI2" i="7" s="1"/>
  <c r="FH42" i="7"/>
  <c r="CM42" i="7"/>
  <c r="CT42" i="7" s="1"/>
  <c r="CI42" i="7"/>
  <c r="EJ42" i="7" s="1"/>
  <c r="CL42" i="7"/>
  <c r="CS42" i="7" s="1"/>
  <c r="CK42" i="7"/>
  <c r="CJ42" i="7"/>
  <c r="EO42" i="7"/>
  <c r="BS28" i="7"/>
  <c r="BT62" i="7"/>
  <c r="EE4" i="7"/>
  <c r="BS27" i="7"/>
  <c r="BQ84" i="7"/>
  <c r="EA84" i="7" s="1"/>
  <c r="CZ86" i="7"/>
  <c r="DL84" i="7"/>
  <c r="DS84" i="7"/>
  <c r="FI78" i="7"/>
  <c r="ED78" i="7"/>
  <c r="CY78" i="7"/>
  <c r="BO97" i="7"/>
  <c r="DY97" i="7" s="1"/>
  <c r="BU97" i="7"/>
  <c r="BP97" i="7"/>
  <c r="DZ97" i="7" s="1"/>
  <c r="EF97" i="7"/>
  <c r="BQ97" i="7"/>
  <c r="EA97" i="7" s="1"/>
  <c r="BT97" i="7"/>
  <c r="EE97" i="7"/>
  <c r="BO37" i="7"/>
  <c r="DY37" i="7" s="1"/>
  <c r="BU37" i="7"/>
  <c r="EF37" i="7"/>
  <c r="BR37" i="7"/>
  <c r="BP37" i="7"/>
  <c r="DZ37" i="7" s="1"/>
  <c r="BS37" i="7"/>
  <c r="EM57" i="7"/>
  <c r="FG57" i="7"/>
  <c r="DT57" i="7"/>
  <c r="DU57" i="7"/>
  <c r="CZ57" i="7"/>
  <c r="BW95" i="7"/>
  <c r="BX95" i="7" s="1"/>
  <c r="CC95" i="7" s="1"/>
  <c r="EE95" i="7"/>
  <c r="BU8" i="7"/>
  <c r="EN53" i="7"/>
  <c r="CP53" i="7"/>
  <c r="CU53" i="7" s="1"/>
  <c r="BT84" i="7"/>
  <c r="EE52" i="7"/>
  <c r="BW52" i="7"/>
  <c r="BX52" i="7" s="1"/>
  <c r="CC52" i="7" s="1"/>
  <c r="DY32" i="7"/>
  <c r="EH92" i="7"/>
  <c r="BS84" i="7"/>
  <c r="BT83" i="7"/>
  <c r="BU4" i="7"/>
  <c r="EN91" i="7"/>
  <c r="CP91" i="7"/>
  <c r="BS82" i="7"/>
  <c r="BT82" i="7"/>
  <c r="BU3" i="7"/>
  <c r="BW66" i="7"/>
  <c r="BW64" i="7"/>
  <c r="BX64" i="7" s="1"/>
  <c r="CC64" i="7" s="1"/>
  <c r="CH42" i="7"/>
  <c r="EI42" i="7" s="1"/>
  <c r="CK23" i="7"/>
  <c r="CM68" i="7"/>
  <c r="CT68" i="7" s="1"/>
  <c r="DO60" i="7"/>
  <c r="DM78" i="7"/>
  <c r="DM50" i="7"/>
  <c r="DL13" i="7"/>
  <c r="EM88" i="7"/>
  <c r="DK72" i="7"/>
  <c r="DL72" i="7"/>
  <c r="DN96" i="7"/>
  <c r="FI100" i="7"/>
  <c r="ED100" i="7"/>
  <c r="FI80" i="7"/>
  <c r="CY80" i="7"/>
  <c r="ED80" i="7"/>
  <c r="FI60" i="7"/>
  <c r="ED60" i="7"/>
  <c r="CY60" i="7"/>
  <c r="FI40" i="7"/>
  <c r="ED40" i="7"/>
  <c r="CY40" i="7"/>
  <c r="FI20" i="7"/>
  <c r="ED20" i="7"/>
  <c r="BO99" i="7"/>
  <c r="DY99" i="7" s="1"/>
  <c r="BS99" i="7"/>
  <c r="EE99" i="7"/>
  <c r="BP99" i="7"/>
  <c r="DZ99" i="7" s="1"/>
  <c r="BQ99" i="7"/>
  <c r="EA99" i="7" s="1"/>
  <c r="BS79" i="7"/>
  <c r="BO79" i="7"/>
  <c r="DY79" i="7" s="1"/>
  <c r="BR59" i="7"/>
  <c r="BS59" i="7"/>
  <c r="EF59" i="7"/>
  <c r="BS39" i="7"/>
  <c r="BR39" i="7"/>
  <c r="BP39" i="7"/>
  <c r="DZ39" i="7" s="1"/>
  <c r="BQ39" i="7"/>
  <c r="EA39" i="7" s="1"/>
  <c r="BS19" i="7"/>
  <c r="BO19" i="7"/>
  <c r="BP19" i="7"/>
  <c r="DZ19" i="7" s="1"/>
  <c r="BU19" i="7"/>
  <c r="BQ19" i="7"/>
  <c r="EA19" i="7" s="1"/>
  <c r="BR19" i="7"/>
  <c r="EF19" i="7"/>
  <c r="EM99" i="7"/>
  <c r="FG99" i="7"/>
  <c r="EM79" i="7"/>
  <c r="FG79" i="7"/>
  <c r="DQ79" i="7"/>
  <c r="CZ79" i="7"/>
  <c r="EM59" i="7"/>
  <c r="FG59" i="7"/>
  <c r="CZ59" i="7"/>
  <c r="EM39" i="7"/>
  <c r="FG39" i="7"/>
  <c r="EM19" i="7"/>
  <c r="FG19" i="7"/>
  <c r="CZ19" i="7"/>
  <c r="DU19" i="7"/>
  <c r="FH99" i="7"/>
  <c r="CJ99" i="7"/>
  <c r="CG99" i="7"/>
  <c r="CL99" i="7"/>
  <c r="CS99" i="7" s="1"/>
  <c r="CK99" i="7"/>
  <c r="CI99" i="7"/>
  <c r="EJ99" i="7" s="1"/>
  <c r="FH79" i="7"/>
  <c r="CK79" i="7"/>
  <c r="CH79" i="7"/>
  <c r="EI79" i="7" s="1"/>
  <c r="FH59" i="7"/>
  <c r="CJ59" i="7"/>
  <c r="CG59" i="7"/>
  <c r="EO59" i="7"/>
  <c r="FH39" i="7"/>
  <c r="CM39" i="7"/>
  <c r="CT39" i="7" s="1"/>
  <c r="CL39" i="7"/>
  <c r="CS39" i="7" s="1"/>
  <c r="CI39" i="7"/>
  <c r="EJ39" i="7" s="1"/>
  <c r="CK39" i="7"/>
  <c r="CG39" i="7"/>
  <c r="FH19" i="7"/>
  <c r="CM19" i="7"/>
  <c r="CT19" i="7" s="1"/>
  <c r="CI19" i="7"/>
  <c r="EJ19" i="7" s="1"/>
  <c r="EO19" i="7"/>
  <c r="EE79" i="7"/>
  <c r="CM59" i="7"/>
  <c r="CT59" i="7" s="1"/>
  <c r="FI99" i="7"/>
  <c r="ED99" i="7"/>
  <c r="FI79" i="7"/>
  <c r="CY79" i="7"/>
  <c r="ED59" i="7"/>
  <c r="FI59" i="7"/>
  <c r="CY59" i="7"/>
  <c r="FI39" i="7"/>
  <c r="ED39" i="7"/>
  <c r="CY39" i="7"/>
  <c r="FI19" i="7"/>
  <c r="ED19" i="7"/>
  <c r="CY19" i="7"/>
  <c r="BT98" i="7"/>
  <c r="BP98" i="7"/>
  <c r="DZ98" i="7" s="1"/>
  <c r="BS98" i="7"/>
  <c r="BQ98" i="7"/>
  <c r="EA98" i="7" s="1"/>
  <c r="BO78" i="7"/>
  <c r="BT78" i="7"/>
  <c r="BP78" i="7"/>
  <c r="DZ78" i="7" s="1"/>
  <c r="BT58" i="7"/>
  <c r="BO58" i="7"/>
  <c r="BR58" i="7"/>
  <c r="EF58" i="7"/>
  <c r="BR38" i="7"/>
  <c r="BT38" i="7"/>
  <c r="BQ38" i="7"/>
  <c r="EF38" i="7"/>
  <c r="BT18" i="7"/>
  <c r="BR18" i="7"/>
  <c r="BP18" i="7"/>
  <c r="DZ18" i="7" s="1"/>
  <c r="BQ18" i="7"/>
  <c r="EA18" i="7" s="1"/>
  <c r="EM98" i="7"/>
  <c r="FG98" i="7"/>
  <c r="BW98" i="7"/>
  <c r="BX98" i="7" s="1"/>
  <c r="CC98" i="7" s="1"/>
  <c r="DU98" i="7"/>
  <c r="CZ98" i="7"/>
  <c r="EM78" i="7"/>
  <c r="FG78" i="7"/>
  <c r="DR78" i="7"/>
  <c r="DS78" i="7"/>
  <c r="DU78" i="7"/>
  <c r="EM58" i="7"/>
  <c r="FG58" i="7"/>
  <c r="EM38" i="7"/>
  <c r="FG38" i="7"/>
  <c r="BW38" i="7"/>
  <c r="BX38" i="7" s="1"/>
  <c r="CC38" i="7" s="1"/>
  <c r="DS38" i="7"/>
  <c r="EM18" i="7"/>
  <c r="FG18" i="7"/>
  <c r="CZ18" i="7"/>
  <c r="DT18" i="7"/>
  <c r="DU18" i="7"/>
  <c r="FH98" i="7"/>
  <c r="CJ98" i="7"/>
  <c r="CH98" i="7"/>
  <c r="EI98" i="7" s="1"/>
  <c r="CK98" i="7"/>
  <c r="CI98" i="7"/>
  <c r="EJ98" i="7" s="1"/>
  <c r="EO98" i="7"/>
  <c r="FH78" i="7"/>
  <c r="CJ78" i="7"/>
  <c r="CG78" i="7"/>
  <c r="EH78" i="7" s="1"/>
  <c r="EO78" i="7"/>
  <c r="CH78" i="7"/>
  <c r="EI78" i="7" s="1"/>
  <c r="CM78" i="7"/>
  <c r="CT78" i="7" s="1"/>
  <c r="CK78" i="7"/>
  <c r="FH58" i="7"/>
  <c r="CK58" i="7"/>
  <c r="CG58" i="7"/>
  <c r="EO58" i="7"/>
  <c r="CJ58" i="7"/>
  <c r="FH38" i="7"/>
  <c r="CJ38" i="7"/>
  <c r="CM38" i="7"/>
  <c r="CT38" i="7" s="1"/>
  <c r="CL38" i="7"/>
  <c r="CS38" i="7" s="1"/>
  <c r="CI38" i="7"/>
  <c r="EJ38" i="7" s="1"/>
  <c r="CK38" i="7"/>
  <c r="FH18" i="7"/>
  <c r="EO18" i="7"/>
  <c r="BS95" i="7"/>
  <c r="BT99" i="7"/>
  <c r="BT74" i="7"/>
  <c r="BU99" i="7"/>
  <c r="BU50" i="7"/>
  <c r="EE78" i="7"/>
  <c r="BP59" i="7"/>
  <c r="CH39" i="7"/>
  <c r="EI39" i="7" s="1"/>
  <c r="CI90" i="7"/>
  <c r="EJ90" i="7" s="1"/>
  <c r="CI52" i="7"/>
  <c r="EJ52" i="7" s="1"/>
  <c r="CK59" i="7"/>
  <c r="CK15" i="7"/>
  <c r="CL59" i="7"/>
  <c r="CS59" i="7" s="1"/>
  <c r="CM58" i="7"/>
  <c r="CT58" i="7" s="1"/>
  <c r="BQ75" i="7"/>
  <c r="EA75" i="7" s="1"/>
  <c r="BP75" i="7"/>
  <c r="BO75" i="7"/>
  <c r="FH75" i="7"/>
  <c r="CG75" i="7"/>
  <c r="EH75" i="7" s="1"/>
  <c r="CK75" i="7"/>
  <c r="CL75" i="7"/>
  <c r="CS75" i="7" s="1"/>
  <c r="CH75" i="7"/>
  <c r="EI75" i="7" s="1"/>
  <c r="CM75" i="7"/>
  <c r="CT75" i="7" s="1"/>
  <c r="BU95" i="7"/>
  <c r="CG98" i="7"/>
  <c r="CG18" i="7"/>
  <c r="EH18" i="7" s="1"/>
  <c r="CK52" i="7"/>
  <c r="CM99" i="7"/>
  <c r="CT99" i="7" s="1"/>
  <c r="CM55" i="7"/>
  <c r="CT55" i="7" s="1"/>
  <c r="EO38" i="7"/>
  <c r="DK7" i="7"/>
  <c r="DL87" i="7"/>
  <c r="DL7" i="7"/>
  <c r="DM7" i="7"/>
  <c r="DT71" i="7"/>
  <c r="DN51" i="7"/>
  <c r="DT11" i="7"/>
  <c r="DU99" i="7"/>
  <c r="ED96" i="7"/>
  <c r="FI96" i="7"/>
  <c r="FG75" i="7"/>
  <c r="EM75" i="7"/>
  <c r="BW75" i="7"/>
  <c r="BX75" i="7" s="1"/>
  <c r="CC75" i="7" s="1"/>
  <c r="CZ75" i="7"/>
  <c r="ED95" i="7"/>
  <c r="FI95" i="7"/>
  <c r="ED35" i="7"/>
  <c r="FI35" i="7"/>
  <c r="CY35" i="7"/>
  <c r="BR94" i="7"/>
  <c r="BS94" i="7"/>
  <c r="BQ94" i="7"/>
  <c r="EA94" i="7" s="1"/>
  <c r="EF94" i="7"/>
  <c r="BR54" i="7"/>
  <c r="BP54" i="7"/>
  <c r="DZ54" i="7" s="1"/>
  <c r="BO54" i="7"/>
  <c r="BR14" i="7"/>
  <c r="BO14" i="7"/>
  <c r="BQ14" i="7"/>
  <c r="EA14" i="7" s="1"/>
  <c r="BS14" i="7"/>
  <c r="FG74" i="7"/>
  <c r="EM74" i="7"/>
  <c r="CZ74" i="7"/>
  <c r="EM14" i="7"/>
  <c r="FG14" i="7"/>
  <c r="DT14" i="7"/>
  <c r="DU14" i="7"/>
  <c r="FH74" i="7"/>
  <c r="CG74" i="7"/>
  <c r="CK74" i="7"/>
  <c r="EO74" i="7"/>
  <c r="CM74" i="7"/>
  <c r="CT74" i="7" s="1"/>
  <c r="CL74" i="7"/>
  <c r="CS74" i="7" s="1"/>
  <c r="FH34" i="7"/>
  <c r="CJ34" i="7"/>
  <c r="CK34" i="7"/>
  <c r="CG34" i="7"/>
  <c r="EH34" i="7" s="1"/>
  <c r="CH34" i="7"/>
  <c r="EI34" i="7" s="1"/>
  <c r="BU94" i="7"/>
  <c r="EF75" i="7"/>
  <c r="EF14" i="7"/>
  <c r="BQ59" i="7"/>
  <c r="EA59" i="7" s="1"/>
  <c r="CG50" i="7"/>
  <c r="CI34" i="7"/>
  <c r="EJ34" i="7" s="1"/>
  <c r="CJ95" i="7"/>
  <c r="CL98" i="7"/>
  <c r="CS98" i="7" s="1"/>
  <c r="CM98" i="7"/>
  <c r="CT98" i="7" s="1"/>
  <c r="EO99" i="7"/>
  <c r="DK86" i="7"/>
  <c r="DL86" i="7"/>
  <c r="DL26" i="7"/>
  <c r="DM86" i="7"/>
  <c r="DT30" i="7"/>
  <c r="DT10" i="7"/>
  <c r="DU89" i="7"/>
  <c r="DO69" i="7"/>
  <c r="DO49" i="7"/>
  <c r="DO29" i="7"/>
  <c r="ED56" i="7"/>
  <c r="FI56" i="7"/>
  <c r="BQ35" i="7"/>
  <c r="EA35" i="7" s="1"/>
  <c r="BO35" i="7"/>
  <c r="DY35" i="7" s="1"/>
  <c r="BR35" i="7"/>
  <c r="BS35" i="7"/>
  <c r="EM35" i="7"/>
  <c r="FG35" i="7"/>
  <c r="BW35" i="7"/>
  <c r="BX35" i="7" s="1"/>
  <c r="CC35" i="7" s="1"/>
  <c r="FH55" i="7"/>
  <c r="CJ55" i="7"/>
  <c r="CK55" i="7"/>
  <c r="EO55" i="7"/>
  <c r="CG55" i="7"/>
  <c r="CH55" i="7"/>
  <c r="EI55" i="7" s="1"/>
  <c r="FI75" i="7"/>
  <c r="ED75" i="7"/>
  <c r="CY75" i="7"/>
  <c r="ED55" i="7"/>
  <c r="FI55" i="7"/>
  <c r="FI15" i="7"/>
  <c r="ED15" i="7"/>
  <c r="CY15" i="7"/>
  <c r="BR74" i="7"/>
  <c r="BQ74" i="7"/>
  <c r="EA74" i="7" s="1"/>
  <c r="BO74" i="7"/>
  <c r="DY74" i="7" s="1"/>
  <c r="BP74" i="7"/>
  <c r="DZ74" i="7" s="1"/>
  <c r="BR34" i="7"/>
  <c r="EF34" i="7"/>
  <c r="BT34" i="7"/>
  <c r="FG94" i="7"/>
  <c r="EM94" i="7"/>
  <c r="DU94" i="7"/>
  <c r="CZ94" i="7"/>
  <c r="FG54" i="7"/>
  <c r="FG34" i="7"/>
  <c r="EM34" i="7"/>
  <c r="DS34" i="7"/>
  <c r="FH94" i="7"/>
  <c r="EO94" i="7"/>
  <c r="CK94" i="7"/>
  <c r="CI94" i="7"/>
  <c r="EJ94" i="7" s="1"/>
  <c r="FH54" i="7"/>
  <c r="CG54" i="7"/>
  <c r="CK54" i="7"/>
  <c r="CL54" i="7"/>
  <c r="CS54" i="7" s="1"/>
  <c r="EO54" i="7"/>
  <c r="CJ54" i="7"/>
  <c r="CH54" i="7"/>
  <c r="EI54" i="7" s="1"/>
  <c r="FH14" i="7"/>
  <c r="CJ14" i="7"/>
  <c r="CH14" i="7"/>
  <c r="EI14" i="7" s="1"/>
  <c r="EO14" i="7"/>
  <c r="CI14" i="7"/>
  <c r="EJ14" i="7" s="1"/>
  <c r="CM14" i="7"/>
  <c r="CT14" i="7" s="1"/>
  <c r="CK14" i="7"/>
  <c r="CG14" i="7"/>
  <c r="ED94" i="7"/>
  <c r="FI94" i="7"/>
  <c r="ED74" i="7"/>
  <c r="FI74" i="7"/>
  <c r="CY74" i="7"/>
  <c r="ED54" i="7"/>
  <c r="FI54" i="7"/>
  <c r="CY54" i="7"/>
  <c r="ED34" i="7"/>
  <c r="FI34" i="7"/>
  <c r="CY34" i="7"/>
  <c r="ED14" i="7"/>
  <c r="FI14" i="7"/>
  <c r="CY14" i="7"/>
  <c r="BP93" i="7"/>
  <c r="DZ93" i="7" s="1"/>
  <c r="BQ93" i="7"/>
  <c r="EA93" i="7" s="1"/>
  <c r="BO73" i="7"/>
  <c r="BS73" i="7"/>
  <c r="BP73" i="7"/>
  <c r="DZ73" i="7" s="1"/>
  <c r="BQ53" i="7"/>
  <c r="EA53" i="7" s="1"/>
  <c r="BO53" i="7"/>
  <c r="BP33" i="7"/>
  <c r="DZ33" i="7" s="1"/>
  <c r="EF33" i="7"/>
  <c r="BR33" i="7"/>
  <c r="BO33" i="7"/>
  <c r="BQ13" i="7"/>
  <c r="EA13" i="7" s="1"/>
  <c r="EF13" i="7"/>
  <c r="BR13" i="7"/>
  <c r="BT13" i="7"/>
  <c r="FG93" i="7"/>
  <c r="EM93" i="7"/>
  <c r="DQ93" i="7"/>
  <c r="DR93" i="7"/>
  <c r="CZ93" i="7"/>
  <c r="FG73" i="7"/>
  <c r="EM73" i="7"/>
  <c r="CZ73" i="7"/>
  <c r="DR73" i="7"/>
  <c r="FG53" i="7"/>
  <c r="DS53" i="7"/>
  <c r="DT53" i="7"/>
  <c r="FG33" i="7"/>
  <c r="EM33" i="7"/>
  <c r="DS33" i="7"/>
  <c r="CZ33" i="7"/>
  <c r="FG13" i="7"/>
  <c r="EM13" i="7"/>
  <c r="DS13" i="7"/>
  <c r="DQ13" i="7"/>
  <c r="FH93" i="7"/>
  <c r="EO93" i="7"/>
  <c r="CG93" i="7"/>
  <c r="CK93" i="7"/>
  <c r="CH93" i="7"/>
  <c r="CL93" i="7"/>
  <c r="CS93" i="7" s="1"/>
  <c r="CI93" i="7"/>
  <c r="EJ93" i="7" s="1"/>
  <c r="FH73" i="7"/>
  <c r="CG73" i="7"/>
  <c r="EO73" i="7"/>
  <c r="CM73" i="7"/>
  <c r="CT73" i="7" s="1"/>
  <c r="CL73" i="7"/>
  <c r="CS73" i="7" s="1"/>
  <c r="CI73" i="7"/>
  <c r="EJ73" i="7" s="1"/>
  <c r="FH53" i="7"/>
  <c r="CG53" i="7"/>
  <c r="EH53" i="7" s="1"/>
  <c r="CK53" i="7"/>
  <c r="EO53" i="7"/>
  <c r="CJ53" i="7"/>
  <c r="CH53" i="7"/>
  <c r="EI53" i="7" s="1"/>
  <c r="CM53" i="7"/>
  <c r="CT53" i="7" s="1"/>
  <c r="FH33" i="7"/>
  <c r="CG33" i="7"/>
  <c r="CK33" i="7"/>
  <c r="EO33" i="7"/>
  <c r="CL33" i="7"/>
  <c r="CS33" i="7" s="1"/>
  <c r="FH13" i="7"/>
  <c r="CG13" i="7"/>
  <c r="EH13" i="7" s="1"/>
  <c r="CJ13" i="7"/>
  <c r="CK13" i="7"/>
  <c r="EO13" i="7"/>
  <c r="CI13" i="7"/>
  <c r="EJ13" i="7" s="1"/>
  <c r="CM13" i="7"/>
  <c r="CT13" i="7" s="1"/>
  <c r="CL13" i="7"/>
  <c r="CS13" i="7" s="1"/>
  <c r="BT19" i="7"/>
  <c r="BU93" i="7"/>
  <c r="EF74" i="7"/>
  <c r="BO31" i="7"/>
  <c r="BQ58" i="7"/>
  <c r="EA58" i="7" s="1"/>
  <c r="BR75" i="7"/>
  <c r="CG94" i="7"/>
  <c r="EH94" i="7" s="1"/>
  <c r="CI33" i="7"/>
  <c r="EJ33" i="7" s="1"/>
  <c r="CJ94" i="7"/>
  <c r="CL53" i="7"/>
  <c r="CS53" i="7" s="1"/>
  <c r="CM52" i="7"/>
  <c r="CT52" i="7" s="1"/>
  <c r="EO35" i="7"/>
  <c r="CZ53" i="7"/>
  <c r="DR84" i="7"/>
  <c r="DS69" i="7"/>
  <c r="DQ18" i="7"/>
  <c r="FH95" i="7"/>
  <c r="CG95" i="7"/>
  <c r="EH95" i="7" s="1"/>
  <c r="CK95" i="7"/>
  <c r="EO95" i="7"/>
  <c r="CI95" i="7"/>
  <c r="EJ95" i="7" s="1"/>
  <c r="BP12" i="7"/>
  <c r="DZ12" i="7" s="1"/>
  <c r="EF12" i="7"/>
  <c r="BQ12" i="7"/>
  <c r="EA12" i="7" s="1"/>
  <c r="BR12" i="7"/>
  <c r="FH12" i="7"/>
  <c r="CH12" i="7"/>
  <c r="EI12" i="7" s="1"/>
  <c r="CK12" i="7"/>
  <c r="CL12" i="7"/>
  <c r="CS12" i="7" s="1"/>
  <c r="CI12" i="7"/>
  <c r="EJ12" i="7" s="1"/>
  <c r="CM12" i="7"/>
  <c r="CT12" i="7" s="1"/>
  <c r="BR31" i="7"/>
  <c r="CG12" i="7"/>
  <c r="EH12" i="7" s="1"/>
  <c r="CI32" i="7"/>
  <c r="EJ32" i="7" s="1"/>
  <c r="CJ93" i="7"/>
  <c r="CK90" i="7"/>
  <c r="CL95" i="7"/>
  <c r="CS95" i="7" s="1"/>
  <c r="EO34" i="7"/>
  <c r="CY20" i="7"/>
  <c r="DK84" i="7"/>
  <c r="DQ64" i="7"/>
  <c r="DK64" i="7"/>
  <c r="DQ44" i="7"/>
  <c r="DK44" i="7"/>
  <c r="DQ24" i="7"/>
  <c r="DK24" i="7"/>
  <c r="DK4" i="7"/>
  <c r="DR64" i="7"/>
  <c r="DL64" i="7"/>
  <c r="DR44" i="7"/>
  <c r="DL44" i="7"/>
  <c r="DR24" i="7"/>
  <c r="DL24" i="7"/>
  <c r="DL4" i="7"/>
  <c r="DR4" i="7"/>
  <c r="DM84" i="7"/>
  <c r="DM64" i="7"/>
  <c r="DS64" i="7"/>
  <c r="DM44" i="7"/>
  <c r="DS44" i="7"/>
  <c r="DS24" i="7"/>
  <c r="DM24" i="7"/>
  <c r="DT88" i="7"/>
  <c r="DN88" i="7"/>
  <c r="DT68" i="7"/>
  <c r="DN68" i="7"/>
  <c r="DT48" i="7"/>
  <c r="DN48" i="7"/>
  <c r="DT28" i="7"/>
  <c r="DN28" i="7"/>
  <c r="DT8" i="7"/>
  <c r="DN8" i="7"/>
  <c r="DO87" i="7"/>
  <c r="DU87" i="7"/>
  <c r="DU67" i="7"/>
  <c r="DU47" i="7"/>
  <c r="DO47" i="7"/>
  <c r="DO27" i="7"/>
  <c r="DU7" i="7"/>
  <c r="DO7" i="7"/>
  <c r="DQ84" i="7"/>
  <c r="DQ39" i="7"/>
  <c r="ED79" i="7"/>
  <c r="FG55" i="7"/>
  <c r="EM55" i="7"/>
  <c r="FI33" i="7"/>
  <c r="BP51" i="7"/>
  <c r="DZ51" i="7" s="1"/>
  <c r="BO51" i="7"/>
  <c r="FH11" i="7"/>
  <c r="CM11" i="7"/>
  <c r="CT11" i="7" s="1"/>
  <c r="CI11" i="7"/>
  <c r="EJ11" i="7" s="1"/>
  <c r="CG11" i="7"/>
  <c r="CK11" i="7"/>
  <c r="EO11" i="7"/>
  <c r="CL11" i="7"/>
  <c r="CS11" i="7" s="1"/>
  <c r="BO98" i="7"/>
  <c r="DY98" i="7" s="1"/>
  <c r="CG91" i="7"/>
  <c r="EH91" i="7" s="1"/>
  <c r="CH19" i="7"/>
  <c r="EI19" i="7" s="1"/>
  <c r="CI79" i="7"/>
  <c r="EJ79" i="7" s="1"/>
  <c r="CJ91" i="7"/>
  <c r="CL94" i="7"/>
  <c r="CS94" i="7" s="1"/>
  <c r="CM95" i="7"/>
  <c r="CT95" i="7" s="1"/>
  <c r="DQ83" i="7"/>
  <c r="DK83" i="7"/>
  <c r="DK63" i="7"/>
  <c r="DQ63" i="7"/>
  <c r="DQ43" i="7"/>
  <c r="DK43" i="7"/>
  <c r="DK23" i="7"/>
  <c r="DQ23" i="7"/>
  <c r="DK3" i="7"/>
  <c r="DR83" i="7"/>
  <c r="DL83" i="7"/>
  <c r="DL63" i="7"/>
  <c r="DR63" i="7"/>
  <c r="DL43" i="7"/>
  <c r="DR43" i="7"/>
  <c r="DL23" i="7"/>
  <c r="DR23" i="7"/>
  <c r="DL3" i="7"/>
  <c r="DR3" i="7"/>
  <c r="DM83" i="7"/>
  <c r="DS83" i="7"/>
  <c r="DM63" i="7"/>
  <c r="DM43" i="7"/>
  <c r="DS43" i="7"/>
  <c r="DM23" i="7"/>
  <c r="DS23" i="7"/>
  <c r="DS3" i="7"/>
  <c r="DM3" i="7"/>
  <c r="DT87" i="7"/>
  <c r="DN67" i="7"/>
  <c r="DT67" i="7"/>
  <c r="DN47" i="7"/>
  <c r="DT47" i="7"/>
  <c r="DN27" i="7"/>
  <c r="DT27" i="7"/>
  <c r="DT7" i="7"/>
  <c r="DN7" i="7"/>
  <c r="DO86" i="7"/>
  <c r="DO66" i="7"/>
  <c r="DO46" i="7"/>
  <c r="DU6" i="7"/>
  <c r="DO6" i="7"/>
  <c r="FI16" i="7"/>
  <c r="ED16" i="7"/>
  <c r="CY16" i="7"/>
  <c r="FH15" i="7"/>
  <c r="CJ15" i="7"/>
  <c r="CG15" i="7"/>
  <c r="EH15" i="7" s="1"/>
  <c r="EO15" i="7"/>
  <c r="CI15" i="7"/>
  <c r="EJ15" i="7" s="1"/>
  <c r="EF32" i="7"/>
  <c r="BQ32" i="7"/>
  <c r="EA32" i="7" s="1"/>
  <c r="BR32" i="7"/>
  <c r="BP71" i="7"/>
  <c r="DZ71" i="7" s="1"/>
  <c r="BT71" i="7"/>
  <c r="BQ71" i="7"/>
  <c r="EA71" i="7" s="1"/>
  <c r="BP70" i="7"/>
  <c r="DZ70" i="7" s="1"/>
  <c r="BQ70" i="7"/>
  <c r="EA70" i="7" s="1"/>
  <c r="BR70" i="7"/>
  <c r="BU70" i="7"/>
  <c r="FH10" i="7"/>
  <c r="CL10" i="7"/>
  <c r="CS10" i="7" s="1"/>
  <c r="CJ10" i="7"/>
  <c r="CG10" i="7"/>
  <c r="CI10" i="7"/>
  <c r="EJ10" i="7" s="1"/>
  <c r="CM10" i="7"/>
  <c r="CT10" i="7" s="1"/>
  <c r="EF70" i="7"/>
  <c r="EF39" i="7"/>
  <c r="BP38" i="7"/>
  <c r="BQ54" i="7"/>
  <c r="EA54" i="7" s="1"/>
  <c r="BR71" i="7"/>
  <c r="CG89" i="7"/>
  <c r="EH89" i="7" s="1"/>
  <c r="CH18" i="7"/>
  <c r="EI18" i="7" s="1"/>
  <c r="CI78" i="7"/>
  <c r="EJ78" i="7" s="1"/>
  <c r="CJ89" i="7"/>
  <c r="CM94" i="7"/>
  <c r="CT94" i="7" s="1"/>
  <c r="CM34" i="7"/>
  <c r="CT34" i="7" s="1"/>
  <c r="DM82" i="7"/>
  <c r="ED33" i="7"/>
  <c r="FI76" i="7"/>
  <c r="ED76" i="7"/>
  <c r="CY76" i="7"/>
  <c r="FI36" i="7"/>
  <c r="ED36" i="7"/>
  <c r="CY36" i="7"/>
  <c r="BQ95" i="7"/>
  <c r="EA95" i="7" s="1"/>
  <c r="BP95" i="7"/>
  <c r="DZ95" i="7" s="1"/>
  <c r="BQ55" i="7"/>
  <c r="EE55" i="7"/>
  <c r="BT55" i="7"/>
  <c r="BQ15" i="7"/>
  <c r="EA15" i="7" s="1"/>
  <c r="BO15" i="7"/>
  <c r="FG95" i="7"/>
  <c r="EM95" i="7"/>
  <c r="DQ95" i="7"/>
  <c r="DS95" i="7"/>
  <c r="DT95" i="7"/>
  <c r="EM15" i="7"/>
  <c r="FG15" i="7"/>
  <c r="FH35" i="7"/>
  <c r="CJ35" i="7"/>
  <c r="CH35" i="7"/>
  <c r="EI35" i="7" s="1"/>
  <c r="CL35" i="7"/>
  <c r="CS35" i="7" s="1"/>
  <c r="CI35" i="7"/>
  <c r="EJ35" i="7" s="1"/>
  <c r="CK35" i="7"/>
  <c r="CG35" i="7"/>
  <c r="EH35" i="7" s="1"/>
  <c r="ED93" i="7"/>
  <c r="FI93" i="7"/>
  <c r="CY93" i="7"/>
  <c r="FI73" i="7"/>
  <c r="ED73" i="7"/>
  <c r="FI53" i="7"/>
  <c r="ED53" i="7"/>
  <c r="FI13" i="7"/>
  <c r="ED13" i="7"/>
  <c r="CY13" i="7"/>
  <c r="BP92" i="7"/>
  <c r="DZ92" i="7" s="1"/>
  <c r="EF92" i="7"/>
  <c r="BQ92" i="7"/>
  <c r="EA92" i="7" s="1"/>
  <c r="BT92" i="7"/>
  <c r="BR92" i="7"/>
  <c r="BP72" i="7"/>
  <c r="DZ72" i="7" s="1"/>
  <c r="EF72" i="7"/>
  <c r="BQ72" i="7"/>
  <c r="EA72" i="7" s="1"/>
  <c r="EF52" i="7"/>
  <c r="BS52" i="7"/>
  <c r="BO52" i="7"/>
  <c r="DY52" i="7" s="1"/>
  <c r="BP52" i="7"/>
  <c r="DZ52" i="7" s="1"/>
  <c r="FG92" i="7"/>
  <c r="EM92" i="7"/>
  <c r="CZ92" i="7"/>
  <c r="EM72" i="7"/>
  <c r="FG72" i="7"/>
  <c r="CZ72" i="7"/>
  <c r="EM52" i="7"/>
  <c r="FG52" i="7"/>
  <c r="DT52" i="7"/>
  <c r="DU52" i="7"/>
  <c r="FG32" i="7"/>
  <c r="EM32" i="7"/>
  <c r="DT32" i="7"/>
  <c r="CZ32" i="7"/>
  <c r="FG12" i="7"/>
  <c r="EM12" i="7"/>
  <c r="DU12" i="7"/>
  <c r="DT12" i="7"/>
  <c r="FH92" i="7"/>
  <c r="CH92" i="7"/>
  <c r="CK92" i="7"/>
  <c r="CL92" i="7"/>
  <c r="CS92" i="7" s="1"/>
  <c r="CM92" i="7"/>
  <c r="CT92" i="7" s="1"/>
  <c r="CI92" i="7"/>
  <c r="EJ92" i="7" s="1"/>
  <c r="EO92" i="7"/>
  <c r="CJ92" i="7"/>
  <c r="FH72" i="7"/>
  <c r="EO72" i="7"/>
  <c r="CH72" i="7"/>
  <c r="EI72" i="7" s="1"/>
  <c r="CK72" i="7"/>
  <c r="CL72" i="7"/>
  <c r="CS72" i="7" s="1"/>
  <c r="CM72" i="7"/>
  <c r="CT72" i="7" s="1"/>
  <c r="CI72" i="7"/>
  <c r="EJ72" i="7" s="1"/>
  <c r="FH52" i="7"/>
  <c r="CH52" i="7"/>
  <c r="EI52" i="7" s="1"/>
  <c r="CG52" i="7"/>
  <c r="EO52" i="7"/>
  <c r="CJ52" i="7"/>
  <c r="FH32" i="7"/>
  <c r="CH32" i="7"/>
  <c r="EI32" i="7" s="1"/>
  <c r="CG32" i="7"/>
  <c r="CK32" i="7"/>
  <c r="FI92" i="7"/>
  <c r="ED92" i="7"/>
  <c r="FI72" i="7"/>
  <c r="ED72" i="7"/>
  <c r="FI52" i="7"/>
  <c r="ED52" i="7"/>
  <c r="FI32" i="7"/>
  <c r="EX32" i="7"/>
  <c r="ED32" i="7"/>
  <c r="FI12" i="7"/>
  <c r="ED12" i="7"/>
  <c r="CY12" i="7"/>
  <c r="BQ91" i="7"/>
  <c r="BR91" i="7"/>
  <c r="BU91" i="7"/>
  <c r="BQ11" i="7"/>
  <c r="EA11" i="7" s="1"/>
  <c r="BR11" i="7"/>
  <c r="FG91" i="7"/>
  <c r="DU91" i="7"/>
  <c r="EM91" i="7"/>
  <c r="CZ91" i="7"/>
  <c r="EM71" i="7"/>
  <c r="DU71" i="7"/>
  <c r="CZ71" i="7"/>
  <c r="FG71" i="7"/>
  <c r="EM51" i="7"/>
  <c r="FG51" i="7"/>
  <c r="CZ51" i="7"/>
  <c r="BW51" i="7"/>
  <c r="BX51" i="7" s="1"/>
  <c r="CC51" i="7" s="1"/>
  <c r="FG31" i="7"/>
  <c r="EM31" i="7"/>
  <c r="DR31" i="7"/>
  <c r="DU31" i="7"/>
  <c r="CZ31" i="7"/>
  <c r="FG11" i="7"/>
  <c r="EM11" i="7"/>
  <c r="DU11" i="7"/>
  <c r="FH91" i="7"/>
  <c r="CM91" i="7"/>
  <c r="CT91" i="7" s="1"/>
  <c r="CI91" i="7"/>
  <c r="EJ91" i="7" s="1"/>
  <c r="CK91" i="7"/>
  <c r="EO91" i="7"/>
  <c r="CL91" i="7"/>
  <c r="CS91" i="7" s="1"/>
  <c r="FH71" i="7"/>
  <c r="CM71" i="7"/>
  <c r="CT71" i="7" s="1"/>
  <c r="CI71" i="7"/>
  <c r="EJ71" i="7" s="1"/>
  <c r="CK71" i="7"/>
  <c r="EO71" i="7"/>
  <c r="CH71" i="7"/>
  <c r="EI71" i="7" s="1"/>
  <c r="CL71" i="7"/>
  <c r="CS71" i="7" s="1"/>
  <c r="EO51" i="7"/>
  <c r="CM51" i="7"/>
  <c r="CT51" i="7" s="1"/>
  <c r="CI51" i="7"/>
  <c r="FH51" i="7"/>
  <c r="CK51" i="7"/>
  <c r="CL51" i="7"/>
  <c r="CS51" i="7" s="1"/>
  <c r="CJ51" i="7"/>
  <c r="CG51" i="7"/>
  <c r="CH51" i="7"/>
  <c r="EI51" i="7" s="1"/>
  <c r="FH31" i="7"/>
  <c r="CM31" i="7"/>
  <c r="CT31" i="7" s="1"/>
  <c r="CI31" i="7"/>
  <c r="EJ31" i="7" s="1"/>
  <c r="CG31" i="7"/>
  <c r="EH31" i="7" s="1"/>
  <c r="CK31" i="7"/>
  <c r="CJ31" i="7"/>
  <c r="EO31" i="7"/>
  <c r="BS15" i="7"/>
  <c r="EF71" i="7"/>
  <c r="ED91" i="7"/>
  <c r="FI91" i="7"/>
  <c r="FI71" i="7"/>
  <c r="ED71" i="7"/>
  <c r="ED51" i="7"/>
  <c r="FI51" i="7"/>
  <c r="CY51" i="7"/>
  <c r="ED31" i="7"/>
  <c r="FI31" i="7"/>
  <c r="EX31" i="7"/>
  <c r="FI11" i="7"/>
  <c r="ED11" i="7"/>
  <c r="CY11" i="7"/>
  <c r="BQ90" i="7"/>
  <c r="EA90" i="7" s="1"/>
  <c r="BR90" i="7"/>
  <c r="BP50" i="7"/>
  <c r="BO50" i="7"/>
  <c r="DY50" i="7" s="1"/>
  <c r="BT50" i="7"/>
  <c r="BQ50" i="7"/>
  <c r="EA50" i="7" s="1"/>
  <c r="BP30" i="7"/>
  <c r="DZ30" i="7" s="1"/>
  <c r="BO30" i="7"/>
  <c r="BS10" i="7"/>
  <c r="BR10" i="7"/>
  <c r="FG90" i="7"/>
  <c r="EM90" i="7"/>
  <c r="CZ90" i="7"/>
  <c r="DS90" i="7"/>
  <c r="FG70" i="7"/>
  <c r="EM70" i="7"/>
  <c r="BW70" i="7"/>
  <c r="BX70" i="7" s="1"/>
  <c r="CC70" i="7" s="1"/>
  <c r="CZ70" i="7"/>
  <c r="FG50" i="7"/>
  <c r="EM50" i="7"/>
  <c r="CZ50" i="7"/>
  <c r="FG30" i="7"/>
  <c r="EM30" i="7"/>
  <c r="CZ30" i="7"/>
  <c r="FG10" i="7"/>
  <c r="EM10" i="7"/>
  <c r="FH90" i="7"/>
  <c r="CL90" i="7"/>
  <c r="CS90" i="7" s="1"/>
  <c r="CJ90" i="7"/>
  <c r="EO90" i="7"/>
  <c r="CG90" i="7"/>
  <c r="FH70" i="7"/>
  <c r="CL70" i="7"/>
  <c r="CS70" i="7" s="1"/>
  <c r="CJ70" i="7"/>
  <c r="CK70" i="7"/>
  <c r="EO70" i="7"/>
  <c r="CM70" i="7"/>
  <c r="CT70" i="7" s="1"/>
  <c r="CI70" i="7"/>
  <c r="EJ70" i="7" s="1"/>
  <c r="FH50" i="7"/>
  <c r="CL50" i="7"/>
  <c r="CS50" i="7" s="1"/>
  <c r="CJ50" i="7"/>
  <c r="CK50" i="7"/>
  <c r="CH50" i="7"/>
  <c r="EI50" i="7" s="1"/>
  <c r="EO50" i="7"/>
  <c r="FH30" i="7"/>
  <c r="EO30" i="7"/>
  <c r="CL30" i="7"/>
  <c r="CS30" i="7" s="1"/>
  <c r="CJ30" i="7"/>
  <c r="CK30" i="7"/>
  <c r="CG30" i="7"/>
  <c r="CH30" i="7"/>
  <c r="EI30" i="7" s="1"/>
  <c r="BT15" i="7"/>
  <c r="BU15" i="7"/>
  <c r="ED90" i="7"/>
  <c r="FI90" i="7"/>
  <c r="CY90" i="7"/>
  <c r="FI70" i="7"/>
  <c r="ED70" i="7"/>
  <c r="ED50" i="7"/>
  <c r="FI50" i="7"/>
  <c r="CY50" i="7"/>
  <c r="ED30" i="7"/>
  <c r="FI30" i="7"/>
  <c r="FI10" i="7"/>
  <c r="ED10" i="7"/>
  <c r="EF89" i="7"/>
  <c r="BR89" i="7"/>
  <c r="EE89" i="7"/>
  <c r="EF69" i="7"/>
  <c r="BQ69" i="7"/>
  <c r="EA69" i="7" s="1"/>
  <c r="EE69" i="7"/>
  <c r="BP69" i="7"/>
  <c r="DZ69" i="7" s="1"/>
  <c r="EF49" i="7"/>
  <c r="EE49" i="7"/>
  <c r="BO49" i="7"/>
  <c r="BP49" i="7"/>
  <c r="DZ49" i="7" s="1"/>
  <c r="BU49" i="7"/>
  <c r="BP29" i="7"/>
  <c r="DZ29" i="7" s="1"/>
  <c r="EF29" i="7"/>
  <c r="EE29" i="7"/>
  <c r="BT29" i="7"/>
  <c r="BO29" i="7"/>
  <c r="EF9" i="7"/>
  <c r="BP9" i="7"/>
  <c r="DZ9" i="7" s="1"/>
  <c r="EE9" i="7"/>
  <c r="BR9" i="7"/>
  <c r="FG89" i="7"/>
  <c r="EM89" i="7"/>
  <c r="DQ89" i="7"/>
  <c r="CZ89" i="7"/>
  <c r="FG69" i="7"/>
  <c r="EM69" i="7"/>
  <c r="DU69" i="7"/>
  <c r="CZ69" i="7"/>
  <c r="DT69" i="7"/>
  <c r="EM49" i="7"/>
  <c r="FG49" i="7"/>
  <c r="DR49" i="7"/>
  <c r="DS49" i="7"/>
  <c r="FG29" i="7"/>
  <c r="EM29" i="7"/>
  <c r="CZ29" i="7"/>
  <c r="EM9" i="7"/>
  <c r="FG9" i="7"/>
  <c r="DQ9" i="7"/>
  <c r="DR9" i="7"/>
  <c r="DS9" i="7"/>
  <c r="DT9" i="7"/>
  <c r="FH89" i="7"/>
  <c r="CK89" i="7"/>
  <c r="EO89" i="7"/>
  <c r="CH89" i="7"/>
  <c r="EI89" i="7" s="1"/>
  <c r="FH69" i="7"/>
  <c r="CK69" i="7"/>
  <c r="EO69" i="7"/>
  <c r="CL69" i="7"/>
  <c r="CS69" i="7" s="1"/>
  <c r="CI69" i="7"/>
  <c r="CK49" i="7"/>
  <c r="FH49" i="7"/>
  <c r="EO49" i="7"/>
  <c r="CL49" i="7"/>
  <c r="CS49" i="7" s="1"/>
  <c r="CM49" i="7"/>
  <c r="CT49" i="7" s="1"/>
  <c r="CI49" i="7"/>
  <c r="EJ49" i="7" s="1"/>
  <c r="CH49" i="7"/>
  <c r="FH29" i="7"/>
  <c r="CK29" i="7"/>
  <c r="CH29" i="7"/>
  <c r="EI29" i="7" s="1"/>
  <c r="EO29" i="7"/>
  <c r="CL29" i="7"/>
  <c r="CS29" i="7" s="1"/>
  <c r="CG29" i="7"/>
  <c r="EH29" i="7" s="1"/>
  <c r="CJ29" i="7"/>
  <c r="FH9" i="7"/>
  <c r="EO9" i="7"/>
  <c r="CK9" i="7"/>
  <c r="CI9" i="7"/>
  <c r="EJ9" i="7" s="1"/>
  <c r="CM9" i="7"/>
  <c r="CT9" i="7" s="1"/>
  <c r="CL9" i="7"/>
  <c r="CS9" i="7" s="1"/>
  <c r="BS12" i="7"/>
  <c r="BT39" i="7"/>
  <c r="BT14" i="7"/>
  <c r="BU39" i="7"/>
  <c r="BU14" i="7"/>
  <c r="EE39" i="7"/>
  <c r="EF99" i="7"/>
  <c r="BO95" i="7"/>
  <c r="DY95" i="7" s="1"/>
  <c r="BQ89" i="7"/>
  <c r="BQ52" i="7"/>
  <c r="EA52" i="7" s="1"/>
  <c r="BR69" i="7"/>
  <c r="CH99" i="7"/>
  <c r="EI99" i="7" s="1"/>
  <c r="CJ79" i="7"/>
  <c r="CM93" i="7"/>
  <c r="CT93" i="7" s="1"/>
  <c r="CM33" i="7"/>
  <c r="CT33" i="7" s="1"/>
  <c r="EO79" i="7"/>
  <c r="CZ99" i="7"/>
  <c r="CZ39" i="7"/>
  <c r="DQ101" i="7"/>
  <c r="DQ81" i="7"/>
  <c r="DK81" i="7"/>
  <c r="DQ61" i="7"/>
  <c r="DK41" i="7"/>
  <c r="DQ41" i="7"/>
  <c r="DK21" i="7"/>
  <c r="DQ21" i="7"/>
  <c r="DL101" i="7"/>
  <c r="DR101" i="7"/>
  <c r="DL81" i="7"/>
  <c r="DR81" i="7"/>
  <c r="DR61" i="7"/>
  <c r="DL61" i="7"/>
  <c r="DL41" i="7"/>
  <c r="DR41" i="7"/>
  <c r="DL21" i="7"/>
  <c r="DR21" i="7"/>
  <c r="DS101" i="7"/>
  <c r="DM81" i="7"/>
  <c r="DS81" i="7"/>
  <c r="DS61" i="7"/>
  <c r="DM41" i="7"/>
  <c r="DS41" i="7"/>
  <c r="DS21" i="7"/>
  <c r="DM21" i="7"/>
  <c r="DN85" i="7"/>
  <c r="DT85" i="7"/>
  <c r="DN65" i="7"/>
  <c r="DT65" i="7"/>
  <c r="DN45" i="7"/>
  <c r="DT45" i="7"/>
  <c r="DN25" i="7"/>
  <c r="DT25" i="7"/>
  <c r="DT5" i="7"/>
  <c r="DN5" i="7"/>
  <c r="DO84" i="7"/>
  <c r="DU84" i="7"/>
  <c r="DU64" i="7"/>
  <c r="DO64" i="7"/>
  <c r="DO44" i="7"/>
  <c r="DU44" i="7"/>
  <c r="DO24" i="7"/>
  <c r="DU24" i="7"/>
  <c r="DS50" i="7"/>
  <c r="FI86" i="7"/>
  <c r="ED86" i="7"/>
  <c r="CY86" i="7"/>
  <c r="FI66" i="7"/>
  <c r="ED66" i="7"/>
  <c r="FI46" i="7"/>
  <c r="ED46" i="7"/>
  <c r="FI26" i="7"/>
  <c r="ED26" i="7"/>
  <c r="CY26" i="7"/>
  <c r="FI6" i="7"/>
  <c r="ED6" i="7"/>
  <c r="BQ45" i="7"/>
  <c r="EA45" i="7" s="1"/>
  <c r="BO45" i="7"/>
  <c r="FG85" i="7"/>
  <c r="EM85" i="7"/>
  <c r="FG65" i="7"/>
  <c r="EM65" i="7"/>
  <c r="FD65" i="7"/>
  <c r="DQ65" i="7"/>
  <c r="DR65" i="7"/>
  <c r="CZ65" i="7"/>
  <c r="DS65" i="7"/>
  <c r="FG45" i="7"/>
  <c r="EM45" i="7"/>
  <c r="CZ45" i="7"/>
  <c r="FG25" i="7"/>
  <c r="DS25" i="7"/>
  <c r="FG5" i="7"/>
  <c r="EM5" i="7"/>
  <c r="FH85" i="7"/>
  <c r="CJ85" i="7"/>
  <c r="FH65" i="7"/>
  <c r="CL65" i="7"/>
  <c r="CS65" i="7" s="1"/>
  <c r="CM65" i="7"/>
  <c r="CT65" i="7" s="1"/>
  <c r="CI65" i="7"/>
  <c r="EJ65" i="7" s="1"/>
  <c r="FH45" i="7"/>
  <c r="EO45" i="7"/>
  <c r="CL45" i="7"/>
  <c r="CS45" i="7" s="1"/>
  <c r="CM45" i="7"/>
  <c r="CT45" i="7" s="1"/>
  <c r="FH25" i="7"/>
  <c r="CH25" i="7"/>
  <c r="EI25" i="7" s="1"/>
  <c r="EO25" i="7"/>
  <c r="CL25" i="7"/>
  <c r="CS25" i="7" s="1"/>
  <c r="CM25" i="7"/>
  <c r="CT25" i="7" s="1"/>
  <c r="FH5" i="7"/>
  <c r="CH5" i="7"/>
  <c r="EI5" i="7" s="1"/>
  <c r="EO5" i="7"/>
  <c r="BR45" i="7"/>
  <c r="CG65" i="7"/>
  <c r="CH85" i="7"/>
  <c r="EI85" i="7" s="1"/>
  <c r="CI76" i="7"/>
  <c r="EJ76" i="7" s="1"/>
  <c r="CJ65" i="7"/>
  <c r="CL16" i="7"/>
  <c r="CS16" i="7" s="1"/>
  <c r="BO5" i="7"/>
  <c r="BP25" i="7"/>
  <c r="CI45" i="7"/>
  <c r="EJ45" i="7" s="1"/>
  <c r="DK95" i="7"/>
  <c r="DR95" i="7"/>
  <c r="DM95" i="7"/>
  <c r="DM15" i="7"/>
  <c r="DO98" i="7"/>
  <c r="DU45" i="7"/>
  <c r="BR65" i="7"/>
  <c r="CL76" i="7"/>
  <c r="CS76" i="7" s="1"/>
  <c r="DR72" i="7"/>
  <c r="DS45" i="7"/>
  <c r="BU65" i="7"/>
  <c r="CG85" i="7"/>
  <c r="CM76" i="7"/>
  <c r="CT76" i="7" s="1"/>
  <c r="DQ72" i="7"/>
  <c r="DQ45" i="7"/>
  <c r="CG5" i="7"/>
  <c r="CK65" i="7"/>
  <c r="CK36" i="7"/>
  <c r="CL5" i="7"/>
  <c r="CS5" i="7" s="1"/>
  <c r="CY6" i="7"/>
  <c r="DK92" i="7"/>
  <c r="DK52" i="7"/>
  <c r="DQ52" i="7"/>
  <c r="DQ32" i="7"/>
  <c r="DK12" i="7"/>
  <c r="DQ12" i="7"/>
  <c r="DR92" i="7"/>
  <c r="DL92" i="7"/>
  <c r="DR52" i="7"/>
  <c r="DL52" i="7"/>
  <c r="DR32" i="7"/>
  <c r="DL12" i="7"/>
  <c r="DS72" i="7"/>
  <c r="DM72" i="7"/>
  <c r="DM52" i="7"/>
  <c r="DM32" i="7"/>
  <c r="DS32" i="7"/>
  <c r="DS12" i="7"/>
  <c r="DM12" i="7"/>
  <c r="DT96" i="7"/>
  <c r="DT76" i="7"/>
  <c r="DN56" i="7"/>
  <c r="DN36" i="7"/>
  <c r="DT36" i="7"/>
  <c r="DN16" i="7"/>
  <c r="DT16" i="7"/>
  <c r="DU95" i="7"/>
  <c r="DO75" i="7"/>
  <c r="DU75" i="7"/>
  <c r="DO55" i="7"/>
  <c r="DO35" i="7"/>
  <c r="DU35" i="7"/>
  <c r="DU15" i="7"/>
  <c r="DO15" i="7"/>
  <c r="CY46" i="7"/>
  <c r="DQ91" i="7"/>
  <c r="DR91" i="7"/>
  <c r="DM71" i="7"/>
  <c r="DT15" i="7"/>
  <c r="DO94" i="7"/>
  <c r="DU54" i="7"/>
  <c r="DS52" i="7"/>
  <c r="DL32" i="7"/>
  <c r="BP45" i="7"/>
  <c r="DZ45" i="7" s="1"/>
  <c r="CI36" i="7"/>
  <c r="EJ36" i="7" s="1"/>
  <c r="CJ25" i="7"/>
  <c r="EO85" i="7"/>
  <c r="DQ90" i="7"/>
  <c r="DK90" i="7"/>
  <c r="DK70" i="7"/>
  <c r="DQ70" i="7"/>
  <c r="DK30" i="7"/>
  <c r="DQ30" i="7"/>
  <c r="DK10" i="7"/>
  <c r="DQ10" i="7"/>
  <c r="DL90" i="7"/>
  <c r="DR90" i="7"/>
  <c r="DR70" i="7"/>
  <c r="DL70" i="7"/>
  <c r="DR50" i="7"/>
  <c r="DL50" i="7"/>
  <c r="DR30" i="7"/>
  <c r="DL30" i="7"/>
  <c r="DL10" i="7"/>
  <c r="DT54" i="7"/>
  <c r="DO95" i="7"/>
  <c r="DK32" i="7"/>
  <c r="ED97" i="7"/>
  <c r="CY97" i="7"/>
  <c r="FI97" i="7"/>
  <c r="FI77" i="7"/>
  <c r="ED77" i="7"/>
  <c r="CY77" i="7"/>
  <c r="ED57" i="7"/>
  <c r="FI57" i="7"/>
  <c r="CY57" i="7"/>
  <c r="FI37" i="7"/>
  <c r="CY37" i="7"/>
  <c r="ED37" i="7"/>
  <c r="FI17" i="7"/>
  <c r="CY17" i="7"/>
  <c r="ED17" i="7"/>
  <c r="BP96" i="7"/>
  <c r="DZ96" i="7" s="1"/>
  <c r="BQ96" i="7"/>
  <c r="EA96" i="7" s="1"/>
  <c r="BP56" i="7"/>
  <c r="DZ56" i="7" s="1"/>
  <c r="BO56" i="7"/>
  <c r="BP36" i="7"/>
  <c r="DZ36" i="7" s="1"/>
  <c r="BO36" i="7"/>
  <c r="FG96" i="7"/>
  <c r="CZ96" i="7"/>
  <c r="DU96" i="7"/>
  <c r="EM96" i="7"/>
  <c r="FG76" i="7"/>
  <c r="EM76" i="7"/>
  <c r="CZ76" i="7"/>
  <c r="DU76" i="7"/>
  <c r="EM56" i="7"/>
  <c r="FG56" i="7"/>
  <c r="CZ56" i="7"/>
  <c r="EM36" i="7"/>
  <c r="FG36" i="7"/>
  <c r="CZ36" i="7"/>
  <c r="DU36" i="7"/>
  <c r="BW36" i="7"/>
  <c r="BX36" i="7" s="1"/>
  <c r="CC36" i="7" s="1"/>
  <c r="EM16" i="7"/>
  <c r="CZ16" i="7"/>
  <c r="DU16" i="7"/>
  <c r="FG16" i="7"/>
  <c r="FH96" i="7"/>
  <c r="EO96" i="7"/>
  <c r="CG96" i="7"/>
  <c r="CL96" i="7"/>
  <c r="CS96" i="7" s="1"/>
  <c r="FH76" i="7"/>
  <c r="EO76" i="7"/>
  <c r="CJ76" i="7"/>
  <c r="CK76" i="7"/>
  <c r="EO56" i="7"/>
  <c r="FH56" i="7"/>
  <c r="CJ56" i="7"/>
  <c r="CH56" i="7"/>
  <c r="FH36" i="7"/>
  <c r="EO36" i="7"/>
  <c r="CJ36" i="7"/>
  <c r="CG36" i="7"/>
  <c r="FH16" i="7"/>
  <c r="EO16" i="7"/>
  <c r="CK16" i="7"/>
  <c r="CM36" i="7"/>
  <c r="CT36" i="7" s="1"/>
  <c r="CZ25" i="7"/>
  <c r="DK89" i="7"/>
  <c r="DK69" i="7"/>
  <c r="DK29" i="7"/>
  <c r="DM89" i="7"/>
  <c r="DN33" i="7"/>
  <c r="DO92" i="7"/>
  <c r="CK100" i="7"/>
  <c r="EO100" i="7"/>
  <c r="DK62" i="7"/>
  <c r="DQ62" i="7"/>
  <c r="DK42" i="7"/>
  <c r="DQ42" i="7"/>
  <c r="DQ22" i="7"/>
  <c r="DK22" i="7"/>
  <c r="DL82" i="7"/>
  <c r="DR62" i="7"/>
  <c r="DL62" i="7"/>
  <c r="DR42" i="7"/>
  <c r="DL42" i="7"/>
  <c r="DR22" i="7"/>
  <c r="DL22" i="7"/>
  <c r="DS2" i="7"/>
  <c r="DM62" i="7"/>
  <c r="DS62" i="7"/>
  <c r="DM42" i="7"/>
  <c r="DS42" i="7"/>
  <c r="DM22" i="7"/>
  <c r="DT86" i="7"/>
  <c r="DN86" i="7"/>
  <c r="DN66" i="7"/>
  <c r="DN46" i="7"/>
  <c r="DT46" i="7"/>
  <c r="DT26" i="7"/>
  <c r="DT6" i="7"/>
  <c r="DN6" i="7"/>
  <c r="DO85" i="7"/>
  <c r="DO65" i="7"/>
  <c r="DU65" i="7"/>
  <c r="DO45" i="7"/>
  <c r="DO25" i="7"/>
  <c r="DU5" i="7"/>
  <c r="DO5" i="7"/>
  <c r="DQ76" i="7"/>
  <c r="DT43" i="7"/>
  <c r="DK99" i="7"/>
  <c r="DQ99" i="7"/>
  <c r="DK59" i="7"/>
  <c r="DQ19" i="7"/>
  <c r="DR99" i="7"/>
  <c r="DL79" i="7"/>
  <c r="DR59" i="7"/>
  <c r="DR39" i="7"/>
  <c r="DL19" i="7"/>
  <c r="DR19" i="7"/>
  <c r="DM99" i="7"/>
  <c r="DS99" i="7"/>
  <c r="DM79" i="7"/>
  <c r="DS79" i="7"/>
  <c r="DS59" i="7"/>
  <c r="DS39" i="7"/>
  <c r="DM19" i="7"/>
  <c r="DS19" i="7"/>
  <c r="DT2" i="7"/>
  <c r="DN2" i="7"/>
  <c r="DN83" i="7"/>
  <c r="DT83" i="7"/>
  <c r="DT3" i="7"/>
  <c r="DN3" i="7"/>
  <c r="DU82" i="7"/>
  <c r="DO62" i="7"/>
  <c r="DU62" i="7"/>
  <c r="DU42" i="7"/>
  <c r="DO22" i="7"/>
  <c r="DU22" i="7"/>
  <c r="DU2" i="7"/>
  <c r="DO2" i="7"/>
  <c r="DL99" i="7"/>
  <c r="DU85" i="7"/>
  <c r="CY41" i="7"/>
  <c r="DK98" i="7"/>
  <c r="DK78" i="7"/>
  <c r="DK58" i="7"/>
  <c r="DQ58" i="7"/>
  <c r="DK38" i="7"/>
  <c r="DQ38" i="7"/>
  <c r="DL98" i="7"/>
  <c r="DR58" i="7"/>
  <c r="DL58" i="7"/>
  <c r="DR38" i="7"/>
  <c r="DL38" i="7"/>
  <c r="DR18" i="7"/>
  <c r="DM98" i="7"/>
  <c r="DM58" i="7"/>
  <c r="DS58" i="7"/>
  <c r="DM38" i="7"/>
  <c r="DM18" i="7"/>
  <c r="DS18" i="7"/>
  <c r="DT82" i="7"/>
  <c r="DN62" i="7"/>
  <c r="DN42" i="7"/>
  <c r="DN22" i="7"/>
  <c r="DU101" i="7"/>
  <c r="DO81" i="7"/>
  <c r="DU61" i="7"/>
  <c r="DO61" i="7"/>
  <c r="DO41" i="7"/>
  <c r="DU41" i="7"/>
  <c r="DU21" i="7"/>
  <c r="DS36" i="7"/>
  <c r="CJ80" i="7"/>
  <c r="DK97" i="7"/>
  <c r="DK77" i="7"/>
  <c r="DQ77" i="7"/>
  <c r="DQ57" i="7"/>
  <c r="DQ37" i="7"/>
  <c r="DK37" i="7"/>
  <c r="DK17" i="7"/>
  <c r="DL97" i="7"/>
  <c r="DR97" i="7"/>
  <c r="DL77" i="7"/>
  <c r="DR77" i="7"/>
  <c r="DR57" i="7"/>
  <c r="DR37" i="7"/>
  <c r="DL37" i="7"/>
  <c r="DL17" i="7"/>
  <c r="DR17" i="7"/>
  <c r="DM97" i="7"/>
  <c r="DM77" i="7"/>
  <c r="DS77" i="7"/>
  <c r="DS57" i="7"/>
  <c r="DM37" i="7"/>
  <c r="DS37" i="7"/>
  <c r="DM17" i="7"/>
  <c r="DS17" i="7"/>
  <c r="DT101" i="7"/>
  <c r="DN81" i="7"/>
  <c r="DT81" i="7"/>
  <c r="DT61" i="7"/>
  <c r="DN61" i="7"/>
  <c r="DN41" i="7"/>
  <c r="DN21" i="7"/>
  <c r="DT21" i="7"/>
  <c r="DO100" i="7"/>
  <c r="DO80" i="7"/>
  <c r="DS98" i="7"/>
  <c r="DK96" i="7"/>
  <c r="DQ96" i="7"/>
  <c r="DK36" i="7"/>
  <c r="DQ16" i="7"/>
  <c r="DK16" i="7"/>
  <c r="DL96" i="7"/>
  <c r="DR96" i="7"/>
  <c r="DR56" i="7"/>
  <c r="DL56" i="7"/>
  <c r="DR36" i="7"/>
  <c r="DR16" i="7"/>
  <c r="DL16" i="7"/>
  <c r="DS96" i="7"/>
  <c r="DS76" i="7"/>
  <c r="DM56" i="7"/>
  <c r="DS16" i="7"/>
  <c r="DM16" i="7"/>
  <c r="DT100" i="7"/>
  <c r="DN100" i="7"/>
  <c r="DT80" i="7"/>
  <c r="DN80" i="7"/>
  <c r="DN60" i="7"/>
  <c r="DN40" i="7"/>
  <c r="DN20" i="7"/>
  <c r="DT20" i="7"/>
  <c r="DO99" i="7"/>
  <c r="DO79" i="7"/>
  <c r="DU59" i="7"/>
  <c r="DU39" i="7"/>
  <c r="DO19" i="7"/>
  <c r="DQ2" i="7"/>
  <c r="DR98" i="7"/>
  <c r="DT22" i="7"/>
  <c r="DK75" i="7"/>
  <c r="DQ75" i="7"/>
  <c r="DQ55" i="7"/>
  <c r="DK55" i="7"/>
  <c r="DQ35" i="7"/>
  <c r="DK35" i="7"/>
  <c r="DK15" i="7"/>
  <c r="DQ15" i="7"/>
  <c r="DL95" i="7"/>
  <c r="DL75" i="7"/>
  <c r="DR55" i="7"/>
  <c r="DL55" i="7"/>
  <c r="DL35" i="7"/>
  <c r="DR35" i="7"/>
  <c r="DL15" i="7"/>
  <c r="DR15" i="7"/>
  <c r="DM75" i="7"/>
  <c r="DM55" i="7"/>
  <c r="DS55" i="7"/>
  <c r="DM35" i="7"/>
  <c r="DS15" i="7"/>
  <c r="DN99" i="7"/>
  <c r="DT99" i="7"/>
  <c r="DN79" i="7"/>
  <c r="DT59" i="7"/>
  <c r="DN59" i="7"/>
  <c r="DN39" i="7"/>
  <c r="DT39" i="7"/>
  <c r="DN19" i="7"/>
  <c r="DT19" i="7"/>
  <c r="DO58" i="7"/>
  <c r="DU58" i="7"/>
  <c r="DO38" i="7"/>
  <c r="DU38" i="7"/>
  <c r="DQ98" i="7"/>
  <c r="DU79" i="7"/>
  <c r="DS75" i="7"/>
  <c r="DQ59" i="7"/>
  <c r="DS22" i="7"/>
  <c r="CM20" i="7"/>
  <c r="CT20" i="7" s="1"/>
  <c r="DK74" i="7"/>
  <c r="DK34" i="7"/>
  <c r="DL94" i="7"/>
  <c r="DL74" i="7"/>
  <c r="DM74" i="7"/>
  <c r="DS54" i="7"/>
  <c r="DM34" i="7"/>
  <c r="DN58" i="7"/>
  <c r="DT79" i="7"/>
  <c r="DR75" i="7"/>
  <c r="DO59" i="7"/>
  <c r="DT42" i="7"/>
  <c r="FI101" i="7"/>
  <c r="ED101" i="7"/>
  <c r="FI81" i="7"/>
  <c r="ED81" i="7"/>
  <c r="FI61" i="7"/>
  <c r="ED61" i="7"/>
  <c r="FI41" i="7"/>
  <c r="FI21" i="7"/>
  <c r="ED21" i="7"/>
  <c r="EM100" i="7"/>
  <c r="FG100" i="7"/>
  <c r="EM80" i="7"/>
  <c r="FG80" i="7"/>
  <c r="EM60" i="7"/>
  <c r="FG60" i="7"/>
  <c r="EM40" i="7"/>
  <c r="FG40" i="7"/>
  <c r="EM20" i="7"/>
  <c r="FG20" i="7"/>
  <c r="CZ20" i="7"/>
  <c r="DU20" i="7"/>
  <c r="CI40" i="7"/>
  <c r="EJ40" i="7" s="1"/>
  <c r="CM40" i="7"/>
  <c r="CT40" i="7" s="1"/>
  <c r="CZ40" i="7"/>
  <c r="DK73" i="7"/>
  <c r="DK53" i="7"/>
  <c r="DK33" i="7"/>
  <c r="DQ33" i="7"/>
  <c r="DK13" i="7"/>
  <c r="DL73" i="7"/>
  <c r="DL53" i="7"/>
  <c r="DR53" i="7"/>
  <c r="DL33" i="7"/>
  <c r="DR33" i="7"/>
  <c r="DR13" i="7"/>
  <c r="DS93" i="7"/>
  <c r="DS73" i="7"/>
  <c r="DM53" i="7"/>
  <c r="DR79" i="7"/>
  <c r="DM59" i="7"/>
  <c r="DQ53" i="7"/>
  <c r="DO42" i="7"/>
  <c r="DL36" i="7"/>
  <c r="DO21" i="7"/>
  <c r="DK94" i="7"/>
  <c r="DK54" i="7"/>
  <c r="DQ14" i="7"/>
  <c r="DK14" i="7"/>
  <c r="DR54" i="7"/>
  <c r="DR34" i="7"/>
  <c r="DL14" i="7"/>
  <c r="DR14" i="7"/>
  <c r="DS94" i="7"/>
  <c r="DS14" i="7"/>
  <c r="DM14" i="7"/>
  <c r="DT98" i="7"/>
  <c r="DT78" i="7"/>
  <c r="DN38" i="7"/>
  <c r="DN18" i="7"/>
  <c r="DU77" i="7"/>
  <c r="DO57" i="7"/>
  <c r="DO37" i="7"/>
  <c r="DU37" i="7"/>
  <c r="DR2" i="7"/>
  <c r="DN78" i="7"/>
  <c r="DQ34" i="7"/>
  <c r="DR7" i="7"/>
  <c r="DK71" i="7"/>
  <c r="DK51" i="7"/>
  <c r="DK31" i="7"/>
  <c r="DK11" i="7"/>
  <c r="DQ11" i="7"/>
  <c r="DR71" i="7"/>
  <c r="DL51" i="7"/>
  <c r="DL11" i="7"/>
  <c r="DR11" i="7"/>
  <c r="DS91" i="7"/>
  <c r="DM51" i="7"/>
  <c r="DS51" i="7"/>
  <c r="DM11" i="7"/>
  <c r="DT75" i="7"/>
  <c r="DN55" i="7"/>
  <c r="DT55" i="7"/>
  <c r="DN35" i="7"/>
  <c r="DU74" i="7"/>
  <c r="DU34" i="7"/>
  <c r="DO14" i="7"/>
  <c r="DR94" i="7"/>
  <c r="DS86" i="7"/>
  <c r="DR74" i="7"/>
  <c r="DQ29" i="7"/>
  <c r="DS70" i="7"/>
  <c r="DM30" i="7"/>
  <c r="DS30" i="7"/>
  <c r="DS10" i="7"/>
  <c r="DT94" i="7"/>
  <c r="DT74" i="7"/>
  <c r="DT34" i="7"/>
  <c r="DN14" i="7"/>
  <c r="DU93" i="7"/>
  <c r="DO73" i="7"/>
  <c r="DO53" i="7"/>
  <c r="DU53" i="7"/>
  <c r="DO33" i="7"/>
  <c r="DU33" i="7"/>
  <c r="DU13" i="7"/>
  <c r="DQ94" i="7"/>
  <c r="DR86" i="7"/>
  <c r="DQ74" i="7"/>
  <c r="DL34" i="7"/>
  <c r="DQ69" i="7"/>
  <c r="DK49" i="7"/>
  <c r="DQ49" i="7"/>
  <c r="DK9" i="7"/>
  <c r="DR89" i="7"/>
  <c r="DR29" i="7"/>
  <c r="DS89" i="7"/>
  <c r="DM69" i="7"/>
  <c r="DM49" i="7"/>
  <c r="DM29" i="7"/>
  <c r="DS29" i="7"/>
  <c r="DT93" i="7"/>
  <c r="DN53" i="7"/>
  <c r="DT13" i="7"/>
  <c r="DU72" i="7"/>
  <c r="DO32" i="7"/>
  <c r="DL89" i="7"/>
  <c r="DQ86" i="7"/>
  <c r="DO74" i="7"/>
  <c r="DS71" i="7"/>
  <c r="DT58" i="7"/>
  <c r="DQ48" i="7"/>
  <c r="DQ8" i="7"/>
  <c r="DL8" i="7"/>
  <c r="DN94" i="7"/>
  <c r="DN74" i="7"/>
  <c r="DQ71" i="7"/>
  <c r="DT51" i="7"/>
  <c r="DT33" i="7"/>
  <c r="DL29" i="7"/>
  <c r="DS11" i="7"/>
  <c r="DQ87" i="7"/>
  <c r="DK67" i="7"/>
  <c r="DK47" i="7"/>
  <c r="DK27" i="7"/>
  <c r="DQ27" i="7"/>
  <c r="DR87" i="7"/>
  <c r="DL27" i="7"/>
  <c r="DR27" i="7"/>
  <c r="DS87" i="7"/>
  <c r="DS47" i="7"/>
  <c r="DM27" i="7"/>
  <c r="DS27" i="7"/>
  <c r="DT91" i="7"/>
  <c r="DN71" i="7"/>
  <c r="DN31" i="7"/>
  <c r="DT31" i="7"/>
  <c r="DN11" i="7"/>
  <c r="DU70" i="7"/>
  <c r="DU50" i="7"/>
  <c r="DU30" i="7"/>
  <c r="DU10" i="7"/>
  <c r="DM94" i="7"/>
  <c r="DO77" i="7"/>
  <c r="DR51" i="7"/>
  <c r="DQ66" i="7"/>
  <c r="DQ46" i="7"/>
  <c r="DK6" i="7"/>
  <c r="DR66" i="7"/>
  <c r="DR46" i="7"/>
  <c r="DR26" i="7"/>
  <c r="DL6" i="7"/>
  <c r="DR6" i="7"/>
  <c r="DS66" i="7"/>
  <c r="DM66" i="7"/>
  <c r="DS46" i="7"/>
  <c r="DS26" i="7"/>
  <c r="DM6" i="7"/>
  <c r="DS6" i="7"/>
  <c r="DT90" i="7"/>
  <c r="DT70" i="7"/>
  <c r="DT50" i="7"/>
  <c r="DN30" i="7"/>
  <c r="DN10" i="7"/>
  <c r="DU29" i="7"/>
  <c r="DU9" i="7"/>
  <c r="DN91" i="7"/>
  <c r="DQ51" i="7"/>
  <c r="DR10" i="7"/>
  <c r="DQ85" i="7"/>
  <c r="DK25" i="7"/>
  <c r="DQ25" i="7"/>
  <c r="DQ5" i="7"/>
  <c r="DR85" i="7"/>
  <c r="DL65" i="7"/>
  <c r="DR45" i="7"/>
  <c r="DL45" i="7"/>
  <c r="DL25" i="7"/>
  <c r="DR25" i="7"/>
  <c r="DR5" i="7"/>
  <c r="DS85" i="7"/>
  <c r="DM25" i="7"/>
  <c r="DS5" i="7"/>
  <c r="DT89" i="7"/>
  <c r="DT49" i="7"/>
  <c r="DT29" i="7"/>
  <c r="DN9" i="7"/>
  <c r="DO88" i="7"/>
  <c r="DO68" i="7"/>
  <c r="DU68" i="7"/>
  <c r="DU48" i="7"/>
  <c r="DU28" i="7"/>
  <c r="DO8" i="7"/>
  <c r="DU8" i="7"/>
  <c r="DM91" i="7"/>
  <c r="DL71" i="7"/>
  <c r="DQ54" i="7"/>
  <c r="DQ6" i="7"/>
  <c r="DO20" i="7"/>
  <c r="DU32" i="7"/>
  <c r="EJ16" i="7"/>
  <c r="DO12" i="7"/>
  <c r="DK8" i="7"/>
  <c r="DR68" i="7"/>
  <c r="DR48" i="7"/>
  <c r="DR28" i="7"/>
  <c r="DS8" i="7"/>
  <c r="DM8" i="7"/>
  <c r="DT92" i="7"/>
  <c r="DT72" i="7"/>
  <c r="DU51" i="7"/>
  <c r="EX26" i="7"/>
  <c r="EJ62" i="7"/>
  <c r="DY19" i="7"/>
  <c r="EH56" i="7"/>
  <c r="EH22" i="7"/>
  <c r="EI92" i="7"/>
  <c r="EJ61" i="7"/>
  <c r="DY16" i="7"/>
  <c r="DZ28" i="7"/>
  <c r="EA4" i="7"/>
  <c r="EI59" i="7"/>
  <c r="DZ17" i="7"/>
  <c r="DZ57" i="7"/>
  <c r="EI28" i="7"/>
  <c r="EI31" i="7"/>
  <c r="EI70" i="7"/>
  <c r="EI13" i="7"/>
  <c r="EI33" i="7"/>
  <c r="EI93" i="7"/>
  <c r="DZ85" i="7"/>
  <c r="EI74" i="7"/>
  <c r="EI94" i="7"/>
  <c r="DZ26" i="7"/>
  <c r="DZ66" i="7"/>
  <c r="EH48" i="7"/>
  <c r="DY47" i="7"/>
  <c r="DY13" i="7"/>
  <c r="EH79" i="7"/>
  <c r="EH45" i="7"/>
  <c r="DY57" i="7"/>
  <c r="DY77" i="7"/>
  <c r="EH49" i="7"/>
  <c r="EH69" i="7"/>
  <c r="DY80" i="7"/>
  <c r="EH71" i="7"/>
  <c r="DY62" i="7"/>
  <c r="DY25" i="7"/>
  <c r="DY45" i="7"/>
  <c r="DY65" i="7"/>
  <c r="DY85" i="7"/>
  <c r="DY46" i="7"/>
  <c r="DY44" i="7"/>
  <c r="EA56" i="7"/>
  <c r="EA29" i="7"/>
  <c r="EH17" i="7"/>
  <c r="EH80" i="7"/>
  <c r="DY43" i="7"/>
  <c r="DY11" i="7"/>
  <c r="DZ79" i="7"/>
  <c r="DZ50" i="7"/>
  <c r="DZ16" i="7"/>
  <c r="EA55" i="7"/>
  <c r="EH43" i="7"/>
  <c r="DZ88" i="7"/>
  <c r="DY39" i="7"/>
  <c r="EJ82" i="7"/>
  <c r="DY70" i="7"/>
  <c r="DZ75" i="7"/>
  <c r="DZ14" i="7"/>
  <c r="EJ51" i="7"/>
  <c r="DY71" i="7"/>
  <c r="DZ76" i="7"/>
  <c r="EH42" i="7"/>
  <c r="DZ13" i="7"/>
  <c r="EH101" i="7"/>
  <c r="EH72" i="7"/>
  <c r="EI44" i="7"/>
  <c r="EJ80" i="7"/>
  <c r="EJ4" i="7"/>
  <c r="EJ24" i="7"/>
  <c r="EJ84" i="7"/>
  <c r="EA37" i="7"/>
  <c r="EA57" i="7"/>
  <c r="EJ5" i="7"/>
  <c r="EJ25" i="7"/>
  <c r="EA38" i="7"/>
  <c r="EA20" i="7"/>
  <c r="EA60" i="7"/>
  <c r="EJ8" i="7"/>
  <c r="EJ28" i="7"/>
  <c r="EJ48" i="7"/>
  <c r="EJ30" i="7"/>
  <c r="EJ50" i="7"/>
  <c r="EJ29" i="7"/>
  <c r="EA65" i="7"/>
  <c r="EA6" i="7"/>
  <c r="EA88" i="7"/>
  <c r="EH76" i="7"/>
  <c r="EJ18" i="7"/>
  <c r="DY34" i="7"/>
  <c r="EA51" i="7"/>
  <c r="EH39" i="7"/>
  <c r="EI77" i="7"/>
  <c r="EI43" i="7"/>
  <c r="EI15" i="7"/>
  <c r="CV86" i="7"/>
  <c r="BW49" i="7"/>
  <c r="BX49" i="7" s="1"/>
  <c r="CC49" i="7" s="1"/>
  <c r="BW88" i="7"/>
  <c r="BX88" i="7" s="1"/>
  <c r="CC88" i="7" s="1"/>
  <c r="BW28" i="7"/>
  <c r="BX28" i="7" s="1"/>
  <c r="CC28" i="7" s="1"/>
  <c r="BW8" i="7"/>
  <c r="BX8" i="7" s="1"/>
  <c r="CC8" i="7" s="1"/>
  <c r="BW63" i="7"/>
  <c r="BX63" i="7" s="1"/>
  <c r="CC63" i="7" s="1"/>
  <c r="BW43" i="7"/>
  <c r="BX43" i="7" s="1"/>
  <c r="CC43" i="7" s="1"/>
  <c r="BW21" i="7"/>
  <c r="BX21" i="7" s="1"/>
  <c r="CC21" i="7" s="1"/>
  <c r="C5" i="4"/>
  <c r="J106" i="4"/>
  <c r="L72" i="4"/>
  <c r="C105" i="4"/>
  <c r="C101" i="4"/>
  <c r="C100" i="4"/>
  <c r="L55" i="4"/>
  <c r="O51" i="4"/>
  <c r="B28" i="6"/>
  <c r="C28" i="6"/>
  <c r="P26" i="4"/>
  <c r="P25" i="4"/>
  <c r="L26" i="4"/>
  <c r="Q29" i="4"/>
  <c r="L29" i="4" s="1"/>
  <c r="Q26" i="4"/>
  <c r="Q25" i="4"/>
  <c r="E17" i="3"/>
  <c r="J17" i="3"/>
  <c r="M106" i="4"/>
  <c r="C24" i="4" l="1"/>
  <c r="F26" i="4"/>
  <c r="P29" i="4"/>
  <c r="F27" i="4" s="1"/>
  <c r="L27" i="4"/>
  <c r="DV2" i="7"/>
  <c r="DP93" i="7"/>
  <c r="DV60" i="7"/>
  <c r="DV48" i="7"/>
  <c r="L30" i="4"/>
  <c r="L28" i="4"/>
  <c r="BW5" i="7"/>
  <c r="BX5" i="7" s="1"/>
  <c r="CC5" i="7" s="1"/>
  <c r="EX58" i="7"/>
  <c r="EG70" i="7"/>
  <c r="FD25" i="7"/>
  <c r="FJ7" i="7"/>
  <c r="DP65" i="7"/>
  <c r="CP54" i="7"/>
  <c r="CU54" i="7" s="1"/>
  <c r="CP69" i="7"/>
  <c r="EN25" i="7"/>
  <c r="FJ100" i="7"/>
  <c r="BW33" i="7"/>
  <c r="BX33" i="7" s="1"/>
  <c r="CC33" i="7" s="1"/>
  <c r="FD44" i="7"/>
  <c r="FJ83" i="7"/>
  <c r="BW54" i="7"/>
  <c r="BX54" i="7" s="1"/>
  <c r="CC54" i="7" s="1"/>
  <c r="BW89" i="7"/>
  <c r="BX89" i="7" s="1"/>
  <c r="CC89" i="7" s="1"/>
  <c r="CP29" i="7"/>
  <c r="CV29" i="7" s="1"/>
  <c r="FD43" i="7"/>
  <c r="FD80" i="7"/>
  <c r="EX28" i="7"/>
  <c r="EG88" i="7"/>
  <c r="CP60" i="7"/>
  <c r="FJ28" i="7"/>
  <c r="DV66" i="7"/>
  <c r="FD47" i="7"/>
  <c r="DV49" i="7"/>
  <c r="FJ50" i="7"/>
  <c r="FD15" i="7"/>
  <c r="DP94" i="7"/>
  <c r="EE62" i="7"/>
  <c r="FJ85" i="7"/>
  <c r="EX52" i="7"/>
  <c r="BW85" i="7"/>
  <c r="BX85" i="7" s="1"/>
  <c r="CC85" i="7" s="1"/>
  <c r="FD48" i="7"/>
  <c r="CP20" i="7"/>
  <c r="CU20" i="7" s="1"/>
  <c r="EG75" i="7"/>
  <c r="BW18" i="7"/>
  <c r="BX18" i="7" s="1"/>
  <c r="CC18" i="7" s="1"/>
  <c r="DV101" i="7"/>
  <c r="BW91" i="7"/>
  <c r="BX91" i="7" s="1"/>
  <c r="CC91" i="7" s="1"/>
  <c r="BW48" i="7"/>
  <c r="BX48" i="7" s="1"/>
  <c r="CC48" i="7" s="1"/>
  <c r="FD5" i="7"/>
  <c r="FJ53" i="7"/>
  <c r="FD3" i="7"/>
  <c r="EX4" i="7"/>
  <c r="DV52" i="7"/>
  <c r="FD52" i="7"/>
  <c r="EG80" i="7"/>
  <c r="FJ4" i="7"/>
  <c r="EX25" i="7"/>
  <c r="DV56" i="7"/>
  <c r="BW83" i="7"/>
  <c r="BX83" i="7" s="1"/>
  <c r="CC83" i="7" s="1"/>
  <c r="EX53" i="7"/>
  <c r="BW99" i="7"/>
  <c r="BX99" i="7" s="1"/>
  <c r="CC99" i="7" s="1"/>
  <c r="EX42" i="7"/>
  <c r="EP64" i="7"/>
  <c r="EG57" i="7"/>
  <c r="BW11" i="7"/>
  <c r="BX11" i="7" s="1"/>
  <c r="CC11" i="7" s="1"/>
  <c r="FJ60" i="7"/>
  <c r="FD79" i="7"/>
  <c r="FD81" i="7"/>
  <c r="EG46" i="7"/>
  <c r="FJ63" i="7"/>
  <c r="FD83" i="7"/>
  <c r="DP85" i="7"/>
  <c r="FD27" i="7"/>
  <c r="EE76" i="7"/>
  <c r="DP11" i="7"/>
  <c r="EX17" i="7"/>
  <c r="DP5" i="7"/>
  <c r="EX43" i="7"/>
  <c r="CP30" i="7"/>
  <c r="FJ64" i="7"/>
  <c r="DP27" i="7"/>
  <c r="DP49" i="7"/>
  <c r="FJ30" i="7"/>
  <c r="FD99" i="7"/>
  <c r="BW56" i="7"/>
  <c r="BX56" i="7" s="1"/>
  <c r="CC56" i="7" s="1"/>
  <c r="EX82" i="7"/>
  <c r="FD63" i="7"/>
  <c r="DP82" i="7"/>
  <c r="EP76" i="7"/>
  <c r="DP32" i="7"/>
  <c r="EP5" i="7"/>
  <c r="FJ9" i="7"/>
  <c r="BW34" i="7"/>
  <c r="BX34" i="7" s="1"/>
  <c r="CC34" i="7" s="1"/>
  <c r="EX78" i="7"/>
  <c r="FJ57" i="7"/>
  <c r="CP70" i="7"/>
  <c r="EX46" i="7"/>
  <c r="BW84" i="7"/>
  <c r="BX84" i="7" s="1"/>
  <c r="CC84" i="7" s="1"/>
  <c r="BW13" i="7"/>
  <c r="BX13" i="7" s="1"/>
  <c r="CC13" i="7" s="1"/>
  <c r="DP4" i="7"/>
  <c r="EX19" i="7"/>
  <c r="FD22" i="7"/>
  <c r="BW101" i="7"/>
  <c r="BX101" i="7" s="1"/>
  <c r="CC101" i="7" s="1"/>
  <c r="EX63" i="7"/>
  <c r="FJ88" i="7"/>
  <c r="DV9" i="7"/>
  <c r="DV80" i="7"/>
  <c r="EX51" i="7"/>
  <c r="EX3" i="7"/>
  <c r="DP18" i="7"/>
  <c r="FJ93" i="7"/>
  <c r="FJ31" i="7"/>
  <c r="FJ62" i="7"/>
  <c r="EX77" i="7"/>
  <c r="DP41" i="7"/>
  <c r="FJ54" i="7"/>
  <c r="DP99" i="7"/>
  <c r="DP61" i="7"/>
  <c r="FJ45" i="7"/>
  <c r="DP101" i="7"/>
  <c r="FJ32" i="7"/>
  <c r="EA28" i="7"/>
  <c r="FD32" i="7"/>
  <c r="FJ55" i="7"/>
  <c r="EN5" i="7"/>
  <c r="EX69" i="7"/>
  <c r="FD75" i="7"/>
  <c r="EX45" i="7"/>
  <c r="FD30" i="7"/>
  <c r="EG17" i="7"/>
  <c r="BW73" i="7"/>
  <c r="BX73" i="7" s="1"/>
  <c r="CC73" i="7" s="1"/>
  <c r="DP21" i="7"/>
  <c r="FD74" i="7"/>
  <c r="EX80" i="7"/>
  <c r="FJ90" i="7"/>
  <c r="DP33" i="7"/>
  <c r="DP90" i="7"/>
  <c r="FJ56" i="7"/>
  <c r="FD72" i="7"/>
  <c r="EX27" i="7"/>
  <c r="DV40" i="7"/>
  <c r="FD49" i="7"/>
  <c r="FD92" i="7"/>
  <c r="FJ13" i="7"/>
  <c r="FJ35" i="7"/>
  <c r="EX29" i="7"/>
  <c r="FJ96" i="7"/>
  <c r="FJ12" i="7"/>
  <c r="DV97" i="7"/>
  <c r="FJ41" i="7"/>
  <c r="DV61" i="7"/>
  <c r="EX100" i="7"/>
  <c r="DV28" i="7"/>
  <c r="DV26" i="7"/>
  <c r="EX23" i="7"/>
  <c r="FD93" i="7"/>
  <c r="DV67" i="7"/>
  <c r="EX72" i="7"/>
  <c r="EX33" i="7"/>
  <c r="FD53" i="7"/>
  <c r="EX66" i="7"/>
  <c r="EX14" i="7"/>
  <c r="EX98" i="7"/>
  <c r="FJ95" i="7"/>
  <c r="EX89" i="7"/>
  <c r="FJ16" i="7"/>
  <c r="EG8" i="7"/>
  <c r="DV20" i="7"/>
  <c r="DP16" i="7"/>
  <c r="DV57" i="7"/>
  <c r="DV22" i="7"/>
  <c r="FJ65" i="7"/>
  <c r="FJ29" i="7"/>
  <c r="FJ70" i="7"/>
  <c r="FJ51" i="7"/>
  <c r="EX92" i="7"/>
  <c r="FJ72" i="7"/>
  <c r="FD17" i="7"/>
  <c r="EG85" i="7"/>
  <c r="BW69" i="7"/>
  <c r="BX69" i="7" s="1"/>
  <c r="CC69" i="7" s="1"/>
  <c r="DV46" i="7"/>
  <c r="DV42" i="7"/>
  <c r="DV70" i="7"/>
  <c r="DV72" i="7"/>
  <c r="DV45" i="7"/>
  <c r="EG93" i="7"/>
  <c r="DP81" i="7"/>
  <c r="FD10" i="7"/>
  <c r="BW25" i="7"/>
  <c r="BX25" i="7" s="1"/>
  <c r="CC25" i="7" s="1"/>
  <c r="FJ68" i="7"/>
  <c r="FJ97" i="7"/>
  <c r="BW16" i="7"/>
  <c r="BX16" i="7" s="1"/>
  <c r="CC16" i="7" s="1"/>
  <c r="EG62" i="7"/>
  <c r="DV65" i="7"/>
  <c r="FD88" i="7"/>
  <c r="FJ17" i="7"/>
  <c r="FD97" i="7"/>
  <c r="EG83" i="7"/>
  <c r="FD26" i="7"/>
  <c r="DV82" i="7"/>
  <c r="BW57" i="7"/>
  <c r="BX57" i="7" s="1"/>
  <c r="CC57" i="7" s="1"/>
  <c r="DP14" i="7"/>
  <c r="DP15" i="7"/>
  <c r="DV36" i="7"/>
  <c r="DV90" i="7"/>
  <c r="EX73" i="7"/>
  <c r="FD6" i="7"/>
  <c r="CP56" i="7"/>
  <c r="DV87" i="7"/>
  <c r="DV93" i="7"/>
  <c r="DP59" i="7"/>
  <c r="DV98" i="7"/>
  <c r="DP17" i="7"/>
  <c r="DV19" i="7"/>
  <c r="EX90" i="7"/>
  <c r="FJ43" i="7"/>
  <c r="FJ24" i="7"/>
  <c r="FD28" i="7"/>
  <c r="DP97" i="7"/>
  <c r="DV50" i="7"/>
  <c r="DV11" i="7"/>
  <c r="EG33" i="7"/>
  <c r="DP74" i="7"/>
  <c r="EX68" i="7"/>
  <c r="CP71" i="7"/>
  <c r="DV77" i="7"/>
  <c r="FJ81" i="7"/>
  <c r="DV99" i="7"/>
  <c r="DV92" i="7"/>
  <c r="FD89" i="7"/>
  <c r="FD78" i="7"/>
  <c r="FJ78" i="7"/>
  <c r="FJ82" i="7"/>
  <c r="EP70" i="7"/>
  <c r="BW74" i="7"/>
  <c r="BX74" i="7" s="1"/>
  <c r="CC74" i="7" s="1"/>
  <c r="EP20" i="7"/>
  <c r="FD41" i="7"/>
  <c r="FD13" i="7"/>
  <c r="DV15" i="7"/>
  <c r="FJ89" i="7"/>
  <c r="EX79" i="7"/>
  <c r="FD59" i="7"/>
  <c r="CP65" i="7"/>
  <c r="CU65" i="7" s="1"/>
  <c r="EG29" i="7"/>
  <c r="FD66" i="7"/>
  <c r="FD77" i="7"/>
  <c r="BW24" i="7"/>
  <c r="BX24" i="7" s="1"/>
  <c r="CC24" i="7" s="1"/>
  <c r="DP79" i="7"/>
  <c r="FD36" i="7"/>
  <c r="EP49" i="7"/>
  <c r="DV31" i="7"/>
  <c r="CP96" i="7"/>
  <c r="CU96" i="7" s="1"/>
  <c r="FD38" i="7"/>
  <c r="FJ20" i="7"/>
  <c r="EX64" i="7"/>
  <c r="FD84" i="7"/>
  <c r="EG38" i="7"/>
  <c r="EP80" i="7"/>
  <c r="ER80" i="7" s="1"/>
  <c r="BW87" i="7"/>
  <c r="BX87" i="7" s="1"/>
  <c r="CC87" i="7" s="1"/>
  <c r="DP12" i="7"/>
  <c r="EP60" i="7"/>
  <c r="EX39" i="7"/>
  <c r="FJ19" i="7"/>
  <c r="EX67" i="7"/>
  <c r="DP50" i="7"/>
  <c r="EG55" i="7"/>
  <c r="EX87" i="7"/>
  <c r="FJ5" i="7"/>
  <c r="EX10" i="7"/>
  <c r="FJ52" i="7"/>
  <c r="FJ71" i="7"/>
  <c r="FJ22" i="7"/>
  <c r="DP36" i="7"/>
  <c r="DV18" i="7"/>
  <c r="DV59" i="7"/>
  <c r="DP42" i="7"/>
  <c r="DP60" i="7"/>
  <c r="DV96" i="7"/>
  <c r="DP62" i="7"/>
  <c r="DV32" i="7"/>
  <c r="FJ73" i="7"/>
  <c r="DV37" i="7"/>
  <c r="DP51" i="7"/>
  <c r="EE2" i="7"/>
  <c r="DV54" i="7"/>
  <c r="DV71" i="7"/>
  <c r="DV74" i="7"/>
  <c r="DP89" i="7"/>
  <c r="BW61" i="7"/>
  <c r="BX61" i="7" s="1"/>
  <c r="CC61" i="7" s="1"/>
  <c r="DP71" i="7"/>
  <c r="EX41" i="7"/>
  <c r="DP29" i="7"/>
  <c r="FD34" i="7"/>
  <c r="FD35" i="7"/>
  <c r="EX35" i="7"/>
  <c r="DZ89" i="7"/>
  <c r="DV10" i="7"/>
  <c r="DP95" i="7"/>
  <c r="EX6" i="7"/>
  <c r="DV41" i="7"/>
  <c r="EP69" i="7"/>
  <c r="FD9" i="7"/>
  <c r="FD31" i="7"/>
  <c r="DP63" i="7"/>
  <c r="FJ3" i="7"/>
  <c r="EX47" i="7"/>
  <c r="FD67" i="7"/>
  <c r="EG11" i="7"/>
  <c r="DP13" i="7"/>
  <c r="DP69" i="7"/>
  <c r="DP67" i="7"/>
  <c r="DP54" i="7"/>
  <c r="DP48" i="7"/>
  <c r="FJ87" i="7"/>
  <c r="EX44" i="7"/>
  <c r="DP76" i="7"/>
  <c r="EI20" i="7"/>
  <c r="EH70" i="7"/>
  <c r="DP73" i="7"/>
  <c r="DP55" i="7"/>
  <c r="FD60" i="7"/>
  <c r="DP80" i="7"/>
  <c r="DP96" i="7"/>
  <c r="DV17" i="7"/>
  <c r="FD96" i="7"/>
  <c r="DP30" i="7"/>
  <c r="DP72" i="7"/>
  <c r="EG65" i="7"/>
  <c r="EX86" i="7"/>
  <c r="FD90" i="7"/>
  <c r="EG59" i="7"/>
  <c r="EP92" i="7"/>
  <c r="EX24" i="7"/>
  <c r="FJ47" i="7"/>
  <c r="EX48" i="7"/>
  <c r="FD68" i="7"/>
  <c r="DP66" i="7"/>
  <c r="EG32" i="7"/>
  <c r="EP68" i="7"/>
  <c r="DP19" i="7"/>
  <c r="FD57" i="7"/>
  <c r="FD62" i="7"/>
  <c r="DP6" i="7"/>
  <c r="DP70" i="7"/>
  <c r="EX30" i="7"/>
  <c r="FD12" i="7"/>
  <c r="FD95" i="7"/>
  <c r="DP78" i="7"/>
  <c r="EX5" i="7"/>
  <c r="BW50" i="7"/>
  <c r="BX50" i="7" s="1"/>
  <c r="CC50" i="7" s="1"/>
  <c r="FD23" i="7"/>
  <c r="DP92" i="7"/>
  <c r="FJ101" i="7"/>
  <c r="DP57" i="7"/>
  <c r="EX65" i="7"/>
  <c r="EX21" i="7"/>
  <c r="DP34" i="7"/>
  <c r="DV55" i="7"/>
  <c r="DV38" i="7"/>
  <c r="FJ36" i="7"/>
  <c r="EX97" i="7"/>
  <c r="DP52" i="7"/>
  <c r="FD85" i="7"/>
  <c r="FD29" i="7"/>
  <c r="FJ10" i="7"/>
  <c r="FJ11" i="7"/>
  <c r="FD91" i="7"/>
  <c r="EX76" i="7"/>
  <c r="BW96" i="7"/>
  <c r="BX96" i="7" s="1"/>
  <c r="CC96" i="7" s="1"/>
  <c r="EG21" i="7"/>
  <c r="FJ23" i="7"/>
  <c r="EP84" i="7"/>
  <c r="EP43" i="7"/>
  <c r="DP20" i="7"/>
  <c r="DV27" i="7"/>
  <c r="FD61" i="7"/>
  <c r="EX22" i="7"/>
  <c r="EX84" i="7"/>
  <c r="EN80" i="7"/>
  <c r="CP80" i="7"/>
  <c r="DP91" i="7"/>
  <c r="DV94" i="7"/>
  <c r="DV73" i="7"/>
  <c r="FJ80" i="7"/>
  <c r="DV75" i="7"/>
  <c r="DP38" i="7"/>
  <c r="EP56" i="7"/>
  <c r="FD16" i="7"/>
  <c r="DV21" i="7"/>
  <c r="EX75" i="7"/>
  <c r="EP74" i="7"/>
  <c r="FD98" i="7"/>
  <c r="FJ59" i="7"/>
  <c r="FD39" i="7"/>
  <c r="FD4" i="7"/>
  <c r="DV3" i="7"/>
  <c r="FJ61" i="7"/>
  <c r="FJ44" i="7"/>
  <c r="DP68" i="7"/>
  <c r="DV89" i="7"/>
  <c r="FD51" i="7"/>
  <c r="FJ34" i="7"/>
  <c r="EX74" i="7"/>
  <c r="FD54" i="7"/>
  <c r="FJ74" i="7"/>
  <c r="EX96" i="7"/>
  <c r="FJ58" i="7"/>
  <c r="FJ98" i="7"/>
  <c r="EX40" i="7"/>
  <c r="EP26" i="7"/>
  <c r="EX38" i="7"/>
  <c r="FJ2" i="7"/>
  <c r="EP71" i="7"/>
  <c r="FD21" i="7"/>
  <c r="DY84" i="7"/>
  <c r="FD55" i="7"/>
  <c r="EX59" i="7"/>
  <c r="FJ99" i="7"/>
  <c r="EG25" i="7"/>
  <c r="FJ77" i="7"/>
  <c r="FJ38" i="7"/>
  <c r="DP98" i="7"/>
  <c r="EG30" i="7"/>
  <c r="EG45" i="7"/>
  <c r="BW92" i="7"/>
  <c r="BX92" i="7" s="1"/>
  <c r="CC92" i="7" s="1"/>
  <c r="DV44" i="7"/>
  <c r="FD73" i="7"/>
  <c r="EX94" i="7"/>
  <c r="EX15" i="7"/>
  <c r="FD18" i="7"/>
  <c r="FJ40" i="7"/>
  <c r="EG60" i="7"/>
  <c r="FD64" i="7"/>
  <c r="EX8" i="7"/>
  <c r="DP28" i="7"/>
  <c r="DV39" i="7"/>
  <c r="DP24" i="7"/>
  <c r="DP64" i="7"/>
  <c r="EX34" i="7"/>
  <c r="EG19" i="7"/>
  <c r="FD14" i="7"/>
  <c r="EX95" i="7"/>
  <c r="FJ18" i="7"/>
  <c r="DV78" i="7"/>
  <c r="FJ42" i="7"/>
  <c r="FJ8" i="7"/>
  <c r="FJ37" i="7"/>
  <c r="FD37" i="7"/>
  <c r="EX83" i="7"/>
  <c r="FJ21" i="7"/>
  <c r="DV95" i="7"/>
  <c r="EX61" i="7"/>
  <c r="DP10" i="7"/>
  <c r="DP35" i="7"/>
  <c r="DP31" i="7"/>
  <c r="DV34" i="7"/>
  <c r="EX91" i="7"/>
  <c r="EX20" i="7"/>
  <c r="DV58" i="7"/>
  <c r="DV5" i="7"/>
  <c r="FD11" i="7"/>
  <c r="DV76" i="7"/>
  <c r="EX57" i="7"/>
  <c r="FD45" i="7"/>
  <c r="DP88" i="7"/>
  <c r="DV69" i="7"/>
  <c r="DV81" i="7"/>
  <c r="DP37" i="7"/>
  <c r="BW27" i="7"/>
  <c r="BX27" i="7" s="1"/>
  <c r="CC27" i="7" s="1"/>
  <c r="CV53" i="7"/>
  <c r="DZ38" i="7"/>
  <c r="FD76" i="7"/>
  <c r="EG42" i="7"/>
  <c r="DP3" i="7"/>
  <c r="DV23" i="7"/>
  <c r="DV84" i="7"/>
  <c r="DV24" i="7"/>
  <c r="DV64" i="7"/>
  <c r="FJ33" i="7"/>
  <c r="FJ15" i="7"/>
  <c r="FJ14" i="7"/>
  <c r="FJ75" i="7"/>
  <c r="DV88" i="7"/>
  <c r="DP53" i="7"/>
  <c r="EG14" i="7"/>
  <c r="FD82" i="7"/>
  <c r="FD7" i="7"/>
  <c r="DV25" i="7"/>
  <c r="DV62" i="7"/>
  <c r="FJ91" i="7"/>
  <c r="FD56" i="7"/>
  <c r="FD69" i="7"/>
  <c r="FD50" i="7"/>
  <c r="DP87" i="7"/>
  <c r="DV79" i="7"/>
  <c r="FJ25" i="7"/>
  <c r="EX99" i="7"/>
  <c r="DP8" i="7"/>
  <c r="DP75" i="7"/>
  <c r="DV13" i="7"/>
  <c r="FD70" i="7"/>
  <c r="DP44" i="7"/>
  <c r="DP25" i="7"/>
  <c r="DV85" i="7"/>
  <c r="CV54" i="7"/>
  <c r="DY58" i="7"/>
  <c r="EA91" i="7"/>
  <c r="DV51" i="7"/>
  <c r="DV86" i="7"/>
  <c r="DP56" i="7"/>
  <c r="FJ76" i="7"/>
  <c r="DP23" i="7"/>
  <c r="DP84" i="7"/>
  <c r="FD33" i="7"/>
  <c r="EG52" i="7"/>
  <c r="EX54" i="7"/>
  <c r="EX55" i="7"/>
  <c r="EX56" i="7"/>
  <c r="DP7" i="7"/>
  <c r="EG6" i="7"/>
  <c r="DV83" i="7"/>
  <c r="DP100" i="7"/>
  <c r="DV100" i="7"/>
  <c r="FD42" i="7"/>
  <c r="EG76" i="7"/>
  <c r="EX37" i="7"/>
  <c r="EX81" i="7"/>
  <c r="EX70" i="7"/>
  <c r="EG56" i="7"/>
  <c r="FD101" i="7"/>
  <c r="DV35" i="7"/>
  <c r="FJ79" i="7"/>
  <c r="EG35" i="7"/>
  <c r="EX18" i="7"/>
  <c r="DP58" i="7"/>
  <c r="EA89" i="7"/>
  <c r="EP50" i="7"/>
  <c r="DV47" i="7"/>
  <c r="EX101" i="7"/>
  <c r="BW7" i="7"/>
  <c r="BX7" i="7" s="1"/>
  <c r="CC7" i="7" s="1"/>
  <c r="FD20" i="7"/>
  <c r="DP22" i="7"/>
  <c r="EI49" i="7"/>
  <c r="FD40" i="7"/>
  <c r="EX16" i="7"/>
  <c r="FD94" i="7"/>
  <c r="BW45" i="7"/>
  <c r="BX45" i="7" s="1"/>
  <c r="CC45" i="7" s="1"/>
  <c r="EX60" i="7"/>
  <c r="FD86" i="7"/>
  <c r="EP47" i="7"/>
  <c r="FD8" i="7"/>
  <c r="EX9" i="7"/>
  <c r="FJ69" i="7"/>
  <c r="DP43" i="7"/>
  <c r="DP83" i="7"/>
  <c r="FJ27" i="7"/>
  <c r="BW97" i="7"/>
  <c r="BX97" i="7" s="1"/>
  <c r="CC97" i="7" s="1"/>
  <c r="EG4" i="7"/>
  <c r="DV53" i="7"/>
  <c r="DV8" i="7"/>
  <c r="DV43" i="7"/>
  <c r="EP14" i="7"/>
  <c r="FJ94" i="7"/>
  <c r="FJ48" i="7"/>
  <c r="DV68" i="7"/>
  <c r="DP39" i="7"/>
  <c r="DV4" i="7"/>
  <c r="FJ46" i="7"/>
  <c r="EX88" i="7"/>
  <c r="FD100" i="7"/>
  <c r="EX71" i="7"/>
  <c r="DV30" i="7"/>
  <c r="EG12" i="7"/>
  <c r="EX62" i="7"/>
  <c r="DP86" i="7"/>
  <c r="FD19" i="7"/>
  <c r="DP46" i="7"/>
  <c r="DP45" i="7"/>
  <c r="FD58" i="7"/>
  <c r="FJ39" i="7"/>
  <c r="DP26" i="7"/>
  <c r="DV29" i="7"/>
  <c r="DP9" i="7"/>
  <c r="CV27" i="7"/>
  <c r="DV33" i="7"/>
  <c r="DP77" i="7"/>
  <c r="CV98" i="7"/>
  <c r="DV7" i="7"/>
  <c r="DV14" i="7"/>
  <c r="DV91" i="7"/>
  <c r="FJ49" i="7"/>
  <c r="EX50" i="7"/>
  <c r="EP30" i="7"/>
  <c r="EP90" i="7"/>
  <c r="EX11" i="7"/>
  <c r="FD71" i="7"/>
  <c r="EX12" i="7"/>
  <c r="BW12" i="7"/>
  <c r="BX12" i="7" s="1"/>
  <c r="CC12" i="7" s="1"/>
  <c r="FJ92" i="7"/>
  <c r="EX13" i="7"/>
  <c r="EX93" i="7"/>
  <c r="EX36" i="7"/>
  <c r="DV63" i="7"/>
  <c r="EG49" i="7"/>
  <c r="DP47" i="7"/>
  <c r="FD24" i="7"/>
  <c r="FJ86" i="7"/>
  <c r="FJ67" i="7"/>
  <c r="EG94" i="7"/>
  <c r="EP86" i="7"/>
  <c r="DP40" i="7"/>
  <c r="EP17" i="7"/>
  <c r="FD46" i="7"/>
  <c r="FD87" i="7"/>
  <c r="BW53" i="7"/>
  <c r="BX53" i="7" s="1"/>
  <c r="CC53" i="7" s="1"/>
  <c r="DZ59" i="7"/>
  <c r="EP36" i="7"/>
  <c r="EH36" i="7"/>
  <c r="CP85" i="7"/>
  <c r="EN85" i="7"/>
  <c r="EN51" i="7"/>
  <c r="CP51" i="7"/>
  <c r="EP11" i="7"/>
  <c r="EN94" i="7"/>
  <c r="CP94" i="7"/>
  <c r="EN55" i="7"/>
  <c r="CP55" i="7"/>
  <c r="EN44" i="7"/>
  <c r="CP44" i="7"/>
  <c r="EG3" i="7"/>
  <c r="EG40" i="7"/>
  <c r="EN23" i="7"/>
  <c r="CP23" i="7"/>
  <c r="EP21" i="7"/>
  <c r="EP51" i="7"/>
  <c r="EP88" i="7"/>
  <c r="EH88" i="7"/>
  <c r="EN43" i="7"/>
  <c r="CP43" i="7"/>
  <c r="EP83" i="7"/>
  <c r="EG53" i="7"/>
  <c r="EN6" i="7"/>
  <c r="CP6" i="7"/>
  <c r="CV69" i="7"/>
  <c r="CU69" i="7"/>
  <c r="EH86" i="7"/>
  <c r="EG5" i="7"/>
  <c r="DY56" i="7"/>
  <c r="EP45" i="7"/>
  <c r="EP35" i="7"/>
  <c r="EP89" i="7"/>
  <c r="EG16" i="7"/>
  <c r="DY54" i="7"/>
  <c r="BW22" i="7"/>
  <c r="BX22" i="7" s="1"/>
  <c r="CC22" i="7" s="1"/>
  <c r="EE22" i="7"/>
  <c r="EG92" i="7"/>
  <c r="EN88" i="7"/>
  <c r="CP88" i="7"/>
  <c r="DY67" i="7"/>
  <c r="EG7" i="7"/>
  <c r="EG91" i="7"/>
  <c r="EN21" i="7"/>
  <c r="CP21" i="7"/>
  <c r="EN83" i="7"/>
  <c r="CP83" i="7"/>
  <c r="EG100" i="7"/>
  <c r="DY3" i="7"/>
  <c r="EE26" i="7"/>
  <c r="BX26" i="7"/>
  <c r="CC26" i="7" s="1"/>
  <c r="EN67" i="7"/>
  <c r="CP67" i="7"/>
  <c r="EG67" i="7"/>
  <c r="EP77" i="7"/>
  <c r="CV9" i="7"/>
  <c r="CU9" i="7"/>
  <c r="EP46" i="7"/>
  <c r="BW17" i="7"/>
  <c r="BX17" i="7" s="1"/>
  <c r="CC17" i="7" s="1"/>
  <c r="BW82" i="7"/>
  <c r="BX82" i="7" s="1"/>
  <c r="CC82" i="7" s="1"/>
  <c r="EE82" i="7"/>
  <c r="EG66" i="7"/>
  <c r="EN100" i="7"/>
  <c r="CP100" i="7"/>
  <c r="EP29" i="7"/>
  <c r="EE10" i="7"/>
  <c r="BW10" i="7"/>
  <c r="BX10" i="7" s="1"/>
  <c r="CC10" i="7" s="1"/>
  <c r="EN34" i="7"/>
  <c r="CP34" i="7"/>
  <c r="EN93" i="7"/>
  <c r="CP93" i="7"/>
  <c r="EP94" i="7"/>
  <c r="EH33" i="7"/>
  <c r="EP33" i="7"/>
  <c r="EG34" i="7"/>
  <c r="EP99" i="7"/>
  <c r="EH99" i="7"/>
  <c r="EG26" i="7"/>
  <c r="CV73" i="7"/>
  <c r="CU73" i="7"/>
  <c r="EG96" i="7"/>
  <c r="EN46" i="7"/>
  <c r="CP46" i="7"/>
  <c r="EN57" i="7"/>
  <c r="CP57" i="7"/>
  <c r="EP66" i="7"/>
  <c r="EN31" i="7"/>
  <c r="CP31" i="7"/>
  <c r="EP73" i="7"/>
  <c r="EP58" i="7"/>
  <c r="EH58" i="7"/>
  <c r="EN37" i="7"/>
  <c r="CP37" i="7"/>
  <c r="EH61" i="7"/>
  <c r="EP61" i="7"/>
  <c r="BW80" i="7"/>
  <c r="BX80" i="7" s="1"/>
  <c r="CC80" i="7" s="1"/>
  <c r="EE80" i="7"/>
  <c r="DY29" i="7"/>
  <c r="EG74" i="7"/>
  <c r="EP54" i="7"/>
  <c r="EG86" i="7"/>
  <c r="EN75" i="7"/>
  <c r="CP75" i="7"/>
  <c r="EN79" i="7"/>
  <c r="CP79" i="7"/>
  <c r="EP25" i="7"/>
  <c r="EN61" i="7"/>
  <c r="CP61" i="7"/>
  <c r="EG68" i="7"/>
  <c r="EN8" i="7"/>
  <c r="CP8" i="7"/>
  <c r="BW47" i="7"/>
  <c r="BX47" i="7" s="1"/>
  <c r="CC47" i="7" s="1"/>
  <c r="DY36" i="7"/>
  <c r="DZ25" i="7"/>
  <c r="EN19" i="7"/>
  <c r="CP19" i="7"/>
  <c r="EP57" i="7"/>
  <c r="EG84" i="7"/>
  <c r="EP6" i="7"/>
  <c r="CP89" i="7"/>
  <c r="EN89" i="7"/>
  <c r="EN72" i="7"/>
  <c r="CP72" i="7"/>
  <c r="EE32" i="7"/>
  <c r="BW32" i="7"/>
  <c r="BX32" i="7" s="1"/>
  <c r="CC32" i="7" s="1"/>
  <c r="EP75" i="7"/>
  <c r="EG15" i="7"/>
  <c r="EH5" i="7"/>
  <c r="EH6" i="7"/>
  <c r="EG77" i="7"/>
  <c r="DY30" i="7"/>
  <c r="DY15" i="7"/>
  <c r="EG82" i="7"/>
  <c r="EG23" i="7"/>
  <c r="EN18" i="7"/>
  <c r="CP18" i="7"/>
  <c r="EP78" i="7"/>
  <c r="BW78" i="7"/>
  <c r="BX78" i="7" s="1"/>
  <c r="CC78" i="7" s="1"/>
  <c r="EE66" i="7"/>
  <c r="BX66" i="7"/>
  <c r="CC66" i="7" s="1"/>
  <c r="EP101" i="7"/>
  <c r="EP42" i="7"/>
  <c r="EP82" i="7"/>
  <c r="EP24" i="7"/>
  <c r="EH24" i="7"/>
  <c r="EG89" i="7"/>
  <c r="EG41" i="7"/>
  <c r="BW3" i="7"/>
  <c r="BX3" i="7" s="1"/>
  <c r="CC3" i="7" s="1"/>
  <c r="EN7" i="7"/>
  <c r="CP7" i="7"/>
  <c r="EH68" i="7"/>
  <c r="DY81" i="7"/>
  <c r="DY14" i="7"/>
  <c r="EG22" i="7"/>
  <c r="DY49" i="7"/>
  <c r="EG44" i="7"/>
  <c r="EP39" i="7"/>
  <c r="EN99" i="7"/>
  <c r="CP99" i="7"/>
  <c r="EN26" i="7"/>
  <c r="CP26" i="7"/>
  <c r="EP87" i="7"/>
  <c r="EG95" i="7"/>
  <c r="EP79" i="7"/>
  <c r="EG73" i="7"/>
  <c r="EP65" i="7"/>
  <c r="EH65" i="7"/>
  <c r="DY31" i="7"/>
  <c r="EG78" i="7"/>
  <c r="EN78" i="7"/>
  <c r="CP78" i="7"/>
  <c r="EG90" i="7"/>
  <c r="EN82" i="7"/>
  <c r="CP82" i="7"/>
  <c r="EN81" i="7"/>
  <c r="CP81" i="7"/>
  <c r="EP7" i="7"/>
  <c r="EH32" i="7"/>
  <c r="EP32" i="7"/>
  <c r="EP95" i="7"/>
  <c r="EP34" i="7"/>
  <c r="EE19" i="7"/>
  <c r="BW19" i="7"/>
  <c r="BX19" i="7" s="1"/>
  <c r="CC19" i="7" s="1"/>
  <c r="EP2" i="7"/>
  <c r="EN84" i="7"/>
  <c r="CP84" i="7"/>
  <c r="EE46" i="7"/>
  <c r="EG69" i="7"/>
  <c r="DY27" i="7"/>
  <c r="FJ26" i="7"/>
  <c r="EG98" i="7"/>
  <c r="EN17" i="7"/>
  <c r="CP17" i="7"/>
  <c r="EH28" i="7"/>
  <c r="EP28" i="7"/>
  <c r="EN66" i="7"/>
  <c r="CP66" i="7"/>
  <c r="EP81" i="7"/>
  <c r="EH81" i="7"/>
  <c r="EP63" i="7"/>
  <c r="EH63" i="7"/>
  <c r="DV6" i="7"/>
  <c r="DY5" i="7"/>
  <c r="EE15" i="7"/>
  <c r="BW15" i="7"/>
  <c r="BX15" i="7" s="1"/>
  <c r="CC15" i="7" s="1"/>
  <c r="EG47" i="7"/>
  <c r="EP19" i="7"/>
  <c r="EP15" i="7"/>
  <c r="EP12" i="7"/>
  <c r="BW72" i="7"/>
  <c r="BX72" i="7" s="1"/>
  <c r="CC72" i="7" s="1"/>
  <c r="EE72" i="7"/>
  <c r="EN14" i="7"/>
  <c r="CP14" i="7"/>
  <c r="CV91" i="7"/>
  <c r="CU91" i="7"/>
  <c r="FJ66" i="7"/>
  <c r="CP87" i="7"/>
  <c r="EN87" i="7"/>
  <c r="EP48" i="7"/>
  <c r="EP62" i="7"/>
  <c r="EH62" i="7"/>
  <c r="EN77" i="7"/>
  <c r="CP77" i="7"/>
  <c r="BW4" i="7"/>
  <c r="BX4" i="7" s="1"/>
  <c r="CC4" i="7" s="1"/>
  <c r="EG63" i="7"/>
  <c r="EG61" i="7"/>
  <c r="EE59" i="7"/>
  <c r="BW59" i="7"/>
  <c r="BX59" i="7" s="1"/>
  <c r="CC59" i="7" s="1"/>
  <c r="EH21" i="7"/>
  <c r="EJ69" i="7"/>
  <c r="EE65" i="7"/>
  <c r="BW65" i="7"/>
  <c r="BX65" i="7" s="1"/>
  <c r="CC65" i="7" s="1"/>
  <c r="EG24" i="7"/>
  <c r="EN49" i="7"/>
  <c r="CP49" i="7"/>
  <c r="EN32" i="7"/>
  <c r="CP32" i="7"/>
  <c r="EP9" i="7"/>
  <c r="BW55" i="7"/>
  <c r="BX55" i="7" s="1"/>
  <c r="CC55" i="7" s="1"/>
  <c r="EP100" i="7"/>
  <c r="EG43" i="7"/>
  <c r="EG31" i="7"/>
  <c r="EG79" i="7"/>
  <c r="EN62" i="7"/>
  <c r="CP62" i="7"/>
  <c r="EG10" i="7"/>
  <c r="EP41" i="7"/>
  <c r="EG101" i="7"/>
  <c r="EN64" i="7"/>
  <c r="CP64" i="7"/>
  <c r="BW46" i="7"/>
  <c r="BX46" i="7" s="1"/>
  <c r="CC46" i="7" s="1"/>
  <c r="CV28" i="7"/>
  <c r="CU28" i="7"/>
  <c r="BW9" i="7"/>
  <c r="BX9" i="7" s="1"/>
  <c r="CC9" i="7" s="1"/>
  <c r="CV90" i="7"/>
  <c r="DY73" i="7"/>
  <c r="EI56" i="7"/>
  <c r="BW41" i="7"/>
  <c r="BX41" i="7" s="1"/>
  <c r="CC41" i="7" s="1"/>
  <c r="BW29" i="7"/>
  <c r="BX29" i="7" s="1"/>
  <c r="CC29" i="7" s="1"/>
  <c r="DZ47" i="7"/>
  <c r="EH74" i="7"/>
  <c r="EH90" i="7"/>
  <c r="EH57" i="7"/>
  <c r="EE93" i="7"/>
  <c r="BW93" i="7"/>
  <c r="BX93" i="7" s="1"/>
  <c r="CC93" i="7" s="1"/>
  <c r="EN10" i="7"/>
  <c r="CP10" i="7"/>
  <c r="EN15" i="7"/>
  <c r="CP15" i="7"/>
  <c r="EP91" i="7"/>
  <c r="BW39" i="7"/>
  <c r="BX39" i="7" s="1"/>
  <c r="CC39" i="7" s="1"/>
  <c r="EP53" i="7"/>
  <c r="EP72" i="7"/>
  <c r="EP3" i="7"/>
  <c r="EH3" i="7"/>
  <c r="EG97" i="7"/>
  <c r="DY4" i="7"/>
  <c r="EN41" i="7"/>
  <c r="CP41" i="7"/>
  <c r="EG72" i="7"/>
  <c r="DY24" i="7"/>
  <c r="EG28" i="7"/>
  <c r="DY88" i="7"/>
  <c r="EG81" i="7"/>
  <c r="EP96" i="7"/>
  <c r="EH96" i="7"/>
  <c r="EE94" i="7"/>
  <c r="BW94" i="7"/>
  <c r="BX94" i="7" s="1"/>
  <c r="CC94" i="7" s="1"/>
  <c r="EP10" i="7"/>
  <c r="EG37" i="7"/>
  <c r="EG18" i="7"/>
  <c r="EN3" i="7"/>
  <c r="CP3" i="7"/>
  <c r="EN48" i="7"/>
  <c r="CP48" i="7"/>
  <c r="EP22" i="7"/>
  <c r="EG48" i="7"/>
  <c r="EP23" i="7"/>
  <c r="EG36" i="7"/>
  <c r="EH11" i="7"/>
  <c r="BW81" i="7"/>
  <c r="BX81" i="7" s="1"/>
  <c r="CC81" i="7" s="1"/>
  <c r="EN92" i="7"/>
  <c r="CP92" i="7"/>
  <c r="BW79" i="7"/>
  <c r="BX79" i="7" s="1"/>
  <c r="CC79" i="7" s="1"/>
  <c r="EP18" i="7"/>
  <c r="EN38" i="7"/>
  <c r="CP38" i="7"/>
  <c r="EP59" i="7"/>
  <c r="EH59" i="7"/>
  <c r="EP27" i="7"/>
  <c r="CV95" i="7"/>
  <c r="CU95" i="7"/>
  <c r="EH97" i="7"/>
  <c r="EP97" i="7"/>
  <c r="EG2" i="7"/>
  <c r="EN63" i="7"/>
  <c r="CP63" i="7"/>
  <c r="EG71" i="7"/>
  <c r="DY28" i="7"/>
  <c r="EH73" i="7"/>
  <c r="EN40" i="7"/>
  <c r="CP40" i="7"/>
  <c r="EH52" i="7"/>
  <c r="EP52" i="7"/>
  <c r="EN74" i="7"/>
  <c r="CP74" i="7"/>
  <c r="EP98" i="7"/>
  <c r="EH98" i="7"/>
  <c r="EG87" i="7"/>
  <c r="EN68" i="7"/>
  <c r="CP68" i="7"/>
  <c r="EG9" i="7"/>
  <c r="EN22" i="7"/>
  <c r="CP22" i="7"/>
  <c r="BW77" i="7"/>
  <c r="BX77" i="7" s="1"/>
  <c r="CC77" i="7" s="1"/>
  <c r="EN4" i="7"/>
  <c r="CP4" i="7"/>
  <c r="EP38" i="7"/>
  <c r="BW42" i="7"/>
  <c r="BX42" i="7" s="1"/>
  <c r="CC42" i="7" s="1"/>
  <c r="EE42" i="7"/>
  <c r="EG50" i="7"/>
  <c r="DY63" i="7"/>
  <c r="EG13" i="7"/>
  <c r="DY64" i="7"/>
  <c r="EP44" i="7"/>
  <c r="EP67" i="7"/>
  <c r="EN52" i="7"/>
  <c r="CP52" i="7"/>
  <c r="EN59" i="7"/>
  <c r="CP59" i="7"/>
  <c r="EN97" i="7"/>
  <c r="CP97" i="7"/>
  <c r="EN76" i="7"/>
  <c r="CP76" i="7"/>
  <c r="EN39" i="7"/>
  <c r="CP39" i="7"/>
  <c r="EE14" i="7"/>
  <c r="BW14" i="7"/>
  <c r="BX14" i="7" s="1"/>
  <c r="CC14" i="7" s="1"/>
  <c r="EN42" i="7"/>
  <c r="CP42" i="7"/>
  <c r="EN24" i="7"/>
  <c r="CP24" i="7"/>
  <c r="EH4" i="7"/>
  <c r="EP4" i="7"/>
  <c r="EN101" i="7"/>
  <c r="CP101" i="7"/>
  <c r="BW44" i="7"/>
  <c r="BX44" i="7" s="1"/>
  <c r="CC44" i="7" s="1"/>
  <c r="EN45" i="7"/>
  <c r="CP45" i="7"/>
  <c r="EN12" i="7"/>
  <c r="CP12" i="7"/>
  <c r="EP13" i="7"/>
  <c r="EG51" i="7"/>
  <c r="DY53" i="7"/>
  <c r="FJ6" i="7"/>
  <c r="EN36" i="7"/>
  <c r="CP36" i="7"/>
  <c r="EP55" i="7"/>
  <c r="EN58" i="7"/>
  <c r="CP58" i="7"/>
  <c r="EN47" i="7"/>
  <c r="CP47" i="7"/>
  <c r="EH55" i="7"/>
  <c r="EH51" i="7"/>
  <c r="EN50" i="7"/>
  <c r="CP50" i="7"/>
  <c r="EN2" i="7"/>
  <c r="EP8" i="7"/>
  <c r="BW67" i="7"/>
  <c r="BX67" i="7" s="1"/>
  <c r="CC67" i="7" s="1"/>
  <c r="EP85" i="7"/>
  <c r="EH85" i="7"/>
  <c r="EN35" i="7"/>
  <c r="CP35" i="7"/>
  <c r="EP16" i="7"/>
  <c r="EP93" i="7"/>
  <c r="EH93" i="7"/>
  <c r="EG58" i="7"/>
  <c r="DY78" i="7"/>
  <c r="BW68" i="7"/>
  <c r="BX68" i="7" s="1"/>
  <c r="CC68" i="7" s="1"/>
  <c r="EH83" i="7"/>
  <c r="CV5" i="7"/>
  <c r="DY75" i="7"/>
  <c r="EH54" i="7"/>
  <c r="CV25" i="7"/>
  <c r="EH50" i="7"/>
  <c r="EH47" i="7"/>
  <c r="DY51" i="7"/>
  <c r="DY7" i="7"/>
  <c r="EH14" i="7"/>
  <c r="EH30" i="7"/>
  <c r="DY83" i="7"/>
  <c r="EP31" i="7"/>
  <c r="BW23" i="7"/>
  <c r="BX23" i="7" s="1"/>
  <c r="CC23" i="7" s="1"/>
  <c r="DY86" i="7"/>
  <c r="EH10" i="7"/>
  <c r="DV16" i="7"/>
  <c r="EN16" i="7"/>
  <c r="CP16" i="7"/>
  <c r="DV12" i="7"/>
  <c r="EN33" i="7"/>
  <c r="CP33" i="7"/>
  <c r="EN11" i="7"/>
  <c r="CP11" i="7"/>
  <c r="EN13" i="7"/>
  <c r="CP13" i="7"/>
  <c r="DY33" i="7"/>
  <c r="EG64" i="7"/>
  <c r="EG54" i="7"/>
  <c r="EG27" i="7"/>
  <c r="DY87" i="7"/>
  <c r="EG20" i="7"/>
  <c r="EG39" i="7"/>
  <c r="EG99" i="7"/>
  <c r="EP40" i="7"/>
  <c r="EP37" i="7"/>
  <c r="F28" i="4"/>
  <c r="F30" i="4"/>
  <c r="F29" i="4"/>
  <c r="E16" i="3"/>
  <c r="J16" i="3" s="1"/>
  <c r="E13" i="3"/>
  <c r="J13" i="3" s="1"/>
  <c r="E14" i="3"/>
  <c r="E12" i="3"/>
  <c r="J12" i="3" s="1"/>
  <c r="F10" i="2"/>
  <c r="ER69" i="7" l="1"/>
  <c r="ER38" i="7"/>
  <c r="ER2" i="7"/>
  <c r="ER56" i="7"/>
  <c r="ER14" i="7"/>
  <c r="ER93" i="7"/>
  <c r="ER17" i="7"/>
  <c r="ER70" i="7"/>
  <c r="ER46" i="7"/>
  <c r="ER88" i="7"/>
  <c r="ER25" i="7"/>
  <c r="ER71" i="7"/>
  <c r="ER83" i="7"/>
  <c r="ER85" i="7"/>
  <c r="CU29" i="7"/>
  <c r="ER33" i="7"/>
  <c r="ER35" i="7"/>
  <c r="ER76" i="7"/>
  <c r="CV20" i="7"/>
  <c r="ER12" i="7"/>
  <c r="ER90" i="7"/>
  <c r="ER86" i="7"/>
  <c r="ER4" i="7"/>
  <c r="ER29" i="7"/>
  <c r="ER18" i="7"/>
  <c r="ER42" i="7"/>
  <c r="CU60" i="7"/>
  <c r="CV60" i="7"/>
  <c r="ER57" i="7"/>
  <c r="ER52" i="7"/>
  <c r="ER75" i="7"/>
  <c r="ER64" i="7"/>
  <c r="ER32" i="7"/>
  <c r="ER68" i="7"/>
  <c r="ER66" i="7"/>
  <c r="ER6" i="7"/>
  <c r="ER98" i="7"/>
  <c r="ER82" i="7"/>
  <c r="CU30" i="7"/>
  <c r="CV30" i="7"/>
  <c r="CU70" i="7"/>
  <c r="CV70" i="7"/>
  <c r="ER49" i="7"/>
  <c r="ER36" i="7"/>
  <c r="CV96" i="7"/>
  <c r="ER20" i="7"/>
  <c r="ER19" i="7"/>
  <c r="CU56" i="7"/>
  <c r="CV56" i="7"/>
  <c r="CV65" i="7"/>
  <c r="ER55" i="7"/>
  <c r="CU71" i="7"/>
  <c r="CV71" i="7"/>
  <c r="ER26" i="7"/>
  <c r="ER50" i="7"/>
  <c r="ER62" i="7"/>
  <c r="ER59" i="7"/>
  <c r="ER78" i="7"/>
  <c r="ER47" i="7"/>
  <c r="ER22" i="7"/>
  <c r="ER60" i="7"/>
  <c r="ER8" i="7"/>
  <c r="ER87" i="7"/>
  <c r="ER43" i="7"/>
  <c r="ER11" i="7"/>
  <c r="ER30" i="7"/>
  <c r="ER74" i="7"/>
  <c r="ER92" i="7"/>
  <c r="ER39" i="7"/>
  <c r="ER67" i="7"/>
  <c r="ER94" i="7"/>
  <c r="ER81" i="7"/>
  <c r="ER96" i="7"/>
  <c r="CV80" i="7"/>
  <c r="CU80" i="7"/>
  <c r="ER99" i="7"/>
  <c r="ER24" i="7"/>
  <c r="ER65" i="7"/>
  <c r="ER16" i="7"/>
  <c r="ER21" i="7"/>
  <c r="ER28" i="7"/>
  <c r="ER15" i="7"/>
  <c r="ER72" i="7"/>
  <c r="ER45" i="7"/>
  <c r="ER58" i="7"/>
  <c r="ER27" i="7"/>
  <c r="ER48" i="7"/>
  <c r="ER100" i="7"/>
  <c r="ER84" i="7"/>
  <c r="ER9" i="7"/>
  <c r="ER54" i="7"/>
  <c r="ER10" i="7"/>
  <c r="ER73" i="7"/>
  <c r="CV7" i="7"/>
  <c r="CU7" i="7"/>
  <c r="CV43" i="7"/>
  <c r="CU43" i="7"/>
  <c r="CV35" i="7"/>
  <c r="CU35" i="7"/>
  <c r="CV11" i="7"/>
  <c r="CU11" i="7"/>
  <c r="CU52" i="7"/>
  <c r="CV52" i="7"/>
  <c r="CU62" i="7"/>
  <c r="CV62" i="7"/>
  <c r="CU72" i="7"/>
  <c r="CV72" i="7"/>
  <c r="CU100" i="7"/>
  <c r="CV100" i="7"/>
  <c r="CU23" i="7"/>
  <c r="CV23" i="7"/>
  <c r="CV33" i="7"/>
  <c r="CU33" i="7"/>
  <c r="ER40" i="7"/>
  <c r="CV49" i="7"/>
  <c r="CU49" i="7"/>
  <c r="CU45" i="7"/>
  <c r="CV45" i="7"/>
  <c r="CV64" i="7"/>
  <c r="CU64" i="7"/>
  <c r="CV87" i="7"/>
  <c r="CU87" i="7"/>
  <c r="CU97" i="7"/>
  <c r="CV97" i="7"/>
  <c r="CU85" i="7"/>
  <c r="CV85" i="7"/>
  <c r="CV41" i="7"/>
  <c r="CU41" i="7"/>
  <c r="CV14" i="7"/>
  <c r="CU14" i="7"/>
  <c r="CU18" i="7"/>
  <c r="CV18" i="7"/>
  <c r="CV101" i="7"/>
  <c r="CU101" i="7"/>
  <c r="CV68" i="7"/>
  <c r="CU68" i="7"/>
  <c r="CU17" i="7"/>
  <c r="CV17" i="7"/>
  <c r="CV3" i="7"/>
  <c r="CU3" i="7"/>
  <c r="CV81" i="7"/>
  <c r="CU81" i="7"/>
  <c r="CV83" i="7"/>
  <c r="CU83" i="7"/>
  <c r="CV24" i="7"/>
  <c r="CU24" i="7"/>
  <c r="ER97" i="7"/>
  <c r="ER79" i="7"/>
  <c r="ER95" i="7"/>
  <c r="ER41" i="7"/>
  <c r="CU36" i="7"/>
  <c r="CV36" i="7"/>
  <c r="ER31" i="7"/>
  <c r="CU82" i="7"/>
  <c r="CV82" i="7"/>
  <c r="ER89" i="7"/>
  <c r="CV89" i="7"/>
  <c r="CU89" i="7"/>
  <c r="CV61" i="7"/>
  <c r="CU61" i="7"/>
  <c r="CV21" i="7"/>
  <c r="CU21" i="7"/>
  <c r="ER3" i="7"/>
  <c r="ER61" i="7"/>
  <c r="CU26" i="7"/>
  <c r="CV26" i="7"/>
  <c r="ER23" i="7"/>
  <c r="CV44" i="7"/>
  <c r="CU44" i="7"/>
  <c r="CU22" i="7"/>
  <c r="CV22" i="7"/>
  <c r="CV67" i="7"/>
  <c r="CU67" i="7"/>
  <c r="CU13" i="7"/>
  <c r="CV13" i="7"/>
  <c r="CU48" i="7"/>
  <c r="CV48" i="7"/>
  <c r="CU16" i="7"/>
  <c r="CV16" i="7"/>
  <c r="CU42" i="7"/>
  <c r="CV42" i="7"/>
  <c r="CV74" i="7"/>
  <c r="CU74" i="7"/>
  <c r="ER63" i="7"/>
  <c r="CV47" i="7"/>
  <c r="CU47" i="7"/>
  <c r="ER13" i="7"/>
  <c r="ER37" i="7"/>
  <c r="CV79" i="7"/>
  <c r="CU79" i="7"/>
  <c r="CV31" i="7"/>
  <c r="CU31" i="7"/>
  <c r="CV51" i="7"/>
  <c r="CU51" i="7"/>
  <c r="CV59" i="7"/>
  <c r="CU59" i="7"/>
  <c r="CU58" i="7"/>
  <c r="CV58" i="7"/>
  <c r="CU2" i="7"/>
  <c r="CV2" i="7"/>
  <c r="CU38" i="7"/>
  <c r="CV38" i="7"/>
  <c r="CV84" i="7"/>
  <c r="CU84" i="7"/>
  <c r="ER34" i="7"/>
  <c r="ER91" i="7"/>
  <c r="CV34" i="7"/>
  <c r="CU34" i="7"/>
  <c r="CU37" i="7"/>
  <c r="CV37" i="7"/>
  <c r="CU77" i="7"/>
  <c r="CV77" i="7"/>
  <c r="CV99" i="7"/>
  <c r="CU99" i="7"/>
  <c r="ER77" i="7"/>
  <c r="CV75" i="7"/>
  <c r="CU75" i="7"/>
  <c r="ER7" i="7"/>
  <c r="CU6" i="7"/>
  <c r="CV6" i="7"/>
  <c r="CV55" i="7"/>
  <c r="CU55" i="7"/>
  <c r="CU46" i="7"/>
  <c r="CV46" i="7"/>
  <c r="ER51" i="7"/>
  <c r="CV39" i="7"/>
  <c r="CU39" i="7"/>
  <c r="CV40" i="7"/>
  <c r="CU40" i="7"/>
  <c r="CV15" i="7"/>
  <c r="CU15" i="7"/>
  <c r="CU63" i="7"/>
  <c r="CV63" i="7"/>
  <c r="CU50" i="7"/>
  <c r="CV50" i="7"/>
  <c r="CU32" i="7"/>
  <c r="CV32" i="7"/>
  <c r="CU78" i="7"/>
  <c r="CV78" i="7"/>
  <c r="CV88" i="7"/>
  <c r="CU88" i="7"/>
  <c r="ER53" i="7"/>
  <c r="CV94" i="7"/>
  <c r="CU94" i="7"/>
  <c r="CV4" i="7"/>
  <c r="CU4" i="7"/>
  <c r="ER101" i="7"/>
  <c r="CU66" i="7"/>
  <c r="CV66" i="7"/>
  <c r="CV8" i="7"/>
  <c r="CU8" i="7"/>
  <c r="CU12" i="7"/>
  <c r="CV12" i="7"/>
  <c r="CU76" i="7"/>
  <c r="CV76" i="7"/>
  <c r="CU92" i="7"/>
  <c r="CV92" i="7"/>
  <c r="CU10" i="7"/>
  <c r="CV10" i="7"/>
  <c r="ER44" i="7"/>
  <c r="CV19" i="7"/>
  <c r="CU19" i="7"/>
  <c r="CU57" i="7"/>
  <c r="CV57" i="7"/>
  <c r="CU93" i="7"/>
  <c r="CV93" i="7"/>
  <c r="C32" i="4"/>
  <c r="F13" i="2"/>
  <c r="F14" i="2"/>
  <c r="F15" i="2"/>
  <c r="F11" i="2"/>
  <c r="F12" i="2"/>
  <c r="C40" i="4" l="1"/>
  <c r="C42" i="4"/>
  <c r="E77" i="4"/>
  <c r="F77" i="4" s="1"/>
  <c r="L77" i="4"/>
  <c r="M77" i="4" s="1"/>
  <c r="M71" i="4" l="1"/>
  <c r="L73" i="4"/>
  <c r="L105" i="4" s="1"/>
  <c r="L104" i="4"/>
  <c r="L70" i="4"/>
  <c r="L102" i="4" s="1"/>
  <c r="L69" i="4"/>
  <c r="L101" i="4" s="1"/>
  <c r="L68" i="4"/>
  <c r="L100" i="4" s="1"/>
  <c r="L67" i="4"/>
  <c r="L99" i="4" s="1"/>
  <c r="E73" i="4"/>
  <c r="E72" i="4"/>
  <c r="E70" i="4"/>
  <c r="E102" i="4" s="1"/>
  <c r="E69" i="4"/>
  <c r="E101" i="4" s="1"/>
  <c r="E68" i="4"/>
  <c r="E67" i="4"/>
  <c r="E99" i="4" s="1"/>
  <c r="J105" i="4"/>
  <c r="J103" i="4"/>
  <c r="J101" i="4"/>
  <c r="J100" i="4"/>
  <c r="F72" i="4" l="1"/>
  <c r="E104" i="4"/>
  <c r="E100" i="4"/>
  <c r="F68" i="4"/>
  <c r="E105" i="4"/>
  <c r="F73" i="4"/>
  <c r="F70" i="4"/>
  <c r="F102" i="4" s="1"/>
  <c r="F69" i="4"/>
  <c r="F101" i="4" s="1"/>
  <c r="F104" i="4"/>
  <c r="F100" i="4"/>
  <c r="F105" i="4"/>
  <c r="M72" i="4"/>
  <c r="M104" i="4" s="1"/>
  <c r="M67" i="4"/>
  <c r="M99" i="4" s="1"/>
  <c r="M73" i="4"/>
  <c r="M105" i="4" s="1"/>
  <c r="M70" i="4"/>
  <c r="M102" i="4" s="1"/>
  <c r="M69" i="4"/>
  <c r="M101" i="4" s="1"/>
  <c r="M68" i="4"/>
  <c r="M100" i="4" s="1"/>
  <c r="F67" i="4"/>
  <c r="M75" i="4"/>
  <c r="M78" i="4" s="1"/>
  <c r="J108" i="4"/>
  <c r="C103" i="4"/>
  <c r="C108" i="4" s="1"/>
  <c r="J75" i="4"/>
  <c r="C75" i="4" s="1"/>
  <c r="M55" i="4"/>
  <c r="I42" i="4"/>
  <c r="C16" i="4"/>
  <c r="C38" i="4" s="1"/>
  <c r="M108" i="4" l="1"/>
  <c r="F99" i="4"/>
  <c r="F108" i="4" s="1"/>
  <c r="F75" i="4"/>
  <c r="F78" i="4" s="1"/>
  <c r="I38" i="4"/>
  <c r="I40" i="4"/>
  <c r="I44" i="4" s="1"/>
  <c r="C44" i="4" l="1"/>
  <c r="F6" i="3" l="1"/>
  <c r="F37" i="1" l="1"/>
  <c r="E37" i="1" s="1"/>
  <c r="E18" i="1"/>
  <c r="F17" i="1"/>
  <c r="H17" i="1" s="1"/>
  <c r="E17" i="1" l="1"/>
  <c r="H37" i="1"/>
  <c r="H35" i="1"/>
  <c r="H36" i="1"/>
  <c r="H38" i="1"/>
  <c r="H39" i="1"/>
  <c r="E35" i="1"/>
  <c r="E36" i="1"/>
  <c r="E38" i="1"/>
  <c r="E39" i="1"/>
  <c r="H34" i="1"/>
  <c r="E34" i="1"/>
  <c r="D37" i="1" s="1"/>
  <c r="E19" i="1"/>
  <c r="H15" i="1"/>
  <c r="H16" i="1"/>
  <c r="H18" i="1"/>
  <c r="D39" i="1" l="1"/>
  <c r="H40" i="1"/>
  <c r="E15" i="1" l="1"/>
  <c r="E16" i="1"/>
  <c r="H14" i="1"/>
  <c r="J20" i="1" s="1"/>
  <c r="E14" i="1"/>
  <c r="C6" i="2"/>
  <c r="C5" i="2"/>
  <c r="C4" i="2"/>
  <c r="C3" i="2"/>
  <c r="C2" i="2"/>
  <c r="J23" i="1" l="1"/>
  <c r="D19" i="1"/>
  <c r="D17" i="1"/>
  <c r="DC5" i="7" l="1"/>
  <c r="DC25" i="7"/>
  <c r="DC45" i="7"/>
  <c r="DC65" i="7"/>
  <c r="DC85" i="7"/>
  <c r="DC89" i="7"/>
  <c r="DC6" i="7"/>
  <c r="DC26" i="7"/>
  <c r="DC46" i="7"/>
  <c r="DC66" i="7"/>
  <c r="DC86" i="7"/>
  <c r="DC7" i="7"/>
  <c r="DC27" i="7"/>
  <c r="DC47" i="7"/>
  <c r="DC67" i="7"/>
  <c r="DC87" i="7"/>
  <c r="DC9" i="7"/>
  <c r="DC10" i="7"/>
  <c r="DC70" i="7"/>
  <c r="DC8" i="7"/>
  <c r="DC28" i="7"/>
  <c r="DC48" i="7"/>
  <c r="DC68" i="7"/>
  <c r="DC88" i="7"/>
  <c r="DC11" i="7"/>
  <c r="DC31" i="7"/>
  <c r="DC51" i="7"/>
  <c r="DC71" i="7"/>
  <c r="DC91" i="7"/>
  <c r="C40" i="3"/>
  <c r="DC18" i="7"/>
  <c r="DC38" i="7"/>
  <c r="DC58" i="7"/>
  <c r="DC78" i="7"/>
  <c r="DC98" i="7"/>
  <c r="DC19" i="7"/>
  <c r="DC39" i="7"/>
  <c r="DC59" i="7"/>
  <c r="DC79" i="7"/>
  <c r="DC99" i="7"/>
  <c r="DC21" i="7"/>
  <c r="DC41" i="7"/>
  <c r="DC81" i="7"/>
  <c r="DC101" i="7"/>
  <c r="DC20" i="7"/>
  <c r="DC40" i="7"/>
  <c r="DC60" i="7"/>
  <c r="DC80" i="7"/>
  <c r="DC100" i="7"/>
  <c r="DC61" i="7"/>
  <c r="DC22" i="7"/>
  <c r="DC42" i="7"/>
  <c r="DC62" i="7"/>
  <c r="DC82" i="7"/>
  <c r="DC4" i="7"/>
  <c r="DC24" i="7"/>
  <c r="DC44" i="7"/>
  <c r="DC64" i="7"/>
  <c r="DC29" i="7"/>
  <c r="DC50" i="7"/>
  <c r="DC90" i="7"/>
  <c r="DC3" i="7"/>
  <c r="DC23" i="7"/>
  <c r="DC43" i="7"/>
  <c r="DC63" i="7"/>
  <c r="DC83" i="7"/>
  <c r="DC84" i="7"/>
  <c r="DC69" i="7"/>
  <c r="DC30" i="7"/>
  <c r="DC52" i="7"/>
  <c r="DC55" i="7"/>
  <c r="DC14" i="7"/>
  <c r="DC53" i="7"/>
  <c r="DC54" i="7"/>
  <c r="DC56" i="7"/>
  <c r="DC57" i="7"/>
  <c r="DC72" i="7"/>
  <c r="DC74" i="7"/>
  <c r="DC75" i="7"/>
  <c r="DC97" i="7"/>
  <c r="DC37" i="7"/>
  <c r="DC12" i="7"/>
  <c r="DC73" i="7"/>
  <c r="DC13" i="7"/>
  <c r="DC15" i="7"/>
  <c r="DC76" i="7"/>
  <c r="DC16" i="7"/>
  <c r="DC77" i="7"/>
  <c r="DC17" i="7"/>
  <c r="DC92" i="7"/>
  <c r="DC36" i="7"/>
  <c r="DC49" i="7"/>
  <c r="DC32" i="7"/>
  <c r="DC93" i="7"/>
  <c r="DC95" i="7"/>
  <c r="DC33" i="7"/>
  <c r="DC94" i="7"/>
  <c r="DC34" i="7"/>
  <c r="DC35" i="7"/>
  <c r="DC96" i="7"/>
  <c r="J40" i="1"/>
  <c r="EC91" i="7" l="1"/>
  <c r="EQ91" i="7" s="1"/>
  <c r="FE91" i="7" s="1"/>
  <c r="DW91" i="7"/>
  <c r="DX91" i="7" s="1"/>
  <c r="EC99" i="7"/>
  <c r="EQ99" i="7" s="1"/>
  <c r="FE99" i="7" s="1"/>
  <c r="DW99" i="7"/>
  <c r="DX99" i="7" s="1"/>
  <c r="EC59" i="7"/>
  <c r="EQ59" i="7" s="1"/>
  <c r="FE59" i="7" s="1"/>
  <c r="DW59" i="7"/>
  <c r="DX59" i="7" s="1"/>
  <c r="EC11" i="7"/>
  <c r="EQ11" i="7" s="1"/>
  <c r="FE11" i="7" s="1"/>
  <c r="DW11" i="7"/>
  <c r="DX11" i="7" s="1"/>
  <c r="EC35" i="7"/>
  <c r="EQ35" i="7" s="1"/>
  <c r="FE35" i="7" s="1"/>
  <c r="DW35" i="7"/>
  <c r="DX35" i="7" s="1"/>
  <c r="EC6" i="7"/>
  <c r="EQ6" i="7" s="1"/>
  <c r="FE6" i="7" s="1"/>
  <c r="DW6" i="7"/>
  <c r="DX6" i="7" s="1"/>
  <c r="EC34" i="7"/>
  <c r="EQ34" i="7" s="1"/>
  <c r="FE34" i="7" s="1"/>
  <c r="DW34" i="7"/>
  <c r="DX34" i="7" s="1"/>
  <c r="EC12" i="7"/>
  <c r="EQ12" i="7" s="1"/>
  <c r="FE12" i="7" s="1"/>
  <c r="DW12" i="7"/>
  <c r="DX12" i="7" s="1"/>
  <c r="EC17" i="7"/>
  <c r="EQ17" i="7" s="1"/>
  <c r="FE17" i="7" s="1"/>
  <c r="DW17" i="7"/>
  <c r="DX17" i="7" s="1"/>
  <c r="EC48" i="7"/>
  <c r="EQ48" i="7" s="1"/>
  <c r="FE48" i="7" s="1"/>
  <c r="DW48" i="7"/>
  <c r="DX48" i="7" s="1"/>
  <c r="EC47" i="7"/>
  <c r="EQ47" i="7" s="1"/>
  <c r="FE47" i="7" s="1"/>
  <c r="DW47" i="7"/>
  <c r="DX47" i="7" s="1"/>
  <c r="EC84" i="7"/>
  <c r="EQ84" i="7" s="1"/>
  <c r="FE84" i="7" s="1"/>
  <c r="DW84" i="7"/>
  <c r="DX84" i="7" s="1"/>
  <c r="EC44" i="7"/>
  <c r="EQ44" i="7" s="1"/>
  <c r="FE44" i="7" s="1"/>
  <c r="DW44" i="7"/>
  <c r="DX44" i="7" s="1"/>
  <c r="EC28" i="7"/>
  <c r="EQ28" i="7" s="1"/>
  <c r="FE28" i="7" s="1"/>
  <c r="DW28" i="7"/>
  <c r="DX28" i="7" s="1"/>
  <c r="EC27" i="7"/>
  <c r="EQ27" i="7" s="1"/>
  <c r="FE27" i="7" s="1"/>
  <c r="DW27" i="7"/>
  <c r="DX27" i="7" s="1"/>
  <c r="EC51" i="7"/>
  <c r="EQ51" i="7" s="1"/>
  <c r="FE51" i="7" s="1"/>
  <c r="DW51" i="7"/>
  <c r="DX51" i="7" s="1"/>
  <c r="EC29" i="7"/>
  <c r="EQ29" i="7" s="1"/>
  <c r="FE29" i="7" s="1"/>
  <c r="DW29" i="7"/>
  <c r="DX29" i="7" s="1"/>
  <c r="EC30" i="7"/>
  <c r="EQ30" i="7" s="1"/>
  <c r="FE30" i="7" s="1"/>
  <c r="DW30" i="7"/>
  <c r="DX30" i="7" s="1"/>
  <c r="EC33" i="7"/>
  <c r="EQ33" i="7" s="1"/>
  <c r="FE33" i="7" s="1"/>
  <c r="DW33" i="7"/>
  <c r="DX33" i="7" s="1"/>
  <c r="EC67" i="7"/>
  <c r="EQ67" i="7" s="1"/>
  <c r="FE67" i="7" s="1"/>
  <c r="DW67" i="7"/>
  <c r="DX67" i="7" s="1"/>
  <c r="J27" i="3"/>
  <c r="J20" i="3"/>
  <c r="EC24" i="7"/>
  <c r="EQ24" i="7" s="1"/>
  <c r="FE24" i="7" s="1"/>
  <c r="DW24" i="7"/>
  <c r="DX24" i="7" s="1"/>
  <c r="EC8" i="7"/>
  <c r="EQ8" i="7" s="1"/>
  <c r="FE8" i="7" s="1"/>
  <c r="DW8" i="7"/>
  <c r="DX8" i="7" s="1"/>
  <c r="EC7" i="7"/>
  <c r="EQ7" i="7" s="1"/>
  <c r="FE7" i="7" s="1"/>
  <c r="DW7" i="7"/>
  <c r="DX7" i="7" s="1"/>
  <c r="EC73" i="7"/>
  <c r="EQ73" i="7" s="1"/>
  <c r="FE73" i="7" s="1"/>
  <c r="DW73" i="7"/>
  <c r="DX73" i="7" s="1"/>
  <c r="EC2" i="7"/>
  <c r="DX2" i="7"/>
  <c r="EC19" i="7"/>
  <c r="EQ19" i="7" s="1"/>
  <c r="FE19" i="7" s="1"/>
  <c r="DW19" i="7"/>
  <c r="DX19" i="7" s="1"/>
  <c r="EC61" i="7"/>
  <c r="EQ61" i="7" s="1"/>
  <c r="FE61" i="7" s="1"/>
  <c r="DW61" i="7"/>
  <c r="DX61" i="7" s="1"/>
  <c r="EC83" i="7"/>
  <c r="EQ83" i="7" s="1"/>
  <c r="FE83" i="7" s="1"/>
  <c r="DW83" i="7"/>
  <c r="DX83" i="7" s="1"/>
  <c r="EC4" i="7"/>
  <c r="EQ4" i="7" s="1"/>
  <c r="FE4" i="7" s="1"/>
  <c r="DW4" i="7"/>
  <c r="DX4" i="7" s="1"/>
  <c r="EC101" i="7"/>
  <c r="EQ101" i="7" s="1"/>
  <c r="FE101" i="7" s="1"/>
  <c r="DW101" i="7"/>
  <c r="DX101" i="7" s="1"/>
  <c r="EC50" i="7"/>
  <c r="EQ50" i="7" s="1"/>
  <c r="FE50" i="7" s="1"/>
  <c r="DW50" i="7"/>
  <c r="DX50" i="7" s="1"/>
  <c r="EC31" i="7"/>
  <c r="EQ31" i="7" s="1"/>
  <c r="FE31" i="7" s="1"/>
  <c r="DW31" i="7"/>
  <c r="DX31" i="7" s="1"/>
  <c r="EC56" i="7"/>
  <c r="EQ56" i="7" s="1"/>
  <c r="FE56" i="7" s="1"/>
  <c r="DW56" i="7"/>
  <c r="DX56" i="7" s="1"/>
  <c r="EC87" i="7"/>
  <c r="EQ87" i="7" s="1"/>
  <c r="FE87" i="7" s="1"/>
  <c r="DW87" i="7"/>
  <c r="DX87" i="7" s="1"/>
  <c r="EC92" i="7"/>
  <c r="EQ92" i="7" s="1"/>
  <c r="FE92" i="7" s="1"/>
  <c r="DW92" i="7"/>
  <c r="DX92" i="7" s="1"/>
  <c r="EC63" i="7"/>
  <c r="EQ63" i="7" s="1"/>
  <c r="FE63" i="7" s="1"/>
  <c r="DW63" i="7"/>
  <c r="DX63" i="7" s="1"/>
  <c r="EC100" i="7"/>
  <c r="EQ100" i="7" s="1"/>
  <c r="FE100" i="7" s="1"/>
  <c r="DW100" i="7"/>
  <c r="DX100" i="7" s="1"/>
  <c r="EC81" i="7"/>
  <c r="EQ81" i="7" s="1"/>
  <c r="FE81" i="7" s="1"/>
  <c r="DW81" i="7"/>
  <c r="DX81" i="7" s="1"/>
  <c r="EC72" i="7"/>
  <c r="EQ72" i="7" s="1"/>
  <c r="FE72" i="7" s="1"/>
  <c r="DW72" i="7"/>
  <c r="DX72" i="7" s="1"/>
  <c r="EC36" i="7"/>
  <c r="EQ36" i="7" s="1"/>
  <c r="FE36" i="7" s="1"/>
  <c r="DW36" i="7"/>
  <c r="DX36" i="7" s="1"/>
  <c r="EC94" i="7"/>
  <c r="EQ94" i="7" s="1"/>
  <c r="FE94" i="7" s="1"/>
  <c r="DW94" i="7"/>
  <c r="DX94" i="7" s="1"/>
  <c r="EC68" i="7"/>
  <c r="EQ68" i="7" s="1"/>
  <c r="FE68" i="7" s="1"/>
  <c r="DW68" i="7"/>
  <c r="DX68" i="7" s="1"/>
  <c r="EC69" i="7"/>
  <c r="EQ69" i="7" s="1"/>
  <c r="FE69" i="7" s="1"/>
  <c r="DW69" i="7"/>
  <c r="DX69" i="7" s="1"/>
  <c r="EC80" i="7"/>
  <c r="EQ80" i="7" s="1"/>
  <c r="FE80" i="7" s="1"/>
  <c r="DW80" i="7"/>
  <c r="DX80" i="7" s="1"/>
  <c r="EC77" i="7"/>
  <c r="EQ77" i="7" s="1"/>
  <c r="FE77" i="7" s="1"/>
  <c r="DW77" i="7"/>
  <c r="DX77" i="7" s="1"/>
  <c r="EC89" i="7"/>
  <c r="EQ89" i="7" s="1"/>
  <c r="FE89" i="7" s="1"/>
  <c r="DW89" i="7"/>
  <c r="DX89" i="7" s="1"/>
  <c r="EC95" i="7"/>
  <c r="EQ95" i="7" s="1"/>
  <c r="FE95" i="7" s="1"/>
  <c r="DW95" i="7"/>
  <c r="DX95" i="7" s="1"/>
  <c r="EC16" i="7"/>
  <c r="EQ16" i="7" s="1"/>
  <c r="FE16" i="7" s="1"/>
  <c r="DW16" i="7"/>
  <c r="DX16" i="7" s="1"/>
  <c r="EC75" i="7"/>
  <c r="EQ75" i="7" s="1"/>
  <c r="FE75" i="7" s="1"/>
  <c r="DW75" i="7"/>
  <c r="DX75" i="7" s="1"/>
  <c r="EC3" i="7"/>
  <c r="EQ3" i="7" s="1"/>
  <c r="FE3" i="7" s="1"/>
  <c r="DW3" i="7"/>
  <c r="DX3" i="7" s="1"/>
  <c r="EC62" i="7"/>
  <c r="EQ62" i="7" s="1"/>
  <c r="FE62" i="7" s="1"/>
  <c r="DW62" i="7"/>
  <c r="DX62" i="7" s="1"/>
  <c r="EC40" i="7"/>
  <c r="EQ40" i="7" s="1"/>
  <c r="FE40" i="7" s="1"/>
  <c r="DW40" i="7"/>
  <c r="DX40" i="7" s="1"/>
  <c r="EC85" i="7"/>
  <c r="EQ85" i="7" s="1"/>
  <c r="FE85" i="7" s="1"/>
  <c r="DW85" i="7"/>
  <c r="DX85" i="7" s="1"/>
  <c r="EC18" i="7"/>
  <c r="EQ18" i="7" s="1"/>
  <c r="FE18" i="7" s="1"/>
  <c r="DW18" i="7"/>
  <c r="DX18" i="7" s="1"/>
  <c r="FF18" i="7" s="1"/>
  <c r="EC79" i="7"/>
  <c r="EQ79" i="7" s="1"/>
  <c r="FE79" i="7" s="1"/>
  <c r="DW79" i="7"/>
  <c r="DX79" i="7" s="1"/>
  <c r="EC20" i="7"/>
  <c r="EQ20" i="7" s="1"/>
  <c r="FE20" i="7" s="1"/>
  <c r="DW20" i="7"/>
  <c r="DX20" i="7" s="1"/>
  <c r="EC65" i="7"/>
  <c r="EQ65" i="7" s="1"/>
  <c r="FE65" i="7" s="1"/>
  <c r="DW65" i="7"/>
  <c r="DX65" i="7" s="1"/>
  <c r="EC88" i="7"/>
  <c r="EQ88" i="7" s="1"/>
  <c r="FE88" i="7" s="1"/>
  <c r="DW88" i="7"/>
  <c r="DX88" i="7" s="1"/>
  <c r="FF88" i="7" s="1"/>
  <c r="EC21" i="7"/>
  <c r="EQ21" i="7" s="1"/>
  <c r="FE21" i="7" s="1"/>
  <c r="DW21" i="7"/>
  <c r="DX21" i="7" s="1"/>
  <c r="EC93" i="7"/>
  <c r="EQ93" i="7" s="1"/>
  <c r="FE93" i="7" s="1"/>
  <c r="DW93" i="7"/>
  <c r="DX93" i="7" s="1"/>
  <c r="FF93" i="7" s="1"/>
  <c r="EC22" i="7"/>
  <c r="EQ22" i="7" s="1"/>
  <c r="FE22" i="7" s="1"/>
  <c r="DW22" i="7"/>
  <c r="DX22" i="7" s="1"/>
  <c r="EC70" i="7"/>
  <c r="EQ70" i="7" s="1"/>
  <c r="FE70" i="7" s="1"/>
  <c r="DW70" i="7"/>
  <c r="DX70" i="7" s="1"/>
  <c r="EC45" i="7"/>
  <c r="EQ45" i="7" s="1"/>
  <c r="FE45" i="7" s="1"/>
  <c r="DW45" i="7"/>
  <c r="DX45" i="7" s="1"/>
  <c r="FF45" i="7" s="1"/>
  <c r="EC57" i="7"/>
  <c r="EQ57" i="7" s="1"/>
  <c r="FE57" i="7" s="1"/>
  <c r="DW57" i="7"/>
  <c r="DX57" i="7" s="1"/>
  <c r="EC76" i="7"/>
  <c r="EQ76" i="7" s="1"/>
  <c r="FE76" i="7" s="1"/>
  <c r="DW76" i="7"/>
  <c r="DX76" i="7" s="1"/>
  <c r="EC14" i="7"/>
  <c r="EQ14" i="7" s="1"/>
  <c r="FE14" i="7" s="1"/>
  <c r="DW14" i="7"/>
  <c r="DX14" i="7" s="1"/>
  <c r="EC98" i="7"/>
  <c r="EQ98" i="7" s="1"/>
  <c r="FE98" i="7" s="1"/>
  <c r="DW98" i="7"/>
  <c r="DX98" i="7" s="1"/>
  <c r="EC10" i="7"/>
  <c r="EQ10" i="7" s="1"/>
  <c r="FE10" i="7" s="1"/>
  <c r="DW10" i="7"/>
  <c r="DX10" i="7" s="1"/>
  <c r="EC86" i="7"/>
  <c r="EQ86" i="7" s="1"/>
  <c r="FE86" i="7" s="1"/>
  <c r="DW86" i="7"/>
  <c r="DX86" i="7" s="1"/>
  <c r="EC25" i="7"/>
  <c r="EQ25" i="7" s="1"/>
  <c r="FE25" i="7" s="1"/>
  <c r="DW25" i="7"/>
  <c r="DX25" i="7" s="1"/>
  <c r="EC71" i="7"/>
  <c r="EQ71" i="7" s="1"/>
  <c r="FE71" i="7" s="1"/>
  <c r="DW71" i="7"/>
  <c r="DX71" i="7" s="1"/>
  <c r="FF71" i="7" s="1"/>
  <c r="EC55" i="7"/>
  <c r="EQ55" i="7" s="1"/>
  <c r="FE55" i="7" s="1"/>
  <c r="DW55" i="7"/>
  <c r="DX55" i="7" s="1"/>
  <c r="EC78" i="7"/>
  <c r="EQ78" i="7" s="1"/>
  <c r="FE78" i="7" s="1"/>
  <c r="DW78" i="7"/>
  <c r="DX78" i="7" s="1"/>
  <c r="EC66" i="7"/>
  <c r="EQ66" i="7" s="1"/>
  <c r="FE66" i="7" s="1"/>
  <c r="DW66" i="7"/>
  <c r="DX66" i="7" s="1"/>
  <c r="EC5" i="7"/>
  <c r="EQ5" i="7" s="1"/>
  <c r="FE5" i="7" s="1"/>
  <c r="DW5" i="7"/>
  <c r="DX5" i="7" s="1"/>
  <c r="EC32" i="7"/>
  <c r="EQ32" i="7" s="1"/>
  <c r="FE32" i="7" s="1"/>
  <c r="DW32" i="7"/>
  <c r="DX32" i="7" s="1"/>
  <c r="EC52" i="7"/>
  <c r="EQ52" i="7" s="1"/>
  <c r="FE52" i="7" s="1"/>
  <c r="DW52" i="7"/>
  <c r="DX52" i="7" s="1"/>
  <c r="EC58" i="7"/>
  <c r="EQ58" i="7" s="1"/>
  <c r="FE58" i="7" s="1"/>
  <c r="DW58" i="7"/>
  <c r="DX58" i="7" s="1"/>
  <c r="EC46" i="7"/>
  <c r="EQ46" i="7" s="1"/>
  <c r="FE46" i="7" s="1"/>
  <c r="DW46" i="7"/>
  <c r="DX46" i="7" s="1"/>
  <c r="EC39" i="7"/>
  <c r="EQ39" i="7" s="1"/>
  <c r="FE39" i="7" s="1"/>
  <c r="DW39" i="7"/>
  <c r="DX39" i="7" s="1"/>
  <c r="EC64" i="7"/>
  <c r="EQ64" i="7" s="1"/>
  <c r="FE64" i="7" s="1"/>
  <c r="DW64" i="7"/>
  <c r="DX64" i="7" s="1"/>
  <c r="EC37" i="7"/>
  <c r="EQ37" i="7" s="1"/>
  <c r="FE37" i="7" s="1"/>
  <c r="DW37" i="7"/>
  <c r="DX37" i="7" s="1"/>
  <c r="EC54" i="7"/>
  <c r="EQ54" i="7" s="1"/>
  <c r="FE54" i="7" s="1"/>
  <c r="DW54" i="7"/>
  <c r="DX54" i="7" s="1"/>
  <c r="EC43" i="7"/>
  <c r="EQ43" i="7" s="1"/>
  <c r="FE43" i="7" s="1"/>
  <c r="DW43" i="7"/>
  <c r="DX43" i="7" s="1"/>
  <c r="EC41" i="7"/>
  <c r="EQ41" i="7" s="1"/>
  <c r="FE41" i="7" s="1"/>
  <c r="DW41" i="7"/>
  <c r="DX41" i="7" s="1"/>
  <c r="FF41" i="7" s="1"/>
  <c r="EC97" i="7"/>
  <c r="EQ97" i="7" s="1"/>
  <c r="FE97" i="7" s="1"/>
  <c r="DW97" i="7"/>
  <c r="DX97" i="7" s="1"/>
  <c r="EC53" i="7"/>
  <c r="EQ53" i="7" s="1"/>
  <c r="FE53" i="7" s="1"/>
  <c r="DW53" i="7"/>
  <c r="DX53" i="7" s="1"/>
  <c r="EC23" i="7"/>
  <c r="EQ23" i="7" s="1"/>
  <c r="FE23" i="7" s="1"/>
  <c r="DW23" i="7"/>
  <c r="DX23" i="7" s="1"/>
  <c r="FF23" i="7" s="1"/>
  <c r="EC82" i="7"/>
  <c r="EQ82" i="7" s="1"/>
  <c r="FE82" i="7" s="1"/>
  <c r="DW82" i="7"/>
  <c r="DX82" i="7" s="1"/>
  <c r="FF82" i="7" s="1"/>
  <c r="EC60" i="7"/>
  <c r="EQ60" i="7" s="1"/>
  <c r="FE60" i="7" s="1"/>
  <c r="DW60" i="7"/>
  <c r="DX60" i="7" s="1"/>
  <c r="EC42" i="7"/>
  <c r="EQ42" i="7" s="1"/>
  <c r="FE42" i="7" s="1"/>
  <c r="DW42" i="7"/>
  <c r="DX42" i="7" s="1"/>
  <c r="EC15" i="7"/>
  <c r="EQ15" i="7" s="1"/>
  <c r="FE15" i="7" s="1"/>
  <c r="DW15" i="7"/>
  <c r="DX15" i="7" s="1"/>
  <c r="EC74" i="7"/>
  <c r="EQ74" i="7" s="1"/>
  <c r="FE74" i="7" s="1"/>
  <c r="DW74" i="7"/>
  <c r="DX74" i="7" s="1"/>
  <c r="EC96" i="7"/>
  <c r="EQ96" i="7" s="1"/>
  <c r="FE96" i="7" s="1"/>
  <c r="DW96" i="7"/>
  <c r="DX96" i="7" s="1"/>
  <c r="EC49" i="7"/>
  <c r="EQ49" i="7" s="1"/>
  <c r="FE49" i="7" s="1"/>
  <c r="DW49" i="7"/>
  <c r="DX49" i="7" s="1"/>
  <c r="EC13" i="7"/>
  <c r="EQ13" i="7" s="1"/>
  <c r="FE13" i="7" s="1"/>
  <c r="DW13" i="7"/>
  <c r="DX13" i="7" s="1"/>
  <c r="FF13" i="7" s="1"/>
  <c r="EC90" i="7"/>
  <c r="EQ90" i="7" s="1"/>
  <c r="FE90" i="7" s="1"/>
  <c r="DW90" i="7"/>
  <c r="DX90" i="7" s="1"/>
  <c r="EC38" i="7"/>
  <c r="EQ38" i="7" s="1"/>
  <c r="FE38" i="7" s="1"/>
  <c r="DW38" i="7"/>
  <c r="DX38" i="7" s="1"/>
  <c r="EC9" i="7"/>
  <c r="EQ9" i="7" s="1"/>
  <c r="FE9" i="7" s="1"/>
  <c r="DW9" i="7"/>
  <c r="DX9" i="7" s="1"/>
  <c r="EC26" i="7"/>
  <c r="EQ26" i="7" s="1"/>
  <c r="FE26" i="7" s="1"/>
  <c r="DW26" i="7"/>
  <c r="DX26" i="7" s="1"/>
  <c r="FF100" i="7" l="1"/>
  <c r="FF16" i="7"/>
  <c r="EQ2" i="7"/>
  <c r="FE2" i="7" s="1"/>
  <c r="FF2" i="7" s="1"/>
  <c r="FO2" i="7" s="1"/>
  <c r="FF80" i="7"/>
  <c r="FF17" i="7"/>
  <c r="FO17" i="7" s="1"/>
  <c r="FF7" i="7"/>
  <c r="FO7" i="7" s="1"/>
  <c r="FF68" i="7"/>
  <c r="FN68" i="7" s="1"/>
  <c r="FF67" i="7"/>
  <c r="FO67" i="7" s="1"/>
  <c r="FF33" i="7"/>
  <c r="FL33" i="7" s="1"/>
  <c r="FF20" i="7"/>
  <c r="FM20" i="7" s="1"/>
  <c r="FF21" i="7"/>
  <c r="FL21" i="7" s="1"/>
  <c r="FF75" i="7"/>
  <c r="FL75" i="7" s="1"/>
  <c r="FF81" i="7"/>
  <c r="FO81" i="7" s="1"/>
  <c r="FF35" i="7"/>
  <c r="FL35" i="7" s="1"/>
  <c r="FF86" i="7"/>
  <c r="FM86" i="7" s="1"/>
  <c r="FF49" i="7"/>
  <c r="FO49" i="7" s="1"/>
  <c r="FF65" i="7"/>
  <c r="FO65" i="7" s="1"/>
  <c r="FF87" i="7"/>
  <c r="FK87" i="7" s="1"/>
  <c r="FF84" i="7"/>
  <c r="FM84" i="7" s="1"/>
  <c r="FF83" i="7"/>
  <c r="FK83" i="7" s="1"/>
  <c r="FF73" i="7"/>
  <c r="FM73" i="7" s="1"/>
  <c r="FF74" i="7"/>
  <c r="FO74" i="7" s="1"/>
  <c r="FF78" i="7"/>
  <c r="FK78" i="7" s="1"/>
  <c r="FF69" i="7"/>
  <c r="FN69" i="7" s="1"/>
  <c r="FF40" i="7"/>
  <c r="FK40" i="7" s="1"/>
  <c r="FF51" i="7"/>
  <c r="FK51" i="7" s="1"/>
  <c r="FF66" i="7"/>
  <c r="FN66" i="7" s="1"/>
  <c r="FF27" i="7"/>
  <c r="FL27" i="7" s="1"/>
  <c r="FF85" i="7"/>
  <c r="FO85" i="7" s="1"/>
  <c r="FF70" i="7"/>
  <c r="FM70" i="7" s="1"/>
  <c r="FF62" i="7"/>
  <c r="FL62" i="7" s="1"/>
  <c r="FF25" i="7"/>
  <c r="FN25" i="7" s="1"/>
  <c r="FF36" i="7"/>
  <c r="FL36" i="7" s="1"/>
  <c r="FF91" i="7"/>
  <c r="FO91" i="7" s="1"/>
  <c r="FF34" i="7"/>
  <c r="FO34" i="7" s="1"/>
  <c r="FF8" i="7"/>
  <c r="FO8" i="7" s="1"/>
  <c r="FF52" i="7"/>
  <c r="FM52" i="7" s="1"/>
  <c r="FF60" i="7"/>
  <c r="FM60" i="7" s="1"/>
  <c r="FF48" i="7"/>
  <c r="FM48" i="7" s="1"/>
  <c r="FF43" i="7"/>
  <c r="FK43" i="7" s="1"/>
  <c r="FF38" i="7"/>
  <c r="FK38" i="7" s="1"/>
  <c r="FF92" i="7"/>
  <c r="FN92" i="7" s="1"/>
  <c r="FF39" i="7"/>
  <c r="FN39" i="7" s="1"/>
  <c r="FF26" i="7"/>
  <c r="FF3" i="7"/>
  <c r="FF63" i="7"/>
  <c r="FF31" i="7"/>
  <c r="FF29" i="7"/>
  <c r="FF47" i="7"/>
  <c r="FF22" i="7"/>
  <c r="FF77" i="7"/>
  <c r="FF19" i="7"/>
  <c r="FF37" i="7"/>
  <c r="FF101" i="7"/>
  <c r="FN18" i="7"/>
  <c r="FK18" i="7"/>
  <c r="FM18" i="7"/>
  <c r="FO18" i="7"/>
  <c r="FL18" i="7"/>
  <c r="FF89" i="7"/>
  <c r="FK17" i="7"/>
  <c r="FL17" i="7"/>
  <c r="FN17" i="7"/>
  <c r="FM17" i="7"/>
  <c r="FF96" i="7"/>
  <c r="FF6" i="7"/>
  <c r="FF11" i="7"/>
  <c r="FK23" i="7"/>
  <c r="FN23" i="7"/>
  <c r="FL23" i="7"/>
  <c r="FO23" i="7"/>
  <c r="FM23" i="7"/>
  <c r="FF98" i="7"/>
  <c r="FN71" i="7"/>
  <c r="FK71" i="7"/>
  <c r="FL71" i="7"/>
  <c r="FM71" i="7"/>
  <c r="FO71" i="7"/>
  <c r="FN93" i="7"/>
  <c r="FM93" i="7"/>
  <c r="FK93" i="7"/>
  <c r="FL93" i="7"/>
  <c r="FO93" i="7"/>
  <c r="FF57" i="7"/>
  <c r="FK45" i="7"/>
  <c r="FN45" i="7"/>
  <c r="FL45" i="7"/>
  <c r="FO45" i="7"/>
  <c r="FM45" i="7"/>
  <c r="FK16" i="7"/>
  <c r="FO16" i="7"/>
  <c r="FM16" i="7"/>
  <c r="FN16" i="7"/>
  <c r="FL16" i="7"/>
  <c r="FN38" i="7"/>
  <c r="FL38" i="7"/>
  <c r="FF95" i="7"/>
  <c r="FF50" i="7"/>
  <c r="FF4" i="7"/>
  <c r="FF24" i="7"/>
  <c r="FF44" i="7"/>
  <c r="FF59" i="7"/>
  <c r="FM66" i="7"/>
  <c r="FL66" i="7"/>
  <c r="FF64" i="7"/>
  <c r="FF14" i="7"/>
  <c r="FO70" i="7"/>
  <c r="FF94" i="7"/>
  <c r="FF61" i="7"/>
  <c r="FF53" i="7"/>
  <c r="FO13" i="7"/>
  <c r="FN13" i="7"/>
  <c r="FK13" i="7"/>
  <c r="FM13" i="7"/>
  <c r="FL13" i="7"/>
  <c r="FF79" i="7"/>
  <c r="FM41" i="7"/>
  <c r="FK41" i="7"/>
  <c r="FN41" i="7"/>
  <c r="FO41" i="7"/>
  <c r="FL41" i="7"/>
  <c r="FF54" i="7"/>
  <c r="FF99" i="7"/>
  <c r="FF5" i="7"/>
  <c r="FF42" i="7"/>
  <c r="FN85" i="7"/>
  <c r="FK85" i="7"/>
  <c r="FM85" i="7"/>
  <c r="FL85" i="7"/>
  <c r="FF12" i="7"/>
  <c r="FF55" i="7"/>
  <c r="FF9" i="7"/>
  <c r="FF97" i="7"/>
  <c r="FF58" i="7"/>
  <c r="FF46" i="7"/>
  <c r="FF10" i="7"/>
  <c r="FF76" i="7"/>
  <c r="FK20" i="7"/>
  <c r="FK7" i="7"/>
  <c r="FN7" i="7"/>
  <c r="FL7" i="7"/>
  <c r="FM7" i="7"/>
  <c r="FK33" i="7"/>
  <c r="FM33" i="7"/>
  <c r="FO33" i="7"/>
  <c r="FN33" i="7"/>
  <c r="FO82" i="7"/>
  <c r="FM82" i="7"/>
  <c r="FK82" i="7"/>
  <c r="FN82" i="7"/>
  <c r="FL82" i="7"/>
  <c r="FM88" i="7"/>
  <c r="FL88" i="7"/>
  <c r="FK88" i="7"/>
  <c r="FO88" i="7"/>
  <c r="FN88" i="7"/>
  <c r="FK80" i="7"/>
  <c r="FN80" i="7"/>
  <c r="FL80" i="7"/>
  <c r="FO80" i="7"/>
  <c r="FM80" i="7"/>
  <c r="FO100" i="7"/>
  <c r="FK100" i="7"/>
  <c r="FN100" i="7"/>
  <c r="FM100" i="7"/>
  <c r="FL100" i="7"/>
  <c r="FF72" i="7"/>
  <c r="FF90" i="7"/>
  <c r="FF15" i="7"/>
  <c r="FF32" i="7"/>
  <c r="FF56" i="7"/>
  <c r="FF30" i="7"/>
  <c r="FF28" i="7"/>
  <c r="FL86" i="7" l="1"/>
  <c r="FL20" i="7"/>
  <c r="FO86" i="7"/>
  <c r="FO66" i="7"/>
  <c r="FN20" i="7"/>
  <c r="FK66" i="7"/>
  <c r="FO68" i="7"/>
  <c r="FM68" i="7"/>
  <c r="FM27" i="7"/>
  <c r="FK86" i="7"/>
  <c r="FN86" i="7"/>
  <c r="FN34" i="7"/>
  <c r="FN27" i="7"/>
  <c r="FO27" i="7"/>
  <c r="FK27" i="7"/>
  <c r="FN2" i="7"/>
  <c r="FK70" i="7"/>
  <c r="FN67" i="7"/>
  <c r="FO25" i="7"/>
  <c r="FL67" i="7"/>
  <c r="FL25" i="7"/>
  <c r="FM62" i="7"/>
  <c r="FK67" i="7"/>
  <c r="FK25" i="7"/>
  <c r="FO20" i="7"/>
  <c r="FM25" i="7"/>
  <c r="FN60" i="7"/>
  <c r="FO62" i="7"/>
  <c r="FN62" i="7"/>
  <c r="FN75" i="7"/>
  <c r="FO75" i="7"/>
  <c r="FK75" i="7"/>
  <c r="FN36" i="7"/>
  <c r="FK68" i="7"/>
  <c r="FL73" i="7"/>
  <c r="FM75" i="7"/>
  <c r="FK62" i="7"/>
  <c r="FL68" i="7"/>
  <c r="FM2" i="7"/>
  <c r="FL60" i="7"/>
  <c r="FN91" i="7"/>
  <c r="FK60" i="7"/>
  <c r="FO60" i="7"/>
  <c r="FL91" i="7"/>
  <c r="FM67" i="7"/>
  <c r="FO52" i="7"/>
  <c r="FK49" i="7"/>
  <c r="FN49" i="7"/>
  <c r="FL49" i="7"/>
  <c r="FN21" i="7"/>
  <c r="FM49" i="7"/>
  <c r="FN81" i="7"/>
  <c r="FM21" i="7"/>
  <c r="FL65" i="7"/>
  <c r="FL81" i="7"/>
  <c r="FK81" i="7"/>
  <c r="FK21" i="7"/>
  <c r="FK91" i="7"/>
  <c r="FM81" i="7"/>
  <c r="FK73" i="7"/>
  <c r="FL78" i="7"/>
  <c r="FN43" i="7"/>
  <c r="FM78" i="7"/>
  <c r="FO43" i="7"/>
  <c r="FO83" i="7"/>
  <c r="FL2" i="7"/>
  <c r="FM87" i="7"/>
  <c r="FL70" i="7"/>
  <c r="FL83" i="7"/>
  <c r="FL87" i="7"/>
  <c r="FN87" i="7"/>
  <c r="FK35" i="7"/>
  <c r="FO78" i="7"/>
  <c r="FN83" i="7"/>
  <c r="FM91" i="7"/>
  <c r="FO35" i="7"/>
  <c r="FM35" i="7"/>
  <c r="FL8" i="7"/>
  <c r="FN35" i="7"/>
  <c r="FK52" i="7"/>
  <c r="FK8" i="7"/>
  <c r="FO87" i="7"/>
  <c r="FN52" i="7"/>
  <c r="FN70" i="7"/>
  <c r="FN8" i="7"/>
  <c r="FL52" i="7"/>
  <c r="FM8" i="7"/>
  <c r="FM83" i="7"/>
  <c r="FM43" i="7"/>
  <c r="FO69" i="7"/>
  <c r="FK69" i="7"/>
  <c r="FL43" i="7"/>
  <c r="FM40" i="7"/>
  <c r="FM38" i="7"/>
  <c r="FM51" i="7"/>
  <c r="FN40" i="7"/>
  <c r="FL51" i="7"/>
  <c r="FM65" i="7"/>
  <c r="FO84" i="7"/>
  <c r="FL74" i="7"/>
  <c r="FM34" i="7"/>
  <c r="FK74" i="7"/>
  <c r="FK48" i="7"/>
  <c r="FN51" i="7"/>
  <c r="FL84" i="7"/>
  <c r="FM74" i="7"/>
  <c r="FK34" i="7"/>
  <c r="FO48" i="7"/>
  <c r="FO40" i="7"/>
  <c r="FK65" i="7"/>
  <c r="FO51" i="7"/>
  <c r="FN65" i="7"/>
  <c r="FN74" i="7"/>
  <c r="FM36" i="7"/>
  <c r="FK2" i="7"/>
  <c r="FN73" i="7"/>
  <c r="FM69" i="7"/>
  <c r="FL40" i="7"/>
  <c r="FL69" i="7"/>
  <c r="FL34" i="7"/>
  <c r="FN84" i="7"/>
  <c r="FO92" i="7"/>
  <c r="FK36" i="7"/>
  <c r="FL92" i="7"/>
  <c r="FK84" i="7"/>
  <c r="FO36" i="7"/>
  <c r="FM39" i="7"/>
  <c r="FK92" i="7"/>
  <c r="FO39" i="7"/>
  <c r="FO21" i="7"/>
  <c r="FM92" i="7"/>
  <c r="FO73" i="7"/>
  <c r="FN78" i="7"/>
  <c r="FK39" i="7"/>
  <c r="FL48" i="7"/>
  <c r="FN48" i="7"/>
  <c r="FL39" i="7"/>
  <c r="FO38" i="7"/>
  <c r="FK61" i="7"/>
  <c r="FN61" i="7"/>
  <c r="FM61" i="7"/>
  <c r="FL61" i="7"/>
  <c r="FO61" i="7"/>
  <c r="FM94" i="7"/>
  <c r="FK94" i="7"/>
  <c r="FN94" i="7"/>
  <c r="FL94" i="7"/>
  <c r="FO94" i="7"/>
  <c r="FK59" i="7"/>
  <c r="FL59" i="7"/>
  <c r="FN59" i="7"/>
  <c r="FM59" i="7"/>
  <c r="FO59" i="7"/>
  <c r="FO47" i="7"/>
  <c r="FK47" i="7"/>
  <c r="FN47" i="7"/>
  <c r="FM47" i="7"/>
  <c r="FL47" i="7"/>
  <c r="FK99" i="7"/>
  <c r="FO99" i="7"/>
  <c r="FM99" i="7"/>
  <c r="FN99" i="7"/>
  <c r="FL99" i="7"/>
  <c r="FK44" i="7"/>
  <c r="FN44" i="7"/>
  <c r="FL44" i="7"/>
  <c r="FM44" i="7"/>
  <c r="FO44" i="7"/>
  <c r="FN29" i="7"/>
  <c r="FK29" i="7"/>
  <c r="FO29" i="7"/>
  <c r="FL29" i="7"/>
  <c r="FM29" i="7"/>
  <c r="FN56" i="7"/>
  <c r="FL56" i="7"/>
  <c r="FO56" i="7"/>
  <c r="FM56" i="7"/>
  <c r="FK56" i="7"/>
  <c r="FL24" i="7"/>
  <c r="FM24" i="7"/>
  <c r="FK24" i="7"/>
  <c r="FN24" i="7"/>
  <c r="FO24" i="7"/>
  <c r="FK14" i="7"/>
  <c r="FN14" i="7"/>
  <c r="FM14" i="7"/>
  <c r="FL14" i="7"/>
  <c r="FO14" i="7"/>
  <c r="FN64" i="7"/>
  <c r="FL64" i="7"/>
  <c r="FM64" i="7"/>
  <c r="FK64" i="7"/>
  <c r="FO64" i="7"/>
  <c r="FO30" i="7"/>
  <c r="FM30" i="7"/>
  <c r="FK30" i="7"/>
  <c r="FL30" i="7"/>
  <c r="FN30" i="7"/>
  <c r="FN4" i="7"/>
  <c r="FL4" i="7"/>
  <c r="FO4" i="7"/>
  <c r="FK4" i="7"/>
  <c r="FM4" i="7"/>
  <c r="FO89" i="7"/>
  <c r="FK89" i="7"/>
  <c r="FM89" i="7"/>
  <c r="FN89" i="7"/>
  <c r="FL89" i="7"/>
  <c r="FL31" i="7"/>
  <c r="FO31" i="7"/>
  <c r="FM31" i="7"/>
  <c r="FN31" i="7"/>
  <c r="FK31" i="7"/>
  <c r="FK58" i="7"/>
  <c r="FL58" i="7"/>
  <c r="FO58" i="7"/>
  <c r="FM58" i="7"/>
  <c r="FN58" i="7"/>
  <c r="FL97" i="7"/>
  <c r="FN97" i="7"/>
  <c r="FK97" i="7"/>
  <c r="FM97" i="7"/>
  <c r="FO97" i="7"/>
  <c r="FK50" i="7"/>
  <c r="FN50" i="7"/>
  <c r="FL50" i="7"/>
  <c r="FM50" i="7"/>
  <c r="FO50" i="7"/>
  <c r="FK96" i="7"/>
  <c r="FM96" i="7"/>
  <c r="FN96" i="7"/>
  <c r="FO96" i="7"/>
  <c r="FL96" i="7"/>
  <c r="FK63" i="7"/>
  <c r="FO63" i="7"/>
  <c r="FN63" i="7"/>
  <c r="FL63" i="7"/>
  <c r="FM63" i="7"/>
  <c r="FN79" i="7"/>
  <c r="FO79" i="7"/>
  <c r="FM79" i="7"/>
  <c r="FK79" i="7"/>
  <c r="FL79" i="7"/>
  <c r="FK76" i="7"/>
  <c r="FM76" i="7"/>
  <c r="FN76" i="7"/>
  <c r="FO76" i="7"/>
  <c r="FL76" i="7"/>
  <c r="FK9" i="7"/>
  <c r="FN9" i="7"/>
  <c r="FL9" i="7"/>
  <c r="FO9" i="7"/>
  <c r="FM9" i="7"/>
  <c r="FM11" i="7"/>
  <c r="FN11" i="7"/>
  <c r="FO11" i="7"/>
  <c r="FK11" i="7"/>
  <c r="FL11" i="7"/>
  <c r="FO72" i="7"/>
  <c r="FK72" i="7"/>
  <c r="FM72" i="7"/>
  <c r="FL72" i="7"/>
  <c r="FN72" i="7"/>
  <c r="FL10" i="7"/>
  <c r="FN10" i="7"/>
  <c r="FK10" i="7"/>
  <c r="FO10" i="7"/>
  <c r="FM10" i="7"/>
  <c r="FK55" i="7"/>
  <c r="FO55" i="7"/>
  <c r="FM55" i="7"/>
  <c r="FL55" i="7"/>
  <c r="FN55" i="7"/>
  <c r="FO42" i="7"/>
  <c r="FM42" i="7"/>
  <c r="FL42" i="7"/>
  <c r="FN42" i="7"/>
  <c r="FK42" i="7"/>
  <c r="FK6" i="7"/>
  <c r="FO6" i="7"/>
  <c r="FM6" i="7"/>
  <c r="FN6" i="7"/>
  <c r="FL6" i="7"/>
  <c r="FO12" i="7"/>
  <c r="FL12" i="7"/>
  <c r="FK12" i="7"/>
  <c r="FM12" i="7"/>
  <c r="FN12" i="7"/>
  <c r="FL5" i="7"/>
  <c r="FN5" i="7"/>
  <c r="FK5" i="7"/>
  <c r="FO5" i="7"/>
  <c r="FM5" i="7"/>
  <c r="FL57" i="7"/>
  <c r="FO57" i="7"/>
  <c r="FK57" i="7"/>
  <c r="FN57" i="7"/>
  <c r="FM57" i="7"/>
  <c r="FL101" i="7"/>
  <c r="FK101" i="7"/>
  <c r="FO101" i="7"/>
  <c r="FM101" i="7"/>
  <c r="FN101" i="7"/>
  <c r="FO3" i="7"/>
  <c r="FN3" i="7"/>
  <c r="FL3" i="7"/>
  <c r="FK3" i="7"/>
  <c r="FM3" i="7"/>
  <c r="FN46" i="7"/>
  <c r="FO46" i="7"/>
  <c r="FM46" i="7"/>
  <c r="FL46" i="7"/>
  <c r="FK46" i="7"/>
  <c r="FM95" i="7"/>
  <c r="FO95" i="7"/>
  <c r="FL95" i="7"/>
  <c r="FN95" i="7"/>
  <c r="FK95" i="7"/>
  <c r="FO26" i="7"/>
  <c r="FM26" i="7"/>
  <c r="FK26" i="7"/>
  <c r="FN26" i="7"/>
  <c r="FL26" i="7"/>
  <c r="FL19" i="7"/>
  <c r="FM19" i="7"/>
  <c r="FO19" i="7"/>
  <c r="FN19" i="7"/>
  <c r="FK19" i="7"/>
  <c r="FL77" i="7"/>
  <c r="FN77" i="7"/>
  <c r="FK77" i="7"/>
  <c r="FO77" i="7"/>
  <c r="FM77" i="7"/>
  <c r="FN32" i="7"/>
  <c r="FK32" i="7"/>
  <c r="FM32" i="7"/>
  <c r="FO32" i="7"/>
  <c r="FL32" i="7"/>
  <c r="FN54" i="7"/>
  <c r="FK54" i="7"/>
  <c r="FM54" i="7"/>
  <c r="FO54" i="7"/>
  <c r="FL54" i="7"/>
  <c r="FK15" i="7"/>
  <c r="FM15" i="7"/>
  <c r="FO15" i="7"/>
  <c r="FN15" i="7"/>
  <c r="FL15" i="7"/>
  <c r="FK98" i="7"/>
  <c r="FM98" i="7"/>
  <c r="FN98" i="7"/>
  <c r="FL98" i="7"/>
  <c r="FO98" i="7"/>
  <c r="FK22" i="7"/>
  <c r="FN22" i="7"/>
  <c r="FL22" i="7"/>
  <c r="FO22" i="7"/>
  <c r="FM22" i="7"/>
  <c r="FK90" i="7"/>
  <c r="FM90" i="7"/>
  <c r="FN90" i="7"/>
  <c r="FL90" i="7"/>
  <c r="FO90" i="7"/>
  <c r="FN28" i="7"/>
  <c r="FK28" i="7"/>
  <c r="FO28" i="7"/>
  <c r="FM28" i="7"/>
  <c r="FL28" i="7"/>
  <c r="FO53" i="7"/>
  <c r="FL53" i="7"/>
  <c r="FN53" i="7"/>
  <c r="FM53" i="7"/>
  <c r="FK53" i="7"/>
  <c r="FK37" i="7"/>
  <c r="FM37" i="7"/>
  <c r="FL37" i="7"/>
  <c r="FN37" i="7"/>
  <c r="FO37" i="7"/>
</calcChain>
</file>

<file path=xl/sharedStrings.xml><?xml version="1.0" encoding="utf-8"?>
<sst xmlns="http://schemas.openxmlformats.org/spreadsheetml/2006/main" count="1621" uniqueCount="638">
  <si>
    <t>Chemicals</t>
  </si>
  <si>
    <t>MW</t>
  </si>
  <si>
    <t>eq</t>
  </si>
  <si>
    <t>mol</t>
  </si>
  <si>
    <t>g</t>
  </si>
  <si>
    <t>Yield(%)</t>
  </si>
  <si>
    <t>Price ($)</t>
  </si>
  <si>
    <t>Unit Price</t>
  </si>
  <si>
    <t>Unit</t>
  </si>
  <si>
    <t>Source</t>
  </si>
  <si>
    <t>$/kg</t>
  </si>
  <si>
    <t>1. Synthesis of ddFc</t>
    <phoneticPr fontId="6" type="noConversion"/>
  </si>
  <si>
    <t>Name</t>
    <phoneticPr fontId="8" type="noConversion"/>
  </si>
  <si>
    <t>price/kg (USD/kg)</t>
  </si>
  <si>
    <t>$/troy oz</t>
    <phoneticPr fontId="8" type="noConversion"/>
  </si>
  <si>
    <t>Source</t>
    <phoneticPr fontId="8" type="noConversion"/>
  </si>
  <si>
    <t>Pt</t>
    <phoneticPr fontId="8" type="noConversion"/>
  </si>
  <si>
    <t>PGM prices and trading | Johnson Matthey</t>
  </si>
  <si>
    <t>Pd</t>
    <phoneticPr fontId="8" type="noConversion"/>
  </si>
  <si>
    <t>assessed on August 11th 2025 last 12 months average price</t>
    <phoneticPr fontId="8" type="noConversion"/>
  </si>
  <si>
    <t>Rh</t>
    <phoneticPr fontId="8" type="noConversion"/>
  </si>
  <si>
    <t>Ru</t>
    <phoneticPr fontId="8" type="noConversion"/>
  </si>
  <si>
    <t>Ir</t>
    <phoneticPr fontId="8" type="noConversion"/>
  </si>
  <si>
    <t>Platinum PRICE Today | Platinum Spot Price Chart | Live Price of Platinum per Ounce | Markets Insider</t>
  </si>
  <si>
    <t>USGS</t>
  </si>
  <si>
    <t>Ferrocene</t>
    <phoneticPr fontId="6" type="noConversion"/>
  </si>
  <si>
    <t>Formula</t>
    <phoneticPr fontId="6" type="noConversion"/>
  </si>
  <si>
    <t>ChemScene</t>
    <phoneticPr fontId="6" type="noConversion"/>
  </si>
  <si>
    <t>$1850/kg ddFc</t>
    <phoneticPr fontId="6" type="noConversion"/>
  </si>
  <si>
    <t>C12H23ClO</t>
    <phoneticPr fontId="6" type="noConversion"/>
  </si>
  <si>
    <t>C10H10Fe</t>
    <phoneticPr fontId="6" type="noConversion"/>
  </si>
  <si>
    <t>d (g/ml)</t>
    <phoneticPr fontId="6" type="noConversion"/>
  </si>
  <si>
    <t>vol (ml)</t>
    <phoneticPr fontId="6" type="noConversion"/>
  </si>
  <si>
    <t>BH4Na</t>
    <phoneticPr fontId="6" type="noConversion"/>
  </si>
  <si>
    <t>AlCl3</t>
    <phoneticPr fontId="6" type="noConversion"/>
  </si>
  <si>
    <t>C34H58Fe</t>
    <phoneticPr fontId="6" type="noConversion"/>
  </si>
  <si>
    <t>Dodecanoyl chloride</t>
    <phoneticPr fontId="6" type="noConversion"/>
  </si>
  <si>
    <t>Dichloromethane</t>
    <phoneticPr fontId="6" type="noConversion"/>
  </si>
  <si>
    <t>Aluminum trichloride</t>
    <phoneticPr fontId="6" type="noConversion"/>
  </si>
  <si>
    <t>https://www.chemicalbook.com/ProductDetail_EN_1480688.htm</t>
    <phoneticPr fontId="6" type="noConversion"/>
  </si>
  <si>
    <t>CH2Cl2</t>
    <phoneticPr fontId="6" type="noConversion"/>
  </si>
  <si>
    <t>https://www.alibaba.com/product-detail/Free-Sample-Sodium-Borocyanohydride-CAS-25895_10000026309495.html?spm=a2700.galleryofferlist.normal_offer.d_title.462413a0yX9EqR&amp;priceId=0638c4062c394ca3b92a5c9dc07a2423 Organic Intermediate Sodium Cyanoborohydride Product on Alibaba.com</t>
    <phoneticPr fontId="6" type="noConversion"/>
  </si>
  <si>
    <t>https://www.chemicalbook.com/ProductDetail_EN_aluminum-chloride_2179085.htm</t>
    <phoneticPr fontId="6" type="noConversion"/>
  </si>
  <si>
    <t>https://www.chemicalbook.com/ProductDetail_EN_991682.htm</t>
    <phoneticPr fontId="6" type="noConversion"/>
  </si>
  <si>
    <t>2. Synthesis of deFc</t>
    <phoneticPr fontId="6" type="noConversion"/>
  </si>
  <si>
    <t>NaBH4</t>
    <phoneticPr fontId="6" type="noConversion"/>
  </si>
  <si>
    <t>Carbomethoxyferrocene</t>
    <phoneticPr fontId="6" type="noConversion"/>
  </si>
  <si>
    <t>1-lauryl-1'-carbomethoxy ferrocene</t>
    <phoneticPr fontId="6" type="noConversion"/>
  </si>
  <si>
    <t>C12H12FeO2</t>
    <phoneticPr fontId="6" type="noConversion"/>
  </si>
  <si>
    <t>$/g</t>
    <phoneticPr fontId="6" type="noConversion"/>
  </si>
  <si>
    <t>NaCl</t>
    <phoneticPr fontId="6" type="noConversion"/>
  </si>
  <si>
    <t>HClO4</t>
    <phoneticPr fontId="6" type="noConversion"/>
  </si>
  <si>
    <t>Triethylene glycol dimethyl ether</t>
    <phoneticPr fontId="6" type="noConversion"/>
  </si>
  <si>
    <t>https://www.chemicalbook.com/ProductDetail_EN_1414752.htm</t>
    <phoneticPr fontId="6" type="noConversion"/>
  </si>
  <si>
    <t>C8H18O4</t>
    <phoneticPr fontId="6" type="noConversion"/>
  </si>
  <si>
    <t>https://scifinder-n.cas.org/searchDetail/catalogItem/6972747ff639fa3449303d77/catalogItemDetails</t>
    <phoneticPr fontId="6" type="noConversion"/>
  </si>
  <si>
    <t>Vol of solution</t>
  </si>
  <si>
    <t>%excess</t>
  </si>
  <si>
    <t>KIO3</t>
  </si>
  <si>
    <t>+</t>
  </si>
  <si>
    <t>NaI</t>
  </si>
  <si>
    <t>HClO4</t>
  </si>
  <si>
    <t>=</t>
  </si>
  <si>
    <t>I3-</t>
  </si>
  <si>
    <t>Conc (mM):</t>
  </si>
  <si>
    <t>report.pdf</t>
  </si>
  <si>
    <t>6000-70000 st/d ore tonnage capacity</t>
    <phoneticPr fontId="6" type="noConversion"/>
  </si>
  <si>
    <t>0.4% Cu and recovery of 50%</t>
    <phoneticPr fontId="6" type="noConversion"/>
  </si>
  <si>
    <t>assumption</t>
    <phoneticPr fontId="6" type="noConversion"/>
  </si>
  <si>
    <t>SX plants are usually expressed in gallons per min ute (gal/min)</t>
  </si>
  <si>
    <t>site development</t>
    <phoneticPr fontId="6" type="noConversion"/>
  </si>
  <si>
    <t>utility installation</t>
    <phoneticPr fontId="6" type="noConversion"/>
  </si>
  <si>
    <t>pregnant leach solution pumps</t>
    <phoneticPr fontId="6" type="noConversion"/>
  </si>
  <si>
    <t>raffinate pond</t>
    <phoneticPr fontId="6" type="noConversion"/>
  </si>
  <si>
    <t>mixer-settlers</t>
    <phoneticPr fontId="6" type="noConversion"/>
  </si>
  <si>
    <t>organic tanks and pumps</t>
    <phoneticPr fontId="6" type="noConversion"/>
  </si>
  <si>
    <t>initial fill of diluent and extractant</t>
    <phoneticPr fontId="6" type="noConversion"/>
  </si>
  <si>
    <t>L/min</t>
    <phoneticPr fontId="6" type="noConversion"/>
  </si>
  <si>
    <t>st/d</t>
    <phoneticPr fontId="6" type="noConversion"/>
  </si>
  <si>
    <t>Labor</t>
    <phoneticPr fontId="6" type="noConversion"/>
  </si>
  <si>
    <t>Equipment</t>
    <phoneticPr fontId="6" type="noConversion"/>
  </si>
  <si>
    <t>Steel</t>
    <phoneticPr fontId="6" type="noConversion"/>
  </si>
  <si>
    <t>Lube</t>
    <phoneticPr fontId="6" type="noConversion"/>
  </si>
  <si>
    <t>Construction</t>
    <phoneticPr fontId="6" type="noConversion"/>
  </si>
  <si>
    <t>Sales tax</t>
    <phoneticPr fontId="6" type="noConversion"/>
  </si>
  <si>
    <t>Electricity</t>
    <phoneticPr fontId="6" type="noConversion"/>
  </si>
  <si>
    <t>total</t>
    <phoneticPr fontId="6" type="noConversion"/>
  </si>
  <si>
    <t>Economics of converting renewable power to hydrogen | Nature Energy</t>
  </si>
  <si>
    <t>Electrolyzer energy dominates separation costs in state-of-the-art CO2 electrolyzers: Implications for single-pass CO2 utilization: Joule</t>
  </si>
  <si>
    <t>The cost of making and installing an electrolyser outside of China in 2024 was USD 2 000 to USD 2 600 per kilowatt (kW)</t>
  </si>
  <si>
    <t>Executive summary – Global Hydrogen Review 2025 – Analysis - IEA</t>
  </si>
  <si>
    <t>ddFc</t>
    <phoneticPr fontId="6" type="noConversion"/>
  </si>
  <si>
    <t>1 liter</t>
    <phoneticPr fontId="6" type="noConversion"/>
  </si>
  <si>
    <t>operating days</t>
    <phoneticPr fontId="6" type="noConversion"/>
  </si>
  <si>
    <t>days/year</t>
    <phoneticPr fontId="6" type="noConversion"/>
  </si>
  <si>
    <t>operating hours</t>
    <phoneticPr fontId="6" type="noConversion"/>
  </si>
  <si>
    <t>h/year</t>
    <phoneticPr fontId="6" type="noConversion"/>
  </si>
  <si>
    <t>current density</t>
    <phoneticPr fontId="6" type="noConversion"/>
  </si>
  <si>
    <t>mA/cm2</t>
    <phoneticPr fontId="6" type="noConversion"/>
  </si>
  <si>
    <t>cell voltage</t>
    <phoneticPr fontId="6" type="noConversion"/>
  </si>
  <si>
    <t>V</t>
    <phoneticPr fontId="6" type="noConversion"/>
  </si>
  <si>
    <t>oxidant/reductant conc</t>
    <phoneticPr fontId="6" type="noConversion"/>
  </si>
  <si>
    <t>mol/L</t>
    <phoneticPr fontId="6" type="noConversion"/>
  </si>
  <si>
    <t>volume</t>
    <phoneticPr fontId="6" type="noConversion"/>
  </si>
  <si>
    <t>L</t>
    <phoneticPr fontId="6" type="noConversion"/>
  </si>
  <si>
    <t>Q</t>
    <phoneticPr fontId="6" type="noConversion"/>
  </si>
  <si>
    <t>area</t>
    <phoneticPr fontId="6" type="noConversion"/>
  </si>
  <si>
    <t>m2</t>
    <phoneticPr fontId="6" type="noConversion"/>
  </si>
  <si>
    <t>A/m2</t>
    <phoneticPr fontId="6" type="noConversion"/>
  </si>
  <si>
    <t>A=I/j=0.25I (m2)</t>
    <phoneticPr fontId="6" type="noConversion"/>
  </si>
  <si>
    <t>pilot scale area</t>
    <phoneticPr fontId="6" type="noConversion"/>
  </si>
  <si>
    <t>current</t>
    <phoneticPr fontId="6" type="noConversion"/>
  </si>
  <si>
    <t>A</t>
    <phoneticPr fontId="6" type="noConversion"/>
  </si>
  <si>
    <t>power</t>
    <phoneticPr fontId="6" type="noConversion"/>
  </si>
  <si>
    <t>kW</t>
    <phoneticPr fontId="6" type="noConversion"/>
  </si>
  <si>
    <t>electrolyzer cost per area</t>
    <phoneticPr fontId="6" type="noConversion"/>
  </si>
  <si>
    <t>$/m2</t>
    <phoneticPr fontId="6" type="noConversion"/>
  </si>
  <si>
    <t>$/kWh</t>
    <phoneticPr fontId="6" type="noConversion"/>
  </si>
  <si>
    <t>CAPEX</t>
    <phoneticPr fontId="6" type="noConversion"/>
  </si>
  <si>
    <t>$</t>
    <phoneticPr fontId="6" type="noConversion"/>
  </si>
  <si>
    <t>Electrolyzer</t>
    <phoneticPr fontId="6" type="noConversion"/>
  </si>
  <si>
    <t>Installation</t>
    <phoneticPr fontId="6" type="noConversion"/>
  </si>
  <si>
    <t>% of equipment</t>
    <phoneticPr fontId="6" type="noConversion"/>
  </si>
  <si>
    <t>% of ICC</t>
    <phoneticPr fontId="6" type="noConversion"/>
  </si>
  <si>
    <t>% of installed capital cost</t>
    <phoneticPr fontId="6" type="noConversion"/>
  </si>
  <si>
    <t>up-front permitting</t>
    <phoneticPr fontId="6" type="noConversion"/>
  </si>
  <si>
    <t>Engineering &amp; design</t>
    <phoneticPr fontId="6" type="noConversion"/>
  </si>
  <si>
    <t>site prep</t>
    <phoneticPr fontId="6" type="noConversion"/>
  </si>
  <si>
    <t>contingency</t>
    <phoneticPr fontId="6" type="noConversion"/>
  </si>
  <si>
    <t>Pilot scale: 100 L/min feed</t>
    <phoneticPr fontId="6" type="noConversion"/>
  </si>
  <si>
    <t>Plant scale: 10000 L/min feed</t>
    <phoneticPr fontId="6" type="noConversion"/>
  </si>
  <si>
    <t>plant scale area</t>
    <phoneticPr fontId="6" type="noConversion"/>
  </si>
  <si>
    <t>OPEX</t>
    <phoneticPr fontId="6" type="noConversion"/>
  </si>
  <si>
    <t>Sustainable waste-nitrogen upcycling enabled by low-concentration nitrate electrodialysis and high-performance ammonia electrosynthesis - EES Catalysis (RSC Publishing)</t>
  </si>
  <si>
    <t>Electricity price</t>
    <phoneticPr fontId="6" type="noConversion"/>
  </si>
  <si>
    <t>Replacement cost</t>
    <phoneticPr fontId="6" type="noConversion"/>
  </si>
  <si>
    <t>(every 7year)</t>
    <phoneticPr fontId="6" type="noConversion"/>
  </si>
  <si>
    <t>$/year</t>
    <phoneticPr fontId="6" type="noConversion"/>
  </si>
  <si>
    <t>fixed operation and maintenance</t>
    <phoneticPr fontId="6" type="noConversion"/>
  </si>
  <si>
    <t>3% of CAPEXassumed</t>
    <phoneticPr fontId="6" type="noConversion"/>
  </si>
  <si>
    <t>ICC=1.12(electrolyzer)+(0.15+0.08+0.02+0.15)(ICC)</t>
    <phoneticPr fontId="6" type="noConversion"/>
  </si>
  <si>
    <t>=</t>
    <phoneticPr fontId="6" type="noConversion"/>
  </si>
  <si>
    <t xml:space="preserve"> gallon</t>
  </si>
  <si>
    <t>Solvent extraction+electrowinning unit</t>
    <phoneticPr fontId="6" type="noConversion"/>
  </si>
  <si>
    <t>Electrolyzer capital cost $550/kW-2640/kW</t>
    <phoneticPr fontId="6" type="noConversion"/>
  </si>
  <si>
    <t>00 21-0083-SI.fm</t>
  </si>
  <si>
    <t>j</t>
    <phoneticPr fontId="6" type="noConversion"/>
  </si>
  <si>
    <t>Development of techno-economic models for assessment of solvent-based bitumen extraction technology - ScienceDirect</t>
  </si>
  <si>
    <t>scale factor</t>
    <phoneticPr fontId="6" type="noConversion"/>
  </si>
  <si>
    <t>SX+EW capex</t>
    <phoneticPr fontId="6" type="noConversion"/>
  </si>
  <si>
    <t>SX+EW opex</t>
    <phoneticPr fontId="6" type="noConversion"/>
  </si>
  <si>
    <t>baseline SX fraction of 60% assumed for SX only cost, electricity 20% assumed</t>
    <phoneticPr fontId="6" type="noConversion"/>
  </si>
  <si>
    <t>SX capex</t>
    <phoneticPr fontId="6" type="noConversion"/>
  </si>
  <si>
    <t>SX opex</t>
    <phoneticPr fontId="6" type="noConversion"/>
  </si>
  <si>
    <t>reagent</t>
    <phoneticPr fontId="6" type="noConversion"/>
  </si>
  <si>
    <t>sum</t>
    <phoneticPr fontId="6" type="noConversion"/>
  </si>
  <si>
    <t>deFc</t>
    <phoneticPr fontId="6" type="noConversion"/>
  </si>
  <si>
    <t>oxidant</t>
    <phoneticPr fontId="6" type="noConversion"/>
  </si>
  <si>
    <t>reductant</t>
    <phoneticPr fontId="6" type="noConversion"/>
  </si>
  <si>
    <t>ligand</t>
    <phoneticPr fontId="6" type="noConversion"/>
  </si>
  <si>
    <t>conc.</t>
    <phoneticPr fontId="6" type="noConversion"/>
  </si>
  <si>
    <t>mM</t>
    <phoneticPr fontId="6" type="noConversion"/>
  </si>
  <si>
    <t>feed</t>
    <phoneticPr fontId="6" type="noConversion"/>
  </si>
  <si>
    <t>L/min</t>
  </si>
  <si>
    <t>100 L/min feed 1000 ppm of PGM each</t>
    <phoneticPr fontId="6" type="noConversion"/>
  </si>
  <si>
    <t>kg/year</t>
    <phoneticPr fontId="6" type="noConversion"/>
  </si>
  <si>
    <t>50% recovery assumed</t>
    <phoneticPr fontId="6" type="noConversion"/>
  </si>
  <si>
    <t>$/L</t>
    <phoneticPr fontId="6" type="noConversion"/>
  </si>
  <si>
    <t>Perchloric acid, 0.1N in Acetic Acid Standardized Solution</t>
  </si>
  <si>
    <t>Unit</t>
    <phoneticPr fontId="6" type="noConversion"/>
  </si>
  <si>
    <t>Unit Price</t>
    <phoneticPr fontId="6" type="noConversion"/>
  </si>
  <si>
    <t>Price</t>
    <phoneticPr fontId="6" type="noConversion"/>
  </si>
  <si>
    <t>vol (L)</t>
    <phoneticPr fontId="6" type="noConversion"/>
  </si>
  <si>
    <t>mol (M)</t>
    <phoneticPr fontId="6" type="noConversion"/>
  </si>
  <si>
    <t>kg</t>
    <phoneticPr fontId="6" type="noConversion"/>
  </si>
  <si>
    <t>reagent opex</t>
    <phoneticPr fontId="6" type="noConversion"/>
  </si>
  <si>
    <t>Reagent</t>
    <phoneticPr fontId="6" type="noConversion"/>
  </si>
  <si>
    <t>DCM 1% makeup, ligand 2% makeup</t>
    <phoneticPr fontId="6" type="noConversion"/>
  </si>
  <si>
    <t>$/year</t>
  </si>
  <si>
    <t>$</t>
  </si>
  <si>
    <t>Cell stack cost</t>
  </si>
  <si>
    <t>Cell stack cost</t>
    <phoneticPr fontId="6" type="noConversion"/>
  </si>
  <si>
    <t>Balance of plant cost</t>
  </si>
  <si>
    <t>Balance of plant cost</t>
    <phoneticPr fontId="6" type="noConversion"/>
  </si>
  <si>
    <t>4m2</t>
    <phoneticPr fontId="6" type="noConversion"/>
  </si>
  <si>
    <t>400m2</t>
    <phoneticPr fontId="6" type="noConversion"/>
  </si>
  <si>
    <t>ICC</t>
    <phoneticPr fontId="6" type="noConversion"/>
  </si>
  <si>
    <t>Pilot scale</t>
  </si>
  <si>
    <t>Plant scale</t>
  </si>
  <si>
    <t>Feed input</t>
  </si>
  <si>
    <t>Solvent extraction CAPEX</t>
  </si>
  <si>
    <t>Labor</t>
  </si>
  <si>
    <t>Equipment</t>
  </si>
  <si>
    <t>Steel</t>
  </si>
  <si>
    <t>Construction</t>
  </si>
  <si>
    <t>Sales tax</t>
  </si>
  <si>
    <t>Initial reagent input</t>
  </si>
  <si>
    <t>Total</t>
  </si>
  <si>
    <t>Solvent extraction OPEX</t>
  </si>
  <si>
    <t>Lube</t>
  </si>
  <si>
    <t>Electricity</t>
  </si>
  <si>
    <t>Reagent make up</t>
  </si>
  <si>
    <t>Electrolyzer CAPEX</t>
  </si>
  <si>
    <t>Installation</t>
  </si>
  <si>
    <t>Up-front permitting</t>
  </si>
  <si>
    <t>Engineering &amp; design</t>
  </si>
  <si>
    <t>Site preparation expenses</t>
  </si>
  <si>
    <t>Contingency expenses</t>
  </si>
  <si>
    <t>Electrolyzer OPEX</t>
  </si>
  <si>
    <t>Replacement cost (every 7 year)</t>
  </si>
  <si>
    <t>Fixed operation and maintenance</t>
  </si>
  <si>
    <t>Operating days: 300 days/year</t>
    <phoneticPr fontId="6" type="noConversion"/>
  </si>
  <si>
    <t>Solvent loss: DCM 1% make up daily</t>
    <phoneticPr fontId="6" type="noConversion"/>
  </si>
  <si>
    <t>Ligand loss: ddFc 2% make up daily</t>
    <phoneticPr fontId="6" type="noConversion"/>
  </si>
  <si>
    <t>A</t>
  </si>
  <si>
    <t>Pilot scale: 100 L/min feed</t>
  </si>
  <si>
    <t>electricity</t>
  </si>
  <si>
    <t>0.5 mA/cm2</t>
  </si>
  <si>
    <t>https://www.training.itservices.manchester.ac.uk/public/gced/CEPCI.html?reactors/CEPCI/index.html</t>
  </si>
  <si>
    <t>red</t>
  </si>
  <si>
    <t>ox</t>
  </si>
  <si>
    <t>salt</t>
  </si>
  <si>
    <t>change salt to be included in PGM feed Salt of conc 0.1 M</t>
  </si>
  <si>
    <t>3. Synthesis of coeFc</t>
  </si>
  <si>
    <t>Formula</t>
  </si>
  <si>
    <t>vol (ml)</t>
  </si>
  <si>
    <t>d (g/ml)</t>
  </si>
  <si>
    <t>Ferrocene carboxaldehyde</t>
  </si>
  <si>
    <t>C11H10FeO</t>
  </si>
  <si>
    <t>https://store.apolloscientific.co.uk/product/ferrocenecarboxaldehyde</t>
  </si>
  <si>
    <t>Octyl cyanoacetate</t>
  </si>
  <si>
    <t>NCCH2CO2(CH2)7CH3</t>
  </si>
  <si>
    <t>https://www.chemicalbook.com/ProductList_En.aspx?kwd=15666-97-4</t>
  </si>
  <si>
    <t>Piperidine</t>
  </si>
  <si>
    <t>C5H11N</t>
  </si>
  <si>
    <t>https://scifinder-n.cas.org/searchDetail/catalogItem/69baf576d2558453e28ba6ad/catalogItemDetails</t>
  </si>
  <si>
    <t>Ethyl alcohol</t>
  </si>
  <si>
    <t>CH3CH2OH</t>
  </si>
  <si>
    <t>https://www.chemicalbook.com/ProductList_En.aspx?kwd=ethanol</t>
  </si>
  <si>
    <t>Dichloromethane</t>
  </si>
  <si>
    <t>CH2Cl2</t>
  </si>
  <si>
    <t>https://www.chemicalbook.com/ProductDetail_EN_1480688.htm</t>
  </si>
  <si>
    <t>Hydrochloric acid</t>
  </si>
  <si>
    <t>HCl</t>
  </si>
  <si>
    <t>https://scifinder-n.cas.org/searchDetail/catalogItem/69baf9c8d2558453e28bd0fe/catalogItemDetails</t>
  </si>
  <si>
    <t>n-hexane</t>
  </si>
  <si>
    <t>CH3(CH2)4CH3</t>
  </si>
  <si>
    <t>https://www.chemicalbook.com/ProductList_En.aspx?kwd=%20110-54-3</t>
  </si>
  <si>
    <t>Ethyl acetate</t>
  </si>
  <si>
    <t>CH3COOC2H5</t>
  </si>
  <si>
    <t>https://www.chemicalbook.com/ProductList_En.aspx?kwd=141-78-6</t>
  </si>
  <si>
    <t>coeFc</t>
  </si>
  <si>
    <t>$/g</t>
  </si>
  <si>
    <t>Bis(lauryl)ferrocene (ddFc)</t>
  </si>
  <si>
    <r>
      <t>K4Fe(CN)6</t>
    </r>
    <r>
      <rPr>
        <sz val="11"/>
        <color theme="1"/>
        <rFont val="맑은 고딕"/>
        <family val="3"/>
        <charset val="129"/>
      </rPr>
      <t>∙3H2O</t>
    </r>
  </si>
  <si>
    <t>H2O</t>
  </si>
  <si>
    <t>Limiting Rctnt</t>
  </si>
  <si>
    <t>C</t>
  </si>
  <si>
    <t>FeCl2</t>
  </si>
  <si>
    <t>https://www.chemicalbook.com/ProductList_En.aspx?cbn=CB6170714</t>
  </si>
  <si>
    <t>https://www.chemicalbook.com/ChemicalProductProperty_EN_CB5411955.htm</t>
  </si>
  <si>
    <t>S1 Stages</t>
  </si>
  <si>
    <t>S1 C_Pt_in [M]</t>
  </si>
  <si>
    <t>S1 C_Pd_in [M]</t>
  </si>
  <si>
    <t>S1 C_Rh_in [M]</t>
  </si>
  <si>
    <t>S1 q_Pt_in [mol PGM/mol ligand]</t>
  </si>
  <si>
    <t>S1 q_Pd_in [mol PGM/mol ligand]</t>
  </si>
  <si>
    <t>S1 q_Rh_in [mol PGM/mol ligand]</t>
  </si>
  <si>
    <t>S1 C_Pt_out [M]</t>
  </si>
  <si>
    <t>S1 C_Pd_out [M]</t>
  </si>
  <si>
    <t>S1 C_Rh_out [M]</t>
  </si>
  <si>
    <t>S1 q_Pt_out [mol PGM/mol ligand]</t>
  </si>
  <si>
    <t>S1 q_Pd_out [mol PGM/mol ligand]</t>
  </si>
  <si>
    <t>S1 q_Rh_out [mol PGM/mol ligand]</t>
  </si>
  <si>
    <t>S1 Material Residual Pt [mol PGM/time]</t>
  </si>
  <si>
    <t>S1 Material Residual Pd [mol PGM/time]</t>
  </si>
  <si>
    <t>S1 Material Residual Rh [mol PGM/time]</t>
  </si>
  <si>
    <t>S1 Q_org [L/time]</t>
  </si>
  <si>
    <t>S1 PGM Recovery [%]</t>
  </si>
  <si>
    <t>S1 PPM Mass Total Feed [mg/L]</t>
  </si>
  <si>
    <t>S1 PGM Relative Purity [%]</t>
  </si>
  <si>
    <t>S1 Q_aq [L/time]</t>
  </si>
  <si>
    <t>S1 C_lig [L/time]</t>
  </si>
  <si>
    <t>S1 Q_aq/(Q_org*C_lig) [1/M]</t>
  </si>
  <si>
    <t>S1 Ligand</t>
  </si>
  <si>
    <t>S1 ier</t>
  </si>
  <si>
    <t>S1 q_max_Pt</t>
  </si>
  <si>
    <t>S1 q_max_Pd</t>
  </si>
  <si>
    <t>S1 q_max_Rh</t>
  </si>
  <si>
    <t>S1 K_eq_Pt</t>
  </si>
  <si>
    <t>S1 K_eq_Pd</t>
  </si>
  <si>
    <t>S1 K_eq_Rh</t>
  </si>
  <si>
    <t>S2 Stages</t>
  </si>
  <si>
    <t>S2 C_Pt_in [M]</t>
  </si>
  <si>
    <t>S2 C_Pd_in [M]</t>
  </si>
  <si>
    <t>S2 C_Rh_in [M]</t>
  </si>
  <si>
    <t>S2 q_Pt_in [mol PGM/mol ligand]</t>
  </si>
  <si>
    <t>S2 q_Pd_in [mol PGM/mol ligand]</t>
  </si>
  <si>
    <t>S2 q_Rh_in [mol PGM/mol ligand]</t>
  </si>
  <si>
    <t>S2 C_Pt_out [M]</t>
  </si>
  <si>
    <t>S2 C_Pd_out [M]</t>
  </si>
  <si>
    <t>S2 C_Rh_out [M]</t>
  </si>
  <si>
    <t>S2 q_Pt_out [mol PGM/mol ligand]</t>
  </si>
  <si>
    <t>S2 q_Pd_out [mol PGM/mol ligand]</t>
  </si>
  <si>
    <t>S2 q_Rh_out [mol PGM/mol ligand]</t>
  </si>
  <si>
    <t>S2 Material Residual Pt [mol PGM/time]</t>
  </si>
  <si>
    <t>S2 Material Residual Pd [mol PGM/time]</t>
  </si>
  <si>
    <t>S2 Material Residual Rh [mol PGM/time]</t>
  </si>
  <si>
    <t>S2 Q_org [L/time]</t>
  </si>
  <si>
    <t>S2 PGM Recovery [%]</t>
  </si>
  <si>
    <t>S2 PPM Mass Total Feed [mg/L]</t>
  </si>
  <si>
    <t>S2 PGM Relative Purity [%]</t>
  </si>
  <si>
    <t>S2 Q_aq [L/time]</t>
  </si>
  <si>
    <t>S2 C_lig [L/time]</t>
  </si>
  <si>
    <t>S2 Q_aq/(Q_org*C_lig) [1/M]</t>
  </si>
  <si>
    <t>S2 Ligand</t>
  </si>
  <si>
    <t>S2 ier</t>
  </si>
  <si>
    <t>S2 q_max_Pt</t>
  </si>
  <si>
    <t>S2 q_max_Pd</t>
  </si>
  <si>
    <t>S2 q_max_Rh</t>
  </si>
  <si>
    <t>S2 K_eq_Pt</t>
  </si>
  <si>
    <t>S2 K_eq_Pd</t>
  </si>
  <si>
    <t>S2 K_eq_Rh</t>
  </si>
  <si>
    <t>ddFc</t>
  </si>
  <si>
    <t>S1 Q_aq Costing [L/min]</t>
  </si>
  <si>
    <t>S1 Q_org Costing [L/min]</t>
  </si>
  <si>
    <t>S2 Q_aq Costing [L/min]</t>
  </si>
  <si>
    <t>S2 Q_org Costing [L/min]</t>
  </si>
  <si>
    <t>I- in S1 [mol/min]</t>
  </si>
  <si>
    <t>IO3- in S1 [mol/min]</t>
  </si>
  <si>
    <t>H+ in S1 [mol/min]</t>
  </si>
  <si>
    <t>I3- [mol/min]</t>
  </si>
  <si>
    <t>mols ddFc [mol/min]</t>
  </si>
  <si>
    <t>Volume of Ox Prep Reactor [L]</t>
  </si>
  <si>
    <t>Vol of Ox RCTR [L]</t>
  </si>
  <si>
    <t>Vol of Red RCTR [L]</t>
  </si>
  <si>
    <t>DI Water Needed in Red [L/min]</t>
  </si>
  <si>
    <t>Sol Vol Reduction [L/min]</t>
  </si>
  <si>
    <t>Vol of Precip RCTR [L]</t>
  </si>
  <si>
    <t>mol flow FeCl2 [mol/min]</t>
  </si>
  <si>
    <t>ox prep</t>
  </si>
  <si>
    <t>precip</t>
  </si>
  <si>
    <t>I- in S2 [mol/min]</t>
  </si>
  <si>
    <t>IO3- in S2 [mol/min]</t>
  </si>
  <si>
    <t>H+ in S2 [mol/min]</t>
  </si>
  <si>
    <t>mols coeFc [mol/min]</t>
  </si>
  <si>
    <t>charge org [L]</t>
  </si>
  <si>
    <t>charge lig [mol]</t>
  </si>
  <si>
    <t>salt flow S1 [mol/min]</t>
  </si>
  <si>
    <t>salt flow S2 [mol/min]</t>
  </si>
  <si>
    <t xml:space="preserve">cost org chrg S1 </t>
  </si>
  <si>
    <t>cost org chrg S2</t>
  </si>
  <si>
    <t xml:space="preserve">cost lig chrg S1 </t>
  </si>
  <si>
    <t>cost lig chrg S2</t>
  </si>
  <si>
    <t>https://www.chemicalbook.com/ProductList_En.aspx?kwd=dichloromethane</t>
  </si>
  <si>
    <t>10000 L/min to ST [for costing]</t>
  </si>
  <si>
    <t>S1 labor</t>
  </si>
  <si>
    <t>S1 Equip</t>
  </si>
  <si>
    <t>S1 Steel</t>
  </si>
  <si>
    <t>S1 Const</t>
  </si>
  <si>
    <t>S1 Tax</t>
  </si>
  <si>
    <t>CAPEX S1</t>
  </si>
  <si>
    <t>CAPEX S2</t>
  </si>
  <si>
    <t>S2 labor</t>
  </si>
  <si>
    <t>S2 Equip</t>
  </si>
  <si>
    <t>S2 Steel</t>
  </si>
  <si>
    <t>S2 Const</t>
  </si>
  <si>
    <t>S2 Tax</t>
  </si>
  <si>
    <t>CEPCI</t>
  </si>
  <si>
    <t>https://www.mdpi.com/1996-1073/14/9/2665?type=check_update&amp;version=1</t>
  </si>
  <si>
    <t>Reactor Correlation Source:</t>
  </si>
  <si>
    <t>https://www.chemengonline.com/plant-cost-index-beta/</t>
  </si>
  <si>
    <t>2025 src</t>
  </si>
  <si>
    <t>Total CAPEX (2025$)</t>
  </si>
  <si>
    <t>Annualized CAPEX assuming 15 year lifetime</t>
  </si>
  <si>
    <t>Process Water</t>
  </si>
  <si>
    <t>SSL</t>
  </si>
  <si>
    <t>$/L</t>
  </si>
  <si>
    <t>15% more than rctr cost (5% for the site prep, 10% for the startup, (assume labor included in the SX))</t>
  </si>
  <si>
    <t>1.15x</t>
  </si>
  <si>
    <t>units</t>
  </si>
  <si>
    <t>$/mol</t>
  </si>
  <si>
    <t>https://www.alibaba.com/product-detail/inorganic-acid-perchloric-acid-50-Purity_1601345200625.html?spm=a2700.7724857.0.0.798331f2XzNuo4</t>
  </si>
  <si>
    <t>50% wt perchloric acid</t>
  </si>
  <si>
    <t>$/kg pure</t>
  </si>
  <si>
    <t>I- in S1 [$/yr]</t>
  </si>
  <si>
    <t>IO3- in S1 [$/yr]</t>
  </si>
  <si>
    <t>https://scifinder-n.cas.org/searchDetail/catalogItem/698a4af308f8b56fea0b2a9f/catalogItemDetails</t>
  </si>
  <si>
    <t>H+ in S1 [$/yr]</t>
  </si>
  <si>
    <t>ddFc Makeup [$/yr]</t>
  </si>
  <si>
    <t>DCM Makeup S1 [$/yr]</t>
  </si>
  <si>
    <t>Salt S1 [$/yr]</t>
  </si>
  <si>
    <t>Reductant S1 [$/yr]</t>
  </si>
  <si>
    <t>FeCl2 Precip 1 [$/yr]</t>
  </si>
  <si>
    <t>Waste S1 [$/yr]</t>
  </si>
  <si>
    <t>I- in S2 [$/yr]</t>
  </si>
  <si>
    <t>IO3- in S2 [$/yr]</t>
  </si>
  <si>
    <t>H+ in S2 [$/yr]</t>
  </si>
  <si>
    <t>DCM Makeup S2 [$/yr]</t>
  </si>
  <si>
    <t>coeFc Makeup [$/yr]</t>
  </si>
  <si>
    <t>Salt S2 [$/yr]</t>
  </si>
  <si>
    <t>Reductant S2 [$/yr]</t>
  </si>
  <si>
    <t>FeCl2 Precip 2 [$/yr]</t>
  </si>
  <si>
    <t>Waste S2 [$/yr]</t>
  </si>
  <si>
    <t>total waste [$/yr]</t>
  </si>
  <si>
    <t>opex labor S1</t>
  </si>
  <si>
    <t>opex steel S1</t>
  </si>
  <si>
    <t>opex equip S1</t>
  </si>
  <si>
    <t>opex equip S2</t>
  </si>
  <si>
    <t>opex steel S2</t>
  </si>
  <si>
    <t>opex lube S1</t>
  </si>
  <si>
    <t>opex sales tax S1</t>
  </si>
  <si>
    <t>opex S1</t>
  </si>
  <si>
    <t>opex labor S2</t>
  </si>
  <si>
    <t>opex S2</t>
  </si>
  <si>
    <t>opex sales tax S2</t>
  </si>
  <si>
    <t>opex lube S2</t>
  </si>
  <si>
    <t>chemical opex with tariffs [$/yr]</t>
  </si>
  <si>
    <t>opex</t>
  </si>
  <si>
    <t>TAC</t>
  </si>
  <si>
    <t>Pt</t>
  </si>
  <si>
    <t>Pd</t>
  </si>
  <si>
    <t>Rh</t>
  </si>
  <si>
    <t>MAX Sales</t>
  </si>
  <si>
    <t>PUB</t>
  </si>
  <si>
    <t>Cost [$/kg Pt Recov]</t>
  </si>
  <si>
    <t>Cost [$/kg Pd Recov]</t>
  </si>
  <si>
    <t>Cost [$/kg Rh Recov]</t>
  </si>
  <si>
    <t>Cost [$/L feed Process]</t>
  </si>
  <si>
    <t>https://www.chemicalbook.com/ProductDetail_EN_ferrocene_2034577.htm</t>
  </si>
  <si>
    <t>https://www.chemicalbook.com/ProductDetail_EN_991682.htm</t>
  </si>
  <si>
    <t>https://www.alibaba.com/product-detail/Free-Sample-Sodium-Borocyanohydride-CAS-25895_10000026309495.html?spm=a2700.galleryofferlist.normal_offer.d_title.462413a0yX9EqR&amp;priceId=0638c4062c394ca3b92a5c9dc07a2423 Organic Intermediate Sodium Cyanoborohydride Product on Alibaba.com</t>
  </si>
  <si>
    <t>https://www.chemicalbook.com/ProductDetail_EN_1414752.htm</t>
  </si>
  <si>
    <t>https://www.chemicalbook.com/ProductDetail_EN_aluminum-chloride_2179085.htm</t>
  </si>
  <si>
    <t>https://www.chemicalbook.com/ProductList_En.aspx?cbn=CB5854303</t>
  </si>
  <si>
    <t>https://www.chemicalbook.com/ProductList_En.aspx?cbn=CB4104636</t>
  </si>
  <si>
    <t>https://scifinder-n.cas.org/searchDetail/catalogItem/698a50ae08f8b56fea0b847a/catalogItemDetails</t>
  </si>
  <si>
    <t>Electrolyzer unit</t>
  </si>
  <si>
    <t>V_ddFc_Recycle [L]</t>
  </si>
  <si>
    <t>V_coeFc_Recycle [L]</t>
  </si>
  <si>
    <t>ddFc_Recycle [mol]</t>
  </si>
  <si>
    <t>coeFc_Recycle [mol]</t>
  </si>
  <si>
    <t>Chemical</t>
  </si>
  <si>
    <t>L</t>
    <phoneticPr fontId="0" type="noConversion"/>
  </si>
  <si>
    <t>Mols Water Init --&gt;</t>
  </si>
  <si>
    <t>Water generated is negligible relative to vol--&gt; can assume constant volume</t>
  </si>
  <si>
    <t>x excess:</t>
  </si>
  <si>
    <t>Stoich:</t>
  </si>
  <si>
    <t>NaIO3</t>
  </si>
  <si>
    <t>NaI3</t>
  </si>
  <si>
    <t>NaClO4</t>
  </si>
  <si>
    <t>NaIO3 should really be KIO3, but we will use Na as a placeholder for all cations, so K4[Fe(CN)_6] will be assumed to be Na4[Fe(CN)_6]</t>
  </si>
  <si>
    <t>conc (M):</t>
  </si>
  <si>
    <t>I (mol):</t>
  </si>
  <si>
    <t>delta (mol):</t>
  </si>
  <si>
    <t>F (mol):</t>
  </si>
  <si>
    <t>F Conc (M)</t>
  </si>
  <si>
    <t>Chemicals In Process</t>
  </si>
  <si>
    <t>Description</t>
  </si>
  <si>
    <t>Oxidant Feed Tank Composition</t>
  </si>
  <si>
    <t>H2[PtCl_6]</t>
  </si>
  <si>
    <t>Chloroplatinic Acid in OG Leachate Feed</t>
  </si>
  <si>
    <t>Conc [M]</t>
  </si>
  <si>
    <t>Na2[PdCl_4]</t>
  </si>
  <si>
    <t>Chloropalladic Acid in OG Leachate Feed</t>
  </si>
  <si>
    <t>Na3[RhCl_6]</t>
  </si>
  <si>
    <t>Chlororhodic Acid in OG Leachate Feed</t>
  </si>
  <si>
    <t>Will Likely Be in Feed Leachate. Inert in eLLE</t>
  </si>
  <si>
    <t>NaCl</t>
  </si>
  <si>
    <t>Will Likely Be in Feed Leachate. Also in aqueous reduction loop. Inert in eLLE</t>
  </si>
  <si>
    <t>Enters in Aqueous Oxidant Loop</t>
  </si>
  <si>
    <t>assume ddFc of 1.89 mol/min (3 stages S1)</t>
  </si>
  <si>
    <t>ddFcClO4</t>
  </si>
  <si>
    <t>I (mol/min)</t>
  </si>
  <si>
    <t>delta (mol/min)</t>
  </si>
  <si>
    <t>F (mol/min)</t>
  </si>
  <si>
    <t>Cost For 100 L of Feed Solution [$]</t>
  </si>
  <si>
    <t>Assume K is analogous with Na for Atom balance check purposes</t>
  </si>
  <si>
    <t>Cost Ox Fresh Feed [$/L]</t>
  </si>
  <si>
    <t>ddFc Total Flow Recycle [mol/min]</t>
  </si>
  <si>
    <t>coeFc Total Flow Recycle [mol/min]</t>
  </si>
  <si>
    <t>ddFc+ClO4- Flow In S1 [mol/min]</t>
  </si>
  <si>
    <t>coeFc+ClO4- Flow In S2 [mol/min]</t>
  </si>
  <si>
    <t>ddFc+MCl- Flow Out S1 Org [mol/min]</t>
  </si>
  <si>
    <t>ddFc+ClO4- Flow Out S1 Org [mol/min]</t>
  </si>
  <si>
    <t>ClO4- Flow Out S1 Aq [mol/min]</t>
  </si>
  <si>
    <t>H2PtCl6 Flow Out Aq S1 [mol/min]</t>
  </si>
  <si>
    <t>Na2PdCl4 Flow Out Aq S1 [mol/min]</t>
  </si>
  <si>
    <t>Na3RhCl6 Flow Out Aq S1 [mol/min]</t>
  </si>
  <si>
    <t>NaCl Feed S1 [mol/min]</t>
  </si>
  <si>
    <t>H2PtCl6 Flow In Aq S1 [mol/min]</t>
  </si>
  <si>
    <t>Na2PdCl4 Flow in Aq S1 [mol/min]</t>
  </si>
  <si>
    <t>Na3RhCl6 Flow In Aq S1 [mol/min]</t>
  </si>
  <si>
    <t>(ddFc+)2PtCl6 Flow Out S1 Org [mol/min]</t>
  </si>
  <si>
    <t>(ddFc+)2PdCl4 Flow Out S1 Org [mol/min]</t>
  </si>
  <si>
    <t>(ddFc+)3RhCl6 Flow Out S1 Org [mol/min]</t>
  </si>
  <si>
    <t>Na2PtCl6 Flow Out Aq S2 [mol/min]</t>
  </si>
  <si>
    <t>Na2PdCl4 Flow Out Aq S2 [mol/min]</t>
  </si>
  <si>
    <t>Na3RhCl6 Flow Out Aq S2 [mol/min]</t>
  </si>
  <si>
    <t>Mol Purity Pt Recov EW1 [%]</t>
  </si>
  <si>
    <t>Pt (impure) out EW1 [mol/min]</t>
  </si>
  <si>
    <t>Cl2 out EW1 [mol/min]</t>
  </si>
  <si>
    <t>delta NaCl Out EW1</t>
  </si>
  <si>
    <t>(coeFc+)2PtCl6 Flow Out S2 Org [mol/min]</t>
  </si>
  <si>
    <t>(coeFc+)2PdCl4 Flow Out S2 Org [mol/min]</t>
  </si>
  <si>
    <t>(coeFc+)3RhCl6 Flow Out S2 Org [mol/min]</t>
  </si>
  <si>
    <t>coeFc+MCl- Flow Out S2 Org [mol/min]</t>
  </si>
  <si>
    <t>coeFc+ClO4- Flow Out S2 Org [mol/min]</t>
  </si>
  <si>
    <t>delta Na+ClO4- Flow Out S2 Aq [mol/min]</t>
  </si>
  <si>
    <t>ClO4- entering first Reduction Loop Total [mol/min]</t>
  </si>
  <si>
    <t>Cl2 out EW2 [mol/min]</t>
  </si>
  <si>
    <t>delta NaCl Out EW2 [mol/min]</t>
  </si>
  <si>
    <t>ClO4- purge first Reduction Loop Total [mol/min]</t>
  </si>
  <si>
    <t>Cl- purge first Reduction Loop Total [mol/min]</t>
  </si>
  <si>
    <t>Cl- Entering Red1 [mol/min]</t>
  </si>
  <si>
    <t>[Fe(CN)6]4- purge first Reduction Loop Total [mol/min]</t>
  </si>
  <si>
    <t>ClO4- Directly After EW1 and after S2 Aq [mol/min]</t>
  </si>
  <si>
    <t>ClO4- Directly Before S2 Aq [mol/min]</t>
  </si>
  <si>
    <t>ClO4- Entering Red1 [mol/min]</t>
  </si>
  <si>
    <t>ClO4- purge second Reduction Loop Total [mol/min]</t>
  </si>
  <si>
    <t>Cl- purge second Reduction Loop Total [mol/min]</t>
  </si>
  <si>
    <t>Cl- Entering Red2 [mol/min]</t>
  </si>
  <si>
    <t>[Fe(CN)6]4- purge second Reduction Loop Total [mol/min]</t>
  </si>
  <si>
    <t>ClO4- After EW2 and Red2 [mol/min]</t>
  </si>
  <si>
    <t>Vol Flow Ox FF 1 [L/min]</t>
  </si>
  <si>
    <t>Vol Flow Ox FF 2 [L/min]</t>
  </si>
  <si>
    <t>OX1 Size [L]</t>
  </si>
  <si>
    <t>RED1 Size [L]</t>
  </si>
  <si>
    <t>OX2 Size [L]</t>
  </si>
  <si>
    <t>RED2 Size [L]</t>
  </si>
  <si>
    <t>Vol Flow Red FF 1 [L/min]</t>
  </si>
  <si>
    <t>Vol Flow Red FF 2 [L/min]</t>
  </si>
  <si>
    <t>Vol Flow Red Proc Water 1 [L/min]</t>
  </si>
  <si>
    <t xml:space="preserve">Cost DCM ddFc Recycle </t>
  </si>
  <si>
    <t xml:space="preserve">Cost DCM coeFc Recycle </t>
  </si>
  <si>
    <t xml:space="preserve">Cost ddFc ddFc Recycle </t>
  </si>
  <si>
    <t xml:space="preserve">Cost coeFc coeFc Recycle </t>
  </si>
  <si>
    <t>NaCl Flow Leachate Feed [mol/min]</t>
  </si>
  <si>
    <t>NaCl Flow Red 1 Feed [mol/min]</t>
  </si>
  <si>
    <t>OX1 Cost [$]</t>
  </si>
  <si>
    <t>RED1 Cost [$]</t>
  </si>
  <si>
    <t>OX2 Cost [$]</t>
  </si>
  <si>
    <t>RED2 Cost [$]</t>
  </si>
  <si>
    <t>CAPEX Labor Ref</t>
  </si>
  <si>
    <t>CAPEX Equip Ref</t>
  </si>
  <si>
    <t>CAPEX Steel Ref</t>
  </si>
  <si>
    <t>CAPEX Const Ref</t>
  </si>
  <si>
    <t>CAPEX Tax Ref</t>
  </si>
  <si>
    <t>CAPEX S1 LLE + EW</t>
  </si>
  <si>
    <t>CAPEX S2 LLE + EW</t>
  </si>
  <si>
    <t>Total CAPEX [2025 USD]</t>
  </si>
  <si>
    <t>Cost FF Aq OX1 + OX2 [annualized]</t>
  </si>
  <si>
    <t>Cost FF Aq RED1 + RED2 [annualized]</t>
  </si>
  <si>
    <t>NaCl Flow Red 2 Feed [mol/min]</t>
  </si>
  <si>
    <t>Cost NaCl Leachate</t>
  </si>
  <si>
    <t>Annual Cost DCM Makeup LLE1 + LLE2</t>
  </si>
  <si>
    <t>Annual Cost Ligand Makeup</t>
  </si>
  <si>
    <t>OPEX Chemical Purchase With Tariff</t>
  </si>
  <si>
    <t>MW [g/mol]</t>
  </si>
  <si>
    <t>really K</t>
  </si>
  <si>
    <t>Kio3 MW</t>
  </si>
  <si>
    <t>Mass Ions Entering Leachate [kg/min]</t>
  </si>
  <si>
    <t>Mass Ions OX FF [kg/min]</t>
  </si>
  <si>
    <t>Mass Ions RED FF [kg/min]</t>
  </si>
  <si>
    <t>Mass PGM [kg/min]</t>
  </si>
  <si>
    <t>Mass Waste [kg/min]</t>
  </si>
  <si>
    <t>Annual Waste Treatment Cost</t>
  </si>
  <si>
    <t>OPEX Electricity S1</t>
  </si>
  <si>
    <t>opex electricity S2</t>
  </si>
  <si>
    <t>EW Voltage [V]</t>
  </si>
  <si>
    <t>Faradaic Efficiency</t>
  </si>
  <si>
    <t>EW1 Current [A]</t>
  </si>
  <si>
    <t>EW2 Current [A]</t>
  </si>
  <si>
    <t>OPEX S1+S2</t>
  </si>
  <si>
    <t>OPEX</t>
  </si>
  <si>
    <t>Q_OX1_Rec [L/min]</t>
  </si>
  <si>
    <t>Q_OX2_Rec [L/min]</t>
  </si>
  <si>
    <t>Q_RED1_Rec [L/min]</t>
  </si>
  <si>
    <t>Q_RED2_Rec [L/min]</t>
  </si>
  <si>
    <t>OX FF1 Volumetric Flow [L/min]</t>
  </si>
  <si>
    <t>OX FF2 Volumetric Flow [L/min]</t>
  </si>
  <si>
    <t>OX FF1 I3- Flow [mol/min]</t>
  </si>
  <si>
    <t>OX FF2 I3- Flow [L/min]</t>
  </si>
  <si>
    <t>EYZ1 Anode Exit Vol Flow [L/min]</t>
  </si>
  <si>
    <t>EYZ2 Anode Exit Vol Flow [L/min]</t>
  </si>
  <si>
    <t>Delta NaCl EW1</t>
  </si>
  <si>
    <t>Delta NaCl EW2</t>
  </si>
  <si>
    <t>Purge Ratio RED1 Loop</t>
  </si>
  <si>
    <t>RED1 Post Purge Vol Flow [L/min]</t>
  </si>
  <si>
    <t>Purge Ratio RED2 Loop</t>
  </si>
  <si>
    <t>Cost OX1 Rec</t>
  </si>
  <si>
    <t>Cost RED1 Rec</t>
  </si>
  <si>
    <t>Cost OX2 Rec</t>
  </si>
  <si>
    <t>Cost RED2 Rec</t>
  </si>
  <si>
    <t>ClO4- Stream 2 [mol/min]</t>
  </si>
  <si>
    <t>I3- Stream 2 [mol/min]</t>
  </si>
  <si>
    <t>I- Stream 2 [mol/min]</t>
  </si>
  <si>
    <t>IO3- Stream 2 [mol/min]</t>
  </si>
  <si>
    <t>IO3- Stream 5 [mol/min]</t>
  </si>
  <si>
    <t>I- Stream 5 [mol/min]</t>
  </si>
  <si>
    <t>I3- Stream 5 [mol/min]</t>
  </si>
  <si>
    <t>Purge Ratio OX1 Loop</t>
  </si>
  <si>
    <t>Purge Ratio OX2 Loop</t>
  </si>
  <si>
    <t>ClO4- Stream 23 [mol/min]</t>
  </si>
  <si>
    <t>I3- Stream 23 [mol/min]</t>
  </si>
  <si>
    <t>IO3- Stream 26 [mol/min]</t>
  </si>
  <si>
    <t>I- Stream 26 [mol/min]</t>
  </si>
  <si>
    <t>I3- Stream 26 [mol/min]</t>
  </si>
  <si>
    <t>IO3- Stream 23 [mol/min]</t>
  </si>
  <si>
    <t>I- Stream 23 [mol/min]</t>
  </si>
  <si>
    <t>[Fe(CN)6]4- Stream 21 [mol/min]</t>
  </si>
  <si>
    <t>Cl- Stream 21 [mol/min]</t>
  </si>
  <si>
    <t>ClO4- Stream 21 [mol/min]</t>
  </si>
  <si>
    <t>[Fe(CN)6]4- Stream 39 [mol/min]</t>
  </si>
  <si>
    <t>Cl- Stream 39 [mol/min]</t>
  </si>
  <si>
    <t>ClO4- Stream 39 [mol/min]</t>
  </si>
  <si>
    <t>ClO4- Entering Red2 [mol/min]</t>
  </si>
  <si>
    <t>Cost per mol NaI3- [$/mol]</t>
  </si>
  <si>
    <t>Current Density Electrolyzer [A/m^2]</t>
  </si>
  <si>
    <t>Area EYZ1 [m^2]</t>
  </si>
  <si>
    <t>Area EYZ2 [m^2]</t>
  </si>
  <si>
    <t>EC EYZ1</t>
  </si>
  <si>
    <t>EC EYZ2</t>
  </si>
  <si>
    <t>CAPEX EYZ1</t>
  </si>
  <si>
    <t>CAPEX EYZ2</t>
  </si>
  <si>
    <t>Total CAPEX</t>
  </si>
  <si>
    <t>Annualized CAPEX</t>
  </si>
  <si>
    <t>EYZ Voltage [V]</t>
  </si>
  <si>
    <t>Current EYZ1 [A]</t>
  </si>
  <si>
    <t>Current EYZ2 [A]</t>
  </si>
  <si>
    <t>Cost Electricity EYZ1+EYZ2</t>
  </si>
  <si>
    <t>OPEX EYZ1 w/o Electricity</t>
  </si>
  <si>
    <t>OPEX EYZ2 w/o Electricity</t>
  </si>
  <si>
    <t>OPEX EYZ1+EYZ2</t>
  </si>
  <si>
    <t>Cost Ox Fresh Feed +50% ClO4 Price [$/L]</t>
  </si>
  <si>
    <t>Cost Ox Fresh Feed -50% ClO4 Price [$/L]</t>
  </si>
  <si>
    <t>Conc FF RED Loop 1 [M]</t>
  </si>
  <si>
    <t>Conc FF RED Loop 2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</si>
</sst>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E+00"/>
  </numFmts>
  <fonts count="2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b/>
      <sz val="11"/>
      <color rgb="FF0000FF"/>
      <name val="Calibri"/>
      <family val="2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u/>
      <sz val="11"/>
      <color theme="10"/>
      <name val="Calibri"/>
      <family val="2"/>
      <charset val="136"/>
      <scheme val="minor"/>
    </font>
    <font>
      <vertAlign val="superscript"/>
      <sz val="10"/>
      <color theme="1"/>
      <name val="Times New Roman"/>
      <family val="1"/>
    </font>
    <font>
      <u/>
      <sz val="11"/>
      <color theme="1"/>
      <name val="Calibri"/>
      <family val="2"/>
      <charset val="129"/>
      <scheme val="minor"/>
    </font>
    <font>
      <u/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2"/>
      <color rgb="FF2E2E2E"/>
      <name val="Arial"/>
      <family val="2"/>
    </font>
    <font>
      <sz val="13"/>
      <color rgb="FF00000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rgb="FF262626"/>
      <name val="Arial"/>
      <family val="2"/>
    </font>
    <font>
      <sz val="11"/>
      <color theme="1"/>
      <name val="맑은 고딕"/>
      <family val="3"/>
      <charset val="129"/>
    </font>
    <font>
      <sz val="10"/>
      <color rgb="FF212121"/>
      <name val="Times New Roman"/>
      <family val="1"/>
    </font>
    <font>
      <b/>
      <sz val="10"/>
      <color rgb="FF212121"/>
      <name val="Times New Roman"/>
      <family val="1"/>
    </font>
    <font>
      <b/>
      <sz val="11"/>
      <color rgb="FF0000FF"/>
      <name val="맑은 고딕"/>
      <family val="2"/>
    </font>
    <font>
      <sz val="11"/>
      <color rgb="FF000000"/>
      <name val="맑은 고딕"/>
      <family val="2"/>
      <charset val="129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29"/>
      <scheme val="minor"/>
    </font>
    <font>
      <sz val="11"/>
      <color rgb="FF000000"/>
      <name val="맑은 고딕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29"/>
      <scheme val="minor"/>
    </font>
    <font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9E1F2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F5F5F5"/>
      </left>
      <right/>
      <top style="medium">
        <color rgb="FFF5F5F5"/>
      </top>
      <bottom style="medium">
        <color rgb="FFF5F5F5"/>
      </bottom>
      <diagonal/>
    </border>
    <border>
      <left/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7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/>
  </cellStyleXfs>
  <cellXfs count="86">
    <xf numFmtId="0" fontId="0" fillId="0" borderId="0" xfId="0"/>
    <xf numFmtId="0" fontId="5" fillId="0" borderId="0" xfId="0" applyFont="1"/>
    <xf numFmtId="0" fontId="0" fillId="2" borderId="1" xfId="0" applyFill="1" applyBorder="1"/>
    <xf numFmtId="0" fontId="4" fillId="0" borderId="0" xfId="1"/>
    <xf numFmtId="0" fontId="0" fillId="0" borderId="1" xfId="0" applyBorder="1"/>
    <xf numFmtId="0" fontId="4" fillId="0" borderId="0" xfId="1" applyFill="1" applyBorder="1"/>
    <xf numFmtId="0" fontId="0" fillId="3" borderId="0" xfId="0" applyFill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7" fillId="0" borderId="0" xfId="2">
      <alignment vertical="center"/>
    </xf>
    <xf numFmtId="0" fontId="9" fillId="0" borderId="0" xfId="3">
      <alignment vertical="center"/>
    </xf>
    <xf numFmtId="164" fontId="7" fillId="0" borderId="0" xfId="2" applyNumberFormat="1">
      <alignment vertical="center"/>
    </xf>
    <xf numFmtId="0" fontId="10" fillId="0" borderId="0" xfId="0" applyFont="1" applyAlignment="1">
      <alignment horizontal="justify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3" fillId="0" borderId="0" xfId="0" applyFont="1"/>
    <xf numFmtId="0" fontId="14" fillId="7" borderId="3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left" vertical="center" wrapText="1"/>
    </xf>
    <xf numFmtId="0" fontId="15" fillId="0" borderId="0" xfId="0" applyFont="1"/>
    <xf numFmtId="0" fontId="0" fillId="8" borderId="0" xfId="0" applyFill="1"/>
    <xf numFmtId="0" fontId="11" fillId="9" borderId="0" xfId="0" applyFont="1" applyFill="1"/>
    <xf numFmtId="0" fontId="0" fillId="9" borderId="0" xfId="0" applyFill="1"/>
    <xf numFmtId="0" fontId="12" fillId="9" borderId="0" xfId="0" applyFont="1" applyFill="1"/>
    <xf numFmtId="0" fontId="0" fillId="0" borderId="0" xfId="0" quotePrefix="1"/>
    <xf numFmtId="0" fontId="16" fillId="0" borderId="0" xfId="0" applyFont="1"/>
    <xf numFmtId="0" fontId="17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" fontId="19" fillId="0" borderId="16" xfId="0" applyNumberFormat="1" applyFont="1" applyBorder="1" applyAlignment="1">
      <alignment horizontal="center" vertical="center" wrapText="1"/>
    </xf>
    <xf numFmtId="3" fontId="19" fillId="0" borderId="16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0" fillId="11" borderId="15" xfId="0" applyFont="1" applyFill="1" applyBorder="1" applyAlignment="1">
      <alignment horizontal="center" vertical="center" wrapText="1"/>
    </xf>
    <xf numFmtId="4" fontId="20" fillId="11" borderId="16" xfId="0" applyNumberFormat="1" applyFont="1" applyFill="1" applyBorder="1" applyAlignment="1">
      <alignment horizontal="center" vertical="center" wrapText="1"/>
    </xf>
    <xf numFmtId="0" fontId="20" fillId="11" borderId="16" xfId="0" applyFont="1" applyFill="1" applyBorder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  <xf numFmtId="0" fontId="21" fillId="0" borderId="0" xfId="0" applyFont="1"/>
    <xf numFmtId="0" fontId="22" fillId="0" borderId="0" xfId="0" applyFont="1"/>
    <xf numFmtId="0" fontId="22" fillId="13" borderId="1" xfId="0" applyFont="1" applyFill="1" applyBorder="1"/>
    <xf numFmtId="0" fontId="22" fillId="0" borderId="1" xfId="0" applyFont="1" applyBorder="1"/>
    <xf numFmtId="0" fontId="22" fillId="14" borderId="0" xfId="0" applyFont="1" applyFill="1"/>
    <xf numFmtId="0" fontId="22" fillId="15" borderId="2" xfId="0" applyFont="1" applyFill="1" applyBorder="1"/>
    <xf numFmtId="0" fontId="4" fillId="0" borderId="1" xfId="1" applyBorder="1"/>
    <xf numFmtId="11" fontId="0" fillId="0" borderId="0" xfId="0" applyNumberFormat="1"/>
    <xf numFmtId="0" fontId="23" fillId="0" borderId="0" xfId="0" applyFont="1"/>
    <xf numFmtId="0" fontId="3" fillId="0" borderId="0" xfId="0" applyFont="1"/>
    <xf numFmtId="0" fontId="24" fillId="0" borderId="0" xfId="0" applyFont="1"/>
    <xf numFmtId="0" fontId="0" fillId="2" borderId="0" xfId="0" applyFill="1"/>
    <xf numFmtId="11" fontId="0" fillId="5" borderId="0" xfId="0" applyNumberFormat="1" applyFill="1"/>
    <xf numFmtId="0" fontId="3" fillId="5" borderId="0" xfId="0" applyFont="1" applyFill="1"/>
    <xf numFmtId="0" fontId="25" fillId="0" borderId="0" xfId="0" applyFont="1"/>
    <xf numFmtId="0" fontId="2" fillId="0" borderId="0" xfId="4"/>
    <xf numFmtId="0" fontId="2" fillId="0" borderId="0" xfId="4" applyAlignment="1">
      <alignment horizontal="right"/>
    </xf>
    <xf numFmtId="0" fontId="2" fillId="5" borderId="0" xfId="4" applyFill="1"/>
    <xf numFmtId="0" fontId="23" fillId="0" borderId="0" xfId="4" applyFont="1"/>
    <xf numFmtId="0" fontId="2" fillId="0" borderId="0" xfId="4" applyAlignment="1">
      <alignment horizontal="center"/>
    </xf>
    <xf numFmtId="2" fontId="2" fillId="0" borderId="0" xfId="4" applyNumberFormat="1"/>
    <xf numFmtId="0" fontId="2" fillId="0" borderId="0" xfId="4" applyFont="1"/>
    <xf numFmtId="0" fontId="26" fillId="0" borderId="0" xfId="4" applyFont="1"/>
    <xf numFmtId="11" fontId="2" fillId="0" borderId="0" xfId="4" applyNumberFormat="1"/>
    <xf numFmtId="165" fontId="2" fillId="0" borderId="0" xfId="4" applyNumberFormat="1"/>
    <xf numFmtId="11" fontId="2" fillId="5" borderId="0" xfId="4" applyNumberFormat="1" applyFill="1"/>
    <xf numFmtId="0" fontId="2" fillId="0" borderId="0" xfId="0" applyFont="1"/>
    <xf numFmtId="0" fontId="20" fillId="10" borderId="17" xfId="0" applyFont="1" applyFill="1" applyBorder="1" applyAlignment="1">
      <alignment horizontal="center" vertical="center" wrapText="1"/>
    </xf>
    <xf numFmtId="0" fontId="20" fillId="10" borderId="18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0" fontId="20" fillId="12" borderId="17" xfId="0" applyFont="1" applyFill="1" applyBorder="1" applyAlignment="1">
      <alignment horizontal="center" vertical="center" wrapText="1"/>
    </xf>
    <xf numFmtId="0" fontId="20" fillId="12" borderId="18" xfId="0" applyFont="1" applyFill="1" applyBorder="1" applyAlignment="1">
      <alignment horizontal="center" vertical="center" wrapText="1"/>
    </xf>
    <xf numFmtId="0" fontId="20" fillId="12" borderId="14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4" applyFont="1"/>
    <xf numFmtId="0" fontId="27" fillId="0" borderId="0" xfId="0" applyFont="1"/>
    <xf numFmtId="0" fontId="28" fillId="0" borderId="0" xfId="0" applyFont="1"/>
    <xf numFmtId="0" fontId="0" fillId="0" borderId="0" xfId="0" applyNumberFormat="1"/>
    <xf numFmtId="0" fontId="2" fillId="0" borderId="0" xfId="4" applyNumberFormat="1"/>
    <xf numFmtId="0" fontId="0" fillId="5" borderId="0" xfId="0" applyNumberFormat="1" applyFill="1"/>
  </cellXfs>
  <cellStyles count="5">
    <cellStyle name="Hyperlink" xfId="1" builtinId="8"/>
    <cellStyle name="Normal" xfId="0" builtinId="0"/>
    <cellStyle name="Normal 2" xfId="4" xr:uid="{B540A1B6-310B-4638-9872-CA7E506ACAAE}"/>
    <cellStyle name="표준 2" xfId="2" xr:uid="{3EEB4586-955E-4FCA-A6DA-F59843C1BA0F}"/>
    <cellStyle name="하이퍼링크 2" xfId="3" xr:uid="{FB0EE252-CFB6-43D4-B9D4-3F41D7ACC584}"/>
  </cellStyles>
  <dxfs count="0"/>
  <tableStyles count="0" defaultTableStyle="TableStyleMedium2" defaultPivotStyle="PivotStyleLight16"/>
  <colors>
    <mruColors>
      <color rgb="FF99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80.png"/><Relationship Id="rId2" Type="http://schemas.openxmlformats.org/officeDocument/2006/relationships/image" Target="../media/image8.gif"/><Relationship Id="rId1" Type="http://schemas.openxmlformats.org/officeDocument/2006/relationships/image" Target="../media/image7.png"/><Relationship Id="rId6" Type="http://schemas.openxmlformats.org/officeDocument/2006/relationships/customXml" Target="../ink/ink1.xml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235319</xdr:colOff>
      <xdr:row>3</xdr:row>
      <xdr:rowOff>78442</xdr:rowOff>
    </xdr:from>
    <xdr:to>
      <xdr:col>2</xdr:col>
      <xdr:colOff>81798</xdr:colOff>
      <xdr:row>10</xdr:row>
      <xdr:rowOff>156882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44" t="4635" b="2027"/>
        <a:stretch>
          <a:fillRect/>
        </a:stretch>
      </xdr:blipFill>
      <xdr:spPr>
        <a:xfrm>
          <a:off x="235319" y="728383"/>
          <a:ext cx="5759823" cy="1568823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201706</xdr:colOff>
      <xdr:row>23</xdr:row>
      <xdr:rowOff>56030</xdr:rowOff>
    </xdr:from>
    <xdr:to>
      <xdr:col>4</xdr:col>
      <xdr:colOff>266926</xdr:colOff>
      <xdr:row>30</xdr:row>
      <xdr:rowOff>72077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15" t="4304" b="-1"/>
        <a:stretch>
          <a:fillRect/>
        </a:stretch>
      </xdr:blipFill>
      <xdr:spPr>
        <a:xfrm>
          <a:off x="201706" y="5165912"/>
          <a:ext cx="7631433" cy="149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47625</xdr:colOff>
      <xdr:row>27</xdr:row>
      <xdr:rowOff>57150</xdr:rowOff>
    </xdr:from>
    <xdr:to>
      <xdr:col>24</xdr:col>
      <xdr:colOff>215333</xdr:colOff>
      <xdr:row>68</xdr:row>
      <xdr:rowOff>84282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8750E-2908-C34B-452B-C6317FA30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72850" y="5238750"/>
          <a:ext cx="5039428" cy="78592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411505</xdr:colOff>
      <xdr:row>5</xdr:row>
      <xdr:rowOff>2648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AB2C9-A496-455A-87BC-6B20438C6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5740" y="182880"/>
          <a:ext cx="6664611" cy="743058"/>
        </a:xfrm>
        <a:prstGeom prst="rect">
          <a:avLst/>
        </a:prstGeom>
      </xdr:spPr>
    </xdr:pic>
    <xdr:clientData/>
  </xdr:twoCellAnchor>
  <xdr:twoCellAnchor editAs="oneCell">
    <xdr:from>
      <xdr:col>17</xdr:col>
      <xdr:colOff>419100</xdr:colOff>
      <xdr:row>13</xdr:row>
      <xdr:rowOff>47625</xdr:rowOff>
    </xdr:from>
    <xdr:to>
      <xdr:col>25</xdr:col>
      <xdr:colOff>187215</xdr:colOff>
      <xdr:row>43</xdr:row>
      <xdr:rowOff>73226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189663-518E-4538-8E4F-5C7DEB888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0260" y="2425065"/>
          <a:ext cx="4638565" cy="555137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30</xdr:row>
      <xdr:rowOff>0</xdr:rowOff>
    </xdr:from>
    <xdr:to>
      <xdr:col>12</xdr:col>
      <xdr:colOff>1717489</xdr:colOff>
      <xdr:row>36</xdr:row>
      <xdr:rowOff>111716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A040BE-B379-4E1F-B398-EB64A6816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5486400"/>
          <a:ext cx="11250930" cy="12026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971004</xdr:colOff>
      <xdr:row>50</xdr:row>
      <xdr:rowOff>50243</xdr:rowOff>
    </xdr:from>
    <xdr:to>
      <xdr:col>6</xdr:col>
      <xdr:colOff>232573</xdr:colOff>
      <xdr:row>59</xdr:row>
      <xdr:rowOff>24248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0784" y="10961078"/>
          <a:ext cx="3219050" cy="193343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34290</xdr:colOff>
      <xdr:row>27</xdr:row>
      <xdr:rowOff>34290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AF4490-18AF-5E41-378C-9D278FC0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30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411802</xdr:colOff>
      <xdr:row>45</xdr:row>
      <xdr:rowOff>109445</xdr:rowOff>
    </xdr:from>
    <xdr:to>
      <xdr:col>11</xdr:col>
      <xdr:colOff>555</xdr:colOff>
      <xdr:row>62</xdr:row>
      <xdr:rowOff>168203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E87F184-6A08-7842-6E92-E70FF2F7D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9650" y="8715075"/>
          <a:ext cx="3150275" cy="3297258"/>
        </a:xfrm>
        <a:prstGeom prst="rect">
          <a:avLst/>
        </a:prstGeom>
      </xdr:spPr>
    </xdr:pic>
    <xdr:clientData/>
  </xdr:twoCellAnchor>
  <xdr:twoCellAnchor editAs="oneCell">
    <xdr:from>
      <xdr:col>5</xdr:col>
      <xdr:colOff>766862</xdr:colOff>
      <xdr:row>0</xdr:row>
      <xdr:rowOff>0</xdr:rowOff>
    </xdr:from>
    <xdr:to>
      <xdr:col>10</xdr:col>
      <xdr:colOff>562506</xdr:colOff>
      <xdr:row>16</xdr:row>
      <xdr:rowOff>170597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3E551EF-33BA-44BB-BE43-CFF0FD798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83927" y="0"/>
          <a:ext cx="3539383" cy="3251727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27</xdr:row>
      <xdr:rowOff>0</xdr:rowOff>
    </xdr:from>
    <xdr:ext cx="3810" cy="3810"/>
    <xdr:pic>
      <xdr:nvPicPr>
        <xdr:cNvPr id="7" name="그림 6">
          <a:extLst>
            <a:ext uri="{FF2B5EF4-FFF2-40B4-BE49-F238E27FC236}">
              <a16:creationId xmlns:a16="http://schemas.microsoft.com/office/drawing/2014/main" id="{B9A36110-7287-4E96-A144-0C2EFC2F7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5760720"/>
          <a:ext cx="3810" cy="3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95415</xdr:colOff>
      <xdr:row>81</xdr:row>
      <xdr:rowOff>160984</xdr:rowOff>
    </xdr:from>
    <xdr:to>
      <xdr:col>5</xdr:col>
      <xdr:colOff>215622</xdr:colOff>
      <xdr:row>92</xdr:row>
      <xdr:rowOff>139295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53177D4-8AF2-4C16-DD41-56DD54D58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8328" y="15624614"/>
          <a:ext cx="3524359" cy="2073811"/>
        </a:xfrm>
        <a:prstGeom prst="rect">
          <a:avLst/>
        </a:prstGeom>
      </xdr:spPr>
    </xdr:pic>
    <xdr:clientData/>
  </xdr:twoCellAnchor>
  <xdr:twoCellAnchor editAs="oneCell">
    <xdr:from>
      <xdr:col>6</xdr:col>
      <xdr:colOff>621237</xdr:colOff>
      <xdr:row>12</xdr:row>
      <xdr:rowOff>67991</xdr:rowOff>
    </xdr:from>
    <xdr:to>
      <xdr:col>10</xdr:col>
      <xdr:colOff>491271</xdr:colOff>
      <xdr:row>12</xdr:row>
      <xdr:rowOff>72671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잉크 10">
              <a:extLst>
                <a:ext uri="{FF2B5EF4-FFF2-40B4-BE49-F238E27FC236}">
                  <a16:creationId xmlns:a16="http://schemas.microsoft.com/office/drawing/2014/main" id="{1217AF47-A77C-3AB5-57BF-3ABE4C234DE3}"/>
                </a:ext>
              </a:extLst>
            </xdr14:cNvPr>
            <xdr14:cNvContentPartPr/>
          </xdr14:nvContentPartPr>
          <xdr14:nvPr macro=""/>
          <xdr14:xfrm>
            <a:off x="4950589" y="2749890"/>
            <a:ext cx="2971800" cy="4680"/>
          </xdr14:xfrm>
        </xdr:contentPart>
      </mc:Choice>
      <mc:Fallback xmlns="">
        <xdr:pic>
          <xdr:nvPicPr>
            <xdr:cNvPr id="11" name="잉크 10">
              <a:extLst>
                <a:ext uri="{FF2B5EF4-FFF2-40B4-BE49-F238E27FC236}">
                  <a16:creationId xmlns:a16="http://schemas.microsoft.com/office/drawing/2014/main" id="{1217AF47-A77C-3AB5-57BF-3ABE4C234DE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914589" y="2677890"/>
              <a:ext cx="3043440" cy="148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143</xdr:col>
      <xdr:colOff>50240</xdr:colOff>
      <xdr:row>9</xdr:row>
      <xdr:rowOff>75204</xdr:rowOff>
    </xdr:from>
    <xdr:to>
      <xdr:col>147</xdr:col>
      <xdr:colOff>384226</xdr:colOff>
      <xdr:row>27</xdr:row>
      <xdr:rowOff>73637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92BBEEF-FA8F-441C-89E5-DF0B2A1AD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16240" y="1827804"/>
          <a:ext cx="3183232" cy="340584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8T21:34:41.106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11 0,'7399'-11'0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emicalbook.com/ProductDetail_EN_1480688.htm" TargetMode="External"/><Relationship Id="rId13" Type="http://schemas.openxmlformats.org/officeDocument/2006/relationships/hyperlink" Target="https://store.apolloscientific.co.uk/product/ferrocenecarboxaldehyde" TargetMode="External"/><Relationship Id="rId18" Type="http://schemas.openxmlformats.org/officeDocument/2006/relationships/hyperlink" Target="https://www.chemicalbook.com/ProductList_En.aspx?kwd=%20110-54-3" TargetMode="External"/><Relationship Id="rId3" Type="http://schemas.openxmlformats.org/officeDocument/2006/relationships/hyperlink" Target="https://www.chemicalbook.com/ProductDetail_EN_991682.ht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chemicalbook.com/ProductDetail_EN_1414752.htm" TargetMode="External"/><Relationship Id="rId12" Type="http://schemas.openxmlformats.org/officeDocument/2006/relationships/hyperlink" Target="https://www.chemicalbook.com/ProductDetail_EN_1414752.htm" TargetMode="External"/><Relationship Id="rId17" Type="http://schemas.openxmlformats.org/officeDocument/2006/relationships/hyperlink" Target="https://scifinder-n.cas.org/searchDetail/catalogItem/69baf9c8d2558453e28bd0fe/catalogItemDetails" TargetMode="External"/><Relationship Id="rId2" Type="http://schemas.openxmlformats.org/officeDocument/2006/relationships/hyperlink" Target="https://www.chemicalbook.com/ProductDetail_EN_1480688.htm" TargetMode="External"/><Relationship Id="rId16" Type="http://schemas.openxmlformats.org/officeDocument/2006/relationships/hyperlink" Target="https://www.chemicalbook.com/ProductList_En.aspx?kwd=ethanol" TargetMode="External"/><Relationship Id="rId20" Type="http://schemas.openxmlformats.org/officeDocument/2006/relationships/hyperlink" Target="https://www.chemicalbook.com/ProductDetail_EN_1480688.htm" TargetMode="External"/><Relationship Id="rId1" Type="http://schemas.openxmlformats.org/officeDocument/2006/relationships/hyperlink" Target="https://www.chemicalbook.com/ProductDetail_EN_ferrocene_2034577.htm" TargetMode="External"/><Relationship Id="rId6" Type="http://schemas.openxmlformats.org/officeDocument/2006/relationships/hyperlink" Target="https://www.alibaba.com/product-detail/Free-Sample-Sodium-Borocyanohydride-CAS-25895_10000026309495.html?spm=a2700.galleryofferlist.normal_offer.d_title.462413a0yX9EqR&amp;priceId=0638c4062c394ca3b92a5c9dc07a2423%20Organic%20Intermediate%20Sodium%20Cyanoborohydride%20Product%20on%20Alibaba.com" TargetMode="External"/><Relationship Id="rId11" Type="http://schemas.openxmlformats.org/officeDocument/2006/relationships/hyperlink" Target="https://www.alibaba.com/product-detail/Free-Sample-Sodium-Borocyanohydride-CAS-25895_10000026309495.html?spm=a2700.galleryofferlist.normal_offer.d_title.462413a0yX9EqR&amp;priceId=0638c4062c394ca3b92a5c9dc07a2423%20Organic%20Intermediate%20Sodium%20Cyanoborohydride%20Product%20on%20Alibaba.com" TargetMode="External"/><Relationship Id="rId5" Type="http://schemas.openxmlformats.org/officeDocument/2006/relationships/hyperlink" Target="https://scifinder-n.cas.org/searchDetail/catalogItem/6972747ff639fa3449303d77/catalogItemDetails" TargetMode="External"/><Relationship Id="rId15" Type="http://schemas.openxmlformats.org/officeDocument/2006/relationships/hyperlink" Target="https://scifinder-n.cas.org/searchDetail/catalogItem/69baf576d2558453e28ba6ad/catalogItemDetails" TargetMode="External"/><Relationship Id="rId10" Type="http://schemas.openxmlformats.org/officeDocument/2006/relationships/hyperlink" Target="https://www.chemicalbook.com/ProductDetail_EN_aluminum-chloride_2179085.htm" TargetMode="External"/><Relationship Id="rId19" Type="http://schemas.openxmlformats.org/officeDocument/2006/relationships/hyperlink" Target="https://www.chemicalbook.com/ProductList_En.aspx?kwd=141-78-6" TargetMode="External"/><Relationship Id="rId4" Type="http://schemas.openxmlformats.org/officeDocument/2006/relationships/hyperlink" Target="https://www.chemicalbook.com/ProductDetail_EN_aluminum-chloride_2179085.htm" TargetMode="External"/><Relationship Id="rId9" Type="http://schemas.openxmlformats.org/officeDocument/2006/relationships/hyperlink" Target="https://www.chemicalbook.com/ProductDetail_EN_991682.htm" TargetMode="External"/><Relationship Id="rId14" Type="http://schemas.openxmlformats.org/officeDocument/2006/relationships/hyperlink" Target="https://www.chemicalbook.com/ProductList_En.aspx?kwd=15666-97-4" TargetMode="External"/><Relationship Id="rId2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inorganic-acid-perchloric-acid-50-Purity_1601345200625.html?spm=a2700.7724857.0.0.798331f2XzNuo4" TargetMode="External"/><Relationship Id="rId3" Type="http://schemas.openxmlformats.org/officeDocument/2006/relationships/hyperlink" Target="https://www.chemicalbook.com/ProductList_En.aspx?cbn=CB6170714" TargetMode="External"/><Relationship Id="rId7" Type="http://schemas.openxmlformats.org/officeDocument/2006/relationships/hyperlink" Target="https://www.chemicalbook.com/ChemicalProductProperty_EN_CB5411955.htm" TargetMode="External"/><Relationship Id="rId2" Type="http://schemas.openxmlformats.org/officeDocument/2006/relationships/hyperlink" Target="https://www.chemicalbook.com/ProductList_En.aspx?cbn=CB5854303" TargetMode="External"/><Relationship Id="rId1" Type="http://schemas.openxmlformats.org/officeDocument/2006/relationships/hyperlink" Target="https://www.chemicalbook.com/ProductList_En.aspx?kwd=dichloromethane" TargetMode="External"/><Relationship Id="rId6" Type="http://schemas.openxmlformats.org/officeDocument/2006/relationships/hyperlink" Target="https://www.chemicalbook.com/ProductList_En.aspx?cbn=CB4104636" TargetMode="External"/><Relationship Id="rId5" Type="http://schemas.openxmlformats.org/officeDocument/2006/relationships/hyperlink" Target="https://scifinder-n.cas.org/searchDetail/catalogItem/698a50ae08f8b56fea0b847a/catalogItemDetails" TargetMode="External"/><Relationship Id="rId4" Type="http://schemas.openxmlformats.org/officeDocument/2006/relationships/hyperlink" Target="https://scifinder-n.cas.org/searchDetail/catalogItem/698a4af308f8b56fea0b2a9f/catalogItemDetails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tthey.com/products-and-markets/pgms-and-circularity/pgm-management" TargetMode="External"/><Relationship Id="rId2" Type="http://schemas.openxmlformats.org/officeDocument/2006/relationships/hyperlink" Target="https://matthey.com/products-and-markets/pgms-and-circularity/pgm-management" TargetMode="External"/><Relationship Id="rId1" Type="http://schemas.openxmlformats.org/officeDocument/2006/relationships/hyperlink" Target="https://markets.businessinsider.com/commodities/platinum-pric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ining.itservices.manchester.ac.uk/public/gced/CEPCI.html?reactors/CEPCI/index.html" TargetMode="External"/><Relationship Id="rId3" Type="http://schemas.openxmlformats.org/officeDocument/2006/relationships/hyperlink" Target="https://www.cell.com/joule/fulltext/S2542-4351(23)00127-7" TargetMode="External"/><Relationship Id="rId7" Type="http://schemas.openxmlformats.org/officeDocument/2006/relationships/hyperlink" Target="https://www.sciencedirect.com/science/article/pii/S0196890421013182" TargetMode="External"/><Relationship Id="rId12" Type="http://schemas.openxmlformats.org/officeDocument/2006/relationships/drawing" Target="../drawings/drawing4.xml"/><Relationship Id="rId2" Type="http://schemas.openxmlformats.org/officeDocument/2006/relationships/hyperlink" Target="https://www.nature.com/articles/s41560-019-0326-1" TargetMode="External"/><Relationship Id="rId1" Type="http://schemas.openxmlformats.org/officeDocument/2006/relationships/hyperlink" Target="https://pubs.usgs.gov/unnumbered/70138816/report.pdf" TargetMode="External"/><Relationship Id="rId6" Type="http://schemas.openxmlformats.org/officeDocument/2006/relationships/hyperlink" Target="https://www.jecst.org/upload/media/jecst-2021-00584-suppl.pdf" TargetMode="External"/><Relationship Id="rId11" Type="http://schemas.openxmlformats.org/officeDocument/2006/relationships/hyperlink" Target="https://www.chemengonline.com/plant-cost-index-beta/" TargetMode="External"/><Relationship Id="rId5" Type="http://schemas.openxmlformats.org/officeDocument/2006/relationships/hyperlink" Target="https://pubs.rsc.org/en/content/articlelanding/2023/ey/d3ey00058c" TargetMode="External"/><Relationship Id="rId10" Type="http://schemas.openxmlformats.org/officeDocument/2006/relationships/hyperlink" Target="https://www.mdpi.com/1996-1073/14/9/2665?type=check_update&amp;version=1" TargetMode="External"/><Relationship Id="rId4" Type="http://schemas.openxmlformats.org/officeDocument/2006/relationships/hyperlink" Target="https://www.iea.org/reports/global-hydrogen-review-2025/executive-summary?utm_source=chatgpt.com" TargetMode="External"/><Relationship Id="rId9" Type="http://schemas.openxmlformats.org/officeDocument/2006/relationships/hyperlink" Target="https://www.training.itservices.manchester.ac.uk/public/gced/CEPCI.html?reactors/CEPCI/index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4B1A-D1C6-436B-B867-442B880E8091}">
  <sheetPr codeName="Sheet1"/>
  <dimension ref="A1:W59"/>
  <sheetViews>
    <sheetView topLeftCell="A12" zoomScale="85" zoomScaleNormal="85" workbookViewId="0">
      <selection activeCell="H42" sqref="H42"/>
    </sheetView>
  </sheetViews>
  <sheetFormatPr defaultRowHeight="15"/>
  <cols>
    <col min="1" max="1" width="63.140625" customWidth="1"/>
    <col min="2" max="2" width="15.140625" customWidth="1"/>
    <col min="3" max="3" width="9.7109375" customWidth="1"/>
    <col min="4" max="4" width="10.85546875" customWidth="1"/>
    <col min="5" max="5" width="12.7109375" bestFit="1" customWidth="1"/>
    <col min="6" max="6" width="9.42578125" bestFit="1" customWidth="1"/>
    <col min="7" max="7" width="10.140625" customWidth="1"/>
    <col min="8" max="8" width="9.85546875" customWidth="1"/>
    <col min="9" max="9" width="12.42578125" customWidth="1"/>
    <col min="10" max="10" width="8.42578125" customWidth="1"/>
    <col min="11" max="11" width="8.7109375" customWidth="1"/>
    <col min="12" max="12" width="7.7109375" customWidth="1"/>
    <col min="14" max="14" width="12.28515625" bestFit="1" customWidth="1"/>
  </cols>
  <sheetData>
    <row r="1" spans="1:23">
      <c r="I1" t="s">
        <v>27</v>
      </c>
      <c r="J1" t="s">
        <v>28</v>
      </c>
    </row>
    <row r="3" spans="1:23">
      <c r="A3" s="1" t="s">
        <v>11</v>
      </c>
      <c r="B3" s="1"/>
    </row>
    <row r="7" spans="1:23" ht="15.75">
      <c r="N7" s="13"/>
    </row>
    <row r="9" spans="1:23">
      <c r="K9" s="54"/>
      <c r="L9" s="54"/>
    </row>
    <row r="13" spans="1:23">
      <c r="A13" s="2" t="s">
        <v>0</v>
      </c>
      <c r="B13" s="2" t="s">
        <v>26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32</v>
      </c>
      <c r="L13" s="2" t="s">
        <v>31</v>
      </c>
      <c r="M13" s="2" t="s">
        <v>9</v>
      </c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t="s">
        <v>25</v>
      </c>
      <c r="B14" t="s">
        <v>30</v>
      </c>
      <c r="C14">
        <v>186.03</v>
      </c>
      <c r="D14">
        <v>1</v>
      </c>
      <c r="E14">
        <f>F14/C14</f>
        <v>9.6758587324625056E-2</v>
      </c>
      <c r="F14">
        <v>18</v>
      </c>
      <c r="H14">
        <f>I14*F14/1000</f>
        <v>0.504</v>
      </c>
      <c r="I14">
        <v>28</v>
      </c>
      <c r="J14" t="s">
        <v>10</v>
      </c>
      <c r="M14" s="3" t="s">
        <v>429</v>
      </c>
    </row>
    <row r="15" spans="1:23">
      <c r="A15" t="s">
        <v>36</v>
      </c>
      <c r="B15" t="s">
        <v>29</v>
      </c>
      <c r="C15">
        <v>218.76</v>
      </c>
      <c r="D15">
        <v>2</v>
      </c>
      <c r="E15">
        <f t="shared" ref="E15:E19" si="0">F15/C15</f>
        <v>0.19349972572682392</v>
      </c>
      <c r="F15">
        <v>42.33</v>
      </c>
      <c r="H15">
        <f t="shared" ref="H15:H18" si="1">I15*F15/1000</f>
        <v>0.160854</v>
      </c>
      <c r="I15">
        <v>3.8</v>
      </c>
      <c r="J15" t="s">
        <v>10</v>
      </c>
      <c r="K15">
        <v>45.9</v>
      </c>
      <c r="L15">
        <v>0.92200000000000004</v>
      </c>
      <c r="M15" s="3" t="s">
        <v>430</v>
      </c>
    </row>
    <row r="16" spans="1:23">
      <c r="A16" t="s">
        <v>45</v>
      </c>
      <c r="B16" t="s">
        <v>33</v>
      </c>
      <c r="C16">
        <v>37.83</v>
      </c>
      <c r="D16">
        <v>2</v>
      </c>
      <c r="E16">
        <f t="shared" si="0"/>
        <v>0.19352365847211209</v>
      </c>
      <c r="F16">
        <v>7.3209999999999997</v>
      </c>
      <c r="H16">
        <f t="shared" si="1"/>
        <v>0.102494</v>
      </c>
      <c r="I16">
        <v>14</v>
      </c>
      <c r="J16" t="s">
        <v>10</v>
      </c>
      <c r="M16" s="3" t="s">
        <v>431</v>
      </c>
    </row>
    <row r="17" spans="1:23">
      <c r="A17" t="s">
        <v>52</v>
      </c>
      <c r="B17" t="s">
        <v>54</v>
      </c>
      <c r="C17">
        <v>178.23</v>
      </c>
      <c r="D17">
        <f>E17/E14</f>
        <v>5.5322582932166311</v>
      </c>
      <c r="E17">
        <f t="shared" si="0"/>
        <v>0.53529349716658259</v>
      </c>
      <c r="F17">
        <f>K17*L17</f>
        <v>95.405360000000002</v>
      </c>
      <c r="H17">
        <f t="shared" si="1"/>
        <v>1.011296816</v>
      </c>
      <c r="I17">
        <v>10.6</v>
      </c>
      <c r="J17" t="s">
        <v>10</v>
      </c>
      <c r="K17">
        <v>96.76</v>
      </c>
      <c r="L17">
        <v>0.98599999999999999</v>
      </c>
      <c r="M17" s="3" t="s">
        <v>432</v>
      </c>
    </row>
    <row r="18" spans="1:23">
      <c r="A18" t="s">
        <v>38</v>
      </c>
      <c r="B18" t="s">
        <v>34</v>
      </c>
      <c r="C18">
        <v>133.33000000000001</v>
      </c>
      <c r="D18">
        <v>2.2000000000000002</v>
      </c>
      <c r="E18">
        <f t="shared" si="0"/>
        <v>0.21285532138303453</v>
      </c>
      <c r="F18">
        <v>28.38</v>
      </c>
      <c r="H18">
        <f t="shared" si="1"/>
        <v>5.6759999999999998E-2</v>
      </c>
      <c r="I18">
        <v>2</v>
      </c>
      <c r="J18" t="s">
        <v>10</v>
      </c>
      <c r="M18" s="3" t="s">
        <v>433</v>
      </c>
    </row>
    <row r="19" spans="1:23">
      <c r="A19" s="4" t="s">
        <v>37</v>
      </c>
      <c r="B19" s="4" t="s">
        <v>40</v>
      </c>
      <c r="C19" s="4">
        <v>84.93</v>
      </c>
      <c r="D19" s="4">
        <f>E19/E14</f>
        <v>80.922818791946298</v>
      </c>
      <c r="E19" s="4">
        <f t="shared" si="0"/>
        <v>7.829977628635346</v>
      </c>
      <c r="F19" s="4">
        <v>665</v>
      </c>
      <c r="G19" s="4"/>
      <c r="H19" s="4">
        <f>I19*F19/1000</f>
        <v>6.65</v>
      </c>
      <c r="I19" s="4">
        <v>10</v>
      </c>
      <c r="J19" s="4" t="s">
        <v>10</v>
      </c>
      <c r="K19" s="4">
        <v>500</v>
      </c>
      <c r="L19" s="4">
        <v>1.33</v>
      </c>
      <c r="M19" s="5" t="s">
        <v>241</v>
      </c>
    </row>
    <row r="20" spans="1:23">
      <c r="A20" s="6" t="s">
        <v>253</v>
      </c>
      <c r="B20" s="6" t="s">
        <v>35</v>
      </c>
      <c r="C20" s="6">
        <v>522.67999999999995</v>
      </c>
      <c r="D20" s="6"/>
      <c r="E20" s="6"/>
      <c r="F20" s="6">
        <v>27.81</v>
      </c>
      <c r="G20" s="6">
        <v>54.99</v>
      </c>
      <c r="H20" s="6">
        <f>SUM(H14:H19)</f>
        <v>8.4854048160000008</v>
      </c>
      <c r="I20" s="6"/>
      <c r="J20" s="6">
        <f>H20/F20</f>
        <v>0.30512063344120827</v>
      </c>
      <c r="K20" s="6"/>
      <c r="L20" s="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>
      <c r="J21" t="s">
        <v>49</v>
      </c>
    </row>
    <row r="22" spans="1:23">
      <c r="A22" s="1" t="s">
        <v>44</v>
      </c>
    </row>
    <row r="23" spans="1:23">
      <c r="J23">
        <f>J20*1000</f>
        <v>305.12063344120827</v>
      </c>
    </row>
    <row r="33" spans="1:23">
      <c r="A33" s="2" t="s">
        <v>0</v>
      </c>
      <c r="B33" s="2" t="s">
        <v>26</v>
      </c>
      <c r="C33" s="2" t="s">
        <v>1</v>
      </c>
      <c r="D33" s="2" t="s">
        <v>2</v>
      </c>
      <c r="E33" s="2" t="s">
        <v>3</v>
      </c>
      <c r="F33" s="2" t="s">
        <v>4</v>
      </c>
      <c r="G33" s="2" t="s">
        <v>5</v>
      </c>
      <c r="H33" s="2" t="s">
        <v>6</v>
      </c>
      <c r="I33" s="2" t="s">
        <v>7</v>
      </c>
      <c r="J33" s="2" t="s">
        <v>8</v>
      </c>
      <c r="K33" s="2" t="s">
        <v>32</v>
      </c>
      <c r="L33" s="2" t="s">
        <v>31</v>
      </c>
      <c r="M33" s="2" t="s">
        <v>9</v>
      </c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t="s">
        <v>46</v>
      </c>
      <c r="B34" t="s">
        <v>48</v>
      </c>
      <c r="C34">
        <v>244.07</v>
      </c>
      <c r="D34">
        <v>1</v>
      </c>
      <c r="E34">
        <f>F34/C34</f>
        <v>6.9652148973655098E-2</v>
      </c>
      <c r="F34">
        <v>17</v>
      </c>
      <c r="H34">
        <f>I34*F34/1000</f>
        <v>63.24</v>
      </c>
      <c r="I34">
        <v>3720</v>
      </c>
      <c r="J34" t="s">
        <v>10</v>
      </c>
      <c r="M34" s="3" t="s">
        <v>55</v>
      </c>
    </row>
    <row r="35" spans="1:23">
      <c r="A35" t="s">
        <v>36</v>
      </c>
      <c r="B35" t="s">
        <v>29</v>
      </c>
      <c r="C35">
        <v>218.76</v>
      </c>
      <c r="D35">
        <v>2</v>
      </c>
      <c r="E35">
        <f t="shared" ref="E35:E39" si="2">F35/C35</f>
        <v>0.13933077345035658</v>
      </c>
      <c r="F35">
        <v>30.48</v>
      </c>
      <c r="H35">
        <f t="shared" ref="H35:H39" si="3">I35*F35/1000</f>
        <v>0.115824</v>
      </c>
      <c r="I35">
        <v>3.8</v>
      </c>
      <c r="J35" t="s">
        <v>10</v>
      </c>
      <c r="K35">
        <v>33.1</v>
      </c>
      <c r="L35">
        <v>0.92200000000000004</v>
      </c>
      <c r="M35" s="3" t="s">
        <v>43</v>
      </c>
    </row>
    <row r="36" spans="1:23">
      <c r="A36" t="s">
        <v>45</v>
      </c>
      <c r="B36" t="s">
        <v>33</v>
      </c>
      <c r="C36">
        <v>37.83</v>
      </c>
      <c r="D36">
        <v>2</v>
      </c>
      <c r="E36">
        <f t="shared" si="2"/>
        <v>0.13930742796722179</v>
      </c>
      <c r="F36">
        <v>5.27</v>
      </c>
      <c r="H36">
        <f t="shared" si="3"/>
        <v>7.3779999999999998E-2</v>
      </c>
      <c r="I36">
        <v>14</v>
      </c>
      <c r="J36" t="s">
        <v>10</v>
      </c>
      <c r="M36" s="3" t="s">
        <v>41</v>
      </c>
    </row>
    <row r="37" spans="1:23">
      <c r="A37" t="s">
        <v>52</v>
      </c>
      <c r="B37" t="s">
        <v>54</v>
      </c>
      <c r="C37">
        <v>178.23</v>
      </c>
      <c r="D37">
        <f>E37/E34</f>
        <v>5.5320068394770807</v>
      </c>
      <c r="E37">
        <f t="shared" si="2"/>
        <v>0.38531616450653655</v>
      </c>
      <c r="F37">
        <f>K37*L37</f>
        <v>68.674900000000008</v>
      </c>
      <c r="H37">
        <f t="shared" si="3"/>
        <v>0.72795394000000013</v>
      </c>
      <c r="I37">
        <v>10.6</v>
      </c>
      <c r="J37" t="s">
        <v>10</v>
      </c>
      <c r="K37">
        <v>69.650000000000006</v>
      </c>
      <c r="L37">
        <v>0.98599999999999999</v>
      </c>
      <c r="M37" s="3" t="s">
        <v>53</v>
      </c>
    </row>
    <row r="38" spans="1:23">
      <c r="A38" t="s">
        <v>38</v>
      </c>
      <c r="B38" t="s">
        <v>34</v>
      </c>
      <c r="C38">
        <v>133.33000000000001</v>
      </c>
      <c r="D38">
        <v>2.2000000000000002</v>
      </c>
      <c r="E38">
        <f t="shared" si="2"/>
        <v>0.15322883072076801</v>
      </c>
      <c r="F38">
        <v>20.43</v>
      </c>
      <c r="H38">
        <f t="shared" si="3"/>
        <v>4.086E-2</v>
      </c>
      <c r="I38">
        <v>2</v>
      </c>
      <c r="J38" t="s">
        <v>10</v>
      </c>
      <c r="M38" s="3" t="s">
        <v>42</v>
      </c>
    </row>
    <row r="39" spans="1:23">
      <c r="A39" s="4" t="s">
        <v>37</v>
      </c>
      <c r="B39" s="4" t="s">
        <v>40</v>
      </c>
      <c r="C39" s="4">
        <v>84.93</v>
      </c>
      <c r="D39" s="4">
        <f>E39/E34</f>
        <v>89.932359520989593</v>
      </c>
      <c r="E39" s="4">
        <f t="shared" si="2"/>
        <v>6.2639821029082769</v>
      </c>
      <c r="F39" s="4">
        <v>532</v>
      </c>
      <c r="G39" s="4"/>
      <c r="H39" s="4">
        <f t="shared" si="3"/>
        <v>5.32</v>
      </c>
      <c r="I39" s="4">
        <v>10</v>
      </c>
      <c r="J39" s="4" t="s">
        <v>10</v>
      </c>
      <c r="K39" s="4">
        <v>400</v>
      </c>
      <c r="L39" s="4">
        <v>1.33</v>
      </c>
      <c r="M39" s="5" t="s">
        <v>39</v>
      </c>
    </row>
    <row r="40" spans="1:23">
      <c r="A40" s="6" t="s">
        <v>47</v>
      </c>
      <c r="B40" s="6">
        <v>412.4</v>
      </c>
      <c r="C40" s="6"/>
      <c r="D40" s="6"/>
      <c r="E40" s="6"/>
      <c r="F40" s="6">
        <v>19.77</v>
      </c>
      <c r="G40" s="6">
        <v>68.83</v>
      </c>
      <c r="H40" s="6">
        <f>SUM(H34:H39)</f>
        <v>69.518417940000006</v>
      </c>
      <c r="I40" s="6"/>
      <c r="J40" s="6">
        <f>H40/F40</f>
        <v>3.5163590257966622</v>
      </c>
      <c r="K40" s="6"/>
      <c r="L40" s="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>
      <c r="J41" t="s">
        <v>49</v>
      </c>
    </row>
    <row r="45" spans="1:23" ht="16.5">
      <c r="A45" s="46" t="s">
        <v>223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</row>
    <row r="46" spans="1:23" ht="16.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</row>
    <row r="47" spans="1:23" ht="16.5">
      <c r="A47" s="48" t="s">
        <v>0</v>
      </c>
      <c r="B47" s="48" t="s">
        <v>224</v>
      </c>
      <c r="C47" s="48" t="s">
        <v>1</v>
      </c>
      <c r="D47" s="48" t="s">
        <v>2</v>
      </c>
      <c r="E47" s="48" t="s">
        <v>3</v>
      </c>
      <c r="F47" s="48" t="s">
        <v>4</v>
      </c>
      <c r="G47" s="48" t="s">
        <v>5</v>
      </c>
      <c r="H47" s="48" t="s">
        <v>6</v>
      </c>
      <c r="I47" s="48" t="s">
        <v>7</v>
      </c>
      <c r="J47" s="48" t="s">
        <v>8</v>
      </c>
      <c r="K47" s="48" t="s">
        <v>225</v>
      </c>
      <c r="L47" s="48" t="s">
        <v>226</v>
      </c>
      <c r="M47" s="48" t="s">
        <v>9</v>
      </c>
      <c r="N47" s="48"/>
      <c r="O47" s="48"/>
      <c r="P47" s="48"/>
      <c r="Q47" s="48"/>
      <c r="R47" s="48"/>
      <c r="S47" s="48"/>
      <c r="T47" s="48"/>
      <c r="U47" s="48"/>
      <c r="V47" s="48"/>
      <c r="W47" s="48"/>
    </row>
    <row r="48" spans="1:23" ht="16.5">
      <c r="A48" s="47" t="s">
        <v>227</v>
      </c>
      <c r="B48" s="47" t="s">
        <v>228</v>
      </c>
      <c r="C48" s="47">
        <v>214.04</v>
      </c>
      <c r="D48" s="47">
        <v>1</v>
      </c>
      <c r="E48" s="47">
        <v>1.8688096000000001E-2</v>
      </c>
      <c r="F48" s="47">
        <v>4</v>
      </c>
      <c r="G48" s="47"/>
      <c r="H48" s="47">
        <f t="shared" ref="H48:H55" si="4">I48*F48/1000</f>
        <v>8.1888000000000005</v>
      </c>
      <c r="I48" s="47">
        <v>2047.2</v>
      </c>
      <c r="J48" s="47" t="s">
        <v>10</v>
      </c>
      <c r="K48" s="47"/>
      <c r="L48" s="47"/>
      <c r="M48" s="3" t="s">
        <v>229</v>
      </c>
      <c r="N48" s="47"/>
      <c r="O48" s="47"/>
      <c r="P48" s="47"/>
      <c r="Q48" s="47"/>
      <c r="R48" s="47"/>
      <c r="S48" s="47"/>
      <c r="T48" s="47"/>
      <c r="U48" s="47"/>
      <c r="V48" s="47"/>
      <c r="W48" s="47"/>
    </row>
    <row r="49" spans="1:23" ht="16.5">
      <c r="A49" s="47" t="s">
        <v>230</v>
      </c>
      <c r="B49" s="47" t="s">
        <v>231</v>
      </c>
      <c r="C49" s="47">
        <v>197.27</v>
      </c>
      <c r="D49" s="47">
        <v>1.4</v>
      </c>
      <c r="E49" s="47">
        <v>2.6157044000000001E-2</v>
      </c>
      <c r="F49" s="47">
        <v>5.16</v>
      </c>
      <c r="G49" s="47"/>
      <c r="H49" s="47">
        <f t="shared" si="4"/>
        <v>5.16E-2</v>
      </c>
      <c r="I49" s="47">
        <v>10</v>
      </c>
      <c r="J49" s="47" t="s">
        <v>10</v>
      </c>
      <c r="K49" s="47"/>
      <c r="L49" s="47"/>
      <c r="M49" s="3" t="s">
        <v>232</v>
      </c>
      <c r="N49" s="47"/>
      <c r="O49" s="47"/>
      <c r="P49" s="47"/>
      <c r="Q49" s="47"/>
      <c r="R49" s="47"/>
      <c r="S49" s="47"/>
      <c r="T49" s="47"/>
      <c r="U49" s="47"/>
      <c r="V49" s="47"/>
      <c r="W49" s="47"/>
    </row>
    <row r="50" spans="1:23" ht="16.5">
      <c r="A50" s="47" t="s">
        <v>233</v>
      </c>
      <c r="B50" s="47" t="s">
        <v>234</v>
      </c>
      <c r="C50" s="47">
        <v>85.15</v>
      </c>
      <c r="D50" s="47">
        <v>0.1</v>
      </c>
      <c r="E50" s="47">
        <v>1.8672929999999999E-3</v>
      </c>
      <c r="F50" s="47">
        <v>0.159</v>
      </c>
      <c r="G50" s="47"/>
      <c r="H50" s="47">
        <f t="shared" si="4"/>
        <v>7.1556359999999999E-2</v>
      </c>
      <c r="I50" s="47">
        <v>450.04</v>
      </c>
      <c r="J50" s="47" t="s">
        <v>10</v>
      </c>
      <c r="K50" s="47"/>
      <c r="L50" s="47"/>
      <c r="M50" s="3" t="s">
        <v>235</v>
      </c>
      <c r="N50" s="47"/>
      <c r="O50" s="47"/>
      <c r="P50" s="47"/>
      <c r="Q50" s="47"/>
      <c r="R50" s="47"/>
      <c r="S50" s="47"/>
      <c r="T50" s="47"/>
      <c r="U50" s="47"/>
      <c r="V50" s="47"/>
      <c r="W50" s="47"/>
    </row>
    <row r="51" spans="1:23" ht="16.5">
      <c r="A51" s="47" t="s">
        <v>236</v>
      </c>
      <c r="B51" s="47" t="s">
        <v>237</v>
      </c>
      <c r="C51" s="47">
        <v>46.07</v>
      </c>
      <c r="D51" s="47">
        <v>5.4706338179999996</v>
      </c>
      <c r="E51" s="47">
        <v>0.102235728</v>
      </c>
      <c r="F51" s="47">
        <v>4.71</v>
      </c>
      <c r="G51" s="47"/>
      <c r="H51" s="47">
        <f t="shared" si="4"/>
        <v>2.3550000000000001E-4</v>
      </c>
      <c r="I51" s="47">
        <v>0.05</v>
      </c>
      <c r="J51" s="47" t="s">
        <v>10</v>
      </c>
      <c r="K51" s="47">
        <v>6</v>
      </c>
      <c r="L51" s="47">
        <v>0.78500000000000003</v>
      </c>
      <c r="M51" s="3" t="s">
        <v>238</v>
      </c>
      <c r="N51" s="47"/>
      <c r="O51" s="47"/>
      <c r="P51" s="47"/>
      <c r="Q51" s="47"/>
      <c r="R51" s="47"/>
      <c r="S51" s="47"/>
      <c r="T51" s="47"/>
      <c r="U51" s="47"/>
      <c r="V51" s="47"/>
      <c r="W51" s="47"/>
    </row>
    <row r="52" spans="1:23" ht="16.5">
      <c r="A52" s="47" t="s">
        <v>239</v>
      </c>
      <c r="B52" s="47" t="s">
        <v>240</v>
      </c>
      <c r="C52" s="47">
        <v>84.93</v>
      </c>
      <c r="D52" s="47">
        <v>83.796420580000003</v>
      </c>
      <c r="E52" s="47">
        <v>1.565995526</v>
      </c>
      <c r="F52" s="47">
        <v>133</v>
      </c>
      <c r="G52" s="47"/>
      <c r="H52" s="47">
        <f t="shared" si="4"/>
        <v>1.33</v>
      </c>
      <c r="I52" s="47">
        <v>10</v>
      </c>
      <c r="J52" s="47" t="s">
        <v>10</v>
      </c>
      <c r="K52" s="47">
        <v>100</v>
      </c>
      <c r="L52" s="47">
        <v>1.33</v>
      </c>
      <c r="M52" s="3" t="s">
        <v>241</v>
      </c>
      <c r="N52" s="47"/>
      <c r="O52" s="47"/>
      <c r="P52" s="47"/>
      <c r="Q52" s="47"/>
      <c r="R52" s="47"/>
      <c r="S52" s="47"/>
      <c r="T52" s="47"/>
      <c r="U52" s="47"/>
      <c r="V52" s="47"/>
      <c r="W52" s="47"/>
    </row>
    <row r="53" spans="1:23" ht="16.5">
      <c r="A53" s="47" t="s">
        <v>242</v>
      </c>
      <c r="B53" s="47" t="s">
        <v>243</v>
      </c>
      <c r="C53" s="47">
        <v>36.46</v>
      </c>
      <c r="D53" s="47">
        <v>14.46266988</v>
      </c>
      <c r="E53" s="47">
        <v>0.27027975900000001</v>
      </c>
      <c r="F53" s="47">
        <v>9.8544</v>
      </c>
      <c r="G53" s="47"/>
      <c r="H53" s="47">
        <f t="shared" si="4"/>
        <v>0.12367272000000001</v>
      </c>
      <c r="I53" s="47">
        <v>12.55</v>
      </c>
      <c r="J53" s="47" t="s">
        <v>10</v>
      </c>
      <c r="K53" s="47">
        <v>8.2119999999999997</v>
      </c>
      <c r="L53" s="47">
        <v>1.2</v>
      </c>
      <c r="M53" s="3" t="s">
        <v>244</v>
      </c>
      <c r="N53" s="47"/>
      <c r="O53" s="47"/>
      <c r="P53" s="47"/>
      <c r="Q53" s="47"/>
      <c r="R53" s="47"/>
      <c r="S53" s="47"/>
      <c r="T53" s="47"/>
      <c r="U53" s="47"/>
      <c r="V53" s="47"/>
      <c r="W53" s="47"/>
    </row>
    <row r="54" spans="1:23" ht="16.5">
      <c r="A54" s="47" t="s">
        <v>245</v>
      </c>
      <c r="B54" s="47" t="s">
        <v>246</v>
      </c>
      <c r="C54" s="47">
        <v>86.18</v>
      </c>
      <c r="D54" s="47">
        <v>294.16219080000002</v>
      </c>
      <c r="E54" s="47">
        <v>5.4973311669999996</v>
      </c>
      <c r="F54" s="47">
        <v>473.76</v>
      </c>
      <c r="G54" s="47"/>
      <c r="H54" s="47">
        <f t="shared" si="4"/>
        <v>4.7376000000000005</v>
      </c>
      <c r="I54" s="47">
        <v>10</v>
      </c>
      <c r="J54" s="47" t="s">
        <v>10</v>
      </c>
      <c r="K54" s="47">
        <v>720</v>
      </c>
      <c r="L54" s="47">
        <v>0.65800000000000003</v>
      </c>
      <c r="M54" s="3" t="s">
        <v>247</v>
      </c>
      <c r="N54" s="47"/>
      <c r="O54" s="47"/>
      <c r="P54" s="47"/>
      <c r="Q54" s="47"/>
      <c r="R54" s="47"/>
      <c r="S54" s="47"/>
      <c r="T54" s="47"/>
      <c r="U54" s="47"/>
      <c r="V54" s="47"/>
      <c r="W54" s="47"/>
    </row>
    <row r="55" spans="1:23" ht="16.5">
      <c r="A55" s="49" t="s">
        <v>248</v>
      </c>
      <c r="B55" s="49" t="s">
        <v>249</v>
      </c>
      <c r="C55" s="49">
        <v>88.11</v>
      </c>
      <c r="D55" s="49">
        <v>98.602696629999997</v>
      </c>
      <c r="E55" s="49">
        <v>1.842696629</v>
      </c>
      <c r="F55" s="49">
        <v>162.36000000000001</v>
      </c>
      <c r="G55" s="49"/>
      <c r="H55" s="60">
        <f t="shared" si="4"/>
        <v>1.6236000000000002</v>
      </c>
      <c r="I55" s="49">
        <v>10</v>
      </c>
      <c r="J55" s="49" t="s">
        <v>10</v>
      </c>
      <c r="K55" s="49">
        <v>180</v>
      </c>
      <c r="L55" s="49">
        <v>0.90200000000000002</v>
      </c>
      <c r="M55" s="3" t="s">
        <v>250</v>
      </c>
      <c r="N55" s="47"/>
      <c r="O55" s="47"/>
      <c r="P55" s="47"/>
      <c r="Q55" s="47"/>
      <c r="R55" s="47"/>
      <c r="S55" s="47"/>
      <c r="T55" s="47"/>
      <c r="U55" s="47"/>
      <c r="V55" s="47"/>
      <c r="W55" s="47"/>
    </row>
    <row r="56" spans="1:23" ht="16.5">
      <c r="A56" s="50" t="s">
        <v>251</v>
      </c>
      <c r="B56" s="50">
        <v>393.31</v>
      </c>
      <c r="C56" s="50"/>
      <c r="D56" s="50"/>
      <c r="E56" s="50"/>
      <c r="F56" s="50">
        <v>6.23</v>
      </c>
      <c r="G56" s="50">
        <v>84.6</v>
      </c>
      <c r="H56" s="50">
        <f>SUM(H48:H55)</f>
        <v>16.127064580000003</v>
      </c>
      <c r="I56" s="50"/>
      <c r="J56" s="50">
        <f>H56/F56</f>
        <v>2.5886138972712684</v>
      </c>
      <c r="K56" s="50"/>
      <c r="L56" s="50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</row>
    <row r="57" spans="1:23" ht="16.5">
      <c r="A57" s="47"/>
      <c r="B57" s="47"/>
      <c r="C57" s="47"/>
      <c r="D57" s="47"/>
      <c r="E57" s="47"/>
      <c r="F57" s="47"/>
      <c r="G57" s="47"/>
      <c r="H57" s="47"/>
      <c r="I57" s="47"/>
      <c r="J57" s="47" t="s">
        <v>252</v>
      </c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</row>
    <row r="59" spans="1:23">
      <c r="J59">
        <f>J56*1000</f>
        <v>2588.6138972712683</v>
      </c>
    </row>
  </sheetData>
  <phoneticPr fontId="6" type="noConversion"/>
  <hyperlinks>
    <hyperlink ref="M14" r:id="rId1" xr:uid="{D8ACC7A3-F410-4CE5-9C8A-332CE3FCF3C7}"/>
    <hyperlink ref="M19" r:id="rId2" xr:uid="{B4C3F07C-3090-4C14-A413-7F7A38C085AE}"/>
    <hyperlink ref="M15" r:id="rId3" xr:uid="{A15D376B-6EF6-4C44-A66A-6AE14B5F00BE}"/>
    <hyperlink ref="M18" r:id="rId4" xr:uid="{266765A7-57CC-4D71-A8A0-2BF82BD97D7F}"/>
    <hyperlink ref="M34" r:id="rId5" xr:uid="{0E7B9A7A-E5EE-484F-903C-CAC7EC680D66}"/>
    <hyperlink ref="M16" r:id="rId6" display="https://www.alibaba.com/product-detail/Free-Sample-Sodium-Borocyanohydride-CAS-25895_10000026309495.html?spm=a2700.galleryofferlist.normal_offer.d_title.462413a0yX9EqR&amp;priceId=0638c4062c394ca3b92a5c9dc07a2423 Organic Intermediate Sodium Cyanoborohydride Product on Alibaba.com" xr:uid="{2AC20186-1378-4FE0-88E2-AFFF9245FCA8}"/>
    <hyperlink ref="M17" r:id="rId7" xr:uid="{72DDE934-6A00-4396-8CD3-757D8AF182A7}"/>
    <hyperlink ref="M39" r:id="rId8" xr:uid="{523FC179-DD22-4F42-ADCF-5B046B9C447B}"/>
    <hyperlink ref="M35" r:id="rId9" xr:uid="{438B228C-9063-4482-8426-23A43570D2D2}"/>
    <hyperlink ref="M38" r:id="rId10" xr:uid="{BB755EF8-95EA-4D41-9547-E41BB516797C}"/>
    <hyperlink ref="M36" r:id="rId11" display="https://www.alibaba.com/product-detail/Free-Sample-Sodium-Borocyanohydride-CAS-25895_10000026309495.html?spm=a2700.galleryofferlist.normal_offer.d_title.462413a0yX9EqR&amp;priceId=0638c4062c394ca3b92a5c9dc07a2423 Organic Intermediate Sodium Cyanoborohydride Product on Alibaba.com" xr:uid="{9C81D952-57DD-4E21-8692-611467A467E8}"/>
    <hyperlink ref="M37" r:id="rId12" xr:uid="{533EE1EF-61FB-411B-894F-263CDBBEE33B}"/>
    <hyperlink ref="M48" r:id="rId13" xr:uid="{6DC30CCB-AA55-49B7-9C9C-AEA1E190949A}"/>
    <hyperlink ref="M49" r:id="rId14" xr:uid="{AAFCA458-A71F-4040-B862-0C532603C7CC}"/>
    <hyperlink ref="M50" r:id="rId15" xr:uid="{17E64FD7-78FE-454B-B211-08E00A01A4B3}"/>
    <hyperlink ref="M51" r:id="rId16" xr:uid="{F69E4C0E-0F05-440D-8CEA-3E7607BDFB04}"/>
    <hyperlink ref="M53" r:id="rId17" xr:uid="{4D0F2E10-B73A-4952-9CA5-DE15F83166B5}"/>
    <hyperlink ref="M54" r:id="rId18" xr:uid="{9CF31B76-96E9-4146-844A-C064024872F0}"/>
    <hyperlink ref="M55" r:id="rId19" xr:uid="{F7D4B786-2B99-4D26-8B3B-EFB975353A6D}"/>
    <hyperlink ref="M52" r:id="rId20" xr:uid="{B220E33C-FE61-44D2-A9DE-09B0A44EB18F}"/>
  </hyperlinks>
  <pageMargins left="0.7" right="0.7" top="0.75" bottom="0.75" header="0.3" footer="0.3"/>
  <pageSetup paperSize="9" orientation="portrait" r:id="rId21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D583-8A49-4758-9529-14C1722F67F2}">
  <sheetPr codeName="Sheet2"/>
  <dimension ref="A1:S41"/>
  <sheetViews>
    <sheetView workbookViewId="0">
      <selection activeCell="C14" sqref="C14"/>
    </sheetView>
  </sheetViews>
  <sheetFormatPr defaultRowHeight="15"/>
  <cols>
    <col min="1" max="1" width="17.42578125" customWidth="1"/>
    <col min="2" max="2" width="14.85546875" customWidth="1"/>
    <col min="3" max="3" width="9.42578125" bestFit="1" customWidth="1"/>
    <col min="5" max="5" width="9.42578125" bestFit="1" customWidth="1"/>
    <col min="6" max="6" width="12.85546875" customWidth="1"/>
    <col min="8" max="8" width="10" bestFit="1" customWidth="1"/>
    <col min="10" max="10" width="14.42578125" bestFit="1" customWidth="1"/>
  </cols>
  <sheetData>
    <row r="1" spans="1:19">
      <c r="C1" s="14" t="s">
        <v>56</v>
      </c>
      <c r="D1" s="8">
        <v>100</v>
      </c>
      <c r="E1" t="s">
        <v>104</v>
      </c>
      <c r="I1">
        <v>100</v>
      </c>
    </row>
    <row r="2" spans="1:19" ht="15.75" thickBot="1"/>
    <row r="3" spans="1:19">
      <c r="C3" t="s">
        <v>57</v>
      </c>
      <c r="D3">
        <v>1.2</v>
      </c>
      <c r="E3">
        <v>2.25</v>
      </c>
      <c r="L3" s="27"/>
      <c r="M3" s="28" t="s">
        <v>160</v>
      </c>
      <c r="N3" s="28"/>
      <c r="O3" s="28" t="s">
        <v>103</v>
      </c>
      <c r="P3" s="29"/>
    </row>
    <row r="4" spans="1:19">
      <c r="B4">
        <v>1</v>
      </c>
      <c r="D4">
        <v>8</v>
      </c>
      <c r="F4">
        <v>6</v>
      </c>
      <c r="H4">
        <v>3</v>
      </c>
      <c r="J4">
        <v>3</v>
      </c>
      <c r="L4" s="30" t="s">
        <v>162</v>
      </c>
      <c r="O4">
        <v>100</v>
      </c>
      <c r="P4" s="31" t="s">
        <v>77</v>
      </c>
      <c r="S4">
        <f>_xlfn.T.INV(1-0.05/2,14)</f>
        <v>2.1447866879178035</v>
      </c>
    </row>
    <row r="5" spans="1:19">
      <c r="B5" t="s">
        <v>58</v>
      </c>
      <c r="C5" s="15" t="s">
        <v>59</v>
      </c>
      <c r="D5" t="s">
        <v>60</v>
      </c>
      <c r="E5" s="15" t="s">
        <v>59</v>
      </c>
      <c r="F5" t="s">
        <v>61</v>
      </c>
      <c r="G5" s="15" t="s">
        <v>62</v>
      </c>
      <c r="H5" t="s">
        <v>63</v>
      </c>
      <c r="J5" t="s">
        <v>255</v>
      </c>
      <c r="L5" s="30" t="s">
        <v>157</v>
      </c>
      <c r="M5">
        <v>100</v>
      </c>
      <c r="N5" t="s">
        <v>161</v>
      </c>
      <c r="O5">
        <v>100</v>
      </c>
      <c r="P5" s="31" t="s">
        <v>104</v>
      </c>
    </row>
    <row r="6" spans="1:19">
      <c r="A6" s="14" t="s">
        <v>64</v>
      </c>
      <c r="B6">
        <f>(H6/3)*D3</f>
        <v>40</v>
      </c>
      <c r="D6">
        <f>(8*H6/3)*E3</f>
        <v>600</v>
      </c>
      <c r="F6">
        <f>H6*2</f>
        <v>200</v>
      </c>
      <c r="H6" s="8">
        <v>100</v>
      </c>
      <c r="I6">
        <v>10</v>
      </c>
      <c r="L6" s="30" t="s">
        <v>158</v>
      </c>
      <c r="M6">
        <v>100</v>
      </c>
      <c r="N6" t="s">
        <v>161</v>
      </c>
      <c r="O6">
        <v>100</v>
      </c>
      <c r="P6" s="31" t="s">
        <v>104</v>
      </c>
      <c r="S6">
        <f>1822.191-2.145*300.199</f>
        <v>1178.2641450000001</v>
      </c>
    </row>
    <row r="7" spans="1:19" ht="15.75" thickBot="1">
      <c r="F7" t="s">
        <v>256</v>
      </c>
      <c r="L7" s="32" t="s">
        <v>159</v>
      </c>
      <c r="M7" s="33">
        <v>100</v>
      </c>
      <c r="N7" s="33" t="s">
        <v>161</v>
      </c>
      <c r="O7" s="33">
        <v>300</v>
      </c>
      <c r="P7" s="34" t="s">
        <v>104</v>
      </c>
    </row>
    <row r="8" spans="1:19">
      <c r="L8" s="30" t="s">
        <v>222</v>
      </c>
    </row>
    <row r="9" spans="1:19">
      <c r="S9">
        <f>0.2832+2.145*0.0106</f>
        <v>0.30593700000000001</v>
      </c>
    </row>
    <row r="10" spans="1:19">
      <c r="A10" s="2" t="s">
        <v>0</v>
      </c>
      <c r="B10" s="2" t="s">
        <v>26</v>
      </c>
      <c r="C10" s="2" t="s">
        <v>1</v>
      </c>
      <c r="D10" s="2" t="s">
        <v>173</v>
      </c>
      <c r="E10" s="2" t="s">
        <v>174</v>
      </c>
      <c r="F10" s="2" t="s">
        <v>172</v>
      </c>
      <c r="G10" s="2" t="s">
        <v>31</v>
      </c>
      <c r="H10" s="2" t="s">
        <v>170</v>
      </c>
      <c r="I10" s="2" t="s">
        <v>169</v>
      </c>
      <c r="J10" s="2" t="s">
        <v>171</v>
      </c>
      <c r="K10" s="2" t="s">
        <v>9</v>
      </c>
      <c r="L10" s="2"/>
      <c r="M10" s="2"/>
    </row>
    <row r="11" spans="1:19">
      <c r="A11" t="s">
        <v>239</v>
      </c>
      <c r="B11" t="s">
        <v>40</v>
      </c>
      <c r="C11">
        <v>84.93</v>
      </c>
      <c r="E11">
        <f>F11*G11</f>
        <v>132</v>
      </c>
      <c r="F11">
        <v>100</v>
      </c>
      <c r="G11">
        <v>1.32</v>
      </c>
      <c r="H11">
        <v>10</v>
      </c>
      <c r="I11" t="s">
        <v>10</v>
      </c>
      <c r="J11">
        <f>E11*H11</f>
        <v>1320</v>
      </c>
      <c r="K11" s="3" t="s">
        <v>354</v>
      </c>
    </row>
    <row r="12" spans="1:19">
      <c r="A12" t="s">
        <v>220</v>
      </c>
      <c r="B12" t="s">
        <v>58</v>
      </c>
      <c r="C12">
        <v>214.001</v>
      </c>
      <c r="D12">
        <v>0.04</v>
      </c>
      <c r="E12">
        <f>D12*$D$1*C12/1000</f>
        <v>0.85600399999999999</v>
      </c>
      <c r="F12">
        <v>100</v>
      </c>
      <c r="H12">
        <v>10</v>
      </c>
      <c r="I12" t="s">
        <v>10</v>
      </c>
      <c r="J12">
        <f t="shared" ref="J12:J17" si="0">E12*H12</f>
        <v>8.5600400000000008</v>
      </c>
      <c r="K12" s="3" t="s">
        <v>434</v>
      </c>
    </row>
    <row r="13" spans="1:19">
      <c r="A13" t="s">
        <v>220</v>
      </c>
      <c r="B13" t="s">
        <v>60</v>
      </c>
      <c r="C13">
        <v>149.89420000000001</v>
      </c>
      <c r="D13">
        <v>0.6</v>
      </c>
      <c r="E13">
        <f t="shared" ref="E13:E17" si="1">D13*$D$1*C13/1000</f>
        <v>8.9936520000000009</v>
      </c>
      <c r="F13">
        <v>100</v>
      </c>
      <c r="H13">
        <v>4</v>
      </c>
      <c r="I13" t="s">
        <v>10</v>
      </c>
      <c r="J13">
        <f t="shared" si="0"/>
        <v>35.974608000000003</v>
      </c>
      <c r="K13" s="3" t="s">
        <v>259</v>
      </c>
    </row>
    <row r="14" spans="1:19">
      <c r="A14" t="s">
        <v>220</v>
      </c>
      <c r="B14" t="s">
        <v>51</v>
      </c>
      <c r="C14">
        <v>100.46</v>
      </c>
      <c r="D14">
        <v>0.2</v>
      </c>
      <c r="E14">
        <f t="shared" si="1"/>
        <v>2.0091999999999999</v>
      </c>
      <c r="F14">
        <v>100</v>
      </c>
      <c r="H14">
        <v>63.5</v>
      </c>
      <c r="I14" t="s">
        <v>167</v>
      </c>
      <c r="J14">
        <f>E14*H14</f>
        <v>127.5842</v>
      </c>
      <c r="K14" s="3" t="s">
        <v>387</v>
      </c>
    </row>
    <row r="15" spans="1:19">
      <c r="K15" s="26" t="s">
        <v>168</v>
      </c>
    </row>
    <row r="16" spans="1:19" ht="16.5">
      <c r="A16" t="s">
        <v>219</v>
      </c>
      <c r="B16" t="s">
        <v>254</v>
      </c>
      <c r="C16">
        <v>422.39</v>
      </c>
      <c r="D16">
        <v>0.1</v>
      </c>
      <c r="E16">
        <f t="shared" si="1"/>
        <v>4.2238999999999995</v>
      </c>
      <c r="F16">
        <v>100</v>
      </c>
      <c r="H16">
        <v>10</v>
      </c>
      <c r="I16" t="s">
        <v>10</v>
      </c>
      <c r="J16">
        <f t="shared" si="0"/>
        <v>42.238999999999997</v>
      </c>
      <c r="K16" s="3" t="s">
        <v>436</v>
      </c>
    </row>
    <row r="17" spans="1:13">
      <c r="A17" t="s">
        <v>221</v>
      </c>
      <c r="B17" t="s">
        <v>50</v>
      </c>
      <c r="C17">
        <v>58.44</v>
      </c>
      <c r="D17">
        <v>0.1</v>
      </c>
      <c r="E17">
        <f t="shared" si="1"/>
        <v>0.58440000000000003</v>
      </c>
      <c r="F17">
        <v>100</v>
      </c>
      <c r="H17">
        <v>2</v>
      </c>
      <c r="I17" t="s">
        <v>10</v>
      </c>
      <c r="J17">
        <f t="shared" si="0"/>
        <v>1.1688000000000001</v>
      </c>
      <c r="K17" s="3" t="s">
        <v>435</v>
      </c>
    </row>
    <row r="18" spans="1:13">
      <c r="A18" t="s">
        <v>91</v>
      </c>
      <c r="B18" t="s">
        <v>35</v>
      </c>
      <c r="C18">
        <v>522.67999999999995</v>
      </c>
      <c r="D18">
        <v>0.1</v>
      </c>
      <c r="E18">
        <f>D18*F18*C18/1000</f>
        <v>15.680399999999997</v>
      </c>
      <c r="F18">
        <v>300</v>
      </c>
      <c r="H18" s="25">
        <f>'Ligand cost'!J20*1000</f>
        <v>305.12063344120827</v>
      </c>
      <c r="I18" t="s">
        <v>10</v>
      </c>
      <c r="J18">
        <f>E18*H18</f>
        <v>4784.413580611521</v>
      </c>
    </row>
    <row r="19" spans="1:13">
      <c r="A19" s="4" t="s">
        <v>258</v>
      </c>
      <c r="B19" s="4"/>
      <c r="C19" s="4">
        <v>126.75</v>
      </c>
      <c r="D19" s="4"/>
      <c r="E19" s="4"/>
      <c r="F19" s="4"/>
      <c r="G19" s="4"/>
      <c r="H19" s="4">
        <v>1</v>
      </c>
      <c r="I19" s="4" t="s">
        <v>10</v>
      </c>
      <c r="J19" s="4"/>
      <c r="K19" s="52" t="s">
        <v>260</v>
      </c>
      <c r="L19" s="4"/>
      <c r="M19" s="4"/>
    </row>
    <row r="20" spans="1:13">
      <c r="I20" t="s">
        <v>155</v>
      </c>
      <c r="J20" s="16">
        <f>SUM(J11:J18)</f>
        <v>6319.940228611521</v>
      </c>
    </row>
    <row r="23" spans="1:13">
      <c r="A23" t="s">
        <v>156</v>
      </c>
      <c r="C23">
        <v>412.21</v>
      </c>
      <c r="D23">
        <v>0.1</v>
      </c>
      <c r="F23" s="3"/>
      <c r="H23">
        <v>3267.1774375316099</v>
      </c>
      <c r="I23" t="s">
        <v>10</v>
      </c>
    </row>
    <row r="26" spans="1:13">
      <c r="I26" t="s">
        <v>177</v>
      </c>
      <c r="M26" s="16"/>
    </row>
    <row r="27" spans="1:13">
      <c r="H27" t="s">
        <v>175</v>
      </c>
      <c r="J27" s="16">
        <f>(J11*0.01+J18*0.02)*300</f>
        <v>32666.481483669129</v>
      </c>
      <c r="K27" t="s">
        <v>137</v>
      </c>
    </row>
    <row r="28" spans="1:13">
      <c r="B28" t="s">
        <v>383</v>
      </c>
    </row>
    <row r="29" spans="1:13">
      <c r="A29">
        <v>35.31</v>
      </c>
      <c r="B29" s="3" t="s">
        <v>382</v>
      </c>
    </row>
    <row r="32" spans="1:13">
      <c r="A32" s="2" t="s">
        <v>0</v>
      </c>
      <c r="B32" s="2" t="s">
        <v>26</v>
      </c>
      <c r="C32" s="2" t="s">
        <v>7</v>
      </c>
      <c r="D32" s="57" t="s">
        <v>380</v>
      </c>
    </row>
    <row r="33" spans="1:4">
      <c r="A33" t="s">
        <v>239</v>
      </c>
      <c r="B33" t="s">
        <v>40</v>
      </c>
      <c r="D33" t="s">
        <v>377</v>
      </c>
    </row>
    <row r="34" spans="1:4">
      <c r="A34" t="s">
        <v>220</v>
      </c>
      <c r="B34" t="s">
        <v>58</v>
      </c>
      <c r="C34">
        <f>H12/1000*C12</f>
        <v>2.1400100000000002</v>
      </c>
      <c r="D34" t="s">
        <v>381</v>
      </c>
    </row>
    <row r="35" spans="1:4">
      <c r="A35" t="s">
        <v>220</v>
      </c>
      <c r="B35" t="s">
        <v>60</v>
      </c>
      <c r="C35">
        <f>H13/1000*C13</f>
        <v>0.59957680000000002</v>
      </c>
      <c r="D35" t="s">
        <v>381</v>
      </c>
    </row>
    <row r="36" spans="1:4">
      <c r="A36" s="56" t="s">
        <v>220</v>
      </c>
      <c r="B36" s="56" t="s">
        <v>51</v>
      </c>
      <c r="C36" s="56">
        <f>A29*2</f>
        <v>70.62</v>
      </c>
      <c r="D36" s="56" t="s">
        <v>384</v>
      </c>
    </row>
    <row r="38" spans="1:4" ht="16.5">
      <c r="A38" t="s">
        <v>219</v>
      </c>
      <c r="B38" t="s">
        <v>254</v>
      </c>
      <c r="C38">
        <f>H16/1000*C16</f>
        <v>4.2238999999999995</v>
      </c>
      <c r="D38" t="s">
        <v>381</v>
      </c>
    </row>
    <row r="39" spans="1:4">
      <c r="A39" t="s">
        <v>221</v>
      </c>
      <c r="B39" t="s">
        <v>50</v>
      </c>
      <c r="C39">
        <f>H17/1000*C17</f>
        <v>0.11688</v>
      </c>
      <c r="D39" t="s">
        <v>381</v>
      </c>
    </row>
    <row r="40" spans="1:4">
      <c r="A40" t="s">
        <v>91</v>
      </c>
      <c r="B40" t="s">
        <v>35</v>
      </c>
      <c r="C40">
        <f>H18/1000*C18</f>
        <v>159.48045268705073</v>
      </c>
      <c r="D40" t="s">
        <v>381</v>
      </c>
    </row>
    <row r="41" spans="1:4">
      <c r="A41" s="4" t="s">
        <v>258</v>
      </c>
      <c r="B41" s="4"/>
      <c r="D41" t="s">
        <v>381</v>
      </c>
    </row>
  </sheetData>
  <phoneticPr fontId="6" type="noConversion"/>
  <hyperlinks>
    <hyperlink ref="K11" r:id="rId1" xr:uid="{BF0450A1-E05A-4DC2-B29E-E12F8A6130B2}"/>
    <hyperlink ref="K12" r:id="rId2" xr:uid="{F3941161-3810-49E4-9BEF-8CF2687D0890}"/>
    <hyperlink ref="K13" r:id="rId3" xr:uid="{39708F8B-07E7-4B81-B54D-87D19299E524}"/>
    <hyperlink ref="K14" r:id="rId4" xr:uid="{013AAB5A-8F5B-4643-86C9-8455526946E1}"/>
    <hyperlink ref="K16" r:id="rId5" xr:uid="{080400CA-EAD4-4762-8D0B-1829B0025F03}"/>
    <hyperlink ref="K17" r:id="rId6" xr:uid="{83C659BF-1107-471E-BF0B-438927093B17}"/>
    <hyperlink ref="K19" r:id="rId7" xr:uid="{E409685E-D7F8-494D-8562-5BE99947FC30}"/>
    <hyperlink ref="B29" r:id="rId8" xr:uid="{2A211EE8-0001-4E4E-9DB5-ED39491CDD3F}"/>
  </hyperlink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EAAA-0AB5-4C97-A69A-EE959443E03B}">
  <dimension ref="A1:P48"/>
  <sheetViews>
    <sheetView tabSelected="1" zoomScale="85" zoomScaleNormal="85" workbookViewId="0">
      <selection activeCell="N20" sqref="N20"/>
    </sheetView>
  </sheetViews>
  <sheetFormatPr defaultColWidth="8.85546875" defaultRowHeight="15"/>
  <cols>
    <col min="1" max="1" width="25.85546875" style="61" bestFit="1" customWidth="1"/>
    <col min="2" max="6" width="8.85546875" style="61"/>
    <col min="7" max="7" width="17.140625" style="61" customWidth="1"/>
    <col min="8" max="11" width="8.85546875" style="61"/>
    <col min="12" max="12" width="16" style="61" customWidth="1"/>
    <col min="13" max="13" width="37.7109375" style="61" bestFit="1" customWidth="1"/>
    <col min="14" max="14" width="11" style="61" bestFit="1" customWidth="1"/>
    <col min="15" max="16384" width="8.85546875" style="61"/>
  </cols>
  <sheetData>
    <row r="1" spans="1:14">
      <c r="A1" s="61" t="s">
        <v>442</v>
      </c>
    </row>
    <row r="3" spans="1:14">
      <c r="D3" s="62" t="s">
        <v>56</v>
      </c>
      <c r="E3" s="63">
        <v>100</v>
      </c>
      <c r="F3" s="61" t="s">
        <v>443</v>
      </c>
      <c r="G3" s="61" t="s">
        <v>444</v>
      </c>
      <c r="H3" s="61">
        <v>5550.84</v>
      </c>
    </row>
    <row r="5" spans="1:14">
      <c r="D5" s="61" t="s">
        <v>445</v>
      </c>
    </row>
    <row r="7" spans="1:14">
      <c r="A7" s="61" t="s">
        <v>446</v>
      </c>
      <c r="B7" s="61">
        <v>1.2</v>
      </c>
      <c r="D7" s="61">
        <v>2.25</v>
      </c>
    </row>
    <row r="8" spans="1:14">
      <c r="A8" s="61" t="s">
        <v>447</v>
      </c>
      <c r="B8" s="61">
        <v>1</v>
      </c>
      <c r="D8" s="61">
        <v>8</v>
      </c>
      <c r="F8" s="61">
        <v>6</v>
      </c>
      <c r="H8" s="61">
        <v>3</v>
      </c>
      <c r="J8" s="61">
        <v>3</v>
      </c>
      <c r="L8" s="61">
        <v>6</v>
      </c>
      <c r="N8" s="64" t="s">
        <v>477</v>
      </c>
    </row>
    <row r="9" spans="1:14">
      <c r="B9" s="61" t="s">
        <v>448</v>
      </c>
      <c r="C9" s="65" t="s">
        <v>59</v>
      </c>
      <c r="D9" s="61" t="s">
        <v>60</v>
      </c>
      <c r="E9" s="65" t="s">
        <v>59</v>
      </c>
      <c r="F9" s="61" t="s">
        <v>61</v>
      </c>
      <c r="G9" s="65" t="s">
        <v>62</v>
      </c>
      <c r="H9" s="61" t="s">
        <v>449</v>
      </c>
      <c r="I9" s="65" t="s">
        <v>59</v>
      </c>
      <c r="J9" s="61" t="s">
        <v>255</v>
      </c>
      <c r="K9" s="65" t="s">
        <v>59</v>
      </c>
      <c r="L9" s="61" t="s">
        <v>450</v>
      </c>
      <c r="N9" s="64" t="s">
        <v>451</v>
      </c>
    </row>
    <row r="10" spans="1:14">
      <c r="A10" s="62" t="s">
        <v>64</v>
      </c>
      <c r="B10" s="61">
        <f>(H10/3)*B7</f>
        <v>40</v>
      </c>
      <c r="D10" s="61">
        <f>(8*H10/3)*D7</f>
        <v>600</v>
      </c>
      <c r="F10" s="61">
        <f>H10*2</f>
        <v>200</v>
      </c>
      <c r="H10" s="63">
        <v>100</v>
      </c>
      <c r="J10" s="61">
        <v>100</v>
      </c>
      <c r="L10" s="61">
        <v>200</v>
      </c>
    </row>
    <row r="11" spans="1:14">
      <c r="A11" s="61" t="s">
        <v>452</v>
      </c>
      <c r="B11" s="61">
        <f>B10/1000</f>
        <v>0.04</v>
      </c>
      <c r="D11" s="61">
        <f t="shared" ref="D11:H11" si="0">D10/1000</f>
        <v>0.6</v>
      </c>
      <c r="F11" s="61">
        <f t="shared" si="0"/>
        <v>0.2</v>
      </c>
      <c r="H11" s="61">
        <f t="shared" si="0"/>
        <v>0.1</v>
      </c>
      <c r="J11" s="61">
        <f>J10/1000</f>
        <v>0.1</v>
      </c>
      <c r="L11" s="61">
        <f t="shared" ref="L11" si="1">L10/1000</f>
        <v>0.2</v>
      </c>
    </row>
    <row r="12" spans="1:14">
      <c r="A12" s="61" t="s">
        <v>453</v>
      </c>
      <c r="B12" s="61">
        <f>$E$3*B11</f>
        <v>4</v>
      </c>
      <c r="D12" s="61">
        <f>$E$3*D11</f>
        <v>60</v>
      </c>
      <c r="F12" s="61">
        <f t="shared" ref="F12" si="2">$E$3*F11</f>
        <v>20</v>
      </c>
      <c r="H12" s="61">
        <v>0</v>
      </c>
      <c r="J12" s="61">
        <v>0</v>
      </c>
      <c r="L12" s="61">
        <v>0</v>
      </c>
    </row>
    <row r="13" spans="1:14">
      <c r="A13" s="61" t="s">
        <v>454</v>
      </c>
      <c r="B13" s="61">
        <f>1/6*F13</f>
        <v>-3.333333333333333</v>
      </c>
      <c r="D13" s="61">
        <f>4/3*F13</f>
        <v>-26.666666666666664</v>
      </c>
      <c r="F13" s="61">
        <f>-F12</f>
        <v>-20</v>
      </c>
      <c r="H13" s="61">
        <f>-1/2*F13</f>
        <v>10</v>
      </c>
      <c r="J13" s="61">
        <f>-1/2*F13</f>
        <v>10</v>
      </c>
      <c r="L13" s="61">
        <f>-1*F13</f>
        <v>20</v>
      </c>
    </row>
    <row r="14" spans="1:14">
      <c r="A14" s="61" t="s">
        <v>455</v>
      </c>
      <c r="B14" s="61">
        <f>B12+B13</f>
        <v>0.66666666666666696</v>
      </c>
      <c r="D14" s="61">
        <f t="shared" ref="D14:L14" si="3">D12+D13</f>
        <v>33.333333333333336</v>
      </c>
      <c r="F14" s="61">
        <f t="shared" si="3"/>
        <v>0</v>
      </c>
      <c r="H14" s="61">
        <f t="shared" si="3"/>
        <v>10</v>
      </c>
      <c r="J14" s="61">
        <f t="shared" si="3"/>
        <v>10</v>
      </c>
      <c r="L14" s="61">
        <f t="shared" si="3"/>
        <v>20</v>
      </c>
    </row>
    <row r="15" spans="1:14">
      <c r="A15" s="61" t="s">
        <v>456</v>
      </c>
      <c r="B15" s="61">
        <f>B14/$E$3</f>
        <v>6.6666666666666697E-3</v>
      </c>
      <c r="D15" s="61">
        <f t="shared" ref="D15:L15" si="4">D14/$E$3</f>
        <v>0.33333333333333337</v>
      </c>
      <c r="F15" s="61">
        <f t="shared" si="4"/>
        <v>0</v>
      </c>
      <c r="H15" s="61">
        <f t="shared" si="4"/>
        <v>0.1</v>
      </c>
      <c r="J15" s="61">
        <f t="shared" si="4"/>
        <v>0.1</v>
      </c>
      <c r="L15" s="61">
        <f t="shared" si="4"/>
        <v>0.2</v>
      </c>
    </row>
    <row r="18" spans="1:16">
      <c r="A18" s="61" t="s">
        <v>457</v>
      </c>
      <c r="B18" s="61" t="s">
        <v>458</v>
      </c>
      <c r="M18" s="61" t="s">
        <v>459</v>
      </c>
    </row>
    <row r="19" spans="1:16">
      <c r="A19" s="61" t="s">
        <v>460</v>
      </c>
      <c r="B19" s="61" t="s">
        <v>461</v>
      </c>
      <c r="M19" s="64" t="s">
        <v>442</v>
      </c>
      <c r="N19" s="64" t="s">
        <v>462</v>
      </c>
      <c r="O19" s="61" t="s">
        <v>558</v>
      </c>
    </row>
    <row r="20" spans="1:16">
      <c r="A20" s="61" t="s">
        <v>463</v>
      </c>
      <c r="B20" s="61" t="s">
        <v>464</v>
      </c>
      <c r="L20" s="61" t="s">
        <v>559</v>
      </c>
      <c r="M20" s="61" t="s">
        <v>448</v>
      </c>
      <c r="N20" s="61">
        <f>B15</f>
        <v>6.6666666666666697E-3</v>
      </c>
      <c r="O20" s="61">
        <v>214.001</v>
      </c>
      <c r="P20" s="61" t="s">
        <v>560</v>
      </c>
    </row>
    <row r="21" spans="1:16">
      <c r="A21" s="61" t="s">
        <v>465</v>
      </c>
      <c r="B21" s="61" t="s">
        <v>466</v>
      </c>
      <c r="M21" s="61" t="s">
        <v>60</v>
      </c>
      <c r="N21" s="61">
        <f>D15</f>
        <v>0.33333333333333337</v>
      </c>
      <c r="O21" s="61">
        <v>149.88999999999999</v>
      </c>
    </row>
    <row r="22" spans="1:16">
      <c r="A22" s="61" t="s">
        <v>243</v>
      </c>
      <c r="B22" s="61" t="s">
        <v>467</v>
      </c>
      <c r="M22" s="61" t="s">
        <v>449</v>
      </c>
      <c r="N22" s="61">
        <f>H15</f>
        <v>0.1</v>
      </c>
    </row>
    <row r="23" spans="1:16">
      <c r="A23" s="61" t="s">
        <v>468</v>
      </c>
      <c r="B23" s="61" t="s">
        <v>469</v>
      </c>
      <c r="M23" s="61" t="s">
        <v>450</v>
      </c>
      <c r="N23" s="61">
        <f>L15</f>
        <v>0.2</v>
      </c>
    </row>
    <row r="24" spans="1:16">
      <c r="A24" s="61" t="s">
        <v>58</v>
      </c>
      <c r="B24" s="61" t="s">
        <v>470</v>
      </c>
      <c r="M24" s="67" t="s">
        <v>476</v>
      </c>
      <c r="N24" s="61">
        <f>B12*'Reagent cost'!C34+D12*'Reagent cost'!C35+F12*'Reagent cost'!C36*'Reagent cost'!C14/1000</f>
        <v>186.424352</v>
      </c>
    </row>
    <row r="25" spans="1:16">
      <c r="A25" s="61" t="s">
        <v>60</v>
      </c>
      <c r="B25" s="61" t="s">
        <v>470</v>
      </c>
      <c r="M25" s="64" t="s">
        <v>478</v>
      </c>
      <c r="N25" s="61">
        <f>N24/100</f>
        <v>1.86424352</v>
      </c>
    </row>
    <row r="26" spans="1:16">
      <c r="A26" s="61" t="s">
        <v>449</v>
      </c>
      <c r="B26" s="61" t="s">
        <v>470</v>
      </c>
      <c r="M26" s="64" t="s">
        <v>617</v>
      </c>
      <c r="N26" s="61">
        <f>N24/(100*N22)</f>
        <v>18.642435200000001</v>
      </c>
    </row>
    <row r="27" spans="1:16">
      <c r="A27" s="61" t="s">
        <v>450</v>
      </c>
      <c r="B27" s="61" t="s">
        <v>470</v>
      </c>
      <c r="M27" s="61" t="s">
        <v>61</v>
      </c>
      <c r="O27" s="61">
        <v>100.46</v>
      </c>
    </row>
    <row r="28" spans="1:16">
      <c r="M28" s="64" t="s">
        <v>634</v>
      </c>
      <c r="N28" s="61">
        <f>(B12*'Reagent cost'!C34+D12*'Reagent cost'!C35+F12*'Reagent cost'!C36*'Reagent cost'!C14/1000*1.5)/100</f>
        <v>2.5736920399999996</v>
      </c>
    </row>
    <row r="29" spans="1:16">
      <c r="M29" s="64" t="s">
        <v>635</v>
      </c>
      <c r="N29" s="61">
        <f>(B12*'Reagent cost'!C34+D12*'Reagent cost'!C35+F12*'Reagent cost'!C36*'Reagent cost'!C14/1000*0.5)/100</f>
        <v>1.154795</v>
      </c>
    </row>
    <row r="39" spans="1:10">
      <c r="E39" s="61" t="s">
        <v>471</v>
      </c>
    </row>
    <row r="40" spans="1:10">
      <c r="E40" s="61">
        <f>1.89/0.2</f>
        <v>9.4499999999999993</v>
      </c>
      <c r="F40" s="61">
        <f>E40*0.006666666666</f>
        <v>6.2999999993699998E-2</v>
      </c>
    </row>
    <row r="44" spans="1:10">
      <c r="B44" s="61" t="s">
        <v>450</v>
      </c>
      <c r="C44" s="61" t="s">
        <v>59</v>
      </c>
      <c r="D44" s="61" t="s">
        <v>449</v>
      </c>
      <c r="E44" s="61" t="s">
        <v>59</v>
      </c>
      <c r="F44" s="61" t="s">
        <v>323</v>
      </c>
      <c r="G44" s="61" t="s">
        <v>62</v>
      </c>
      <c r="H44" s="61" t="s">
        <v>472</v>
      </c>
      <c r="I44" s="61" t="s">
        <v>59</v>
      </c>
      <c r="J44" s="61" t="s">
        <v>60</v>
      </c>
    </row>
    <row r="45" spans="1:10">
      <c r="B45" s="61">
        <v>1</v>
      </c>
      <c r="D45" s="66">
        <v>0.5</v>
      </c>
      <c r="F45" s="61">
        <v>1</v>
      </c>
      <c r="H45" s="61">
        <v>1</v>
      </c>
      <c r="J45" s="61">
        <v>1.5</v>
      </c>
    </row>
    <row r="46" spans="1:10">
      <c r="A46" s="61" t="s">
        <v>473</v>
      </c>
      <c r="B46" s="61">
        <v>1.89</v>
      </c>
      <c r="D46" s="61">
        <f>F46*D45*1.2</f>
        <v>1.1339999999999999</v>
      </c>
      <c r="F46" s="61">
        <v>1.89</v>
      </c>
      <c r="H46" s="61">
        <v>0</v>
      </c>
      <c r="J46" s="61">
        <v>3.78</v>
      </c>
    </row>
    <row r="47" spans="1:10">
      <c r="A47" s="61" t="s">
        <v>474</v>
      </c>
      <c r="B47" s="61">
        <f>$F$47*B45</f>
        <v>-1.89</v>
      </c>
      <c r="D47" s="61">
        <f>$F$47*D45</f>
        <v>-0.94499999999999995</v>
      </c>
      <c r="F47" s="61">
        <f>-F46</f>
        <v>-1.89</v>
      </c>
      <c r="H47" s="61">
        <f>-$F$47*H45</f>
        <v>1.89</v>
      </c>
      <c r="I47" s="61">
        <f>-$F$47*I45</f>
        <v>0</v>
      </c>
      <c r="J47" s="61">
        <f>-$F$47*J45</f>
        <v>2.835</v>
      </c>
    </row>
    <row r="48" spans="1:10">
      <c r="A48" s="61" t="s">
        <v>475</v>
      </c>
      <c r="B48" s="61">
        <f t="shared" ref="B48:J48" si="5">B46+B47</f>
        <v>0</v>
      </c>
      <c r="C48" s="61">
        <f t="shared" si="5"/>
        <v>0</v>
      </c>
      <c r="D48" s="61">
        <f t="shared" si="5"/>
        <v>0.18899999999999995</v>
      </c>
      <c r="E48" s="61">
        <f t="shared" si="5"/>
        <v>0</v>
      </c>
      <c r="F48" s="61">
        <f t="shared" si="5"/>
        <v>0</v>
      </c>
      <c r="G48" s="61">
        <f t="shared" si="5"/>
        <v>0</v>
      </c>
      <c r="H48" s="61">
        <f t="shared" si="5"/>
        <v>1.89</v>
      </c>
      <c r="I48" s="61">
        <f t="shared" si="5"/>
        <v>0</v>
      </c>
      <c r="J48" s="61">
        <f t="shared" si="5"/>
        <v>6.6150000000000002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4082-D3DB-417F-96A4-A57B43D9F0D9}">
  <sheetPr codeName="Sheet3"/>
  <dimension ref="B1:J17"/>
  <sheetViews>
    <sheetView workbookViewId="0">
      <selection activeCell="D37" sqref="D37"/>
    </sheetView>
  </sheetViews>
  <sheetFormatPr defaultColWidth="9" defaultRowHeight="15"/>
  <cols>
    <col min="1" max="2" width="9" style="10"/>
    <col min="3" max="3" width="16" style="10" bestFit="1" customWidth="1"/>
    <col min="4" max="5" width="9" style="10"/>
    <col min="6" max="6" width="13.140625" style="10" bestFit="1" customWidth="1"/>
    <col min="7" max="16384" width="9" style="10"/>
  </cols>
  <sheetData>
    <row r="1" spans="2:10">
      <c r="B1" s="10" t="s">
        <v>12</v>
      </c>
      <c r="C1" s="10" t="s">
        <v>13</v>
      </c>
      <c r="D1" s="10" t="s">
        <v>14</v>
      </c>
      <c r="E1" s="11"/>
      <c r="F1" s="10" t="s">
        <v>15</v>
      </c>
    </row>
    <row r="2" spans="2:10">
      <c r="B2" s="10" t="s">
        <v>16</v>
      </c>
      <c r="C2" s="10">
        <f>D2/0.031</f>
        <v>33730.322580645166</v>
      </c>
      <c r="D2" s="10">
        <v>1045.6400000000001</v>
      </c>
      <c r="E2" s="11"/>
      <c r="F2" s="11" t="s">
        <v>17</v>
      </c>
    </row>
    <row r="3" spans="2:10">
      <c r="B3" s="10" t="s">
        <v>18</v>
      </c>
      <c r="C3" s="10">
        <f t="shared" ref="C3:C6" si="0">D3/0.031</f>
        <v>32929.677419354841</v>
      </c>
      <c r="D3" s="10">
        <v>1020.82</v>
      </c>
      <c r="F3" s="10" t="s">
        <v>19</v>
      </c>
    </row>
    <row r="4" spans="2:10">
      <c r="B4" s="10" t="s">
        <v>20</v>
      </c>
      <c r="C4" s="10">
        <f t="shared" si="0"/>
        <v>164946.12903225806</v>
      </c>
      <c r="D4" s="10">
        <v>5113.33</v>
      </c>
    </row>
    <row r="5" spans="2:10">
      <c r="B5" s="10" t="s">
        <v>21</v>
      </c>
      <c r="C5" s="10">
        <f t="shared" si="0"/>
        <v>17831.612903225807</v>
      </c>
      <c r="D5" s="10">
        <v>552.78</v>
      </c>
    </row>
    <row r="6" spans="2:10">
      <c r="B6" s="10" t="s">
        <v>22</v>
      </c>
      <c r="C6" s="10">
        <f t="shared" si="0"/>
        <v>142484.51612903227</v>
      </c>
      <c r="D6" s="10">
        <v>4417.0200000000004</v>
      </c>
    </row>
    <row r="8" spans="2:10">
      <c r="C8" s="12"/>
    </row>
    <row r="9" spans="2:10">
      <c r="E9" s="10">
        <v>43200000</v>
      </c>
    </row>
    <row r="10" spans="2:10">
      <c r="B10" s="10" t="s">
        <v>164</v>
      </c>
      <c r="F10" s="10">
        <f>E9/2</f>
        <v>21600000</v>
      </c>
      <c r="G10" s="10" t="s">
        <v>165</v>
      </c>
    </row>
    <row r="11" spans="2:10">
      <c r="D11" s="10" t="s">
        <v>16</v>
      </c>
      <c r="F11" s="10">
        <f>C2*$F$10</f>
        <v>728574967741.93555</v>
      </c>
      <c r="G11" s="10" t="s">
        <v>119</v>
      </c>
    </row>
    <row r="12" spans="2:10">
      <c r="B12" s="10" t="s">
        <v>166</v>
      </c>
      <c r="D12" s="10" t="s">
        <v>18</v>
      </c>
      <c r="F12" s="10">
        <f t="shared" ref="F12:F15" si="1">C3*$F$10</f>
        <v>711281032258.06458</v>
      </c>
      <c r="G12" s="10" t="s">
        <v>119</v>
      </c>
    </row>
    <row r="13" spans="2:10">
      <c r="D13" s="10" t="s">
        <v>20</v>
      </c>
      <c r="F13" s="10">
        <f t="shared" si="1"/>
        <v>3562836387096.7739</v>
      </c>
      <c r="G13" s="10" t="s">
        <v>119</v>
      </c>
    </row>
    <row r="14" spans="2:10">
      <c r="D14" s="10" t="s">
        <v>21</v>
      </c>
      <c r="F14" s="10">
        <f t="shared" si="1"/>
        <v>385162838709.67743</v>
      </c>
      <c r="G14" s="10" t="s">
        <v>119</v>
      </c>
    </row>
    <row r="15" spans="2:10">
      <c r="D15" s="10" t="s">
        <v>22</v>
      </c>
      <c r="F15" s="10">
        <f t="shared" si="1"/>
        <v>3077665548387.0972</v>
      </c>
      <c r="G15" s="10" t="s">
        <v>119</v>
      </c>
      <c r="J15" s="11" t="s">
        <v>23</v>
      </c>
    </row>
    <row r="16" spans="2:10">
      <c r="J16" s="11" t="s">
        <v>17</v>
      </c>
    </row>
    <row r="17" spans="10:10">
      <c r="J17" s="10" t="s">
        <v>24</v>
      </c>
    </row>
  </sheetData>
  <phoneticPr fontId="6" type="noConversion"/>
  <hyperlinks>
    <hyperlink ref="J15" r:id="rId1" display="https://markets.businessinsider.com/commodities/platinum-price" xr:uid="{0CDBC78F-ACA7-49B0-96D2-822576FDA8BB}"/>
    <hyperlink ref="J16" r:id="rId2" display="https://matthey.com/products-and-markets/pgms-and-circularity/pgm-management" xr:uid="{EBA31190-2504-44B2-B5DF-2B8FC2B6EBF1}"/>
    <hyperlink ref="F2" r:id="rId3" display="https://matthey.com/products-and-markets/pgms-and-circularity/pgm-management" xr:uid="{0B475396-EE35-4098-9F49-9982C0FAFC3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F2C0-5B48-4D4B-88FF-3368E576A726}">
  <sheetPr codeName="Sheet4"/>
  <dimension ref="A1:Q126"/>
  <sheetViews>
    <sheetView topLeftCell="A45" zoomScale="115" zoomScaleNormal="115" workbookViewId="0">
      <selection activeCell="D1" sqref="D1"/>
    </sheetView>
  </sheetViews>
  <sheetFormatPr defaultRowHeight="15"/>
  <cols>
    <col min="2" max="2" width="13" customWidth="1"/>
    <col min="3" max="3" width="16.140625" customWidth="1"/>
    <col min="5" max="5" width="12.7109375" bestFit="1" customWidth="1"/>
    <col min="6" max="6" width="25.42578125" customWidth="1"/>
    <col min="9" max="12" width="11.7109375" customWidth="1"/>
    <col min="13" max="13" width="14.42578125" bestFit="1" customWidth="1"/>
    <col min="14" max="14" width="9.42578125" bestFit="1" customWidth="1"/>
    <col min="16" max="16" width="10.42578125" bestFit="1" customWidth="1"/>
    <col min="17" max="17" width="11.42578125" bestFit="1" customWidth="1"/>
  </cols>
  <sheetData>
    <row r="1" spans="1:14">
      <c r="A1" s="21" t="s">
        <v>437</v>
      </c>
      <c r="B1" s="22"/>
      <c r="D1" s="3" t="s">
        <v>145</v>
      </c>
      <c r="M1" s="3" t="s">
        <v>90</v>
      </c>
    </row>
    <row r="2" spans="1:14" ht="16.5">
      <c r="A2" s="20" t="s">
        <v>118</v>
      </c>
      <c r="M2" s="19" t="s">
        <v>89</v>
      </c>
    </row>
    <row r="3" spans="1:14">
      <c r="A3" t="s">
        <v>101</v>
      </c>
      <c r="C3">
        <v>0.1</v>
      </c>
      <c r="D3" t="s">
        <v>102</v>
      </c>
    </row>
    <row r="4" spans="1:14">
      <c r="A4" t="s">
        <v>103</v>
      </c>
      <c r="C4">
        <v>100</v>
      </c>
      <c r="D4" t="s">
        <v>104</v>
      </c>
      <c r="M4" s="3" t="s">
        <v>87</v>
      </c>
    </row>
    <row r="5" spans="1:14">
      <c r="A5" t="s">
        <v>105</v>
      </c>
      <c r="C5">
        <f>C3*C4*96485</f>
        <v>964850</v>
      </c>
      <c r="D5" t="s">
        <v>257</v>
      </c>
      <c r="M5" t="s">
        <v>144</v>
      </c>
    </row>
    <row r="6" spans="1:14">
      <c r="A6" t="s">
        <v>97</v>
      </c>
      <c r="C6">
        <v>4</v>
      </c>
      <c r="D6" t="s">
        <v>108</v>
      </c>
      <c r="E6">
        <v>0.4</v>
      </c>
      <c r="F6" t="s">
        <v>98</v>
      </c>
    </row>
    <row r="7" spans="1:14" ht="15.75" thickBot="1">
      <c r="A7" t="s">
        <v>99</v>
      </c>
      <c r="C7">
        <v>0.5</v>
      </c>
      <c r="D7" t="s">
        <v>100</v>
      </c>
      <c r="M7" s="3" t="s">
        <v>88</v>
      </c>
    </row>
    <row r="8" spans="1:14" ht="15.75" thickBot="1">
      <c r="A8" t="s">
        <v>106</v>
      </c>
      <c r="C8">
        <v>5.0000000000000001E-4</v>
      </c>
      <c r="D8" t="s">
        <v>107</v>
      </c>
      <c r="M8" s="17"/>
      <c r="N8" s="18"/>
    </row>
    <row r="10" spans="1:14">
      <c r="A10" t="s">
        <v>115</v>
      </c>
      <c r="C10">
        <v>31871</v>
      </c>
      <c r="D10" t="s">
        <v>116</v>
      </c>
    </row>
    <row r="11" spans="1:14">
      <c r="A11" t="s">
        <v>216</v>
      </c>
      <c r="D11" t="s">
        <v>117</v>
      </c>
    </row>
    <row r="13" spans="1:14">
      <c r="A13" t="s">
        <v>109</v>
      </c>
    </row>
    <row r="14" spans="1:14">
      <c r="L14" t="s">
        <v>140</v>
      </c>
    </row>
    <row r="15" spans="1:14">
      <c r="A15" t="s">
        <v>93</v>
      </c>
      <c r="C15">
        <v>300</v>
      </c>
      <c r="D15" t="s">
        <v>94</v>
      </c>
    </row>
    <row r="16" spans="1:14">
      <c r="A16" t="s">
        <v>95</v>
      </c>
      <c r="C16">
        <f>C15*24</f>
        <v>7200</v>
      </c>
      <c r="D16" t="s">
        <v>96</v>
      </c>
    </row>
    <row r="19" spans="1:17">
      <c r="A19" s="9" t="s">
        <v>129</v>
      </c>
      <c r="B19" s="9"/>
      <c r="C19" s="9"/>
      <c r="G19" s="9" t="s">
        <v>130</v>
      </c>
      <c r="H19" s="9"/>
      <c r="I19" s="9"/>
    </row>
    <row r="20" spans="1:17">
      <c r="A20" t="s">
        <v>110</v>
      </c>
      <c r="C20">
        <v>4</v>
      </c>
      <c r="D20" t="s">
        <v>107</v>
      </c>
      <c r="G20" t="s">
        <v>131</v>
      </c>
      <c r="I20">
        <v>400</v>
      </c>
      <c r="J20" t="s">
        <v>107</v>
      </c>
    </row>
    <row r="21" spans="1:17">
      <c r="A21" t="s">
        <v>111</v>
      </c>
      <c r="C21">
        <v>20</v>
      </c>
      <c r="D21" t="s">
        <v>214</v>
      </c>
      <c r="E21" t="s">
        <v>217</v>
      </c>
      <c r="G21" t="s">
        <v>111</v>
      </c>
      <c r="I21">
        <v>2000</v>
      </c>
      <c r="J21" t="s">
        <v>112</v>
      </c>
      <c r="K21" t="s">
        <v>146</v>
      </c>
      <c r="L21" t="s">
        <v>217</v>
      </c>
    </row>
    <row r="22" spans="1:17">
      <c r="A22" t="s">
        <v>113</v>
      </c>
      <c r="C22">
        <f>C21*C7/1000</f>
        <v>0.01</v>
      </c>
      <c r="D22" t="s">
        <v>114</v>
      </c>
      <c r="G22" t="s">
        <v>113</v>
      </c>
      <c r="I22">
        <f>I21*C7/1000</f>
        <v>1</v>
      </c>
      <c r="J22" t="s">
        <v>114</v>
      </c>
    </row>
    <row r="24" spans="1:17">
      <c r="A24" t="s">
        <v>120</v>
      </c>
      <c r="C24" s="8">
        <f>SUM(P25:P26)</f>
        <v>127488</v>
      </c>
      <c r="D24" t="s">
        <v>119</v>
      </c>
      <c r="G24" t="s">
        <v>120</v>
      </c>
      <c r="I24" s="8">
        <f>C10*I20</f>
        <v>12748400</v>
      </c>
      <c r="J24" t="s">
        <v>119</v>
      </c>
      <c r="P24" t="s">
        <v>184</v>
      </c>
      <c r="Q24" t="s">
        <v>185</v>
      </c>
    </row>
    <row r="25" spans="1:17">
      <c r="M25" t="s">
        <v>181</v>
      </c>
      <c r="O25">
        <v>14980</v>
      </c>
      <c r="P25">
        <f>4*O25</f>
        <v>59920</v>
      </c>
      <c r="Q25">
        <f>O25*400</f>
        <v>5992000</v>
      </c>
    </row>
    <row r="26" spans="1:17">
      <c r="A26" t="s">
        <v>121</v>
      </c>
      <c r="C26">
        <v>12</v>
      </c>
      <c r="D26" t="s">
        <v>122</v>
      </c>
      <c r="F26">
        <f>0.12*C24</f>
        <v>15298.56</v>
      </c>
      <c r="G26" t="s">
        <v>121</v>
      </c>
      <c r="I26">
        <v>12</v>
      </c>
      <c r="J26" t="s">
        <v>122</v>
      </c>
      <c r="L26">
        <f>0.12*I24</f>
        <v>1529808</v>
      </c>
      <c r="M26" t="s">
        <v>183</v>
      </c>
      <c r="O26">
        <v>16892</v>
      </c>
      <c r="P26">
        <f>4*O26</f>
        <v>67568</v>
      </c>
      <c r="Q26">
        <f>O26*400</f>
        <v>6756800</v>
      </c>
    </row>
    <row r="27" spans="1:17">
      <c r="A27" t="s">
        <v>125</v>
      </c>
      <c r="C27">
        <v>15</v>
      </c>
      <c r="D27" t="s">
        <v>124</v>
      </c>
      <c r="F27" s="16">
        <f>0.15*$P$29</f>
        <v>35696.640000000007</v>
      </c>
      <c r="G27" t="s">
        <v>125</v>
      </c>
      <c r="I27">
        <v>15</v>
      </c>
      <c r="J27" t="s">
        <v>124</v>
      </c>
      <c r="L27" s="16">
        <f>0.15*$Q$29</f>
        <v>3569552.0000000005</v>
      </c>
    </row>
    <row r="28" spans="1:17">
      <c r="A28" t="s">
        <v>126</v>
      </c>
      <c r="C28">
        <v>8</v>
      </c>
      <c r="D28" t="s">
        <v>123</v>
      </c>
      <c r="F28" s="16">
        <f>0.08*$P$29</f>
        <v>19038.208000000002</v>
      </c>
      <c r="G28" t="s">
        <v>126</v>
      </c>
      <c r="I28">
        <v>8</v>
      </c>
      <c r="J28" t="s">
        <v>123</v>
      </c>
      <c r="L28" s="16">
        <f>0.08*$Q$29</f>
        <v>1903761.0666666669</v>
      </c>
    </row>
    <row r="29" spans="1:17">
      <c r="A29" t="s">
        <v>127</v>
      </c>
      <c r="C29">
        <v>2</v>
      </c>
      <c r="D29" t="s">
        <v>123</v>
      </c>
      <c r="F29" s="16">
        <f>0.02*$P$29</f>
        <v>4759.5520000000006</v>
      </c>
      <c r="G29" t="s">
        <v>127</v>
      </c>
      <c r="I29">
        <v>2</v>
      </c>
      <c r="J29" t="s">
        <v>123</v>
      </c>
      <c r="L29" s="16">
        <f>0.02*$Q$29</f>
        <v>475940.26666666672</v>
      </c>
      <c r="M29" t="s">
        <v>186</v>
      </c>
      <c r="P29">
        <f>(1.12/0.6)*C24</f>
        <v>237977.60000000003</v>
      </c>
      <c r="Q29">
        <f>(1.12/0.6)*I24</f>
        <v>23797013.333333336</v>
      </c>
    </row>
    <row r="30" spans="1:17">
      <c r="A30" t="s">
        <v>128</v>
      </c>
      <c r="C30">
        <v>15</v>
      </c>
      <c r="D30" t="s">
        <v>123</v>
      </c>
      <c r="F30" s="16">
        <f t="shared" ref="F30" si="0">0.15*$P$29</f>
        <v>35696.640000000007</v>
      </c>
      <c r="G30" t="s">
        <v>128</v>
      </c>
      <c r="I30">
        <v>15</v>
      </c>
      <c r="J30" t="s">
        <v>123</v>
      </c>
      <c r="L30" s="16">
        <f t="shared" ref="L30" si="1">0.15*$Q$29</f>
        <v>3569552.0000000005</v>
      </c>
    </row>
    <row r="32" spans="1:17">
      <c r="A32" s="16" t="s">
        <v>118</v>
      </c>
      <c r="B32" s="16"/>
      <c r="C32" s="16">
        <f>SUM(F26:F30)+SUM(P25:P26)</f>
        <v>237977.60000000001</v>
      </c>
      <c r="D32" s="16" t="s">
        <v>119</v>
      </c>
      <c r="G32" s="16" t="s">
        <v>118</v>
      </c>
      <c r="H32" s="16"/>
      <c r="I32" s="16">
        <f>1.87*I24</f>
        <v>23839508</v>
      </c>
      <c r="J32" t="s">
        <v>119</v>
      </c>
    </row>
    <row r="35" spans="1:12">
      <c r="A35" s="20" t="s">
        <v>132</v>
      </c>
    </row>
    <row r="36" spans="1:12">
      <c r="A36" t="s">
        <v>85</v>
      </c>
      <c r="B36">
        <v>7.0000000000000007E-2</v>
      </c>
      <c r="C36" t="s">
        <v>117</v>
      </c>
      <c r="E36" s="3" t="s">
        <v>133</v>
      </c>
    </row>
    <row r="38" spans="1:12">
      <c r="A38" t="s">
        <v>134</v>
      </c>
      <c r="C38">
        <f>C22*C16*$B$36</f>
        <v>5.0400000000000009</v>
      </c>
      <c r="D38" t="s">
        <v>178</v>
      </c>
      <c r="G38" t="s">
        <v>134</v>
      </c>
      <c r="I38">
        <f>I22*C16*$B$36</f>
        <v>504.00000000000006</v>
      </c>
      <c r="J38" t="s">
        <v>137</v>
      </c>
    </row>
    <row r="39" spans="1:12">
      <c r="A39" t="s">
        <v>135</v>
      </c>
      <c r="C39">
        <v>15</v>
      </c>
      <c r="D39" t="s">
        <v>123</v>
      </c>
      <c r="G39" t="s">
        <v>135</v>
      </c>
      <c r="I39">
        <v>15</v>
      </c>
      <c r="J39" t="s">
        <v>123</v>
      </c>
    </row>
    <row r="40" spans="1:12">
      <c r="A40" t="s">
        <v>136</v>
      </c>
      <c r="C40">
        <f>C32*0.15/7</f>
        <v>5099.5199999999995</v>
      </c>
      <c r="D40" t="s">
        <v>137</v>
      </c>
      <c r="G40" t="s">
        <v>136</v>
      </c>
      <c r="I40">
        <f>I32*0.15/7</f>
        <v>510846.6</v>
      </c>
      <c r="J40" t="s">
        <v>137</v>
      </c>
    </row>
    <row r="41" spans="1:12">
      <c r="A41" t="s">
        <v>138</v>
      </c>
      <c r="D41" t="s">
        <v>139</v>
      </c>
      <c r="G41" t="s">
        <v>138</v>
      </c>
      <c r="J41" t="s">
        <v>139</v>
      </c>
    </row>
    <row r="42" spans="1:12">
      <c r="C42">
        <f>C32*0.03</f>
        <v>7139.3279999999995</v>
      </c>
      <c r="D42" t="s">
        <v>137</v>
      </c>
      <c r="I42">
        <f>I32*0.03</f>
        <v>715185.24</v>
      </c>
      <c r="J42" t="s">
        <v>137</v>
      </c>
    </row>
    <row r="44" spans="1:12">
      <c r="A44" s="16" t="s">
        <v>132</v>
      </c>
      <c r="B44" s="16"/>
      <c r="C44" s="16">
        <f>SUM(C38,C40,C42)</f>
        <v>12243.887999999999</v>
      </c>
      <c r="D44" s="16" t="s">
        <v>137</v>
      </c>
      <c r="G44" s="16" t="s">
        <v>132</v>
      </c>
      <c r="H44" s="16"/>
      <c r="I44" s="16">
        <f>SUM(I38,I40,I42)</f>
        <v>1226535.8399999999</v>
      </c>
      <c r="J44" s="16" t="s">
        <v>137</v>
      </c>
    </row>
    <row r="47" spans="1:12">
      <c r="A47" s="21" t="s">
        <v>143</v>
      </c>
      <c r="B47" s="23"/>
      <c r="C47" s="23"/>
      <c r="D47" s="22"/>
      <c r="F47" s="3" t="s">
        <v>65</v>
      </c>
    </row>
    <row r="48" spans="1:12">
      <c r="L48" t="s">
        <v>69</v>
      </c>
    </row>
    <row r="49" spans="1:16">
      <c r="A49" t="s">
        <v>66</v>
      </c>
      <c r="M49" t="s">
        <v>92</v>
      </c>
      <c r="N49">
        <v>0.26417200000000002</v>
      </c>
      <c r="O49" t="s">
        <v>142</v>
      </c>
    </row>
    <row r="50" spans="1:16">
      <c r="A50" t="s">
        <v>67</v>
      </c>
      <c r="E50" t="s">
        <v>68</v>
      </c>
    </row>
    <row r="51" spans="1:16">
      <c r="L51">
        <v>100</v>
      </c>
      <c r="M51" t="s">
        <v>77</v>
      </c>
      <c r="N51" s="24" t="s">
        <v>141</v>
      </c>
      <c r="O51">
        <f>L51*N49*15</f>
        <v>396.25800000000004</v>
      </c>
      <c r="P51" t="s">
        <v>78</v>
      </c>
    </row>
    <row r="54" spans="1:16">
      <c r="L54">
        <v>6000</v>
      </c>
      <c r="M54">
        <v>70000</v>
      </c>
      <c r="N54" t="s">
        <v>78</v>
      </c>
    </row>
    <row r="55" spans="1:16">
      <c r="A55" t="s">
        <v>70</v>
      </c>
      <c r="L55">
        <f>L54/(15*0.264172)</f>
        <v>1514.1650137031932</v>
      </c>
      <c r="M55">
        <f>M54/(15*0.264172)</f>
        <v>17665.258493203921</v>
      </c>
      <c r="N55" t="s">
        <v>77</v>
      </c>
    </row>
    <row r="56" spans="1:16">
      <c r="A56" t="s">
        <v>71</v>
      </c>
    </row>
    <row r="57" spans="1:16">
      <c r="A57" t="s">
        <v>72</v>
      </c>
    </row>
    <row r="58" spans="1:16">
      <c r="A58" t="s">
        <v>73</v>
      </c>
    </row>
    <row r="59" spans="1:16">
      <c r="A59" t="s">
        <v>74</v>
      </c>
    </row>
    <row r="60" spans="1:16">
      <c r="A60" t="s">
        <v>75</v>
      </c>
    </row>
    <row r="61" spans="1:16">
      <c r="A61" t="s">
        <v>76</v>
      </c>
    </row>
    <row r="65" spans="1:14">
      <c r="A65" s="9" t="s">
        <v>215</v>
      </c>
      <c r="B65" s="9"/>
      <c r="C65" s="9"/>
      <c r="D65">
        <v>396.25799999999998</v>
      </c>
      <c r="H65" s="9" t="s">
        <v>130</v>
      </c>
      <c r="I65" s="9"/>
      <c r="J65" s="9"/>
      <c r="K65">
        <v>39625.800000000003</v>
      </c>
      <c r="M65">
        <f>1/3.78541*15</f>
        <v>3.962582652869834</v>
      </c>
    </row>
    <row r="66" spans="1:14">
      <c r="C66" t="s">
        <v>149</v>
      </c>
      <c r="E66" t="s">
        <v>150</v>
      </c>
      <c r="F66" t="s">
        <v>119</v>
      </c>
      <c r="J66" t="s">
        <v>149</v>
      </c>
      <c r="L66" t="s">
        <v>150</v>
      </c>
      <c r="M66" t="s">
        <v>119</v>
      </c>
    </row>
    <row r="67" spans="1:14">
      <c r="A67" t="s">
        <v>79</v>
      </c>
      <c r="C67">
        <f>J67*(0.01^0.72)</f>
        <v>166516.33367588208</v>
      </c>
      <c r="E67">
        <f>0.499*($D$65^(-0.146))</f>
        <v>0.20835107775583089</v>
      </c>
      <c r="F67">
        <f>E67*$C$15*$D$65</f>
        <v>24768.234410811012</v>
      </c>
      <c r="H67" t="s">
        <v>79</v>
      </c>
      <c r="J67">
        <f>2510*($K$65^0.571)+89*$K$65</f>
        <v>4586240.6578474995</v>
      </c>
      <c r="L67">
        <f>0.499*($K$65^(-0.146))</f>
        <v>0.10636426694461633</v>
      </c>
      <c r="M67">
        <f>L67*$C$15*$K$65</f>
        <v>1264430.7507281934</v>
      </c>
    </row>
    <row r="68" spans="1:14">
      <c r="A68" t="s">
        <v>80</v>
      </c>
      <c r="C68">
        <f>J68*(0.01^0.72)</f>
        <v>428244.2999468795</v>
      </c>
      <c r="E68">
        <f>0.248*($D$65^(-0.144))</f>
        <v>0.10479555030997295</v>
      </c>
      <c r="F68">
        <f>E68*$C$15*$D$65</f>
        <v>12457.822552418778</v>
      </c>
      <c r="H68" t="s">
        <v>80</v>
      </c>
      <c r="J68">
        <f>4810*($K$65^0.6)+228*$K$65</f>
        <v>11794827.429546542</v>
      </c>
      <c r="L68">
        <f>0.248*($K$65^(-0.144))</f>
        <v>5.3993669344406636E-2</v>
      </c>
      <c r="M68">
        <f t="shared" ref="M68:M73" si="2">L68*$C$15*$K$65</f>
        <v>641862.70281227666</v>
      </c>
    </row>
    <row r="69" spans="1:14">
      <c r="A69" t="s">
        <v>81</v>
      </c>
      <c r="C69">
        <f>J69*(0.01^0.72)</f>
        <v>82607.801817297091</v>
      </c>
      <c r="E69">
        <f>0.105*($D$65^(-0.144))</f>
        <v>4.4369083800593387E-2</v>
      </c>
      <c r="F69">
        <f t="shared" ref="F69:F70" si="3">E69*$C$15*$D$65</f>
        <v>5274.48132259666</v>
      </c>
      <c r="H69" t="s">
        <v>81</v>
      </c>
      <c r="J69">
        <f>1030*($K$65^0.59)+44*$K$65</f>
        <v>2275207.7888487028</v>
      </c>
      <c r="L69">
        <f>0.105*($K$65^(-0.144))</f>
        <v>2.2860222907914098E-2</v>
      </c>
      <c r="M69">
        <f t="shared" si="2"/>
        <v>271756.38627132674</v>
      </c>
    </row>
    <row r="70" spans="1:14">
      <c r="A70" t="s">
        <v>82</v>
      </c>
      <c r="E70">
        <f>0.058*($D$65^(-0.151))</f>
        <v>2.3503541640304128E-2</v>
      </c>
      <c r="F70">
        <f t="shared" si="3"/>
        <v>2794.0399209910902</v>
      </c>
      <c r="H70" t="s">
        <v>82</v>
      </c>
      <c r="L70">
        <f>0.058*($K$65^(-0.151))</f>
        <v>1.1725552324718178E-2</v>
      </c>
      <c r="M70">
        <f t="shared" si="2"/>
        <v>139390.31739264529</v>
      </c>
    </row>
    <row r="71" spans="1:14">
      <c r="A71" t="s">
        <v>83</v>
      </c>
      <c r="C71">
        <f>J71*(0.01^0.72)</f>
        <v>511355.71172250336</v>
      </c>
      <c r="H71" t="s">
        <v>83</v>
      </c>
      <c r="J71">
        <f>5640*($K$65^0.602)+272*$K$65</f>
        <v>14083905.788420349</v>
      </c>
      <c r="M71">
        <f t="shared" si="2"/>
        <v>0</v>
      </c>
    </row>
    <row r="72" spans="1:14">
      <c r="A72" t="s">
        <v>85</v>
      </c>
      <c r="E72">
        <f>1.45*($D$65^(-0.145))</f>
        <v>0.60906155360575998</v>
      </c>
      <c r="F72">
        <f>E72*$C$15*$D$65</f>
        <v>72403.653932613364</v>
      </c>
      <c r="H72" t="s">
        <v>85</v>
      </c>
      <c r="L72">
        <f>1.45*($K$65^(-0.145))</f>
        <v>0.31236415131818096</v>
      </c>
      <c r="M72">
        <f t="shared" si="2"/>
        <v>3713303.8161911927</v>
      </c>
    </row>
    <row r="73" spans="1:14">
      <c r="A73" t="s">
        <v>84</v>
      </c>
      <c r="C73">
        <f>J73*(0.01^0.72)</f>
        <v>60373.486381618204</v>
      </c>
      <c r="E73">
        <f>0.056*($D$65^(-0.144))</f>
        <v>2.3663511360316476E-2</v>
      </c>
      <c r="F73">
        <f>E73*$C$15*$D$65</f>
        <v>2813.0567053848858</v>
      </c>
      <c r="H73" t="s">
        <v>84</v>
      </c>
      <c r="J73">
        <f>688*($K$65^0.6)+32*$K$65</f>
        <v>1662823.8911284867</v>
      </c>
      <c r="L73">
        <f>0.056*($K$65^(-0.144))</f>
        <v>1.2192118884220853E-2</v>
      </c>
      <c r="M73">
        <f t="shared" si="2"/>
        <v>144936.7393447076</v>
      </c>
    </row>
    <row r="75" spans="1:14">
      <c r="A75" t="s">
        <v>86</v>
      </c>
      <c r="B75" s="16" t="s">
        <v>118</v>
      </c>
      <c r="C75" s="16">
        <f>J75*(0.01^0.72)</f>
        <v>1249097.6335441801</v>
      </c>
      <c r="D75" s="16" t="s">
        <v>119</v>
      </c>
      <c r="E75" s="16" t="s">
        <v>132</v>
      </c>
      <c r="F75" s="16">
        <f>SUM(F67:F73)</f>
        <v>120511.28884481579</v>
      </c>
      <c r="G75" s="16" t="s">
        <v>137</v>
      </c>
      <c r="H75" t="s">
        <v>86</v>
      </c>
      <c r="I75" s="16" t="s">
        <v>118</v>
      </c>
      <c r="J75" s="16">
        <f>SUM(J67:J74)</f>
        <v>34403005.555791579</v>
      </c>
      <c r="K75" s="16" t="s">
        <v>119</v>
      </c>
      <c r="L75" s="16" t="s">
        <v>132</v>
      </c>
      <c r="M75" s="16">
        <f>SUM(M67:M73)</f>
        <v>6175680.7127403421</v>
      </c>
      <c r="N75" s="16" t="s">
        <v>137</v>
      </c>
    </row>
    <row r="77" spans="1:14">
      <c r="A77" t="s">
        <v>154</v>
      </c>
      <c r="E77">
        <f>0.583*($D$65^(-0.143))</f>
        <v>0.24783217857616263</v>
      </c>
      <c r="F77">
        <f>E77*$C$15*$D$65</f>
        <v>29461.645025469916</v>
      </c>
      <c r="H77" t="s">
        <v>154</v>
      </c>
      <c r="L77">
        <f>0.583*($K$65^(-0.143))</f>
        <v>0.12827962880821489</v>
      </c>
      <c r="M77">
        <f>L77*$C$15*$K$65</f>
        <v>1524954.8745685685</v>
      </c>
    </row>
    <row r="78" spans="1:14">
      <c r="E78" t="s">
        <v>155</v>
      </c>
      <c r="F78">
        <f>SUM(F77,F75)</f>
        <v>149972.93387028569</v>
      </c>
      <c r="L78" t="s">
        <v>155</v>
      </c>
      <c r="M78">
        <f>SUM(M75:M77)</f>
        <v>7700635.5873089107</v>
      </c>
    </row>
    <row r="80" spans="1:14">
      <c r="A80" t="s">
        <v>148</v>
      </c>
      <c r="C80">
        <v>0.72</v>
      </c>
    </row>
    <row r="81" spans="1:8">
      <c r="A81" s="3" t="s">
        <v>147</v>
      </c>
    </row>
    <row r="84" spans="1:8">
      <c r="H84" s="3" t="s">
        <v>218</v>
      </c>
    </row>
    <row r="96" spans="1:8">
      <c r="A96" s="22" t="s">
        <v>151</v>
      </c>
      <c r="B96" s="22"/>
      <c r="C96" s="22"/>
      <c r="D96" s="22"/>
      <c r="E96" s="22"/>
      <c r="F96" s="22"/>
    </row>
    <row r="97" spans="1:14">
      <c r="A97" s="9" t="s">
        <v>129</v>
      </c>
      <c r="B97" s="9"/>
      <c r="C97" s="9"/>
      <c r="D97">
        <v>396.25800000000004</v>
      </c>
      <c r="H97" s="9" t="s">
        <v>130</v>
      </c>
      <c r="I97" s="9"/>
      <c r="J97" s="9"/>
      <c r="K97">
        <v>39625.800000000003</v>
      </c>
    </row>
    <row r="98" spans="1:14">
      <c r="C98" t="s">
        <v>152</v>
      </c>
      <c r="E98" t="s">
        <v>153</v>
      </c>
      <c r="F98" t="s">
        <v>119</v>
      </c>
      <c r="J98" t="s">
        <v>152</v>
      </c>
      <c r="L98" t="s">
        <v>153</v>
      </c>
      <c r="M98" t="s">
        <v>119</v>
      </c>
    </row>
    <row r="99" spans="1:14">
      <c r="A99" t="s">
        <v>79</v>
      </c>
      <c r="C99">
        <f>0.6*C67</f>
        <v>99909.800205529245</v>
      </c>
      <c r="E99">
        <f>0.6*E67</f>
        <v>0.12501064665349854</v>
      </c>
      <c r="F99">
        <f>0.6*F67</f>
        <v>14860.940646486606</v>
      </c>
      <c r="H99" t="s">
        <v>79</v>
      </c>
      <c r="J99">
        <f>0.6*J67</f>
        <v>2751744.3947084998</v>
      </c>
      <c r="L99">
        <f>0.6*L67</f>
        <v>6.3818560166769789E-2</v>
      </c>
      <c r="M99">
        <f>0.6*M67</f>
        <v>758658.45043691609</v>
      </c>
    </row>
    <row r="100" spans="1:14">
      <c r="A100" t="s">
        <v>80</v>
      </c>
      <c r="C100">
        <f>0.6*C68</f>
        <v>256946.57996812768</v>
      </c>
      <c r="E100">
        <f>0.6*E68</f>
        <v>6.2877330185983765E-2</v>
      </c>
      <c r="F100">
        <f t="shared" ref="F100:F105" si="4">0.6*F68</f>
        <v>7474.6935314512666</v>
      </c>
      <c r="H100" t="s">
        <v>80</v>
      </c>
      <c r="J100">
        <f t="shared" ref="J100:J105" si="5">0.6*J68</f>
        <v>7076896.4577279249</v>
      </c>
      <c r="L100">
        <f t="shared" ref="L100:M105" si="6">0.6*L68</f>
        <v>3.2396201606643978E-2</v>
      </c>
      <c r="M100">
        <f t="shared" si="6"/>
        <v>385117.62168736599</v>
      </c>
    </row>
    <row r="101" spans="1:14">
      <c r="A101" t="s">
        <v>81</v>
      </c>
      <c r="C101">
        <f>0.6*C69</f>
        <v>49564.681090378253</v>
      </c>
      <c r="E101">
        <f>0.6*E69</f>
        <v>2.6621450280356031E-2</v>
      </c>
      <c r="F101">
        <f t="shared" si="4"/>
        <v>3164.6887935579957</v>
      </c>
      <c r="H101" t="s">
        <v>81</v>
      </c>
      <c r="J101">
        <f t="shared" si="5"/>
        <v>1365124.6733092216</v>
      </c>
      <c r="L101">
        <f t="shared" si="6"/>
        <v>1.3716133744748457E-2</v>
      </c>
      <c r="M101">
        <f t="shared" si="6"/>
        <v>163053.83176279604</v>
      </c>
    </row>
    <row r="102" spans="1:14">
      <c r="A102" t="s">
        <v>82</v>
      </c>
      <c r="E102">
        <f>0.6*E70</f>
        <v>1.4102124984182476E-2</v>
      </c>
      <c r="F102">
        <f t="shared" si="4"/>
        <v>1676.4239525946541</v>
      </c>
      <c r="H102" t="s">
        <v>82</v>
      </c>
      <c r="L102">
        <f t="shared" si="6"/>
        <v>7.0353313948309064E-3</v>
      </c>
      <c r="M102">
        <f t="shared" si="6"/>
        <v>83634.190435587167</v>
      </c>
    </row>
    <row r="103" spans="1:14">
      <c r="A103" t="s">
        <v>83</v>
      </c>
      <c r="C103">
        <f>0.6*C71</f>
        <v>306813.42703350203</v>
      </c>
      <c r="H103" t="s">
        <v>83</v>
      </c>
      <c r="J103">
        <f t="shared" si="5"/>
        <v>8450343.4730522092</v>
      </c>
    </row>
    <row r="104" spans="1:14">
      <c r="A104" t="s">
        <v>85</v>
      </c>
      <c r="E104">
        <f>0.2*E72</f>
        <v>0.12181231072115201</v>
      </c>
      <c r="F104">
        <f>0.2*F72</f>
        <v>14480.730786522674</v>
      </c>
      <c r="H104" t="s">
        <v>85</v>
      </c>
      <c r="L104">
        <f>0.2*L72</f>
        <v>6.2472830263636196E-2</v>
      </c>
      <c r="M104">
        <f>0.2*M72</f>
        <v>742660.76323823864</v>
      </c>
    </row>
    <row r="105" spans="1:14">
      <c r="A105" t="s">
        <v>84</v>
      </c>
      <c r="C105">
        <f>0.6*C73</f>
        <v>36224.091828970923</v>
      </c>
      <c r="E105">
        <f t="shared" ref="E105" si="7">0.6*E73</f>
        <v>1.4198106816189885E-2</v>
      </c>
      <c r="F105">
        <f t="shared" si="4"/>
        <v>1687.8340232309315</v>
      </c>
      <c r="H105" t="s">
        <v>84</v>
      </c>
      <c r="J105">
        <f t="shared" si="5"/>
        <v>997694.33467709203</v>
      </c>
      <c r="L105">
        <f t="shared" si="6"/>
        <v>7.315271330532511E-3</v>
      </c>
      <c r="M105">
        <f t="shared" ref="M105" si="8">0.6*M73</f>
        <v>86962.043606824562</v>
      </c>
    </row>
    <row r="106" spans="1:14">
      <c r="A106" t="s">
        <v>176</v>
      </c>
      <c r="C106">
        <v>2847.8193240000001</v>
      </c>
      <c r="F106">
        <v>11833.756056</v>
      </c>
      <c r="H106" t="s">
        <v>176</v>
      </c>
      <c r="J106">
        <f>C106*100</f>
        <v>284781.93239999999</v>
      </c>
      <c r="M106">
        <f>F106*100</f>
        <v>1183375.6056000001</v>
      </c>
    </row>
    <row r="108" spans="1:14">
      <c r="A108" t="s">
        <v>86</v>
      </c>
      <c r="B108" s="16" t="s">
        <v>118</v>
      </c>
      <c r="C108" s="16">
        <f>SUM(C99:C106)</f>
        <v>752306.39945050818</v>
      </c>
      <c r="D108" s="16" t="s">
        <v>119</v>
      </c>
      <c r="E108" s="16" t="s">
        <v>132</v>
      </c>
      <c r="F108" s="16">
        <f>SUM(F99:F106)</f>
        <v>55179.067789844128</v>
      </c>
      <c r="G108" s="16" t="s">
        <v>137</v>
      </c>
      <c r="H108" t="s">
        <v>86</v>
      </c>
      <c r="I108" s="16" t="s">
        <v>118</v>
      </c>
      <c r="J108" s="16">
        <f>SUM(J99:J106)</f>
        <v>20926585.265874948</v>
      </c>
      <c r="K108" s="16" t="s">
        <v>119</v>
      </c>
      <c r="L108" s="16" t="s">
        <v>132</v>
      </c>
      <c r="M108" s="16">
        <f>SUM(M99:M106)</f>
        <v>3403462.5067677284</v>
      </c>
      <c r="N108" s="16" t="s">
        <v>137</v>
      </c>
    </row>
    <row r="111" spans="1:14">
      <c r="E111">
        <v>2021</v>
      </c>
      <c r="F111" t="s">
        <v>370</v>
      </c>
      <c r="G111" s="3" t="s">
        <v>369</v>
      </c>
    </row>
    <row r="112" spans="1:14">
      <c r="F112" t="s">
        <v>368</v>
      </c>
      <c r="G112" s="3" t="s">
        <v>218</v>
      </c>
    </row>
    <row r="113" spans="5:11">
      <c r="F113" t="s">
        <v>372</v>
      </c>
      <c r="G113" s="3" t="s">
        <v>371</v>
      </c>
    </row>
    <row r="114" spans="5:11">
      <c r="F114">
        <v>1992</v>
      </c>
      <c r="G114">
        <v>358.2</v>
      </c>
    </row>
    <row r="115" spans="5:11">
      <c r="F115">
        <v>2021</v>
      </c>
      <c r="G115">
        <v>708.8</v>
      </c>
    </row>
    <row r="116" spans="5:11">
      <c r="F116">
        <v>2025</v>
      </c>
      <c r="G116">
        <v>836</v>
      </c>
    </row>
    <row r="117" spans="5:11">
      <c r="K117">
        <f>4586243*(100/10000)^0.72*(4/3)^0.6*0.6*(836/358.2)</f>
        <v>277110.03307197115</v>
      </c>
    </row>
    <row r="118" spans="5:11">
      <c r="F118" t="s">
        <v>377</v>
      </c>
    </row>
    <row r="119" spans="5:11">
      <c r="E119" t="s">
        <v>375</v>
      </c>
      <c r="F119">
        <f>0.27/1000</f>
        <v>2.7E-4</v>
      </c>
      <c r="G119" t="s">
        <v>376</v>
      </c>
    </row>
    <row r="121" spans="5:11">
      <c r="E121" s="54" t="s">
        <v>378</v>
      </c>
    </row>
    <row r="122" spans="5:11">
      <c r="E122" t="s">
        <v>379</v>
      </c>
    </row>
    <row r="126" spans="5:11">
      <c r="G126">
        <f>7963.6*(11.335/1000)^0.6*836/708.8*1.7</f>
        <v>1086.160093905085</v>
      </c>
    </row>
  </sheetData>
  <phoneticPr fontId="6" type="noConversion"/>
  <hyperlinks>
    <hyperlink ref="F47" r:id="rId1" display="https://pubs.usgs.gov/unnumbered/70138816/report.pdf" xr:uid="{2245346D-E126-4D7E-B64E-CF43707DED32}"/>
    <hyperlink ref="M4" r:id="rId2" display="https://www.nature.com/articles/s41560-019-0326-1" xr:uid="{A02A1193-B470-4339-A234-7ACFA9BF5304}"/>
    <hyperlink ref="M7" r:id="rId3" display="https://www.cell.com/joule/fulltext/S2542-4351(23)00127-7" xr:uid="{6870151E-36BB-4172-A593-E51A20441325}"/>
    <hyperlink ref="M1" r:id="rId4" display="https://www.iea.org/reports/global-hydrogen-review-2025/executive-summary?utm_source=chatgpt.com" xr:uid="{6CB7D40C-4E10-4354-9837-CF96FDFADFC6}"/>
    <hyperlink ref="E36" r:id="rId5" display="https://pubs.rsc.org/en/content/articlelanding/2023/ey/d3ey00058c" xr:uid="{A93DFD7E-E5A1-4C21-8E9E-FA178D207861}"/>
    <hyperlink ref="D1" r:id="rId6" display="https://www.jecst.org/upload/media/jecst-2021-00584-suppl.pdf" xr:uid="{D85FBC7C-2415-4016-871D-937BED6F9C04}"/>
    <hyperlink ref="A81" r:id="rId7" location=":~:text=butane%20to%20understand-,Capital%20cost,of%20the%20FCI%20%5B31%5D." display="https://www.sciencedirect.com/science/article/pii/S0196890421013182 - :~:text=butane%20to%20understand-,Capital%20cost,of%20the%20FCI%20%5B31%5D." xr:uid="{2DABA2D7-1709-4D7E-84A9-048875B4ED6F}"/>
    <hyperlink ref="H84" r:id="rId8" xr:uid="{E35B52D2-DFD5-4940-A214-6F4622332D7C}"/>
    <hyperlink ref="G112" r:id="rId9" xr:uid="{E35DE97E-FEC6-4154-BFF4-396D227E7EEB}"/>
    <hyperlink ref="G111" r:id="rId10" xr:uid="{80D61B98-DEE1-493E-A7EC-2BB22B0BE2C1}"/>
    <hyperlink ref="G113" r:id="rId11" xr:uid="{F0DEED82-55A5-4A37-96E7-6523F7536B75}"/>
  </hyperlinks>
  <pageMargins left="0.7" right="0.7" top="0.75" bottom="0.75" header="0.3" footer="0.3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770C-AEBD-4C4E-9D37-B9789FF94C65}">
  <sheetPr codeName="Sheet5"/>
  <dimension ref="A1:H33"/>
  <sheetViews>
    <sheetView zoomScale="99" zoomScaleNormal="99" workbookViewId="0">
      <selection activeCell="C14" sqref="C14"/>
    </sheetView>
  </sheetViews>
  <sheetFormatPr defaultRowHeight="15"/>
  <cols>
    <col min="1" max="4" width="23.42578125" customWidth="1"/>
    <col min="8" max="8" width="10.28515625" bestFit="1" customWidth="1"/>
  </cols>
  <sheetData>
    <row r="1" spans="1:8" ht="15" customHeight="1" thickBot="1">
      <c r="A1" s="37"/>
      <c r="B1" s="38" t="s">
        <v>187</v>
      </c>
      <c r="C1" s="38" t="s">
        <v>188</v>
      </c>
      <c r="D1" s="38" t="s">
        <v>8</v>
      </c>
    </row>
    <row r="2" spans="1:8" ht="15" customHeight="1" thickBot="1">
      <c r="A2" s="39" t="s">
        <v>189</v>
      </c>
      <c r="B2" s="40">
        <v>100</v>
      </c>
      <c r="C2" s="36">
        <v>10000</v>
      </c>
      <c r="D2" s="40" t="s">
        <v>163</v>
      </c>
      <c r="G2" t="s">
        <v>211</v>
      </c>
    </row>
    <row r="3" spans="1:8" ht="15" customHeight="1" thickBot="1">
      <c r="A3" s="73" t="s">
        <v>190</v>
      </c>
      <c r="B3" s="74"/>
      <c r="C3" s="74"/>
      <c r="D3" s="75"/>
      <c r="G3" t="s">
        <v>212</v>
      </c>
    </row>
    <row r="4" spans="1:8" ht="15" customHeight="1" thickBot="1">
      <c r="A4" s="39" t="s">
        <v>191</v>
      </c>
      <c r="B4" s="35">
        <v>99909.8</v>
      </c>
      <c r="C4" s="35">
        <v>2751744.39</v>
      </c>
      <c r="D4" s="40" t="s">
        <v>179</v>
      </c>
      <c r="G4" t="s">
        <v>213</v>
      </c>
    </row>
    <row r="5" spans="1:8" ht="15" customHeight="1" thickBot="1">
      <c r="A5" s="39" t="s">
        <v>192</v>
      </c>
      <c r="B5" s="35">
        <v>256946.58</v>
      </c>
      <c r="C5" s="35">
        <v>7076896.46</v>
      </c>
      <c r="D5" s="40" t="s">
        <v>179</v>
      </c>
    </row>
    <row r="6" spans="1:8" ht="15" customHeight="1" thickBot="1">
      <c r="A6" s="39" t="s">
        <v>193</v>
      </c>
      <c r="B6" s="35">
        <v>49564.68</v>
      </c>
      <c r="C6" s="35">
        <v>1365124.67</v>
      </c>
      <c r="D6" s="40" t="s">
        <v>179</v>
      </c>
    </row>
    <row r="7" spans="1:8" ht="15" customHeight="1" thickBot="1">
      <c r="A7" s="39" t="s">
        <v>194</v>
      </c>
      <c r="B7" s="35">
        <v>306813.43</v>
      </c>
      <c r="C7" s="35">
        <v>8450343.4700000007</v>
      </c>
      <c r="D7" s="40" t="s">
        <v>179</v>
      </c>
    </row>
    <row r="8" spans="1:8" ht="15" customHeight="1" thickBot="1">
      <c r="A8" s="39" t="s">
        <v>195</v>
      </c>
      <c r="B8" s="35">
        <v>36224.089999999997</v>
      </c>
      <c r="C8" s="35">
        <v>997694.34</v>
      </c>
      <c r="D8" s="40" t="s">
        <v>179</v>
      </c>
    </row>
    <row r="9" spans="1:8" ht="15" customHeight="1" thickBot="1">
      <c r="A9" s="39" t="s">
        <v>196</v>
      </c>
      <c r="B9" s="35">
        <v>2847.82</v>
      </c>
      <c r="C9" s="35">
        <v>284781.93</v>
      </c>
      <c r="D9" s="40" t="s">
        <v>179</v>
      </c>
    </row>
    <row r="10" spans="1:8" ht="15" customHeight="1" thickBot="1">
      <c r="A10" s="41" t="s">
        <v>197</v>
      </c>
      <c r="B10" s="42">
        <v>752306.4</v>
      </c>
      <c r="C10" s="42">
        <v>20926585.260000002</v>
      </c>
      <c r="D10" s="43" t="s">
        <v>179</v>
      </c>
    </row>
    <row r="11" spans="1:8" ht="15" customHeight="1" thickBot="1">
      <c r="A11" s="76" t="s">
        <v>198</v>
      </c>
      <c r="B11" s="77"/>
      <c r="C11" s="77"/>
      <c r="D11" s="78"/>
    </row>
    <row r="12" spans="1:8" ht="15" customHeight="1" thickBot="1">
      <c r="A12" s="39" t="s">
        <v>191</v>
      </c>
      <c r="B12" s="35">
        <v>14860.94</v>
      </c>
      <c r="C12" s="35">
        <v>758658.45</v>
      </c>
      <c r="D12" s="40" t="s">
        <v>178</v>
      </c>
    </row>
    <row r="13" spans="1:8" ht="15" customHeight="1" thickBot="1">
      <c r="A13" s="39" t="s">
        <v>192</v>
      </c>
      <c r="B13" s="35">
        <v>7474.69</v>
      </c>
      <c r="C13" s="35">
        <v>385117.62</v>
      </c>
      <c r="D13" s="40" t="s">
        <v>178</v>
      </c>
    </row>
    <row r="14" spans="1:8" ht="15" customHeight="1" thickBot="1">
      <c r="A14" s="39" t="s">
        <v>193</v>
      </c>
      <c r="B14" s="35">
        <v>3164.89</v>
      </c>
      <c r="C14" s="35">
        <v>163053.82999999999</v>
      </c>
      <c r="D14" s="40" t="s">
        <v>178</v>
      </c>
    </row>
    <row r="15" spans="1:8" ht="15" customHeight="1" thickBot="1">
      <c r="A15" s="39" t="s">
        <v>199</v>
      </c>
      <c r="B15" s="35">
        <v>1676.42</v>
      </c>
      <c r="C15" s="35">
        <v>83634.19</v>
      </c>
      <c r="D15" s="40" t="s">
        <v>178</v>
      </c>
    </row>
    <row r="16" spans="1:8" ht="15" customHeight="1" thickBot="1">
      <c r="A16" s="39" t="s">
        <v>200</v>
      </c>
      <c r="B16" s="35">
        <v>14480.73</v>
      </c>
      <c r="C16" s="35">
        <v>742660.76</v>
      </c>
      <c r="D16" s="40" t="s">
        <v>178</v>
      </c>
      <c r="H16" s="45"/>
    </row>
    <row r="17" spans="1:7" ht="15" customHeight="1" thickBot="1">
      <c r="A17" s="39" t="s">
        <v>195</v>
      </c>
      <c r="B17" s="35">
        <v>1687.83</v>
      </c>
      <c r="C17" s="35">
        <v>86962.04</v>
      </c>
      <c r="D17" s="40" t="s">
        <v>178</v>
      </c>
    </row>
    <row r="18" spans="1:7" ht="15" customHeight="1" thickBot="1">
      <c r="A18" s="39" t="s">
        <v>201</v>
      </c>
      <c r="B18" s="35">
        <v>11833.76</v>
      </c>
      <c r="C18" s="35">
        <v>1183375.6100000001</v>
      </c>
      <c r="D18" s="40" t="s">
        <v>178</v>
      </c>
    </row>
    <row r="19" spans="1:7" ht="15" customHeight="1" thickBot="1">
      <c r="A19" s="41" t="s">
        <v>197</v>
      </c>
      <c r="B19" s="42">
        <v>55179.26</v>
      </c>
      <c r="C19" s="42">
        <v>3403462.5</v>
      </c>
      <c r="D19" s="43" t="s">
        <v>178</v>
      </c>
    </row>
    <row r="20" spans="1:7" ht="15" customHeight="1" thickBot="1">
      <c r="A20" s="73" t="s">
        <v>202</v>
      </c>
      <c r="B20" s="74"/>
      <c r="C20" s="74"/>
      <c r="D20" s="75"/>
    </row>
    <row r="21" spans="1:7" ht="15" customHeight="1" thickBot="1">
      <c r="A21" s="39" t="s">
        <v>180</v>
      </c>
      <c r="B21" s="36">
        <v>59920</v>
      </c>
      <c r="C21" s="36">
        <v>5992000</v>
      </c>
      <c r="D21" s="40" t="s">
        <v>179</v>
      </c>
      <c r="G21" s="44"/>
    </row>
    <row r="22" spans="1:7" ht="15" customHeight="1" thickBot="1">
      <c r="A22" s="39" t="s">
        <v>182</v>
      </c>
      <c r="B22" s="36">
        <v>67568</v>
      </c>
      <c r="C22" s="36">
        <v>6756800</v>
      </c>
      <c r="D22" s="40" t="s">
        <v>179</v>
      </c>
    </row>
    <row r="23" spans="1:7" ht="15" customHeight="1" thickBot="1">
      <c r="A23" s="39" t="s">
        <v>203</v>
      </c>
      <c r="B23" s="35">
        <v>15298.08</v>
      </c>
      <c r="C23" s="36">
        <v>1529808</v>
      </c>
      <c r="D23" s="40" t="s">
        <v>179</v>
      </c>
    </row>
    <row r="24" spans="1:7" ht="15" customHeight="1" thickBot="1">
      <c r="A24" s="39" t="s">
        <v>204</v>
      </c>
      <c r="B24" s="35">
        <v>35695.519999999997</v>
      </c>
      <c r="C24" s="36">
        <v>3569552</v>
      </c>
      <c r="D24" s="40" t="s">
        <v>179</v>
      </c>
    </row>
    <row r="25" spans="1:7" ht="15" customHeight="1" thickBot="1">
      <c r="A25" s="39" t="s">
        <v>205</v>
      </c>
      <c r="B25" s="35">
        <v>19037.61</v>
      </c>
      <c r="C25" s="35">
        <v>1903761.07</v>
      </c>
      <c r="D25" s="40" t="s">
        <v>179</v>
      </c>
    </row>
    <row r="26" spans="1:7" ht="15" customHeight="1" thickBot="1">
      <c r="A26" s="39" t="s">
        <v>206</v>
      </c>
      <c r="B26" s="35">
        <v>4759.3999999999996</v>
      </c>
      <c r="C26" s="35">
        <v>475940.27</v>
      </c>
      <c r="D26" s="40" t="s">
        <v>179</v>
      </c>
    </row>
    <row r="27" spans="1:7" ht="15" customHeight="1" thickBot="1">
      <c r="A27" s="39" t="s">
        <v>207</v>
      </c>
      <c r="B27" s="35">
        <v>35695.519999999997</v>
      </c>
      <c r="C27" s="36">
        <v>3569552</v>
      </c>
      <c r="D27" s="40" t="s">
        <v>179</v>
      </c>
    </row>
    <row r="28" spans="1:7" ht="15" customHeight="1" thickBot="1">
      <c r="A28" s="41" t="s">
        <v>197</v>
      </c>
      <c r="B28" s="42">
        <f>SUM(B21:B27)</f>
        <v>237974.12999999995</v>
      </c>
      <c r="C28" s="42">
        <f>SUM(C21:C27)</f>
        <v>23797413.34</v>
      </c>
      <c r="D28" s="43" t="s">
        <v>179</v>
      </c>
    </row>
    <row r="29" spans="1:7" ht="15" customHeight="1" thickBot="1">
      <c r="A29" s="76" t="s">
        <v>208</v>
      </c>
      <c r="B29" s="77"/>
      <c r="C29" s="77"/>
      <c r="D29" s="78"/>
    </row>
    <row r="30" spans="1:7" ht="15" customHeight="1" thickBot="1">
      <c r="A30" s="39" t="s">
        <v>200</v>
      </c>
      <c r="B30" s="40">
        <v>5.04</v>
      </c>
      <c r="C30" s="40">
        <v>504</v>
      </c>
      <c r="D30" s="40" t="s">
        <v>178</v>
      </c>
    </row>
    <row r="31" spans="1:7" ht="15" customHeight="1" thickBot="1">
      <c r="A31" s="39" t="s">
        <v>209</v>
      </c>
      <c r="B31" s="35">
        <v>5108.47</v>
      </c>
      <c r="C31" s="35">
        <v>510846.6</v>
      </c>
      <c r="D31" s="40" t="s">
        <v>178</v>
      </c>
    </row>
    <row r="32" spans="1:7" ht="15" customHeight="1" thickBot="1">
      <c r="A32" s="39" t="s">
        <v>210</v>
      </c>
      <c r="B32" s="35">
        <v>7151.85</v>
      </c>
      <c r="C32" s="35">
        <v>715182.24</v>
      </c>
      <c r="D32" s="40" t="s">
        <v>178</v>
      </c>
    </row>
    <row r="33" spans="1:4" ht="15" customHeight="1" thickBot="1">
      <c r="A33" s="41" t="s">
        <v>197</v>
      </c>
      <c r="B33" s="42">
        <v>12265.36</v>
      </c>
      <c r="C33" s="42">
        <v>1226535.8400000001</v>
      </c>
      <c r="D33" s="43" t="s">
        <v>178</v>
      </c>
    </row>
  </sheetData>
  <mergeCells count="4">
    <mergeCell ref="A3:D3"/>
    <mergeCell ref="A11:D11"/>
    <mergeCell ref="A20:D20"/>
    <mergeCell ref="A29:D29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64D8-825B-419A-AEAF-8A9CD78E7B95}">
  <dimension ref="A1:FT101"/>
  <sheetViews>
    <sheetView topLeftCell="CX1" zoomScale="85" zoomScaleNormal="85" workbookViewId="0">
      <selection activeCell="EQ3" sqref="EQ3"/>
    </sheetView>
  </sheetViews>
  <sheetFormatPr defaultRowHeight="15"/>
  <cols>
    <col min="39" max="39" width="15.7109375" customWidth="1"/>
    <col min="40" max="40" width="15" customWidth="1"/>
    <col min="43" max="43" width="14.28515625" customWidth="1"/>
    <col min="63" max="63" width="22.28515625" customWidth="1"/>
    <col min="64" max="64" width="23.5703125" customWidth="1"/>
    <col min="66" max="66" width="23.140625" bestFit="1" customWidth="1"/>
    <col min="67" max="67" width="18.7109375" customWidth="1"/>
    <col min="69" max="69" width="17.5703125" customWidth="1"/>
    <col min="70" max="70" width="13.140625" customWidth="1"/>
    <col min="71" max="71" width="13.7109375" customWidth="1"/>
    <col min="72" max="72" width="19.140625" customWidth="1"/>
    <col min="73" max="73" width="16.7109375" customWidth="1"/>
    <col min="74" max="74" width="28.7109375" customWidth="1"/>
    <col min="75" max="75" width="28.140625" customWidth="1"/>
    <col min="76" max="76" width="17" customWidth="1"/>
    <col min="77" max="77" width="19.85546875" customWidth="1"/>
    <col min="78" max="78" width="23.28515625" customWidth="1"/>
    <col min="83" max="83" width="14" customWidth="1"/>
    <col min="84" max="84" width="14.28515625" customWidth="1"/>
    <col min="88" max="88" width="12.7109375" customWidth="1"/>
    <col min="90" max="90" width="8.85546875" customWidth="1"/>
    <col min="91" max="91" width="24" customWidth="1"/>
    <col min="92" max="92" width="10" bestFit="1" customWidth="1"/>
    <col min="94" max="94" width="15.42578125" customWidth="1"/>
    <col min="95" max="95" width="14.28515625" customWidth="1"/>
    <col min="97" max="97" width="10" bestFit="1" customWidth="1"/>
    <col min="100" max="100" width="14.140625" customWidth="1"/>
    <col min="101" max="101" width="14.42578125" customWidth="1"/>
    <col min="107" max="107" width="15.5703125" customWidth="1"/>
    <col min="108" max="108" width="14.28515625" customWidth="1"/>
    <col min="110" max="110" width="19.85546875" customWidth="1"/>
    <col min="111" max="111" width="27.5703125" customWidth="1"/>
    <col min="113" max="113" width="14.5703125" customWidth="1"/>
    <col min="115" max="115" width="12" bestFit="1" customWidth="1"/>
    <col min="120" max="120" width="12" bestFit="1" customWidth="1"/>
    <col min="121" max="121" width="18.85546875" customWidth="1"/>
    <col min="127" max="127" width="19.42578125" customWidth="1"/>
    <col min="128" max="128" width="13.28515625" customWidth="1"/>
    <col min="129" max="129" width="13.42578125" customWidth="1"/>
    <col min="130" max="130" width="18.85546875" customWidth="1"/>
    <col min="131" max="131" width="13.85546875" customWidth="1"/>
    <col min="132" max="132" width="22.28515625" customWidth="1"/>
    <col min="133" max="133" width="19.5703125" customWidth="1"/>
    <col min="135" max="135" width="18.28515625" customWidth="1"/>
    <col min="136" max="136" width="20.85546875" customWidth="1"/>
    <col min="143" max="143" width="17.7109375" customWidth="1"/>
    <col min="144" max="144" width="13" customWidth="1"/>
    <col min="146" max="146" width="15.140625" customWidth="1"/>
    <col min="147" max="147" width="18.28515625" customWidth="1"/>
    <col min="148" max="148" width="10.140625" customWidth="1"/>
    <col min="149" max="149" width="8.85546875" bestFit="1" customWidth="1"/>
    <col min="155" max="155" width="15" customWidth="1"/>
    <col min="162" max="162" width="13.7109375" customWidth="1"/>
    <col min="163" max="163" width="8.7109375" customWidth="1"/>
    <col min="165" max="165" width="8.42578125" customWidth="1"/>
    <col min="166" max="166" width="10.28515625" customWidth="1"/>
    <col min="167" max="167" width="8.5703125" customWidth="1"/>
    <col min="168" max="168" width="22.5703125" customWidth="1"/>
    <col min="169" max="169" width="19.5703125" customWidth="1"/>
    <col min="170" max="170" width="19.42578125" customWidth="1"/>
    <col min="171" max="171" width="18.85546875" customWidth="1"/>
    <col min="172" max="172" width="22.85546875" customWidth="1"/>
    <col min="174" max="174" width="23.42578125" customWidth="1"/>
    <col min="175" max="175" width="19" customWidth="1"/>
  </cols>
  <sheetData>
    <row r="1" spans="1:176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  <c r="O1" t="s">
        <v>275</v>
      </c>
      <c r="P1" t="s">
        <v>276</v>
      </c>
      <c r="Q1" t="s">
        <v>277</v>
      </c>
      <c r="R1" t="s">
        <v>278</v>
      </c>
      <c r="S1" t="s">
        <v>279</v>
      </c>
      <c r="T1" t="s">
        <v>280</v>
      </c>
      <c r="U1" t="s">
        <v>281</v>
      </c>
      <c r="V1" t="s">
        <v>282</v>
      </c>
      <c r="W1" t="s">
        <v>283</v>
      </c>
      <c r="X1" t="s">
        <v>284</v>
      </c>
      <c r="Y1" t="s">
        <v>285</v>
      </c>
      <c r="Z1" t="s">
        <v>286</v>
      </c>
      <c r="AA1" t="s">
        <v>287</v>
      </c>
      <c r="AB1" t="s">
        <v>288</v>
      </c>
      <c r="AC1" t="s">
        <v>289</v>
      </c>
      <c r="AD1" t="s">
        <v>290</v>
      </c>
      <c r="AE1" t="s">
        <v>291</v>
      </c>
      <c r="AF1" t="s">
        <v>292</v>
      </c>
      <c r="AG1" t="s">
        <v>293</v>
      </c>
      <c r="AH1" t="s">
        <v>294</v>
      </c>
      <c r="AI1" t="s">
        <v>295</v>
      </c>
      <c r="AJ1" t="s">
        <v>296</v>
      </c>
      <c r="AK1" t="s">
        <v>297</v>
      </c>
      <c r="AL1" t="s">
        <v>298</v>
      </c>
      <c r="AM1" t="s">
        <v>299</v>
      </c>
      <c r="AN1" t="s">
        <v>300</v>
      </c>
      <c r="AO1" t="s">
        <v>301</v>
      </c>
      <c r="AP1" t="s">
        <v>302</v>
      </c>
      <c r="AQ1" t="s">
        <v>303</v>
      </c>
      <c r="AR1" t="s">
        <v>304</v>
      </c>
      <c r="AS1" t="s">
        <v>305</v>
      </c>
      <c r="AT1" t="s">
        <v>306</v>
      </c>
      <c r="AU1" t="s">
        <v>307</v>
      </c>
      <c r="AV1" t="s">
        <v>308</v>
      </c>
      <c r="AW1" t="s">
        <v>309</v>
      </c>
      <c r="AX1" t="s">
        <v>310</v>
      </c>
      <c r="AY1" t="s">
        <v>311</v>
      </c>
      <c r="AZ1" t="s">
        <v>312</v>
      </c>
      <c r="BA1" t="s">
        <v>313</v>
      </c>
      <c r="BB1" t="s">
        <v>314</v>
      </c>
      <c r="BC1" t="s">
        <v>315</v>
      </c>
      <c r="BD1" t="s">
        <v>316</v>
      </c>
      <c r="BE1" t="s">
        <v>317</v>
      </c>
      <c r="BF1" t="s">
        <v>318</v>
      </c>
      <c r="BG1" t="s">
        <v>319</v>
      </c>
      <c r="BH1" t="s">
        <v>320</v>
      </c>
      <c r="BI1" t="s">
        <v>321</v>
      </c>
      <c r="BJ1" t="s">
        <v>322</v>
      </c>
      <c r="BK1" t="s">
        <v>324</v>
      </c>
      <c r="BL1" t="s">
        <v>325</v>
      </c>
      <c r="BM1" t="s">
        <v>326</v>
      </c>
      <c r="BN1" t="s">
        <v>327</v>
      </c>
      <c r="BO1" t="s">
        <v>328</v>
      </c>
      <c r="BP1" t="s">
        <v>329</v>
      </c>
      <c r="BQ1" t="s">
        <v>330</v>
      </c>
      <c r="BR1" t="s">
        <v>331</v>
      </c>
      <c r="BS1" t="s">
        <v>332</v>
      </c>
      <c r="BT1" t="s">
        <v>333</v>
      </c>
      <c r="BU1" t="s">
        <v>334</v>
      </c>
      <c r="BV1" t="s">
        <v>337</v>
      </c>
      <c r="BW1" t="s">
        <v>336</v>
      </c>
      <c r="BX1" t="s">
        <v>335</v>
      </c>
      <c r="BY1" t="s">
        <v>338</v>
      </c>
      <c r="BZ1" t="s">
        <v>339</v>
      </c>
      <c r="CA1" s="54" t="s">
        <v>340</v>
      </c>
      <c r="CB1" s="54" t="s">
        <v>220</v>
      </c>
      <c r="CC1" s="54" t="s">
        <v>219</v>
      </c>
      <c r="CD1" s="54" t="s">
        <v>341</v>
      </c>
      <c r="CE1" s="55" t="s">
        <v>346</v>
      </c>
      <c r="CF1" s="55" t="s">
        <v>347</v>
      </c>
      <c r="CG1" t="s">
        <v>342</v>
      </c>
      <c r="CH1" t="s">
        <v>343</v>
      </c>
      <c r="CI1" t="s">
        <v>344</v>
      </c>
      <c r="CJ1" t="s">
        <v>331</v>
      </c>
      <c r="CK1" t="s">
        <v>345</v>
      </c>
      <c r="CL1" t="s">
        <v>333</v>
      </c>
      <c r="CM1" t="s">
        <v>334</v>
      </c>
      <c r="CN1" t="s">
        <v>337</v>
      </c>
      <c r="CO1" t="s">
        <v>336</v>
      </c>
      <c r="CP1" t="s">
        <v>335</v>
      </c>
      <c r="CQ1" t="s">
        <v>338</v>
      </c>
      <c r="CR1" t="s">
        <v>339</v>
      </c>
      <c r="CS1" s="54" t="s">
        <v>340</v>
      </c>
      <c r="CT1" s="54" t="s">
        <v>220</v>
      </c>
      <c r="CU1" s="54" t="s">
        <v>219</v>
      </c>
      <c r="CV1" s="54" t="s">
        <v>341</v>
      </c>
      <c r="CW1" s="55" t="s">
        <v>346</v>
      </c>
      <c r="CX1" s="55" t="s">
        <v>347</v>
      </c>
      <c r="CY1" s="55" t="s">
        <v>348</v>
      </c>
      <c r="CZ1" s="55" t="s">
        <v>349</v>
      </c>
      <c r="DA1" s="54" t="s">
        <v>350</v>
      </c>
      <c r="DB1" s="54" t="s">
        <v>351</v>
      </c>
      <c r="DC1" s="54" t="s">
        <v>352</v>
      </c>
      <c r="DD1" s="54" t="s">
        <v>353</v>
      </c>
      <c r="DE1" s="72" t="s">
        <v>355</v>
      </c>
      <c r="DK1" s="55" t="s">
        <v>356</v>
      </c>
      <c r="DL1" s="55" t="s">
        <v>357</v>
      </c>
      <c r="DM1" s="55" t="s">
        <v>358</v>
      </c>
      <c r="DN1" s="55" t="s">
        <v>359</v>
      </c>
      <c r="DO1" s="55" t="s">
        <v>360</v>
      </c>
      <c r="DP1" s="54" t="s">
        <v>361</v>
      </c>
      <c r="DQ1" s="55" t="s">
        <v>363</v>
      </c>
      <c r="DR1" s="55" t="s">
        <v>364</v>
      </c>
      <c r="DS1" s="55" t="s">
        <v>365</v>
      </c>
      <c r="DT1" s="55" t="s">
        <v>366</v>
      </c>
      <c r="DU1" s="55" t="s">
        <v>367</v>
      </c>
      <c r="DV1" s="54" t="s">
        <v>362</v>
      </c>
      <c r="DW1" s="54" t="s">
        <v>373</v>
      </c>
      <c r="DX1" s="54" t="s">
        <v>374</v>
      </c>
      <c r="DY1" t="s">
        <v>385</v>
      </c>
      <c r="DZ1" t="s">
        <v>386</v>
      </c>
      <c r="EA1" t="s">
        <v>388</v>
      </c>
      <c r="EB1" t="s">
        <v>390</v>
      </c>
      <c r="EC1" t="s">
        <v>389</v>
      </c>
      <c r="ED1" t="s">
        <v>391</v>
      </c>
      <c r="EE1" t="s">
        <v>392</v>
      </c>
      <c r="EF1" t="s">
        <v>393</v>
      </c>
      <c r="EG1" t="s">
        <v>394</v>
      </c>
      <c r="EH1" t="s">
        <v>395</v>
      </c>
      <c r="EI1" t="s">
        <v>396</v>
      </c>
      <c r="EJ1" t="s">
        <v>397</v>
      </c>
      <c r="EK1" t="s">
        <v>398</v>
      </c>
      <c r="EL1" t="s">
        <v>399</v>
      </c>
      <c r="EM1" t="s">
        <v>400</v>
      </c>
      <c r="EN1" t="s">
        <v>401</v>
      </c>
      <c r="EO1" t="s">
        <v>402</v>
      </c>
      <c r="EP1" t="s">
        <v>403</v>
      </c>
      <c r="EQ1" s="56" t="s">
        <v>417</v>
      </c>
      <c r="ER1" s="56" t="s">
        <v>404</v>
      </c>
      <c r="ES1" t="s">
        <v>405</v>
      </c>
      <c r="ET1" t="s">
        <v>407</v>
      </c>
      <c r="EU1" t="s">
        <v>406</v>
      </c>
      <c r="EV1" t="s">
        <v>410</v>
      </c>
      <c r="EW1" t="s">
        <v>411</v>
      </c>
      <c r="EX1" s="56" t="s">
        <v>412</v>
      </c>
      <c r="EY1" t="s">
        <v>413</v>
      </c>
      <c r="EZ1" t="s">
        <v>408</v>
      </c>
      <c r="FA1" t="s">
        <v>409</v>
      </c>
      <c r="FB1" t="s">
        <v>416</v>
      </c>
      <c r="FC1" t="s">
        <v>415</v>
      </c>
      <c r="FD1" s="56" t="s">
        <v>414</v>
      </c>
      <c r="FE1" s="56" t="s">
        <v>418</v>
      </c>
      <c r="FF1" s="56" t="s">
        <v>419</v>
      </c>
      <c r="FG1" s="54" t="s">
        <v>420</v>
      </c>
      <c r="FH1" s="54" t="s">
        <v>421</v>
      </c>
      <c r="FI1" s="54" t="s">
        <v>422</v>
      </c>
      <c r="FJ1" s="54" t="s">
        <v>423</v>
      </c>
      <c r="FK1" s="54" t="s">
        <v>424</v>
      </c>
      <c r="FL1" s="54" t="s">
        <v>428</v>
      </c>
      <c r="FM1" s="54" t="s">
        <v>425</v>
      </c>
      <c r="FN1" s="54" t="s">
        <v>426</v>
      </c>
      <c r="FO1" s="54" t="s">
        <v>427</v>
      </c>
      <c r="FP1" s="54"/>
      <c r="FQ1" s="56"/>
      <c r="FR1" s="56"/>
      <c r="FS1" s="54"/>
      <c r="FT1" s="54"/>
    </row>
    <row r="2" spans="1:176">
      <c r="A2">
        <v>3</v>
      </c>
      <c r="B2">
        <v>1.54143585092054E-3</v>
      </c>
      <c r="C2">
        <v>1.54143585092054E-3</v>
      </c>
      <c r="D2">
        <v>3.4254130020456501E-4</v>
      </c>
      <c r="E2">
        <v>0</v>
      </c>
      <c r="F2">
        <v>0</v>
      </c>
      <c r="G2">
        <v>0</v>
      </c>
      <c r="H2" s="53">
        <v>1.6300358850230801E-5</v>
      </c>
      <c r="I2" s="53">
        <v>7.4474859607128495E-7</v>
      </c>
      <c r="J2">
        <v>3.2385704147932398E-4</v>
      </c>
      <c r="K2">
        <v>8.07271092797512E-2</v>
      </c>
      <c r="L2">
        <v>8.15504849440159E-2</v>
      </c>
      <c r="M2">
        <v>9.8897848995466706E-4</v>
      </c>
      <c r="N2" s="53">
        <v>-9.8011876392689601E-17</v>
      </c>
      <c r="O2" s="53">
        <v>1.94289029309402E-16</v>
      </c>
      <c r="P2" s="53">
        <v>-4.3537493488870999E-18</v>
      </c>
      <c r="Q2">
        <v>0.18892482409907799</v>
      </c>
      <c r="R2">
        <v>94.545399718491396</v>
      </c>
      <c r="S2">
        <v>500</v>
      </c>
      <c r="T2">
        <v>95</v>
      </c>
      <c r="U2">
        <v>1</v>
      </c>
      <c r="V2">
        <v>0.1</v>
      </c>
      <c r="W2">
        <v>52.931106580020597</v>
      </c>
      <c r="X2" t="s">
        <v>323</v>
      </c>
      <c r="Y2">
        <v>1</v>
      </c>
      <c r="Z2">
        <v>0.28318429382522198</v>
      </c>
      <c r="AA2">
        <v>0.56945642916197003</v>
      </c>
      <c r="AB2">
        <v>3.7698628972227502E-3</v>
      </c>
      <c r="AC2">
        <v>1822.2107908876901</v>
      </c>
      <c r="AD2">
        <v>2662.6059073104898</v>
      </c>
      <c r="AE2">
        <v>2401.5030938442701</v>
      </c>
      <c r="AF2">
        <v>4</v>
      </c>
      <c r="AG2">
        <v>1.6455478770638001E-3</v>
      </c>
      <c r="AH2">
        <v>1.66233163271225E-3</v>
      </c>
      <c r="AI2" s="53">
        <v>2.0159416943409301E-5</v>
      </c>
      <c r="AJ2">
        <v>0</v>
      </c>
      <c r="AK2">
        <v>0</v>
      </c>
      <c r="AL2">
        <v>0</v>
      </c>
      <c r="AM2">
        <v>1.5983351284394301E-3</v>
      </c>
      <c r="AN2" s="53">
        <v>6.4131851460064998E-5</v>
      </c>
      <c r="AO2" s="53">
        <v>1.99910500367739E-5</v>
      </c>
      <c r="AP2">
        <v>2.04098585158686E-3</v>
      </c>
      <c r="AQ2">
        <v>6.9089456483383896E-2</v>
      </c>
      <c r="AR2" s="53">
        <v>7.2784255170584696E-6</v>
      </c>
      <c r="AS2" s="53">
        <v>-1.4297916149652499E-18</v>
      </c>
      <c r="AT2" s="53">
        <v>2.4286128663675299E-17</v>
      </c>
      <c r="AU2" s="53">
        <v>-3.7851784830426501E-21</v>
      </c>
      <c r="AV2">
        <v>0.21439625549974001</v>
      </c>
      <c r="AW2">
        <v>99.164822538727407</v>
      </c>
      <c r="AX2">
        <v>500</v>
      </c>
      <c r="AY2">
        <v>95</v>
      </c>
      <c r="AZ2">
        <v>0.92682535301965796</v>
      </c>
      <c r="BA2">
        <v>0.1</v>
      </c>
      <c r="BB2">
        <v>43.229549455483898</v>
      </c>
      <c r="BC2" t="s">
        <v>251</v>
      </c>
      <c r="BD2">
        <v>1</v>
      </c>
      <c r="BE2">
        <v>1.8775014999999999E-2</v>
      </c>
      <c r="BF2">
        <v>0.10492961100000001</v>
      </c>
      <c r="BG2">
        <v>1.814625E-3</v>
      </c>
      <c r="BH2">
        <v>285.1951444</v>
      </c>
      <c r="BI2">
        <v>2169.8944889999998</v>
      </c>
      <c r="BJ2">
        <v>866.49409060000005</v>
      </c>
      <c r="BK2">
        <f t="shared" ref="BK2:BK33" si="0">U2*100</f>
        <v>100</v>
      </c>
      <c r="BL2">
        <f t="shared" ref="BL2:BL33" si="1">Q2*100</f>
        <v>18.892482409907799</v>
      </c>
      <c r="BM2">
        <f t="shared" ref="BM2:BM33" si="2">AZ2*100</f>
        <v>92.6825353019658</v>
      </c>
      <c r="BN2">
        <f t="shared" ref="BN2:BN33" si="3">AV2*100</f>
        <v>21.439625549974</v>
      </c>
      <c r="BO2">
        <f>0.6*1.2*BL2/2</f>
        <v>6.8012936675668074</v>
      </c>
      <c r="BP2">
        <f t="shared" ref="BP2:BP33" si="4">0.04*1.2*BL2/2</f>
        <v>0.45341957783778719</v>
      </c>
      <c r="BQ2">
        <f t="shared" ref="BQ2:BQ33" si="5">0.2*1.2*BL2/2</f>
        <v>2.267097889188936</v>
      </c>
      <c r="BR2">
        <f>0.1*1.2*BL2/2</f>
        <v>1.133548944594468</v>
      </c>
      <c r="BS2">
        <f t="shared" ref="BS2:BS33" si="6">V2*BL2</f>
        <v>1.88924824099078</v>
      </c>
      <c r="BT2">
        <f>0.6*BL2*1</f>
        <v>11.335489445944679</v>
      </c>
      <c r="BU2">
        <f t="shared" ref="BU2:BU33" si="7">1.6*BL2*1</f>
        <v>30.227971855852481</v>
      </c>
      <c r="BV2">
        <f>1*V2*BL2/0.2</f>
        <v>9.4462412049538997</v>
      </c>
      <c r="BW2">
        <f t="shared" ref="BW2:BW33" si="8">BM2-BV2</f>
        <v>83.236294097011893</v>
      </c>
      <c r="BX2">
        <f>(SUM(BV2:BW2)+BL2)*1</f>
        <v>111.5750177118736</v>
      </c>
      <c r="BY2">
        <f>BM2</f>
        <v>92.6825353019658</v>
      </c>
      <c r="BZ2">
        <f>BL2*0.1*1.4</f>
        <v>2.6449475373870919</v>
      </c>
      <c r="CA2">
        <f>7963.6*(BT2/1000)^0.6*1.7*('CAPEX+OPEX'!$G$116/'CAPEX+OPEX'!$G$115)</f>
        <v>1086.1882339348488</v>
      </c>
      <c r="CB2">
        <f>7963.6*(BU2/1000)^0.6*1.7*('CAPEX+OPEX'!$G$116/'CAPEX+OPEX'!$G$115)</f>
        <v>1956.5291978096809</v>
      </c>
      <c r="CC2">
        <f>7963.6*(BX2/1000)^0.6*1.7*('CAPEX+OPEX'!$G$116/'CAPEX+OPEX'!$G$115)</f>
        <v>4283.3257744249922</v>
      </c>
      <c r="CD2">
        <f>7963.6*(BY2/1000)^0.6*1.7*('CAPEX+OPEX'!$G$116/'CAPEX+OPEX'!$G$115)</f>
        <v>3832.125036591081</v>
      </c>
      <c r="CE2">
        <v>300</v>
      </c>
      <c r="CF2">
        <v>30</v>
      </c>
      <c r="CG2">
        <f t="shared" ref="CG2:CG33" si="9">0.6*1.2*BN2/2</f>
        <v>7.7182651979906396</v>
      </c>
      <c r="CH2">
        <f t="shared" ref="CH2:CH33" si="10">0.04*1.2*BN2/2</f>
        <v>0.51455101319937602</v>
      </c>
      <c r="CI2">
        <f t="shared" ref="CI2:CI33" si="11">0.2*1.2*BN2/2</f>
        <v>2.5727550659968799</v>
      </c>
      <c r="CJ2">
        <f t="shared" ref="CJ2:CJ33" si="12">0.1*1.2*BN2/2</f>
        <v>1.2863775329984399</v>
      </c>
      <c r="CK2">
        <f t="shared" ref="CK2:CK33" si="13">0.1*BN2</f>
        <v>2.1439625549974002</v>
      </c>
      <c r="CL2">
        <f t="shared" ref="CL2:CL33" si="14">0.6*BN2*1</f>
        <v>12.863775329984399</v>
      </c>
      <c r="CM2">
        <f>1.6*BN2*1</f>
        <v>34.303400879958403</v>
      </c>
      <c r="CN2">
        <f>1*BA2*BN2/0.2</f>
        <v>10.719812774987</v>
      </c>
      <c r="CO2">
        <v>0</v>
      </c>
      <c r="CP2">
        <f>(SUM(CN2:CO2)+BN2)*1</f>
        <v>32.159438324961002</v>
      </c>
      <c r="CQ2">
        <f>CN2</f>
        <v>10.719812774987</v>
      </c>
      <c r="CR2">
        <f>BN2*0.1*1.4</f>
        <v>3.00154757699636</v>
      </c>
      <c r="CS2">
        <f>7963.6*(CL2/1000)^0.6*1.7*('CAPEX+OPEX'!$G$116/'CAPEX+OPEX'!$G$115)</f>
        <v>1171.8229401081035</v>
      </c>
      <c r="CT2">
        <f>7963.6*(CM2/1000)^0.6*1.7*('CAPEX+OPEX'!$G$116/'CAPEX+OPEX'!$G$115)</f>
        <v>2110.7812857437088</v>
      </c>
      <c r="CU2">
        <f>7963.6*(CP2/1000)^0.6*1.7*('CAPEX+OPEX'!$G$116/'CAPEX+OPEX'!$G$115)</f>
        <v>2030.6075700670845</v>
      </c>
      <c r="CV2">
        <f>7963.6*(CQ2/1000)^0.6*1.7*('CAPEX+OPEX'!$G$116/'CAPEX+OPEX'!$G$115)</f>
        <v>1050.3964566558761</v>
      </c>
      <c r="CW2">
        <v>300</v>
      </c>
      <c r="CX2">
        <f t="shared" ref="CX2:CX33" si="15">0.1*CW2</f>
        <v>30</v>
      </c>
      <c r="CY2">
        <f t="shared" ref="CY2:CY33" si="16">0.1*BK2</f>
        <v>10</v>
      </c>
      <c r="CZ2">
        <f t="shared" ref="CZ2:CZ33" si="17">0.1*BM2</f>
        <v>9.2682535301965796</v>
      </c>
      <c r="DA2">
        <f>CE2*1.32*10</f>
        <v>3960</v>
      </c>
      <c r="DB2">
        <f t="shared" ref="DB2:DB33" si="18">CW2*1.32*10</f>
        <v>3960</v>
      </c>
      <c r="DC2">
        <f>CF2*'Reagent cost'!$C$18/1000*'Reagent cost'!$H$18</f>
        <v>4784.413580611521</v>
      </c>
      <c r="DD2">
        <f>CX2*'Ligand cost'!$B$56*'Ligand cost'!$J$56</f>
        <v>30543.831958072875</v>
      </c>
      <c r="DE2">
        <f>10000*1/3.78541*15</f>
        <v>39625.826528698344</v>
      </c>
      <c r="DF2">
        <f t="shared" ref="DF2:DF33" si="19">2510*(DE2^0.571)+89*DE2</f>
        <v>4586243.4239371875</v>
      </c>
      <c r="DG2">
        <f>4810*(DE2^0.6)+228*DE2</f>
        <v>11794834.586807497</v>
      </c>
      <c r="DH2">
        <f t="shared" ref="DH2:DH33" si="20">1030*(DE2^0.59)+44*DE2</f>
        <v>2275209.1661185985</v>
      </c>
      <c r="DI2">
        <f t="shared" ref="DI2:DI33" si="21">5640*(DE2^0.602)+272*DE2</f>
        <v>14083914.336508472</v>
      </c>
      <c r="DJ2">
        <f>688*(DE2^0.6)+32*DE2</f>
        <v>1662824.8986326549</v>
      </c>
      <c r="DK2" s="55">
        <f>DF2*($BK$2/10000)^0.72*0.6*((A2+1)/3)^0.6*('CAPEX+OPEX'!$G$116/'CAPEX+OPEX'!$G$114)</f>
        <v>277110.05868710927</v>
      </c>
      <c r="DL2" s="55">
        <f>DG2*($BK$2/10000)^0.72*0.6*((A2+1)/3)^0.6*('CAPEX+OPEX'!$G$116/'CAPEX+OPEX'!$G$114)</f>
        <v>712667.64592034358</v>
      </c>
      <c r="DM2" s="55">
        <f>DH2*($BK$2/10000)^0.72*0.6*((A2+1)/3)^0.6*('CAPEX+OPEX'!$G$116/'CAPEX+OPEX'!$G$114)</f>
        <v>137472.7172696206</v>
      </c>
      <c r="DN2" s="55">
        <f>DI2*($BK$2/10000)^0.72*0.6*((A2+1)/3)^0.6*('CAPEX+OPEX'!$G$116/'CAPEX+OPEX'!$G$114)</f>
        <v>850978.45176818396</v>
      </c>
      <c r="DO2" s="55">
        <f>DJ2*($BK$2/10000)^0.72*0.6*((A2+1)/3)^0.6*('CAPEX+OPEX'!$G$116/'CAPEX+OPEX'!$G$114)</f>
        <v>100471.2272448259</v>
      </c>
      <c r="DP2">
        <f>SUM(DK2:DO2)</f>
        <v>2078700.100890083</v>
      </c>
      <c r="DQ2">
        <f>DF2*(BM2/10000)^0.72*0.6*((AF2+1)/3)^0.6*('CAPEX+OPEX'!$G$116/'CAPEX+OPEX'!$G$114)</f>
        <v>299941.65945588856</v>
      </c>
      <c r="DR2">
        <f>DG2*(BM2/10000)^0.72*0.6*((AF2+1)/3)^0.6*('CAPEX+OPEX'!$G$116/'CAPEX+OPEX'!$G$114)</f>
        <v>771385.62696213368</v>
      </c>
      <c r="DS2">
        <f>DH2*(BM2/10000)^0.72*0.6*((AF2+1)/3)^0.6*('CAPEX+OPEX'!$G$116/'CAPEX+OPEX'!$G$114)</f>
        <v>148799.34399753471</v>
      </c>
      <c r="DT2">
        <f>DI2*(BM2/10000)^0.72*0.6*((AF2+1)/3)^0.6*('CAPEX+OPEX'!$G$116/'CAPEX+OPEX'!$G$114)</f>
        <v>921092.11117721675</v>
      </c>
      <c r="DU2">
        <f>DJ2*(BM2/10000)^0.72*0.6*((AF2+1)/3)^0.6*('CAPEX+OPEX'!$G$116/'CAPEX+OPEX'!$G$114)</f>
        <v>108749.23404137195</v>
      </c>
      <c r="DV2">
        <f>SUM(DQ2:DU2)</f>
        <v>2249967.9756341456</v>
      </c>
      <c r="DW2">
        <f>DV2+DP2+SUM(DA2:DD2)*1.15+SUM(CS2:CV2)*1.15+SUM(CA2:CD2)*1.15</f>
        <v>4398553.6018633517</v>
      </c>
      <c r="DX2">
        <f>DW2/15</f>
        <v>293236.90679089009</v>
      </c>
      <c r="DY2">
        <f>BO2*'Reagent cost'!$C$35*60*7200</f>
        <v>1761651.8898019071</v>
      </c>
      <c r="DZ2">
        <f>BP2*'Reagent cost'!$C$34*60*7200</f>
        <v>419179.29009205382</v>
      </c>
      <c r="EA2">
        <f>BQ2*'Reagent cost'!$C$14*'Reagent cost'!$C$36/1000*60*7200</f>
        <v>6948241.5262185261</v>
      </c>
      <c r="EB2">
        <f t="shared" ref="EB2:EB33" si="22">DA2*0.01</f>
        <v>39.6</v>
      </c>
      <c r="EC2">
        <f t="shared" ref="EC2:EC33" si="23">DC2*0.02</f>
        <v>95.688271612230423</v>
      </c>
      <c r="ED2">
        <f>0.1*BK2*60*7200*'Reagent cost'!$H$17*'Reagent cost'!$C$17/1000</f>
        <v>504921.59999999998</v>
      </c>
      <c r="EE2">
        <f>BV2*0.1*'Reagent cost'!$C$16/1000*'Reagent cost'!$H$16*60*7200</f>
        <v>1723679.0593461264</v>
      </c>
      <c r="EF2">
        <f>BZ2/1000*'Reagent cost'!$H$19*'Reagent cost'!$C$19*60*7200</f>
        <v>144826.74735716759</v>
      </c>
      <c r="EG2">
        <f>0.33*('Costing 100 Lmin Feed Orig'!BO2*'Reagent cost'!$C$13+'Costing 100 Lmin Feed Orig'!BP2*'Reagent cost'!$C$12+'Costing 100 Lmin Feed Orig'!BQ2*'Reagent cost'!$C$14+'Costing 100 Lmin Feed Orig'!BV2*0.1*'Reagent cost'!$C$16+'Costing 100 Lmin Feed Orig'!BZ2*'Reagent cost'!$C$19)/1000*60*7200</f>
        <v>296311.85141479818</v>
      </c>
      <c r="EH2">
        <f>CG2*'Reagent cost'!$C$35*60*7200</f>
        <v>1999163.2675518407</v>
      </c>
      <c r="EI2">
        <f>CH2*'Reagent cost'!$C$34*60*7200</f>
        <v>475694.34354293614</v>
      </c>
      <c r="EJ2">
        <f>CI2*'Reagent cost'!$C$14*'Reagent cost'!$C$36/1000*60*7200</f>
        <v>7885025.0232220301</v>
      </c>
      <c r="EK2">
        <f t="shared" ref="EK2:EK33" si="24">DB2*0.01</f>
        <v>39.6</v>
      </c>
      <c r="EL2">
        <f t="shared" ref="EL2:EL33" si="25">DD2*0.02</f>
        <v>610.87663916145755</v>
      </c>
      <c r="EM2">
        <f>0.1*BM2*60*7200*'Reagent cost'!$H$17*'Reagent cost'!$C$17/1000</f>
        <v>467974.14016725059</v>
      </c>
      <c r="EN2">
        <f>CN2*0.1*'Reagent cost'!$C$16/1000*'Reagent cost'!$H$16*60*7200</f>
        <v>1956070.8221875601</v>
      </c>
      <c r="EO2">
        <f>CR2/1000*'Reagent cost'!$H$19*'Reagent cost'!$C$19*60*7200</f>
        <v>164352.73912601269</v>
      </c>
      <c r="EP2">
        <f>0.33*(CG2*'Reagent cost'!$C$13+CH2*'Reagent cost'!$C$12+CI2*'Reagent cost'!$C$14+CN2*0.1*'Reagent cost'!$C$16+CR2*'Reagent cost'!$C$19)/1000*60*7200</f>
        <v>336261.53527718486</v>
      </c>
      <c r="EQ2">
        <f>(SUM(DY2:EF2)+SUM(EH2:EO2))*1.2</f>
        <v>29341879.45622902</v>
      </c>
      <c r="ER2">
        <f>EG2+EP2</f>
        <v>632573.38669198309</v>
      </c>
      <c r="ES2">
        <f>0.499*((BK2/3.78541*15)^(-0.146))*BK2/3.78541*15*300*(1+(A2-2)/9)</f>
        <v>27520.276190787874</v>
      </c>
      <c r="ET2">
        <f>0.248*((BK2/3.78541*15)^(-0.144))*BK2/3.78541*15*300*(1+(A2-2)/3)</f>
        <v>16610.439588917834</v>
      </c>
      <c r="EU2">
        <f>0.105*((BK2/3.78541*15)^(-0.144))*BK2/3.78541*15*300*(1+(A2-2)/3)</f>
        <v>7032.645793695051</v>
      </c>
      <c r="EV2">
        <f>0.058*((BK2/3.78541*15)^(-0.151))*BK2/3.78541*15*300*(1+(A2-2)/3)</f>
        <v>3725.3886787897172</v>
      </c>
      <c r="EW2">
        <f>0.056*((BK2/3.78541*15)^(-0.144))*BK2/3.78541*15*300*(1+(A2-2)/3)</f>
        <v>3750.7444233040283</v>
      </c>
      <c r="EX2">
        <f>SUM(ES2:EW2)</f>
        <v>58639.494675494512</v>
      </c>
      <c r="EY2">
        <f>0.499*((BM2/3.78541*15)^(-0.146))*BM2/3.78541*15*300*(1+(AF2-2)/9)</f>
        <v>28370.153420241466</v>
      </c>
      <c r="EZ2">
        <f>0.248*((BM2/3.78541*15)^(-0.144))*BM2/3.78541*15*300*(1+(AF2-2)/3)</f>
        <v>19455.45293762091</v>
      </c>
      <c r="FA2">
        <f>0.105*((BM2/3.78541*15)^(-0.144))*BM2/3.78541*15*300*(1+(AF2-2)/3)</f>
        <v>8237.1877356862715</v>
      </c>
      <c r="FB2">
        <f>0.058*((BM2/3.78541*15)^(-0.151))*BM2/3.78541*15*300*(1+(AF2-2)/3)</f>
        <v>4365.7898317079243</v>
      </c>
      <c r="FC2">
        <f>0.056*((BM2/3.78541*15)^(-0.144))*BM2/3.78541*15*300*(1+(AF2-2)/3)</f>
        <v>4393.1667923660125</v>
      </c>
      <c r="FD2">
        <f>SUM(EY2:FC2)</f>
        <v>64821.750717622577</v>
      </c>
      <c r="FE2">
        <f>EQ2+ER2+EX2+FD2</f>
        <v>30097914.08831412</v>
      </c>
      <c r="FF2">
        <f>FE2+DX2</f>
        <v>30391150.99510501</v>
      </c>
      <c r="FG2">
        <f>BM2*AM2*195.08/1000*'PGM market prices'!$C$2*60*7200</f>
        <v>421097572.78642708</v>
      </c>
      <c r="FH2">
        <f>BN2*AQ2*BA2*106.42/1000*'PGM market prices'!$C$3*60*7200</f>
        <v>224245351.93178195</v>
      </c>
      <c r="FI2">
        <f>BK2*J2*102.91/1000*'PGM market prices'!$C$4*60*7200</f>
        <v>237485335.29232115</v>
      </c>
      <c r="FJ2">
        <f t="shared" ref="FJ2:FJ33" si="26">SUM(FG2:FI2)</f>
        <v>882828260.01053023</v>
      </c>
      <c r="FK2">
        <f t="shared" ref="FK2:FK33" si="27">(1-0.26)*(FJ2-FF2)</f>
        <v>630803460.67141461</v>
      </c>
      <c r="FL2">
        <f>FF2/(BK2*60*7200)</f>
        <v>0.7034988656274308</v>
      </c>
      <c r="FM2">
        <f>FF2/7200/60/(BM2*AM2*195.08/1000)</f>
        <v>2434.3605684516751</v>
      </c>
      <c r="FN2">
        <f>FF2/7200/60/(BN2*BA2*AQ2*106.42/1000)</f>
        <v>4462.838538460137</v>
      </c>
      <c r="FO2">
        <f>FF2/(J2*BK2*102.91/1000*60*7200)</f>
        <v>21108.262147248108</v>
      </c>
    </row>
    <row r="3" spans="1:176">
      <c r="A3">
        <v>3</v>
      </c>
      <c r="B3">
        <v>1.54143585092054E-3</v>
      </c>
      <c r="C3">
        <v>1.54143585092054E-3</v>
      </c>
      <c r="D3">
        <v>3.4254130020456501E-4</v>
      </c>
      <c r="E3">
        <v>0</v>
      </c>
      <c r="F3">
        <v>0</v>
      </c>
      <c r="G3">
        <v>0</v>
      </c>
      <c r="H3" s="53">
        <v>1.6300358850230801E-5</v>
      </c>
      <c r="I3" s="53">
        <v>7.4474859607128495E-7</v>
      </c>
      <c r="J3">
        <v>3.2385704147932398E-4</v>
      </c>
      <c r="K3">
        <v>8.07271092797512E-2</v>
      </c>
      <c r="L3">
        <v>8.15504849440159E-2</v>
      </c>
      <c r="M3">
        <v>9.8897848995466706E-4</v>
      </c>
      <c r="N3" s="53">
        <v>-9.8011876392689601E-17</v>
      </c>
      <c r="O3" s="53">
        <v>1.94289029309402E-16</v>
      </c>
      <c r="P3" s="53">
        <v>-4.3537493488870999E-18</v>
      </c>
      <c r="Q3">
        <v>0.18892482409907799</v>
      </c>
      <c r="R3">
        <v>94.545399718491396</v>
      </c>
      <c r="S3">
        <v>500</v>
      </c>
      <c r="T3">
        <v>95</v>
      </c>
      <c r="U3">
        <v>1</v>
      </c>
      <c r="V3">
        <v>0.1</v>
      </c>
      <c r="W3">
        <v>52.931106580020597</v>
      </c>
      <c r="X3" t="s">
        <v>323</v>
      </c>
      <c r="Y3">
        <v>1</v>
      </c>
      <c r="Z3">
        <v>0.28318429382522198</v>
      </c>
      <c r="AA3">
        <v>0.56945642916197003</v>
      </c>
      <c r="AB3">
        <v>3.7698628972227502E-3</v>
      </c>
      <c r="AC3">
        <v>1822.2107908876901</v>
      </c>
      <c r="AD3">
        <v>2662.6059073104898</v>
      </c>
      <c r="AE3">
        <v>2401.5030938442701</v>
      </c>
      <c r="AF3">
        <v>5</v>
      </c>
      <c r="AG3">
        <v>1.6455478770638001E-3</v>
      </c>
      <c r="AH3">
        <v>1.66233163271225E-3</v>
      </c>
      <c r="AI3" s="53">
        <v>2.0159416943409301E-5</v>
      </c>
      <c r="AJ3">
        <v>0</v>
      </c>
      <c r="AK3">
        <v>0</v>
      </c>
      <c r="AL3">
        <v>0</v>
      </c>
      <c r="AM3">
        <v>1.6052842060858799E-3</v>
      </c>
      <c r="AN3" s="53">
        <v>6.4473619347604606E-5</v>
      </c>
      <c r="AO3" s="53">
        <v>2.0015023078929502E-5</v>
      </c>
      <c r="AP3">
        <v>1.83001337116067E-3</v>
      </c>
      <c r="AQ3">
        <v>7.2623818410792906E-2</v>
      </c>
      <c r="AR3" s="53">
        <v>6.5628070240175303E-6</v>
      </c>
      <c r="AS3" s="53">
        <v>-1.0199428649750001E-15</v>
      </c>
      <c r="AT3" s="53">
        <v>-2.9988815250514499E-14</v>
      </c>
      <c r="AU3" s="53">
        <v>-1.2040043949627799E-18</v>
      </c>
      <c r="AV3">
        <v>0.20391867981453801</v>
      </c>
      <c r="AW3">
        <v>99.283739877571406</v>
      </c>
      <c r="AX3">
        <v>500</v>
      </c>
      <c r="AY3">
        <v>95</v>
      </c>
      <c r="AZ3">
        <v>0.92682535301965796</v>
      </c>
      <c r="BA3">
        <v>0.1</v>
      </c>
      <c r="BB3">
        <v>45.450733295379898</v>
      </c>
      <c r="BC3" t="s">
        <v>251</v>
      </c>
      <c r="BD3">
        <v>1</v>
      </c>
      <c r="BE3">
        <v>1.8775014999999999E-2</v>
      </c>
      <c r="BF3">
        <v>0.10492961100000001</v>
      </c>
      <c r="BG3">
        <v>1.814625E-3</v>
      </c>
      <c r="BH3">
        <v>285.1951444</v>
      </c>
      <c r="BI3">
        <v>2169.8944889999998</v>
      </c>
      <c r="BJ3">
        <v>866.49409060000005</v>
      </c>
      <c r="BK3">
        <f t="shared" si="0"/>
        <v>100</v>
      </c>
      <c r="BL3">
        <f t="shared" si="1"/>
        <v>18.892482409907799</v>
      </c>
      <c r="BM3">
        <f t="shared" si="2"/>
        <v>92.6825353019658</v>
      </c>
      <c r="BN3">
        <f t="shared" si="3"/>
        <v>20.3918679814538</v>
      </c>
      <c r="BO3">
        <f t="shared" ref="BO3:BO33" si="28">0.6*1.2*BL3/2</f>
        <v>6.8012936675668074</v>
      </c>
      <c r="BP3">
        <f t="shared" si="4"/>
        <v>0.45341957783778719</v>
      </c>
      <c r="BQ3">
        <f t="shared" si="5"/>
        <v>2.267097889188936</v>
      </c>
      <c r="BR3">
        <f t="shared" ref="BR3:BR33" si="29">0.1*1.2*BL3/2</f>
        <v>1.133548944594468</v>
      </c>
      <c r="BS3">
        <f t="shared" si="6"/>
        <v>1.88924824099078</v>
      </c>
      <c r="BT3">
        <f t="shared" ref="BT3:BT33" si="30">0.6*BL3*1</f>
        <v>11.335489445944679</v>
      </c>
      <c r="BU3">
        <f t="shared" si="7"/>
        <v>30.227971855852481</v>
      </c>
      <c r="BV3">
        <f t="shared" ref="BV3:BV66" si="31">1*V3*BL3/0.2</f>
        <v>9.4462412049538997</v>
      </c>
      <c r="BW3">
        <f t="shared" si="8"/>
        <v>83.236294097011893</v>
      </c>
      <c r="BX3">
        <f t="shared" ref="BX3:BX33" si="32">(SUM(BV3:BW3)+BL3)*1</f>
        <v>111.5750177118736</v>
      </c>
      <c r="BY3">
        <f t="shared" ref="BY3:BY66" si="33">BM3</f>
        <v>92.6825353019658</v>
      </c>
      <c r="BZ3">
        <f t="shared" ref="BZ3:BZ66" si="34">BL3*0.1*1.4</f>
        <v>2.6449475373870919</v>
      </c>
      <c r="CA3">
        <f>7963.6*(BT3/1000)^0.6*1.7*('CAPEX+OPEX'!$G$116/'CAPEX+OPEX'!$G$115)</f>
        <v>1086.1882339348488</v>
      </c>
      <c r="CB3">
        <f>7963.6*(BU3/1000)^0.6*1.7*('CAPEX+OPEX'!$G$116/'CAPEX+OPEX'!$G$115)</f>
        <v>1956.5291978096809</v>
      </c>
      <c r="CC3">
        <f>7963.6*(BX3/1000)^0.6*1.7*('CAPEX+OPEX'!$G$116/'CAPEX+OPEX'!$G$115)</f>
        <v>4283.3257744249922</v>
      </c>
      <c r="CD3">
        <f>7963.6*(BY3/1000)^0.6*1.7*('CAPEX+OPEX'!$G$116/'CAPEX+OPEX'!$G$115)</f>
        <v>3832.125036591081</v>
      </c>
      <c r="CE3">
        <v>300</v>
      </c>
      <c r="CF3">
        <v>30</v>
      </c>
      <c r="CG3">
        <f t="shared" si="9"/>
        <v>7.3410724733233677</v>
      </c>
      <c r="CH3">
        <f t="shared" si="10"/>
        <v>0.48940483155489117</v>
      </c>
      <c r="CI3">
        <f t="shared" si="11"/>
        <v>2.447024157774456</v>
      </c>
      <c r="CJ3">
        <f t="shared" si="12"/>
        <v>1.223512078887228</v>
      </c>
      <c r="CK3">
        <f t="shared" si="13"/>
        <v>2.03918679814538</v>
      </c>
      <c r="CL3">
        <f t="shared" si="14"/>
        <v>12.23512078887228</v>
      </c>
      <c r="CM3">
        <f t="shared" ref="CM3:CM33" si="35">1.6*BN3*1</f>
        <v>32.626988770326079</v>
      </c>
      <c r="CN3">
        <f t="shared" ref="CN3:CN66" si="36">1*BA3*BN3/0.2</f>
        <v>10.1959339907269</v>
      </c>
      <c r="CO3">
        <v>0</v>
      </c>
      <c r="CP3">
        <f t="shared" ref="CP3:CP33" si="37">(SUM(CN3:CO3)+BN3)*1</f>
        <v>30.587801972180699</v>
      </c>
      <c r="CQ3">
        <f t="shared" ref="CQ3:CQ66" si="38">CN3</f>
        <v>10.1959339907269</v>
      </c>
      <c r="CR3">
        <f t="shared" ref="CR3:CR66" si="39">BN3*0.1*1.4</f>
        <v>2.8548615174035317</v>
      </c>
      <c r="CS3">
        <f>7963.6*(CL3/1000)^0.6*1.7*('CAPEX+OPEX'!$G$116/'CAPEX+OPEX'!$G$115)</f>
        <v>1137.1189172850843</v>
      </c>
      <c r="CT3">
        <f>7963.6*(CM3/1000)^0.6*1.7*('CAPEX+OPEX'!$G$116/'CAPEX+OPEX'!$G$115)</f>
        <v>2048.2696217306334</v>
      </c>
      <c r="CU3">
        <f>7963.6*(CP3/1000)^0.6*1.7*('CAPEX+OPEX'!$G$116/'CAPEX+OPEX'!$G$115)</f>
        <v>1970.470283925798</v>
      </c>
      <c r="CV3">
        <f>7963.6*(CQ3/1000)^0.6*1.7*('CAPEX+OPEX'!$G$116/'CAPEX+OPEX'!$G$115)</f>
        <v>1019.2885295473304</v>
      </c>
      <c r="CW3">
        <v>300</v>
      </c>
      <c r="CX3">
        <f t="shared" si="15"/>
        <v>30</v>
      </c>
      <c r="CY3">
        <f t="shared" si="16"/>
        <v>10</v>
      </c>
      <c r="CZ3">
        <f t="shared" si="17"/>
        <v>9.2682535301965796</v>
      </c>
      <c r="DA3">
        <f t="shared" ref="DA3:DA33" si="40">CE3*1.32*10</f>
        <v>3960</v>
      </c>
      <c r="DB3">
        <f t="shared" si="18"/>
        <v>3960</v>
      </c>
      <c r="DC3">
        <f>CF3*'Reagent cost'!$C$18/1000*'Reagent cost'!$H$18</f>
        <v>4784.413580611521</v>
      </c>
      <c r="DD3">
        <f>CX3*'Ligand cost'!$B$56*'Ligand cost'!$J$56</f>
        <v>30543.831958072875</v>
      </c>
      <c r="DE3">
        <f t="shared" ref="DE3:DE33" si="41">10000*1/3.78541*15</f>
        <v>39625.826528698344</v>
      </c>
      <c r="DF3">
        <f t="shared" si="19"/>
        <v>4586243.4239371875</v>
      </c>
      <c r="DG3">
        <f t="shared" ref="DG3:DG33" si="42">4810*(DE3^0.6)+228*DE3</f>
        <v>11794834.586807497</v>
      </c>
      <c r="DH3">
        <f t="shared" si="20"/>
        <v>2275209.1661185985</v>
      </c>
      <c r="DI3">
        <f t="shared" si="21"/>
        <v>14083914.336508472</v>
      </c>
      <c r="DJ3">
        <f t="shared" ref="DJ3:DJ33" si="43">688*(DE3^0.6)+32*DE3</f>
        <v>1662824.8986326549</v>
      </c>
      <c r="DK3" s="55">
        <f>DF3*($BK$2/10000)^0.72*0.6*((A3+1)/3)^0.6*('CAPEX+OPEX'!$G$116/'CAPEX+OPEX'!$G$114)</f>
        <v>277110.05868710927</v>
      </c>
      <c r="DL3" s="55">
        <f>DG3*($BK$2/10000)^0.72*0.6*((A3+1)/3)^0.6*('CAPEX+OPEX'!$G$116/'CAPEX+OPEX'!$G$114)</f>
        <v>712667.64592034358</v>
      </c>
      <c r="DM3" s="55">
        <f>DH3*($BK$2/10000)^0.72*0.6*((A3+1)/3)^0.6*('CAPEX+OPEX'!$G$116/'CAPEX+OPEX'!$G$114)</f>
        <v>137472.7172696206</v>
      </c>
      <c r="DN3" s="55">
        <f>DI3*($BK$2/10000)^0.72*0.6*((A3+1)/3)^0.6*('CAPEX+OPEX'!$G$116/'CAPEX+OPEX'!$G$114)</f>
        <v>850978.45176818396</v>
      </c>
      <c r="DO3" s="55">
        <f>DJ3*($BK$2/10000)^0.72*0.6*((A3+1)/3)^0.6*('CAPEX+OPEX'!$G$116/'CAPEX+OPEX'!$G$114)</f>
        <v>100471.2272448259</v>
      </c>
      <c r="DP3">
        <f t="shared" ref="DP3:DP33" si="44">SUM(DK3:DO3)</f>
        <v>2078700.100890083</v>
      </c>
      <c r="DQ3">
        <f>DF3*(BM3/10000)^0.72*0.6*((AF3+1)/3)^0.6*('CAPEX+OPEX'!$G$116/'CAPEX+OPEX'!$G$114)</f>
        <v>334615.10177166539</v>
      </c>
      <c r="DR3">
        <f>DG3*(BM3/10000)^0.72*0.6*((AF3+1)/3)^0.6*('CAPEX+OPEX'!$G$116/'CAPEX+OPEX'!$G$114)</f>
        <v>860558.28503240913</v>
      </c>
      <c r="DS3">
        <f>DH3*(BM3/10000)^0.72*0.6*((AF3+1)/3)^0.6*('CAPEX+OPEX'!$G$116/'CAPEX+OPEX'!$G$114)</f>
        <v>166000.64067664018</v>
      </c>
      <c r="DT3">
        <f>DI3*(BM3/10000)^0.72*0.6*((AF3+1)/3)^0.6*('CAPEX+OPEX'!$G$116/'CAPEX+OPEX'!$G$114)</f>
        <v>1027570.9318997422</v>
      </c>
      <c r="DU3">
        <f>DJ3*(BM3/10000)^0.72*0.6*((AF3+1)/3)^0.6*('CAPEX+OPEX'!$G$116/'CAPEX+OPEX'!$G$114)</f>
        <v>121320.71310919705</v>
      </c>
      <c r="DV3">
        <f t="shared" ref="DV3:DV33" si="45">SUM(DQ3:DU3)</f>
        <v>2510065.6724896543</v>
      </c>
      <c r="DW3">
        <f t="shared" ref="DW2:DW33" si="46">DV3+DP3+SUM(DA3:DD3)*1.15+SUM(CS3:CV3)*1.15+SUM(CA3:CD3)*1.15</f>
        <v>4658434.5686837621</v>
      </c>
      <c r="DX3">
        <f t="shared" ref="DX3:DX33" si="47">DW3/15</f>
        <v>310562.30457891745</v>
      </c>
      <c r="DY3">
        <f>BO3*'Reagent cost'!$C$35*60*7200</f>
        <v>1761651.8898019071</v>
      </c>
      <c r="DZ3">
        <f>BP3*'Reagent cost'!$C$34*60*7200</f>
        <v>419179.29009205382</v>
      </c>
      <c r="EA3">
        <f>BQ3*'Reagent cost'!$C$14*'Reagent cost'!$C$36/1000*60*7200</f>
        <v>6948241.5262185261</v>
      </c>
      <c r="EB3">
        <f t="shared" si="22"/>
        <v>39.6</v>
      </c>
      <c r="EC3">
        <f t="shared" si="23"/>
        <v>95.688271612230423</v>
      </c>
      <c r="ED3">
        <f>0.1*BK3*60*7200*'Reagent cost'!$H$17*'Reagent cost'!$C$17/1000</f>
        <v>504921.59999999998</v>
      </c>
      <c r="EE3">
        <f>BV3*0.1*'Reagent cost'!$C$16/1000*'Reagent cost'!$H$16*60*7200</f>
        <v>1723679.0593461264</v>
      </c>
      <c r="EF3">
        <f>BZ3/1000*'Reagent cost'!$H$19*'Reagent cost'!$C$19*60*7200</f>
        <v>144826.74735716759</v>
      </c>
      <c r="EG3">
        <f>0.33*('Costing 100 Lmin Feed Orig'!BO3*'Reagent cost'!$C$13+'Costing 100 Lmin Feed Orig'!BP3*'Reagent cost'!$C$12+'Costing 100 Lmin Feed Orig'!BQ3*'Reagent cost'!$C$14+'Costing 100 Lmin Feed Orig'!BV3*0.1*'Reagent cost'!$C$16+'Costing 100 Lmin Feed Orig'!BZ3*'Reagent cost'!$C$19)/1000*60*7200</f>
        <v>296311.85141479818</v>
      </c>
      <c r="EH3">
        <f>CG3*'Reagent cost'!$C$35*60*7200</f>
        <v>1901463.8725972702</v>
      </c>
      <c r="EI3">
        <f>CH3*'Reagent cost'!$C$34*60*7200</f>
        <v>452447.09290473815</v>
      </c>
      <c r="EJ3">
        <f>CI3*'Reagent cost'!$C$14*'Reagent cost'!$C$36/1000*60*7200</f>
        <v>7499682.7220332837</v>
      </c>
      <c r="EK3">
        <f t="shared" si="24"/>
        <v>39.6</v>
      </c>
      <c r="EL3">
        <f t="shared" si="25"/>
        <v>610.87663916145755</v>
      </c>
      <c r="EM3">
        <f>0.1*BM3*60*7200*'Reagent cost'!$H$17*'Reagent cost'!$C$17/1000</f>
        <v>467974.14016725059</v>
      </c>
      <c r="EN3">
        <f>CN3*0.1*'Reagent cost'!$C$16/1000*'Reagent cost'!$H$16*60*7200</f>
        <v>1860477.3612042342</v>
      </c>
      <c r="EO3">
        <f>CR3/1000*'Reagent cost'!$H$19*'Reagent cost'!$C$19*60*7200</f>
        <v>156320.79724694777</v>
      </c>
      <c r="EP3">
        <f>0.33*(CG3*'Reagent cost'!$C$13+CH3*'Reagent cost'!$C$12+CI3*'Reagent cost'!$C$14+CN3*0.1*'Reagent cost'!$C$16+CR3*'Reagent cost'!$C$19)/1000*60*7200</f>
        <v>319828.38593100512</v>
      </c>
      <c r="EQ3">
        <f t="shared" ref="EQ3:EQ33" si="48">(SUM(DY3:EF3)+SUM(EH3:EO3))*1.2</f>
        <v>28609982.236656331</v>
      </c>
      <c r="ER3">
        <f t="shared" ref="ER3:ER33" si="49">EG3+EP3</f>
        <v>616140.2373458033</v>
      </c>
      <c r="ES3">
        <f t="shared" ref="ES2:ES33" si="50">0.499*((BK3/3.78541*15)^(-0.146))*BK3/3.78541*15*300*(1+(A3-2)/9)</f>
        <v>27520.276190787874</v>
      </c>
      <c r="ET3">
        <f t="shared" ref="ET2:ET33" si="51">0.248*((BK3/3.78541*15)^(-0.144))*BK3/3.78541*15*300*(1+(A3-2)/3)</f>
        <v>16610.439588917834</v>
      </c>
      <c r="EU3">
        <f t="shared" ref="EU2:EU33" si="52">0.105*((BK3/3.78541*15)^(-0.144))*BK3/3.78541*15*300*(1+(A3-2)/3)</f>
        <v>7032.645793695051</v>
      </c>
      <c r="EV3">
        <f t="shared" ref="EV2:EV33" si="53">0.058*((BK3/3.78541*15)^(-0.151))*BK3/3.78541*15*300*(1+(A3-2)/3)</f>
        <v>3725.3886787897172</v>
      </c>
      <c r="EW3">
        <f t="shared" ref="EW2:EW33" si="54">0.056*((BK3/3.78541*15)^(-0.144))*BK3/3.78541*15*300*(1+(A3-2)/3)</f>
        <v>3750.7444233040283</v>
      </c>
      <c r="EX3">
        <f t="shared" ref="EX3:EX33" si="55">SUM(ES3:EW3)</f>
        <v>58639.494675494512</v>
      </c>
      <c r="EY3">
        <f t="shared" ref="EY3:EY66" si="56">0.499*((BM3/3.78541*15)^(-0.146))*BM3/3.78541*15*300*(1+(AF3-2)/9)</f>
        <v>30949.25827662705</v>
      </c>
      <c r="EZ3">
        <f t="shared" ref="EZ3:EZ66" si="57">0.248*((BM3/3.78541*15)^(-0.144))*BM3/3.78541*15*300*(1+(AF3-2)/3)</f>
        <v>23346.543525145094</v>
      </c>
      <c r="FA3">
        <f t="shared" ref="FA3:FA66" si="58">0.105*((BM3/3.78541*15)^(-0.144))*BM3/3.78541*15*300*(1+(AF3-2)/3)</f>
        <v>9884.6252828235265</v>
      </c>
      <c r="FB3">
        <f t="shared" ref="FB3:FB66" si="59">0.058*((BM3/3.78541*15)^(-0.151))*BM3/3.78541*15*300*(1+(AF3-2)/3)</f>
        <v>5238.9477980495094</v>
      </c>
      <c r="FC3">
        <f t="shared" ref="FC3:FC66" si="60">0.056*((BM3/3.78541*15)^(-0.144))*BM3/3.78541*15*300*(1+(AF3-2)/3)</f>
        <v>5271.8001508392153</v>
      </c>
      <c r="FD3">
        <f t="shared" ref="FD3:FD33" si="61">SUM(EY3:FC3)</f>
        <v>74691.175033484411</v>
      </c>
      <c r="FE3">
        <f t="shared" ref="FE3:FE33" si="62">EQ3+ER3+EX3+FD3</f>
        <v>29359453.143711112</v>
      </c>
      <c r="FF3">
        <f t="shared" ref="FF3:FF33" si="63">FE3+DX3</f>
        <v>29670015.448290031</v>
      </c>
      <c r="FG3">
        <f>BM3*AM3*195.08/1000*'PGM market prices'!$C$2*60*7200</f>
        <v>422928377.6520384</v>
      </c>
      <c r="FH3">
        <f>BN3*AQ3*BA3*106.42/1000*'PGM market prices'!$C$3*60*7200</f>
        <v>224197398.06903037</v>
      </c>
      <c r="FI3">
        <f>BK3*J3*102.91/1000*'PGM market prices'!$C$4*60*7200</f>
        <v>237485335.29232115</v>
      </c>
      <c r="FJ3">
        <f t="shared" si="26"/>
        <v>884611111.01338983</v>
      </c>
      <c r="FK3">
        <f t="shared" si="27"/>
        <v>632656410.71817386</v>
      </c>
      <c r="FL3">
        <f t="shared" ref="FL3:FL66" si="64">FF3/(BK3*60*7200)</f>
        <v>0.68680591315486184</v>
      </c>
      <c r="FM3">
        <f t="shared" ref="FM3:FM66" si="65">FF3/7200/60/(BM3*AM3*195.08/1000)</f>
        <v>2366.3089187808832</v>
      </c>
      <c r="FN3">
        <f t="shared" ref="FN3:FN66" si="66">FF3/7200/60/(BN3*BA3*AQ3*106.42/1000)</f>
        <v>4357.8741151966442</v>
      </c>
      <c r="FO3">
        <f t="shared" ref="FO3:FO66" si="67">FF3/(J3*BK3*102.91/1000*60*7200)</f>
        <v>20607.395359796676</v>
      </c>
    </row>
    <row r="4" spans="1:176">
      <c r="A4">
        <v>3</v>
      </c>
      <c r="B4">
        <v>1.54143585092054E-3</v>
      </c>
      <c r="C4">
        <v>1.54143585092054E-3</v>
      </c>
      <c r="D4">
        <v>3.4254130020456501E-4</v>
      </c>
      <c r="E4">
        <v>0</v>
      </c>
      <c r="F4">
        <v>0</v>
      </c>
      <c r="G4">
        <v>0</v>
      </c>
      <c r="H4" s="53">
        <v>1.6300358850230801E-5</v>
      </c>
      <c r="I4" s="53">
        <v>7.4474859607128495E-7</v>
      </c>
      <c r="J4">
        <v>3.2385704147932398E-4</v>
      </c>
      <c r="K4">
        <v>8.07271092797512E-2</v>
      </c>
      <c r="L4">
        <v>8.15504849440159E-2</v>
      </c>
      <c r="M4">
        <v>9.8897848995466706E-4</v>
      </c>
      <c r="N4" s="53">
        <v>-9.8011876392689601E-17</v>
      </c>
      <c r="O4" s="53">
        <v>1.94289029309402E-16</v>
      </c>
      <c r="P4" s="53">
        <v>-4.3537493488870999E-18</v>
      </c>
      <c r="Q4">
        <v>0.18892482409907799</v>
      </c>
      <c r="R4">
        <v>94.545399718491396</v>
      </c>
      <c r="S4">
        <v>500</v>
      </c>
      <c r="T4">
        <v>95</v>
      </c>
      <c r="U4">
        <v>1</v>
      </c>
      <c r="V4">
        <v>0.1</v>
      </c>
      <c r="W4">
        <v>52.931106580020597</v>
      </c>
      <c r="X4" t="s">
        <v>323</v>
      </c>
      <c r="Y4">
        <v>1</v>
      </c>
      <c r="Z4">
        <v>0.28318429382522198</v>
      </c>
      <c r="AA4">
        <v>0.56945642916197003</v>
      </c>
      <c r="AB4">
        <v>3.7698628972227502E-3</v>
      </c>
      <c r="AC4">
        <v>1822.2107908876901</v>
      </c>
      <c r="AD4">
        <v>2662.6059073104898</v>
      </c>
      <c r="AE4">
        <v>2401.5030938442701</v>
      </c>
      <c r="AF4">
        <v>6</v>
      </c>
      <c r="AG4">
        <v>1.6455478770638001E-3</v>
      </c>
      <c r="AH4">
        <v>1.66233163271225E-3</v>
      </c>
      <c r="AI4" s="53">
        <v>2.0159416943409301E-5</v>
      </c>
      <c r="AJ4">
        <v>0</v>
      </c>
      <c r="AK4">
        <v>0</v>
      </c>
      <c r="AL4">
        <v>0</v>
      </c>
      <c r="AM4">
        <v>1.60744374164569E-3</v>
      </c>
      <c r="AN4" s="53">
        <v>6.4579829374686502E-5</v>
      </c>
      <c r="AO4" s="53">
        <v>2.0022472818809102E-5</v>
      </c>
      <c r="AP4">
        <v>1.75996255360512E-3</v>
      </c>
      <c r="AQ4">
        <v>7.3797327061053505E-2</v>
      </c>
      <c r="AR4" s="53">
        <v>6.3252066629497999E-6</v>
      </c>
      <c r="AS4" s="53">
        <v>-1.5043305143236301E-18</v>
      </c>
      <c r="AT4" s="53">
        <v>1.5178830414797E-17</v>
      </c>
      <c r="AU4" s="53">
        <v>-9.2908926401955993E-21</v>
      </c>
      <c r="AV4">
        <v>0.20066267141911501</v>
      </c>
      <c r="AW4">
        <v>99.320694021138493</v>
      </c>
      <c r="AX4">
        <v>500</v>
      </c>
      <c r="AY4">
        <v>95</v>
      </c>
      <c r="AZ4">
        <v>0.92682535301965796</v>
      </c>
      <c r="BA4">
        <v>0.1</v>
      </c>
      <c r="BB4">
        <v>46.188229552861699</v>
      </c>
      <c r="BC4" t="s">
        <v>251</v>
      </c>
      <c r="BD4">
        <v>1</v>
      </c>
      <c r="BE4">
        <v>1.8775014999999999E-2</v>
      </c>
      <c r="BF4">
        <v>0.10492961100000001</v>
      </c>
      <c r="BG4">
        <v>1.814625E-3</v>
      </c>
      <c r="BH4">
        <v>285.1951444</v>
      </c>
      <c r="BI4">
        <v>2169.8944889999998</v>
      </c>
      <c r="BJ4">
        <v>866.49409060000005</v>
      </c>
      <c r="BK4">
        <f t="shared" si="0"/>
        <v>100</v>
      </c>
      <c r="BL4">
        <f t="shared" si="1"/>
        <v>18.892482409907799</v>
      </c>
      <c r="BM4">
        <f t="shared" si="2"/>
        <v>92.6825353019658</v>
      </c>
      <c r="BN4">
        <f t="shared" si="3"/>
        <v>20.066267141911499</v>
      </c>
      <c r="BO4">
        <f t="shared" si="28"/>
        <v>6.8012936675668074</v>
      </c>
      <c r="BP4">
        <f t="shared" si="4"/>
        <v>0.45341957783778719</v>
      </c>
      <c r="BQ4">
        <f t="shared" si="5"/>
        <v>2.267097889188936</v>
      </c>
      <c r="BR4">
        <f t="shared" si="29"/>
        <v>1.133548944594468</v>
      </c>
      <c r="BS4">
        <f t="shared" si="6"/>
        <v>1.88924824099078</v>
      </c>
      <c r="BT4">
        <f t="shared" si="30"/>
        <v>11.335489445944679</v>
      </c>
      <c r="BU4">
        <f t="shared" si="7"/>
        <v>30.227971855852481</v>
      </c>
      <c r="BV4">
        <f t="shared" si="31"/>
        <v>9.4462412049538997</v>
      </c>
      <c r="BW4">
        <f t="shared" si="8"/>
        <v>83.236294097011893</v>
      </c>
      <c r="BX4">
        <f t="shared" si="32"/>
        <v>111.5750177118736</v>
      </c>
      <c r="BY4">
        <f t="shared" si="33"/>
        <v>92.6825353019658</v>
      </c>
      <c r="BZ4">
        <f t="shared" si="34"/>
        <v>2.6449475373870919</v>
      </c>
      <c r="CA4">
        <f>7963.6*(BT4/1000)^0.6*1.7*('CAPEX+OPEX'!$G$116/'CAPEX+OPEX'!$G$115)</f>
        <v>1086.1882339348488</v>
      </c>
      <c r="CB4">
        <f>7963.6*(BU4/1000)^0.6*1.7*('CAPEX+OPEX'!$G$116/'CAPEX+OPEX'!$G$115)</f>
        <v>1956.5291978096809</v>
      </c>
      <c r="CC4">
        <f>7963.6*(BX4/1000)^0.6*1.7*('CAPEX+OPEX'!$G$116/'CAPEX+OPEX'!$G$115)</f>
        <v>4283.3257744249922</v>
      </c>
      <c r="CD4">
        <f>7963.6*(BY4/1000)^0.6*1.7*('CAPEX+OPEX'!$G$116/'CAPEX+OPEX'!$G$115)</f>
        <v>3832.125036591081</v>
      </c>
      <c r="CE4">
        <v>300</v>
      </c>
      <c r="CF4">
        <v>30</v>
      </c>
      <c r="CG4">
        <f t="shared" si="9"/>
        <v>7.2238561710881397</v>
      </c>
      <c r="CH4">
        <f t="shared" si="10"/>
        <v>0.481590411405876</v>
      </c>
      <c r="CI4">
        <f t="shared" si="11"/>
        <v>2.4079520570293798</v>
      </c>
      <c r="CJ4">
        <f t="shared" si="12"/>
        <v>1.2039760285146899</v>
      </c>
      <c r="CK4">
        <f t="shared" si="13"/>
        <v>2.00662671419115</v>
      </c>
      <c r="CL4">
        <f t="shared" si="14"/>
        <v>12.039760285146899</v>
      </c>
      <c r="CM4">
        <f t="shared" si="35"/>
        <v>32.1060274270584</v>
      </c>
      <c r="CN4">
        <f t="shared" si="36"/>
        <v>10.03313357095575</v>
      </c>
      <c r="CO4">
        <v>0</v>
      </c>
      <c r="CP4">
        <f t="shared" si="37"/>
        <v>30.099400712867251</v>
      </c>
      <c r="CQ4">
        <f t="shared" si="38"/>
        <v>10.03313357095575</v>
      </c>
      <c r="CR4">
        <f t="shared" si="39"/>
        <v>2.8092773998676099</v>
      </c>
      <c r="CS4">
        <f>7963.6*(CL4/1000)^0.6*1.7*('CAPEX+OPEX'!$G$116/'CAPEX+OPEX'!$G$115)</f>
        <v>1126.1899097869421</v>
      </c>
      <c r="CT4">
        <f>7963.6*(CM4/1000)^0.6*1.7*('CAPEX+OPEX'!$G$116/'CAPEX+OPEX'!$G$115)</f>
        <v>2028.5834185430588</v>
      </c>
      <c r="CU4">
        <f>7963.6*(CP4/1000)^0.6*1.7*('CAPEX+OPEX'!$G$116/'CAPEX+OPEX'!$G$115)</f>
        <v>1951.5318209554468</v>
      </c>
      <c r="CV4">
        <f>7963.6*(CQ4/1000)^0.6*1.7*('CAPEX+OPEX'!$G$116/'CAPEX+OPEX'!$G$115)</f>
        <v>1009.4920062348971</v>
      </c>
      <c r="CW4">
        <v>300</v>
      </c>
      <c r="CX4">
        <f t="shared" si="15"/>
        <v>30</v>
      </c>
      <c r="CY4">
        <f t="shared" si="16"/>
        <v>10</v>
      </c>
      <c r="CZ4">
        <f t="shared" si="17"/>
        <v>9.2682535301965796</v>
      </c>
      <c r="DA4">
        <f t="shared" si="40"/>
        <v>3960</v>
      </c>
      <c r="DB4">
        <f t="shared" si="18"/>
        <v>3960</v>
      </c>
      <c r="DC4">
        <f>CF4*'Reagent cost'!$C$18/1000*'Reagent cost'!$H$18</f>
        <v>4784.413580611521</v>
      </c>
      <c r="DD4">
        <f>CX4*'Ligand cost'!$B$56*'Ligand cost'!$J$56</f>
        <v>30543.831958072875</v>
      </c>
      <c r="DE4">
        <f t="shared" si="41"/>
        <v>39625.826528698344</v>
      </c>
      <c r="DF4">
        <f t="shared" si="19"/>
        <v>4586243.4239371875</v>
      </c>
      <c r="DG4">
        <f t="shared" si="42"/>
        <v>11794834.586807497</v>
      </c>
      <c r="DH4">
        <f t="shared" si="20"/>
        <v>2275209.1661185985</v>
      </c>
      <c r="DI4">
        <f t="shared" si="21"/>
        <v>14083914.336508472</v>
      </c>
      <c r="DJ4">
        <f t="shared" si="43"/>
        <v>1662824.8986326549</v>
      </c>
      <c r="DK4" s="55">
        <f>DF4*($BK$2/10000)^0.72*0.6*((A4+1)/3)^0.6*('CAPEX+OPEX'!$G$116/'CAPEX+OPEX'!$G$114)</f>
        <v>277110.05868710927</v>
      </c>
      <c r="DL4" s="55">
        <f>DG4*($BK$2/10000)^0.72*0.6*((A4+1)/3)^0.6*('CAPEX+OPEX'!$G$116/'CAPEX+OPEX'!$G$114)</f>
        <v>712667.64592034358</v>
      </c>
      <c r="DM4" s="55">
        <f>DH4*($BK$2/10000)^0.72*0.6*((A4+1)/3)^0.6*('CAPEX+OPEX'!$G$116/'CAPEX+OPEX'!$G$114)</f>
        <v>137472.7172696206</v>
      </c>
      <c r="DN4" s="55">
        <f>DI4*($BK$2/10000)^0.72*0.6*((A4+1)/3)^0.6*('CAPEX+OPEX'!$G$116/'CAPEX+OPEX'!$G$114)</f>
        <v>850978.45176818396</v>
      </c>
      <c r="DO4" s="55">
        <f>DJ4*($BK$2/10000)^0.72*0.6*((A4+1)/3)^0.6*('CAPEX+OPEX'!$G$116/'CAPEX+OPEX'!$G$114)</f>
        <v>100471.2272448259</v>
      </c>
      <c r="DP4">
        <f t="shared" si="44"/>
        <v>2078700.100890083</v>
      </c>
      <c r="DQ4">
        <f>DF4*(BM4/10000)^0.72*0.6*((AF4+1)/3)^0.6*('CAPEX+OPEX'!$G$116/'CAPEX+OPEX'!$G$114)</f>
        <v>367040.18179352727</v>
      </c>
      <c r="DR4">
        <f>DG4*(BM4/10000)^0.72*0.6*((AF4+1)/3)^0.6*('CAPEX+OPEX'!$G$116/'CAPEX+OPEX'!$G$114)</f>
        <v>943948.63743405591</v>
      </c>
      <c r="DS4">
        <f>DH4*(BM4/10000)^0.72*0.6*((AF4+1)/3)^0.6*('CAPEX+OPEX'!$G$116/'CAPEX+OPEX'!$G$114)</f>
        <v>182086.53766431817</v>
      </c>
      <c r="DT4">
        <f>DI4*(BM4/10000)^0.72*0.6*((AF4+1)/3)^0.6*('CAPEX+OPEX'!$G$116/'CAPEX+OPEX'!$G$114)</f>
        <v>1127145.2473403064</v>
      </c>
      <c r="DU4">
        <f>DJ4*(BM4/10000)^0.72*0.6*((AF4+1)/3)^0.6*('CAPEX+OPEX'!$G$116/'CAPEX+OPEX'!$G$114)</f>
        <v>133077.00805836951</v>
      </c>
      <c r="DV4">
        <f t="shared" si="45"/>
        <v>2753297.6122905775</v>
      </c>
      <c r="DW4">
        <f t="shared" si="46"/>
        <v>4901598.255758171</v>
      </c>
      <c r="DX4">
        <f t="shared" si="47"/>
        <v>326773.21705054474</v>
      </c>
      <c r="DY4">
        <f>BO4*'Reagent cost'!$C$35*60*7200</f>
        <v>1761651.8898019071</v>
      </c>
      <c r="DZ4">
        <f>BP4*'Reagent cost'!$C$34*60*7200</f>
        <v>419179.29009205382</v>
      </c>
      <c r="EA4">
        <f>BQ4*'Reagent cost'!$C$14*'Reagent cost'!$C$36/1000*60*7200</f>
        <v>6948241.5262185261</v>
      </c>
      <c r="EB4">
        <f t="shared" si="22"/>
        <v>39.6</v>
      </c>
      <c r="EC4">
        <f t="shared" si="23"/>
        <v>95.688271612230423</v>
      </c>
      <c r="ED4">
        <f>0.1*BK4*60*7200*'Reagent cost'!$H$17*'Reagent cost'!$C$17/1000</f>
        <v>504921.59999999998</v>
      </c>
      <c r="EE4">
        <f>BV4*0.1*'Reagent cost'!$C$16/1000*'Reagent cost'!$H$16*60*7200</f>
        <v>1723679.0593461264</v>
      </c>
      <c r="EF4">
        <f>BZ4/1000*'Reagent cost'!$H$19*'Reagent cost'!$C$19*60*7200</f>
        <v>144826.74735716759</v>
      </c>
      <c r="EG4">
        <f>0.33*('Costing 100 Lmin Feed Orig'!BO4*'Reagent cost'!$C$13+'Costing 100 Lmin Feed Orig'!BP4*'Reagent cost'!$C$12+'Costing 100 Lmin Feed Orig'!BQ4*'Reagent cost'!$C$14+'Costing 100 Lmin Feed Orig'!BV4*0.1*'Reagent cost'!$C$16+'Costing 100 Lmin Feed Orig'!BZ4*'Reagent cost'!$C$19)/1000*60*7200</f>
        <v>296311.85141479818</v>
      </c>
      <c r="EH4">
        <f>CG4*'Reagent cost'!$C$35*60*7200</f>
        <v>1871102.8368235927</v>
      </c>
      <c r="EI4">
        <f>CH4*'Reagent cost'!$C$34*60*7200</f>
        <v>445222.78400708153</v>
      </c>
      <c r="EJ4">
        <f>CI4*'Reagent cost'!$C$14*'Reagent cost'!$C$36/1000*60*7200</f>
        <v>7379933.8597507393</v>
      </c>
      <c r="EK4">
        <f t="shared" si="24"/>
        <v>39.6</v>
      </c>
      <c r="EL4">
        <f t="shared" si="25"/>
        <v>610.87663916145755</v>
      </c>
      <c r="EM4">
        <f>0.1*BM4*60*7200*'Reagent cost'!$H$17*'Reagent cost'!$C$17/1000</f>
        <v>467974.14016725059</v>
      </c>
      <c r="EN4">
        <f>CN4*0.1*'Reagent cost'!$C$16/1000*'Reagent cost'!$H$16*60*7200</f>
        <v>1830770.7648635514</v>
      </c>
      <c r="EO4">
        <f>CR4/1000*'Reagent cost'!$H$19*'Reagent cost'!$C$19*60*7200</f>
        <v>153824.79330715083</v>
      </c>
      <c r="EP4">
        <f>0.33*(CG4*'Reagent cost'!$C$13+CH4*'Reagent cost'!$C$12+CI4*'Reagent cost'!$C$14+CN4*0.1*'Reagent cost'!$C$16+CR4*'Reagent cost'!$C$19)/1000*60*7200</f>
        <v>314721.62518386293</v>
      </c>
      <c r="EQ4">
        <f t="shared" si="48"/>
        <v>28382538.067975108</v>
      </c>
      <c r="ER4">
        <f t="shared" si="49"/>
        <v>611033.47659866116</v>
      </c>
      <c r="ES4">
        <f t="shared" si="50"/>
        <v>27520.276190787874</v>
      </c>
      <c r="ET4">
        <f t="shared" si="51"/>
        <v>16610.439588917834</v>
      </c>
      <c r="EU4">
        <f t="shared" si="52"/>
        <v>7032.645793695051</v>
      </c>
      <c r="EV4">
        <f t="shared" si="53"/>
        <v>3725.3886787897172</v>
      </c>
      <c r="EW4">
        <f t="shared" si="54"/>
        <v>3750.7444233040283</v>
      </c>
      <c r="EX4">
        <f t="shared" si="55"/>
        <v>58639.494675494512</v>
      </c>
      <c r="EY4">
        <f t="shared" si="56"/>
        <v>33528.363133012637</v>
      </c>
      <c r="EZ4">
        <f t="shared" si="57"/>
        <v>27237.634112669275</v>
      </c>
      <c r="FA4">
        <f t="shared" si="58"/>
        <v>11532.06282996078</v>
      </c>
      <c r="FB4">
        <f t="shared" si="59"/>
        <v>6112.1057643910935</v>
      </c>
      <c r="FC4">
        <f t="shared" si="60"/>
        <v>6150.4335093124173</v>
      </c>
      <c r="FD4">
        <f t="shared" si="61"/>
        <v>84560.599349346187</v>
      </c>
      <c r="FE4">
        <f t="shared" si="62"/>
        <v>29136771.63859861</v>
      </c>
      <c r="FF4">
        <f t="shared" si="63"/>
        <v>29463544.855649155</v>
      </c>
      <c r="FG4">
        <f>BM4*AM4*195.08/1000*'PGM market prices'!$C$2*60*7200</f>
        <v>423497329.1606434</v>
      </c>
      <c r="FH4">
        <f>BN4*AQ4*BA4*106.42/1000*'PGM market prices'!$C$3*60*7200</f>
        <v>224182495.60662192</v>
      </c>
      <c r="FI4">
        <f>BK4*J4*102.91/1000*'PGM market prices'!$C$4*60*7200</f>
        <v>237485335.29232115</v>
      </c>
      <c r="FJ4">
        <f t="shared" si="26"/>
        <v>885165160.05958652</v>
      </c>
      <c r="FK4">
        <f t="shared" si="27"/>
        <v>633219195.25091362</v>
      </c>
      <c r="FL4">
        <f t="shared" si="64"/>
        <v>0.68202650128817488</v>
      </c>
      <c r="FM4">
        <f t="shared" si="65"/>
        <v>2346.6851002816479</v>
      </c>
      <c r="FN4">
        <f t="shared" si="66"/>
        <v>4327.8357888819919</v>
      </c>
      <c r="FO4">
        <f t="shared" si="67"/>
        <v>20463.990610306824</v>
      </c>
    </row>
    <row r="5" spans="1:176">
      <c r="A5">
        <v>3</v>
      </c>
      <c r="B5">
        <v>1.54143585092054E-3</v>
      </c>
      <c r="C5">
        <v>1.54143585092054E-3</v>
      </c>
      <c r="D5">
        <v>3.4254130020456501E-4</v>
      </c>
      <c r="E5">
        <v>0</v>
      </c>
      <c r="F5">
        <v>0</v>
      </c>
      <c r="G5">
        <v>0</v>
      </c>
      <c r="H5" s="53">
        <v>1.6300358850230801E-5</v>
      </c>
      <c r="I5" s="53">
        <v>7.4474859607128495E-7</v>
      </c>
      <c r="J5">
        <v>3.2385704147932398E-4</v>
      </c>
      <c r="K5">
        <v>8.07271092797512E-2</v>
      </c>
      <c r="L5">
        <v>8.15504849440159E-2</v>
      </c>
      <c r="M5">
        <v>9.8897848995466706E-4</v>
      </c>
      <c r="N5" s="53">
        <v>-9.8011876392689601E-17</v>
      </c>
      <c r="O5" s="53">
        <v>1.94289029309402E-16</v>
      </c>
      <c r="P5" s="53">
        <v>-4.3537493488870999E-18</v>
      </c>
      <c r="Q5">
        <v>0.18892482409907799</v>
      </c>
      <c r="R5">
        <v>94.545399718491396</v>
      </c>
      <c r="S5">
        <v>500</v>
      </c>
      <c r="T5">
        <v>95</v>
      </c>
      <c r="U5">
        <v>1</v>
      </c>
      <c r="V5">
        <v>0.1</v>
      </c>
      <c r="W5">
        <v>52.931106580020597</v>
      </c>
      <c r="X5" t="s">
        <v>323</v>
      </c>
      <c r="Y5">
        <v>1</v>
      </c>
      <c r="Z5">
        <v>0.28318429382522198</v>
      </c>
      <c r="AA5">
        <v>0.56945642916197003</v>
      </c>
      <c r="AB5">
        <v>3.7698628972227502E-3</v>
      </c>
      <c r="AC5">
        <v>1822.2107908876901</v>
      </c>
      <c r="AD5">
        <v>2662.6059073104898</v>
      </c>
      <c r="AE5">
        <v>2401.5030938442701</v>
      </c>
      <c r="AF5">
        <v>7</v>
      </c>
      <c r="AG5">
        <v>1.6455478770638001E-3</v>
      </c>
      <c r="AH5">
        <v>1.66233163271225E-3</v>
      </c>
      <c r="AI5" s="53">
        <v>2.0159416943409301E-5</v>
      </c>
      <c r="AJ5">
        <v>0</v>
      </c>
      <c r="AK5">
        <v>0</v>
      </c>
      <c r="AL5">
        <v>0</v>
      </c>
      <c r="AM5">
        <v>1.60808949136668E-3</v>
      </c>
      <c r="AN5" s="53">
        <v>6.4611588564249294E-5</v>
      </c>
      <c r="AO5" s="53">
        <v>2.0024700455054798E-5</v>
      </c>
      <c r="AP5">
        <v>1.7385721005278799E-3</v>
      </c>
      <c r="AQ5">
        <v>7.4155664786925493E-2</v>
      </c>
      <c r="AR5" s="53">
        <v>6.2526540793269999E-6</v>
      </c>
      <c r="AS5" s="53">
        <v>-2.20838430008141E-17</v>
      </c>
      <c r="AT5" s="53">
        <v>-3.7493879528893699E-15</v>
      </c>
      <c r="AU5" s="53">
        <v>-5.9159957409792503E-20</v>
      </c>
      <c r="AV5">
        <v>0.19968905250902499</v>
      </c>
      <c r="AW5">
        <v>99.331744123688495</v>
      </c>
      <c r="AX5">
        <v>500</v>
      </c>
      <c r="AY5">
        <v>95</v>
      </c>
      <c r="AZ5">
        <v>0.92682535301965796</v>
      </c>
      <c r="BA5">
        <v>0.1</v>
      </c>
      <c r="BB5">
        <v>46.413428346442103</v>
      </c>
      <c r="BC5" t="s">
        <v>251</v>
      </c>
      <c r="BD5">
        <v>1</v>
      </c>
      <c r="BE5">
        <v>1.8775014999999999E-2</v>
      </c>
      <c r="BF5">
        <v>0.10492961100000001</v>
      </c>
      <c r="BG5">
        <v>1.814625E-3</v>
      </c>
      <c r="BH5">
        <v>285.1951444</v>
      </c>
      <c r="BI5">
        <v>2169.8944889999998</v>
      </c>
      <c r="BJ5">
        <v>866.49409060000005</v>
      </c>
      <c r="BK5">
        <f t="shared" si="0"/>
        <v>100</v>
      </c>
      <c r="BL5">
        <f t="shared" si="1"/>
        <v>18.892482409907799</v>
      </c>
      <c r="BM5">
        <f t="shared" si="2"/>
        <v>92.6825353019658</v>
      </c>
      <c r="BN5">
        <f t="shared" si="3"/>
        <v>19.968905250902498</v>
      </c>
      <c r="BO5">
        <f t="shared" si="28"/>
        <v>6.8012936675668074</v>
      </c>
      <c r="BP5">
        <f t="shared" si="4"/>
        <v>0.45341957783778719</v>
      </c>
      <c r="BQ5">
        <f t="shared" si="5"/>
        <v>2.267097889188936</v>
      </c>
      <c r="BR5">
        <f t="shared" si="29"/>
        <v>1.133548944594468</v>
      </c>
      <c r="BS5">
        <f t="shared" si="6"/>
        <v>1.88924824099078</v>
      </c>
      <c r="BT5">
        <f t="shared" si="30"/>
        <v>11.335489445944679</v>
      </c>
      <c r="BU5">
        <f t="shared" si="7"/>
        <v>30.227971855852481</v>
      </c>
      <c r="BV5">
        <f t="shared" si="31"/>
        <v>9.4462412049538997</v>
      </c>
      <c r="BW5">
        <f t="shared" si="8"/>
        <v>83.236294097011893</v>
      </c>
      <c r="BX5">
        <f t="shared" si="32"/>
        <v>111.5750177118736</v>
      </c>
      <c r="BY5">
        <f t="shared" si="33"/>
        <v>92.6825353019658</v>
      </c>
      <c r="BZ5">
        <f t="shared" si="34"/>
        <v>2.6449475373870919</v>
      </c>
      <c r="CA5">
        <f>7963.6*(BT5/1000)^0.6*1.7*('CAPEX+OPEX'!$G$116/'CAPEX+OPEX'!$G$115)</f>
        <v>1086.1882339348488</v>
      </c>
      <c r="CB5">
        <f>7963.6*(BU5/1000)^0.6*1.7*('CAPEX+OPEX'!$G$116/'CAPEX+OPEX'!$G$115)</f>
        <v>1956.5291978096809</v>
      </c>
      <c r="CC5">
        <f>7963.6*(BX5/1000)^0.6*1.7*('CAPEX+OPEX'!$G$116/'CAPEX+OPEX'!$G$115)</f>
        <v>4283.3257744249922</v>
      </c>
      <c r="CD5">
        <f>7963.6*(BY5/1000)^0.6*1.7*('CAPEX+OPEX'!$G$116/'CAPEX+OPEX'!$G$115)</f>
        <v>3832.125036591081</v>
      </c>
      <c r="CE5">
        <v>300</v>
      </c>
      <c r="CF5">
        <v>30</v>
      </c>
      <c r="CG5">
        <f t="shared" si="9"/>
        <v>7.1888058903248995</v>
      </c>
      <c r="CH5">
        <f t="shared" si="10"/>
        <v>0.47925372602165994</v>
      </c>
      <c r="CI5">
        <f t="shared" si="11"/>
        <v>2.3962686301082998</v>
      </c>
      <c r="CJ5">
        <f t="shared" si="12"/>
        <v>1.1981343150541499</v>
      </c>
      <c r="CK5">
        <f t="shared" si="13"/>
        <v>1.99689052509025</v>
      </c>
      <c r="CL5">
        <f t="shared" si="14"/>
        <v>11.981343150541498</v>
      </c>
      <c r="CM5">
        <f t="shared" si="35"/>
        <v>31.950248401444</v>
      </c>
      <c r="CN5">
        <f t="shared" si="36"/>
        <v>9.9844526254512491</v>
      </c>
      <c r="CO5">
        <v>0</v>
      </c>
      <c r="CP5">
        <f t="shared" si="37"/>
        <v>29.953357876353749</v>
      </c>
      <c r="CQ5">
        <f t="shared" si="38"/>
        <v>9.9844526254512491</v>
      </c>
      <c r="CR5">
        <f t="shared" si="39"/>
        <v>2.7956467351263496</v>
      </c>
      <c r="CS5">
        <f>7963.6*(CL5/1000)^0.6*1.7*('CAPEX+OPEX'!$G$116/'CAPEX+OPEX'!$G$115)</f>
        <v>1122.9081447361609</v>
      </c>
      <c r="CT5">
        <f>7963.6*(CM5/1000)^0.6*1.7*('CAPEX+OPEX'!$G$116/'CAPEX+OPEX'!$G$115)</f>
        <v>2022.6720406238321</v>
      </c>
      <c r="CU5">
        <f>7963.6*(CP5/1000)^0.6*1.7*('CAPEX+OPEX'!$G$116/'CAPEX+OPEX'!$G$115)</f>
        <v>1945.8449746519568</v>
      </c>
      <c r="CV5">
        <f>7963.6*(CQ5/1000)^0.6*1.7*('CAPEX+OPEX'!$G$116/'CAPEX+OPEX'!$G$115)</f>
        <v>1006.5503038130284</v>
      </c>
      <c r="CW5">
        <v>300</v>
      </c>
      <c r="CX5">
        <f t="shared" si="15"/>
        <v>30</v>
      </c>
      <c r="CY5">
        <f t="shared" si="16"/>
        <v>10</v>
      </c>
      <c r="CZ5">
        <f t="shared" si="17"/>
        <v>9.2682535301965796</v>
      </c>
      <c r="DA5">
        <f t="shared" si="40"/>
        <v>3960</v>
      </c>
      <c r="DB5">
        <f t="shared" si="18"/>
        <v>3960</v>
      </c>
      <c r="DC5">
        <f>CF5*'Reagent cost'!$C$18/1000*'Reagent cost'!$H$18</f>
        <v>4784.413580611521</v>
      </c>
      <c r="DD5">
        <f>CX5*'Ligand cost'!$B$56*'Ligand cost'!$J$56</f>
        <v>30543.831958072875</v>
      </c>
      <c r="DE5">
        <f t="shared" si="41"/>
        <v>39625.826528698344</v>
      </c>
      <c r="DF5">
        <f t="shared" si="19"/>
        <v>4586243.4239371875</v>
      </c>
      <c r="DG5">
        <f t="shared" si="42"/>
        <v>11794834.586807497</v>
      </c>
      <c r="DH5">
        <f t="shared" si="20"/>
        <v>2275209.1661185985</v>
      </c>
      <c r="DI5">
        <f t="shared" si="21"/>
        <v>14083914.336508472</v>
      </c>
      <c r="DJ5">
        <f t="shared" si="43"/>
        <v>1662824.8986326549</v>
      </c>
      <c r="DK5" s="55">
        <f>DF5*($BK$2/10000)^0.72*0.6*((A5+1)/3)^0.6*('CAPEX+OPEX'!$G$116/'CAPEX+OPEX'!$G$114)</f>
        <v>277110.05868710927</v>
      </c>
      <c r="DL5" s="55">
        <f>DG5*($BK$2/10000)^0.72*0.6*((A5+1)/3)^0.6*('CAPEX+OPEX'!$G$116/'CAPEX+OPEX'!$G$114)</f>
        <v>712667.64592034358</v>
      </c>
      <c r="DM5" s="55">
        <f>DH5*($BK$2/10000)^0.72*0.6*((A5+1)/3)^0.6*('CAPEX+OPEX'!$G$116/'CAPEX+OPEX'!$G$114)</f>
        <v>137472.7172696206</v>
      </c>
      <c r="DN5" s="55">
        <f>DI5*($BK$2/10000)^0.72*0.6*((A5+1)/3)^0.6*('CAPEX+OPEX'!$G$116/'CAPEX+OPEX'!$G$114)</f>
        <v>850978.45176818396</v>
      </c>
      <c r="DO5" s="55">
        <f>DJ5*($BK$2/10000)^0.72*0.6*((A5+1)/3)^0.6*('CAPEX+OPEX'!$G$116/'CAPEX+OPEX'!$G$114)</f>
        <v>100471.2272448259</v>
      </c>
      <c r="DP5">
        <f t="shared" si="44"/>
        <v>2078700.100890083</v>
      </c>
      <c r="DQ5">
        <f>DF5*(BM5/10000)^0.72*0.6*((AF5+1)/3)^0.6*('CAPEX+OPEX'!$G$116/'CAPEX+OPEX'!$G$114)</f>
        <v>397657.13526047679</v>
      </c>
      <c r="DR5">
        <f>DG5*(BM5/10000)^0.72*0.6*((AF5+1)/3)^0.6*('CAPEX+OPEX'!$G$116/'CAPEX+OPEX'!$G$114)</f>
        <v>1022688.8760811873</v>
      </c>
      <c r="DS5">
        <f>DH5*(BM5/10000)^0.72*0.6*((AF5+1)/3)^0.6*('CAPEX+OPEX'!$G$116/'CAPEX+OPEX'!$G$114)</f>
        <v>197275.43339607341</v>
      </c>
      <c r="DT5">
        <f>DI5*(BM5/10000)^0.72*0.6*((AF5+1)/3)^0.6*('CAPEX+OPEX'!$G$116/'CAPEX+OPEX'!$G$114)</f>
        <v>1221166.9792925981</v>
      </c>
      <c r="DU5">
        <f>DJ5*(BM5/10000)^0.72*0.6*((AF5+1)/3)^0.6*('CAPEX+OPEX'!$G$116/'CAPEX+OPEX'!$G$114)</f>
        <v>144177.73426042867</v>
      </c>
      <c r="DV5">
        <f t="shared" si="45"/>
        <v>2982966.1582907643</v>
      </c>
      <c r="DW5">
        <f t="shared" si="46"/>
        <v>5131246.3068129085</v>
      </c>
      <c r="DX5">
        <f t="shared" si="47"/>
        <v>342083.08712086058</v>
      </c>
      <c r="DY5">
        <f>BO5*'Reagent cost'!$C$35*60*7200</f>
        <v>1761651.8898019071</v>
      </c>
      <c r="DZ5">
        <f>BP5*'Reagent cost'!$C$34*60*7200</f>
        <v>419179.29009205382</v>
      </c>
      <c r="EA5">
        <f>BQ5*'Reagent cost'!$C$14*'Reagent cost'!$C$36/1000*60*7200</f>
        <v>6948241.5262185261</v>
      </c>
      <c r="EB5">
        <f t="shared" si="22"/>
        <v>39.6</v>
      </c>
      <c r="EC5">
        <f t="shared" si="23"/>
        <v>95.688271612230423</v>
      </c>
      <c r="ED5">
        <f>0.1*BK5*60*7200*'Reagent cost'!$H$17*'Reagent cost'!$C$17/1000</f>
        <v>504921.59999999998</v>
      </c>
      <c r="EE5">
        <f>BV5*0.1*'Reagent cost'!$C$16/1000*'Reagent cost'!$H$16*60*7200</f>
        <v>1723679.0593461264</v>
      </c>
      <c r="EF5">
        <f>BZ5/1000*'Reagent cost'!$H$19*'Reagent cost'!$C$19*60*7200</f>
        <v>144826.74735716759</v>
      </c>
      <c r="EG5">
        <f>0.33*('Costing 100 Lmin Feed Orig'!BO5*'Reagent cost'!$C$13+'Costing 100 Lmin Feed Orig'!BP5*'Reagent cost'!$C$12+'Costing 100 Lmin Feed Orig'!BQ5*'Reagent cost'!$C$14+'Costing 100 Lmin Feed Orig'!BV5*0.1*'Reagent cost'!$C$16+'Costing 100 Lmin Feed Orig'!BZ5*'Reagent cost'!$C$19)/1000*60*7200</f>
        <v>296311.85141479818</v>
      </c>
      <c r="EH5">
        <f>CG5*'Reagent cost'!$C$35*60*7200</f>
        <v>1862024.212026211</v>
      </c>
      <c r="EI5">
        <f>CH5*'Reagent cost'!$C$34*60*7200</f>
        <v>443062.55500860064</v>
      </c>
      <c r="EJ5">
        <f>CI5*'Reagent cost'!$C$14*'Reagent cost'!$C$36/1000*60*7200</f>
        <v>7344126.2872199258</v>
      </c>
      <c r="EK5">
        <f t="shared" si="24"/>
        <v>39.6</v>
      </c>
      <c r="EL5">
        <f t="shared" si="25"/>
        <v>610.87663916145755</v>
      </c>
      <c r="EM5">
        <f>0.1*BM5*60*7200*'Reagent cost'!$H$17*'Reagent cost'!$C$17/1000</f>
        <v>467974.14016725059</v>
      </c>
      <c r="EN5">
        <f>CN5*0.1*'Reagent cost'!$C$16/1000*'Reagent cost'!$H$16*60*7200</f>
        <v>1821887.8320086005</v>
      </c>
      <c r="EO5">
        <f>CR5/1000*'Reagent cost'!$H$19*'Reagent cost'!$C$19*60*7200</f>
        <v>153078.43262857839</v>
      </c>
      <c r="EP5">
        <f>0.33*(CG5*'Reagent cost'!$C$13+CH5*'Reagent cost'!$C$12+CI5*'Reagent cost'!$C$14+CN5*0.1*'Reagent cost'!$C$16+CR5*'Reagent cost'!$C$19)/1000*60*7200</f>
        <v>313194.59016770264</v>
      </c>
      <c r="EQ5">
        <f t="shared" si="48"/>
        <v>28314527.204142861</v>
      </c>
      <c r="ER5">
        <f>EG5+EP5</f>
        <v>609506.44158250082</v>
      </c>
      <c r="ES5">
        <f t="shared" si="50"/>
        <v>27520.276190787874</v>
      </c>
      <c r="ET5">
        <f t="shared" si="51"/>
        <v>16610.439588917834</v>
      </c>
      <c r="EU5">
        <f t="shared" si="52"/>
        <v>7032.645793695051</v>
      </c>
      <c r="EV5">
        <f t="shared" si="53"/>
        <v>3725.3886787897172</v>
      </c>
      <c r="EW5">
        <f t="shared" si="54"/>
        <v>3750.7444233040283</v>
      </c>
      <c r="EX5">
        <f t="shared" si="55"/>
        <v>58639.494675494512</v>
      </c>
      <c r="EY5">
        <f t="shared" si="56"/>
        <v>36107.467989398225</v>
      </c>
      <c r="EZ5">
        <f t="shared" si="57"/>
        <v>31128.724700193463</v>
      </c>
      <c r="FA5">
        <f t="shared" si="58"/>
        <v>13179.500377098037</v>
      </c>
      <c r="FB5">
        <f t="shared" si="59"/>
        <v>6985.2637307326804</v>
      </c>
      <c r="FC5">
        <f t="shared" si="60"/>
        <v>7029.0668677856211</v>
      </c>
      <c r="FD5">
        <f t="shared" si="61"/>
        <v>94430.02366520802</v>
      </c>
      <c r="FE5">
        <f t="shared" si="62"/>
        <v>29077103.164066065</v>
      </c>
      <c r="FF5">
        <f t="shared" si="63"/>
        <v>29419186.251186926</v>
      </c>
      <c r="FG5">
        <f>BM5*AM5*195.08/1000*'PGM market prices'!$C$2*60*7200</f>
        <v>423667458.46287668</v>
      </c>
      <c r="FH5">
        <f>BN5*AQ5*BA5*106.42/1000*'PGM market prices'!$C$3*60*7200</f>
        <v>224178039.43674073</v>
      </c>
      <c r="FI5">
        <f>BK5*J5*102.91/1000*'PGM market prices'!$C$4*60*7200</f>
        <v>237485335.29232115</v>
      </c>
      <c r="FJ5">
        <f t="shared" si="26"/>
        <v>885330833.19193864</v>
      </c>
      <c r="FK5">
        <f t="shared" si="27"/>
        <v>633374618.73615623</v>
      </c>
      <c r="FL5">
        <f t="shared" si="64"/>
        <v>0.68099968174043812</v>
      </c>
      <c r="FM5">
        <f t="shared" si="65"/>
        <v>2342.2111434115886</v>
      </c>
      <c r="FN5">
        <f t="shared" si="66"/>
        <v>4321.4059487074483</v>
      </c>
      <c r="FO5">
        <f t="shared" si="67"/>
        <v>20433.181212807347</v>
      </c>
    </row>
    <row r="6" spans="1:176">
      <c r="A6">
        <v>3</v>
      </c>
      <c r="B6">
        <v>1.54143585092054E-3</v>
      </c>
      <c r="C6">
        <v>1.54143585092054E-3</v>
      </c>
      <c r="D6">
        <v>3.4254130020456501E-4</v>
      </c>
      <c r="E6">
        <v>0</v>
      </c>
      <c r="F6">
        <v>0</v>
      </c>
      <c r="G6">
        <v>0</v>
      </c>
      <c r="H6" s="53">
        <v>1.6300358850230801E-5</v>
      </c>
      <c r="I6" s="53">
        <v>7.4474859607128495E-7</v>
      </c>
      <c r="J6">
        <v>3.2385704147932398E-4</v>
      </c>
      <c r="K6">
        <v>8.07271092797512E-2</v>
      </c>
      <c r="L6">
        <v>8.15504849440159E-2</v>
      </c>
      <c r="M6">
        <v>9.8897848995466706E-4</v>
      </c>
      <c r="N6" s="53">
        <v>-9.8011876392689601E-17</v>
      </c>
      <c r="O6" s="53">
        <v>1.94289029309402E-16</v>
      </c>
      <c r="P6" s="53">
        <v>-4.3537493488870999E-18</v>
      </c>
      <c r="Q6">
        <v>0.18892482409907799</v>
      </c>
      <c r="R6">
        <v>94.545399718491396</v>
      </c>
      <c r="S6">
        <v>500</v>
      </c>
      <c r="T6">
        <v>95</v>
      </c>
      <c r="U6">
        <v>1</v>
      </c>
      <c r="V6">
        <v>0.1</v>
      </c>
      <c r="W6">
        <v>52.931106580020597</v>
      </c>
      <c r="X6" t="s">
        <v>323</v>
      </c>
      <c r="Y6">
        <v>1</v>
      </c>
      <c r="Z6">
        <v>0.28318429382522198</v>
      </c>
      <c r="AA6">
        <v>0.56945642916197003</v>
      </c>
      <c r="AB6">
        <v>3.7698628972227502E-3</v>
      </c>
      <c r="AC6">
        <v>1822.2107908876901</v>
      </c>
      <c r="AD6">
        <v>2662.6059073104898</v>
      </c>
      <c r="AE6">
        <v>2401.5030938442701</v>
      </c>
      <c r="AF6">
        <v>8</v>
      </c>
      <c r="AG6">
        <v>1.6455478770638001E-3</v>
      </c>
      <c r="AH6">
        <v>1.66233163271225E-3</v>
      </c>
      <c r="AI6" s="53">
        <v>2.0159416943409301E-5</v>
      </c>
      <c r="AJ6">
        <v>0</v>
      </c>
      <c r="AK6">
        <v>0</v>
      </c>
      <c r="AL6">
        <v>0</v>
      </c>
      <c r="AM6">
        <v>1.60827767677345E-3</v>
      </c>
      <c r="AN6" s="53">
        <v>6.4620843878105105E-5</v>
      </c>
      <c r="AO6" s="53">
        <v>2.0025349636286901E-5</v>
      </c>
      <c r="AP6">
        <v>1.7322991543913E-3</v>
      </c>
      <c r="AQ6">
        <v>7.4260750598247896E-2</v>
      </c>
      <c r="AR6" s="53">
        <v>6.23137737256415E-6</v>
      </c>
      <c r="AS6" s="53">
        <v>8.2236734783025499E-17</v>
      </c>
      <c r="AT6" s="53">
        <v>-2.2797735921287199E-14</v>
      </c>
      <c r="AU6" s="53">
        <v>-1.82906177047725E-20</v>
      </c>
      <c r="AV6">
        <v>0.19940531895758401</v>
      </c>
      <c r="AW6">
        <v>99.334964361822799</v>
      </c>
      <c r="AX6">
        <v>500</v>
      </c>
      <c r="AY6">
        <v>95</v>
      </c>
      <c r="AZ6">
        <v>0.92682535301965796</v>
      </c>
      <c r="BA6">
        <v>0.1</v>
      </c>
      <c r="BB6">
        <v>46.479469949184399</v>
      </c>
      <c r="BC6" t="s">
        <v>251</v>
      </c>
      <c r="BD6">
        <v>1</v>
      </c>
      <c r="BE6">
        <v>1.8775014999999999E-2</v>
      </c>
      <c r="BF6">
        <v>0.10492961100000001</v>
      </c>
      <c r="BG6">
        <v>1.814625E-3</v>
      </c>
      <c r="BH6">
        <v>285.1951444</v>
      </c>
      <c r="BI6">
        <v>2169.8944889999998</v>
      </c>
      <c r="BJ6">
        <v>866.49409060000005</v>
      </c>
      <c r="BK6">
        <f t="shared" si="0"/>
        <v>100</v>
      </c>
      <c r="BL6">
        <f t="shared" si="1"/>
        <v>18.892482409907799</v>
      </c>
      <c r="BM6">
        <f t="shared" si="2"/>
        <v>92.6825353019658</v>
      </c>
      <c r="BN6">
        <f t="shared" si="3"/>
        <v>19.940531895758401</v>
      </c>
      <c r="BO6">
        <f t="shared" si="28"/>
        <v>6.8012936675668074</v>
      </c>
      <c r="BP6">
        <f t="shared" si="4"/>
        <v>0.45341957783778719</v>
      </c>
      <c r="BQ6">
        <f t="shared" si="5"/>
        <v>2.267097889188936</v>
      </c>
      <c r="BR6">
        <f t="shared" si="29"/>
        <v>1.133548944594468</v>
      </c>
      <c r="BS6">
        <f t="shared" si="6"/>
        <v>1.88924824099078</v>
      </c>
      <c r="BT6">
        <f t="shared" si="30"/>
        <v>11.335489445944679</v>
      </c>
      <c r="BU6">
        <f t="shared" si="7"/>
        <v>30.227971855852481</v>
      </c>
      <c r="BV6">
        <f t="shared" si="31"/>
        <v>9.4462412049538997</v>
      </c>
      <c r="BW6">
        <f t="shared" si="8"/>
        <v>83.236294097011893</v>
      </c>
      <c r="BX6">
        <f t="shared" si="32"/>
        <v>111.5750177118736</v>
      </c>
      <c r="BY6">
        <f t="shared" si="33"/>
        <v>92.6825353019658</v>
      </c>
      <c r="BZ6">
        <f t="shared" si="34"/>
        <v>2.6449475373870919</v>
      </c>
      <c r="CA6">
        <f>7963.6*(BT6/1000)^0.6*1.7*('CAPEX+OPEX'!$G$116/'CAPEX+OPEX'!$G$115)</f>
        <v>1086.1882339348488</v>
      </c>
      <c r="CB6">
        <f>7963.6*(BU6/1000)^0.6*1.7*('CAPEX+OPEX'!$G$116/'CAPEX+OPEX'!$G$115)</f>
        <v>1956.5291978096809</v>
      </c>
      <c r="CC6">
        <f>7963.6*(BX6/1000)^0.6*1.7*('CAPEX+OPEX'!$G$116/'CAPEX+OPEX'!$G$115)</f>
        <v>4283.3257744249922</v>
      </c>
      <c r="CD6">
        <f>7963.6*(BY6/1000)^0.6*1.7*('CAPEX+OPEX'!$G$116/'CAPEX+OPEX'!$G$115)</f>
        <v>3832.125036591081</v>
      </c>
      <c r="CE6">
        <v>300</v>
      </c>
      <c r="CF6">
        <v>30</v>
      </c>
      <c r="CG6">
        <f t="shared" si="9"/>
        <v>7.1785914824730241</v>
      </c>
      <c r="CH6">
        <f t="shared" si="10"/>
        <v>0.4785727654982016</v>
      </c>
      <c r="CI6">
        <f t="shared" si="11"/>
        <v>2.3928638274910079</v>
      </c>
      <c r="CJ6">
        <f t="shared" si="12"/>
        <v>1.1964319137455039</v>
      </c>
      <c r="CK6">
        <f t="shared" si="13"/>
        <v>1.9940531895758402</v>
      </c>
      <c r="CL6">
        <f t="shared" si="14"/>
        <v>11.964319137455041</v>
      </c>
      <c r="CM6">
        <f t="shared" si="35"/>
        <v>31.904851033213443</v>
      </c>
      <c r="CN6">
        <f t="shared" si="36"/>
        <v>9.9702659478792004</v>
      </c>
      <c r="CO6">
        <v>0</v>
      </c>
      <c r="CP6">
        <f t="shared" si="37"/>
        <v>29.910797843637603</v>
      </c>
      <c r="CQ6">
        <f t="shared" si="38"/>
        <v>9.9702659478792004</v>
      </c>
      <c r="CR6">
        <f t="shared" si="39"/>
        <v>2.7916744654061763</v>
      </c>
      <c r="CS6">
        <f>7963.6*(CL6/1000)^0.6*1.7*('CAPEX+OPEX'!$G$116/'CAPEX+OPEX'!$G$115)</f>
        <v>1121.9505640011803</v>
      </c>
      <c r="CT6">
        <f>7963.6*(CM6/1000)^0.6*1.7*('CAPEX+OPEX'!$G$116/'CAPEX+OPEX'!$G$115)</f>
        <v>2020.9471695483442</v>
      </c>
      <c r="CU6">
        <f>7963.6*(CP6/1000)^0.6*1.7*('CAPEX+OPEX'!$G$116/'CAPEX+OPEX'!$G$115)</f>
        <v>1944.1856192810644</v>
      </c>
      <c r="CV6">
        <f>7963.6*(CQ6/1000)^0.6*1.7*('CAPEX+OPEX'!$G$116/'CAPEX+OPEX'!$G$115)</f>
        <v>1005.6919493837378</v>
      </c>
      <c r="CW6">
        <v>300</v>
      </c>
      <c r="CX6">
        <f t="shared" si="15"/>
        <v>30</v>
      </c>
      <c r="CY6">
        <f t="shared" si="16"/>
        <v>10</v>
      </c>
      <c r="CZ6">
        <f t="shared" si="17"/>
        <v>9.2682535301965796</v>
      </c>
      <c r="DA6">
        <f t="shared" si="40"/>
        <v>3960</v>
      </c>
      <c r="DB6">
        <f t="shared" si="18"/>
        <v>3960</v>
      </c>
      <c r="DC6">
        <f>CF6*'Reagent cost'!$C$18/1000*'Reagent cost'!$H$18</f>
        <v>4784.413580611521</v>
      </c>
      <c r="DD6">
        <f>CX6*'Ligand cost'!$B$56*'Ligand cost'!$J$56</f>
        <v>30543.831958072875</v>
      </c>
      <c r="DE6">
        <f t="shared" si="41"/>
        <v>39625.826528698344</v>
      </c>
      <c r="DF6">
        <f t="shared" si="19"/>
        <v>4586243.4239371875</v>
      </c>
      <c r="DG6">
        <f t="shared" si="42"/>
        <v>11794834.586807497</v>
      </c>
      <c r="DH6">
        <f t="shared" si="20"/>
        <v>2275209.1661185985</v>
      </c>
      <c r="DI6">
        <f t="shared" si="21"/>
        <v>14083914.336508472</v>
      </c>
      <c r="DJ6">
        <f t="shared" si="43"/>
        <v>1662824.8986326549</v>
      </c>
      <c r="DK6" s="55">
        <f>DF6*($BK$2/10000)^0.72*0.6*((A6+1)/3)^0.6*('CAPEX+OPEX'!$G$116/'CAPEX+OPEX'!$G$114)</f>
        <v>277110.05868710927</v>
      </c>
      <c r="DL6" s="55">
        <f>DG6*($BK$2/10000)^0.72*0.6*((A6+1)/3)^0.6*('CAPEX+OPEX'!$G$116/'CAPEX+OPEX'!$G$114)</f>
        <v>712667.64592034358</v>
      </c>
      <c r="DM6" s="55">
        <f>DH6*($BK$2/10000)^0.72*0.6*((A6+1)/3)^0.6*('CAPEX+OPEX'!$G$116/'CAPEX+OPEX'!$G$114)</f>
        <v>137472.7172696206</v>
      </c>
      <c r="DN6" s="55">
        <f>DI6*($BK$2/10000)^0.72*0.6*((A6+1)/3)^0.6*('CAPEX+OPEX'!$G$116/'CAPEX+OPEX'!$G$114)</f>
        <v>850978.45176818396</v>
      </c>
      <c r="DO6" s="55">
        <f>DJ6*($BK$2/10000)^0.72*0.6*((A6+1)/3)^0.6*('CAPEX+OPEX'!$G$116/'CAPEX+OPEX'!$G$114)</f>
        <v>100471.2272448259</v>
      </c>
      <c r="DP6">
        <f t="shared" si="44"/>
        <v>2078700.100890083</v>
      </c>
      <c r="DQ6">
        <f>DF6*(BM6/10000)^0.72*0.6*((AF6+1)/3)^0.6*('CAPEX+OPEX'!$G$116/'CAPEX+OPEX'!$G$114)</f>
        <v>426776.29907897458</v>
      </c>
      <c r="DR6">
        <f>DG6*(BM6/10000)^0.72*0.6*((AF6+1)/3)^0.6*('CAPEX+OPEX'!$G$116/'CAPEX+OPEX'!$G$114)</f>
        <v>1097577.1209468474</v>
      </c>
      <c r="DS6">
        <f>DH6*(BM6/10000)^0.72*0.6*((AF6+1)/3)^0.6*('CAPEX+OPEX'!$G$116/'CAPEX+OPEX'!$G$114)</f>
        <v>211721.28423856513</v>
      </c>
      <c r="DT6">
        <f>DI6*(BM6/10000)^0.72*0.6*((AF6+1)/3)^0.6*('CAPEX+OPEX'!$G$116/'CAPEX+OPEX'!$G$114)</f>
        <v>1310589.1426758075</v>
      </c>
      <c r="DU6">
        <f>DJ6*(BM6/10000)^0.72*0.6*((AF6+1)/3)^0.6*('CAPEX+OPEX'!$G$116/'CAPEX+OPEX'!$G$114)</f>
        <v>154735.40993286247</v>
      </c>
      <c r="DV6">
        <f t="shared" si="45"/>
        <v>3201399.2568730568</v>
      </c>
      <c r="DW6">
        <f t="shared" si="46"/>
        <v>5349673.4252093481</v>
      </c>
      <c r="DX6">
        <f t="shared" si="47"/>
        <v>356644.89501395653</v>
      </c>
      <c r="DY6">
        <f>BO6*'Reagent cost'!$C$35*60*7200</f>
        <v>1761651.8898019071</v>
      </c>
      <c r="DZ6">
        <f>BP6*'Reagent cost'!$C$34*60*7200</f>
        <v>419179.29009205382</v>
      </c>
      <c r="EA6">
        <f>BQ6*'Reagent cost'!$C$14*'Reagent cost'!$C$36/1000*60*7200</f>
        <v>6948241.5262185261</v>
      </c>
      <c r="EB6">
        <f t="shared" si="22"/>
        <v>39.6</v>
      </c>
      <c r="EC6">
        <f t="shared" si="23"/>
        <v>95.688271612230423</v>
      </c>
      <c r="ED6">
        <f>0.1*BK6*60*7200*'Reagent cost'!$H$17*'Reagent cost'!$C$17/1000</f>
        <v>504921.59999999998</v>
      </c>
      <c r="EE6">
        <f>BV6*0.1*'Reagent cost'!$C$16/1000*'Reagent cost'!$H$16*60*7200</f>
        <v>1723679.0593461264</v>
      </c>
      <c r="EF6">
        <f>BZ6/1000*'Reagent cost'!$H$19*'Reagent cost'!$C$19*60*7200</f>
        <v>144826.74735716759</v>
      </c>
      <c r="EG6">
        <f>0.33*('Costing 100 Lmin Feed Orig'!BO6*'Reagent cost'!$C$13+'Costing 100 Lmin Feed Orig'!BP6*'Reagent cost'!$C$12+'Costing 100 Lmin Feed Orig'!BQ6*'Reagent cost'!$C$14+'Costing 100 Lmin Feed Orig'!BV6*0.1*'Reagent cost'!$C$16+'Costing 100 Lmin Feed Orig'!BZ6*'Reagent cost'!$C$19)/1000*60*7200</f>
        <v>296311.85141479818</v>
      </c>
      <c r="EH6">
        <f>CG6*'Reagent cost'!$C$35*60*7200</f>
        <v>1859378.5049335624</v>
      </c>
      <c r="EI6">
        <f>CH6*'Reagent cost'!$C$34*60*7200</f>
        <v>442433.01768212439</v>
      </c>
      <c r="EJ6">
        <f>CI6*'Reagent cost'!$C$14*'Reagent cost'!$C$36/1000*60*7200</f>
        <v>7333691.1882121339</v>
      </c>
      <c r="EK6">
        <f t="shared" si="24"/>
        <v>39.6</v>
      </c>
      <c r="EL6">
        <f t="shared" si="25"/>
        <v>610.87663916145755</v>
      </c>
      <c r="EM6">
        <f>0.1*BM6*60*7200*'Reagent cost'!$H$17*'Reagent cost'!$C$17/1000</f>
        <v>467974.14016725059</v>
      </c>
      <c r="EN6">
        <f>CN6*0.1*'Reagent cost'!$C$16/1000*'Reagent cost'!$H$16*60*7200</f>
        <v>1819299.1537690687</v>
      </c>
      <c r="EO6">
        <f>CR6/1000*'Reagent cost'!$H$19*'Reagent cost'!$C$19*60*7200</f>
        <v>152860.92702778059</v>
      </c>
      <c r="EP6">
        <f>0.33*(CG6*'Reagent cost'!$C$13+CH6*'Reagent cost'!$C$12+CI6*'Reagent cost'!$C$14+CN6*0.1*'Reagent cost'!$C$16+CR6*'Reagent cost'!$C$19)/1000*60*7200</f>
        <v>312749.57922572142</v>
      </c>
      <c r="EQ6">
        <f t="shared" si="48"/>
        <v>28294707.371422164</v>
      </c>
      <c r="ER6">
        <f t="shared" si="49"/>
        <v>609061.4306405196</v>
      </c>
      <c r="ES6">
        <f t="shared" si="50"/>
        <v>27520.276190787874</v>
      </c>
      <c r="ET6">
        <f t="shared" si="51"/>
        <v>16610.439588917834</v>
      </c>
      <c r="EU6">
        <f t="shared" si="52"/>
        <v>7032.645793695051</v>
      </c>
      <c r="EV6">
        <f t="shared" si="53"/>
        <v>3725.3886787897172</v>
      </c>
      <c r="EW6">
        <f t="shared" si="54"/>
        <v>3750.7444233040283</v>
      </c>
      <c r="EX6">
        <f t="shared" si="55"/>
        <v>58639.494675494512</v>
      </c>
      <c r="EY6">
        <f t="shared" si="56"/>
        <v>38686.572845783812</v>
      </c>
      <c r="EZ6">
        <f t="shared" si="57"/>
        <v>35019.81528771764</v>
      </c>
      <c r="FA6">
        <f t="shared" si="58"/>
        <v>14826.93792423529</v>
      </c>
      <c r="FB6">
        <f t="shared" si="59"/>
        <v>7858.4216970742636</v>
      </c>
      <c r="FC6">
        <f t="shared" si="60"/>
        <v>7907.700226258823</v>
      </c>
      <c r="FD6">
        <f t="shared" si="61"/>
        <v>104299.44798106984</v>
      </c>
      <c r="FE6">
        <f t="shared" si="62"/>
        <v>29066707.744719248</v>
      </c>
      <c r="FF6">
        <f t="shared" si="63"/>
        <v>29423352.639733206</v>
      </c>
      <c r="FG6">
        <f>BM6*AM6*195.08/1000*'PGM market prices'!$C$2*60*7200</f>
        <v>423717037.81367409</v>
      </c>
      <c r="FH6">
        <f>BN6*AQ6*BA6*106.42/1000*'PGM market prices'!$C$3*60*7200</f>
        <v>224176740.81529951</v>
      </c>
      <c r="FI6">
        <f>BK6*J6*102.91/1000*'PGM market prices'!$C$4*60*7200</f>
        <v>237485335.29232115</v>
      </c>
      <c r="FJ6">
        <f t="shared" si="26"/>
        <v>885379113.92129469</v>
      </c>
      <c r="FK6">
        <f t="shared" si="27"/>
        <v>633407263.34835553</v>
      </c>
      <c r="FL6">
        <f t="shared" si="64"/>
        <v>0.68109612591975011</v>
      </c>
      <c r="FM6">
        <f t="shared" si="65"/>
        <v>2342.2687486517916</v>
      </c>
      <c r="FN6">
        <f t="shared" si="66"/>
        <v>4322.0429893778346</v>
      </c>
      <c r="FO6">
        <f t="shared" si="67"/>
        <v>20436.074990066929</v>
      </c>
    </row>
    <row r="7" spans="1:176">
      <c r="A7">
        <v>3</v>
      </c>
      <c r="B7">
        <v>1.54143585092054E-3</v>
      </c>
      <c r="C7">
        <v>1.54143585092054E-3</v>
      </c>
      <c r="D7">
        <v>3.4254130020456501E-4</v>
      </c>
      <c r="E7">
        <v>0</v>
      </c>
      <c r="F7">
        <v>0</v>
      </c>
      <c r="G7">
        <v>0</v>
      </c>
      <c r="H7" s="53">
        <v>1.6300358850230801E-5</v>
      </c>
      <c r="I7" s="53">
        <v>7.4474859607128495E-7</v>
      </c>
      <c r="J7">
        <v>3.2385704147932398E-4</v>
      </c>
      <c r="K7">
        <v>8.07271092797512E-2</v>
      </c>
      <c r="L7">
        <v>8.15504849440159E-2</v>
      </c>
      <c r="M7">
        <v>9.8897848995466706E-4</v>
      </c>
      <c r="N7" s="53">
        <v>-9.8011876392689601E-17</v>
      </c>
      <c r="O7" s="53">
        <v>1.94289029309402E-16</v>
      </c>
      <c r="P7" s="53">
        <v>-4.3537493488870999E-18</v>
      </c>
      <c r="Q7">
        <v>0.18892482409907799</v>
      </c>
      <c r="R7">
        <v>94.545399718491396</v>
      </c>
      <c r="S7">
        <v>500</v>
      </c>
      <c r="T7">
        <v>95</v>
      </c>
      <c r="U7">
        <v>1</v>
      </c>
      <c r="V7">
        <v>0.1</v>
      </c>
      <c r="W7">
        <v>52.931106580020597</v>
      </c>
      <c r="X7" t="s">
        <v>323</v>
      </c>
      <c r="Y7">
        <v>1</v>
      </c>
      <c r="Z7">
        <v>0.28318429382522198</v>
      </c>
      <c r="AA7">
        <v>0.56945642916197003</v>
      </c>
      <c r="AB7">
        <v>3.7698628972227502E-3</v>
      </c>
      <c r="AC7">
        <v>1822.2107908876901</v>
      </c>
      <c r="AD7">
        <v>2662.6059073104898</v>
      </c>
      <c r="AE7">
        <v>2401.5030938442701</v>
      </c>
      <c r="AF7">
        <v>9</v>
      </c>
      <c r="AG7">
        <v>1.6455478770638001E-3</v>
      </c>
      <c r="AH7">
        <v>1.66233163271225E-3</v>
      </c>
      <c r="AI7" s="53">
        <v>2.0159416943409301E-5</v>
      </c>
      <c r="AJ7">
        <v>0</v>
      </c>
      <c r="AK7">
        <v>0</v>
      </c>
      <c r="AL7">
        <v>0</v>
      </c>
      <c r="AM7">
        <v>1.6083318712016E-3</v>
      </c>
      <c r="AN7" s="53">
        <v>6.46235091896047E-5</v>
      </c>
      <c r="AO7" s="53">
        <v>2.0025536590245201E-5</v>
      </c>
      <c r="AP7">
        <v>1.7304893324093099E-3</v>
      </c>
      <c r="AQ7">
        <v>7.4291069145050903E-2</v>
      </c>
      <c r="AR7" s="53">
        <v>6.2252387814425299E-6</v>
      </c>
      <c r="AS7" s="53">
        <v>2.10275590342701E-15</v>
      </c>
      <c r="AT7" s="53">
        <v>-3.1233609448788598E-13</v>
      </c>
      <c r="AU7" s="53">
        <v>8.7085574889582693E-21</v>
      </c>
      <c r="AV7">
        <v>0.19932360820213499</v>
      </c>
      <c r="AW7">
        <v>99.335891739627598</v>
      </c>
      <c r="AX7">
        <v>500</v>
      </c>
      <c r="AY7">
        <v>95</v>
      </c>
      <c r="AZ7">
        <v>0.92682535301965796</v>
      </c>
      <c r="BA7">
        <v>0.1</v>
      </c>
      <c r="BB7">
        <v>46.498523751374002</v>
      </c>
      <c r="BC7" t="s">
        <v>251</v>
      </c>
      <c r="BD7">
        <v>1</v>
      </c>
      <c r="BE7">
        <v>1.8775014999999999E-2</v>
      </c>
      <c r="BF7">
        <v>0.10492961100000001</v>
      </c>
      <c r="BG7">
        <v>1.814625E-3</v>
      </c>
      <c r="BH7">
        <v>285.1951444</v>
      </c>
      <c r="BI7">
        <v>2169.8944889999998</v>
      </c>
      <c r="BJ7">
        <v>866.49409060000005</v>
      </c>
      <c r="BK7">
        <f t="shared" si="0"/>
        <v>100</v>
      </c>
      <c r="BL7">
        <f t="shared" si="1"/>
        <v>18.892482409907799</v>
      </c>
      <c r="BM7">
        <f t="shared" si="2"/>
        <v>92.6825353019658</v>
      </c>
      <c r="BN7">
        <f t="shared" si="3"/>
        <v>19.9323608202135</v>
      </c>
      <c r="BO7">
        <f t="shared" si="28"/>
        <v>6.8012936675668074</v>
      </c>
      <c r="BP7">
        <f t="shared" si="4"/>
        <v>0.45341957783778719</v>
      </c>
      <c r="BQ7">
        <f t="shared" si="5"/>
        <v>2.267097889188936</v>
      </c>
      <c r="BR7">
        <f t="shared" si="29"/>
        <v>1.133548944594468</v>
      </c>
      <c r="BS7">
        <f t="shared" si="6"/>
        <v>1.88924824099078</v>
      </c>
      <c r="BT7">
        <f t="shared" si="30"/>
        <v>11.335489445944679</v>
      </c>
      <c r="BU7">
        <f t="shared" si="7"/>
        <v>30.227971855852481</v>
      </c>
      <c r="BV7">
        <f t="shared" si="31"/>
        <v>9.4462412049538997</v>
      </c>
      <c r="BW7">
        <f t="shared" si="8"/>
        <v>83.236294097011893</v>
      </c>
      <c r="BX7">
        <f t="shared" si="32"/>
        <v>111.5750177118736</v>
      </c>
      <c r="BY7">
        <f t="shared" si="33"/>
        <v>92.6825353019658</v>
      </c>
      <c r="BZ7">
        <f t="shared" si="34"/>
        <v>2.6449475373870919</v>
      </c>
      <c r="CA7">
        <f>7963.6*(BT7/1000)^0.6*1.7*('CAPEX+OPEX'!$G$116/'CAPEX+OPEX'!$G$115)</f>
        <v>1086.1882339348488</v>
      </c>
      <c r="CB7">
        <f>7963.6*(BU7/1000)^0.6*1.7*('CAPEX+OPEX'!$G$116/'CAPEX+OPEX'!$G$115)</f>
        <v>1956.5291978096809</v>
      </c>
      <c r="CC7">
        <f>7963.6*(BX7/1000)^0.6*1.7*('CAPEX+OPEX'!$G$116/'CAPEX+OPEX'!$G$115)</f>
        <v>4283.3257744249922</v>
      </c>
      <c r="CD7">
        <f>7963.6*(BY7/1000)^0.6*1.7*('CAPEX+OPEX'!$G$116/'CAPEX+OPEX'!$G$115)</f>
        <v>3832.125036591081</v>
      </c>
      <c r="CE7">
        <v>300</v>
      </c>
      <c r="CF7">
        <v>30</v>
      </c>
      <c r="CG7">
        <f t="shared" si="9"/>
        <v>7.1756498952768597</v>
      </c>
      <c r="CH7">
        <f t="shared" si="10"/>
        <v>0.47837665968512399</v>
      </c>
      <c r="CI7">
        <f t="shared" si="11"/>
        <v>2.3918832984256198</v>
      </c>
      <c r="CJ7">
        <f t="shared" si="12"/>
        <v>1.1959416492128099</v>
      </c>
      <c r="CK7">
        <f t="shared" si="13"/>
        <v>1.9932360820213502</v>
      </c>
      <c r="CL7">
        <f t="shared" si="14"/>
        <v>11.959416492128099</v>
      </c>
      <c r="CM7">
        <f t="shared" si="35"/>
        <v>31.891777312341603</v>
      </c>
      <c r="CN7">
        <f t="shared" si="36"/>
        <v>9.9661804101067499</v>
      </c>
      <c r="CO7">
        <v>0</v>
      </c>
      <c r="CP7">
        <f t="shared" si="37"/>
        <v>29.898541230320248</v>
      </c>
      <c r="CQ7">
        <f t="shared" si="38"/>
        <v>9.9661804101067499</v>
      </c>
      <c r="CR7">
        <f t="shared" si="39"/>
        <v>2.7905305148298902</v>
      </c>
      <c r="CS7">
        <f>7963.6*(CL7/1000)^0.6*1.7*('CAPEX+OPEX'!$G$116/'CAPEX+OPEX'!$G$115)</f>
        <v>1121.674694902144</v>
      </c>
      <c r="CT7">
        <f>7963.6*(CM7/1000)^0.6*1.7*('CAPEX+OPEX'!$G$116/'CAPEX+OPEX'!$G$115)</f>
        <v>2020.4502520434639</v>
      </c>
      <c r="CU7">
        <f>7963.6*(CP7/1000)^0.6*1.7*('CAPEX+OPEX'!$G$116/'CAPEX+OPEX'!$G$115)</f>
        <v>1943.707576172608</v>
      </c>
      <c r="CV7">
        <f>7963.6*(CQ7/1000)^0.6*1.7*('CAPEX+OPEX'!$G$116/'CAPEX+OPEX'!$G$115)</f>
        <v>1005.4446663564046</v>
      </c>
      <c r="CW7">
        <v>300</v>
      </c>
      <c r="CX7">
        <f t="shared" si="15"/>
        <v>30</v>
      </c>
      <c r="CY7">
        <f t="shared" si="16"/>
        <v>10</v>
      </c>
      <c r="CZ7">
        <f t="shared" si="17"/>
        <v>9.2682535301965796</v>
      </c>
      <c r="DA7">
        <f t="shared" si="40"/>
        <v>3960</v>
      </c>
      <c r="DB7">
        <f t="shared" si="18"/>
        <v>3960</v>
      </c>
      <c r="DC7">
        <f>CF7*'Reagent cost'!$C$18/1000*'Reagent cost'!$H$18</f>
        <v>4784.413580611521</v>
      </c>
      <c r="DD7">
        <f>CX7*'Ligand cost'!$B$56*'Ligand cost'!$J$56</f>
        <v>30543.831958072875</v>
      </c>
      <c r="DE7">
        <f t="shared" si="41"/>
        <v>39625.826528698344</v>
      </c>
      <c r="DF7">
        <f t="shared" si="19"/>
        <v>4586243.4239371875</v>
      </c>
      <c r="DG7">
        <f t="shared" si="42"/>
        <v>11794834.586807497</v>
      </c>
      <c r="DH7">
        <f t="shared" si="20"/>
        <v>2275209.1661185985</v>
      </c>
      <c r="DI7">
        <f t="shared" si="21"/>
        <v>14083914.336508472</v>
      </c>
      <c r="DJ7">
        <f t="shared" si="43"/>
        <v>1662824.8986326549</v>
      </c>
      <c r="DK7" s="55">
        <f>DF7*($BK$2/10000)^0.72*0.6*((A7+1)/3)^0.6*('CAPEX+OPEX'!$G$116/'CAPEX+OPEX'!$G$114)</f>
        <v>277110.05868710927</v>
      </c>
      <c r="DL7" s="55">
        <f>DG7*($BK$2/10000)^0.72*0.6*((A7+1)/3)^0.6*('CAPEX+OPEX'!$G$116/'CAPEX+OPEX'!$G$114)</f>
        <v>712667.64592034358</v>
      </c>
      <c r="DM7" s="55">
        <f>DH7*($BK$2/10000)^0.72*0.6*((A7+1)/3)^0.6*('CAPEX+OPEX'!$G$116/'CAPEX+OPEX'!$G$114)</f>
        <v>137472.7172696206</v>
      </c>
      <c r="DN7" s="55">
        <f>DI7*($BK$2/10000)^0.72*0.6*((A7+1)/3)^0.6*('CAPEX+OPEX'!$G$116/'CAPEX+OPEX'!$G$114)</f>
        <v>850978.45176818396</v>
      </c>
      <c r="DO7" s="55">
        <f>DJ7*($BK$2/10000)^0.72*0.6*((A7+1)/3)^0.6*('CAPEX+OPEX'!$G$116/'CAPEX+OPEX'!$G$114)</f>
        <v>100471.2272448259</v>
      </c>
      <c r="DP7">
        <f t="shared" si="44"/>
        <v>2078700.100890083</v>
      </c>
      <c r="DQ7">
        <f>DF7*(BM7/10000)^0.72*0.6*((AF7+1)/3)^0.6*('CAPEX+OPEX'!$G$116/'CAPEX+OPEX'!$G$114)</f>
        <v>454626.54222391039</v>
      </c>
      <c r="DR7">
        <f>DG7*(BM7/10000)^0.72*0.6*((AF7+1)/3)^0.6*('CAPEX+OPEX'!$G$116/'CAPEX+OPEX'!$G$114)</f>
        <v>1169201.973954516</v>
      </c>
      <c r="DS7">
        <f>DH7*(BM7/10000)^0.72*0.6*((AF7+1)/3)^0.6*('CAPEX+OPEX'!$G$116/'CAPEX+OPEX'!$G$114)</f>
        <v>225537.6307829429</v>
      </c>
      <c r="DT7">
        <f>DI7*(BM7/10000)^0.72*0.6*((AF7+1)/3)^0.6*('CAPEX+OPEX'!$G$116/'CAPEX+OPEX'!$G$114)</f>
        <v>1396114.5721933446</v>
      </c>
      <c r="DU7">
        <f>DJ7*(BM7/10000)^0.72*0.6*((AF7+1)/3)^0.6*('CAPEX+OPEX'!$G$116/'CAPEX+OPEX'!$G$114)</f>
        <v>164833.01563182398</v>
      </c>
      <c r="DV7">
        <f t="shared" si="45"/>
        <v>3410313.7347865375</v>
      </c>
      <c r="DW7">
        <f t="shared" si="46"/>
        <v>5558586.1802931782</v>
      </c>
      <c r="DX7">
        <f t="shared" si="47"/>
        <v>370572.41201954521</v>
      </c>
      <c r="DY7">
        <f>BO7*'Reagent cost'!$C$35*60*7200</f>
        <v>1761651.8898019071</v>
      </c>
      <c r="DZ7">
        <f>BP7*'Reagent cost'!$C$34*60*7200</f>
        <v>419179.29009205382</v>
      </c>
      <c r="EA7">
        <f>BQ7*'Reagent cost'!$C$14*'Reagent cost'!$C$36/1000*60*7200</f>
        <v>6948241.5262185261</v>
      </c>
      <c r="EB7">
        <f t="shared" si="22"/>
        <v>39.6</v>
      </c>
      <c r="EC7">
        <f t="shared" si="23"/>
        <v>95.688271612230423</v>
      </c>
      <c r="ED7">
        <f>0.1*BK7*60*7200*'Reagent cost'!$H$17*'Reagent cost'!$C$17/1000</f>
        <v>504921.59999999998</v>
      </c>
      <c r="EE7">
        <f>BV7*0.1*'Reagent cost'!$C$16/1000*'Reagent cost'!$H$16*60*7200</f>
        <v>1723679.0593461264</v>
      </c>
      <c r="EF7">
        <f>BZ7/1000*'Reagent cost'!$H$19*'Reagent cost'!$C$19*60*7200</f>
        <v>144826.74735716759</v>
      </c>
      <c r="EG7">
        <f>0.33*('Costing 100 Lmin Feed Orig'!BO7*'Reagent cost'!$C$13+'Costing 100 Lmin Feed Orig'!BP7*'Reagent cost'!$C$12+'Costing 100 Lmin Feed Orig'!BQ7*'Reagent cost'!$C$14+'Costing 100 Lmin Feed Orig'!BV7*0.1*'Reagent cost'!$C$16+'Costing 100 Lmin Feed Orig'!BZ7*'Reagent cost'!$C$19)/1000*60*7200</f>
        <v>296311.85141479818</v>
      </c>
      <c r="EH7">
        <f>CG7*'Reagent cost'!$C$35*60*7200</f>
        <v>1858616.5833203481</v>
      </c>
      <c r="EI7">
        <f>CH7*'Reagent cost'!$C$34*60*7200</f>
        <v>442251.72093287337</v>
      </c>
      <c r="EJ7">
        <f>CI7*'Reagent cost'!$C$14*'Reagent cost'!$C$36/1000*60*7200</f>
        <v>7330686.0454689441</v>
      </c>
      <c r="EK7">
        <f t="shared" si="24"/>
        <v>39.6</v>
      </c>
      <c r="EL7">
        <f t="shared" si="25"/>
        <v>610.87663916145755</v>
      </c>
      <c r="EM7">
        <f>0.1*BM7*60*7200*'Reagent cost'!$H$17*'Reagent cost'!$C$17/1000</f>
        <v>467974.14016725059</v>
      </c>
      <c r="EN7">
        <f>CN7*0.1*'Reagent cost'!$C$16/1000*'Reagent cost'!$H$16*60*7200</f>
        <v>1818553.6555595957</v>
      </c>
      <c r="EO7">
        <f>CR7/1000*'Reagent cost'!$H$19*'Reagent cost'!$C$19*60*7200</f>
        <v>152798.28887002548</v>
      </c>
      <c r="EP7">
        <f>0.33*(CG7*'Reagent cost'!$C$13+CH7*'Reagent cost'!$C$12+CI7*'Reagent cost'!$C$14+CN7*0.1*'Reagent cost'!$C$16+CR7*'Reagent cost'!$C$19)/1000*60*7200</f>
        <v>312621.4231438351</v>
      </c>
      <c r="EQ7">
        <f t="shared" si="48"/>
        <v>28288999.574454706</v>
      </c>
      <c r="ER7">
        <f t="shared" si="49"/>
        <v>608933.27455863333</v>
      </c>
      <c r="ES7">
        <f t="shared" si="50"/>
        <v>27520.276190787874</v>
      </c>
      <c r="ET7">
        <f t="shared" si="51"/>
        <v>16610.439588917834</v>
      </c>
      <c r="EU7">
        <f t="shared" si="52"/>
        <v>7032.645793695051</v>
      </c>
      <c r="EV7">
        <f t="shared" si="53"/>
        <v>3725.3886787897172</v>
      </c>
      <c r="EW7">
        <f t="shared" si="54"/>
        <v>3750.7444233040283</v>
      </c>
      <c r="EX7">
        <f t="shared" si="55"/>
        <v>58639.494675494512</v>
      </c>
      <c r="EY7">
        <f t="shared" si="56"/>
        <v>41265.6777021694</v>
      </c>
      <c r="EZ7">
        <f t="shared" si="57"/>
        <v>38910.905875241828</v>
      </c>
      <c r="FA7">
        <f t="shared" si="58"/>
        <v>16474.375471372547</v>
      </c>
      <c r="FB7">
        <f t="shared" si="59"/>
        <v>8731.5796634158487</v>
      </c>
      <c r="FC7">
        <f t="shared" si="60"/>
        <v>8786.3335847320268</v>
      </c>
      <c r="FD7">
        <f t="shared" si="61"/>
        <v>114168.87229693164</v>
      </c>
      <c r="FE7">
        <f t="shared" si="62"/>
        <v>29070741.215985768</v>
      </c>
      <c r="FF7">
        <f t="shared" si="63"/>
        <v>29441313.628005311</v>
      </c>
      <c r="FG7">
        <f>BM7*AM7*195.08/1000*'PGM market prices'!$C$2*60*7200</f>
        <v>423731315.88449073</v>
      </c>
      <c r="FH7">
        <f>BN7*AQ7*BA7*106.42/1000*'PGM market prices'!$C$3*60*7200</f>
        <v>224176366.88603893</v>
      </c>
      <c r="FI7">
        <f>BK7*J7*102.91/1000*'PGM market prices'!$C$4*60*7200</f>
        <v>237485335.29232115</v>
      </c>
      <c r="FJ7">
        <f t="shared" si="26"/>
        <v>885393018.06285071</v>
      </c>
      <c r="FK7">
        <f t="shared" si="27"/>
        <v>633404261.28178561</v>
      </c>
      <c r="FL7">
        <f t="shared" si="64"/>
        <v>0.68151188953716002</v>
      </c>
      <c r="FM7">
        <f t="shared" si="65"/>
        <v>2343.6195736386726</v>
      </c>
      <c r="FN7">
        <f t="shared" si="66"/>
        <v>4324.6885210924866</v>
      </c>
      <c r="FO7">
        <f t="shared" si="67"/>
        <v>20448.549846610938</v>
      </c>
    </row>
    <row r="8" spans="1:176">
      <c r="A8">
        <v>3</v>
      </c>
      <c r="B8">
        <v>1.54143585092054E-3</v>
      </c>
      <c r="C8">
        <v>1.54143585092054E-3</v>
      </c>
      <c r="D8">
        <v>3.4254130020456501E-4</v>
      </c>
      <c r="E8">
        <v>0</v>
      </c>
      <c r="F8">
        <v>0</v>
      </c>
      <c r="G8">
        <v>0</v>
      </c>
      <c r="H8" s="53">
        <v>1.6300358850230801E-5</v>
      </c>
      <c r="I8" s="53">
        <v>7.4474859607128495E-7</v>
      </c>
      <c r="J8">
        <v>3.2385704147932398E-4</v>
      </c>
      <c r="K8">
        <v>8.07271092797512E-2</v>
      </c>
      <c r="L8">
        <v>8.15504849440159E-2</v>
      </c>
      <c r="M8">
        <v>9.8897848995466706E-4</v>
      </c>
      <c r="N8" s="53">
        <v>-9.8011876392689601E-17</v>
      </c>
      <c r="O8" s="53">
        <v>1.94289029309402E-16</v>
      </c>
      <c r="P8" s="53">
        <v>-4.3537493488870999E-18</v>
      </c>
      <c r="Q8">
        <v>0.18892482409907799</v>
      </c>
      <c r="R8">
        <v>94.545399718491396</v>
      </c>
      <c r="S8">
        <v>500</v>
      </c>
      <c r="T8">
        <v>95</v>
      </c>
      <c r="U8">
        <v>1</v>
      </c>
      <c r="V8">
        <v>0.1</v>
      </c>
      <c r="W8">
        <v>52.931106580020597</v>
      </c>
      <c r="X8" t="s">
        <v>323</v>
      </c>
      <c r="Y8">
        <v>1</v>
      </c>
      <c r="Z8">
        <v>0.28318429382522198</v>
      </c>
      <c r="AA8">
        <v>0.56945642916197003</v>
      </c>
      <c r="AB8">
        <v>3.7698628972227502E-3</v>
      </c>
      <c r="AC8">
        <v>1822.2107908876901</v>
      </c>
      <c r="AD8">
        <v>2662.6059073104898</v>
      </c>
      <c r="AE8">
        <v>2401.5030938442701</v>
      </c>
      <c r="AF8">
        <v>10</v>
      </c>
      <c r="AG8">
        <v>1.6455478770638001E-3</v>
      </c>
      <c r="AH8">
        <v>1.66233163271225E-3</v>
      </c>
      <c r="AI8" s="53">
        <v>2.0159416943409301E-5</v>
      </c>
      <c r="AJ8">
        <v>0</v>
      </c>
      <c r="AK8">
        <v>0</v>
      </c>
      <c r="AL8">
        <v>0</v>
      </c>
      <c r="AM8">
        <v>1.6083474060022401E-3</v>
      </c>
      <c r="AN8" s="53">
        <v>6.4624273291128494E-5</v>
      </c>
      <c r="AO8" s="53">
        <v>2.0025590180477699E-5</v>
      </c>
      <c r="AP8">
        <v>1.7299702748473499E-3</v>
      </c>
      <c r="AQ8">
        <v>7.42997645145482E-2</v>
      </c>
      <c r="AR8" s="53">
        <v>6.2234782314335099E-6</v>
      </c>
      <c r="AS8" s="53">
        <v>1.84991995680339E-18</v>
      </c>
      <c r="AT8" s="53">
        <v>-4.37800837249646E-16</v>
      </c>
      <c r="AU8" s="53">
        <v>-4.9498487855173101E-21</v>
      </c>
      <c r="AV8">
        <v>0.19930018582065301</v>
      </c>
      <c r="AW8">
        <v>99.336157571881799</v>
      </c>
      <c r="AX8">
        <v>500</v>
      </c>
      <c r="AY8">
        <v>95</v>
      </c>
      <c r="AZ8">
        <v>0.92682535301965796</v>
      </c>
      <c r="BA8">
        <v>0.1</v>
      </c>
      <c r="BB8">
        <v>46.503988403387098</v>
      </c>
      <c r="BC8" t="s">
        <v>251</v>
      </c>
      <c r="BD8">
        <v>1</v>
      </c>
      <c r="BE8">
        <v>1.8775014999999999E-2</v>
      </c>
      <c r="BF8">
        <v>0.10492961100000001</v>
      </c>
      <c r="BG8">
        <v>1.814625E-3</v>
      </c>
      <c r="BH8">
        <v>285.1951444</v>
      </c>
      <c r="BI8">
        <v>2169.8944889999998</v>
      </c>
      <c r="BJ8">
        <v>866.49409060000005</v>
      </c>
      <c r="BK8">
        <f t="shared" si="0"/>
        <v>100</v>
      </c>
      <c r="BL8">
        <f t="shared" si="1"/>
        <v>18.892482409907799</v>
      </c>
      <c r="BM8">
        <f t="shared" si="2"/>
        <v>92.6825353019658</v>
      </c>
      <c r="BN8">
        <f t="shared" si="3"/>
        <v>19.930018582065301</v>
      </c>
      <c r="BO8">
        <f t="shared" si="28"/>
        <v>6.8012936675668074</v>
      </c>
      <c r="BP8">
        <f t="shared" si="4"/>
        <v>0.45341957783778719</v>
      </c>
      <c r="BQ8">
        <f t="shared" si="5"/>
        <v>2.267097889188936</v>
      </c>
      <c r="BR8">
        <f t="shared" si="29"/>
        <v>1.133548944594468</v>
      </c>
      <c r="BS8">
        <f t="shared" si="6"/>
        <v>1.88924824099078</v>
      </c>
      <c r="BT8">
        <f t="shared" si="30"/>
        <v>11.335489445944679</v>
      </c>
      <c r="BU8">
        <f t="shared" si="7"/>
        <v>30.227971855852481</v>
      </c>
      <c r="BV8">
        <f t="shared" si="31"/>
        <v>9.4462412049538997</v>
      </c>
      <c r="BW8">
        <f t="shared" si="8"/>
        <v>83.236294097011893</v>
      </c>
      <c r="BX8">
        <f t="shared" si="32"/>
        <v>111.5750177118736</v>
      </c>
      <c r="BY8">
        <f t="shared" si="33"/>
        <v>92.6825353019658</v>
      </c>
      <c r="BZ8">
        <f t="shared" si="34"/>
        <v>2.6449475373870919</v>
      </c>
      <c r="CA8">
        <f>7963.6*(BT8/1000)^0.6*1.7*('CAPEX+OPEX'!$G$116/'CAPEX+OPEX'!$G$115)</f>
        <v>1086.1882339348488</v>
      </c>
      <c r="CB8">
        <f>7963.6*(BU8/1000)^0.6*1.7*('CAPEX+OPEX'!$G$116/'CAPEX+OPEX'!$G$115)</f>
        <v>1956.5291978096809</v>
      </c>
      <c r="CC8">
        <f>7963.6*(BX8/1000)^0.6*1.7*('CAPEX+OPEX'!$G$116/'CAPEX+OPEX'!$G$115)</f>
        <v>4283.3257744249922</v>
      </c>
      <c r="CD8">
        <f>7963.6*(BY8/1000)^0.6*1.7*('CAPEX+OPEX'!$G$116/'CAPEX+OPEX'!$G$115)</f>
        <v>3832.125036591081</v>
      </c>
      <c r="CE8">
        <v>300</v>
      </c>
      <c r="CF8">
        <v>30</v>
      </c>
      <c r="CG8">
        <f t="shared" si="9"/>
        <v>7.1748066895435079</v>
      </c>
      <c r="CH8">
        <f t="shared" si="10"/>
        <v>0.47832044596956724</v>
      </c>
      <c r="CI8">
        <f t="shared" si="11"/>
        <v>2.3916022298478361</v>
      </c>
      <c r="CJ8">
        <f t="shared" si="12"/>
        <v>1.1958011149239181</v>
      </c>
      <c r="CK8">
        <f t="shared" si="13"/>
        <v>1.9930018582065303</v>
      </c>
      <c r="CL8">
        <f t="shared" si="14"/>
        <v>11.95801114923918</v>
      </c>
      <c r="CM8">
        <f t="shared" si="35"/>
        <v>31.888029731304485</v>
      </c>
      <c r="CN8">
        <f t="shared" si="36"/>
        <v>9.9650092910326507</v>
      </c>
      <c r="CO8">
        <v>0</v>
      </c>
      <c r="CP8">
        <f t="shared" si="37"/>
        <v>29.895027873097952</v>
      </c>
      <c r="CQ8">
        <f t="shared" si="38"/>
        <v>9.9650092910326507</v>
      </c>
      <c r="CR8">
        <f t="shared" si="39"/>
        <v>2.7902026014891423</v>
      </c>
      <c r="CS8">
        <f>7963.6*(CL8/1000)^0.6*1.7*('CAPEX+OPEX'!$G$116/'CAPEX+OPEX'!$G$115)</f>
        <v>1121.5956087056172</v>
      </c>
      <c r="CT8">
        <f>7963.6*(CM8/1000)^0.6*1.7*('CAPEX+OPEX'!$G$116/'CAPEX+OPEX'!$G$115)</f>
        <v>2020.3077956553227</v>
      </c>
      <c r="CU8">
        <f>7963.6*(CP8/1000)^0.6*1.7*('CAPEX+OPEX'!$G$116/'CAPEX+OPEX'!$G$115)</f>
        <v>1943.57053069939</v>
      </c>
      <c r="CV8">
        <f>7963.6*(CQ8/1000)^0.6*1.7*('CAPEX+OPEX'!$G$116/'CAPEX+OPEX'!$G$115)</f>
        <v>1005.3737752193924</v>
      </c>
      <c r="CW8">
        <v>300</v>
      </c>
      <c r="CX8">
        <f t="shared" si="15"/>
        <v>30</v>
      </c>
      <c r="CY8">
        <f t="shared" si="16"/>
        <v>10</v>
      </c>
      <c r="CZ8">
        <f t="shared" si="17"/>
        <v>9.2682535301965796</v>
      </c>
      <c r="DA8">
        <f t="shared" si="40"/>
        <v>3960</v>
      </c>
      <c r="DB8">
        <f t="shared" si="18"/>
        <v>3960</v>
      </c>
      <c r="DC8">
        <f>CF8*'Reagent cost'!$C$18/1000*'Reagent cost'!$H$18</f>
        <v>4784.413580611521</v>
      </c>
      <c r="DD8">
        <f>CX8*'Ligand cost'!$B$56*'Ligand cost'!$J$56</f>
        <v>30543.831958072875</v>
      </c>
      <c r="DE8">
        <f t="shared" si="41"/>
        <v>39625.826528698344</v>
      </c>
      <c r="DF8">
        <f t="shared" si="19"/>
        <v>4586243.4239371875</v>
      </c>
      <c r="DG8">
        <f t="shared" si="42"/>
        <v>11794834.586807497</v>
      </c>
      <c r="DH8">
        <f t="shared" si="20"/>
        <v>2275209.1661185985</v>
      </c>
      <c r="DI8">
        <f t="shared" si="21"/>
        <v>14083914.336508472</v>
      </c>
      <c r="DJ8">
        <f t="shared" si="43"/>
        <v>1662824.8986326549</v>
      </c>
      <c r="DK8" s="55">
        <f>DF8*($BK$2/10000)^0.72*0.6*((A8+1)/3)^0.6*('CAPEX+OPEX'!$G$116/'CAPEX+OPEX'!$G$114)</f>
        <v>277110.05868710927</v>
      </c>
      <c r="DL8" s="55">
        <f>DG8*($BK$2/10000)^0.72*0.6*((A8+1)/3)^0.6*('CAPEX+OPEX'!$G$116/'CAPEX+OPEX'!$G$114)</f>
        <v>712667.64592034358</v>
      </c>
      <c r="DM8" s="55">
        <f>DH8*($BK$2/10000)^0.72*0.6*((A8+1)/3)^0.6*('CAPEX+OPEX'!$G$116/'CAPEX+OPEX'!$G$114)</f>
        <v>137472.7172696206</v>
      </c>
      <c r="DN8" s="55">
        <f>DI8*($BK$2/10000)^0.72*0.6*((A8+1)/3)^0.6*('CAPEX+OPEX'!$G$116/'CAPEX+OPEX'!$G$114)</f>
        <v>850978.45176818396</v>
      </c>
      <c r="DO8" s="55">
        <f>DJ8*($BK$2/10000)^0.72*0.6*((A8+1)/3)^0.6*('CAPEX+OPEX'!$G$116/'CAPEX+OPEX'!$G$114)</f>
        <v>100471.2272448259</v>
      </c>
      <c r="DP8">
        <f t="shared" si="44"/>
        <v>2078700.100890083</v>
      </c>
      <c r="DQ8">
        <f>DF8*(BM8/10000)^0.72*0.6*((AF8+1)/3)^0.6*('CAPEX+OPEX'!$G$116/'CAPEX+OPEX'!$G$114)</f>
        <v>481382.61124775378</v>
      </c>
      <c r="DR8">
        <f>DG8*(BM8/10000)^0.72*0.6*((AF8+1)/3)^0.6*('CAPEX+OPEX'!$G$116/'CAPEX+OPEX'!$G$114)</f>
        <v>1238012.8457635215</v>
      </c>
      <c r="DS8">
        <f>DH8*(BM8/10000)^0.72*0.6*((AF8+1)/3)^0.6*('CAPEX+OPEX'!$G$116/'CAPEX+OPEX'!$G$114)</f>
        <v>238811.16379573921</v>
      </c>
      <c r="DT8">
        <f>DI8*(BM8/10000)^0.72*0.6*((AF8+1)/3)^0.6*('CAPEX+OPEX'!$G$116/'CAPEX+OPEX'!$G$114)</f>
        <v>1478279.8977725997</v>
      </c>
      <c r="DU8">
        <f>DJ8*(BM8/10000)^0.72*0.6*((AF8+1)/3)^0.6*('CAPEX+OPEX'!$G$116/'CAPEX+OPEX'!$G$114)</f>
        <v>174533.90885745795</v>
      </c>
      <c r="DV8">
        <f t="shared" si="45"/>
        <v>3611020.4274370722</v>
      </c>
      <c r="DW8">
        <f t="shared" si="46"/>
        <v>5759292.3790426385</v>
      </c>
      <c r="DX8">
        <f t="shared" si="47"/>
        <v>383952.82526950922</v>
      </c>
      <c r="DY8">
        <f>BO8*'Reagent cost'!$C$35*60*7200</f>
        <v>1761651.8898019071</v>
      </c>
      <c r="DZ8">
        <f>BP8*'Reagent cost'!$C$34*60*7200</f>
        <v>419179.29009205382</v>
      </c>
      <c r="EA8">
        <f>BQ8*'Reagent cost'!$C$14*'Reagent cost'!$C$36/1000*60*7200</f>
        <v>6948241.5262185261</v>
      </c>
      <c r="EB8">
        <f t="shared" si="22"/>
        <v>39.6</v>
      </c>
      <c r="EC8">
        <f t="shared" si="23"/>
        <v>95.688271612230423</v>
      </c>
      <c r="ED8">
        <f>0.1*BK8*60*7200*'Reagent cost'!$H$17*'Reagent cost'!$C$17/1000</f>
        <v>504921.59999999998</v>
      </c>
      <c r="EE8">
        <f>BV8*0.1*'Reagent cost'!$C$16/1000*'Reagent cost'!$H$16*60*7200</f>
        <v>1723679.0593461264</v>
      </c>
      <c r="EF8">
        <f>BZ8/1000*'Reagent cost'!$H$19*'Reagent cost'!$C$19*60*7200</f>
        <v>144826.74735716759</v>
      </c>
      <c r="EG8">
        <f>0.33*('Costing 100 Lmin Feed Orig'!BO8*'Reagent cost'!$C$13+'Costing 100 Lmin Feed Orig'!BP8*'Reagent cost'!$C$12+'Costing 100 Lmin Feed Orig'!BQ8*'Reagent cost'!$C$14+'Costing 100 Lmin Feed Orig'!BV8*0.1*'Reagent cost'!$C$16+'Costing 100 Lmin Feed Orig'!BZ8*'Reagent cost'!$C$19)/1000*60*7200</f>
        <v>296311.85141479818</v>
      </c>
      <c r="EH8">
        <f>CG8*'Reagent cost'!$C$35*60*7200</f>
        <v>1858398.1785511586</v>
      </c>
      <c r="EI8">
        <f>CH8*'Reagent cost'!$C$34*60*7200</f>
        <v>442199.75223427213</v>
      </c>
      <c r="EJ8">
        <f>CI8*'Reagent cost'!$C$14*'Reagent cost'!$C$36/1000*60*7200</f>
        <v>7329824.6215431476</v>
      </c>
      <c r="EK8">
        <f t="shared" si="24"/>
        <v>39.6</v>
      </c>
      <c r="EL8">
        <f t="shared" si="25"/>
        <v>610.87663916145755</v>
      </c>
      <c r="EM8">
        <f>0.1*BM8*60*7200*'Reagent cost'!$H$17*'Reagent cost'!$C$17/1000</f>
        <v>467974.14016725059</v>
      </c>
      <c r="EN8">
        <f>CN8*0.1*'Reagent cost'!$C$16/1000*'Reagent cost'!$H$16*60*7200</f>
        <v>1818339.9585577697</v>
      </c>
      <c r="EO8">
        <f>CR8/1000*'Reagent cost'!$H$19*'Reagent cost'!$C$19*60*7200</f>
        <v>152780.33364713949</v>
      </c>
      <c r="EP8">
        <f>0.33*(CG8*'Reagent cost'!$C$13+CH8*'Reagent cost'!$C$12+CI8*'Reagent cost'!$C$14+CN8*0.1*'Reagent cost'!$C$16+CR8*'Reagent cost'!$C$19)/1000*60*7200</f>
        <v>312584.68721326283</v>
      </c>
      <c r="EQ8">
        <f t="shared" si="48"/>
        <v>28287363.434912752</v>
      </c>
      <c r="ER8">
        <f t="shared" si="49"/>
        <v>608896.53862806107</v>
      </c>
      <c r="ES8">
        <f t="shared" si="50"/>
        <v>27520.276190787874</v>
      </c>
      <c r="ET8">
        <f t="shared" si="51"/>
        <v>16610.439588917834</v>
      </c>
      <c r="EU8">
        <f t="shared" si="52"/>
        <v>7032.645793695051</v>
      </c>
      <c r="EV8">
        <f t="shared" si="53"/>
        <v>3725.3886787897172</v>
      </c>
      <c r="EW8">
        <f t="shared" si="54"/>
        <v>3750.7444233040283</v>
      </c>
      <c r="EX8">
        <f t="shared" si="55"/>
        <v>58639.494675494512</v>
      </c>
      <c r="EY8">
        <f t="shared" si="56"/>
        <v>43844.782558554987</v>
      </c>
      <c r="EZ8">
        <f t="shared" si="57"/>
        <v>42801.996462766008</v>
      </c>
      <c r="FA8">
        <f t="shared" si="58"/>
        <v>18121.813018509798</v>
      </c>
      <c r="FB8">
        <f t="shared" si="59"/>
        <v>9604.7376297574338</v>
      </c>
      <c r="FC8">
        <f t="shared" si="60"/>
        <v>9664.9669432052269</v>
      </c>
      <c r="FD8">
        <f t="shared" si="61"/>
        <v>124038.29661279346</v>
      </c>
      <c r="FE8">
        <f t="shared" si="62"/>
        <v>29078937.764829099</v>
      </c>
      <c r="FF8">
        <f t="shared" si="63"/>
        <v>29462890.590098608</v>
      </c>
      <c r="FG8">
        <f>BM8*AM8*195.08/1000*'PGM market prices'!$C$2*60*7200</f>
        <v>423735408.68500966</v>
      </c>
      <c r="FH8">
        <f>BN8*AQ8*BA8*106.42/1000*'PGM market prices'!$C$3*60*7200</f>
        <v>224176259.62680832</v>
      </c>
      <c r="FI8">
        <f>BK8*J8*102.91/1000*'PGM market prices'!$C$4*60*7200</f>
        <v>237485335.29232115</v>
      </c>
      <c r="FJ8">
        <f t="shared" si="26"/>
        <v>885397003.60413909</v>
      </c>
      <c r="FK8">
        <f t="shared" si="27"/>
        <v>633391243.63038993</v>
      </c>
      <c r="FL8">
        <f t="shared" si="64"/>
        <v>0.6820113562522826</v>
      </c>
      <c r="FM8">
        <f t="shared" si="65"/>
        <v>2345.3145132391628</v>
      </c>
      <c r="FN8">
        <f t="shared" si="66"/>
        <v>4327.8600713064525</v>
      </c>
      <c r="FO8">
        <f t="shared" si="67"/>
        <v>20463.536188269401</v>
      </c>
    </row>
    <row r="9" spans="1:176">
      <c r="A9">
        <v>3</v>
      </c>
      <c r="B9">
        <v>1.54143585092054E-3</v>
      </c>
      <c r="C9">
        <v>1.54143585092054E-3</v>
      </c>
      <c r="D9">
        <v>3.4254130020456501E-4</v>
      </c>
      <c r="E9">
        <v>0</v>
      </c>
      <c r="F9">
        <v>0</v>
      </c>
      <c r="G9">
        <v>0</v>
      </c>
      <c r="H9" s="53">
        <v>1.6300358850230801E-5</v>
      </c>
      <c r="I9" s="53">
        <v>7.4474859607128495E-7</v>
      </c>
      <c r="J9">
        <v>3.2385704147932398E-4</v>
      </c>
      <c r="K9">
        <v>8.07271092797512E-2</v>
      </c>
      <c r="L9">
        <v>8.15504849440159E-2</v>
      </c>
      <c r="M9">
        <v>9.8897848995466706E-4</v>
      </c>
      <c r="N9" s="53">
        <v>-9.8011876392689601E-17</v>
      </c>
      <c r="O9" s="53">
        <v>1.94289029309402E-16</v>
      </c>
      <c r="P9" s="53">
        <v>-4.3537493488870999E-18</v>
      </c>
      <c r="Q9">
        <v>0.18892482409907799</v>
      </c>
      <c r="R9">
        <v>94.545399718491396</v>
      </c>
      <c r="S9">
        <v>500</v>
      </c>
      <c r="T9">
        <v>95</v>
      </c>
      <c r="U9">
        <v>1</v>
      </c>
      <c r="V9">
        <v>0.1</v>
      </c>
      <c r="W9">
        <v>52.931106580020597</v>
      </c>
      <c r="X9" t="s">
        <v>323</v>
      </c>
      <c r="Y9">
        <v>1</v>
      </c>
      <c r="Z9">
        <v>0.28318429382522198</v>
      </c>
      <c r="AA9">
        <v>0.56945642916197003</v>
      </c>
      <c r="AB9">
        <v>3.7698628972227502E-3</v>
      </c>
      <c r="AC9">
        <v>1822.2107908876901</v>
      </c>
      <c r="AD9">
        <v>2662.6059073104898</v>
      </c>
      <c r="AE9">
        <v>2401.5030938442701</v>
      </c>
      <c r="AF9">
        <v>11</v>
      </c>
      <c r="AG9">
        <v>1.6455478770638001E-3</v>
      </c>
      <c r="AH9">
        <v>1.66233163271225E-3</v>
      </c>
      <c r="AI9" s="53">
        <v>2.0159416943409301E-5</v>
      </c>
      <c r="AJ9">
        <v>0</v>
      </c>
      <c r="AK9">
        <v>0</v>
      </c>
      <c r="AL9">
        <v>0</v>
      </c>
      <c r="AM9">
        <v>1.60835185158262E-3</v>
      </c>
      <c r="AN9" s="53">
        <v>6.4624491935312605E-5</v>
      </c>
      <c r="AO9" s="53">
        <v>2.0025605516349801E-5</v>
      </c>
      <c r="AP9">
        <v>1.72982171403333E-3</v>
      </c>
      <c r="AQ9">
        <v>7.4302253238869895E-2</v>
      </c>
      <c r="AR9" s="53">
        <v>6.2229743398349396E-6</v>
      </c>
      <c r="AS9" s="53">
        <v>1.3552527156068801E-19</v>
      </c>
      <c r="AT9" s="53">
        <v>-2.168404344971E-19</v>
      </c>
      <c r="AU9" s="53">
        <v>2.46168950295781E-21</v>
      </c>
      <c r="AV9">
        <v>0.19929348306734301</v>
      </c>
      <c r="AW9">
        <v>99.336233644876302</v>
      </c>
      <c r="AX9">
        <v>500</v>
      </c>
      <c r="AY9">
        <v>95</v>
      </c>
      <c r="AZ9">
        <v>0.92682535301965796</v>
      </c>
      <c r="BA9">
        <v>0.1</v>
      </c>
      <c r="BB9">
        <v>46.505552452333497</v>
      </c>
      <c r="BC9" t="s">
        <v>251</v>
      </c>
      <c r="BD9">
        <v>1</v>
      </c>
      <c r="BE9">
        <v>1.8775014999999999E-2</v>
      </c>
      <c r="BF9">
        <v>0.10492961100000001</v>
      </c>
      <c r="BG9">
        <v>1.814625E-3</v>
      </c>
      <c r="BH9">
        <v>285.1951444</v>
      </c>
      <c r="BI9">
        <v>2169.8944889999998</v>
      </c>
      <c r="BJ9">
        <v>866.49409060000005</v>
      </c>
      <c r="BK9">
        <f t="shared" si="0"/>
        <v>100</v>
      </c>
      <c r="BL9">
        <f t="shared" si="1"/>
        <v>18.892482409907799</v>
      </c>
      <c r="BM9">
        <f t="shared" si="2"/>
        <v>92.6825353019658</v>
      </c>
      <c r="BN9">
        <f t="shared" si="3"/>
        <v>19.929348306734301</v>
      </c>
      <c r="BO9">
        <f t="shared" si="28"/>
        <v>6.8012936675668074</v>
      </c>
      <c r="BP9">
        <f t="shared" si="4"/>
        <v>0.45341957783778719</v>
      </c>
      <c r="BQ9">
        <f t="shared" si="5"/>
        <v>2.267097889188936</v>
      </c>
      <c r="BR9">
        <f t="shared" si="29"/>
        <v>1.133548944594468</v>
      </c>
      <c r="BS9">
        <f t="shared" si="6"/>
        <v>1.88924824099078</v>
      </c>
      <c r="BT9">
        <f t="shared" si="30"/>
        <v>11.335489445944679</v>
      </c>
      <c r="BU9">
        <f t="shared" si="7"/>
        <v>30.227971855852481</v>
      </c>
      <c r="BV9">
        <f t="shared" si="31"/>
        <v>9.4462412049538997</v>
      </c>
      <c r="BW9">
        <f t="shared" si="8"/>
        <v>83.236294097011893</v>
      </c>
      <c r="BX9">
        <f t="shared" si="32"/>
        <v>111.5750177118736</v>
      </c>
      <c r="BY9">
        <f t="shared" si="33"/>
        <v>92.6825353019658</v>
      </c>
      <c r="BZ9">
        <f t="shared" si="34"/>
        <v>2.6449475373870919</v>
      </c>
      <c r="CA9">
        <f>7963.6*(BT9/1000)^0.6*1.7*('CAPEX+OPEX'!$G$116/'CAPEX+OPEX'!$G$115)</f>
        <v>1086.1882339348488</v>
      </c>
      <c r="CB9">
        <f>7963.6*(BU9/1000)^0.6*1.7*('CAPEX+OPEX'!$G$116/'CAPEX+OPEX'!$G$115)</f>
        <v>1956.5291978096809</v>
      </c>
      <c r="CC9">
        <f>7963.6*(BX9/1000)^0.6*1.7*('CAPEX+OPEX'!$G$116/'CAPEX+OPEX'!$G$115)</f>
        <v>4283.3257744249922</v>
      </c>
      <c r="CD9">
        <f>7963.6*(BY9/1000)^0.6*1.7*('CAPEX+OPEX'!$G$116/'CAPEX+OPEX'!$G$115)</f>
        <v>3832.125036591081</v>
      </c>
      <c r="CE9">
        <v>300</v>
      </c>
      <c r="CF9">
        <v>30</v>
      </c>
      <c r="CG9">
        <f t="shared" si="9"/>
        <v>7.1745653904243483</v>
      </c>
      <c r="CH9">
        <f t="shared" si="10"/>
        <v>0.47830435936162324</v>
      </c>
      <c r="CI9">
        <f t="shared" si="11"/>
        <v>2.3915217968081159</v>
      </c>
      <c r="CJ9">
        <f t="shared" si="12"/>
        <v>1.195760898404058</v>
      </c>
      <c r="CK9">
        <f t="shared" si="13"/>
        <v>1.9929348306734302</v>
      </c>
      <c r="CL9">
        <f t="shared" si="14"/>
        <v>11.957608984040581</v>
      </c>
      <c r="CM9">
        <f t="shared" si="35"/>
        <v>31.886957290774884</v>
      </c>
      <c r="CN9">
        <f t="shared" si="36"/>
        <v>9.9646741533671506</v>
      </c>
      <c r="CO9">
        <v>0</v>
      </c>
      <c r="CP9">
        <f t="shared" si="37"/>
        <v>29.894022460101453</v>
      </c>
      <c r="CQ9">
        <f t="shared" si="38"/>
        <v>9.9646741533671506</v>
      </c>
      <c r="CR9">
        <f t="shared" si="39"/>
        <v>2.7901087629428023</v>
      </c>
      <c r="CS9">
        <f>7963.6*(CL9/1000)^0.6*1.7*('CAPEX+OPEX'!$G$116/'CAPEX+OPEX'!$G$115)</f>
        <v>1121.5729760245226</v>
      </c>
      <c r="CT9">
        <f>7963.6*(CM9/1000)^0.6*1.7*('CAPEX+OPEX'!$G$116/'CAPEX+OPEX'!$G$115)</f>
        <v>2020.2670278583576</v>
      </c>
      <c r="CU9">
        <f>7963.6*(CP9/1000)^0.6*1.7*('CAPEX+OPEX'!$G$116/'CAPEX+OPEX'!$G$115)</f>
        <v>1943.5313113839211</v>
      </c>
      <c r="CV9">
        <f>7963.6*(CQ9/1000)^0.6*1.7*('CAPEX+OPEX'!$G$116/'CAPEX+OPEX'!$G$115)</f>
        <v>1005.3534877790175</v>
      </c>
      <c r="CW9">
        <v>300</v>
      </c>
      <c r="CX9">
        <f t="shared" si="15"/>
        <v>30</v>
      </c>
      <c r="CY9">
        <f t="shared" si="16"/>
        <v>10</v>
      </c>
      <c r="CZ9">
        <f t="shared" si="17"/>
        <v>9.2682535301965796</v>
      </c>
      <c r="DA9">
        <f t="shared" si="40"/>
        <v>3960</v>
      </c>
      <c r="DB9">
        <f t="shared" si="18"/>
        <v>3960</v>
      </c>
      <c r="DC9">
        <f>CF9*'Reagent cost'!$C$18/1000*'Reagent cost'!$H$18</f>
        <v>4784.413580611521</v>
      </c>
      <c r="DD9">
        <f>CX9*'Ligand cost'!$B$56*'Ligand cost'!$J$56</f>
        <v>30543.831958072875</v>
      </c>
      <c r="DE9">
        <f t="shared" si="41"/>
        <v>39625.826528698344</v>
      </c>
      <c r="DF9">
        <f t="shared" si="19"/>
        <v>4586243.4239371875</v>
      </c>
      <c r="DG9">
        <f t="shared" si="42"/>
        <v>11794834.586807497</v>
      </c>
      <c r="DH9">
        <f t="shared" si="20"/>
        <v>2275209.1661185985</v>
      </c>
      <c r="DI9">
        <f t="shared" si="21"/>
        <v>14083914.336508472</v>
      </c>
      <c r="DJ9">
        <f t="shared" si="43"/>
        <v>1662824.8986326549</v>
      </c>
      <c r="DK9" s="55">
        <f>DF9*($BK$2/10000)^0.72*0.6*((A9+1)/3)^0.6*('CAPEX+OPEX'!$G$116/'CAPEX+OPEX'!$G$114)</f>
        <v>277110.05868710927</v>
      </c>
      <c r="DL9" s="55">
        <f>DG9*($BK$2/10000)^0.72*0.6*((A9+1)/3)^0.6*('CAPEX+OPEX'!$G$116/'CAPEX+OPEX'!$G$114)</f>
        <v>712667.64592034358</v>
      </c>
      <c r="DM9" s="55">
        <f>DH9*($BK$2/10000)^0.72*0.6*((A9+1)/3)^0.6*('CAPEX+OPEX'!$G$116/'CAPEX+OPEX'!$G$114)</f>
        <v>137472.7172696206</v>
      </c>
      <c r="DN9" s="55">
        <f>DI9*($BK$2/10000)^0.72*0.6*((A9+1)/3)^0.6*('CAPEX+OPEX'!$G$116/'CAPEX+OPEX'!$G$114)</f>
        <v>850978.45176818396</v>
      </c>
      <c r="DO9" s="55">
        <f>DJ9*($BK$2/10000)^0.72*0.6*((A9+1)/3)^0.6*('CAPEX+OPEX'!$G$116/'CAPEX+OPEX'!$G$114)</f>
        <v>100471.2272448259</v>
      </c>
      <c r="DP9">
        <f t="shared" si="44"/>
        <v>2078700.100890083</v>
      </c>
      <c r="DQ9">
        <f>DF9*(BM9/10000)^0.72*0.6*((AF9+1)/3)^0.6*('CAPEX+OPEX'!$G$116/'CAPEX+OPEX'!$G$114)</f>
        <v>507181.65315987624</v>
      </c>
      <c r="DR9">
        <f>DG9*(BM9/10000)^0.72*0.6*((AF9+1)/3)^0.6*('CAPEX+OPEX'!$G$116/'CAPEX+OPEX'!$G$114)</f>
        <v>1304362.4490713999</v>
      </c>
      <c r="DS9">
        <f>DH9*(BM9/10000)^0.72*0.6*((AF9+1)/3)^0.6*('CAPEX+OPEX'!$G$116/'CAPEX+OPEX'!$G$114)</f>
        <v>251609.92112492342</v>
      </c>
      <c r="DT9">
        <f>DI9*(BM9/10000)^0.72*0.6*((AF9+1)/3)^0.6*('CAPEX+OPEX'!$G$116/'CAPEX+OPEX'!$G$114)</f>
        <v>1557506.2847449677</v>
      </c>
      <c r="DU9">
        <f>DJ9*(BM9/10000)^0.72*0.6*((AF9+1)/3)^0.6*('CAPEX+OPEX'!$G$116/'CAPEX+OPEX'!$G$114)</f>
        <v>183887.81472046522</v>
      </c>
      <c r="DV9">
        <f t="shared" si="45"/>
        <v>3804548.1228216328</v>
      </c>
      <c r="DW9">
        <f t="shared" si="46"/>
        <v>5952819.9330838807</v>
      </c>
      <c r="DX9">
        <f t="shared" si="47"/>
        <v>396854.66220559203</v>
      </c>
      <c r="DY9">
        <f>BO9*'Reagent cost'!$C$35*60*7200</f>
        <v>1761651.8898019071</v>
      </c>
      <c r="DZ9">
        <f>BP9*'Reagent cost'!$C$34*60*7200</f>
        <v>419179.29009205382</v>
      </c>
      <c r="EA9">
        <f>BQ9*'Reagent cost'!$C$14*'Reagent cost'!$C$36/1000*60*7200</f>
        <v>6948241.5262185261</v>
      </c>
      <c r="EB9">
        <f t="shared" si="22"/>
        <v>39.6</v>
      </c>
      <c r="EC9">
        <f t="shared" si="23"/>
        <v>95.688271612230423</v>
      </c>
      <c r="ED9">
        <f>0.1*BK9*60*7200*'Reagent cost'!$H$17*'Reagent cost'!$C$17/1000</f>
        <v>504921.59999999998</v>
      </c>
      <c r="EE9">
        <f>BV9*0.1*'Reagent cost'!$C$16/1000*'Reagent cost'!$H$16*60*7200</f>
        <v>1723679.0593461264</v>
      </c>
      <c r="EF9">
        <f>BZ9/1000*'Reagent cost'!$H$19*'Reagent cost'!$C$19*60*7200</f>
        <v>144826.74735716759</v>
      </c>
      <c r="EG9">
        <f>0.33*('Costing 100 Lmin Feed Orig'!BO9*'Reagent cost'!$C$13+'Costing 100 Lmin Feed Orig'!BP9*'Reagent cost'!$C$12+'Costing 100 Lmin Feed Orig'!BQ9*'Reagent cost'!$C$14+'Costing 100 Lmin Feed Orig'!BV9*0.1*'Reagent cost'!$C$16+'Costing 100 Lmin Feed Orig'!BZ9*'Reagent cost'!$C$19)/1000*60*7200</f>
        <v>296311.85141479818</v>
      </c>
      <c r="EH9">
        <f>CG9*'Reagent cost'!$C$35*60*7200</f>
        <v>1858335.677934357</v>
      </c>
      <c r="EI9">
        <f>CH9*'Reagent cost'!$C$34*60*7200</f>
        <v>442184.88041746587</v>
      </c>
      <c r="EJ9">
        <f>CI9*'Reagent cost'!$C$14*'Reagent cost'!$C$36/1000*60*7200</f>
        <v>7329578.1089468785</v>
      </c>
      <c r="EK9">
        <f t="shared" si="24"/>
        <v>39.6</v>
      </c>
      <c r="EL9">
        <f t="shared" si="25"/>
        <v>610.87663916145755</v>
      </c>
      <c r="EM9">
        <f>0.1*BM9*60*7200*'Reagent cost'!$H$17*'Reagent cost'!$C$17/1000</f>
        <v>467974.14016725059</v>
      </c>
      <c r="EN9">
        <f>CN9*0.1*'Reagent cost'!$C$16/1000*'Reagent cost'!$H$16*60*7200</f>
        <v>1818278.8051568044</v>
      </c>
      <c r="EO9">
        <f>CR9/1000*'Reagent cost'!$H$19*'Reagent cost'!$C$19*60*7200</f>
        <v>152775.19542369607</v>
      </c>
      <c r="EP9">
        <f>0.33*(CG9*'Reagent cost'!$C$13+CH9*'Reagent cost'!$C$12+CI9*'Reagent cost'!$C$14+CN9*0.1*'Reagent cost'!$C$16+CR9*'Reagent cost'!$C$19)/1000*60*7200</f>
        <v>312574.17453843396</v>
      </c>
      <c r="EQ9">
        <f t="shared" si="48"/>
        <v>28286895.222927608</v>
      </c>
      <c r="ER9">
        <f t="shared" si="49"/>
        <v>608886.02595323208</v>
      </c>
      <c r="ES9">
        <f t="shared" si="50"/>
        <v>27520.276190787874</v>
      </c>
      <c r="ET9">
        <f t="shared" si="51"/>
        <v>16610.439588917834</v>
      </c>
      <c r="EU9">
        <f t="shared" si="52"/>
        <v>7032.645793695051</v>
      </c>
      <c r="EV9">
        <f t="shared" si="53"/>
        <v>3725.3886787897172</v>
      </c>
      <c r="EW9">
        <f t="shared" si="54"/>
        <v>3750.7444233040283</v>
      </c>
      <c r="EX9">
        <f t="shared" si="55"/>
        <v>58639.494675494512</v>
      </c>
      <c r="EY9">
        <f t="shared" si="56"/>
        <v>46423.887414940575</v>
      </c>
      <c r="EZ9">
        <f t="shared" si="57"/>
        <v>46693.087050290189</v>
      </c>
      <c r="FA9">
        <f t="shared" si="58"/>
        <v>19769.250565647053</v>
      </c>
      <c r="FB9">
        <f t="shared" si="59"/>
        <v>10477.895596099019</v>
      </c>
      <c r="FC9">
        <f t="shared" si="60"/>
        <v>10543.600301678431</v>
      </c>
      <c r="FD9">
        <f t="shared" si="61"/>
        <v>133907.72092865527</v>
      </c>
      <c r="FE9">
        <f t="shared" si="62"/>
        <v>29088328.46448499</v>
      </c>
      <c r="FF9">
        <f t="shared" si="63"/>
        <v>29485183.126690581</v>
      </c>
      <c r="FG9">
        <f>BM9*AM9*195.08/1000*'PGM market prices'!$C$2*60*7200</f>
        <v>423736579.91817242</v>
      </c>
      <c r="FH9">
        <f>BN9*AQ9*BA9*106.42/1000*'PGM market prices'!$C$3*60*7200</f>
        <v>224176228.94851175</v>
      </c>
      <c r="FI9">
        <f>BK9*J9*102.91/1000*'PGM market prices'!$C$4*60*7200</f>
        <v>237485335.29232115</v>
      </c>
      <c r="FJ9">
        <f t="shared" si="26"/>
        <v>885398144.1590054</v>
      </c>
      <c r="FK9">
        <f t="shared" si="27"/>
        <v>633375591.16391289</v>
      </c>
      <c r="FL9">
        <f t="shared" si="64"/>
        <v>0.68252738719191164</v>
      </c>
      <c r="FM9">
        <f t="shared" si="65"/>
        <v>2347.0825634282628</v>
      </c>
      <c r="FN9">
        <f t="shared" si="66"/>
        <v>4331.1352571441803</v>
      </c>
      <c r="FO9">
        <f t="shared" si="67"/>
        <v>20479.019534273186</v>
      </c>
    </row>
    <row r="10" spans="1:176">
      <c r="A10">
        <v>3</v>
      </c>
      <c r="B10">
        <v>1.54143585092054E-3</v>
      </c>
      <c r="C10">
        <v>1.54143585092054E-3</v>
      </c>
      <c r="D10">
        <v>3.4254130020456501E-4</v>
      </c>
      <c r="E10">
        <v>0</v>
      </c>
      <c r="F10">
        <v>0</v>
      </c>
      <c r="G10">
        <v>0</v>
      </c>
      <c r="H10" s="53">
        <v>1.6300358850230801E-5</v>
      </c>
      <c r="I10" s="53">
        <v>7.4474859607128495E-7</v>
      </c>
      <c r="J10">
        <v>3.2385704147932398E-4</v>
      </c>
      <c r="K10">
        <v>8.07271092797512E-2</v>
      </c>
      <c r="L10">
        <v>8.15504849440159E-2</v>
      </c>
      <c r="M10">
        <v>9.8897848995466706E-4</v>
      </c>
      <c r="N10" s="53">
        <v>-9.8011876392689601E-17</v>
      </c>
      <c r="O10" s="53">
        <v>1.94289029309402E-16</v>
      </c>
      <c r="P10" s="53">
        <v>-4.3537493488870999E-18</v>
      </c>
      <c r="Q10">
        <v>0.18892482409907799</v>
      </c>
      <c r="R10">
        <v>94.545399718491396</v>
      </c>
      <c r="S10">
        <v>500</v>
      </c>
      <c r="T10">
        <v>95</v>
      </c>
      <c r="U10">
        <v>1</v>
      </c>
      <c r="V10">
        <v>0.1</v>
      </c>
      <c r="W10">
        <v>52.931106580020597</v>
      </c>
      <c r="X10" t="s">
        <v>323</v>
      </c>
      <c r="Y10">
        <v>1</v>
      </c>
      <c r="Z10">
        <v>0.28318429382522198</v>
      </c>
      <c r="AA10">
        <v>0.56945642916197003</v>
      </c>
      <c r="AB10">
        <v>3.7698628972227502E-3</v>
      </c>
      <c r="AC10">
        <v>1822.2107908876901</v>
      </c>
      <c r="AD10">
        <v>2662.6059073104898</v>
      </c>
      <c r="AE10">
        <v>2401.5030938442701</v>
      </c>
      <c r="AF10">
        <v>12</v>
      </c>
      <c r="AG10">
        <v>1.6455478770638001E-3</v>
      </c>
      <c r="AH10">
        <v>1.66233163271225E-3</v>
      </c>
      <c r="AI10" s="53">
        <v>2.0159416943409301E-5</v>
      </c>
      <c r="AJ10">
        <v>0</v>
      </c>
      <c r="AK10">
        <v>0</v>
      </c>
      <c r="AL10">
        <v>0</v>
      </c>
      <c r="AM10">
        <v>1.6083531230386601E-3</v>
      </c>
      <c r="AN10" s="53">
        <v>6.4624554467975802E-5</v>
      </c>
      <c r="AO10" s="53">
        <v>2.0025609902478401E-5</v>
      </c>
      <c r="AP10">
        <v>1.72977922313241E-3</v>
      </c>
      <c r="AQ10">
        <v>7.4302965056042405E-2</v>
      </c>
      <c r="AR10" s="53">
        <v>6.2228302183306801E-6</v>
      </c>
      <c r="AS10" s="53">
        <v>6.7762635780344003E-20</v>
      </c>
      <c r="AT10" s="53">
        <v>2.168404344971E-19</v>
      </c>
      <c r="AU10" s="53">
        <v>3.8381180422460401E-21</v>
      </c>
      <c r="AV10">
        <v>0.199291566049737</v>
      </c>
      <c r="AW10">
        <v>99.336255402095702</v>
      </c>
      <c r="AX10">
        <v>500</v>
      </c>
      <c r="AY10">
        <v>95</v>
      </c>
      <c r="AZ10">
        <v>0.92682535301965796</v>
      </c>
      <c r="BA10">
        <v>0.1</v>
      </c>
      <c r="BB10">
        <v>46.505999796717497</v>
      </c>
      <c r="BC10" t="s">
        <v>251</v>
      </c>
      <c r="BD10">
        <v>1</v>
      </c>
      <c r="BE10">
        <v>1.8775014999999999E-2</v>
      </c>
      <c r="BF10">
        <v>0.10492961100000001</v>
      </c>
      <c r="BG10">
        <v>1.814625E-3</v>
      </c>
      <c r="BH10">
        <v>285.1951444</v>
      </c>
      <c r="BI10">
        <v>2169.8944889999998</v>
      </c>
      <c r="BJ10">
        <v>866.49409060000005</v>
      </c>
      <c r="BK10">
        <f t="shared" si="0"/>
        <v>100</v>
      </c>
      <c r="BL10">
        <f t="shared" si="1"/>
        <v>18.892482409907799</v>
      </c>
      <c r="BM10">
        <f t="shared" si="2"/>
        <v>92.6825353019658</v>
      </c>
      <c r="BN10">
        <f t="shared" si="3"/>
        <v>19.929156604973699</v>
      </c>
      <c r="BO10">
        <f t="shared" si="28"/>
        <v>6.8012936675668074</v>
      </c>
      <c r="BP10">
        <f t="shared" si="4"/>
        <v>0.45341957783778719</v>
      </c>
      <c r="BQ10">
        <f t="shared" si="5"/>
        <v>2.267097889188936</v>
      </c>
      <c r="BR10">
        <f t="shared" si="29"/>
        <v>1.133548944594468</v>
      </c>
      <c r="BS10">
        <f t="shared" si="6"/>
        <v>1.88924824099078</v>
      </c>
      <c r="BT10">
        <f t="shared" si="30"/>
        <v>11.335489445944679</v>
      </c>
      <c r="BU10">
        <f t="shared" si="7"/>
        <v>30.227971855852481</v>
      </c>
      <c r="BV10">
        <f t="shared" si="31"/>
        <v>9.4462412049538997</v>
      </c>
      <c r="BW10">
        <f t="shared" si="8"/>
        <v>83.236294097011893</v>
      </c>
      <c r="BX10">
        <f t="shared" si="32"/>
        <v>111.5750177118736</v>
      </c>
      <c r="BY10">
        <f t="shared" si="33"/>
        <v>92.6825353019658</v>
      </c>
      <c r="BZ10">
        <f t="shared" si="34"/>
        <v>2.6449475373870919</v>
      </c>
      <c r="CA10">
        <f>7963.6*(BT10/1000)^0.6*1.7*('CAPEX+OPEX'!$G$116/'CAPEX+OPEX'!$G$115)</f>
        <v>1086.1882339348488</v>
      </c>
      <c r="CB10">
        <f>7963.6*(BU10/1000)^0.6*1.7*('CAPEX+OPEX'!$G$116/'CAPEX+OPEX'!$G$115)</f>
        <v>1956.5291978096809</v>
      </c>
      <c r="CC10">
        <f>7963.6*(BX10/1000)^0.6*1.7*('CAPEX+OPEX'!$G$116/'CAPEX+OPEX'!$G$115)</f>
        <v>4283.3257744249922</v>
      </c>
      <c r="CD10">
        <f>7963.6*(BY10/1000)^0.6*1.7*('CAPEX+OPEX'!$G$116/'CAPEX+OPEX'!$G$115)</f>
        <v>3832.125036591081</v>
      </c>
      <c r="CE10">
        <v>300</v>
      </c>
      <c r="CF10">
        <v>30</v>
      </c>
      <c r="CG10">
        <f t="shared" si="9"/>
        <v>7.1744963777905308</v>
      </c>
      <c r="CH10">
        <f t="shared" si="10"/>
        <v>0.47829975851936879</v>
      </c>
      <c r="CI10">
        <f t="shared" si="11"/>
        <v>2.3914987925968436</v>
      </c>
      <c r="CJ10">
        <f t="shared" si="12"/>
        <v>1.1957493962984218</v>
      </c>
      <c r="CK10">
        <f t="shared" si="13"/>
        <v>1.9929156604973699</v>
      </c>
      <c r="CL10">
        <f t="shared" si="14"/>
        <v>11.957493962984218</v>
      </c>
      <c r="CM10">
        <f t="shared" si="35"/>
        <v>31.886650567957918</v>
      </c>
      <c r="CN10">
        <f t="shared" si="36"/>
        <v>9.9645783024868493</v>
      </c>
      <c r="CO10">
        <v>0</v>
      </c>
      <c r="CP10">
        <f t="shared" si="37"/>
        <v>29.893734907460548</v>
      </c>
      <c r="CQ10">
        <f t="shared" si="38"/>
        <v>9.9645783024868493</v>
      </c>
      <c r="CR10">
        <f t="shared" si="39"/>
        <v>2.7900819246963176</v>
      </c>
      <c r="CS10">
        <f>7963.6*(CL10/1000)^0.6*1.7*('CAPEX+OPEX'!$G$116/'CAPEX+OPEX'!$G$115)</f>
        <v>1121.566502919899</v>
      </c>
      <c r="CT10">
        <f>7963.6*(CM10/1000)^0.6*1.7*('CAPEX+OPEX'!$G$116/'CAPEX+OPEX'!$G$115)</f>
        <v>2020.2553679841287</v>
      </c>
      <c r="CU10">
        <f>7963.6*(CP10/1000)^0.6*1.7*('CAPEX+OPEX'!$G$116/'CAPEX+OPEX'!$G$115)</f>
        <v>1943.5200943861994</v>
      </c>
      <c r="CV10">
        <f>7963.6*(CQ10/1000)^0.6*1.7*('CAPEX+OPEX'!$G$116/'CAPEX+OPEX'!$G$115)</f>
        <v>1005.3476854295951</v>
      </c>
      <c r="CW10">
        <v>300</v>
      </c>
      <c r="CX10">
        <f t="shared" si="15"/>
        <v>30</v>
      </c>
      <c r="CY10">
        <f t="shared" si="16"/>
        <v>10</v>
      </c>
      <c r="CZ10">
        <f t="shared" si="17"/>
        <v>9.2682535301965796</v>
      </c>
      <c r="DA10">
        <f t="shared" si="40"/>
        <v>3960</v>
      </c>
      <c r="DB10">
        <f t="shared" si="18"/>
        <v>3960</v>
      </c>
      <c r="DC10">
        <f>CF10*'Reagent cost'!$C$18/1000*'Reagent cost'!$H$18</f>
        <v>4784.413580611521</v>
      </c>
      <c r="DD10">
        <f>CX10*'Ligand cost'!$B$56*'Ligand cost'!$J$56</f>
        <v>30543.831958072875</v>
      </c>
      <c r="DE10">
        <f t="shared" si="41"/>
        <v>39625.826528698344</v>
      </c>
      <c r="DF10">
        <f t="shared" si="19"/>
        <v>4586243.4239371875</v>
      </c>
      <c r="DG10">
        <f t="shared" si="42"/>
        <v>11794834.586807497</v>
      </c>
      <c r="DH10">
        <f t="shared" si="20"/>
        <v>2275209.1661185985</v>
      </c>
      <c r="DI10">
        <f t="shared" si="21"/>
        <v>14083914.336508472</v>
      </c>
      <c r="DJ10">
        <f t="shared" si="43"/>
        <v>1662824.8986326549</v>
      </c>
      <c r="DK10" s="55">
        <f>DF10*($BK$2/10000)^0.72*0.6*((A10+1)/3)^0.6*('CAPEX+OPEX'!$G$116/'CAPEX+OPEX'!$G$114)</f>
        <v>277110.05868710927</v>
      </c>
      <c r="DL10" s="55">
        <f>DG10*($BK$2/10000)^0.72*0.6*((A10+1)/3)^0.6*('CAPEX+OPEX'!$G$116/'CAPEX+OPEX'!$G$114)</f>
        <v>712667.64592034358</v>
      </c>
      <c r="DM10" s="55">
        <f>DH10*($BK$2/10000)^0.72*0.6*((A10+1)/3)^0.6*('CAPEX+OPEX'!$G$116/'CAPEX+OPEX'!$G$114)</f>
        <v>137472.7172696206</v>
      </c>
      <c r="DN10" s="55">
        <f>DI10*($BK$2/10000)^0.72*0.6*((A10+1)/3)^0.6*('CAPEX+OPEX'!$G$116/'CAPEX+OPEX'!$G$114)</f>
        <v>850978.45176818396</v>
      </c>
      <c r="DO10" s="55">
        <f>DJ10*($BK$2/10000)^0.72*0.6*((A10+1)/3)^0.6*('CAPEX+OPEX'!$G$116/'CAPEX+OPEX'!$G$114)</f>
        <v>100471.2272448259</v>
      </c>
      <c r="DP10">
        <f t="shared" si="44"/>
        <v>2078700.100890083</v>
      </c>
      <c r="DQ10">
        <f>DF10*(BM10/10000)^0.72*0.6*((AF10+1)/3)^0.6*('CAPEX+OPEX'!$G$116/'CAPEX+OPEX'!$G$114)</f>
        <v>532133.74295609526</v>
      </c>
      <c r="DR10">
        <f>DG10*(BM10/10000)^0.72*0.6*((AF10+1)/3)^0.6*('CAPEX+OPEX'!$G$116/'CAPEX+OPEX'!$G$114)</f>
        <v>1368533.8731622989</v>
      </c>
      <c r="DS10">
        <f>DH10*(BM10/10000)^0.72*0.6*((AF10+1)/3)^0.6*('CAPEX+OPEX'!$G$116/'CAPEX+OPEX'!$G$114)</f>
        <v>263988.51034717512</v>
      </c>
      <c r="DT10">
        <f>DI10*(BM10/10000)^0.72*0.6*((AF10+1)/3)^0.6*('CAPEX+OPEX'!$G$116/'CAPEX+OPEX'!$G$114)</f>
        <v>1634131.762880868</v>
      </c>
      <c r="DU10">
        <f>DJ10*(BM10/10000)^0.72*0.6*((AF10+1)/3)^0.6*('CAPEX+OPEX'!$G$116/'CAPEX+OPEX'!$G$114)</f>
        <v>192934.64288695878</v>
      </c>
      <c r="DV10">
        <f t="shared" si="45"/>
        <v>3991722.5322333965</v>
      </c>
      <c r="DW10">
        <f t="shared" si="46"/>
        <v>6139994.3020704696</v>
      </c>
      <c r="DX10">
        <f t="shared" si="47"/>
        <v>409332.95347136463</v>
      </c>
      <c r="DY10">
        <f>BO10*'Reagent cost'!$C$35*60*7200</f>
        <v>1761651.8898019071</v>
      </c>
      <c r="DZ10">
        <f>BP10*'Reagent cost'!$C$34*60*7200</f>
        <v>419179.29009205382</v>
      </c>
      <c r="EA10">
        <f>BQ10*'Reagent cost'!$C$14*'Reagent cost'!$C$36/1000*60*7200</f>
        <v>6948241.5262185261</v>
      </c>
      <c r="EB10">
        <f t="shared" si="22"/>
        <v>39.6</v>
      </c>
      <c r="EC10">
        <f t="shared" si="23"/>
        <v>95.688271612230423</v>
      </c>
      <c r="ED10">
        <f>0.1*BK10*60*7200*'Reagent cost'!$H$17*'Reagent cost'!$C$17/1000</f>
        <v>504921.59999999998</v>
      </c>
      <c r="EE10">
        <f>BV10*0.1*'Reagent cost'!$C$16/1000*'Reagent cost'!$H$16*60*7200</f>
        <v>1723679.0593461264</v>
      </c>
      <c r="EF10">
        <f>BZ10/1000*'Reagent cost'!$H$19*'Reagent cost'!$C$19*60*7200</f>
        <v>144826.74735716759</v>
      </c>
      <c r="EG10">
        <f>0.33*('Costing 100 Lmin Feed Orig'!BO10*'Reagent cost'!$C$13+'Costing 100 Lmin Feed Orig'!BP10*'Reagent cost'!$C$12+'Costing 100 Lmin Feed Orig'!BQ10*'Reagent cost'!$C$14+'Costing 100 Lmin Feed Orig'!BV10*0.1*'Reagent cost'!$C$16+'Costing 100 Lmin Feed Orig'!BZ10*'Reagent cost'!$C$19)/1000*60*7200</f>
        <v>296311.85141479818</v>
      </c>
      <c r="EH10">
        <f>CG10*'Reagent cost'!$C$35*60*7200</f>
        <v>1858317.8024767267</v>
      </c>
      <c r="EI10">
        <f>CH10*'Reagent cost'!$C$34*60*7200</f>
        <v>442180.62701094296</v>
      </c>
      <c r="EJ10">
        <f>CI10*'Reagent cost'!$C$14*'Reagent cost'!$C$36/1000*60*7200</f>
        <v>7329507.6052351482</v>
      </c>
      <c r="EK10">
        <f t="shared" si="24"/>
        <v>39.6</v>
      </c>
      <c r="EL10">
        <f t="shared" si="25"/>
        <v>610.87663916145755</v>
      </c>
      <c r="EM10">
        <f>0.1*BM10*60*7200*'Reagent cost'!$H$17*'Reagent cost'!$C$17/1000</f>
        <v>467974.14016725059</v>
      </c>
      <c r="EN10">
        <f>CN10*0.1*'Reagent cost'!$C$16/1000*'Reagent cost'!$H$16*60*7200</f>
        <v>1818261.3150089658</v>
      </c>
      <c r="EO10">
        <f>CR10/1000*'Reagent cost'!$H$19*'Reagent cost'!$C$19*60*7200</f>
        <v>152773.72586867158</v>
      </c>
      <c r="EP10">
        <f>0.33*(CG10*'Reagent cost'!$C$13+CH10*'Reagent cost'!$C$12+CI10*'Reagent cost'!$C$14+CN10*0.1*'Reagent cost'!$C$16+CR10*'Reagent cost'!$C$19)/1000*60*7200</f>
        <v>312571.16786613053</v>
      </c>
      <c r="EQ10">
        <f t="shared" si="48"/>
        <v>28286761.312193111</v>
      </c>
      <c r="ER10">
        <f t="shared" si="49"/>
        <v>608883.01928092865</v>
      </c>
      <c r="ES10">
        <f t="shared" si="50"/>
        <v>27520.276190787874</v>
      </c>
      <c r="ET10">
        <f t="shared" si="51"/>
        <v>16610.439588917834</v>
      </c>
      <c r="EU10">
        <f t="shared" si="52"/>
        <v>7032.645793695051</v>
      </c>
      <c r="EV10">
        <f t="shared" si="53"/>
        <v>3725.3886787897172</v>
      </c>
      <c r="EW10">
        <f t="shared" si="54"/>
        <v>3750.7444233040283</v>
      </c>
      <c r="EX10">
        <f t="shared" si="55"/>
        <v>58639.494675494512</v>
      </c>
      <c r="EY10">
        <f t="shared" si="56"/>
        <v>49002.992271326162</v>
      </c>
      <c r="EZ10">
        <f t="shared" si="57"/>
        <v>50584.177637814377</v>
      </c>
      <c r="FA10">
        <f t="shared" si="58"/>
        <v>21416.688112784312</v>
      </c>
      <c r="FB10">
        <f t="shared" si="59"/>
        <v>11351.053562440606</v>
      </c>
      <c r="FC10">
        <f t="shared" si="60"/>
        <v>11422.233660151634</v>
      </c>
      <c r="FD10">
        <f t="shared" si="61"/>
        <v>143777.14524451707</v>
      </c>
      <c r="FE10">
        <f t="shared" si="62"/>
        <v>29098060.971394051</v>
      </c>
      <c r="FF10">
        <f t="shared" si="63"/>
        <v>29507393.924865417</v>
      </c>
      <c r="FG10">
        <f>BM10*AM10*195.08/1000*'PGM market prices'!$C$2*60*7200</f>
        <v>423736914.89613968</v>
      </c>
      <c r="FH10">
        <f>BN10*AQ10*BA10*106.42/1000*'PGM market prices'!$C$3*60*7200</f>
        <v>224176220.17447785</v>
      </c>
      <c r="FI10">
        <f>BK10*J10*102.91/1000*'PGM market prices'!$C$4*60*7200</f>
        <v>237485335.29232115</v>
      </c>
      <c r="FJ10">
        <f t="shared" si="26"/>
        <v>885398470.36293864</v>
      </c>
      <c r="FK10">
        <f t="shared" si="27"/>
        <v>633359396.56417418</v>
      </c>
      <c r="FL10">
        <f t="shared" si="64"/>
        <v>0.68304152603855128</v>
      </c>
      <c r="FM10">
        <f t="shared" si="65"/>
        <v>2348.8487328129813</v>
      </c>
      <c r="FN10">
        <f t="shared" si="66"/>
        <v>4334.3980136492291</v>
      </c>
      <c r="FO10">
        <f t="shared" si="67"/>
        <v>20494.446108622065</v>
      </c>
    </row>
    <row r="11" spans="1:176">
      <c r="A11">
        <v>3</v>
      </c>
      <c r="B11">
        <v>1.54143585092054E-3</v>
      </c>
      <c r="C11">
        <v>1.54143585092054E-3</v>
      </c>
      <c r="D11">
        <v>3.4254130020456501E-4</v>
      </c>
      <c r="E11">
        <v>0</v>
      </c>
      <c r="F11">
        <v>0</v>
      </c>
      <c r="G11">
        <v>0</v>
      </c>
      <c r="H11" s="53">
        <v>1.6300358850230801E-5</v>
      </c>
      <c r="I11" s="53">
        <v>7.4474859607128495E-7</v>
      </c>
      <c r="J11">
        <v>3.2385704147932398E-4</v>
      </c>
      <c r="K11">
        <v>8.07271092797512E-2</v>
      </c>
      <c r="L11">
        <v>8.15504849440159E-2</v>
      </c>
      <c r="M11">
        <v>9.8897848995466706E-4</v>
      </c>
      <c r="N11" s="53">
        <v>-9.8011876392689601E-17</v>
      </c>
      <c r="O11" s="53">
        <v>1.94289029309402E-16</v>
      </c>
      <c r="P11" s="53">
        <v>-4.3537493488870999E-18</v>
      </c>
      <c r="Q11">
        <v>0.18892482409907799</v>
      </c>
      <c r="R11">
        <v>94.545399718491396</v>
      </c>
      <c r="S11">
        <v>500</v>
      </c>
      <c r="T11">
        <v>95</v>
      </c>
      <c r="U11">
        <v>1</v>
      </c>
      <c r="V11">
        <v>0.1</v>
      </c>
      <c r="W11">
        <v>52.931106580020597</v>
      </c>
      <c r="X11" t="s">
        <v>323</v>
      </c>
      <c r="Y11">
        <v>1</v>
      </c>
      <c r="Z11">
        <v>0.28318429382522198</v>
      </c>
      <c r="AA11">
        <v>0.56945642916197003</v>
      </c>
      <c r="AB11">
        <v>3.7698628972227502E-3</v>
      </c>
      <c r="AC11">
        <v>1822.2107908876901</v>
      </c>
      <c r="AD11">
        <v>2662.6059073104898</v>
      </c>
      <c r="AE11">
        <v>2401.5030938442701</v>
      </c>
      <c r="AF11">
        <v>13</v>
      </c>
      <c r="AG11">
        <v>1.6455478770638001E-3</v>
      </c>
      <c r="AH11">
        <v>1.66233163271225E-3</v>
      </c>
      <c r="AI11" s="53">
        <v>2.0159416943409301E-5</v>
      </c>
      <c r="AJ11">
        <v>0</v>
      </c>
      <c r="AK11">
        <v>0</v>
      </c>
      <c r="AL11">
        <v>0</v>
      </c>
      <c r="AM11">
        <v>1.60835348661086E-3</v>
      </c>
      <c r="AN11" s="53">
        <v>6.4624572349144705E-5</v>
      </c>
      <c r="AO11" s="53">
        <v>2.0025611156689701E-5</v>
      </c>
      <c r="AP11">
        <v>1.72976707272807E-3</v>
      </c>
      <c r="AQ11">
        <v>7.43031686023614E-2</v>
      </c>
      <c r="AR11" s="53">
        <v>6.2227890063413899E-6</v>
      </c>
      <c r="AS11" s="53">
        <v>2.6305455209929499E-17</v>
      </c>
      <c r="AT11" s="53">
        <v>-2.1278551837200498E-15</v>
      </c>
      <c r="AU11" s="53">
        <v>-5.2939559203393696E-22</v>
      </c>
      <c r="AV11">
        <v>0.19929101787970099</v>
      </c>
      <c r="AW11">
        <v>99.336261623561896</v>
      </c>
      <c r="AX11">
        <v>500</v>
      </c>
      <c r="AY11">
        <v>95</v>
      </c>
      <c r="AZ11">
        <v>0.92682535301965796</v>
      </c>
      <c r="BA11">
        <v>0.1</v>
      </c>
      <c r="BB11">
        <v>46.506127716158304</v>
      </c>
      <c r="BC11" t="s">
        <v>251</v>
      </c>
      <c r="BD11">
        <v>1</v>
      </c>
      <c r="BE11">
        <v>1.8775014999999999E-2</v>
      </c>
      <c r="BF11">
        <v>0.10492961100000001</v>
      </c>
      <c r="BG11">
        <v>1.814625E-3</v>
      </c>
      <c r="BH11">
        <v>285.1951444</v>
      </c>
      <c r="BI11">
        <v>2169.8944889999998</v>
      </c>
      <c r="BJ11">
        <v>866.49409060000005</v>
      </c>
      <c r="BK11">
        <f t="shared" si="0"/>
        <v>100</v>
      </c>
      <c r="BL11">
        <f t="shared" si="1"/>
        <v>18.892482409907799</v>
      </c>
      <c r="BM11">
        <f t="shared" si="2"/>
        <v>92.6825353019658</v>
      </c>
      <c r="BN11">
        <f t="shared" si="3"/>
        <v>19.929101787970101</v>
      </c>
      <c r="BO11">
        <f t="shared" si="28"/>
        <v>6.8012936675668074</v>
      </c>
      <c r="BP11">
        <f t="shared" si="4"/>
        <v>0.45341957783778719</v>
      </c>
      <c r="BQ11">
        <f t="shared" si="5"/>
        <v>2.267097889188936</v>
      </c>
      <c r="BR11">
        <f t="shared" si="29"/>
        <v>1.133548944594468</v>
      </c>
      <c r="BS11">
        <f t="shared" si="6"/>
        <v>1.88924824099078</v>
      </c>
      <c r="BT11">
        <f t="shared" si="30"/>
        <v>11.335489445944679</v>
      </c>
      <c r="BU11">
        <f t="shared" si="7"/>
        <v>30.227971855852481</v>
      </c>
      <c r="BV11">
        <f t="shared" si="31"/>
        <v>9.4462412049538997</v>
      </c>
      <c r="BW11">
        <f t="shared" si="8"/>
        <v>83.236294097011893</v>
      </c>
      <c r="BX11">
        <f t="shared" si="32"/>
        <v>111.5750177118736</v>
      </c>
      <c r="BY11">
        <f t="shared" si="33"/>
        <v>92.6825353019658</v>
      </c>
      <c r="BZ11">
        <f t="shared" si="34"/>
        <v>2.6449475373870919</v>
      </c>
      <c r="CA11">
        <f>7963.6*(BT11/1000)^0.6*1.7*('CAPEX+OPEX'!$G$116/'CAPEX+OPEX'!$G$115)</f>
        <v>1086.1882339348488</v>
      </c>
      <c r="CB11">
        <f>7963.6*(BU11/1000)^0.6*1.7*('CAPEX+OPEX'!$G$116/'CAPEX+OPEX'!$G$115)</f>
        <v>1956.5291978096809</v>
      </c>
      <c r="CC11">
        <f>7963.6*(BX11/1000)^0.6*1.7*('CAPEX+OPEX'!$G$116/'CAPEX+OPEX'!$G$115)</f>
        <v>4283.3257744249922</v>
      </c>
      <c r="CD11">
        <f>7963.6*(BY11/1000)^0.6*1.7*('CAPEX+OPEX'!$G$116/'CAPEX+OPEX'!$G$115)</f>
        <v>3832.125036591081</v>
      </c>
      <c r="CE11">
        <v>300</v>
      </c>
      <c r="CF11">
        <v>30</v>
      </c>
      <c r="CG11">
        <f t="shared" si="9"/>
        <v>7.1744766436692364</v>
      </c>
      <c r="CH11">
        <f t="shared" si="10"/>
        <v>0.47829844291128243</v>
      </c>
      <c r="CI11">
        <f t="shared" si="11"/>
        <v>2.3914922145564121</v>
      </c>
      <c r="CJ11">
        <f t="shared" si="12"/>
        <v>1.1957461072782061</v>
      </c>
      <c r="CK11">
        <f t="shared" si="13"/>
        <v>1.9929101787970103</v>
      </c>
      <c r="CL11">
        <f t="shared" si="14"/>
        <v>11.95746107278206</v>
      </c>
      <c r="CM11">
        <f t="shared" si="35"/>
        <v>31.886562860752164</v>
      </c>
      <c r="CN11">
        <f t="shared" si="36"/>
        <v>9.9645508939850505</v>
      </c>
      <c r="CO11">
        <v>0</v>
      </c>
      <c r="CP11">
        <f t="shared" si="37"/>
        <v>29.893652681955153</v>
      </c>
      <c r="CQ11">
        <f t="shared" si="38"/>
        <v>9.9645508939850505</v>
      </c>
      <c r="CR11">
        <f t="shared" si="39"/>
        <v>2.790074250315814</v>
      </c>
      <c r="CS11">
        <f>7963.6*(CL11/1000)^0.6*1.7*('CAPEX+OPEX'!$G$116/'CAPEX+OPEX'!$G$115)</f>
        <v>1121.5646519349307</v>
      </c>
      <c r="CT11">
        <f>7963.6*(CM11/1000)^0.6*1.7*('CAPEX+OPEX'!$G$116/'CAPEX+OPEX'!$G$115)</f>
        <v>2020.2520338418303</v>
      </c>
      <c r="CU11">
        <f>7963.6*(CP11/1000)^0.6*1.7*('CAPEX+OPEX'!$G$116/'CAPEX+OPEX'!$G$115)</f>
        <v>1943.5168868844848</v>
      </c>
      <c r="CV11">
        <f>7963.6*(CQ11/1000)^0.6*1.7*('CAPEX+OPEX'!$G$116/'CAPEX+OPEX'!$G$115)</f>
        <v>1005.3460262471492</v>
      </c>
      <c r="CW11">
        <v>300</v>
      </c>
      <c r="CX11">
        <f t="shared" si="15"/>
        <v>30</v>
      </c>
      <c r="CY11">
        <f t="shared" si="16"/>
        <v>10</v>
      </c>
      <c r="CZ11">
        <f t="shared" si="17"/>
        <v>9.2682535301965796</v>
      </c>
      <c r="DA11">
        <f t="shared" si="40"/>
        <v>3960</v>
      </c>
      <c r="DB11">
        <f t="shared" si="18"/>
        <v>3960</v>
      </c>
      <c r="DC11">
        <f>CF11*'Reagent cost'!$C$18/1000*'Reagent cost'!$H$18</f>
        <v>4784.413580611521</v>
      </c>
      <c r="DD11">
        <f>CX11*'Ligand cost'!$B$56*'Ligand cost'!$J$56</f>
        <v>30543.831958072875</v>
      </c>
      <c r="DE11">
        <f t="shared" si="41"/>
        <v>39625.826528698344</v>
      </c>
      <c r="DF11">
        <f t="shared" si="19"/>
        <v>4586243.4239371875</v>
      </c>
      <c r="DG11">
        <f t="shared" si="42"/>
        <v>11794834.586807497</v>
      </c>
      <c r="DH11">
        <f t="shared" si="20"/>
        <v>2275209.1661185985</v>
      </c>
      <c r="DI11">
        <f t="shared" si="21"/>
        <v>14083914.336508472</v>
      </c>
      <c r="DJ11">
        <f t="shared" si="43"/>
        <v>1662824.8986326549</v>
      </c>
      <c r="DK11" s="55">
        <f>DF11*($BK$2/10000)^0.72*0.6*((A11+1)/3)^0.6*('CAPEX+OPEX'!$G$116/'CAPEX+OPEX'!$G$114)</f>
        <v>277110.05868710927</v>
      </c>
      <c r="DL11" s="55">
        <f>DG11*($BK$2/10000)^0.72*0.6*((A11+1)/3)^0.6*('CAPEX+OPEX'!$G$116/'CAPEX+OPEX'!$G$114)</f>
        <v>712667.64592034358</v>
      </c>
      <c r="DM11" s="55">
        <f>DH11*($BK$2/10000)^0.72*0.6*((A11+1)/3)^0.6*('CAPEX+OPEX'!$G$116/'CAPEX+OPEX'!$G$114)</f>
        <v>137472.7172696206</v>
      </c>
      <c r="DN11" s="55">
        <f>DI11*($BK$2/10000)^0.72*0.6*((A11+1)/3)^0.6*('CAPEX+OPEX'!$G$116/'CAPEX+OPEX'!$G$114)</f>
        <v>850978.45176818396</v>
      </c>
      <c r="DO11" s="55">
        <f>DJ11*($BK$2/10000)^0.72*0.6*((A11+1)/3)^0.6*('CAPEX+OPEX'!$G$116/'CAPEX+OPEX'!$G$114)</f>
        <v>100471.2272448259</v>
      </c>
      <c r="DP11">
        <f t="shared" si="44"/>
        <v>2078700.100890083</v>
      </c>
      <c r="DQ11">
        <f>DF11*(BM11/10000)^0.72*0.6*((AF11+1)/3)^0.6*('CAPEX+OPEX'!$G$116/'CAPEX+OPEX'!$G$114)</f>
        <v>556328.88411943754</v>
      </c>
      <c r="DR11">
        <f>DG11*(BM11/10000)^0.72*0.6*((AF11+1)/3)^0.6*('CAPEX+OPEX'!$G$116/'CAPEX+OPEX'!$G$114)</f>
        <v>1430758.5876937157</v>
      </c>
      <c r="DS11">
        <f>DH11*(BM11/10000)^0.72*0.6*((AF11+1)/3)^0.6*('CAPEX+OPEX'!$G$116/'CAPEX+OPEX'!$G$114)</f>
        <v>275991.58167632658</v>
      </c>
      <c r="DT11">
        <f>DI11*(BM11/10000)^0.72*0.6*((AF11+1)/3)^0.6*('CAPEX+OPEX'!$G$116/'CAPEX+OPEX'!$G$114)</f>
        <v>1708432.7242571628</v>
      </c>
      <c r="DU11">
        <f>DJ11*(BM11/10000)^0.72*0.6*((AF11+1)/3)^0.6*('CAPEX+OPEX'!$G$116/'CAPEX+OPEX'!$G$114)</f>
        <v>201707.02573570839</v>
      </c>
      <c r="DV11">
        <f t="shared" si="45"/>
        <v>4173218.8034823509</v>
      </c>
      <c r="DW11">
        <f t="shared" si="46"/>
        <v>6321490.5617598407</v>
      </c>
      <c r="DX11">
        <f t="shared" si="47"/>
        <v>421432.70411732269</v>
      </c>
      <c r="DY11">
        <f>BO11*'Reagent cost'!$C$35*60*7200</f>
        <v>1761651.8898019071</v>
      </c>
      <c r="DZ11">
        <f>BP11*'Reagent cost'!$C$34*60*7200</f>
        <v>419179.29009205382</v>
      </c>
      <c r="EA11">
        <f>BQ11*'Reagent cost'!$C$14*'Reagent cost'!$C$36/1000*60*7200</f>
        <v>6948241.5262185261</v>
      </c>
      <c r="EB11">
        <f t="shared" si="22"/>
        <v>39.6</v>
      </c>
      <c r="EC11">
        <f t="shared" si="23"/>
        <v>95.688271612230423</v>
      </c>
      <c r="ED11">
        <f>0.1*BK11*60*7200*'Reagent cost'!$H$17*'Reagent cost'!$C$17/1000</f>
        <v>504921.59999999998</v>
      </c>
      <c r="EE11">
        <f>BV11*0.1*'Reagent cost'!$C$16/1000*'Reagent cost'!$H$16*60*7200</f>
        <v>1723679.0593461264</v>
      </c>
      <c r="EF11">
        <f>BZ11/1000*'Reagent cost'!$H$19*'Reagent cost'!$C$19*60*7200</f>
        <v>144826.74735716759</v>
      </c>
      <c r="EG11">
        <f>0.33*('Costing 100 Lmin Feed Orig'!BO11*'Reagent cost'!$C$13+'Costing 100 Lmin Feed Orig'!BP11*'Reagent cost'!$C$12+'Costing 100 Lmin Feed Orig'!BQ11*'Reagent cost'!$C$14+'Costing 100 Lmin Feed Orig'!BV11*0.1*'Reagent cost'!$C$16+'Costing 100 Lmin Feed Orig'!BZ11*'Reagent cost'!$C$19)/1000*60*7200</f>
        <v>296311.85141479818</v>
      </c>
      <c r="EH11">
        <f>CG11*'Reagent cost'!$C$35*60*7200</f>
        <v>1858312.6910003265</v>
      </c>
      <c r="EI11">
        <f>CH11*'Reagent cost'!$C$34*60*7200</f>
        <v>442179.4107518958</v>
      </c>
      <c r="EJ11">
        <f>CI11*'Reagent cost'!$C$14*'Reagent cost'!$C$36/1000*60*7200</f>
        <v>7329487.4447410181</v>
      </c>
      <c r="EK11">
        <f t="shared" si="24"/>
        <v>39.6</v>
      </c>
      <c r="EL11">
        <f t="shared" si="25"/>
        <v>610.87663916145755</v>
      </c>
      <c r="EM11">
        <f>0.1*BM11*60*7200*'Reagent cost'!$H$17*'Reagent cost'!$C$17/1000</f>
        <v>467974.14016725059</v>
      </c>
      <c r="EN11">
        <f>CN11*0.1*'Reagent cost'!$C$16/1000*'Reagent cost'!$H$16*60*7200</f>
        <v>1818256.3137116695</v>
      </c>
      <c r="EO11">
        <f>CR11/1000*'Reagent cost'!$H$19*'Reagent cost'!$C$19*60*7200</f>
        <v>152773.30565029269</v>
      </c>
      <c r="EP11">
        <f>0.33*(CG11*'Reagent cost'!$C$13+CH11*'Reagent cost'!$C$12+CI11*'Reagent cost'!$C$14+CN11*0.1*'Reagent cost'!$C$16+CR11*'Reagent cost'!$C$19)/1000*60*7200</f>
        <v>312570.30810998665</v>
      </c>
      <c r="EQ11">
        <f t="shared" si="48"/>
        <v>28286723.020498805</v>
      </c>
      <c r="ER11">
        <f t="shared" si="49"/>
        <v>608882.15952478489</v>
      </c>
      <c r="ES11">
        <f t="shared" si="50"/>
        <v>27520.276190787874</v>
      </c>
      <c r="ET11">
        <f t="shared" si="51"/>
        <v>16610.439588917834</v>
      </c>
      <c r="EU11">
        <f t="shared" si="52"/>
        <v>7032.645793695051</v>
      </c>
      <c r="EV11">
        <f t="shared" si="53"/>
        <v>3725.3886787897172</v>
      </c>
      <c r="EW11">
        <f t="shared" si="54"/>
        <v>3750.7444233040283</v>
      </c>
      <c r="EX11">
        <f t="shared" si="55"/>
        <v>58639.494675494512</v>
      </c>
      <c r="EY11">
        <f t="shared" si="56"/>
        <v>51582.09712771175</v>
      </c>
      <c r="EZ11">
        <f t="shared" si="57"/>
        <v>54475.26822533855</v>
      </c>
      <c r="FA11">
        <f t="shared" si="58"/>
        <v>23064.125659921559</v>
      </c>
      <c r="FB11">
        <f t="shared" si="59"/>
        <v>12224.211528782187</v>
      </c>
      <c r="FC11">
        <f t="shared" si="60"/>
        <v>12300.867018624835</v>
      </c>
      <c r="FD11">
        <f t="shared" si="61"/>
        <v>153646.56956037885</v>
      </c>
      <c r="FE11">
        <f t="shared" si="62"/>
        <v>29107891.244259462</v>
      </c>
      <c r="FF11">
        <f t="shared" si="63"/>
        <v>29529323.948376786</v>
      </c>
      <c r="FG11">
        <f>BM11*AM11*195.08/1000*'PGM market prices'!$C$2*60*7200</f>
        <v>423737010.682917</v>
      </c>
      <c r="FH11">
        <f>BN11*AQ11*BA11*106.42/1000*'PGM market prices'!$C$3*60*7200</f>
        <v>224176217.66587138</v>
      </c>
      <c r="FI11">
        <f>BK11*J11*102.91/1000*'PGM market prices'!$C$4*60*7200</f>
        <v>237485335.29232115</v>
      </c>
      <c r="FJ11">
        <f t="shared" si="26"/>
        <v>885398563.64110947</v>
      </c>
      <c r="FK11">
        <f t="shared" si="27"/>
        <v>633343237.37262213</v>
      </c>
      <c r="FL11">
        <f t="shared" si="64"/>
        <v>0.68354916547168487</v>
      </c>
      <c r="FM11">
        <f t="shared" si="65"/>
        <v>2350.5938760502868</v>
      </c>
      <c r="FN11">
        <f t="shared" si="66"/>
        <v>4337.6194056454278</v>
      </c>
      <c r="FO11">
        <f t="shared" si="67"/>
        <v>20509.677670113364</v>
      </c>
    </row>
    <row r="12" spans="1:176">
      <c r="A12">
        <v>4</v>
      </c>
      <c r="B12">
        <v>1.54143585092054E-3</v>
      </c>
      <c r="C12">
        <v>1.54143585092054E-3</v>
      </c>
      <c r="D12">
        <v>3.4254130020456501E-4</v>
      </c>
      <c r="E12">
        <v>0</v>
      </c>
      <c r="F12">
        <v>0</v>
      </c>
      <c r="G12">
        <v>0</v>
      </c>
      <c r="H12" s="53">
        <v>1.7208960911287699E-5</v>
      </c>
      <c r="I12" s="53">
        <v>2.8768784818324402E-7</v>
      </c>
      <c r="J12">
        <v>3.3243632642994598E-4</v>
      </c>
      <c r="K12">
        <v>0.10920586178936199</v>
      </c>
      <c r="L12">
        <v>0.110418215553449</v>
      </c>
      <c r="M12">
        <v>7.2398825703009801E-4</v>
      </c>
      <c r="N12" s="53">
        <v>-2.168404344971E-18</v>
      </c>
      <c r="O12" s="53">
        <v>2.3635607360183901E-17</v>
      </c>
      <c r="P12" s="53">
        <v>-7.4538899358378406E-20</v>
      </c>
      <c r="Q12">
        <v>0.13957372480144001</v>
      </c>
      <c r="R12">
        <v>97.0499984181222</v>
      </c>
      <c r="S12">
        <v>500</v>
      </c>
      <c r="T12">
        <v>95</v>
      </c>
      <c r="U12">
        <v>1</v>
      </c>
      <c r="V12">
        <v>0.1</v>
      </c>
      <c r="W12">
        <v>71.646723007687299</v>
      </c>
      <c r="X12" t="s">
        <v>323</v>
      </c>
      <c r="Y12">
        <v>1</v>
      </c>
      <c r="Z12">
        <v>0.28318429382522198</v>
      </c>
      <c r="AA12">
        <v>0.56945642916197003</v>
      </c>
      <c r="AB12">
        <v>3.7698628972227502E-3</v>
      </c>
      <c r="AC12">
        <v>1822.2107908876901</v>
      </c>
      <c r="AD12">
        <v>2662.6059073104898</v>
      </c>
      <c r="AE12">
        <v>2401.5030938442701</v>
      </c>
      <c r="AF12">
        <v>4</v>
      </c>
      <c r="AG12">
        <v>1.6481650483119699E-3</v>
      </c>
      <c r="AH12">
        <v>1.6664622263884801E-3</v>
      </c>
      <c r="AI12" s="53">
        <v>1.0926630870116399E-5</v>
      </c>
      <c r="AJ12">
        <v>0</v>
      </c>
      <c r="AK12">
        <v>0</v>
      </c>
      <c r="AL12">
        <v>0</v>
      </c>
      <c r="AM12">
        <v>1.6024673892141501E-3</v>
      </c>
      <c r="AN12" s="53">
        <v>7.3502024125801294E-5</v>
      </c>
      <c r="AO12" s="53">
        <v>1.0838364815948499E-5</v>
      </c>
      <c r="AP12">
        <v>2.0055299493415999E-3</v>
      </c>
      <c r="AQ12">
        <v>6.9910132309146902E-2</v>
      </c>
      <c r="AR12" s="53">
        <v>3.8737261084868501E-6</v>
      </c>
      <c r="AS12" s="53">
        <v>-3.2526065174565099E-19</v>
      </c>
      <c r="AT12" s="53">
        <v>2.6020852139652099E-18</v>
      </c>
      <c r="AU12" s="53">
        <v>7.9409338805090598E-23</v>
      </c>
      <c r="AV12">
        <v>0.21072386371722801</v>
      </c>
      <c r="AW12">
        <v>99.192193319083202</v>
      </c>
      <c r="AX12">
        <v>500</v>
      </c>
      <c r="AY12">
        <v>95</v>
      </c>
      <c r="AZ12">
        <v>0.92480233795174105</v>
      </c>
      <c r="BA12">
        <v>0.1</v>
      </c>
      <c r="BB12">
        <v>43.8869296356837</v>
      </c>
      <c r="BC12" t="s">
        <v>251</v>
      </c>
      <c r="BD12">
        <v>1</v>
      </c>
      <c r="BE12">
        <v>1.8775014999999999E-2</v>
      </c>
      <c r="BF12">
        <v>0.10492961100000001</v>
      </c>
      <c r="BG12">
        <v>1.814625E-3</v>
      </c>
      <c r="BH12">
        <v>285.1951444</v>
      </c>
      <c r="BI12">
        <v>2169.8944889999998</v>
      </c>
      <c r="BJ12">
        <v>866.49409060000005</v>
      </c>
      <c r="BK12">
        <f t="shared" si="0"/>
        <v>100</v>
      </c>
      <c r="BL12">
        <f t="shared" si="1"/>
        <v>13.957372480144</v>
      </c>
      <c r="BM12">
        <f t="shared" si="2"/>
        <v>92.480233795174101</v>
      </c>
      <c r="BN12">
        <f t="shared" si="3"/>
        <v>21.0723863717228</v>
      </c>
      <c r="BO12">
        <f t="shared" si="28"/>
        <v>5.0246540928518399</v>
      </c>
      <c r="BP12">
        <f t="shared" si="4"/>
        <v>0.33497693952345603</v>
      </c>
      <c r="BQ12">
        <f t="shared" si="5"/>
        <v>1.67488469761728</v>
      </c>
      <c r="BR12">
        <f t="shared" si="29"/>
        <v>0.83744234880863999</v>
      </c>
      <c r="BS12">
        <f t="shared" si="6"/>
        <v>1.3957372480144001</v>
      </c>
      <c r="BT12">
        <f t="shared" si="30"/>
        <v>8.3744234880863999</v>
      </c>
      <c r="BU12">
        <f t="shared" si="7"/>
        <v>22.331795968230402</v>
      </c>
      <c r="BV12">
        <f t="shared" si="31"/>
        <v>6.9786862400720002</v>
      </c>
      <c r="BW12">
        <f t="shared" si="8"/>
        <v>85.501547555102107</v>
      </c>
      <c r="BX12">
        <f t="shared" si="32"/>
        <v>106.4376062753181</v>
      </c>
      <c r="BY12">
        <f t="shared" si="33"/>
        <v>92.480233795174101</v>
      </c>
      <c r="BZ12">
        <f t="shared" si="34"/>
        <v>1.9540321472201601</v>
      </c>
      <c r="CA12">
        <f>7963.6*(BT12/1000)^0.6*1.7*('CAPEX+OPEX'!$G$116/'CAPEX+OPEX'!$G$115)</f>
        <v>905.76154698777668</v>
      </c>
      <c r="CB12">
        <f>7963.6*(BU12/1000)^0.6*1.7*('CAPEX+OPEX'!$G$116/'CAPEX+OPEX'!$G$115)</f>
        <v>1631.5302058787963</v>
      </c>
      <c r="CC12">
        <f>7963.6*(BX12/1000)^0.6*1.7*('CAPEX+OPEX'!$G$116/'CAPEX+OPEX'!$G$115)</f>
        <v>4163.8779123800414</v>
      </c>
      <c r="CD12">
        <f>7963.6*(BY12/1000)^0.6*1.7*('CAPEX+OPEX'!$G$116/'CAPEX+OPEX'!$G$115)</f>
        <v>3827.1041330778485</v>
      </c>
      <c r="CE12">
        <v>300</v>
      </c>
      <c r="CF12">
        <v>30</v>
      </c>
      <c r="CG12">
        <f t="shared" si="9"/>
        <v>7.5860590938202073</v>
      </c>
      <c r="CH12">
        <f t="shared" si="10"/>
        <v>0.50573727292134718</v>
      </c>
      <c r="CI12">
        <f t="shared" si="11"/>
        <v>2.5286863646067359</v>
      </c>
      <c r="CJ12">
        <f t="shared" si="12"/>
        <v>1.264343182303368</v>
      </c>
      <c r="CK12">
        <f t="shared" si="13"/>
        <v>2.10723863717228</v>
      </c>
      <c r="CL12">
        <f t="shared" si="14"/>
        <v>12.64343182303368</v>
      </c>
      <c r="CM12">
        <f t="shared" si="35"/>
        <v>33.71581819475648</v>
      </c>
      <c r="CN12">
        <f t="shared" si="36"/>
        <v>10.5361931858614</v>
      </c>
      <c r="CO12">
        <v>0</v>
      </c>
      <c r="CP12">
        <f t="shared" si="37"/>
        <v>31.6085795575842</v>
      </c>
      <c r="CQ12">
        <f t="shared" si="38"/>
        <v>10.5361931858614</v>
      </c>
      <c r="CR12">
        <f t="shared" si="39"/>
        <v>2.9501340920411918</v>
      </c>
      <c r="CS12">
        <f>7963.6*(CL12/1000)^0.6*1.7*('CAPEX+OPEX'!$G$116/'CAPEX+OPEX'!$G$115)</f>
        <v>1159.7380614248757</v>
      </c>
      <c r="CT12">
        <f>7963.6*(CM12/1000)^0.6*1.7*('CAPEX+OPEX'!$G$116/'CAPEX+OPEX'!$G$115)</f>
        <v>2089.0130348484963</v>
      </c>
      <c r="CU12">
        <f>7963.6*(CP12/1000)^0.6*1.7*('CAPEX+OPEX'!$G$116/'CAPEX+OPEX'!$G$115)</f>
        <v>2009.6661417184978</v>
      </c>
      <c r="CV12">
        <f>7963.6*(CQ12/1000)^0.6*1.7*('CAPEX+OPEX'!$G$116/'CAPEX+OPEX'!$G$115)</f>
        <v>1039.5638356911361</v>
      </c>
      <c r="CW12">
        <v>300</v>
      </c>
      <c r="CX12">
        <f t="shared" si="15"/>
        <v>30</v>
      </c>
      <c r="CY12">
        <f t="shared" si="16"/>
        <v>10</v>
      </c>
      <c r="CZ12">
        <f t="shared" si="17"/>
        <v>9.2480233795174112</v>
      </c>
      <c r="DA12">
        <f t="shared" si="40"/>
        <v>3960</v>
      </c>
      <c r="DB12">
        <f t="shared" si="18"/>
        <v>3960</v>
      </c>
      <c r="DC12">
        <f>CF12*'Reagent cost'!$C$18/1000*'Reagent cost'!$H$18</f>
        <v>4784.413580611521</v>
      </c>
      <c r="DD12">
        <f>CX12*'Ligand cost'!$B$56*'Ligand cost'!$J$56</f>
        <v>30543.831958072875</v>
      </c>
      <c r="DE12">
        <f t="shared" si="41"/>
        <v>39625.826528698344</v>
      </c>
      <c r="DF12">
        <f t="shared" si="19"/>
        <v>4586243.4239371875</v>
      </c>
      <c r="DG12">
        <f t="shared" si="42"/>
        <v>11794834.586807497</v>
      </c>
      <c r="DH12">
        <f t="shared" si="20"/>
        <v>2275209.1661185985</v>
      </c>
      <c r="DI12">
        <f t="shared" si="21"/>
        <v>14083914.336508472</v>
      </c>
      <c r="DJ12">
        <f t="shared" si="43"/>
        <v>1662824.8986326549</v>
      </c>
      <c r="DK12" s="55">
        <f>DF12*($BK$2/10000)^0.72*0.6*((A12+1)/3)^0.6*('CAPEX+OPEX'!$G$116/'CAPEX+OPEX'!$G$114)</f>
        <v>316809.57444373245</v>
      </c>
      <c r="DL12" s="55">
        <f>DG12*($BK$2/10000)^0.72*0.6*((A12+1)/3)^0.6*('CAPEX+OPEX'!$G$116/'CAPEX+OPEX'!$G$114)</f>
        <v>814766.2870613205</v>
      </c>
      <c r="DM12" s="55">
        <f>DH12*($BK$2/10000)^0.72*0.6*((A12+1)/3)^0.6*('CAPEX+OPEX'!$G$116/'CAPEX+OPEX'!$G$114)</f>
        <v>157167.4202739363</v>
      </c>
      <c r="DN12" s="55">
        <f>DI12*($BK$2/10000)^0.72*0.6*((A12+1)/3)^0.6*('CAPEX+OPEX'!$G$116/'CAPEX+OPEX'!$G$114)</f>
        <v>972891.862687213</v>
      </c>
      <c r="DO12" s="55">
        <f>DJ12*($BK$2/10000)^0.72*0.6*((A12+1)/3)^0.6*('CAPEX+OPEX'!$G$116/'CAPEX+OPEX'!$G$114)</f>
        <v>114864.99948099331</v>
      </c>
      <c r="DP12">
        <f t="shared" si="44"/>
        <v>2376500.1439471957</v>
      </c>
      <c r="DQ12">
        <f>DF12*(BM12/10000)^0.72*0.6*((AF12+1)/3)^0.6*('CAPEX+OPEX'!$G$116/'CAPEX+OPEX'!$G$114)</f>
        <v>299470.13598532777</v>
      </c>
      <c r="DR12">
        <f>DG12*(BM12/10000)^0.72*0.6*((AF12+1)/3)^0.6*('CAPEX+OPEX'!$G$116/'CAPEX+OPEX'!$G$114)</f>
        <v>770172.96971196809</v>
      </c>
      <c r="DS12">
        <f>DH12*(BM12/10000)^0.72*0.6*((AF12+1)/3)^0.6*('CAPEX+OPEX'!$G$116/'CAPEX+OPEX'!$G$114)</f>
        <v>148565.4238971186</v>
      </c>
      <c r="DT12">
        <f>DI12*(BM12/10000)^0.72*0.6*((AF12+1)/3)^0.6*('CAPEX+OPEX'!$G$116/'CAPEX+OPEX'!$G$114)</f>
        <v>919644.1077562971</v>
      </c>
      <c r="DU12">
        <f>DJ12*(BM12/10000)^0.72*0.6*((AF12+1)/3)^0.6*('CAPEX+OPEX'!$G$116/'CAPEX+OPEX'!$G$114)</f>
        <v>108578.27474098987</v>
      </c>
      <c r="DV12">
        <f t="shared" si="45"/>
        <v>2246430.9120917013</v>
      </c>
      <c r="DW12">
        <f t="shared" si="46"/>
        <v>4692016.7315111933</v>
      </c>
      <c r="DX12">
        <f t="shared" si="47"/>
        <v>312801.11543407955</v>
      </c>
      <c r="DY12">
        <f>BO12*'Reagent cost'!$C$35*60*7200</f>
        <v>1301471.7215467719</v>
      </c>
      <c r="DZ12">
        <f>BP12*'Reagent cost'!$C$34*60*7200</f>
        <v>309680.9281510234</v>
      </c>
      <c r="EA12">
        <f>BQ12*'Reagent cost'!$C$14*'Reagent cost'!$C$36/1000*60*7200</f>
        <v>5133216.1099473797</v>
      </c>
      <c r="EB12">
        <f t="shared" si="22"/>
        <v>39.6</v>
      </c>
      <c r="EC12">
        <f t="shared" si="23"/>
        <v>95.688271612230423</v>
      </c>
      <c r="ED12">
        <f>0.1*BK12*60*7200*'Reagent cost'!$H$17*'Reagent cost'!$C$17/1000</f>
        <v>504921.59999999998</v>
      </c>
      <c r="EE12">
        <f>BV12*0.1*'Reagent cost'!$C$16/1000*'Reagent cost'!$H$16*60*7200</f>
        <v>1273418.1853678131</v>
      </c>
      <c r="EF12">
        <f>BZ12/1000*'Reagent cost'!$H$19*'Reagent cost'!$C$19*60*7200</f>
        <v>106994.9842531871</v>
      </c>
      <c r="EG12">
        <f>0.33*('Costing 100 Lmin Feed Orig'!BO12*'Reagent cost'!$C$13+'Costing 100 Lmin Feed Orig'!BP12*'Reagent cost'!$C$12+'Costing 100 Lmin Feed Orig'!BQ12*'Reagent cost'!$C$14+'Costing 100 Lmin Feed Orig'!BV12*0.1*'Reagent cost'!$C$16+'Costing 100 Lmin Feed Orig'!BZ12*'Reagent cost'!$C$19)/1000*60*7200</f>
        <v>218909.02374526046</v>
      </c>
      <c r="EH12">
        <f>CG12*'Reagent cost'!$C$35*60*7200</f>
        <v>1964919.6155881239</v>
      </c>
      <c r="EI12">
        <f>CH12*'Reagent cost'!$C$34*60*7200</f>
        <v>467546.17885534605</v>
      </c>
      <c r="EJ12">
        <f>CI12*'Reagent cost'!$C$14*'Reagent cost'!$C$36/1000*60*7200</f>
        <v>7749962.4913103348</v>
      </c>
      <c r="EK12">
        <f t="shared" si="24"/>
        <v>39.6</v>
      </c>
      <c r="EL12">
        <f t="shared" si="25"/>
        <v>610.87663916145755</v>
      </c>
      <c r="EM12">
        <f>0.1*BM12*60*7200*'Reagent cost'!$H$17*'Reagent cost'!$C$17/1000</f>
        <v>466952.67616233387</v>
      </c>
      <c r="EN12">
        <f>CN12*0.1*'Reagent cost'!$C$16/1000*'Reagent cost'!$H$16*60*7200</f>
        <v>1922565.3003832307</v>
      </c>
      <c r="EO12">
        <f>CR12/1000*'Reagent cost'!$H$19*'Reagent cost'!$C$19*60*7200</f>
        <v>161537.54234380746</v>
      </c>
      <c r="EP12">
        <f>0.33*(CG12*'Reagent cost'!$C$13+CH12*'Reagent cost'!$C$12+CI12*'Reagent cost'!$C$14+CN12*0.1*'Reagent cost'!$C$16+CR12*'Reagent cost'!$C$19)/1000*60*7200</f>
        <v>330501.71407112695</v>
      </c>
      <c r="EQ12">
        <f t="shared" si="48"/>
        <v>25636767.718584154</v>
      </c>
      <c r="ER12">
        <f t="shared" si="49"/>
        <v>549410.73781638744</v>
      </c>
      <c r="ES12">
        <f t="shared" si="50"/>
        <v>30272.303809866662</v>
      </c>
      <c r="ET12">
        <f t="shared" si="51"/>
        <v>20763.049486147294</v>
      </c>
      <c r="EU12">
        <f t="shared" si="52"/>
        <v>8790.8072421188135</v>
      </c>
      <c r="EV12">
        <f t="shared" si="53"/>
        <v>4656.7358484871465</v>
      </c>
      <c r="EW12">
        <f t="shared" si="54"/>
        <v>4688.4305291300352</v>
      </c>
      <c r="EX12">
        <f t="shared" si="55"/>
        <v>69171.326915749945</v>
      </c>
      <c r="EY12">
        <f t="shared" si="56"/>
        <v>28317.261416507248</v>
      </c>
      <c r="EZ12">
        <f t="shared" si="57"/>
        <v>19419.096223372169</v>
      </c>
      <c r="FA12">
        <f t="shared" si="58"/>
        <v>8221.7947719922486</v>
      </c>
      <c r="FB12">
        <f t="shared" si="59"/>
        <v>4357.6980650255673</v>
      </c>
      <c r="FC12">
        <f t="shared" si="60"/>
        <v>4384.9572117292009</v>
      </c>
      <c r="FD12">
        <f t="shared" si="61"/>
        <v>64700.807688626432</v>
      </c>
      <c r="FE12">
        <f t="shared" si="62"/>
        <v>26320050.591004916</v>
      </c>
      <c r="FF12">
        <f t="shared" si="63"/>
        <v>26632851.706438996</v>
      </c>
      <c r="FG12">
        <f>BM12*AM12*195.08/1000*'PGM market prices'!$C$2*60*7200</f>
        <v>421264737.57928479</v>
      </c>
      <c r="FH12">
        <f>BN12*AQ12*BA12*106.42/1000*'PGM market prices'!$C$3*60*7200</f>
        <v>223022316.52379069</v>
      </c>
      <c r="FI12">
        <f>BK12*J12*102.91/1000*'PGM market prices'!$C$4*60*7200</f>
        <v>243776550.55742735</v>
      </c>
      <c r="FJ12">
        <f t="shared" si="26"/>
        <v>888063604.66050291</v>
      </c>
      <c r="FK12">
        <f t="shared" si="27"/>
        <v>637458757.18600726</v>
      </c>
      <c r="FL12">
        <f t="shared" si="64"/>
        <v>0.61650119690831007</v>
      </c>
      <c r="FM12">
        <f t="shared" si="65"/>
        <v>2132.4706275269505</v>
      </c>
      <c r="FN12">
        <f t="shared" si="66"/>
        <v>3932.3921889090234</v>
      </c>
      <c r="FO12">
        <f t="shared" si="67"/>
        <v>18020.542927620139</v>
      </c>
    </row>
    <row r="13" spans="1:176">
      <c r="A13">
        <v>4</v>
      </c>
      <c r="B13">
        <v>1.54143585092054E-3</v>
      </c>
      <c r="C13">
        <v>1.54143585092054E-3</v>
      </c>
      <c r="D13">
        <v>3.4254130020456501E-4</v>
      </c>
      <c r="E13">
        <v>0</v>
      </c>
      <c r="F13">
        <v>0</v>
      </c>
      <c r="G13">
        <v>0</v>
      </c>
      <c r="H13" s="53">
        <v>1.7208960911287699E-5</v>
      </c>
      <c r="I13" s="53">
        <v>2.8768784818324402E-7</v>
      </c>
      <c r="J13">
        <v>3.3243632642994598E-4</v>
      </c>
      <c r="K13">
        <v>0.10920586178936199</v>
      </c>
      <c r="L13">
        <v>0.110418215553449</v>
      </c>
      <c r="M13">
        <v>7.2398825703009801E-4</v>
      </c>
      <c r="N13" s="53">
        <v>-2.168404344971E-18</v>
      </c>
      <c r="O13" s="53">
        <v>2.3635607360183901E-17</v>
      </c>
      <c r="P13" s="53">
        <v>-7.4538899358378406E-20</v>
      </c>
      <c r="Q13">
        <v>0.13957372480144001</v>
      </c>
      <c r="R13">
        <v>97.0499984181222</v>
      </c>
      <c r="S13">
        <v>500</v>
      </c>
      <c r="T13">
        <v>95</v>
      </c>
      <c r="U13">
        <v>1</v>
      </c>
      <c r="V13">
        <v>0.1</v>
      </c>
      <c r="W13">
        <v>71.646723007687299</v>
      </c>
      <c r="X13" t="s">
        <v>323</v>
      </c>
      <c r="Y13">
        <v>1</v>
      </c>
      <c r="Z13">
        <v>0.28318429382522198</v>
      </c>
      <c r="AA13">
        <v>0.56945642916197003</v>
      </c>
      <c r="AB13">
        <v>3.7698628972227502E-3</v>
      </c>
      <c r="AC13">
        <v>1822.2107908876901</v>
      </c>
      <c r="AD13">
        <v>2662.6059073104898</v>
      </c>
      <c r="AE13">
        <v>2401.5030938442701</v>
      </c>
      <c r="AF13">
        <v>5</v>
      </c>
      <c r="AG13">
        <v>1.6481650483119699E-3</v>
      </c>
      <c r="AH13">
        <v>1.6664622263884801E-3</v>
      </c>
      <c r="AI13" s="53">
        <v>1.0926630870116399E-5</v>
      </c>
      <c r="AJ13">
        <v>0</v>
      </c>
      <c r="AK13">
        <v>0</v>
      </c>
      <c r="AL13">
        <v>0</v>
      </c>
      <c r="AM13">
        <v>1.6085253260061899E-3</v>
      </c>
      <c r="AN13" s="53">
        <v>7.3809557032336595E-5</v>
      </c>
      <c r="AO13" s="53">
        <v>1.08496706522018E-5</v>
      </c>
      <c r="AP13">
        <v>1.817766908322E-3</v>
      </c>
      <c r="AQ13">
        <v>7.3034601414750294E-2</v>
      </c>
      <c r="AR13" s="53">
        <v>3.5291805604209299E-6</v>
      </c>
      <c r="AS13" s="53">
        <v>-2.4283418158244002E-16</v>
      </c>
      <c r="AT13" s="53">
        <v>-3.67848113080881E-15</v>
      </c>
      <c r="AU13" s="53">
        <v>-2.6574335231123502E-19</v>
      </c>
      <c r="AV13">
        <v>0.201670014436726</v>
      </c>
      <c r="AW13">
        <v>99.295663788504896</v>
      </c>
      <c r="AX13">
        <v>500</v>
      </c>
      <c r="AY13">
        <v>95</v>
      </c>
      <c r="AZ13">
        <v>0.92480233795174105</v>
      </c>
      <c r="BA13">
        <v>0.1</v>
      </c>
      <c r="BB13">
        <v>45.857205918031703</v>
      </c>
      <c r="BC13" t="s">
        <v>251</v>
      </c>
      <c r="BD13">
        <v>1</v>
      </c>
      <c r="BE13">
        <v>1.8775014999999999E-2</v>
      </c>
      <c r="BF13">
        <v>0.10492961100000001</v>
      </c>
      <c r="BG13">
        <v>1.814625E-3</v>
      </c>
      <c r="BH13">
        <v>285.1951444</v>
      </c>
      <c r="BI13">
        <v>2169.8944889999998</v>
      </c>
      <c r="BJ13">
        <v>866.49409060000005</v>
      </c>
      <c r="BK13">
        <f t="shared" si="0"/>
        <v>100</v>
      </c>
      <c r="BL13">
        <f t="shared" si="1"/>
        <v>13.957372480144</v>
      </c>
      <c r="BM13">
        <f t="shared" si="2"/>
        <v>92.480233795174101</v>
      </c>
      <c r="BN13">
        <f t="shared" si="3"/>
        <v>20.1670014436726</v>
      </c>
      <c r="BO13">
        <f t="shared" si="28"/>
        <v>5.0246540928518399</v>
      </c>
      <c r="BP13">
        <f t="shared" si="4"/>
        <v>0.33497693952345603</v>
      </c>
      <c r="BQ13">
        <f t="shared" si="5"/>
        <v>1.67488469761728</v>
      </c>
      <c r="BR13">
        <f t="shared" si="29"/>
        <v>0.83744234880863999</v>
      </c>
      <c r="BS13">
        <f t="shared" si="6"/>
        <v>1.3957372480144001</v>
      </c>
      <c r="BT13">
        <f t="shared" si="30"/>
        <v>8.3744234880863999</v>
      </c>
      <c r="BU13">
        <f t="shared" si="7"/>
        <v>22.331795968230402</v>
      </c>
      <c r="BV13">
        <f t="shared" si="31"/>
        <v>6.9786862400720002</v>
      </c>
      <c r="BW13">
        <f t="shared" si="8"/>
        <v>85.501547555102107</v>
      </c>
      <c r="BX13">
        <f t="shared" si="32"/>
        <v>106.4376062753181</v>
      </c>
      <c r="BY13">
        <f t="shared" si="33"/>
        <v>92.480233795174101</v>
      </c>
      <c r="BZ13">
        <f t="shared" si="34"/>
        <v>1.9540321472201601</v>
      </c>
      <c r="CA13">
        <f>7963.6*(BT13/1000)^0.6*1.7*('CAPEX+OPEX'!$G$116/'CAPEX+OPEX'!$G$115)</f>
        <v>905.76154698777668</v>
      </c>
      <c r="CB13">
        <f>7963.6*(BU13/1000)^0.6*1.7*('CAPEX+OPEX'!$G$116/'CAPEX+OPEX'!$G$115)</f>
        <v>1631.5302058787963</v>
      </c>
      <c r="CC13">
        <f>7963.6*(BX13/1000)^0.6*1.7*('CAPEX+OPEX'!$G$116/'CAPEX+OPEX'!$G$115)</f>
        <v>4163.8779123800414</v>
      </c>
      <c r="CD13">
        <f>7963.6*(BY13/1000)^0.6*1.7*('CAPEX+OPEX'!$G$116/'CAPEX+OPEX'!$G$115)</f>
        <v>3827.1041330778485</v>
      </c>
      <c r="CE13">
        <v>300</v>
      </c>
      <c r="CF13">
        <v>30</v>
      </c>
      <c r="CG13">
        <f t="shared" si="9"/>
        <v>7.2601205197221361</v>
      </c>
      <c r="CH13">
        <f t="shared" si="10"/>
        <v>0.4840080346481424</v>
      </c>
      <c r="CI13">
        <f t="shared" si="11"/>
        <v>2.4200401732407117</v>
      </c>
      <c r="CJ13">
        <f t="shared" si="12"/>
        <v>1.2100200866203559</v>
      </c>
      <c r="CK13">
        <f t="shared" si="13"/>
        <v>2.0167001443672601</v>
      </c>
      <c r="CL13">
        <f t="shared" si="14"/>
        <v>12.10020086620356</v>
      </c>
      <c r="CM13">
        <f t="shared" si="35"/>
        <v>32.267202309876161</v>
      </c>
      <c r="CN13">
        <f t="shared" si="36"/>
        <v>10.0835007218363</v>
      </c>
      <c r="CO13">
        <v>0</v>
      </c>
      <c r="CP13">
        <f t="shared" si="37"/>
        <v>30.250502165508898</v>
      </c>
      <c r="CQ13">
        <f t="shared" si="38"/>
        <v>10.0835007218363</v>
      </c>
      <c r="CR13">
        <f t="shared" si="39"/>
        <v>2.8233802021141639</v>
      </c>
      <c r="CS13">
        <f>7963.6*(CL13/1000)^0.6*1.7*('CAPEX+OPEX'!$G$116/'CAPEX+OPEX'!$G$115)</f>
        <v>1129.578651236109</v>
      </c>
      <c r="CT13">
        <f>7963.6*(CM13/1000)^0.6*1.7*('CAPEX+OPEX'!$G$116/'CAPEX+OPEX'!$G$115)</f>
        <v>2034.6874909146611</v>
      </c>
      <c r="CU13">
        <f>7963.6*(CP13/1000)^0.6*1.7*('CAPEX+OPEX'!$G$116/'CAPEX+OPEX'!$G$115)</f>
        <v>1957.4040426061354</v>
      </c>
      <c r="CV13">
        <f>7963.6*(CQ13/1000)^0.6*1.7*('CAPEX+OPEX'!$G$116/'CAPEX+OPEX'!$G$115)</f>
        <v>1012.5295999607881</v>
      </c>
      <c r="CW13">
        <v>300</v>
      </c>
      <c r="CX13">
        <f t="shared" si="15"/>
        <v>30</v>
      </c>
      <c r="CY13">
        <f t="shared" si="16"/>
        <v>10</v>
      </c>
      <c r="CZ13">
        <f t="shared" si="17"/>
        <v>9.2480233795174112</v>
      </c>
      <c r="DA13">
        <f t="shared" si="40"/>
        <v>3960</v>
      </c>
      <c r="DB13">
        <f t="shared" si="18"/>
        <v>3960</v>
      </c>
      <c r="DC13">
        <f>CF13*'Reagent cost'!$C$18/1000*'Reagent cost'!$H$18</f>
        <v>4784.413580611521</v>
      </c>
      <c r="DD13">
        <f>CX13*'Ligand cost'!$B$56*'Ligand cost'!$J$56</f>
        <v>30543.831958072875</v>
      </c>
      <c r="DE13">
        <f t="shared" si="41"/>
        <v>39625.826528698344</v>
      </c>
      <c r="DF13">
        <f t="shared" si="19"/>
        <v>4586243.4239371875</v>
      </c>
      <c r="DG13">
        <f t="shared" si="42"/>
        <v>11794834.586807497</v>
      </c>
      <c r="DH13">
        <f t="shared" si="20"/>
        <v>2275209.1661185985</v>
      </c>
      <c r="DI13">
        <f t="shared" si="21"/>
        <v>14083914.336508472</v>
      </c>
      <c r="DJ13">
        <f t="shared" si="43"/>
        <v>1662824.8986326549</v>
      </c>
      <c r="DK13" s="55">
        <f>DF13*($BK$2/10000)^0.72*0.6*((A13+1)/3)^0.6*('CAPEX+OPEX'!$G$116/'CAPEX+OPEX'!$G$114)</f>
        <v>316809.57444373245</v>
      </c>
      <c r="DL13" s="55">
        <f>DG13*($BK$2/10000)^0.72*0.6*((A13+1)/3)^0.6*('CAPEX+OPEX'!$G$116/'CAPEX+OPEX'!$G$114)</f>
        <v>814766.2870613205</v>
      </c>
      <c r="DM13" s="55">
        <f>DH13*($BK$2/10000)^0.72*0.6*((A13+1)/3)^0.6*('CAPEX+OPEX'!$G$116/'CAPEX+OPEX'!$G$114)</f>
        <v>157167.4202739363</v>
      </c>
      <c r="DN13" s="55">
        <f>DI13*($BK$2/10000)^0.72*0.6*((A13+1)/3)^0.6*('CAPEX+OPEX'!$G$116/'CAPEX+OPEX'!$G$114)</f>
        <v>972891.862687213</v>
      </c>
      <c r="DO13" s="55">
        <f>DJ13*($BK$2/10000)^0.72*0.6*((A13+1)/3)^0.6*('CAPEX+OPEX'!$G$116/'CAPEX+OPEX'!$G$114)</f>
        <v>114864.99948099331</v>
      </c>
      <c r="DP13">
        <f t="shared" si="44"/>
        <v>2376500.1439471957</v>
      </c>
      <c r="DQ13">
        <f>DF13*(BM13/10000)^0.72*0.6*((AF13+1)/3)^0.6*('CAPEX+OPEX'!$G$116/'CAPEX+OPEX'!$G$114)</f>
        <v>334089.06989474763</v>
      </c>
      <c r="DR13">
        <f>DG13*(BM13/10000)^0.72*0.6*((AF13+1)/3)^0.6*('CAPEX+OPEX'!$G$116/'CAPEX+OPEX'!$G$114)</f>
        <v>859205.44385017909</v>
      </c>
      <c r="DS13">
        <f>DH13*(BM13/10000)^0.72*0.6*((AF13+1)/3)^0.6*('CAPEX+OPEX'!$G$116/'CAPEX+OPEX'!$G$114)</f>
        <v>165739.67926718088</v>
      </c>
      <c r="DT13">
        <f>DI13*(BM13/10000)^0.72*0.6*((AF13+1)/3)^0.6*('CAPEX+OPEX'!$G$116/'CAPEX+OPEX'!$G$114)</f>
        <v>1025955.5383830973</v>
      </c>
      <c r="DU13">
        <f>DJ13*(BM13/10000)^0.72*0.6*((AF13+1)/3)^0.6*('CAPEX+OPEX'!$G$116/'CAPEX+OPEX'!$G$114)</f>
        <v>121129.99080740032</v>
      </c>
      <c r="DV13">
        <f t="shared" si="45"/>
        <v>2506119.7222026056</v>
      </c>
      <c r="DW13">
        <f t="shared" si="46"/>
        <v>4951517.1931397878</v>
      </c>
      <c r="DX13">
        <f t="shared" si="47"/>
        <v>330101.14620931918</v>
      </c>
      <c r="DY13">
        <f>BO13*'Reagent cost'!$C$35*60*7200</f>
        <v>1301471.7215467719</v>
      </c>
      <c r="DZ13">
        <f>BP13*'Reagent cost'!$C$34*60*7200</f>
        <v>309680.9281510234</v>
      </c>
      <c r="EA13">
        <f>BQ13*'Reagent cost'!$C$14*'Reagent cost'!$C$36/1000*60*7200</f>
        <v>5133216.1099473797</v>
      </c>
      <c r="EB13">
        <f t="shared" si="22"/>
        <v>39.6</v>
      </c>
      <c r="EC13">
        <f t="shared" si="23"/>
        <v>95.688271612230423</v>
      </c>
      <c r="ED13">
        <f>0.1*BK13*60*7200*'Reagent cost'!$H$17*'Reagent cost'!$C$17/1000</f>
        <v>504921.59999999998</v>
      </c>
      <c r="EE13">
        <f>BV13*0.1*'Reagent cost'!$C$16/1000*'Reagent cost'!$H$16*60*7200</f>
        <v>1273418.1853678131</v>
      </c>
      <c r="EF13">
        <f>BZ13/1000*'Reagent cost'!$H$19*'Reagent cost'!$C$19*60*7200</f>
        <v>106994.9842531871</v>
      </c>
      <c r="EG13">
        <f>0.33*('Costing 100 Lmin Feed Orig'!BO13*'Reagent cost'!$C$13+'Costing 100 Lmin Feed Orig'!BP13*'Reagent cost'!$C$12+'Costing 100 Lmin Feed Orig'!BQ13*'Reagent cost'!$C$14+'Costing 100 Lmin Feed Orig'!BV13*0.1*'Reagent cost'!$C$16+'Costing 100 Lmin Feed Orig'!BZ13*'Reagent cost'!$C$19)/1000*60*7200</f>
        <v>218909.02374526046</v>
      </c>
      <c r="EH13">
        <f>CG13*'Reagent cost'!$C$35*60*7200</f>
        <v>1880495.9260542728</v>
      </c>
      <c r="EI13">
        <f>CH13*'Reagent cost'!$C$34*60*7200</f>
        <v>447457.83878622443</v>
      </c>
      <c r="EJ13">
        <f>CI13*'Reagent cost'!$C$14*'Reagent cost'!$C$36/1000*60*7200</f>
        <v>7416981.7311434392</v>
      </c>
      <c r="EK13">
        <f t="shared" si="24"/>
        <v>39.6</v>
      </c>
      <c r="EL13">
        <f t="shared" si="25"/>
        <v>610.87663916145755</v>
      </c>
      <c r="EM13">
        <f>0.1*BM13*60*7200*'Reagent cost'!$H$17*'Reagent cost'!$C$17/1000</f>
        <v>466952.67616233387</v>
      </c>
      <c r="EN13">
        <f>CN13*0.1*'Reagent cost'!$C$16/1000*'Reagent cost'!$H$16*60*7200</f>
        <v>1839961.38379526</v>
      </c>
      <c r="EO13">
        <f>CR13/1000*'Reagent cost'!$H$19*'Reagent cost'!$C$19*60*7200</f>
        <v>154597.00634696314</v>
      </c>
      <c r="EP13">
        <f>0.33*(CG13*'Reagent cost'!$C$13+CH13*'Reagent cost'!$C$12+CI13*'Reagent cost'!$C$14+CN13*0.1*'Reagent cost'!$C$16+CR13*'Reagent cost'!$C$19)/1000*60*7200</f>
        <v>316301.55347534863</v>
      </c>
      <c r="EQ13">
        <f t="shared" si="48"/>
        <v>25004323.027758528</v>
      </c>
      <c r="ER13">
        <f t="shared" si="49"/>
        <v>535210.57722060906</v>
      </c>
      <c r="ES13">
        <f t="shared" si="50"/>
        <v>30272.303809866662</v>
      </c>
      <c r="ET13">
        <f t="shared" si="51"/>
        <v>20763.049486147294</v>
      </c>
      <c r="EU13">
        <f t="shared" si="52"/>
        <v>8790.8072421188135</v>
      </c>
      <c r="EV13">
        <f t="shared" si="53"/>
        <v>4656.7358484871465</v>
      </c>
      <c r="EW13">
        <f t="shared" si="54"/>
        <v>4688.4305291300352</v>
      </c>
      <c r="EX13">
        <f t="shared" si="55"/>
        <v>69171.326915749945</v>
      </c>
      <c r="EY13">
        <f t="shared" si="56"/>
        <v>30891.557908916995</v>
      </c>
      <c r="EZ13">
        <f t="shared" si="57"/>
        <v>23302.915468046605</v>
      </c>
      <c r="FA13">
        <f t="shared" si="58"/>
        <v>9866.1537263906994</v>
      </c>
      <c r="FB13">
        <f t="shared" si="59"/>
        <v>5229.2376780306813</v>
      </c>
      <c r="FC13">
        <f t="shared" si="60"/>
        <v>5261.9486540750413</v>
      </c>
      <c r="FD13">
        <f t="shared" si="61"/>
        <v>74551.813435460019</v>
      </c>
      <c r="FE13">
        <f t="shared" si="62"/>
        <v>25683256.745330345</v>
      </c>
      <c r="FF13">
        <f t="shared" si="63"/>
        <v>26013357.891539663</v>
      </c>
      <c r="FG13">
        <f>BM13*AM13*195.08/1000*'PGM market prices'!$C$2*60*7200</f>
        <v>422857278.66320783</v>
      </c>
      <c r="FH13">
        <f>BN13*AQ13*BA13*106.42/1000*'PGM market prices'!$C$3*60*7200</f>
        <v>222979260.39455503</v>
      </c>
      <c r="FI13">
        <f>BK13*J13*102.91/1000*'PGM market prices'!$C$4*60*7200</f>
        <v>243776550.55742735</v>
      </c>
      <c r="FJ13">
        <f t="shared" si="26"/>
        <v>889613089.61519027</v>
      </c>
      <c r="FK13">
        <f t="shared" si="27"/>
        <v>639063801.47550142</v>
      </c>
      <c r="FL13">
        <f t="shared" si="64"/>
        <v>0.60216106230415889</v>
      </c>
      <c r="FM13">
        <f t="shared" si="65"/>
        <v>2075.0238847993351</v>
      </c>
      <c r="FN13">
        <f t="shared" si="66"/>
        <v>3841.6643881896525</v>
      </c>
      <c r="FO13">
        <f t="shared" si="67"/>
        <v>17601.375840000695</v>
      </c>
    </row>
    <row r="14" spans="1:176">
      <c r="A14">
        <v>4</v>
      </c>
      <c r="B14">
        <v>1.54143585092054E-3</v>
      </c>
      <c r="C14">
        <v>1.54143585092054E-3</v>
      </c>
      <c r="D14">
        <v>3.4254130020456501E-4</v>
      </c>
      <c r="E14">
        <v>0</v>
      </c>
      <c r="F14">
        <v>0</v>
      </c>
      <c r="G14">
        <v>0</v>
      </c>
      <c r="H14" s="53">
        <v>1.7208960911287699E-5</v>
      </c>
      <c r="I14" s="53">
        <v>2.8768784818324402E-7</v>
      </c>
      <c r="J14">
        <v>3.3243632642994598E-4</v>
      </c>
      <c r="K14">
        <v>0.10920586178936199</v>
      </c>
      <c r="L14">
        <v>0.110418215553449</v>
      </c>
      <c r="M14">
        <v>7.2398825703009801E-4</v>
      </c>
      <c r="N14" s="53">
        <v>-2.168404344971E-18</v>
      </c>
      <c r="O14" s="53">
        <v>2.3635607360183901E-17</v>
      </c>
      <c r="P14" s="53">
        <v>-7.4538899358378406E-20</v>
      </c>
      <c r="Q14">
        <v>0.13957372480144001</v>
      </c>
      <c r="R14">
        <v>97.0499984181222</v>
      </c>
      <c r="S14">
        <v>500</v>
      </c>
      <c r="T14">
        <v>95</v>
      </c>
      <c r="U14">
        <v>1</v>
      </c>
      <c r="V14">
        <v>0.1</v>
      </c>
      <c r="W14">
        <v>71.646723007687299</v>
      </c>
      <c r="X14" t="s">
        <v>323</v>
      </c>
      <c r="Y14">
        <v>1</v>
      </c>
      <c r="Z14">
        <v>0.28318429382522198</v>
      </c>
      <c r="AA14">
        <v>0.56945642916197003</v>
      </c>
      <c r="AB14">
        <v>3.7698628972227502E-3</v>
      </c>
      <c r="AC14">
        <v>1822.2107908876901</v>
      </c>
      <c r="AD14">
        <v>2662.6059073104898</v>
      </c>
      <c r="AE14">
        <v>2401.5030938442701</v>
      </c>
      <c r="AF14">
        <v>6</v>
      </c>
      <c r="AG14">
        <v>1.6481650483119699E-3</v>
      </c>
      <c r="AH14">
        <v>1.6664622263884801E-3</v>
      </c>
      <c r="AI14" s="53">
        <v>1.0926630870116399E-5</v>
      </c>
      <c r="AJ14">
        <v>0</v>
      </c>
      <c r="AK14">
        <v>0</v>
      </c>
      <c r="AL14">
        <v>0</v>
      </c>
      <c r="AM14">
        <v>1.61036674463848E-3</v>
      </c>
      <c r="AN14" s="53">
        <v>7.3903037307057197E-5</v>
      </c>
      <c r="AO14" s="53">
        <v>1.0853107147603801E-5</v>
      </c>
      <c r="AP14">
        <v>1.75730512408255E-3</v>
      </c>
      <c r="AQ14">
        <v>7.4040688374865299E-2</v>
      </c>
      <c r="AR14" s="53">
        <v>3.41823843284434E-6</v>
      </c>
      <c r="AS14" s="53">
        <v>-3.20923843055709E-17</v>
      </c>
      <c r="AT14" s="53">
        <v>-6.4501355645507598E-15</v>
      </c>
      <c r="AU14" s="53">
        <v>-2.57948002218536E-20</v>
      </c>
      <c r="AV14">
        <v>0.19891798600503799</v>
      </c>
      <c r="AW14">
        <v>99.327114429080396</v>
      </c>
      <c r="AX14">
        <v>500</v>
      </c>
      <c r="AY14">
        <v>95</v>
      </c>
      <c r="AZ14">
        <v>0.92480233795174105</v>
      </c>
      <c r="BA14">
        <v>0.1</v>
      </c>
      <c r="BB14">
        <v>46.491639922813</v>
      </c>
      <c r="BC14" t="s">
        <v>251</v>
      </c>
      <c r="BD14">
        <v>1</v>
      </c>
      <c r="BE14">
        <v>1.8775014999999999E-2</v>
      </c>
      <c r="BF14">
        <v>0.10492961100000001</v>
      </c>
      <c r="BG14">
        <v>1.814625E-3</v>
      </c>
      <c r="BH14">
        <v>285.1951444</v>
      </c>
      <c r="BI14">
        <v>2169.8944889999998</v>
      </c>
      <c r="BJ14">
        <v>866.49409060000005</v>
      </c>
      <c r="BK14">
        <f t="shared" si="0"/>
        <v>100</v>
      </c>
      <c r="BL14">
        <f t="shared" si="1"/>
        <v>13.957372480144</v>
      </c>
      <c r="BM14">
        <f t="shared" si="2"/>
        <v>92.480233795174101</v>
      </c>
      <c r="BN14">
        <f t="shared" si="3"/>
        <v>19.891798600503797</v>
      </c>
      <c r="BO14">
        <f t="shared" si="28"/>
        <v>5.0246540928518399</v>
      </c>
      <c r="BP14">
        <f t="shared" si="4"/>
        <v>0.33497693952345603</v>
      </c>
      <c r="BQ14">
        <f t="shared" si="5"/>
        <v>1.67488469761728</v>
      </c>
      <c r="BR14">
        <f t="shared" si="29"/>
        <v>0.83744234880863999</v>
      </c>
      <c r="BS14">
        <f t="shared" si="6"/>
        <v>1.3957372480144001</v>
      </c>
      <c r="BT14">
        <f t="shared" si="30"/>
        <v>8.3744234880863999</v>
      </c>
      <c r="BU14">
        <f t="shared" si="7"/>
        <v>22.331795968230402</v>
      </c>
      <c r="BV14">
        <f t="shared" si="31"/>
        <v>6.9786862400720002</v>
      </c>
      <c r="BW14">
        <f t="shared" si="8"/>
        <v>85.501547555102107</v>
      </c>
      <c r="BX14">
        <f t="shared" si="32"/>
        <v>106.4376062753181</v>
      </c>
      <c r="BY14">
        <f t="shared" si="33"/>
        <v>92.480233795174101</v>
      </c>
      <c r="BZ14">
        <f t="shared" si="34"/>
        <v>1.9540321472201601</v>
      </c>
      <c r="CA14">
        <f>7963.6*(BT14/1000)^0.6*1.7*('CAPEX+OPEX'!$G$116/'CAPEX+OPEX'!$G$115)</f>
        <v>905.76154698777668</v>
      </c>
      <c r="CB14">
        <f>7963.6*(BU14/1000)^0.6*1.7*('CAPEX+OPEX'!$G$116/'CAPEX+OPEX'!$G$115)</f>
        <v>1631.5302058787963</v>
      </c>
      <c r="CC14">
        <f>7963.6*(BX14/1000)^0.6*1.7*('CAPEX+OPEX'!$G$116/'CAPEX+OPEX'!$G$115)</f>
        <v>4163.8779123800414</v>
      </c>
      <c r="CD14">
        <f>7963.6*(BY14/1000)^0.6*1.7*('CAPEX+OPEX'!$G$116/'CAPEX+OPEX'!$G$115)</f>
        <v>3827.1041330778485</v>
      </c>
      <c r="CE14">
        <v>300</v>
      </c>
      <c r="CF14">
        <v>30</v>
      </c>
      <c r="CG14">
        <f t="shared" si="9"/>
        <v>7.161047496181367</v>
      </c>
      <c r="CH14">
        <f t="shared" si="10"/>
        <v>0.47740316641209113</v>
      </c>
      <c r="CI14">
        <f t="shared" si="11"/>
        <v>2.3870158320604555</v>
      </c>
      <c r="CJ14">
        <f t="shared" si="12"/>
        <v>1.1935079160302278</v>
      </c>
      <c r="CK14">
        <f t="shared" si="13"/>
        <v>1.9891798600503798</v>
      </c>
      <c r="CL14">
        <f t="shared" si="14"/>
        <v>11.935079160302278</v>
      </c>
      <c r="CM14">
        <f t="shared" si="35"/>
        <v>31.826877760806077</v>
      </c>
      <c r="CN14">
        <f t="shared" si="36"/>
        <v>9.9458993002518987</v>
      </c>
      <c r="CO14">
        <v>0</v>
      </c>
      <c r="CP14">
        <f t="shared" si="37"/>
        <v>29.837697900755696</v>
      </c>
      <c r="CQ14">
        <f t="shared" si="38"/>
        <v>9.9458993002518987</v>
      </c>
      <c r="CR14">
        <f t="shared" si="39"/>
        <v>2.7848518040705317</v>
      </c>
      <c r="CS14">
        <f>7963.6*(CL14/1000)^0.6*1.7*('CAPEX+OPEX'!$G$116/'CAPEX+OPEX'!$G$115)</f>
        <v>1120.3045767038161</v>
      </c>
      <c r="CT14">
        <f>7963.6*(CM14/1000)^0.6*1.7*('CAPEX+OPEX'!$G$116/'CAPEX+OPEX'!$G$115)</f>
        <v>2017.9822854648089</v>
      </c>
      <c r="CU14">
        <f>7963.6*(CP14/1000)^0.6*1.7*('CAPEX+OPEX'!$G$116/'CAPEX+OPEX'!$G$115)</f>
        <v>1941.3333502633984</v>
      </c>
      <c r="CV14">
        <f>7963.6*(CQ14/1000)^0.6*1.7*('CAPEX+OPEX'!$G$116/'CAPEX+OPEX'!$G$115)</f>
        <v>1004.2165223668438</v>
      </c>
      <c r="CW14">
        <v>300</v>
      </c>
      <c r="CX14">
        <f t="shared" si="15"/>
        <v>30</v>
      </c>
      <c r="CY14">
        <f t="shared" si="16"/>
        <v>10</v>
      </c>
      <c r="CZ14">
        <f t="shared" si="17"/>
        <v>9.2480233795174112</v>
      </c>
      <c r="DA14">
        <f t="shared" si="40"/>
        <v>3960</v>
      </c>
      <c r="DB14">
        <f t="shared" si="18"/>
        <v>3960</v>
      </c>
      <c r="DC14">
        <f>CF14*'Reagent cost'!$C$18/1000*'Reagent cost'!$H$18</f>
        <v>4784.413580611521</v>
      </c>
      <c r="DD14">
        <f>CX14*'Ligand cost'!$B$56*'Ligand cost'!$J$56</f>
        <v>30543.831958072875</v>
      </c>
      <c r="DE14">
        <f t="shared" si="41"/>
        <v>39625.826528698344</v>
      </c>
      <c r="DF14">
        <f t="shared" si="19"/>
        <v>4586243.4239371875</v>
      </c>
      <c r="DG14">
        <f t="shared" si="42"/>
        <v>11794834.586807497</v>
      </c>
      <c r="DH14">
        <f t="shared" si="20"/>
        <v>2275209.1661185985</v>
      </c>
      <c r="DI14">
        <f t="shared" si="21"/>
        <v>14083914.336508472</v>
      </c>
      <c r="DJ14">
        <f t="shared" si="43"/>
        <v>1662824.8986326549</v>
      </c>
      <c r="DK14" s="55">
        <f>DF14*($BK$2/10000)^0.72*0.6*((A14+1)/3)^0.6*('CAPEX+OPEX'!$G$116/'CAPEX+OPEX'!$G$114)</f>
        <v>316809.57444373245</v>
      </c>
      <c r="DL14" s="55">
        <f>DG14*($BK$2/10000)^0.72*0.6*((A14+1)/3)^0.6*('CAPEX+OPEX'!$G$116/'CAPEX+OPEX'!$G$114)</f>
        <v>814766.2870613205</v>
      </c>
      <c r="DM14" s="55">
        <f>DH14*($BK$2/10000)^0.72*0.6*((A14+1)/3)^0.6*('CAPEX+OPEX'!$G$116/'CAPEX+OPEX'!$G$114)</f>
        <v>157167.4202739363</v>
      </c>
      <c r="DN14" s="55">
        <f>DI14*($BK$2/10000)^0.72*0.6*((A14+1)/3)^0.6*('CAPEX+OPEX'!$G$116/'CAPEX+OPEX'!$G$114)</f>
        <v>972891.862687213</v>
      </c>
      <c r="DO14" s="55">
        <f>DJ14*($BK$2/10000)^0.72*0.6*((A14+1)/3)^0.6*('CAPEX+OPEX'!$G$116/'CAPEX+OPEX'!$G$114)</f>
        <v>114864.99948099331</v>
      </c>
      <c r="DP14">
        <f t="shared" si="44"/>
        <v>2376500.1439471957</v>
      </c>
      <c r="DQ14">
        <f>DF14*(BM14/10000)^0.72*0.6*((AF14+1)/3)^0.6*('CAPEX+OPEX'!$G$116/'CAPEX+OPEX'!$G$114)</f>
        <v>366463.17604958202</v>
      </c>
      <c r="DR14">
        <f>DG14*(BM14/10000)^0.72*0.6*((AF14+1)/3)^0.6*('CAPEX+OPEX'!$G$116/'CAPEX+OPEX'!$G$114)</f>
        <v>942464.7023969508</v>
      </c>
      <c r="DS14">
        <f>DH14*(BM14/10000)^0.72*0.6*((AF14+1)/3)^0.6*('CAPEX+OPEX'!$G$116/'CAPEX+OPEX'!$G$114)</f>
        <v>181800.28841058782</v>
      </c>
      <c r="DT14">
        <f>DI14*(BM14/10000)^0.72*0.6*((AF14+1)/3)^0.6*('CAPEX+OPEX'!$G$116/'CAPEX+OPEX'!$G$114)</f>
        <v>1125373.3179597191</v>
      </c>
      <c r="DU14">
        <f>DJ14*(BM14/10000)^0.72*0.6*((AF14+1)/3)^0.6*('CAPEX+OPEX'!$G$116/'CAPEX+OPEX'!$G$114)</f>
        <v>132867.80426585415</v>
      </c>
      <c r="DV14">
        <f t="shared" si="45"/>
        <v>2748969.2890826939</v>
      </c>
      <c r="DW14">
        <f t="shared" si="46"/>
        <v>5194308.8425124688</v>
      </c>
      <c r="DX14">
        <f t="shared" si="47"/>
        <v>346287.25616749789</v>
      </c>
      <c r="DY14">
        <f>BO14*'Reagent cost'!$C$35*60*7200</f>
        <v>1301471.7215467719</v>
      </c>
      <c r="DZ14">
        <f>BP14*'Reagent cost'!$C$34*60*7200</f>
        <v>309680.9281510234</v>
      </c>
      <c r="EA14">
        <f>BQ14*'Reagent cost'!$C$14*'Reagent cost'!$C$36/1000*60*7200</f>
        <v>5133216.1099473797</v>
      </c>
      <c r="EB14">
        <f t="shared" si="22"/>
        <v>39.6</v>
      </c>
      <c r="EC14">
        <f t="shared" si="23"/>
        <v>95.688271612230423</v>
      </c>
      <c r="ED14">
        <f>0.1*BK14*60*7200*'Reagent cost'!$H$17*'Reagent cost'!$C$17/1000</f>
        <v>504921.59999999998</v>
      </c>
      <c r="EE14">
        <f>BV14*0.1*'Reagent cost'!$C$16/1000*'Reagent cost'!$H$16*60*7200</f>
        <v>1273418.1853678131</v>
      </c>
      <c r="EF14">
        <f>BZ14/1000*'Reagent cost'!$H$19*'Reagent cost'!$C$19*60*7200</f>
        <v>106994.9842531871</v>
      </c>
      <c r="EG14">
        <f>0.33*('Costing 100 Lmin Feed Orig'!BO14*'Reagent cost'!$C$13+'Costing 100 Lmin Feed Orig'!BP14*'Reagent cost'!$C$12+'Costing 100 Lmin Feed Orig'!BQ14*'Reagent cost'!$C$14+'Costing 100 Lmin Feed Orig'!BV14*0.1*'Reagent cost'!$C$16+'Costing 100 Lmin Feed Orig'!BZ14*'Reagent cost'!$C$19)/1000*60*7200</f>
        <v>218909.02374526046</v>
      </c>
      <c r="EH14">
        <f>CG14*'Reagent cost'!$C$35*60*7200</f>
        <v>1854834.3111204447</v>
      </c>
      <c r="EI14">
        <f>CH14*'Reagent cost'!$C$34*60*7200</f>
        <v>441351.74166632892</v>
      </c>
      <c r="EJ14">
        <f>CI14*'Reagent cost'!$C$14*'Reagent cost'!$C$36/1000*60*7200</f>
        <v>7315768.1488544289</v>
      </c>
      <c r="EK14">
        <f t="shared" si="24"/>
        <v>39.6</v>
      </c>
      <c r="EL14">
        <f t="shared" si="25"/>
        <v>610.87663916145755</v>
      </c>
      <c r="EM14">
        <f>0.1*BM14*60*7200*'Reagent cost'!$H$17*'Reagent cost'!$C$17/1000</f>
        <v>466952.67616233387</v>
      </c>
      <c r="EN14">
        <f>CN14*0.1*'Reagent cost'!$C$16/1000*'Reagent cost'!$H$16*60*7200</f>
        <v>1814852.9111472289</v>
      </c>
      <c r="EO14">
        <f>CR14/1000*'Reagent cost'!$H$19*'Reagent cost'!$C$19*60*7200</f>
        <v>152487.34538368604</v>
      </c>
      <c r="EP14">
        <f>0.33*(CG14*'Reagent cost'!$C$13+CH14*'Reagent cost'!$C$12+CI14*'Reagent cost'!$C$14+CN14*0.1*'Reagent cost'!$C$16+CR14*'Reagent cost'!$C$19)/1000*60*7200</f>
        <v>311985.24065818283</v>
      </c>
      <c r="EQ14">
        <f t="shared" si="48"/>
        <v>24812083.71421368</v>
      </c>
      <c r="ER14">
        <f t="shared" si="49"/>
        <v>530894.26440344332</v>
      </c>
      <c r="ES14">
        <f t="shared" si="50"/>
        <v>30272.303809866662</v>
      </c>
      <c r="ET14">
        <f t="shared" si="51"/>
        <v>20763.049486147294</v>
      </c>
      <c r="EU14">
        <f t="shared" si="52"/>
        <v>8790.8072421188135</v>
      </c>
      <c r="EV14">
        <f t="shared" si="53"/>
        <v>4656.7358484871465</v>
      </c>
      <c r="EW14">
        <f t="shared" si="54"/>
        <v>4688.4305291300352</v>
      </c>
      <c r="EX14">
        <f t="shared" si="55"/>
        <v>69171.326915749945</v>
      </c>
      <c r="EY14">
        <f t="shared" si="56"/>
        <v>33465.854401326746</v>
      </c>
      <c r="EZ14">
        <f t="shared" si="57"/>
        <v>27186.734712721038</v>
      </c>
      <c r="FA14">
        <f t="shared" si="58"/>
        <v>11510.512680789148</v>
      </c>
      <c r="FB14">
        <f t="shared" si="59"/>
        <v>6100.7772910357944</v>
      </c>
      <c r="FC14">
        <f t="shared" si="60"/>
        <v>6138.9400964208808</v>
      </c>
      <c r="FD14">
        <f t="shared" si="61"/>
        <v>84402.819182293591</v>
      </c>
      <c r="FE14">
        <f t="shared" si="62"/>
        <v>25496552.124715168</v>
      </c>
      <c r="FF14">
        <f t="shared" si="63"/>
        <v>25842839.380882666</v>
      </c>
      <c r="FG14">
        <f>BM14*AM14*195.08/1000*'PGM market prices'!$C$2*60*7200</f>
        <v>423341360.11293131</v>
      </c>
      <c r="FH14">
        <f>BN14*AQ14*BA14*106.42/1000*'PGM market prices'!$C$3*60*7200</f>
        <v>222966172.69360778</v>
      </c>
      <c r="FI14">
        <f>BK14*J14*102.91/1000*'PGM market prices'!$C$4*60*7200</f>
        <v>243776550.55742735</v>
      </c>
      <c r="FJ14">
        <f t="shared" si="26"/>
        <v>890084083.36396646</v>
      </c>
      <c r="FK14">
        <f t="shared" si="27"/>
        <v>639538520.54748201</v>
      </c>
      <c r="FL14">
        <f t="shared" si="64"/>
        <v>0.59821387455746911</v>
      </c>
      <c r="FM14">
        <f t="shared" si="65"/>
        <v>2059.0648371433394</v>
      </c>
      <c r="FN14">
        <f t="shared" si="66"/>
        <v>3816.7061583017576</v>
      </c>
      <c r="FO14">
        <f t="shared" si="67"/>
        <v>17485.998178790447</v>
      </c>
    </row>
    <row r="15" spans="1:176">
      <c r="A15">
        <v>4</v>
      </c>
      <c r="B15">
        <v>1.54143585092054E-3</v>
      </c>
      <c r="C15">
        <v>1.54143585092054E-3</v>
      </c>
      <c r="D15">
        <v>3.4254130020456501E-4</v>
      </c>
      <c r="E15">
        <v>0</v>
      </c>
      <c r="F15">
        <v>0</v>
      </c>
      <c r="G15">
        <v>0</v>
      </c>
      <c r="H15" s="53">
        <v>1.7208960911287699E-5</v>
      </c>
      <c r="I15" s="53">
        <v>2.8768784818324402E-7</v>
      </c>
      <c r="J15">
        <v>3.3243632642994598E-4</v>
      </c>
      <c r="K15">
        <v>0.10920586178936199</v>
      </c>
      <c r="L15">
        <v>0.110418215553449</v>
      </c>
      <c r="M15">
        <v>7.2398825703009801E-4</v>
      </c>
      <c r="N15" s="53">
        <v>-2.168404344971E-18</v>
      </c>
      <c r="O15" s="53">
        <v>2.3635607360183901E-17</v>
      </c>
      <c r="P15" s="53">
        <v>-7.4538899358378406E-20</v>
      </c>
      <c r="Q15">
        <v>0.13957372480144001</v>
      </c>
      <c r="R15">
        <v>97.0499984181222</v>
      </c>
      <c r="S15">
        <v>500</v>
      </c>
      <c r="T15">
        <v>95</v>
      </c>
      <c r="U15">
        <v>1</v>
      </c>
      <c r="V15">
        <v>0.1</v>
      </c>
      <c r="W15">
        <v>71.646723007687299</v>
      </c>
      <c r="X15" t="s">
        <v>323</v>
      </c>
      <c r="Y15">
        <v>1</v>
      </c>
      <c r="Z15">
        <v>0.28318429382522198</v>
      </c>
      <c r="AA15">
        <v>0.56945642916197003</v>
      </c>
      <c r="AB15">
        <v>3.7698628972227502E-3</v>
      </c>
      <c r="AC15">
        <v>1822.2107908876901</v>
      </c>
      <c r="AD15">
        <v>2662.6059073104898</v>
      </c>
      <c r="AE15">
        <v>2401.5030938442701</v>
      </c>
      <c r="AF15">
        <v>7</v>
      </c>
      <c r="AG15">
        <v>1.6481650483119699E-3</v>
      </c>
      <c r="AH15">
        <v>1.6664622263884801E-3</v>
      </c>
      <c r="AI15" s="53">
        <v>1.0926630870116399E-5</v>
      </c>
      <c r="AJ15">
        <v>0</v>
      </c>
      <c r="AK15">
        <v>0</v>
      </c>
      <c r="AL15">
        <v>0</v>
      </c>
      <c r="AM15">
        <v>1.61090754837377E-3</v>
      </c>
      <c r="AN15" s="53">
        <v>7.3930491403475195E-5</v>
      </c>
      <c r="AO15" s="53">
        <v>1.08541164056693E-5</v>
      </c>
      <c r="AP15">
        <v>1.73922906321953E-3</v>
      </c>
      <c r="AQ15">
        <v>7.4341474522921697E-2</v>
      </c>
      <c r="AR15" s="53">
        <v>3.3850705039854299E-6</v>
      </c>
      <c r="AS15" s="53">
        <v>6.2377335826972699E-15</v>
      </c>
      <c r="AT15" s="53">
        <v>-2.31652956365902E-12</v>
      </c>
      <c r="AU15" s="53">
        <v>-1.8555315500789499E-20</v>
      </c>
      <c r="AV15">
        <v>0.19810974742489201</v>
      </c>
      <c r="AW15">
        <v>99.336351110337105</v>
      </c>
      <c r="AX15">
        <v>500</v>
      </c>
      <c r="AY15">
        <v>95</v>
      </c>
      <c r="AZ15">
        <v>0.92480233795174105</v>
      </c>
      <c r="BA15">
        <v>0.1</v>
      </c>
      <c r="BB15">
        <v>46.681314270129498</v>
      </c>
      <c r="BC15" t="s">
        <v>251</v>
      </c>
      <c r="BD15">
        <v>1</v>
      </c>
      <c r="BE15">
        <v>1.8775014999999999E-2</v>
      </c>
      <c r="BF15">
        <v>0.10492961100000001</v>
      </c>
      <c r="BG15">
        <v>1.814625E-3</v>
      </c>
      <c r="BH15">
        <v>285.1951444</v>
      </c>
      <c r="BI15">
        <v>2169.8944889999998</v>
      </c>
      <c r="BJ15">
        <v>866.49409060000005</v>
      </c>
      <c r="BK15">
        <f t="shared" si="0"/>
        <v>100</v>
      </c>
      <c r="BL15">
        <f t="shared" si="1"/>
        <v>13.957372480144</v>
      </c>
      <c r="BM15">
        <f t="shared" si="2"/>
        <v>92.480233795174101</v>
      </c>
      <c r="BN15">
        <f t="shared" si="3"/>
        <v>19.810974742489201</v>
      </c>
      <c r="BO15">
        <f t="shared" si="28"/>
        <v>5.0246540928518399</v>
      </c>
      <c r="BP15">
        <f t="shared" si="4"/>
        <v>0.33497693952345603</v>
      </c>
      <c r="BQ15">
        <f t="shared" si="5"/>
        <v>1.67488469761728</v>
      </c>
      <c r="BR15">
        <f t="shared" si="29"/>
        <v>0.83744234880863999</v>
      </c>
      <c r="BS15">
        <f t="shared" si="6"/>
        <v>1.3957372480144001</v>
      </c>
      <c r="BT15">
        <f t="shared" si="30"/>
        <v>8.3744234880863999</v>
      </c>
      <c r="BU15">
        <f t="shared" si="7"/>
        <v>22.331795968230402</v>
      </c>
      <c r="BV15">
        <f t="shared" si="31"/>
        <v>6.9786862400720002</v>
      </c>
      <c r="BW15">
        <f t="shared" si="8"/>
        <v>85.501547555102107</v>
      </c>
      <c r="BX15">
        <f t="shared" si="32"/>
        <v>106.4376062753181</v>
      </c>
      <c r="BY15">
        <f t="shared" si="33"/>
        <v>92.480233795174101</v>
      </c>
      <c r="BZ15">
        <f t="shared" si="34"/>
        <v>1.9540321472201601</v>
      </c>
      <c r="CA15">
        <f>7963.6*(BT15/1000)^0.6*1.7*('CAPEX+OPEX'!$G$116/'CAPEX+OPEX'!$G$115)</f>
        <v>905.76154698777668</v>
      </c>
      <c r="CB15">
        <f>7963.6*(BU15/1000)^0.6*1.7*('CAPEX+OPEX'!$G$116/'CAPEX+OPEX'!$G$115)</f>
        <v>1631.5302058787963</v>
      </c>
      <c r="CC15">
        <f>7963.6*(BX15/1000)^0.6*1.7*('CAPEX+OPEX'!$G$116/'CAPEX+OPEX'!$G$115)</f>
        <v>4163.8779123800414</v>
      </c>
      <c r="CD15">
        <f>7963.6*(BY15/1000)^0.6*1.7*('CAPEX+OPEX'!$G$116/'CAPEX+OPEX'!$G$115)</f>
        <v>3827.1041330778485</v>
      </c>
      <c r="CE15">
        <v>300</v>
      </c>
      <c r="CF15">
        <v>30</v>
      </c>
      <c r="CG15">
        <f t="shared" si="9"/>
        <v>7.1319509072961118</v>
      </c>
      <c r="CH15">
        <f t="shared" si="10"/>
        <v>0.47546339381974084</v>
      </c>
      <c r="CI15">
        <f t="shared" si="11"/>
        <v>2.3773169690987039</v>
      </c>
      <c r="CJ15">
        <f t="shared" si="12"/>
        <v>1.188658484549352</v>
      </c>
      <c r="CK15">
        <f t="shared" si="13"/>
        <v>1.9810974742489202</v>
      </c>
      <c r="CL15">
        <f t="shared" si="14"/>
        <v>11.88658484549352</v>
      </c>
      <c r="CM15">
        <f t="shared" si="35"/>
        <v>31.697559587982724</v>
      </c>
      <c r="CN15">
        <f t="shared" si="36"/>
        <v>9.9054873712446003</v>
      </c>
      <c r="CO15">
        <v>0</v>
      </c>
      <c r="CP15">
        <f t="shared" si="37"/>
        <v>29.716462113733801</v>
      </c>
      <c r="CQ15">
        <f t="shared" si="38"/>
        <v>9.9054873712446003</v>
      </c>
      <c r="CR15">
        <f t="shared" si="39"/>
        <v>2.7735364639484881</v>
      </c>
      <c r="CS15">
        <f>7963.6*(CL15/1000)^0.6*1.7*('CAPEX+OPEX'!$G$116/'CAPEX+OPEX'!$G$115)</f>
        <v>1117.5711569163159</v>
      </c>
      <c r="CT15">
        <f>7963.6*(CM15/1000)^0.6*1.7*('CAPEX+OPEX'!$G$116/'CAPEX+OPEX'!$G$115)</f>
        <v>2013.0586309295907</v>
      </c>
      <c r="CU15">
        <f>7963.6*(CP15/1000)^0.6*1.7*('CAPEX+OPEX'!$G$116/'CAPEX+OPEX'!$G$115)</f>
        <v>1936.5967106886881</v>
      </c>
      <c r="CV15">
        <f>7963.6*(CQ15/1000)^0.6*1.7*('CAPEX+OPEX'!$G$116/'CAPEX+OPEX'!$G$115)</f>
        <v>1001.7663446470949</v>
      </c>
      <c r="CW15">
        <v>300</v>
      </c>
      <c r="CX15">
        <f t="shared" si="15"/>
        <v>30</v>
      </c>
      <c r="CY15">
        <f t="shared" si="16"/>
        <v>10</v>
      </c>
      <c r="CZ15">
        <f t="shared" si="17"/>
        <v>9.2480233795174112</v>
      </c>
      <c r="DA15">
        <f t="shared" si="40"/>
        <v>3960</v>
      </c>
      <c r="DB15">
        <f t="shared" si="18"/>
        <v>3960</v>
      </c>
      <c r="DC15">
        <f>CF15*'Reagent cost'!$C$18/1000*'Reagent cost'!$H$18</f>
        <v>4784.413580611521</v>
      </c>
      <c r="DD15">
        <f>CX15*'Ligand cost'!$B$56*'Ligand cost'!$J$56</f>
        <v>30543.831958072875</v>
      </c>
      <c r="DE15">
        <f t="shared" si="41"/>
        <v>39625.826528698344</v>
      </c>
      <c r="DF15">
        <f t="shared" si="19"/>
        <v>4586243.4239371875</v>
      </c>
      <c r="DG15">
        <f t="shared" si="42"/>
        <v>11794834.586807497</v>
      </c>
      <c r="DH15">
        <f t="shared" si="20"/>
        <v>2275209.1661185985</v>
      </c>
      <c r="DI15">
        <f t="shared" si="21"/>
        <v>14083914.336508472</v>
      </c>
      <c r="DJ15">
        <f t="shared" si="43"/>
        <v>1662824.8986326549</v>
      </c>
      <c r="DK15" s="55">
        <f>DF15*($BK$2/10000)^0.72*0.6*((A15+1)/3)^0.6*('CAPEX+OPEX'!$G$116/'CAPEX+OPEX'!$G$114)</f>
        <v>316809.57444373245</v>
      </c>
      <c r="DL15" s="55">
        <f>DG15*($BK$2/10000)^0.72*0.6*((A15+1)/3)^0.6*('CAPEX+OPEX'!$G$116/'CAPEX+OPEX'!$G$114)</f>
        <v>814766.2870613205</v>
      </c>
      <c r="DM15" s="55">
        <f>DH15*($BK$2/10000)^0.72*0.6*((A15+1)/3)^0.6*('CAPEX+OPEX'!$G$116/'CAPEX+OPEX'!$G$114)</f>
        <v>157167.4202739363</v>
      </c>
      <c r="DN15" s="55">
        <f>DI15*($BK$2/10000)^0.72*0.6*((A15+1)/3)^0.6*('CAPEX+OPEX'!$G$116/'CAPEX+OPEX'!$G$114)</f>
        <v>972891.862687213</v>
      </c>
      <c r="DO15" s="55">
        <f>DJ15*($BK$2/10000)^0.72*0.6*((A15+1)/3)^0.6*('CAPEX+OPEX'!$G$116/'CAPEX+OPEX'!$G$114)</f>
        <v>114864.99948099331</v>
      </c>
      <c r="DP15">
        <f t="shared" si="44"/>
        <v>2376500.1439471957</v>
      </c>
      <c r="DQ15">
        <f>DF15*(BM15/10000)^0.72*0.6*((AF15+1)/3)^0.6*('CAPEX+OPEX'!$G$116/'CAPEX+OPEX'!$G$114)</f>
        <v>397031.99811596872</v>
      </c>
      <c r="DR15">
        <f>DG15*(BM15/10000)^0.72*0.6*((AF15+1)/3)^0.6*('CAPEX+OPEX'!$G$116/'CAPEX+OPEX'!$G$114)</f>
        <v>1021081.1574034001</v>
      </c>
      <c r="DS15">
        <f>DH15*(BM15/10000)^0.72*0.6*((AF15+1)/3)^0.6*('CAPEX+OPEX'!$G$116/'CAPEX+OPEX'!$G$114)</f>
        <v>196965.30642944912</v>
      </c>
      <c r="DT15">
        <f>DI15*(BM15/10000)^0.72*0.6*((AF15+1)/3)^0.6*('CAPEX+OPEX'!$G$116/'CAPEX+OPEX'!$G$114)</f>
        <v>1219247.2429903625</v>
      </c>
      <c r="DU15">
        <f>DJ15*(BM15/10000)^0.72*0.6*((AF15+1)/3)^0.6*('CAPEX+OPEX'!$G$116/'CAPEX+OPEX'!$G$114)</f>
        <v>143951.07956444746</v>
      </c>
      <c r="DV15">
        <f t="shared" si="45"/>
        <v>2978276.784503628</v>
      </c>
      <c r="DW15">
        <f t="shared" si="46"/>
        <v>5423599.2674580431</v>
      </c>
      <c r="DX15">
        <f t="shared" si="47"/>
        <v>361573.2844972029</v>
      </c>
      <c r="DY15">
        <f>BO15*'Reagent cost'!$C$35*60*7200</f>
        <v>1301471.7215467719</v>
      </c>
      <c r="DZ15">
        <f>BP15*'Reagent cost'!$C$34*60*7200</f>
        <v>309680.9281510234</v>
      </c>
      <c r="EA15">
        <f>BQ15*'Reagent cost'!$C$14*'Reagent cost'!$C$36/1000*60*7200</f>
        <v>5133216.1099473797</v>
      </c>
      <c r="EB15">
        <f t="shared" si="22"/>
        <v>39.6</v>
      </c>
      <c r="EC15">
        <f t="shared" si="23"/>
        <v>95.688271612230423</v>
      </c>
      <c r="ED15">
        <f>0.1*BK15*60*7200*'Reagent cost'!$H$17*'Reagent cost'!$C$17/1000</f>
        <v>504921.59999999998</v>
      </c>
      <c r="EE15">
        <f>BV15*0.1*'Reagent cost'!$C$16/1000*'Reagent cost'!$H$16*60*7200</f>
        <v>1273418.1853678131</v>
      </c>
      <c r="EF15">
        <f>BZ15/1000*'Reagent cost'!$H$19*'Reagent cost'!$C$19*60*7200</f>
        <v>106994.9842531871</v>
      </c>
      <c r="EG15">
        <f>0.33*('Costing 100 Lmin Feed Orig'!BO15*'Reagent cost'!$C$13+'Costing 100 Lmin Feed Orig'!BP15*'Reagent cost'!$C$12+'Costing 100 Lmin Feed Orig'!BQ15*'Reagent cost'!$C$14+'Costing 100 Lmin Feed Orig'!BV15*0.1*'Reagent cost'!$C$16+'Costing 100 Lmin Feed Orig'!BZ15*'Reagent cost'!$C$19)/1000*60*7200</f>
        <v>218909.02374526046</v>
      </c>
      <c r="EH15">
        <f>CG15*'Reagent cost'!$C$35*60*7200</f>
        <v>1847297.7947895981</v>
      </c>
      <c r="EI15">
        <f>CH15*'Reagent cost'!$C$34*60*7200</f>
        <v>439558.45232033537</v>
      </c>
      <c r="EJ15">
        <f>CI15*'Reagent cost'!$C$14*'Reagent cost'!$C$36/1000*60*7200</f>
        <v>7286042.9028871935</v>
      </c>
      <c r="EK15">
        <f t="shared" si="24"/>
        <v>39.6</v>
      </c>
      <c r="EL15">
        <f t="shared" si="25"/>
        <v>610.87663916145755</v>
      </c>
      <c r="EM15">
        <f>0.1*BM15*60*7200*'Reagent cost'!$H$17*'Reagent cost'!$C$17/1000</f>
        <v>466952.67616233387</v>
      </c>
      <c r="EN15">
        <f>CN15*0.1*'Reagent cost'!$C$16/1000*'Reagent cost'!$H$16*60*7200</f>
        <v>1807478.8462396828</v>
      </c>
      <c r="EO15">
        <f>CR15/1000*'Reagent cost'!$H$19*'Reagent cost'!$C$19*60*7200</f>
        <v>151867.76261996344</v>
      </c>
      <c r="EP15">
        <f>0.33*(CG15*'Reagent cost'!$C$13+CH15*'Reagent cost'!$C$12+CI15*'Reagent cost'!$C$14+CN15*0.1*'Reagent cost'!$C$16+CR15*'Reagent cost'!$C$19)/1000*60*7200</f>
        <v>310717.59003995429</v>
      </c>
      <c r="EQ15">
        <f t="shared" si="48"/>
        <v>24755625.275035262</v>
      </c>
      <c r="ER15">
        <f t="shared" si="49"/>
        <v>529626.61378521472</v>
      </c>
      <c r="ES15">
        <f t="shared" si="50"/>
        <v>30272.303809866662</v>
      </c>
      <c r="ET15">
        <f t="shared" si="51"/>
        <v>20763.049486147294</v>
      </c>
      <c r="EU15">
        <f t="shared" si="52"/>
        <v>8790.8072421188135</v>
      </c>
      <c r="EV15">
        <f t="shared" si="53"/>
        <v>4656.7358484871465</v>
      </c>
      <c r="EW15">
        <f t="shared" si="54"/>
        <v>4688.4305291300352</v>
      </c>
      <c r="EX15">
        <f t="shared" si="55"/>
        <v>69171.326915749945</v>
      </c>
      <c r="EY15">
        <f t="shared" si="56"/>
        <v>36040.1508937365</v>
      </c>
      <c r="EZ15">
        <f t="shared" si="57"/>
        <v>31070.553957395477</v>
      </c>
      <c r="FA15">
        <f t="shared" si="58"/>
        <v>13154.871635187601</v>
      </c>
      <c r="FB15">
        <f t="shared" si="59"/>
        <v>6972.3169040409093</v>
      </c>
      <c r="FC15">
        <f t="shared" si="60"/>
        <v>7015.931538766723</v>
      </c>
      <c r="FD15">
        <f t="shared" si="61"/>
        <v>94253.824929127208</v>
      </c>
      <c r="FE15">
        <f t="shared" si="62"/>
        <v>25448677.040665351</v>
      </c>
      <c r="FF15">
        <f t="shared" si="63"/>
        <v>25810250.325162552</v>
      </c>
      <c r="FG15">
        <f>BM15*AM15*195.08/1000*'PGM market prices'!$C$2*60*7200</f>
        <v>423483529.33594471</v>
      </c>
      <c r="FH15">
        <f>BN15*AQ15*BA15*106.42/1000*'PGM market prices'!$C$3*60*7200</f>
        <v>222962329.33387914</v>
      </c>
      <c r="FI15">
        <f>BK15*J15*102.91/1000*'PGM market prices'!$C$4*60*7200</f>
        <v>243776550.55742735</v>
      </c>
      <c r="FJ15">
        <f t="shared" si="26"/>
        <v>890222409.22725129</v>
      </c>
      <c r="FK15">
        <f t="shared" si="27"/>
        <v>639664997.58754563</v>
      </c>
      <c r="FL15">
        <f t="shared" si="64"/>
        <v>0.59745949826765166</v>
      </c>
      <c r="FM15">
        <f t="shared" si="65"/>
        <v>2055.7778733923483</v>
      </c>
      <c r="FN15">
        <f t="shared" si="66"/>
        <v>3811.9588177053338</v>
      </c>
      <c r="FO15">
        <f t="shared" si="67"/>
        <v>17463.947499274484</v>
      </c>
    </row>
    <row r="16" spans="1:176">
      <c r="A16">
        <v>4</v>
      </c>
      <c r="B16">
        <v>1.54143585092054E-3</v>
      </c>
      <c r="C16">
        <v>1.54143585092054E-3</v>
      </c>
      <c r="D16">
        <v>3.4254130020456501E-4</v>
      </c>
      <c r="E16">
        <v>0</v>
      </c>
      <c r="F16">
        <v>0</v>
      </c>
      <c r="G16">
        <v>0</v>
      </c>
      <c r="H16" s="53">
        <v>1.7208960911287699E-5</v>
      </c>
      <c r="I16" s="53">
        <v>2.8768784818324402E-7</v>
      </c>
      <c r="J16">
        <v>3.3243632642994598E-4</v>
      </c>
      <c r="K16">
        <v>0.10920586178936199</v>
      </c>
      <c r="L16">
        <v>0.110418215553449</v>
      </c>
      <c r="M16">
        <v>7.2398825703009801E-4</v>
      </c>
      <c r="N16" s="53">
        <v>-2.168404344971E-18</v>
      </c>
      <c r="O16" s="53">
        <v>2.3635607360183901E-17</v>
      </c>
      <c r="P16" s="53">
        <v>-7.4538899358378406E-20</v>
      </c>
      <c r="Q16">
        <v>0.13957372480144001</v>
      </c>
      <c r="R16">
        <v>97.0499984181222</v>
      </c>
      <c r="S16">
        <v>500</v>
      </c>
      <c r="T16">
        <v>95</v>
      </c>
      <c r="U16">
        <v>1</v>
      </c>
      <c r="V16">
        <v>0.1</v>
      </c>
      <c r="W16">
        <v>71.646723007687299</v>
      </c>
      <c r="X16" t="s">
        <v>323</v>
      </c>
      <c r="Y16">
        <v>1</v>
      </c>
      <c r="Z16">
        <v>0.28318429382522198</v>
      </c>
      <c r="AA16">
        <v>0.56945642916197003</v>
      </c>
      <c r="AB16">
        <v>3.7698628972227502E-3</v>
      </c>
      <c r="AC16">
        <v>1822.2107908876901</v>
      </c>
      <c r="AD16">
        <v>2662.6059073104898</v>
      </c>
      <c r="AE16">
        <v>2401.5030938442701</v>
      </c>
      <c r="AF16">
        <v>8</v>
      </c>
      <c r="AG16">
        <v>1.6481650483119699E-3</v>
      </c>
      <c r="AH16">
        <v>1.6664622263884801E-3</v>
      </c>
      <c r="AI16" s="53">
        <v>1.0926630870116399E-5</v>
      </c>
      <c r="AJ16">
        <v>0</v>
      </c>
      <c r="AK16">
        <v>0</v>
      </c>
      <c r="AL16">
        <v>0</v>
      </c>
      <c r="AM16">
        <v>1.6110629319685101E-3</v>
      </c>
      <c r="AN16" s="53">
        <v>7.3938379507668505E-5</v>
      </c>
      <c r="AO16" s="53">
        <v>1.085440638541E-5</v>
      </c>
      <c r="AP16">
        <v>1.73400814806823E-3</v>
      </c>
      <c r="AQ16">
        <v>7.4428350688171094E-2</v>
      </c>
      <c r="AR16" s="53">
        <v>3.37549060036281E-6</v>
      </c>
      <c r="AS16" s="53">
        <v>-2.23616698075135E-19</v>
      </c>
      <c r="AT16" s="53">
        <v>-1.3010426069825999E-18</v>
      </c>
      <c r="AU16" s="53">
        <v>-9.26442286059391E-23</v>
      </c>
      <c r="AV16">
        <v>0.19787752425277699</v>
      </c>
      <c r="AW16">
        <v>99.339004990971901</v>
      </c>
      <c r="AX16">
        <v>500</v>
      </c>
      <c r="AY16">
        <v>95</v>
      </c>
      <c r="AZ16">
        <v>0.92480233795174105</v>
      </c>
      <c r="BA16">
        <v>0.1</v>
      </c>
      <c r="BB16">
        <v>46.736098070964097</v>
      </c>
      <c r="BC16" t="s">
        <v>251</v>
      </c>
      <c r="BD16">
        <v>1</v>
      </c>
      <c r="BE16">
        <v>1.8775014999999999E-2</v>
      </c>
      <c r="BF16">
        <v>0.10492961100000001</v>
      </c>
      <c r="BG16">
        <v>1.814625E-3</v>
      </c>
      <c r="BH16">
        <v>285.1951444</v>
      </c>
      <c r="BI16">
        <v>2169.8944889999998</v>
      </c>
      <c r="BJ16">
        <v>866.49409060000005</v>
      </c>
      <c r="BK16">
        <f t="shared" si="0"/>
        <v>100</v>
      </c>
      <c r="BL16">
        <f t="shared" si="1"/>
        <v>13.957372480144</v>
      </c>
      <c r="BM16">
        <f t="shared" si="2"/>
        <v>92.480233795174101</v>
      </c>
      <c r="BN16">
        <f t="shared" si="3"/>
        <v>19.787752425277699</v>
      </c>
      <c r="BO16">
        <f t="shared" si="28"/>
        <v>5.0246540928518399</v>
      </c>
      <c r="BP16">
        <f t="shared" si="4"/>
        <v>0.33497693952345603</v>
      </c>
      <c r="BQ16">
        <f t="shared" si="5"/>
        <v>1.67488469761728</v>
      </c>
      <c r="BR16">
        <f t="shared" si="29"/>
        <v>0.83744234880863999</v>
      </c>
      <c r="BS16">
        <f t="shared" si="6"/>
        <v>1.3957372480144001</v>
      </c>
      <c r="BT16">
        <f t="shared" si="30"/>
        <v>8.3744234880863999</v>
      </c>
      <c r="BU16">
        <f t="shared" si="7"/>
        <v>22.331795968230402</v>
      </c>
      <c r="BV16">
        <f t="shared" si="31"/>
        <v>6.9786862400720002</v>
      </c>
      <c r="BW16">
        <f t="shared" si="8"/>
        <v>85.501547555102107</v>
      </c>
      <c r="BX16">
        <f t="shared" si="32"/>
        <v>106.4376062753181</v>
      </c>
      <c r="BY16">
        <f t="shared" si="33"/>
        <v>92.480233795174101</v>
      </c>
      <c r="BZ16">
        <f t="shared" si="34"/>
        <v>1.9540321472201601</v>
      </c>
      <c r="CA16">
        <f>7963.6*(BT16/1000)^0.6*1.7*('CAPEX+OPEX'!$G$116/'CAPEX+OPEX'!$G$115)</f>
        <v>905.76154698777668</v>
      </c>
      <c r="CB16">
        <f>7963.6*(BU16/1000)^0.6*1.7*('CAPEX+OPEX'!$G$116/'CAPEX+OPEX'!$G$115)</f>
        <v>1631.5302058787963</v>
      </c>
      <c r="CC16">
        <f>7963.6*(BX16/1000)^0.6*1.7*('CAPEX+OPEX'!$G$116/'CAPEX+OPEX'!$G$115)</f>
        <v>4163.8779123800414</v>
      </c>
      <c r="CD16">
        <f>7963.6*(BY16/1000)^0.6*1.7*('CAPEX+OPEX'!$G$116/'CAPEX+OPEX'!$G$115)</f>
        <v>3827.1041330778485</v>
      </c>
      <c r="CE16">
        <v>300</v>
      </c>
      <c r="CF16">
        <v>30</v>
      </c>
      <c r="CG16">
        <f t="shared" si="9"/>
        <v>7.1235908730999711</v>
      </c>
      <c r="CH16">
        <f t="shared" si="10"/>
        <v>0.47490605820666476</v>
      </c>
      <c r="CI16">
        <f t="shared" si="11"/>
        <v>2.3745302910333237</v>
      </c>
      <c r="CJ16">
        <f t="shared" si="12"/>
        <v>1.1872651455166618</v>
      </c>
      <c r="CK16">
        <f t="shared" si="13"/>
        <v>1.97877524252777</v>
      </c>
      <c r="CL16">
        <f t="shared" si="14"/>
        <v>11.872651455166618</v>
      </c>
      <c r="CM16">
        <f t="shared" si="35"/>
        <v>31.660403880444321</v>
      </c>
      <c r="CN16">
        <f t="shared" si="36"/>
        <v>9.8938762126388493</v>
      </c>
      <c r="CO16">
        <v>0</v>
      </c>
      <c r="CP16">
        <f t="shared" si="37"/>
        <v>29.681628637916546</v>
      </c>
      <c r="CQ16">
        <f t="shared" si="38"/>
        <v>9.8938762126388493</v>
      </c>
      <c r="CR16">
        <f t="shared" si="39"/>
        <v>2.7702853395388778</v>
      </c>
      <c r="CS16">
        <f>7963.6*(CL16/1000)^0.6*1.7*('CAPEX+OPEX'!$G$116/'CAPEX+OPEX'!$G$115)</f>
        <v>1116.7849660333973</v>
      </c>
      <c r="CT16">
        <f>7963.6*(CM16/1000)^0.6*1.7*('CAPEX+OPEX'!$G$116/'CAPEX+OPEX'!$G$115)</f>
        <v>2011.6424809756274</v>
      </c>
      <c r="CU16">
        <f>7963.6*(CP16/1000)^0.6*1.7*('CAPEX+OPEX'!$G$116/'CAPEX+OPEX'!$G$115)</f>
        <v>1935.2343502981125</v>
      </c>
      <c r="CV16">
        <f>7963.6*(CQ16/1000)^0.6*1.7*('CAPEX+OPEX'!$G$116/'CAPEX+OPEX'!$G$115)</f>
        <v>1001.0616203330302</v>
      </c>
      <c r="CW16">
        <v>300</v>
      </c>
      <c r="CX16">
        <f t="shared" si="15"/>
        <v>30</v>
      </c>
      <c r="CY16">
        <f t="shared" si="16"/>
        <v>10</v>
      </c>
      <c r="CZ16">
        <f t="shared" si="17"/>
        <v>9.2480233795174112</v>
      </c>
      <c r="DA16">
        <f t="shared" si="40"/>
        <v>3960</v>
      </c>
      <c r="DB16">
        <f t="shared" si="18"/>
        <v>3960</v>
      </c>
      <c r="DC16">
        <f>CF16*'Reagent cost'!$C$18/1000*'Reagent cost'!$H$18</f>
        <v>4784.413580611521</v>
      </c>
      <c r="DD16">
        <f>CX16*'Ligand cost'!$B$56*'Ligand cost'!$J$56</f>
        <v>30543.831958072875</v>
      </c>
      <c r="DE16">
        <f t="shared" si="41"/>
        <v>39625.826528698344</v>
      </c>
      <c r="DF16">
        <f t="shared" si="19"/>
        <v>4586243.4239371875</v>
      </c>
      <c r="DG16">
        <f t="shared" si="42"/>
        <v>11794834.586807497</v>
      </c>
      <c r="DH16">
        <f t="shared" si="20"/>
        <v>2275209.1661185985</v>
      </c>
      <c r="DI16">
        <f t="shared" si="21"/>
        <v>14083914.336508472</v>
      </c>
      <c r="DJ16">
        <f t="shared" si="43"/>
        <v>1662824.8986326549</v>
      </c>
      <c r="DK16" s="55">
        <f>DF16*($BK$2/10000)^0.72*0.6*((A16+1)/3)^0.6*('CAPEX+OPEX'!$G$116/'CAPEX+OPEX'!$G$114)</f>
        <v>316809.57444373245</v>
      </c>
      <c r="DL16" s="55">
        <f>DG16*($BK$2/10000)^0.72*0.6*((A16+1)/3)^0.6*('CAPEX+OPEX'!$G$116/'CAPEX+OPEX'!$G$114)</f>
        <v>814766.2870613205</v>
      </c>
      <c r="DM16" s="55">
        <f>DH16*($BK$2/10000)^0.72*0.6*((A16+1)/3)^0.6*('CAPEX+OPEX'!$G$116/'CAPEX+OPEX'!$G$114)</f>
        <v>157167.4202739363</v>
      </c>
      <c r="DN16" s="55">
        <f>DI16*($BK$2/10000)^0.72*0.6*((A16+1)/3)^0.6*('CAPEX+OPEX'!$G$116/'CAPEX+OPEX'!$G$114)</f>
        <v>972891.862687213</v>
      </c>
      <c r="DO16" s="55">
        <f>DJ16*($BK$2/10000)^0.72*0.6*((A16+1)/3)^0.6*('CAPEX+OPEX'!$G$116/'CAPEX+OPEX'!$G$114)</f>
        <v>114864.99948099331</v>
      </c>
      <c r="DP16">
        <f t="shared" si="44"/>
        <v>2376500.1439471957</v>
      </c>
      <c r="DQ16">
        <f>DF16*(BM16/10000)^0.72*0.6*((AF16+1)/3)^0.6*('CAPEX+OPEX'!$G$116/'CAPEX+OPEX'!$G$114)</f>
        <v>426105.38513504347</v>
      </c>
      <c r="DR16">
        <f>DG16*(BM16/10000)^0.72*0.6*((AF16+1)/3)^0.6*('CAPEX+OPEX'!$G$116/'CAPEX+OPEX'!$G$114)</f>
        <v>1095851.6741575757</v>
      </c>
      <c r="DS16">
        <f>DH16*(BM16/10000)^0.72*0.6*((AF16+1)/3)^0.6*('CAPEX+OPEX'!$G$116/'CAPEX+OPEX'!$G$114)</f>
        <v>211388.44766322291</v>
      </c>
      <c r="DT16">
        <f>DI16*(BM16/10000)^0.72*0.6*((AF16+1)/3)^0.6*('CAPEX+OPEX'!$G$116/'CAPEX+OPEX'!$G$114)</f>
        <v>1308528.8302065262</v>
      </c>
      <c r="DU16">
        <f>DJ16*(BM16/10000)^0.72*0.6*((AF16+1)/3)^0.6*('CAPEX+OPEX'!$G$116/'CAPEX+OPEX'!$G$114)</f>
        <v>154492.15803633517</v>
      </c>
      <c r="DV16">
        <f t="shared" si="45"/>
        <v>3196366.4951987034</v>
      </c>
      <c r="DW16">
        <f t="shared" si="46"/>
        <v>5641684.0683137458</v>
      </c>
      <c r="DX16">
        <f t="shared" si="47"/>
        <v>376112.27122091636</v>
      </c>
      <c r="DY16">
        <f>BO16*'Reagent cost'!$C$35*60*7200</f>
        <v>1301471.7215467719</v>
      </c>
      <c r="DZ16">
        <f>BP16*'Reagent cost'!$C$34*60*7200</f>
        <v>309680.9281510234</v>
      </c>
      <c r="EA16">
        <f>BQ16*'Reagent cost'!$C$14*'Reagent cost'!$C$36/1000*60*7200</f>
        <v>5133216.1099473797</v>
      </c>
      <c r="EB16">
        <f t="shared" si="22"/>
        <v>39.6</v>
      </c>
      <c r="EC16">
        <f t="shared" si="23"/>
        <v>95.688271612230423</v>
      </c>
      <c r="ED16">
        <f>0.1*BK16*60*7200*'Reagent cost'!$H$17*'Reagent cost'!$C$17/1000</f>
        <v>504921.59999999998</v>
      </c>
      <c r="EE16">
        <f>BV16*0.1*'Reagent cost'!$C$16/1000*'Reagent cost'!$H$16*60*7200</f>
        <v>1273418.1853678131</v>
      </c>
      <c r="EF16">
        <f>BZ16/1000*'Reagent cost'!$H$19*'Reagent cost'!$C$19*60*7200</f>
        <v>106994.9842531871</v>
      </c>
      <c r="EG16">
        <f>0.33*('Costing 100 Lmin Feed Orig'!BO16*'Reagent cost'!$C$13+'Costing 100 Lmin Feed Orig'!BP16*'Reagent cost'!$C$12+'Costing 100 Lmin Feed Orig'!BQ16*'Reagent cost'!$C$14+'Costing 100 Lmin Feed Orig'!BV16*0.1*'Reagent cost'!$C$16+'Costing 100 Lmin Feed Orig'!BZ16*'Reagent cost'!$C$19)/1000*60*7200</f>
        <v>218909.02374526046</v>
      </c>
      <c r="EH16">
        <f>CG16*'Reagent cost'!$C$35*60*7200</f>
        <v>1845132.4023274742</v>
      </c>
      <c r="EI16">
        <f>CH16*'Reagent cost'!$C$34*60*7200</f>
        <v>439043.20428506896</v>
      </c>
      <c r="EJ16">
        <f>CI16*'Reagent cost'!$C$14*'Reagent cost'!$C$36/1000*60*7200</f>
        <v>7277502.2428890467</v>
      </c>
      <c r="EK16">
        <f t="shared" si="24"/>
        <v>39.6</v>
      </c>
      <c r="EL16">
        <f t="shared" si="25"/>
        <v>610.87663916145755</v>
      </c>
      <c r="EM16">
        <f>0.1*BM16*60*7200*'Reagent cost'!$H$17*'Reagent cost'!$C$17/1000</f>
        <v>466952.67616233387</v>
      </c>
      <c r="EN16">
        <f>CN16*0.1*'Reagent cost'!$C$16/1000*'Reagent cost'!$H$16*60*7200</f>
        <v>1805360.1293332186</v>
      </c>
      <c r="EO16">
        <f>CR16/1000*'Reagent cost'!$H$19*'Reagent cost'!$C$19*60*7200</f>
        <v>151689.7440517908</v>
      </c>
      <c r="EP16">
        <f>0.33*(CG16*'Reagent cost'!$C$13+CH16*'Reagent cost'!$C$12+CI16*'Reagent cost'!$C$14+CN16*0.1*'Reagent cost'!$C$16+CR16*'Reagent cost'!$C$19)/1000*60*7200</f>
        <v>310353.36856509541</v>
      </c>
      <c r="EQ16">
        <f t="shared" si="48"/>
        <v>24739403.63187106</v>
      </c>
      <c r="ER16">
        <f t="shared" si="49"/>
        <v>529262.39231035591</v>
      </c>
      <c r="ES16">
        <f t="shared" si="50"/>
        <v>30272.303809866662</v>
      </c>
      <c r="ET16">
        <f t="shared" si="51"/>
        <v>20763.049486147294</v>
      </c>
      <c r="EU16">
        <f t="shared" si="52"/>
        <v>8790.8072421188135</v>
      </c>
      <c r="EV16">
        <f t="shared" si="53"/>
        <v>4656.7358484871465</v>
      </c>
      <c r="EW16">
        <f t="shared" si="54"/>
        <v>4688.4305291300352</v>
      </c>
      <c r="EX16">
        <f t="shared" si="55"/>
        <v>69171.326915749945</v>
      </c>
      <c r="EY16">
        <f t="shared" si="56"/>
        <v>38614.447386146239</v>
      </c>
      <c r="EZ16">
        <f t="shared" si="57"/>
        <v>34954.37320206991</v>
      </c>
      <c r="FA16">
        <f t="shared" si="58"/>
        <v>14799.230589586048</v>
      </c>
      <c r="FB16">
        <f t="shared" si="59"/>
        <v>7843.8565170460224</v>
      </c>
      <c r="FC16">
        <f t="shared" si="60"/>
        <v>7892.9229811125624</v>
      </c>
      <c r="FD16">
        <f t="shared" si="61"/>
        <v>104104.83067596078</v>
      </c>
      <c r="FE16">
        <f t="shared" si="62"/>
        <v>25441942.181773122</v>
      </c>
      <c r="FF16">
        <f t="shared" si="63"/>
        <v>25818054.452994037</v>
      </c>
      <c r="FG16">
        <f>BM16*AM16*195.08/1000*'PGM market prices'!$C$2*60*7200</f>
        <v>423524377.36174721</v>
      </c>
      <c r="FH16">
        <f>BN16*AQ16*BA16*106.42/1000*'PGM market prices'!$C$3*60*7200</f>
        <v>222961224.60953358</v>
      </c>
      <c r="FI16">
        <f>BK16*J16*102.91/1000*'PGM market prices'!$C$4*60*7200</f>
        <v>243776550.55742735</v>
      </c>
      <c r="FJ16">
        <f t="shared" si="26"/>
        <v>890262152.52870822</v>
      </c>
      <c r="FK16">
        <f t="shared" si="27"/>
        <v>639688632.57602847</v>
      </c>
      <c r="FL16">
        <f t="shared" si="64"/>
        <v>0.59764014937486198</v>
      </c>
      <c r="FM16">
        <f t="shared" si="65"/>
        <v>2056.2011342273368</v>
      </c>
      <c r="FN16">
        <f t="shared" si="66"/>
        <v>3813.1303154677712</v>
      </c>
      <c r="FO16">
        <f t="shared" si="67"/>
        <v>17469.22799353586</v>
      </c>
    </row>
    <row r="17" spans="1:171">
      <c r="A17">
        <v>4</v>
      </c>
      <c r="B17">
        <v>1.54143585092054E-3</v>
      </c>
      <c r="C17">
        <v>1.54143585092054E-3</v>
      </c>
      <c r="D17">
        <v>3.4254130020456501E-4</v>
      </c>
      <c r="E17">
        <v>0</v>
      </c>
      <c r="F17">
        <v>0</v>
      </c>
      <c r="G17">
        <v>0</v>
      </c>
      <c r="H17" s="53">
        <v>1.7208960911287699E-5</v>
      </c>
      <c r="I17" s="53">
        <v>2.8768784818324402E-7</v>
      </c>
      <c r="J17">
        <v>3.3243632642994598E-4</v>
      </c>
      <c r="K17">
        <v>0.10920586178936199</v>
      </c>
      <c r="L17">
        <v>0.110418215553449</v>
      </c>
      <c r="M17">
        <v>7.2398825703009801E-4</v>
      </c>
      <c r="N17" s="53">
        <v>-2.168404344971E-18</v>
      </c>
      <c r="O17" s="53">
        <v>2.3635607360183901E-17</v>
      </c>
      <c r="P17" s="53">
        <v>-7.4538899358378406E-20</v>
      </c>
      <c r="Q17">
        <v>0.13957372480144001</v>
      </c>
      <c r="R17">
        <v>97.0499984181222</v>
      </c>
      <c r="S17">
        <v>500</v>
      </c>
      <c r="T17">
        <v>95</v>
      </c>
      <c r="U17">
        <v>1</v>
      </c>
      <c r="V17">
        <v>0.1</v>
      </c>
      <c r="W17">
        <v>71.646723007687299</v>
      </c>
      <c r="X17" t="s">
        <v>323</v>
      </c>
      <c r="Y17">
        <v>1</v>
      </c>
      <c r="Z17">
        <v>0.28318429382522198</v>
      </c>
      <c r="AA17">
        <v>0.56945642916197003</v>
      </c>
      <c r="AB17">
        <v>3.7698628972227502E-3</v>
      </c>
      <c r="AC17">
        <v>1822.2107908876901</v>
      </c>
      <c r="AD17">
        <v>2662.6059073104898</v>
      </c>
      <c r="AE17">
        <v>2401.5030938442701</v>
      </c>
      <c r="AF17">
        <v>9</v>
      </c>
      <c r="AG17">
        <v>1.6481650483119699E-3</v>
      </c>
      <c r="AH17">
        <v>1.6664622263884801E-3</v>
      </c>
      <c r="AI17" s="53">
        <v>1.0926630870116399E-5</v>
      </c>
      <c r="AJ17">
        <v>0</v>
      </c>
      <c r="AK17">
        <v>0</v>
      </c>
      <c r="AL17">
        <v>0</v>
      </c>
      <c r="AM17">
        <v>1.6111071396005901E-3</v>
      </c>
      <c r="AN17" s="53">
        <v>7.3940623679874496E-5</v>
      </c>
      <c r="AO17" s="53">
        <v>1.0854488886514799E-5</v>
      </c>
      <c r="AP17">
        <v>1.73252052347845E-3</v>
      </c>
      <c r="AQ17">
        <v>7.4453104800508499E-2</v>
      </c>
      <c r="AR17" s="53">
        <v>3.37276094477029E-6</v>
      </c>
      <c r="AS17" s="53">
        <v>6.3475293814521601E-16</v>
      </c>
      <c r="AT17" s="53">
        <v>-7.9814627129692894E-14</v>
      </c>
      <c r="AU17" s="53">
        <v>-9.9261673506363302E-22</v>
      </c>
      <c r="AV17">
        <v>0.19781145533817099</v>
      </c>
      <c r="AW17">
        <v>99.339760037113095</v>
      </c>
      <c r="AX17">
        <v>500</v>
      </c>
      <c r="AY17">
        <v>95</v>
      </c>
      <c r="AZ17">
        <v>0.92480233795174105</v>
      </c>
      <c r="BA17">
        <v>0.1</v>
      </c>
      <c r="BB17">
        <v>46.751707901381799</v>
      </c>
      <c r="BC17" t="s">
        <v>251</v>
      </c>
      <c r="BD17">
        <v>1</v>
      </c>
      <c r="BE17">
        <v>1.8775014999999999E-2</v>
      </c>
      <c r="BF17">
        <v>0.10492961100000001</v>
      </c>
      <c r="BG17">
        <v>1.814625E-3</v>
      </c>
      <c r="BH17">
        <v>285.1951444</v>
      </c>
      <c r="BI17">
        <v>2169.8944889999998</v>
      </c>
      <c r="BJ17">
        <v>866.49409060000005</v>
      </c>
      <c r="BK17">
        <f t="shared" si="0"/>
        <v>100</v>
      </c>
      <c r="BL17">
        <f t="shared" si="1"/>
        <v>13.957372480144</v>
      </c>
      <c r="BM17">
        <f t="shared" si="2"/>
        <v>92.480233795174101</v>
      </c>
      <c r="BN17">
        <f t="shared" si="3"/>
        <v>19.781145533817099</v>
      </c>
      <c r="BO17">
        <f t="shared" si="28"/>
        <v>5.0246540928518399</v>
      </c>
      <c r="BP17">
        <f t="shared" si="4"/>
        <v>0.33497693952345603</v>
      </c>
      <c r="BQ17">
        <f t="shared" si="5"/>
        <v>1.67488469761728</v>
      </c>
      <c r="BR17">
        <f t="shared" si="29"/>
        <v>0.83744234880863999</v>
      </c>
      <c r="BS17">
        <f t="shared" si="6"/>
        <v>1.3957372480144001</v>
      </c>
      <c r="BT17">
        <f t="shared" si="30"/>
        <v>8.3744234880863999</v>
      </c>
      <c r="BU17">
        <f t="shared" si="7"/>
        <v>22.331795968230402</v>
      </c>
      <c r="BV17">
        <f t="shared" si="31"/>
        <v>6.9786862400720002</v>
      </c>
      <c r="BW17">
        <f t="shared" si="8"/>
        <v>85.501547555102107</v>
      </c>
      <c r="BX17">
        <f t="shared" si="32"/>
        <v>106.4376062753181</v>
      </c>
      <c r="BY17">
        <f t="shared" si="33"/>
        <v>92.480233795174101</v>
      </c>
      <c r="BZ17">
        <f t="shared" si="34"/>
        <v>1.9540321472201601</v>
      </c>
      <c r="CA17">
        <f>7963.6*(BT17/1000)^0.6*1.7*('CAPEX+OPEX'!$G$116/'CAPEX+OPEX'!$G$115)</f>
        <v>905.76154698777668</v>
      </c>
      <c r="CB17">
        <f>7963.6*(BU17/1000)^0.6*1.7*('CAPEX+OPEX'!$G$116/'CAPEX+OPEX'!$G$115)</f>
        <v>1631.5302058787963</v>
      </c>
      <c r="CC17">
        <f>7963.6*(BX17/1000)^0.6*1.7*('CAPEX+OPEX'!$G$116/'CAPEX+OPEX'!$G$115)</f>
        <v>4163.8779123800414</v>
      </c>
      <c r="CD17">
        <f>7963.6*(BY17/1000)^0.6*1.7*('CAPEX+OPEX'!$G$116/'CAPEX+OPEX'!$G$115)</f>
        <v>3827.1041330778485</v>
      </c>
      <c r="CE17">
        <v>300</v>
      </c>
      <c r="CF17">
        <v>30</v>
      </c>
      <c r="CG17">
        <f t="shared" si="9"/>
        <v>7.1212123921741552</v>
      </c>
      <c r="CH17">
        <f t="shared" si="10"/>
        <v>0.47474749281161038</v>
      </c>
      <c r="CI17">
        <f t="shared" si="11"/>
        <v>2.3737374640580517</v>
      </c>
      <c r="CJ17">
        <f t="shared" si="12"/>
        <v>1.1868687320290259</v>
      </c>
      <c r="CK17">
        <f t="shared" si="13"/>
        <v>1.9781145533817099</v>
      </c>
      <c r="CL17">
        <f t="shared" si="14"/>
        <v>11.86868732029026</v>
      </c>
      <c r="CM17">
        <f t="shared" si="35"/>
        <v>31.649832854107359</v>
      </c>
      <c r="CN17">
        <f t="shared" si="36"/>
        <v>9.8905727669085497</v>
      </c>
      <c r="CO17">
        <v>0</v>
      </c>
      <c r="CP17">
        <f t="shared" si="37"/>
        <v>29.671718300725651</v>
      </c>
      <c r="CQ17">
        <f t="shared" si="38"/>
        <v>9.8905727669085497</v>
      </c>
      <c r="CR17">
        <f t="shared" si="39"/>
        <v>2.7693603747343936</v>
      </c>
      <c r="CS17">
        <f>7963.6*(CL17/1000)^0.6*1.7*('CAPEX+OPEX'!$G$116/'CAPEX+OPEX'!$G$115)</f>
        <v>1116.5612224866675</v>
      </c>
      <c r="CT17">
        <f>7963.6*(CM17/1000)^0.6*1.7*('CAPEX+OPEX'!$G$116/'CAPEX+OPEX'!$G$115)</f>
        <v>2011.2394561882832</v>
      </c>
      <c r="CU17">
        <f>7963.6*(CP17/1000)^0.6*1.7*('CAPEX+OPEX'!$G$116/'CAPEX+OPEX'!$G$115)</f>
        <v>1934.8466335840997</v>
      </c>
      <c r="CV17">
        <f>7963.6*(CQ17/1000)^0.6*1.7*('CAPEX+OPEX'!$G$116/'CAPEX+OPEX'!$G$115)</f>
        <v>1000.8610615108398</v>
      </c>
      <c r="CW17">
        <v>300</v>
      </c>
      <c r="CX17">
        <f t="shared" si="15"/>
        <v>30</v>
      </c>
      <c r="CY17">
        <f t="shared" si="16"/>
        <v>10</v>
      </c>
      <c r="CZ17">
        <f t="shared" si="17"/>
        <v>9.2480233795174112</v>
      </c>
      <c r="DA17">
        <f t="shared" si="40"/>
        <v>3960</v>
      </c>
      <c r="DB17">
        <f t="shared" si="18"/>
        <v>3960</v>
      </c>
      <c r="DC17">
        <f>CF17*'Reagent cost'!$C$18/1000*'Reagent cost'!$H$18</f>
        <v>4784.413580611521</v>
      </c>
      <c r="DD17">
        <f>CX17*'Ligand cost'!$B$56*'Ligand cost'!$J$56</f>
        <v>30543.831958072875</v>
      </c>
      <c r="DE17">
        <f t="shared" si="41"/>
        <v>39625.826528698344</v>
      </c>
      <c r="DF17">
        <f t="shared" si="19"/>
        <v>4586243.4239371875</v>
      </c>
      <c r="DG17">
        <f t="shared" si="42"/>
        <v>11794834.586807497</v>
      </c>
      <c r="DH17">
        <f t="shared" si="20"/>
        <v>2275209.1661185985</v>
      </c>
      <c r="DI17">
        <f t="shared" si="21"/>
        <v>14083914.336508472</v>
      </c>
      <c r="DJ17">
        <f t="shared" si="43"/>
        <v>1662824.8986326549</v>
      </c>
      <c r="DK17" s="55">
        <f>DF17*($BK$2/10000)^0.72*0.6*((A17+1)/3)^0.6*('CAPEX+OPEX'!$G$116/'CAPEX+OPEX'!$G$114)</f>
        <v>316809.57444373245</v>
      </c>
      <c r="DL17" s="55">
        <f>DG17*($BK$2/10000)^0.72*0.6*((A17+1)/3)^0.6*('CAPEX+OPEX'!$G$116/'CAPEX+OPEX'!$G$114)</f>
        <v>814766.2870613205</v>
      </c>
      <c r="DM17" s="55">
        <f>DH17*($BK$2/10000)^0.72*0.6*((A17+1)/3)^0.6*('CAPEX+OPEX'!$G$116/'CAPEX+OPEX'!$G$114)</f>
        <v>157167.4202739363</v>
      </c>
      <c r="DN17" s="55">
        <f>DI17*($BK$2/10000)^0.72*0.6*((A17+1)/3)^0.6*('CAPEX+OPEX'!$G$116/'CAPEX+OPEX'!$G$114)</f>
        <v>972891.862687213</v>
      </c>
      <c r="DO17" s="55">
        <f>DJ17*($BK$2/10000)^0.72*0.6*((A17+1)/3)^0.6*('CAPEX+OPEX'!$G$116/'CAPEX+OPEX'!$G$114)</f>
        <v>114864.99948099331</v>
      </c>
      <c r="DP17">
        <f t="shared" si="44"/>
        <v>2376500.1439471957</v>
      </c>
      <c r="DQ17">
        <f>DF17*(BM17/10000)^0.72*0.6*((AF17+1)/3)^0.6*('CAPEX+OPEX'!$G$116/'CAPEX+OPEX'!$G$114)</f>
        <v>453911.84628808295</v>
      </c>
      <c r="DR17">
        <f>DG17*(BM17/10000)^0.72*0.6*((AF17+1)/3)^0.6*('CAPEX+OPEX'!$G$116/'CAPEX+OPEX'!$G$114)</f>
        <v>1167363.9292709408</v>
      </c>
      <c r="DS17">
        <f>DH17*(BM17/10000)^0.72*0.6*((AF17+1)/3)^0.6*('CAPEX+OPEX'!$G$116/'CAPEX+OPEX'!$G$114)</f>
        <v>225183.07421150242</v>
      </c>
      <c r="DT17">
        <f>DI17*(BM17/10000)^0.72*0.6*((AF17+1)/3)^0.6*('CAPEX+OPEX'!$G$116/'CAPEX+OPEX'!$G$114)</f>
        <v>1393919.8094198927</v>
      </c>
      <c r="DU17">
        <f>DJ17*(BM17/10000)^0.72*0.6*((AF17+1)/3)^0.6*('CAPEX+OPEX'!$G$116/'CAPEX+OPEX'!$G$114)</f>
        <v>164573.88978803583</v>
      </c>
      <c r="DV17">
        <f t="shared" si="45"/>
        <v>3404952.5489784549</v>
      </c>
      <c r="DW17">
        <f t="shared" si="46"/>
        <v>5850268.7247930467</v>
      </c>
      <c r="DX17">
        <f t="shared" si="47"/>
        <v>390017.91498620313</v>
      </c>
      <c r="DY17">
        <f>BO17*'Reagent cost'!$C$35*60*7200</f>
        <v>1301471.7215467719</v>
      </c>
      <c r="DZ17">
        <f>BP17*'Reagent cost'!$C$34*60*7200</f>
        <v>309680.9281510234</v>
      </c>
      <c r="EA17">
        <f>BQ17*'Reagent cost'!$C$14*'Reagent cost'!$C$36/1000*60*7200</f>
        <v>5133216.1099473797</v>
      </c>
      <c r="EB17">
        <f t="shared" si="22"/>
        <v>39.6</v>
      </c>
      <c r="EC17">
        <f t="shared" si="23"/>
        <v>95.688271612230423</v>
      </c>
      <c r="ED17">
        <f>0.1*BK17*60*7200*'Reagent cost'!$H$17*'Reagent cost'!$C$17/1000</f>
        <v>504921.59999999998</v>
      </c>
      <c r="EE17">
        <f>BV17*0.1*'Reagent cost'!$C$16/1000*'Reagent cost'!$H$16*60*7200</f>
        <v>1273418.1853678131</v>
      </c>
      <c r="EF17">
        <f>BZ17/1000*'Reagent cost'!$H$19*'Reagent cost'!$C$19*60*7200</f>
        <v>106994.9842531871</v>
      </c>
      <c r="EG17">
        <f>0.33*('Costing 100 Lmin Feed Orig'!BO17*'Reagent cost'!$C$13+'Costing 100 Lmin Feed Orig'!BP17*'Reagent cost'!$C$12+'Costing 100 Lmin Feed Orig'!BQ17*'Reagent cost'!$C$14+'Costing 100 Lmin Feed Orig'!BV17*0.1*'Reagent cost'!$C$16+'Costing 100 Lmin Feed Orig'!BZ17*'Reagent cost'!$C$19)/1000*60*7200</f>
        <v>218909.02374526046</v>
      </c>
      <c r="EH17">
        <f>CG17*'Reagent cost'!$C$35*60*7200</f>
        <v>1844516.3349110943</v>
      </c>
      <c r="EI17">
        <f>CH17*'Reagent cost'!$C$34*60*7200</f>
        <v>438896.6130636466</v>
      </c>
      <c r="EJ17">
        <f>CI17*'Reagent cost'!$C$14*'Reagent cost'!$C$36/1000*60*7200</f>
        <v>7275072.3728164053</v>
      </c>
      <c r="EK17">
        <f t="shared" si="24"/>
        <v>39.6</v>
      </c>
      <c r="EL17">
        <f t="shared" si="25"/>
        <v>610.87663916145755</v>
      </c>
      <c r="EM17">
        <f>0.1*BM17*60*7200*'Reagent cost'!$H$17*'Reagent cost'!$C$17/1000</f>
        <v>466952.67616233387</v>
      </c>
      <c r="EN17">
        <f>CN17*0.1*'Reagent cost'!$C$16/1000*'Reagent cost'!$H$16*60*7200</f>
        <v>1804757.3413982647</v>
      </c>
      <c r="EO17">
        <f>CR17/1000*'Reagent cost'!$H$19*'Reagent cost'!$C$19*60*7200</f>
        <v>151639.09667895644</v>
      </c>
      <c r="EP17">
        <f>0.33*(CG17*'Reagent cost'!$C$13+CH17*'Reagent cost'!$C$12+CI17*'Reagent cost'!$C$14+CN17*0.1*'Reagent cost'!$C$16+CR17*'Reagent cost'!$C$19)/1000*60*7200</f>
        <v>310249.74532499863</v>
      </c>
      <c r="EQ17">
        <f t="shared" si="48"/>
        <v>24734788.475049179</v>
      </c>
      <c r="ER17">
        <f t="shared" si="49"/>
        <v>529158.76907025906</v>
      </c>
      <c r="ES17">
        <f t="shared" si="50"/>
        <v>30272.303809866662</v>
      </c>
      <c r="ET17">
        <f t="shared" si="51"/>
        <v>20763.049486147294</v>
      </c>
      <c r="EU17">
        <f t="shared" si="52"/>
        <v>8790.8072421188135</v>
      </c>
      <c r="EV17">
        <f t="shared" si="53"/>
        <v>4656.7358484871465</v>
      </c>
      <c r="EW17">
        <f t="shared" si="54"/>
        <v>4688.4305291300352</v>
      </c>
      <c r="EX17">
        <f t="shared" si="55"/>
        <v>69171.326915749945</v>
      </c>
      <c r="EY17">
        <f t="shared" si="56"/>
        <v>41188.743878555993</v>
      </c>
      <c r="EZ17">
        <f t="shared" si="57"/>
        <v>38838.192446744346</v>
      </c>
      <c r="FA17">
        <f t="shared" si="58"/>
        <v>16443.589543984501</v>
      </c>
      <c r="FB17">
        <f t="shared" si="59"/>
        <v>8715.3961300511364</v>
      </c>
      <c r="FC17">
        <f t="shared" si="60"/>
        <v>8769.9144234584019</v>
      </c>
      <c r="FD17">
        <f t="shared" si="61"/>
        <v>113955.83642279438</v>
      </c>
      <c r="FE17">
        <f t="shared" si="62"/>
        <v>25447074.407457981</v>
      </c>
      <c r="FF17">
        <f t="shared" si="63"/>
        <v>25837092.322444186</v>
      </c>
      <c r="FG17">
        <f>BM17*AM17*195.08/1000*'PGM market prices'!$C$2*60*7200</f>
        <v>423535998.88780922</v>
      </c>
      <c r="FH17">
        <f>BN17*AQ17*BA17*106.42/1000*'PGM market prices'!$C$3*60*7200</f>
        <v>222960910.42639589</v>
      </c>
      <c r="FI17">
        <f>BK17*J17*102.91/1000*'PGM market prices'!$C$4*60*7200</f>
        <v>243776550.55742735</v>
      </c>
      <c r="FJ17">
        <f t="shared" si="26"/>
        <v>890273459.87163258</v>
      </c>
      <c r="FK17">
        <f t="shared" si="27"/>
        <v>639682911.98639941</v>
      </c>
      <c r="FL17">
        <f t="shared" si="64"/>
        <v>0.59808084079731916</v>
      </c>
      <c r="FM17">
        <f t="shared" si="65"/>
        <v>2057.6608856637085</v>
      </c>
      <c r="FN17">
        <f t="shared" si="66"/>
        <v>3815.9474412132258</v>
      </c>
      <c r="FO17">
        <f t="shared" si="67"/>
        <v>17482.109556030868</v>
      </c>
    </row>
    <row r="18" spans="1:171">
      <c r="A18">
        <v>4</v>
      </c>
      <c r="B18">
        <v>1.54143585092054E-3</v>
      </c>
      <c r="C18">
        <v>1.54143585092054E-3</v>
      </c>
      <c r="D18">
        <v>3.4254130020456501E-4</v>
      </c>
      <c r="E18">
        <v>0</v>
      </c>
      <c r="F18">
        <v>0</v>
      </c>
      <c r="G18">
        <v>0</v>
      </c>
      <c r="H18" s="53">
        <v>1.7208960911287699E-5</v>
      </c>
      <c r="I18" s="53">
        <v>2.8768784818324402E-7</v>
      </c>
      <c r="J18">
        <v>3.3243632642994598E-4</v>
      </c>
      <c r="K18">
        <v>0.10920586178936199</v>
      </c>
      <c r="L18">
        <v>0.110418215553449</v>
      </c>
      <c r="M18">
        <v>7.2398825703009801E-4</v>
      </c>
      <c r="N18" s="53">
        <v>-2.168404344971E-18</v>
      </c>
      <c r="O18" s="53">
        <v>2.3635607360183901E-17</v>
      </c>
      <c r="P18" s="53">
        <v>-7.4538899358378406E-20</v>
      </c>
      <c r="Q18">
        <v>0.13957372480144001</v>
      </c>
      <c r="R18">
        <v>97.0499984181222</v>
      </c>
      <c r="S18">
        <v>500</v>
      </c>
      <c r="T18">
        <v>95</v>
      </c>
      <c r="U18">
        <v>1</v>
      </c>
      <c r="V18">
        <v>0.1</v>
      </c>
      <c r="W18">
        <v>71.646723007687299</v>
      </c>
      <c r="X18" t="s">
        <v>323</v>
      </c>
      <c r="Y18">
        <v>1</v>
      </c>
      <c r="Z18">
        <v>0.28318429382522198</v>
      </c>
      <c r="AA18">
        <v>0.56945642916197003</v>
      </c>
      <c r="AB18">
        <v>3.7698628972227502E-3</v>
      </c>
      <c r="AC18">
        <v>1822.2107908876901</v>
      </c>
      <c r="AD18">
        <v>2662.6059073104898</v>
      </c>
      <c r="AE18">
        <v>2401.5030938442701</v>
      </c>
      <c r="AF18">
        <v>10</v>
      </c>
      <c r="AG18">
        <v>1.6481650483119699E-3</v>
      </c>
      <c r="AH18">
        <v>1.6664622263884801E-3</v>
      </c>
      <c r="AI18" s="53">
        <v>1.0926630870116399E-5</v>
      </c>
      <c r="AJ18">
        <v>0</v>
      </c>
      <c r="AK18">
        <v>0</v>
      </c>
      <c r="AL18">
        <v>0</v>
      </c>
      <c r="AM18">
        <v>1.6111196692703601E-3</v>
      </c>
      <c r="AN18" s="53">
        <v>7.3941259795984898E-5</v>
      </c>
      <c r="AO18" s="53">
        <v>1.08545122697032E-5</v>
      </c>
      <c r="AP18">
        <v>1.73209870318316E-3</v>
      </c>
      <c r="AQ18">
        <v>7.4460123902013106E-2</v>
      </c>
      <c r="AR18" s="53">
        <v>3.3719869428578601E-6</v>
      </c>
      <c r="AS18" s="53">
        <v>4.70535543579779E-14</v>
      </c>
      <c r="AT18" s="53">
        <v>-4.6022981432802804E-12</v>
      </c>
      <c r="AU18" s="53">
        <v>6.0744173718954098E-19</v>
      </c>
      <c r="AV18">
        <v>0.19779272992915201</v>
      </c>
      <c r="AW18">
        <v>99.339974038928602</v>
      </c>
      <c r="AX18">
        <v>500</v>
      </c>
      <c r="AY18">
        <v>95</v>
      </c>
      <c r="AZ18">
        <v>0.92480233795174105</v>
      </c>
      <c r="BA18">
        <v>0.1</v>
      </c>
      <c r="BB18">
        <v>46.7561339733263</v>
      </c>
      <c r="BC18" t="s">
        <v>251</v>
      </c>
      <c r="BD18">
        <v>1</v>
      </c>
      <c r="BE18">
        <v>1.8775014999999999E-2</v>
      </c>
      <c r="BF18">
        <v>0.10492961100000001</v>
      </c>
      <c r="BG18">
        <v>1.814625E-3</v>
      </c>
      <c r="BH18">
        <v>285.1951444</v>
      </c>
      <c r="BI18">
        <v>2169.8944889999998</v>
      </c>
      <c r="BJ18">
        <v>866.49409060000005</v>
      </c>
      <c r="BK18">
        <f t="shared" si="0"/>
        <v>100</v>
      </c>
      <c r="BL18">
        <f t="shared" si="1"/>
        <v>13.957372480144</v>
      </c>
      <c r="BM18">
        <f t="shared" si="2"/>
        <v>92.480233795174101</v>
      </c>
      <c r="BN18">
        <f t="shared" si="3"/>
        <v>19.7792729929152</v>
      </c>
      <c r="BO18">
        <f t="shared" si="28"/>
        <v>5.0246540928518399</v>
      </c>
      <c r="BP18">
        <f t="shared" si="4"/>
        <v>0.33497693952345603</v>
      </c>
      <c r="BQ18">
        <f t="shared" si="5"/>
        <v>1.67488469761728</v>
      </c>
      <c r="BR18">
        <f t="shared" si="29"/>
        <v>0.83744234880863999</v>
      </c>
      <c r="BS18">
        <f t="shared" si="6"/>
        <v>1.3957372480144001</v>
      </c>
      <c r="BT18">
        <f t="shared" si="30"/>
        <v>8.3744234880863999</v>
      </c>
      <c r="BU18">
        <f t="shared" si="7"/>
        <v>22.331795968230402</v>
      </c>
      <c r="BV18">
        <f t="shared" si="31"/>
        <v>6.9786862400720002</v>
      </c>
      <c r="BW18">
        <f t="shared" si="8"/>
        <v>85.501547555102107</v>
      </c>
      <c r="BX18">
        <f t="shared" si="32"/>
        <v>106.4376062753181</v>
      </c>
      <c r="BY18">
        <f t="shared" si="33"/>
        <v>92.480233795174101</v>
      </c>
      <c r="BZ18">
        <f t="shared" si="34"/>
        <v>1.9540321472201601</v>
      </c>
      <c r="CA18">
        <f>7963.6*(BT18/1000)^0.6*1.7*('CAPEX+OPEX'!$G$116/'CAPEX+OPEX'!$G$115)</f>
        <v>905.76154698777668</v>
      </c>
      <c r="CB18">
        <f>7963.6*(BU18/1000)^0.6*1.7*('CAPEX+OPEX'!$G$116/'CAPEX+OPEX'!$G$115)</f>
        <v>1631.5302058787963</v>
      </c>
      <c r="CC18">
        <f>7963.6*(BX18/1000)^0.6*1.7*('CAPEX+OPEX'!$G$116/'CAPEX+OPEX'!$G$115)</f>
        <v>4163.8779123800414</v>
      </c>
      <c r="CD18">
        <f>7963.6*(BY18/1000)^0.6*1.7*('CAPEX+OPEX'!$G$116/'CAPEX+OPEX'!$G$115)</f>
        <v>3827.1041330778485</v>
      </c>
      <c r="CE18">
        <v>300</v>
      </c>
      <c r="CF18">
        <v>30</v>
      </c>
      <c r="CG18">
        <f t="shared" si="9"/>
        <v>7.1205382774494712</v>
      </c>
      <c r="CH18">
        <f t="shared" si="10"/>
        <v>0.47470255182996479</v>
      </c>
      <c r="CI18">
        <f t="shared" si="11"/>
        <v>2.3735127591498237</v>
      </c>
      <c r="CJ18">
        <f t="shared" si="12"/>
        <v>1.1867563795749119</v>
      </c>
      <c r="CK18">
        <f t="shared" si="13"/>
        <v>1.97792729929152</v>
      </c>
      <c r="CL18">
        <f t="shared" si="14"/>
        <v>11.867563795749119</v>
      </c>
      <c r="CM18">
        <f t="shared" si="35"/>
        <v>31.64683678866432</v>
      </c>
      <c r="CN18">
        <f t="shared" si="36"/>
        <v>9.8896364964575998</v>
      </c>
      <c r="CO18">
        <v>0</v>
      </c>
      <c r="CP18">
        <f t="shared" si="37"/>
        <v>29.668909489372801</v>
      </c>
      <c r="CQ18">
        <f t="shared" si="38"/>
        <v>9.8896364964575998</v>
      </c>
      <c r="CR18">
        <f t="shared" si="39"/>
        <v>2.7690982190081277</v>
      </c>
      <c r="CS18">
        <f>7963.6*(CL18/1000)^0.6*1.7*('CAPEX+OPEX'!$G$116/'CAPEX+OPEX'!$G$115)</f>
        <v>1116.4978031217643</v>
      </c>
      <c r="CT18">
        <f>7963.6*(CM18/1000)^0.6*1.7*('CAPEX+OPEX'!$G$116/'CAPEX+OPEX'!$G$115)</f>
        <v>2011.1252201514121</v>
      </c>
      <c r="CU18">
        <f>7963.6*(CP18/1000)^0.6*1.7*('CAPEX+OPEX'!$G$116/'CAPEX+OPEX'!$G$115)</f>
        <v>1934.7367365697519</v>
      </c>
      <c r="CV18">
        <f>7963.6*(CQ18/1000)^0.6*1.7*('CAPEX+OPEX'!$G$116/'CAPEX+OPEX'!$G$115)</f>
        <v>1000.8042137790724</v>
      </c>
      <c r="CW18">
        <v>300</v>
      </c>
      <c r="CX18">
        <f t="shared" si="15"/>
        <v>30</v>
      </c>
      <c r="CY18">
        <f t="shared" si="16"/>
        <v>10</v>
      </c>
      <c r="CZ18">
        <f t="shared" si="17"/>
        <v>9.2480233795174112</v>
      </c>
      <c r="DA18">
        <f t="shared" si="40"/>
        <v>3960</v>
      </c>
      <c r="DB18">
        <f t="shared" si="18"/>
        <v>3960</v>
      </c>
      <c r="DC18">
        <f>CF18*'Reagent cost'!$C$18/1000*'Reagent cost'!$H$18</f>
        <v>4784.413580611521</v>
      </c>
      <c r="DD18">
        <f>CX18*'Ligand cost'!$B$56*'Ligand cost'!$J$56</f>
        <v>30543.831958072875</v>
      </c>
      <c r="DE18">
        <f t="shared" si="41"/>
        <v>39625.826528698344</v>
      </c>
      <c r="DF18">
        <f t="shared" si="19"/>
        <v>4586243.4239371875</v>
      </c>
      <c r="DG18">
        <f t="shared" si="42"/>
        <v>11794834.586807497</v>
      </c>
      <c r="DH18">
        <f t="shared" si="20"/>
        <v>2275209.1661185985</v>
      </c>
      <c r="DI18">
        <f t="shared" si="21"/>
        <v>14083914.336508472</v>
      </c>
      <c r="DJ18">
        <f t="shared" si="43"/>
        <v>1662824.8986326549</v>
      </c>
      <c r="DK18" s="55">
        <f>DF18*($BK$2/10000)^0.72*0.6*((A18+1)/3)^0.6*('CAPEX+OPEX'!$G$116/'CAPEX+OPEX'!$G$114)</f>
        <v>316809.57444373245</v>
      </c>
      <c r="DL18" s="55">
        <f>DG18*($BK$2/10000)^0.72*0.6*((A18+1)/3)^0.6*('CAPEX+OPEX'!$G$116/'CAPEX+OPEX'!$G$114)</f>
        <v>814766.2870613205</v>
      </c>
      <c r="DM18" s="55">
        <f>DH18*($BK$2/10000)^0.72*0.6*((A18+1)/3)^0.6*('CAPEX+OPEX'!$G$116/'CAPEX+OPEX'!$G$114)</f>
        <v>157167.4202739363</v>
      </c>
      <c r="DN18" s="55">
        <f>DI18*($BK$2/10000)^0.72*0.6*((A18+1)/3)^0.6*('CAPEX+OPEX'!$G$116/'CAPEX+OPEX'!$G$114)</f>
        <v>972891.862687213</v>
      </c>
      <c r="DO18" s="55">
        <f>DJ18*($BK$2/10000)^0.72*0.6*((A18+1)/3)^0.6*('CAPEX+OPEX'!$G$116/'CAPEX+OPEX'!$G$114)</f>
        <v>114864.99948099331</v>
      </c>
      <c r="DP18">
        <f t="shared" si="44"/>
        <v>2376500.1439471957</v>
      </c>
      <c r="DQ18">
        <f>DF18*(BM18/10000)^0.72*0.6*((AF18+1)/3)^0.6*('CAPEX+OPEX'!$G$116/'CAPEX+OPEX'!$G$114)</f>
        <v>480625.85341713123</v>
      </c>
      <c r="DR18">
        <f>DG18*(BM18/10000)^0.72*0.6*((AF18+1)/3)^0.6*('CAPEX+OPEX'!$G$116/'CAPEX+OPEX'!$G$114)</f>
        <v>1236066.6269065202</v>
      </c>
      <c r="DS18">
        <f>DH18*(BM18/10000)^0.72*0.6*((AF18+1)/3)^0.6*('CAPEX+OPEX'!$G$116/'CAPEX+OPEX'!$G$114)</f>
        <v>238435.74055854729</v>
      </c>
      <c r="DT18">
        <f>DI18*(BM18/10000)^0.72*0.6*((AF18+1)/3)^0.6*('CAPEX+OPEX'!$G$116/'CAPEX+OPEX'!$G$114)</f>
        <v>1475955.966948444</v>
      </c>
      <c r="DU18">
        <f>DJ18*(BM18/10000)^0.72*0.6*((AF18+1)/3)^0.6*('CAPEX+OPEX'!$G$116/'CAPEX+OPEX'!$G$114)</f>
        <v>174259.53271849712</v>
      </c>
      <c r="DV18">
        <f t="shared" si="45"/>
        <v>3605343.7205491401</v>
      </c>
      <c r="DW18">
        <f t="shared" si="46"/>
        <v>6050659.5003035609</v>
      </c>
      <c r="DX18">
        <f t="shared" si="47"/>
        <v>403377.3000202374</v>
      </c>
      <c r="DY18">
        <f>BO18*'Reagent cost'!$C$35*60*7200</f>
        <v>1301471.7215467719</v>
      </c>
      <c r="DZ18">
        <f>BP18*'Reagent cost'!$C$34*60*7200</f>
        <v>309680.9281510234</v>
      </c>
      <c r="EA18">
        <f>BQ18*'Reagent cost'!$C$14*'Reagent cost'!$C$36/1000*60*7200</f>
        <v>5133216.1099473797</v>
      </c>
      <c r="EB18">
        <f t="shared" si="22"/>
        <v>39.6</v>
      </c>
      <c r="EC18">
        <f t="shared" si="23"/>
        <v>95.688271612230423</v>
      </c>
      <c r="ED18">
        <f>0.1*BK18*60*7200*'Reagent cost'!$H$17*'Reagent cost'!$C$17/1000</f>
        <v>504921.59999999998</v>
      </c>
      <c r="EE18">
        <f>BV18*0.1*'Reagent cost'!$C$16/1000*'Reagent cost'!$H$16*60*7200</f>
        <v>1273418.1853678131</v>
      </c>
      <c r="EF18">
        <f>BZ18/1000*'Reagent cost'!$H$19*'Reagent cost'!$C$19*60*7200</f>
        <v>106994.9842531871</v>
      </c>
      <c r="EG18">
        <f>0.33*('Costing 100 Lmin Feed Orig'!BO18*'Reagent cost'!$C$13+'Costing 100 Lmin Feed Orig'!BP18*'Reagent cost'!$C$12+'Costing 100 Lmin Feed Orig'!BQ18*'Reagent cost'!$C$14+'Costing 100 Lmin Feed Orig'!BV18*0.1*'Reagent cost'!$C$16+'Costing 100 Lmin Feed Orig'!BZ18*'Reagent cost'!$C$19)/1000*60*7200</f>
        <v>218909.02374526046</v>
      </c>
      <c r="EH18">
        <f>CG18*'Reagent cost'!$C$35*60*7200</f>
        <v>1844341.7276177278</v>
      </c>
      <c r="EI18">
        <f>CH18*'Reagent cost'!$C$34*60*7200</f>
        <v>438855.06583078974</v>
      </c>
      <c r="EJ18">
        <f>CI18*'Reagent cost'!$C$14*'Reagent cost'!$C$36/1000*60*7200</f>
        <v>7274383.6932574222</v>
      </c>
      <c r="EK18">
        <f t="shared" si="24"/>
        <v>39.6</v>
      </c>
      <c r="EL18">
        <f t="shared" si="25"/>
        <v>610.87663916145755</v>
      </c>
      <c r="EM18">
        <f>0.1*BM18*60*7200*'Reagent cost'!$H$17*'Reagent cost'!$C$17/1000</f>
        <v>466952.67616233387</v>
      </c>
      <c r="EN18">
        <f>CN18*0.1*'Reagent cost'!$C$16/1000*'Reagent cost'!$H$16*60*7200</f>
        <v>1804586.4978071295</v>
      </c>
      <c r="EO18">
        <f>CR18/1000*'Reagent cost'!$H$19*'Reagent cost'!$C$19*60*7200</f>
        <v>151624.74208000902</v>
      </c>
      <c r="EP18">
        <f>0.33*(CG18*'Reagent cost'!$C$13+CH18*'Reagent cost'!$C$12+CI18*'Reagent cost'!$C$14+CN18*0.1*'Reagent cost'!$C$16+CR18*'Reagent cost'!$C$19)/1000*60*7200</f>
        <v>310220.37617967121</v>
      </c>
      <c r="EQ18">
        <f t="shared" si="48"/>
        <v>24733480.436318833</v>
      </c>
      <c r="ER18">
        <f t="shared" si="49"/>
        <v>529129.3999249317</v>
      </c>
      <c r="ES18">
        <f t="shared" si="50"/>
        <v>30272.303809866662</v>
      </c>
      <c r="ET18">
        <f t="shared" si="51"/>
        <v>20763.049486147294</v>
      </c>
      <c r="EU18">
        <f t="shared" si="52"/>
        <v>8790.8072421188135</v>
      </c>
      <c r="EV18">
        <f t="shared" si="53"/>
        <v>4656.7358484871465</v>
      </c>
      <c r="EW18">
        <f t="shared" si="54"/>
        <v>4688.4305291300352</v>
      </c>
      <c r="EX18">
        <f t="shared" si="55"/>
        <v>69171.326915749945</v>
      </c>
      <c r="EY18">
        <f t="shared" si="56"/>
        <v>43763.04037096574</v>
      </c>
      <c r="EZ18">
        <f t="shared" si="57"/>
        <v>42722.011691418775</v>
      </c>
      <c r="FA18">
        <f t="shared" si="58"/>
        <v>18087.94849838295</v>
      </c>
      <c r="FB18">
        <f t="shared" si="59"/>
        <v>9586.9357430562486</v>
      </c>
      <c r="FC18">
        <f t="shared" si="60"/>
        <v>9646.9058658042413</v>
      </c>
      <c r="FD18">
        <f t="shared" si="61"/>
        <v>123806.84216962795</v>
      </c>
      <c r="FE18">
        <f t="shared" si="62"/>
        <v>25455588.00532914</v>
      </c>
      <c r="FF18">
        <f t="shared" si="63"/>
        <v>25858965.305349376</v>
      </c>
      <c r="FG18">
        <f>BM18*AM18*195.08/1000*'PGM market prices'!$C$2*60*7200</f>
        <v>423539292.75081265</v>
      </c>
      <c r="FH18">
        <f>BN18*AQ18*BA18*106.42/1000*'PGM market prices'!$C$3*60*7200</f>
        <v>222960822.05164418</v>
      </c>
      <c r="FI18">
        <f>BK18*J18*102.91/1000*'PGM market prices'!$C$4*60*7200</f>
        <v>243776550.55742735</v>
      </c>
      <c r="FJ18">
        <f t="shared" si="26"/>
        <v>890276665.35988426</v>
      </c>
      <c r="FK18">
        <f t="shared" si="27"/>
        <v>639669098.0403558</v>
      </c>
      <c r="FL18">
        <f t="shared" si="64"/>
        <v>0.59858715984605038</v>
      </c>
      <c r="FM18">
        <f t="shared" si="65"/>
        <v>2059.3868296992205</v>
      </c>
      <c r="FN18">
        <f t="shared" si="66"/>
        <v>3819.1794328162528</v>
      </c>
      <c r="FO18">
        <f t="shared" si="67"/>
        <v>17496.909436709917</v>
      </c>
    </row>
    <row r="19" spans="1:171">
      <c r="A19">
        <v>4</v>
      </c>
      <c r="B19">
        <v>1.54143585092054E-3</v>
      </c>
      <c r="C19">
        <v>1.54143585092054E-3</v>
      </c>
      <c r="D19">
        <v>3.4254130020456501E-4</v>
      </c>
      <c r="E19">
        <v>0</v>
      </c>
      <c r="F19">
        <v>0</v>
      </c>
      <c r="G19">
        <v>0</v>
      </c>
      <c r="H19" s="53">
        <v>1.7208960911287699E-5</v>
      </c>
      <c r="I19" s="53">
        <v>2.8768784818324402E-7</v>
      </c>
      <c r="J19">
        <v>3.3243632642994598E-4</v>
      </c>
      <c r="K19">
        <v>0.10920586178936199</v>
      </c>
      <c r="L19">
        <v>0.110418215553449</v>
      </c>
      <c r="M19">
        <v>7.2398825703009801E-4</v>
      </c>
      <c r="N19" s="53">
        <v>-2.168404344971E-18</v>
      </c>
      <c r="O19" s="53">
        <v>2.3635607360183901E-17</v>
      </c>
      <c r="P19" s="53">
        <v>-7.4538899358378406E-20</v>
      </c>
      <c r="Q19">
        <v>0.13957372480144001</v>
      </c>
      <c r="R19">
        <v>97.0499984181222</v>
      </c>
      <c r="S19">
        <v>500</v>
      </c>
      <c r="T19">
        <v>95</v>
      </c>
      <c r="U19">
        <v>1</v>
      </c>
      <c r="V19">
        <v>0.1</v>
      </c>
      <c r="W19">
        <v>71.646723007687299</v>
      </c>
      <c r="X19" t="s">
        <v>323</v>
      </c>
      <c r="Y19">
        <v>1</v>
      </c>
      <c r="Z19">
        <v>0.28318429382522198</v>
      </c>
      <c r="AA19">
        <v>0.56945642916197003</v>
      </c>
      <c r="AB19">
        <v>3.7698628972227502E-3</v>
      </c>
      <c r="AC19">
        <v>1822.2107908876901</v>
      </c>
      <c r="AD19">
        <v>2662.6059073104898</v>
      </c>
      <c r="AE19">
        <v>2401.5030938442701</v>
      </c>
      <c r="AF19">
        <v>11</v>
      </c>
      <c r="AG19">
        <v>1.6481650483119699E-3</v>
      </c>
      <c r="AH19">
        <v>1.6664622263884801E-3</v>
      </c>
      <c r="AI19" s="53">
        <v>1.0926630870116399E-5</v>
      </c>
      <c r="AJ19">
        <v>0</v>
      </c>
      <c r="AK19">
        <v>0</v>
      </c>
      <c r="AL19">
        <v>0</v>
      </c>
      <c r="AM19">
        <v>1.61112321598457E-3</v>
      </c>
      <c r="AN19" s="53">
        <v>7.3941439847443504E-5</v>
      </c>
      <c r="AO19" s="53">
        <v>1.08545188885599E-5</v>
      </c>
      <c r="AP19">
        <v>1.7319792931660401E-3</v>
      </c>
      <c r="AQ19">
        <v>7.4462110887135197E-2</v>
      </c>
      <c r="AR19" s="53">
        <v>3.3717678364587601E-6</v>
      </c>
      <c r="AS19" s="53">
        <v>6.0986372202309596E-19</v>
      </c>
      <c r="AT19" s="53">
        <v>-1.1882855810441099E-16</v>
      </c>
      <c r="AU19" s="53">
        <v>-2.6999175193730801E-21</v>
      </c>
      <c r="AV19">
        <v>0.19778742894656101</v>
      </c>
      <c r="AW19">
        <v>99.340034614386695</v>
      </c>
      <c r="AX19">
        <v>500</v>
      </c>
      <c r="AY19">
        <v>95</v>
      </c>
      <c r="AZ19">
        <v>0.92480233795174105</v>
      </c>
      <c r="BA19">
        <v>0.1</v>
      </c>
      <c r="BB19">
        <v>46.757387103788297</v>
      </c>
      <c r="BC19" t="s">
        <v>251</v>
      </c>
      <c r="BD19">
        <v>1</v>
      </c>
      <c r="BE19">
        <v>1.8775014999999999E-2</v>
      </c>
      <c r="BF19">
        <v>0.10492961100000001</v>
      </c>
      <c r="BG19">
        <v>1.814625E-3</v>
      </c>
      <c r="BH19">
        <v>285.1951444</v>
      </c>
      <c r="BI19">
        <v>2169.8944889999998</v>
      </c>
      <c r="BJ19">
        <v>866.49409060000005</v>
      </c>
      <c r="BK19">
        <f t="shared" si="0"/>
        <v>100</v>
      </c>
      <c r="BL19">
        <f t="shared" si="1"/>
        <v>13.957372480144</v>
      </c>
      <c r="BM19">
        <f t="shared" si="2"/>
        <v>92.480233795174101</v>
      </c>
      <c r="BN19">
        <f t="shared" si="3"/>
        <v>19.778742894656101</v>
      </c>
      <c r="BO19">
        <f t="shared" si="28"/>
        <v>5.0246540928518399</v>
      </c>
      <c r="BP19">
        <f t="shared" si="4"/>
        <v>0.33497693952345603</v>
      </c>
      <c r="BQ19">
        <f t="shared" si="5"/>
        <v>1.67488469761728</v>
      </c>
      <c r="BR19">
        <f t="shared" si="29"/>
        <v>0.83744234880863999</v>
      </c>
      <c r="BS19">
        <f t="shared" si="6"/>
        <v>1.3957372480144001</v>
      </c>
      <c r="BT19">
        <f t="shared" si="30"/>
        <v>8.3744234880863999</v>
      </c>
      <c r="BU19">
        <f t="shared" si="7"/>
        <v>22.331795968230402</v>
      </c>
      <c r="BV19">
        <f t="shared" si="31"/>
        <v>6.9786862400720002</v>
      </c>
      <c r="BW19">
        <f t="shared" si="8"/>
        <v>85.501547555102107</v>
      </c>
      <c r="BX19">
        <f t="shared" si="32"/>
        <v>106.4376062753181</v>
      </c>
      <c r="BY19">
        <f t="shared" si="33"/>
        <v>92.480233795174101</v>
      </c>
      <c r="BZ19">
        <f t="shared" si="34"/>
        <v>1.9540321472201601</v>
      </c>
      <c r="CA19">
        <f>7963.6*(BT19/1000)^0.6*1.7*('CAPEX+OPEX'!$G$116/'CAPEX+OPEX'!$G$115)</f>
        <v>905.76154698777668</v>
      </c>
      <c r="CB19">
        <f>7963.6*(BU19/1000)^0.6*1.7*('CAPEX+OPEX'!$G$116/'CAPEX+OPEX'!$G$115)</f>
        <v>1631.5302058787963</v>
      </c>
      <c r="CC19">
        <f>7963.6*(BX19/1000)^0.6*1.7*('CAPEX+OPEX'!$G$116/'CAPEX+OPEX'!$G$115)</f>
        <v>4163.8779123800414</v>
      </c>
      <c r="CD19">
        <f>7963.6*(BY19/1000)^0.6*1.7*('CAPEX+OPEX'!$G$116/'CAPEX+OPEX'!$G$115)</f>
        <v>3827.1041330778485</v>
      </c>
      <c r="CE19">
        <v>300</v>
      </c>
      <c r="CF19">
        <v>30</v>
      </c>
      <c r="CG19">
        <f t="shared" si="9"/>
        <v>7.1203474420761959</v>
      </c>
      <c r="CH19">
        <f t="shared" si="10"/>
        <v>0.47468982947174643</v>
      </c>
      <c r="CI19">
        <f t="shared" si="11"/>
        <v>2.3734491473587322</v>
      </c>
      <c r="CJ19">
        <f t="shared" si="12"/>
        <v>1.1867245736793661</v>
      </c>
      <c r="CK19">
        <f t="shared" si="13"/>
        <v>1.9778742894656103</v>
      </c>
      <c r="CL19">
        <f t="shared" si="14"/>
        <v>11.867245736793661</v>
      </c>
      <c r="CM19">
        <f t="shared" si="35"/>
        <v>31.645988631449764</v>
      </c>
      <c r="CN19">
        <f t="shared" si="36"/>
        <v>9.8893714473280507</v>
      </c>
      <c r="CO19">
        <v>0</v>
      </c>
      <c r="CP19">
        <f t="shared" si="37"/>
        <v>29.66811434198415</v>
      </c>
      <c r="CQ19">
        <f t="shared" si="38"/>
        <v>9.8893714473280507</v>
      </c>
      <c r="CR19">
        <f t="shared" si="39"/>
        <v>2.7690240052518544</v>
      </c>
      <c r="CS19">
        <f>7963.6*(CL19/1000)^0.6*1.7*('CAPEX+OPEX'!$G$116/'CAPEX+OPEX'!$G$115)</f>
        <v>1116.4798492754003</v>
      </c>
      <c r="CT19">
        <f>7963.6*(CM19/1000)^0.6*1.7*('CAPEX+OPEX'!$G$116/'CAPEX+OPEX'!$G$115)</f>
        <v>2011.0928802461117</v>
      </c>
      <c r="CU19">
        <f>7963.6*(CP19/1000)^0.6*1.7*('CAPEX+OPEX'!$G$116/'CAPEX+OPEX'!$G$115)</f>
        <v>1934.7056250296969</v>
      </c>
      <c r="CV19">
        <f>7963.6*(CQ19/1000)^0.6*1.7*('CAPEX+OPEX'!$G$116/'CAPEX+OPEX'!$G$115)</f>
        <v>1000.7881203438284</v>
      </c>
      <c r="CW19">
        <v>300</v>
      </c>
      <c r="CX19">
        <f t="shared" si="15"/>
        <v>30</v>
      </c>
      <c r="CY19">
        <f t="shared" si="16"/>
        <v>10</v>
      </c>
      <c r="CZ19">
        <f t="shared" si="17"/>
        <v>9.2480233795174112</v>
      </c>
      <c r="DA19">
        <f t="shared" si="40"/>
        <v>3960</v>
      </c>
      <c r="DB19">
        <f t="shared" si="18"/>
        <v>3960</v>
      </c>
      <c r="DC19">
        <f>CF19*'Reagent cost'!$C$18/1000*'Reagent cost'!$H$18</f>
        <v>4784.413580611521</v>
      </c>
      <c r="DD19">
        <f>CX19*'Ligand cost'!$B$56*'Ligand cost'!$J$56</f>
        <v>30543.831958072875</v>
      </c>
      <c r="DE19">
        <f t="shared" si="41"/>
        <v>39625.826528698344</v>
      </c>
      <c r="DF19">
        <f t="shared" si="19"/>
        <v>4586243.4239371875</v>
      </c>
      <c r="DG19">
        <f t="shared" si="42"/>
        <v>11794834.586807497</v>
      </c>
      <c r="DH19">
        <f t="shared" si="20"/>
        <v>2275209.1661185985</v>
      </c>
      <c r="DI19">
        <f t="shared" si="21"/>
        <v>14083914.336508472</v>
      </c>
      <c r="DJ19">
        <f t="shared" si="43"/>
        <v>1662824.8986326549</v>
      </c>
      <c r="DK19" s="55">
        <f>DF19*($BK$2/10000)^0.72*0.6*((A19+1)/3)^0.6*('CAPEX+OPEX'!$G$116/'CAPEX+OPEX'!$G$114)</f>
        <v>316809.57444373245</v>
      </c>
      <c r="DL19" s="55">
        <f>DG19*($BK$2/10000)^0.72*0.6*((A19+1)/3)^0.6*('CAPEX+OPEX'!$G$116/'CAPEX+OPEX'!$G$114)</f>
        <v>814766.2870613205</v>
      </c>
      <c r="DM19" s="55">
        <f>DH19*($BK$2/10000)^0.72*0.6*((A19+1)/3)^0.6*('CAPEX+OPEX'!$G$116/'CAPEX+OPEX'!$G$114)</f>
        <v>157167.4202739363</v>
      </c>
      <c r="DN19" s="55">
        <f>DI19*($BK$2/10000)^0.72*0.6*((A19+1)/3)^0.6*('CAPEX+OPEX'!$G$116/'CAPEX+OPEX'!$G$114)</f>
        <v>972891.862687213</v>
      </c>
      <c r="DO19" s="55">
        <f>DJ19*($BK$2/10000)^0.72*0.6*((A19+1)/3)^0.6*('CAPEX+OPEX'!$G$116/'CAPEX+OPEX'!$G$114)</f>
        <v>114864.99948099331</v>
      </c>
      <c r="DP19">
        <f t="shared" si="44"/>
        <v>2376500.1439471957</v>
      </c>
      <c r="DQ19">
        <f>DF19*(BM19/10000)^0.72*0.6*((AF19+1)/3)^0.6*('CAPEX+OPEX'!$G$116/'CAPEX+OPEX'!$G$114)</f>
        <v>506384.33792951936</v>
      </c>
      <c r="DR19">
        <f>DG19*(BM19/10000)^0.72*0.6*((AF19+1)/3)^0.6*('CAPEX+OPEX'!$G$116/'CAPEX+OPEX'!$G$114)</f>
        <v>1302311.9252796362</v>
      </c>
      <c r="DS19">
        <f>DH19*(BM19/10000)^0.72*0.6*((AF19+1)/3)^0.6*('CAPEX+OPEX'!$G$116/'CAPEX+OPEX'!$G$114)</f>
        <v>251214.37759338602</v>
      </c>
      <c r="DT19">
        <f>DI19*(BM19/10000)^0.72*0.6*((AF19+1)/3)^0.6*('CAPEX+OPEX'!$G$116/'CAPEX+OPEX'!$G$114)</f>
        <v>1555057.8060303554</v>
      </c>
      <c r="DU19">
        <f>DJ19*(BM19/10000)^0.72*0.6*((AF19+1)/3)^0.6*('CAPEX+OPEX'!$G$116/'CAPEX+OPEX'!$G$114)</f>
        <v>183598.73376802891</v>
      </c>
      <c r="DV19">
        <f t="shared" si="45"/>
        <v>3798567.1806009263</v>
      </c>
      <c r="DW19">
        <f t="shared" si="46"/>
        <v>6243882.8482318111</v>
      </c>
      <c r="DX19">
        <f t="shared" si="47"/>
        <v>416258.85654878739</v>
      </c>
      <c r="DY19">
        <f>BO19*'Reagent cost'!$C$35*60*7200</f>
        <v>1301471.7215467719</v>
      </c>
      <c r="DZ19">
        <f>BP19*'Reagent cost'!$C$34*60*7200</f>
        <v>309680.9281510234</v>
      </c>
      <c r="EA19">
        <f>BQ19*'Reagent cost'!$C$14*'Reagent cost'!$C$36/1000*60*7200</f>
        <v>5133216.1099473797</v>
      </c>
      <c r="EB19">
        <f t="shared" si="22"/>
        <v>39.6</v>
      </c>
      <c r="EC19">
        <f t="shared" si="23"/>
        <v>95.688271612230423</v>
      </c>
      <c r="ED19">
        <f>0.1*BK19*60*7200*'Reagent cost'!$H$17*'Reagent cost'!$C$17/1000</f>
        <v>504921.59999999998</v>
      </c>
      <c r="EE19">
        <f>BV19*0.1*'Reagent cost'!$C$16/1000*'Reagent cost'!$H$16*60*7200</f>
        <v>1273418.1853678131</v>
      </c>
      <c r="EF19">
        <f>BZ19/1000*'Reagent cost'!$H$19*'Reagent cost'!$C$19*60*7200</f>
        <v>106994.9842531871</v>
      </c>
      <c r="EG19">
        <f>0.33*('Costing 100 Lmin Feed Orig'!BO19*'Reagent cost'!$C$13+'Costing 100 Lmin Feed Orig'!BP19*'Reagent cost'!$C$12+'Costing 100 Lmin Feed Orig'!BQ19*'Reagent cost'!$C$14+'Costing 100 Lmin Feed Orig'!BV19*0.1*'Reagent cost'!$C$16+'Costing 100 Lmin Feed Orig'!BZ19*'Reagent cost'!$C$19)/1000*60*7200</f>
        <v>218909.02374526046</v>
      </c>
      <c r="EH19">
        <f>CG19*'Reagent cost'!$C$35*60*7200</f>
        <v>1844292.2979779558</v>
      </c>
      <c r="EI19">
        <f>CH19*'Reagent cost'!$C$34*60*7200</f>
        <v>438843.30421010352</v>
      </c>
      <c r="EJ19">
        <f>CI19*'Reagent cost'!$C$14*'Reagent cost'!$C$36/1000*60*7200</f>
        <v>7274188.7347201118</v>
      </c>
      <c r="EK19">
        <f t="shared" si="24"/>
        <v>39.6</v>
      </c>
      <c r="EL19">
        <f t="shared" si="25"/>
        <v>610.87663916145755</v>
      </c>
      <c r="EM19">
        <f>0.1*BM19*60*7200*'Reagent cost'!$H$17*'Reagent cost'!$C$17/1000</f>
        <v>466952.67616233387</v>
      </c>
      <c r="EN19">
        <f>CN19*0.1*'Reagent cost'!$C$16/1000*'Reagent cost'!$H$16*60*7200</f>
        <v>1804538.1336351391</v>
      </c>
      <c r="EO19">
        <f>CR19/1000*'Reagent cost'!$H$19*'Reagent cost'!$C$19*60*7200</f>
        <v>151620.67843157056</v>
      </c>
      <c r="EP19">
        <f>0.33*(CG19*'Reagent cost'!$C$13+CH19*'Reagent cost'!$C$12+CI19*'Reagent cost'!$C$14+CN19*0.1*'Reagent cost'!$C$16+CR19*'Reagent cost'!$C$19)/1000*60*7200</f>
        <v>310212.06205804454</v>
      </c>
      <c r="EQ19">
        <f t="shared" si="48"/>
        <v>24733110.143176995</v>
      </c>
      <c r="ER19">
        <f t="shared" si="49"/>
        <v>529121.08580330503</v>
      </c>
      <c r="ES19">
        <f t="shared" si="50"/>
        <v>30272.303809866662</v>
      </c>
      <c r="ET19">
        <f t="shared" si="51"/>
        <v>20763.049486147294</v>
      </c>
      <c r="EU19">
        <f t="shared" si="52"/>
        <v>8790.8072421188135</v>
      </c>
      <c r="EV19">
        <f t="shared" si="53"/>
        <v>4656.7358484871465</v>
      </c>
      <c r="EW19">
        <f t="shared" si="54"/>
        <v>4688.4305291300352</v>
      </c>
      <c r="EX19">
        <f t="shared" si="55"/>
        <v>69171.326915749945</v>
      </c>
      <c r="EY19">
        <f t="shared" si="56"/>
        <v>46337.336863375494</v>
      </c>
      <c r="EZ19">
        <f t="shared" si="57"/>
        <v>46605.830936093211</v>
      </c>
      <c r="FA19">
        <f t="shared" si="58"/>
        <v>19732.307452781399</v>
      </c>
      <c r="FB19">
        <f t="shared" si="59"/>
        <v>10458.475356061363</v>
      </c>
      <c r="FC19">
        <f t="shared" si="60"/>
        <v>10523.897308150083</v>
      </c>
      <c r="FD19">
        <f t="shared" si="61"/>
        <v>133657.84791646156</v>
      </c>
      <c r="FE19">
        <f t="shared" si="62"/>
        <v>25465060.403812509</v>
      </c>
      <c r="FF19">
        <f t="shared" si="63"/>
        <v>25881319.260361295</v>
      </c>
      <c r="FG19">
        <f>BM19*AM19*195.08/1000*'PGM market prices'!$C$2*60*7200</f>
        <v>423540225.12899446</v>
      </c>
      <c r="FH19">
        <f>BN19*AQ19*BA19*106.42/1000*'PGM market prices'!$C$3*60*7200</f>
        <v>222960796.14682904</v>
      </c>
      <c r="FI19">
        <f>BK19*J19*102.91/1000*'PGM market prices'!$C$4*60*7200</f>
        <v>243776550.55742735</v>
      </c>
      <c r="FJ19">
        <f t="shared" si="26"/>
        <v>890277571.83325076</v>
      </c>
      <c r="FK19">
        <f t="shared" si="27"/>
        <v>639653226.90393817</v>
      </c>
      <c r="FL19">
        <f t="shared" si="64"/>
        <v>0.59910461250836333</v>
      </c>
      <c r="FM19">
        <f t="shared" si="65"/>
        <v>2061.1625429409273</v>
      </c>
      <c r="FN19">
        <f t="shared" si="66"/>
        <v>3822.4813920640181</v>
      </c>
      <c r="FO19">
        <f t="shared" si="67"/>
        <v>17512.034756759553</v>
      </c>
    </row>
    <row r="20" spans="1:171">
      <c r="A20">
        <v>4</v>
      </c>
      <c r="B20">
        <v>1.54143585092054E-3</v>
      </c>
      <c r="C20">
        <v>1.54143585092054E-3</v>
      </c>
      <c r="D20">
        <v>3.4254130020456501E-4</v>
      </c>
      <c r="E20">
        <v>0</v>
      </c>
      <c r="F20">
        <v>0</v>
      </c>
      <c r="G20">
        <v>0</v>
      </c>
      <c r="H20" s="53">
        <v>1.7208960911287699E-5</v>
      </c>
      <c r="I20" s="53">
        <v>2.8768784818324402E-7</v>
      </c>
      <c r="J20">
        <v>3.3243632642994598E-4</v>
      </c>
      <c r="K20">
        <v>0.10920586178936199</v>
      </c>
      <c r="L20">
        <v>0.110418215553449</v>
      </c>
      <c r="M20">
        <v>7.2398825703009801E-4</v>
      </c>
      <c r="N20" s="53">
        <v>-2.168404344971E-18</v>
      </c>
      <c r="O20" s="53">
        <v>2.3635607360183901E-17</v>
      </c>
      <c r="P20" s="53">
        <v>-7.4538899358378406E-20</v>
      </c>
      <c r="Q20">
        <v>0.13957372480144001</v>
      </c>
      <c r="R20">
        <v>97.0499984181222</v>
      </c>
      <c r="S20">
        <v>500</v>
      </c>
      <c r="T20">
        <v>95</v>
      </c>
      <c r="U20">
        <v>1</v>
      </c>
      <c r="V20">
        <v>0.1</v>
      </c>
      <c r="W20">
        <v>71.646723007687299</v>
      </c>
      <c r="X20" t="s">
        <v>323</v>
      </c>
      <c r="Y20">
        <v>1</v>
      </c>
      <c r="Z20">
        <v>0.28318429382522198</v>
      </c>
      <c r="AA20">
        <v>0.56945642916197003</v>
      </c>
      <c r="AB20">
        <v>3.7698628972227502E-3</v>
      </c>
      <c r="AC20">
        <v>1822.2107908876901</v>
      </c>
      <c r="AD20">
        <v>2662.6059073104898</v>
      </c>
      <c r="AE20">
        <v>2401.5030938442701</v>
      </c>
      <c r="AF20">
        <v>12</v>
      </c>
      <c r="AG20">
        <v>1.6481650483119699E-3</v>
      </c>
      <c r="AH20">
        <v>1.6664622263884801E-3</v>
      </c>
      <c r="AI20" s="53">
        <v>1.0926630870116399E-5</v>
      </c>
      <c r="AJ20">
        <v>0</v>
      </c>
      <c r="AK20">
        <v>0</v>
      </c>
      <c r="AL20">
        <v>0</v>
      </c>
      <c r="AM20">
        <v>1.6111242193774301E-3</v>
      </c>
      <c r="AN20" s="53">
        <v>7.3941490785069596E-5</v>
      </c>
      <c r="AO20" s="53">
        <v>1.08545207611103E-5</v>
      </c>
      <c r="AP20">
        <v>1.7319455084018099E-3</v>
      </c>
      <c r="AQ20">
        <v>7.4462673066500798E-2</v>
      </c>
      <c r="AR20" s="53">
        <v>3.3717058444944401E-6</v>
      </c>
      <c r="AS20" s="53">
        <v>6.09863722023096E-20</v>
      </c>
      <c r="AT20" s="53">
        <v>-2.3852447794681001E-18</v>
      </c>
      <c r="AU20" s="53">
        <v>1.9719985803264101E-21</v>
      </c>
      <c r="AV20">
        <v>0.19778592936186601</v>
      </c>
      <c r="AW20">
        <v>99.340051751877695</v>
      </c>
      <c r="AX20">
        <v>500</v>
      </c>
      <c r="AY20">
        <v>95</v>
      </c>
      <c r="AZ20">
        <v>0.92480233795174105</v>
      </c>
      <c r="BA20">
        <v>0.1</v>
      </c>
      <c r="BB20">
        <v>46.757741611625697</v>
      </c>
      <c r="BC20" t="s">
        <v>251</v>
      </c>
      <c r="BD20">
        <v>1</v>
      </c>
      <c r="BE20">
        <v>1.8775014999999999E-2</v>
      </c>
      <c r="BF20">
        <v>0.10492961100000001</v>
      </c>
      <c r="BG20">
        <v>1.814625E-3</v>
      </c>
      <c r="BH20">
        <v>285.1951444</v>
      </c>
      <c r="BI20">
        <v>2169.8944889999998</v>
      </c>
      <c r="BJ20">
        <v>866.49409060000005</v>
      </c>
      <c r="BK20">
        <f t="shared" si="0"/>
        <v>100</v>
      </c>
      <c r="BL20">
        <f t="shared" si="1"/>
        <v>13.957372480144</v>
      </c>
      <c r="BM20">
        <f t="shared" si="2"/>
        <v>92.480233795174101</v>
      </c>
      <c r="BN20">
        <f t="shared" si="3"/>
        <v>19.778592936186602</v>
      </c>
      <c r="BO20">
        <f t="shared" si="28"/>
        <v>5.0246540928518399</v>
      </c>
      <c r="BP20">
        <f t="shared" si="4"/>
        <v>0.33497693952345603</v>
      </c>
      <c r="BQ20">
        <f t="shared" si="5"/>
        <v>1.67488469761728</v>
      </c>
      <c r="BR20">
        <f t="shared" si="29"/>
        <v>0.83744234880863999</v>
      </c>
      <c r="BS20">
        <f t="shared" si="6"/>
        <v>1.3957372480144001</v>
      </c>
      <c r="BT20">
        <f t="shared" si="30"/>
        <v>8.3744234880863999</v>
      </c>
      <c r="BU20">
        <f t="shared" si="7"/>
        <v>22.331795968230402</v>
      </c>
      <c r="BV20">
        <f t="shared" si="31"/>
        <v>6.9786862400720002</v>
      </c>
      <c r="BW20">
        <f t="shared" si="8"/>
        <v>85.501547555102107</v>
      </c>
      <c r="BX20">
        <f t="shared" si="32"/>
        <v>106.4376062753181</v>
      </c>
      <c r="BY20">
        <f t="shared" si="33"/>
        <v>92.480233795174101</v>
      </c>
      <c r="BZ20">
        <f t="shared" si="34"/>
        <v>1.9540321472201601</v>
      </c>
      <c r="CA20">
        <f>7963.6*(BT20/1000)^0.6*1.7*('CAPEX+OPEX'!$G$116/'CAPEX+OPEX'!$G$115)</f>
        <v>905.76154698777668</v>
      </c>
      <c r="CB20">
        <f>7963.6*(BU20/1000)^0.6*1.7*('CAPEX+OPEX'!$G$116/'CAPEX+OPEX'!$G$115)</f>
        <v>1631.5302058787963</v>
      </c>
      <c r="CC20">
        <f>7963.6*(BX20/1000)^0.6*1.7*('CAPEX+OPEX'!$G$116/'CAPEX+OPEX'!$G$115)</f>
        <v>4163.8779123800414</v>
      </c>
      <c r="CD20">
        <f>7963.6*(BY20/1000)^0.6*1.7*('CAPEX+OPEX'!$G$116/'CAPEX+OPEX'!$G$115)</f>
        <v>3827.1041330778485</v>
      </c>
      <c r="CE20">
        <v>300</v>
      </c>
      <c r="CF20">
        <v>30</v>
      </c>
      <c r="CG20">
        <f t="shared" si="9"/>
        <v>7.1202934570271763</v>
      </c>
      <c r="CH20">
        <f t="shared" si="10"/>
        <v>0.47468623046847847</v>
      </c>
      <c r="CI20">
        <f t="shared" si="11"/>
        <v>2.3734311523423921</v>
      </c>
      <c r="CJ20">
        <f t="shared" si="12"/>
        <v>1.1867155761711961</v>
      </c>
      <c r="CK20">
        <f t="shared" si="13"/>
        <v>1.9778592936186603</v>
      </c>
      <c r="CL20">
        <f t="shared" si="14"/>
        <v>11.867155761711961</v>
      </c>
      <c r="CM20">
        <f t="shared" si="35"/>
        <v>31.645748697898565</v>
      </c>
      <c r="CN20">
        <f t="shared" si="36"/>
        <v>9.8892964680933009</v>
      </c>
      <c r="CO20">
        <v>0</v>
      </c>
      <c r="CP20">
        <f t="shared" si="37"/>
        <v>29.667889404279904</v>
      </c>
      <c r="CQ20">
        <f t="shared" si="38"/>
        <v>9.8892964680933009</v>
      </c>
      <c r="CR20">
        <f t="shared" si="39"/>
        <v>2.7690030110661241</v>
      </c>
      <c r="CS20">
        <f>7963.6*(CL20/1000)^0.6*1.7*('CAPEX+OPEX'!$G$116/'CAPEX+OPEX'!$G$115)</f>
        <v>1116.4747703116604</v>
      </c>
      <c r="CT20">
        <f>7963.6*(CM20/1000)^0.6*1.7*('CAPEX+OPEX'!$G$116/'CAPEX+OPEX'!$G$115)</f>
        <v>2011.0837316100449</v>
      </c>
      <c r="CU20">
        <f>7963.6*(CP20/1000)^0.6*1.7*('CAPEX+OPEX'!$G$116/'CAPEX+OPEX'!$G$115)</f>
        <v>1934.6968238858851</v>
      </c>
      <c r="CV20">
        <f>7963.6*(CQ20/1000)^0.6*1.7*('CAPEX+OPEX'!$G$116/'CAPEX+OPEX'!$G$115)</f>
        <v>1000.783567671805</v>
      </c>
      <c r="CW20">
        <v>300</v>
      </c>
      <c r="CX20">
        <f t="shared" si="15"/>
        <v>30</v>
      </c>
      <c r="CY20">
        <f t="shared" si="16"/>
        <v>10</v>
      </c>
      <c r="CZ20">
        <f t="shared" si="17"/>
        <v>9.2480233795174112</v>
      </c>
      <c r="DA20">
        <f t="shared" si="40"/>
        <v>3960</v>
      </c>
      <c r="DB20">
        <f t="shared" si="18"/>
        <v>3960</v>
      </c>
      <c r="DC20">
        <f>CF20*'Reagent cost'!$C$18/1000*'Reagent cost'!$H$18</f>
        <v>4784.413580611521</v>
      </c>
      <c r="DD20">
        <f>CX20*'Ligand cost'!$B$56*'Ligand cost'!$J$56</f>
        <v>30543.831958072875</v>
      </c>
      <c r="DE20">
        <f t="shared" si="41"/>
        <v>39625.826528698344</v>
      </c>
      <c r="DF20">
        <f t="shared" si="19"/>
        <v>4586243.4239371875</v>
      </c>
      <c r="DG20">
        <f t="shared" si="42"/>
        <v>11794834.586807497</v>
      </c>
      <c r="DH20">
        <f t="shared" si="20"/>
        <v>2275209.1661185985</v>
      </c>
      <c r="DI20">
        <f t="shared" si="21"/>
        <v>14083914.336508472</v>
      </c>
      <c r="DJ20">
        <f t="shared" si="43"/>
        <v>1662824.8986326549</v>
      </c>
      <c r="DK20" s="55">
        <f>DF20*($BK$2/10000)^0.72*0.6*((A20+1)/3)^0.6*('CAPEX+OPEX'!$G$116/'CAPEX+OPEX'!$G$114)</f>
        <v>316809.57444373245</v>
      </c>
      <c r="DL20" s="55">
        <f>DG20*($BK$2/10000)^0.72*0.6*((A20+1)/3)^0.6*('CAPEX+OPEX'!$G$116/'CAPEX+OPEX'!$G$114)</f>
        <v>814766.2870613205</v>
      </c>
      <c r="DM20" s="55">
        <f>DH20*($BK$2/10000)^0.72*0.6*((A20+1)/3)^0.6*('CAPEX+OPEX'!$G$116/'CAPEX+OPEX'!$G$114)</f>
        <v>157167.4202739363</v>
      </c>
      <c r="DN20" s="55">
        <f>DI20*($BK$2/10000)^0.72*0.6*((A20+1)/3)^0.6*('CAPEX+OPEX'!$G$116/'CAPEX+OPEX'!$G$114)</f>
        <v>972891.862687213</v>
      </c>
      <c r="DO20" s="55">
        <f>DJ20*($BK$2/10000)^0.72*0.6*((A20+1)/3)^0.6*('CAPEX+OPEX'!$G$116/'CAPEX+OPEX'!$G$114)</f>
        <v>114864.99948099331</v>
      </c>
      <c r="DP20">
        <f t="shared" si="44"/>
        <v>2376500.1439471957</v>
      </c>
      <c r="DQ20">
        <f>DF20*(BM20/10000)^0.72*0.6*((AF20+1)/3)^0.6*('CAPEX+OPEX'!$G$116/'CAPEX+OPEX'!$G$114)</f>
        <v>531297.20177759964</v>
      </c>
      <c r="DR20">
        <f>DG20*(BM20/10000)^0.72*0.6*((AF20+1)/3)^0.6*('CAPEX+OPEX'!$G$116/'CAPEX+OPEX'!$G$114)</f>
        <v>1366382.4686437531</v>
      </c>
      <c r="DS20">
        <f>DH20*(BM20/10000)^0.72*0.6*((AF20+1)/3)^0.6*('CAPEX+OPEX'!$G$116/'CAPEX+OPEX'!$G$114)</f>
        <v>263573.50704682368</v>
      </c>
      <c r="DT20">
        <f>DI20*(BM20/10000)^0.72*0.6*((AF20+1)/3)^0.6*('CAPEX+OPEX'!$G$116/'CAPEX+OPEX'!$G$114)</f>
        <v>1631562.8250361381</v>
      </c>
      <c r="DU20">
        <f>DJ20*(BM20/10000)^0.72*0.6*((AF20+1)/3)^0.6*('CAPEX+OPEX'!$G$116/'CAPEX+OPEX'!$G$114)</f>
        <v>192631.33986272902</v>
      </c>
      <c r="DV20">
        <f t="shared" si="45"/>
        <v>3985447.3423670433</v>
      </c>
      <c r="DW20">
        <f t="shared" si="46"/>
        <v>6430762.978279301</v>
      </c>
      <c r="DX20">
        <f t="shared" si="47"/>
        <v>428717.53188528673</v>
      </c>
      <c r="DY20">
        <f>BO20*'Reagent cost'!$C$35*60*7200</f>
        <v>1301471.7215467719</v>
      </c>
      <c r="DZ20">
        <f>BP20*'Reagent cost'!$C$34*60*7200</f>
        <v>309680.9281510234</v>
      </c>
      <c r="EA20">
        <f>BQ20*'Reagent cost'!$C$14*'Reagent cost'!$C$36/1000*60*7200</f>
        <v>5133216.1099473797</v>
      </c>
      <c r="EB20">
        <f t="shared" si="22"/>
        <v>39.6</v>
      </c>
      <c r="EC20">
        <f t="shared" si="23"/>
        <v>95.688271612230423</v>
      </c>
      <c r="ED20">
        <f>0.1*BK20*60*7200*'Reagent cost'!$H$17*'Reagent cost'!$C$17/1000</f>
        <v>504921.59999999998</v>
      </c>
      <c r="EE20">
        <f>BV20*0.1*'Reagent cost'!$C$16/1000*'Reagent cost'!$H$16*60*7200</f>
        <v>1273418.1853678131</v>
      </c>
      <c r="EF20">
        <f>BZ20/1000*'Reagent cost'!$H$19*'Reagent cost'!$C$19*60*7200</f>
        <v>106994.9842531871</v>
      </c>
      <c r="EG20">
        <f>0.33*('Costing 100 Lmin Feed Orig'!BO20*'Reagent cost'!$C$13+'Costing 100 Lmin Feed Orig'!BP20*'Reagent cost'!$C$12+'Costing 100 Lmin Feed Orig'!BQ20*'Reagent cost'!$C$14+'Costing 100 Lmin Feed Orig'!BV20*0.1*'Reagent cost'!$C$16+'Costing 100 Lmin Feed Orig'!BZ20*'Reagent cost'!$C$19)/1000*60*7200</f>
        <v>218909.02374526046</v>
      </c>
      <c r="EH20">
        <f>CG20*'Reagent cost'!$C$35*60*7200</f>
        <v>1844278.314922926</v>
      </c>
      <c r="EI20">
        <f>CH20*'Reagent cost'!$C$34*60*7200</f>
        <v>438839.97698801459</v>
      </c>
      <c r="EJ20">
        <f>CI20*'Reagent cost'!$C$14*'Reagent cost'!$C$36/1000*60*7200</f>
        <v>7274133.5832772041</v>
      </c>
      <c r="EK20">
        <f t="shared" si="24"/>
        <v>39.6</v>
      </c>
      <c r="EL20">
        <f t="shared" si="25"/>
        <v>610.87663916145755</v>
      </c>
      <c r="EM20">
        <f>0.1*BM20*60*7200*'Reagent cost'!$H$17*'Reagent cost'!$C$17/1000</f>
        <v>466952.67616233387</v>
      </c>
      <c r="EN20">
        <f>CN20*0.1*'Reagent cost'!$C$16/1000*'Reagent cost'!$H$16*60*7200</f>
        <v>1804524.4519882253</v>
      </c>
      <c r="EO20">
        <f>CR20/1000*'Reagent cost'!$H$19*'Reagent cost'!$C$19*60*7200</f>
        <v>151619.52887393668</v>
      </c>
      <c r="EP20">
        <f>0.33*(CG20*'Reagent cost'!$C$13+CH20*'Reagent cost'!$C$12+CI20*'Reagent cost'!$C$14+CN20*0.1*'Reagent cost'!$C$16+CR20*'Reagent cost'!$C$19)/1000*60*7200</f>
        <v>310209.71009228547</v>
      </c>
      <c r="EQ20">
        <f t="shared" si="48"/>
        <v>24733005.391667504</v>
      </c>
      <c r="ER20">
        <f t="shared" si="49"/>
        <v>529118.73383754597</v>
      </c>
      <c r="ES20">
        <f t="shared" si="50"/>
        <v>30272.303809866662</v>
      </c>
      <c r="ET20">
        <f t="shared" si="51"/>
        <v>20763.049486147294</v>
      </c>
      <c r="EU20">
        <f t="shared" si="52"/>
        <v>8790.8072421188135</v>
      </c>
      <c r="EV20">
        <f t="shared" si="53"/>
        <v>4656.7358484871465</v>
      </c>
      <c r="EW20">
        <f t="shared" si="54"/>
        <v>4688.4305291300352</v>
      </c>
      <c r="EX20">
        <f t="shared" si="55"/>
        <v>69171.326915749945</v>
      </c>
      <c r="EY20">
        <f t="shared" si="56"/>
        <v>48911.633355785249</v>
      </c>
      <c r="EZ20">
        <f t="shared" si="57"/>
        <v>50489.650180767654</v>
      </c>
      <c r="FA20">
        <f t="shared" si="58"/>
        <v>21376.666407179851</v>
      </c>
      <c r="FB20">
        <f t="shared" si="59"/>
        <v>11330.014969066478</v>
      </c>
      <c r="FC20">
        <f t="shared" si="60"/>
        <v>11400.888750495924</v>
      </c>
      <c r="FD20">
        <f t="shared" si="61"/>
        <v>143508.85366329516</v>
      </c>
      <c r="FE20">
        <f t="shared" si="62"/>
        <v>25474804.306084093</v>
      </c>
      <c r="FF20">
        <f t="shared" si="63"/>
        <v>25903521.837969378</v>
      </c>
      <c r="FG20">
        <f>BM20*AM20*195.08/1000*'PGM market prices'!$C$2*60*7200</f>
        <v>423540488.90598792</v>
      </c>
      <c r="FH20">
        <f>BN20*AQ20*BA20*106.42/1000*'PGM market prices'!$C$3*60*7200</f>
        <v>222960789.01529106</v>
      </c>
      <c r="FI20">
        <f>BK20*J20*102.91/1000*'PGM market prices'!$C$4*60*7200</f>
        <v>243776550.55742735</v>
      </c>
      <c r="FJ20">
        <f t="shared" si="26"/>
        <v>890277828.47870636</v>
      </c>
      <c r="FK20">
        <f t="shared" si="27"/>
        <v>639636986.91414535</v>
      </c>
      <c r="FL20">
        <f t="shared" si="64"/>
        <v>0.59961856106410594</v>
      </c>
      <c r="FM20">
        <f t="shared" si="65"/>
        <v>2062.9294493812463</v>
      </c>
      <c r="FN20">
        <f t="shared" si="66"/>
        <v>3825.760672613359</v>
      </c>
      <c r="FO20">
        <f t="shared" si="67"/>
        <v>17527.057650563806</v>
      </c>
    </row>
    <row r="21" spans="1:171">
      <c r="A21">
        <v>4</v>
      </c>
      <c r="B21">
        <v>1.54143585092054E-3</v>
      </c>
      <c r="C21">
        <v>1.54143585092054E-3</v>
      </c>
      <c r="D21">
        <v>3.4254130020456501E-4</v>
      </c>
      <c r="E21">
        <v>0</v>
      </c>
      <c r="F21">
        <v>0</v>
      </c>
      <c r="G21">
        <v>0</v>
      </c>
      <c r="H21" s="53">
        <v>1.7208960911287699E-5</v>
      </c>
      <c r="I21" s="53">
        <v>2.8768784818324402E-7</v>
      </c>
      <c r="J21">
        <v>3.3243632642994598E-4</v>
      </c>
      <c r="K21">
        <v>0.10920586178936199</v>
      </c>
      <c r="L21">
        <v>0.110418215553449</v>
      </c>
      <c r="M21">
        <v>7.2398825703009801E-4</v>
      </c>
      <c r="N21" s="53">
        <v>-2.168404344971E-18</v>
      </c>
      <c r="O21" s="53">
        <v>2.3635607360183901E-17</v>
      </c>
      <c r="P21" s="53">
        <v>-7.4538899358378406E-20</v>
      </c>
      <c r="Q21">
        <v>0.13957372480144001</v>
      </c>
      <c r="R21">
        <v>97.0499984181222</v>
      </c>
      <c r="S21">
        <v>500</v>
      </c>
      <c r="T21">
        <v>95</v>
      </c>
      <c r="U21">
        <v>1</v>
      </c>
      <c r="V21">
        <v>0.1</v>
      </c>
      <c r="W21">
        <v>71.646723007687299</v>
      </c>
      <c r="X21" t="s">
        <v>323</v>
      </c>
      <c r="Y21">
        <v>1</v>
      </c>
      <c r="Z21">
        <v>0.28318429382522198</v>
      </c>
      <c r="AA21">
        <v>0.56945642916197003</v>
      </c>
      <c r="AB21">
        <v>3.7698628972227502E-3</v>
      </c>
      <c r="AC21">
        <v>1822.2107908876901</v>
      </c>
      <c r="AD21">
        <v>2662.6059073104898</v>
      </c>
      <c r="AE21">
        <v>2401.5030938442701</v>
      </c>
      <c r="AF21">
        <v>13</v>
      </c>
      <c r="AG21">
        <v>1.6481650483119699E-3</v>
      </c>
      <c r="AH21">
        <v>1.6664622263884801E-3</v>
      </c>
      <c r="AI21" s="53">
        <v>1.0926630870116399E-5</v>
      </c>
      <c r="AJ21">
        <v>0</v>
      </c>
      <c r="AK21">
        <v>0</v>
      </c>
      <c r="AL21">
        <v>0</v>
      </c>
      <c r="AM21">
        <v>1.6111245032140399E-3</v>
      </c>
      <c r="AN21" s="53">
        <v>7.3941505194138695E-5</v>
      </c>
      <c r="AO21" s="53">
        <v>1.08545212908117E-5</v>
      </c>
      <c r="AP21">
        <v>1.73193595136525E-3</v>
      </c>
      <c r="AQ21">
        <v>7.4462832095842299E-2</v>
      </c>
      <c r="AR21" s="53">
        <v>3.3716883082028299E-6</v>
      </c>
      <c r="AS21" s="53">
        <v>1.3839163105419599E-16</v>
      </c>
      <c r="AT21" s="53">
        <v>-1.25862861799497E-14</v>
      </c>
      <c r="AU21" s="53">
        <v>-9.5423555464117197E-21</v>
      </c>
      <c r="AV21">
        <v>0.19778550516505899</v>
      </c>
      <c r="AW21">
        <v>99.340056599679698</v>
      </c>
      <c r="AX21">
        <v>500</v>
      </c>
      <c r="AY21">
        <v>95</v>
      </c>
      <c r="AZ21">
        <v>0.92480233795174105</v>
      </c>
      <c r="BA21">
        <v>0.1</v>
      </c>
      <c r="BB21">
        <v>46.757841894427997</v>
      </c>
      <c r="BC21" t="s">
        <v>251</v>
      </c>
      <c r="BD21">
        <v>1</v>
      </c>
      <c r="BE21">
        <v>1.8775014999999999E-2</v>
      </c>
      <c r="BF21">
        <v>0.10492961100000001</v>
      </c>
      <c r="BG21">
        <v>1.814625E-3</v>
      </c>
      <c r="BH21">
        <v>285.1951444</v>
      </c>
      <c r="BI21">
        <v>2169.8944889999998</v>
      </c>
      <c r="BJ21">
        <v>866.49409060000005</v>
      </c>
      <c r="BK21">
        <f t="shared" si="0"/>
        <v>100</v>
      </c>
      <c r="BL21">
        <f t="shared" si="1"/>
        <v>13.957372480144</v>
      </c>
      <c r="BM21">
        <f t="shared" si="2"/>
        <v>92.480233795174101</v>
      </c>
      <c r="BN21">
        <f t="shared" si="3"/>
        <v>19.778550516505899</v>
      </c>
      <c r="BO21">
        <f t="shared" si="28"/>
        <v>5.0246540928518399</v>
      </c>
      <c r="BP21">
        <f t="shared" si="4"/>
        <v>0.33497693952345603</v>
      </c>
      <c r="BQ21">
        <f t="shared" si="5"/>
        <v>1.67488469761728</v>
      </c>
      <c r="BR21">
        <f t="shared" si="29"/>
        <v>0.83744234880863999</v>
      </c>
      <c r="BS21">
        <f t="shared" si="6"/>
        <v>1.3957372480144001</v>
      </c>
      <c r="BT21">
        <f t="shared" si="30"/>
        <v>8.3744234880863999</v>
      </c>
      <c r="BU21">
        <f t="shared" si="7"/>
        <v>22.331795968230402</v>
      </c>
      <c r="BV21">
        <f t="shared" si="31"/>
        <v>6.9786862400720002</v>
      </c>
      <c r="BW21">
        <f t="shared" si="8"/>
        <v>85.501547555102107</v>
      </c>
      <c r="BX21">
        <f t="shared" si="32"/>
        <v>106.4376062753181</v>
      </c>
      <c r="BY21">
        <f t="shared" si="33"/>
        <v>92.480233795174101</v>
      </c>
      <c r="BZ21">
        <f t="shared" si="34"/>
        <v>1.9540321472201601</v>
      </c>
      <c r="CA21">
        <f>7963.6*(BT21/1000)^0.6*1.7*('CAPEX+OPEX'!$G$116/'CAPEX+OPEX'!$G$115)</f>
        <v>905.76154698777668</v>
      </c>
      <c r="CB21">
        <f>7963.6*(BU21/1000)^0.6*1.7*('CAPEX+OPEX'!$G$116/'CAPEX+OPEX'!$G$115)</f>
        <v>1631.5302058787963</v>
      </c>
      <c r="CC21">
        <f>7963.6*(BX21/1000)^0.6*1.7*('CAPEX+OPEX'!$G$116/'CAPEX+OPEX'!$G$115)</f>
        <v>4163.8779123800414</v>
      </c>
      <c r="CD21">
        <f>7963.6*(BY21/1000)^0.6*1.7*('CAPEX+OPEX'!$G$116/'CAPEX+OPEX'!$G$115)</f>
        <v>3827.1041330778485</v>
      </c>
      <c r="CE21">
        <v>300</v>
      </c>
      <c r="CF21">
        <v>30</v>
      </c>
      <c r="CG21">
        <f t="shared" si="9"/>
        <v>7.1202781859421229</v>
      </c>
      <c r="CH21">
        <f t="shared" si="10"/>
        <v>0.47468521239614159</v>
      </c>
      <c r="CI21">
        <f t="shared" si="11"/>
        <v>2.3734260619807079</v>
      </c>
      <c r="CJ21">
        <f t="shared" si="12"/>
        <v>1.186713030990354</v>
      </c>
      <c r="CK21">
        <f t="shared" si="13"/>
        <v>1.9778550516505899</v>
      </c>
      <c r="CL21">
        <f t="shared" si="14"/>
        <v>11.867130309903539</v>
      </c>
      <c r="CM21">
        <f t="shared" si="35"/>
        <v>31.645680826409439</v>
      </c>
      <c r="CN21">
        <f t="shared" si="36"/>
        <v>9.8892752582529493</v>
      </c>
      <c r="CO21">
        <v>0</v>
      </c>
      <c r="CP21">
        <f t="shared" si="37"/>
        <v>29.667825774758846</v>
      </c>
      <c r="CQ21">
        <f t="shared" si="38"/>
        <v>9.8892752582529493</v>
      </c>
      <c r="CR21">
        <f t="shared" si="39"/>
        <v>2.7689970723108259</v>
      </c>
      <c r="CS21">
        <f>7963.6*(CL21/1000)^0.6*1.7*('CAPEX+OPEX'!$G$116/'CAPEX+OPEX'!$G$115)</f>
        <v>1116.4733335909468</v>
      </c>
      <c r="CT21">
        <f>7963.6*(CM21/1000)^0.6*1.7*('CAPEX+OPEX'!$G$116/'CAPEX+OPEX'!$G$115)</f>
        <v>2011.0811436736844</v>
      </c>
      <c r="CU21">
        <f>7963.6*(CP21/1000)^0.6*1.7*('CAPEX+OPEX'!$G$116/'CAPEX+OPEX'!$G$115)</f>
        <v>1934.6943342470008</v>
      </c>
      <c r="CV21">
        <f>7963.6*(CQ21/1000)^0.6*1.7*('CAPEX+OPEX'!$G$116/'CAPEX+OPEX'!$G$115)</f>
        <v>1000.7822798267775</v>
      </c>
      <c r="CW21">
        <v>300</v>
      </c>
      <c r="CX21">
        <f t="shared" si="15"/>
        <v>30</v>
      </c>
      <c r="CY21">
        <f t="shared" si="16"/>
        <v>10</v>
      </c>
      <c r="CZ21">
        <f t="shared" si="17"/>
        <v>9.2480233795174112</v>
      </c>
      <c r="DA21">
        <f t="shared" si="40"/>
        <v>3960</v>
      </c>
      <c r="DB21">
        <f t="shared" si="18"/>
        <v>3960</v>
      </c>
      <c r="DC21">
        <f>CF21*'Reagent cost'!$C$18/1000*'Reagent cost'!$H$18</f>
        <v>4784.413580611521</v>
      </c>
      <c r="DD21">
        <f>CX21*'Ligand cost'!$B$56*'Ligand cost'!$J$56</f>
        <v>30543.831958072875</v>
      </c>
      <c r="DE21">
        <f t="shared" si="41"/>
        <v>39625.826528698344</v>
      </c>
      <c r="DF21">
        <f t="shared" si="19"/>
        <v>4586243.4239371875</v>
      </c>
      <c r="DG21">
        <f t="shared" si="42"/>
        <v>11794834.586807497</v>
      </c>
      <c r="DH21">
        <f t="shared" si="20"/>
        <v>2275209.1661185985</v>
      </c>
      <c r="DI21">
        <f t="shared" si="21"/>
        <v>14083914.336508472</v>
      </c>
      <c r="DJ21">
        <f t="shared" si="43"/>
        <v>1662824.8986326549</v>
      </c>
      <c r="DK21" s="55">
        <f>DF21*($BK$2/10000)^0.72*0.6*((A21+1)/3)^0.6*('CAPEX+OPEX'!$G$116/'CAPEX+OPEX'!$G$114)</f>
        <v>316809.57444373245</v>
      </c>
      <c r="DL21" s="55">
        <f>DG21*($BK$2/10000)^0.72*0.6*((A21+1)/3)^0.6*('CAPEX+OPEX'!$G$116/'CAPEX+OPEX'!$G$114)</f>
        <v>814766.2870613205</v>
      </c>
      <c r="DM21" s="55">
        <f>DH21*($BK$2/10000)^0.72*0.6*((A21+1)/3)^0.6*('CAPEX+OPEX'!$G$116/'CAPEX+OPEX'!$G$114)</f>
        <v>157167.4202739363</v>
      </c>
      <c r="DN21" s="55">
        <f>DI21*($BK$2/10000)^0.72*0.6*((A21+1)/3)^0.6*('CAPEX+OPEX'!$G$116/'CAPEX+OPEX'!$G$114)</f>
        <v>972891.862687213</v>
      </c>
      <c r="DO21" s="55">
        <f>DJ21*($BK$2/10000)^0.72*0.6*((A21+1)/3)^0.6*('CAPEX+OPEX'!$G$116/'CAPEX+OPEX'!$G$114)</f>
        <v>114864.99948099331</v>
      </c>
      <c r="DP21">
        <f t="shared" si="44"/>
        <v>2376500.1439471957</v>
      </c>
      <c r="DQ21">
        <f>DF21*(BM21/10000)^0.72*0.6*((AF21+1)/3)^0.6*('CAPEX+OPEX'!$G$116/'CAPEX+OPEX'!$G$114)</f>
        <v>555454.3069543679</v>
      </c>
      <c r="DR21">
        <f>DG21*(BM21/10000)^0.72*0.6*((AF21+1)/3)^0.6*('CAPEX+OPEX'!$G$116/'CAPEX+OPEX'!$G$114)</f>
        <v>1428509.3627743502</v>
      </c>
      <c r="DS21">
        <f>DH21*(BM21/10000)^0.72*0.6*((AF21+1)/3)^0.6*('CAPEX+OPEX'!$G$116/'CAPEX+OPEX'!$G$114)</f>
        <v>275557.70894029626</v>
      </c>
      <c r="DT21">
        <f>DI21*(BM21/10000)^0.72*0.6*((AF21+1)/3)^0.6*('CAPEX+OPEX'!$G$116/'CAPEX+OPEX'!$G$114)</f>
        <v>1705746.9815403197</v>
      </c>
      <c r="DU21">
        <f>DJ21*(BM21/10000)^0.72*0.6*((AF21+1)/3)^0.6*('CAPEX+OPEX'!$G$116/'CAPEX+OPEX'!$G$114)</f>
        <v>201389.93208161605</v>
      </c>
      <c r="DV21">
        <f t="shared" si="45"/>
        <v>4166658.2922909507</v>
      </c>
      <c r="DW21">
        <f t="shared" si="46"/>
        <v>6611973.9192307461</v>
      </c>
      <c r="DX21">
        <f t="shared" si="47"/>
        <v>440798.26128204976</v>
      </c>
      <c r="DY21">
        <f>BO21*'Reagent cost'!$C$35*60*7200</f>
        <v>1301471.7215467719</v>
      </c>
      <c r="DZ21">
        <f>BP21*'Reagent cost'!$C$34*60*7200</f>
        <v>309680.9281510234</v>
      </c>
      <c r="EA21">
        <f>BQ21*'Reagent cost'!$C$14*'Reagent cost'!$C$36/1000*60*7200</f>
        <v>5133216.1099473797</v>
      </c>
      <c r="EB21">
        <f t="shared" si="22"/>
        <v>39.6</v>
      </c>
      <c r="EC21">
        <f t="shared" si="23"/>
        <v>95.688271612230423</v>
      </c>
      <c r="ED21">
        <f>0.1*BK21*60*7200*'Reagent cost'!$H$17*'Reagent cost'!$C$17/1000</f>
        <v>504921.59999999998</v>
      </c>
      <c r="EE21">
        <f>BV21*0.1*'Reagent cost'!$C$16/1000*'Reagent cost'!$H$16*60*7200</f>
        <v>1273418.1853678131</v>
      </c>
      <c r="EF21">
        <f>BZ21/1000*'Reagent cost'!$H$19*'Reagent cost'!$C$19*60*7200</f>
        <v>106994.9842531871</v>
      </c>
      <c r="EG21">
        <f>0.33*('Costing 100 Lmin Feed Orig'!BO21*'Reagent cost'!$C$13+'Costing 100 Lmin Feed Orig'!BP21*'Reagent cost'!$C$12+'Costing 100 Lmin Feed Orig'!BQ21*'Reagent cost'!$C$14+'Costing 100 Lmin Feed Orig'!BV21*0.1*'Reagent cost'!$C$16+'Costing 100 Lmin Feed Orig'!BZ21*'Reagent cost'!$C$19)/1000*60*7200</f>
        <v>218909.02374526046</v>
      </c>
      <c r="EH21">
        <f>CG21*'Reagent cost'!$C$35*60*7200</f>
        <v>1844274.3594495768</v>
      </c>
      <c r="EI21">
        <f>CH21*'Reagent cost'!$C$34*60*7200</f>
        <v>438839.0357961026</v>
      </c>
      <c r="EJ21">
        <f>CI21*'Reagent cost'!$C$14*'Reagent cost'!$C$36/1000*60*7200</f>
        <v>7274117.9822470909</v>
      </c>
      <c r="EK21">
        <f t="shared" si="24"/>
        <v>39.6</v>
      </c>
      <c r="EL21">
        <f t="shared" si="25"/>
        <v>610.87663916145755</v>
      </c>
      <c r="EM21">
        <f>0.1*BM21*60*7200*'Reagent cost'!$H$17*'Reagent cost'!$C$17/1000</f>
        <v>466952.67616233387</v>
      </c>
      <c r="EN21">
        <f>CN21*0.1*'Reagent cost'!$C$16/1000*'Reagent cost'!$H$16*60*7200</f>
        <v>1804520.581776056</v>
      </c>
      <c r="EO21">
        <f>CR21/1000*'Reagent cost'!$H$19*'Reagent cost'!$C$19*60*7200</f>
        <v>151619.20369145158</v>
      </c>
      <c r="EP21">
        <f>0.33*(CG21*'Reagent cost'!$C$13+CH21*'Reagent cost'!$C$12+CI21*'Reagent cost'!$C$14+CN21*0.1*'Reagent cost'!$C$16+CR21*'Reagent cost'!$C$19)/1000*60*7200</f>
        <v>310209.04477716947</v>
      </c>
      <c r="EQ21">
        <f t="shared" si="48"/>
        <v>24732975.75995947</v>
      </c>
      <c r="ER21">
        <f t="shared" si="49"/>
        <v>529118.06852242991</v>
      </c>
      <c r="ES21">
        <f t="shared" si="50"/>
        <v>30272.303809866662</v>
      </c>
      <c r="ET21">
        <f t="shared" si="51"/>
        <v>20763.049486147294</v>
      </c>
      <c r="EU21">
        <f t="shared" si="52"/>
        <v>8790.8072421188135</v>
      </c>
      <c r="EV21">
        <f t="shared" si="53"/>
        <v>4656.7358484871465</v>
      </c>
      <c r="EW21">
        <f t="shared" si="54"/>
        <v>4688.4305291300352</v>
      </c>
      <c r="EX21">
        <f t="shared" si="55"/>
        <v>69171.326915749945</v>
      </c>
      <c r="EY21">
        <f t="shared" si="56"/>
        <v>51485.929848194995</v>
      </c>
      <c r="EZ21">
        <f t="shared" si="57"/>
        <v>54373.469425442076</v>
      </c>
      <c r="FA21">
        <f t="shared" si="58"/>
        <v>23021.025361578297</v>
      </c>
      <c r="FB21">
        <f t="shared" si="59"/>
        <v>12201.554582071589</v>
      </c>
      <c r="FC21">
        <f t="shared" si="60"/>
        <v>12277.880192841762</v>
      </c>
      <c r="FD21">
        <f t="shared" si="61"/>
        <v>153359.8594101287</v>
      </c>
      <c r="FE21">
        <f t="shared" si="62"/>
        <v>25484625.014807779</v>
      </c>
      <c r="FF21">
        <f t="shared" si="63"/>
        <v>25925423.276089828</v>
      </c>
      <c r="FG21">
        <f>BM21*AM21*195.08/1000*'PGM market prices'!$C$2*60*7200</f>
        <v>423540563.52239251</v>
      </c>
      <c r="FH21">
        <f>BN21*AQ21*BA21*106.42/1000*'PGM market prices'!$C$3*60*7200</f>
        <v>222960786.99985602</v>
      </c>
      <c r="FI21">
        <f>BK21*J21*102.91/1000*'PGM market prices'!$C$4*60*7200</f>
        <v>243776550.55742735</v>
      </c>
      <c r="FJ21">
        <f t="shared" si="26"/>
        <v>890277901.07967591</v>
      </c>
      <c r="FK21">
        <f t="shared" si="27"/>
        <v>639620833.57465374</v>
      </c>
      <c r="FL21">
        <f t="shared" si="64"/>
        <v>0.60012553879837571</v>
      </c>
      <c r="FM21">
        <f t="shared" si="65"/>
        <v>2064.67329331974</v>
      </c>
      <c r="FN21">
        <f t="shared" si="66"/>
        <v>3828.995389410888</v>
      </c>
      <c r="FO21">
        <f t="shared" si="67"/>
        <v>17541.876784848657</v>
      </c>
    </row>
    <row r="22" spans="1:171">
      <c r="A22">
        <v>5</v>
      </c>
      <c r="B22">
        <v>1.54143585092054E-3</v>
      </c>
      <c r="C22">
        <v>1.54143585092054E-3</v>
      </c>
      <c r="D22">
        <v>3.4254130020456501E-4</v>
      </c>
      <c r="E22">
        <v>0</v>
      </c>
      <c r="F22">
        <v>0</v>
      </c>
      <c r="G22">
        <v>0</v>
      </c>
      <c r="H22" s="53">
        <v>1.7558377832426001E-5</v>
      </c>
      <c r="I22" s="53">
        <v>1.05063644964669E-7</v>
      </c>
      <c r="J22">
        <v>3.35605387572801E-4</v>
      </c>
      <c r="K22">
        <v>0.12557893497872399</v>
      </c>
      <c r="L22">
        <v>0.12701721899235199</v>
      </c>
      <c r="M22">
        <v>5.7157122982957897E-4</v>
      </c>
      <c r="N22" s="53">
        <v>-1.88000656708986E-16</v>
      </c>
      <c r="O22" s="53">
        <v>-6.2354635343986299E-15</v>
      </c>
      <c r="P22" s="53">
        <v>-1.51703600853245E-18</v>
      </c>
      <c r="Q22">
        <v>0.121348176216534</v>
      </c>
      <c r="R22">
        <v>97.975160184298204</v>
      </c>
      <c r="S22">
        <v>500</v>
      </c>
      <c r="T22">
        <v>95</v>
      </c>
      <c r="U22">
        <v>1</v>
      </c>
      <c r="V22">
        <v>0.1</v>
      </c>
      <c r="W22">
        <v>82.407501388038199</v>
      </c>
      <c r="X22" t="s">
        <v>323</v>
      </c>
      <c r="Y22">
        <v>1</v>
      </c>
      <c r="Z22">
        <v>0.28318429382522198</v>
      </c>
      <c r="AA22">
        <v>0.56945642916197003</v>
      </c>
      <c r="AB22">
        <v>3.7698628972227502E-3</v>
      </c>
      <c r="AC22">
        <v>1822.2107908876901</v>
      </c>
      <c r="AD22">
        <v>2662.6059073104898</v>
      </c>
      <c r="AE22">
        <v>2401.5030938442701</v>
      </c>
      <c r="AF22">
        <v>4</v>
      </c>
      <c r="AG22">
        <v>1.64912412966352E-3</v>
      </c>
      <c r="AH22">
        <v>1.66801192221077E-3</v>
      </c>
      <c r="AI22" s="53">
        <v>7.5059714998626504E-6</v>
      </c>
      <c r="AJ22">
        <v>0</v>
      </c>
      <c r="AK22">
        <v>0</v>
      </c>
      <c r="AL22">
        <v>0</v>
      </c>
      <c r="AM22">
        <v>1.6039135383284699E-3</v>
      </c>
      <c r="AN22" s="53">
        <v>7.6970500542168304E-5</v>
      </c>
      <c r="AO22" s="53">
        <v>7.4460014818516096E-6</v>
      </c>
      <c r="AP22">
        <v>1.9942467256961298E-3</v>
      </c>
      <c r="AQ22">
        <v>7.0181102522975894E-2</v>
      </c>
      <c r="AR22" s="53">
        <v>2.6452874985014601E-6</v>
      </c>
      <c r="AS22" s="53">
        <v>2.23616698075135E-19</v>
      </c>
      <c r="AT22" s="53">
        <v>8.6736173798840297E-19</v>
      </c>
      <c r="AU22" s="53">
        <v>-4.6983858793011897E-22</v>
      </c>
      <c r="AV22">
        <v>0.20948744629576599</v>
      </c>
      <c r="AW22">
        <v>99.201035895058396</v>
      </c>
      <c r="AX22">
        <v>500</v>
      </c>
      <c r="AY22">
        <v>95</v>
      </c>
      <c r="AZ22">
        <v>0.92405262022284995</v>
      </c>
      <c r="BA22">
        <v>0.1</v>
      </c>
      <c r="BB22">
        <v>44.110166817262098</v>
      </c>
      <c r="BC22" t="s">
        <v>251</v>
      </c>
      <c r="BD22">
        <v>1</v>
      </c>
      <c r="BE22">
        <v>1.8775014999999999E-2</v>
      </c>
      <c r="BF22">
        <v>0.10492961100000001</v>
      </c>
      <c r="BG22">
        <v>1.814625E-3</v>
      </c>
      <c r="BH22">
        <v>285.1951444</v>
      </c>
      <c r="BI22">
        <v>2169.8944889999998</v>
      </c>
      <c r="BJ22">
        <v>866.49409060000005</v>
      </c>
      <c r="BK22">
        <f t="shared" si="0"/>
        <v>100</v>
      </c>
      <c r="BL22">
        <f t="shared" si="1"/>
        <v>12.134817621653401</v>
      </c>
      <c r="BM22">
        <f t="shared" si="2"/>
        <v>92.405262022285001</v>
      </c>
      <c r="BN22">
        <f t="shared" si="3"/>
        <v>20.948744629576598</v>
      </c>
      <c r="BO22">
        <f t="shared" si="28"/>
        <v>4.3685343437952238</v>
      </c>
      <c r="BP22">
        <f t="shared" si="4"/>
        <v>0.29123562291968164</v>
      </c>
      <c r="BQ22">
        <f t="shared" si="5"/>
        <v>1.4561781145984081</v>
      </c>
      <c r="BR22">
        <f t="shared" si="29"/>
        <v>0.72808905729920403</v>
      </c>
      <c r="BS22">
        <f t="shared" si="6"/>
        <v>1.2134817621653402</v>
      </c>
      <c r="BT22">
        <f t="shared" si="30"/>
        <v>7.2808905729920399</v>
      </c>
      <c r="BU22">
        <f t="shared" si="7"/>
        <v>19.415708194645443</v>
      </c>
      <c r="BV22">
        <f t="shared" si="31"/>
        <v>6.0674088108267004</v>
      </c>
      <c r="BW22">
        <f t="shared" si="8"/>
        <v>86.337853211458295</v>
      </c>
      <c r="BX22">
        <f t="shared" si="32"/>
        <v>104.5400796439384</v>
      </c>
      <c r="BY22">
        <f t="shared" si="33"/>
        <v>92.405262022285001</v>
      </c>
      <c r="BZ22">
        <f t="shared" si="34"/>
        <v>1.6988744670314762</v>
      </c>
      <c r="CA22">
        <f>7963.6*(BT22/1000)^0.6*1.7*('CAPEX+OPEX'!$G$116/'CAPEX+OPEX'!$G$115)</f>
        <v>832.82092834424373</v>
      </c>
      <c r="CB22">
        <f>7963.6*(BU22/1000)^0.6*1.7*('CAPEX+OPEX'!$G$116/'CAPEX+OPEX'!$G$115)</f>
        <v>1500.143724582284</v>
      </c>
      <c r="CC22">
        <f>7963.6*(BX22/1000)^0.6*1.7*('CAPEX+OPEX'!$G$116/'CAPEX+OPEX'!$G$115)</f>
        <v>4119.1786120236593</v>
      </c>
      <c r="CD22">
        <f>7963.6*(BY22/1000)^0.6*1.7*('CAPEX+OPEX'!$G$116/'CAPEX+OPEX'!$G$115)</f>
        <v>3825.2422996341465</v>
      </c>
      <c r="CE22">
        <v>300</v>
      </c>
      <c r="CF22">
        <v>30</v>
      </c>
      <c r="CG22">
        <f t="shared" si="9"/>
        <v>7.5415480666475752</v>
      </c>
      <c r="CH22">
        <f t="shared" si="10"/>
        <v>0.5027698711098384</v>
      </c>
      <c r="CI22">
        <f t="shared" si="11"/>
        <v>2.5138493555491919</v>
      </c>
      <c r="CJ22">
        <f t="shared" si="12"/>
        <v>1.2569246777745959</v>
      </c>
      <c r="CK22">
        <f t="shared" si="13"/>
        <v>2.0948744629576601</v>
      </c>
      <c r="CL22">
        <f t="shared" si="14"/>
        <v>12.569246777745958</v>
      </c>
      <c r="CM22">
        <f t="shared" si="35"/>
        <v>33.517991407322562</v>
      </c>
      <c r="CN22">
        <f t="shared" si="36"/>
        <v>10.474372314788299</v>
      </c>
      <c r="CO22">
        <v>0</v>
      </c>
      <c r="CP22">
        <f t="shared" si="37"/>
        <v>31.423116944364899</v>
      </c>
      <c r="CQ22">
        <f t="shared" si="38"/>
        <v>10.474372314788299</v>
      </c>
      <c r="CR22">
        <f t="shared" si="39"/>
        <v>2.9328242481407241</v>
      </c>
      <c r="CS22">
        <f>7963.6*(CL22/1000)^0.6*1.7*('CAPEX+OPEX'!$G$116/'CAPEX+OPEX'!$G$115)</f>
        <v>1155.6504152299299</v>
      </c>
      <c r="CT22">
        <f>7963.6*(CM22/1000)^0.6*1.7*('CAPEX+OPEX'!$G$116/'CAPEX+OPEX'!$G$115)</f>
        <v>2081.6500393005203</v>
      </c>
      <c r="CU22">
        <f>7963.6*(CP22/1000)^0.6*1.7*('CAPEX+OPEX'!$G$116/'CAPEX+OPEX'!$G$115)</f>
        <v>2002.5828145168243</v>
      </c>
      <c r="CV22">
        <f>7963.6*(CQ22/1000)^0.6*1.7*('CAPEX+OPEX'!$G$116/'CAPEX+OPEX'!$G$115)</f>
        <v>1035.8997590356325</v>
      </c>
      <c r="CW22">
        <v>300</v>
      </c>
      <c r="CX22">
        <f t="shared" si="15"/>
        <v>30</v>
      </c>
      <c r="CY22">
        <f t="shared" si="16"/>
        <v>10</v>
      </c>
      <c r="CZ22">
        <f t="shared" si="17"/>
        <v>9.2405262022284997</v>
      </c>
      <c r="DA22">
        <f t="shared" si="40"/>
        <v>3960</v>
      </c>
      <c r="DB22">
        <f t="shared" si="18"/>
        <v>3960</v>
      </c>
      <c r="DC22">
        <f>CF22*'Reagent cost'!$C$18/1000*'Reagent cost'!$H$18</f>
        <v>4784.413580611521</v>
      </c>
      <c r="DD22">
        <f>CX22*'Ligand cost'!$B$56*'Ligand cost'!$J$56</f>
        <v>30543.831958072875</v>
      </c>
      <c r="DE22">
        <f t="shared" si="41"/>
        <v>39625.826528698344</v>
      </c>
      <c r="DF22">
        <f t="shared" si="19"/>
        <v>4586243.4239371875</v>
      </c>
      <c r="DG22">
        <f t="shared" si="42"/>
        <v>11794834.586807497</v>
      </c>
      <c r="DH22">
        <f t="shared" si="20"/>
        <v>2275209.1661185985</v>
      </c>
      <c r="DI22">
        <f t="shared" si="21"/>
        <v>14083914.336508472</v>
      </c>
      <c r="DJ22">
        <f t="shared" si="43"/>
        <v>1662824.8986326549</v>
      </c>
      <c r="DK22" s="55">
        <f>DF22*($BK$2/10000)^0.72*0.6*((A22+1)/3)^0.6*('CAPEX+OPEX'!$G$116/'CAPEX+OPEX'!$G$114)</f>
        <v>353432.95821938996</v>
      </c>
      <c r="DL22" s="55">
        <f>DG22*($BK$2/10000)^0.72*0.6*((A22+1)/3)^0.6*('CAPEX+OPEX'!$G$116/'CAPEX+OPEX'!$G$114)</f>
        <v>908953.77641011216</v>
      </c>
      <c r="DM22" s="55">
        <f>DH22*($BK$2/10000)^0.72*0.6*((A22+1)/3)^0.6*('CAPEX+OPEX'!$G$116/'CAPEX+OPEX'!$G$114)</f>
        <v>175336.07177327637</v>
      </c>
      <c r="DN22" s="55">
        <f>DI22*($BK$2/10000)^0.72*0.6*((A22+1)/3)^0.6*('CAPEX+OPEX'!$G$116/'CAPEX+OPEX'!$G$114)</f>
        <v>1085358.7668897447</v>
      </c>
      <c r="DO22" s="55">
        <f>DJ22*($BK$2/10000)^0.72*0.6*((A22+1)/3)^0.6*('CAPEX+OPEX'!$G$116/'CAPEX+OPEX'!$G$114)</f>
        <v>128143.46483599243</v>
      </c>
      <c r="DP22">
        <f t="shared" si="44"/>
        <v>2651225.0381285157</v>
      </c>
      <c r="DQ22">
        <f>DF22*(BM22/10000)^0.72*0.6*((AF22+1)/3)^0.6*('CAPEX+OPEX'!$G$116/'CAPEX+OPEX'!$G$114)</f>
        <v>299295.31877619086</v>
      </c>
      <c r="DR22">
        <f>DG22*(BM22/10000)^0.72*0.6*((AF22+1)/3)^0.6*('CAPEX+OPEX'!$G$116/'CAPEX+OPEX'!$G$114)</f>
        <v>769723.37733884295</v>
      </c>
      <c r="DS22">
        <f>DH22*(BM22/10000)^0.72*0.6*((AF22+1)/3)^0.6*('CAPEX+OPEX'!$G$116/'CAPEX+OPEX'!$G$114)</f>
        <v>148478.6980782169</v>
      </c>
      <c r="DT22">
        <f>DI22*(BM22/10000)^0.72*0.6*((AF22+1)/3)^0.6*('CAPEX+OPEX'!$G$116/'CAPEX+OPEX'!$G$114)</f>
        <v>919107.26084904803</v>
      </c>
      <c r="DU22">
        <f>DJ22*(BM22/10000)^0.72*0.6*((AF22+1)/3)^0.6*('CAPEX+OPEX'!$G$116/'CAPEX+OPEX'!$G$114)</f>
        <v>108514.89162300162</v>
      </c>
      <c r="DV22">
        <f t="shared" si="45"/>
        <v>2245119.5466653001</v>
      </c>
      <c r="DW22">
        <f t="shared" si="46"/>
        <v>4965116.2110448694</v>
      </c>
      <c r="DX22">
        <f t="shared" si="47"/>
        <v>331007.74740299128</v>
      </c>
      <c r="DY22">
        <f>BO22*'Reagent cost'!$C$35*60*7200</f>
        <v>1131525.4359785069</v>
      </c>
      <c r="DZ22">
        <f>BP22*'Reagent cost'!$C$34*60*7200</f>
        <v>269242.76681467838</v>
      </c>
      <c r="EA22">
        <f>BQ22*'Reagent cost'!$C$14*'Reagent cost'!$C$36/1000*60*7200</f>
        <v>4462920.323675557</v>
      </c>
      <c r="EB22">
        <f t="shared" si="22"/>
        <v>39.6</v>
      </c>
      <c r="EC22">
        <f t="shared" si="23"/>
        <v>95.688271612230423</v>
      </c>
      <c r="ED22">
        <f>0.1*BK22*60*7200*'Reagent cost'!$H$17*'Reagent cost'!$C$17/1000</f>
        <v>504921.59999999998</v>
      </c>
      <c r="EE22">
        <f>BV22*0.1*'Reagent cost'!$C$16/1000*'Reagent cost'!$H$16*60*7200</f>
        <v>1107135.1328853988</v>
      </c>
      <c r="EF22">
        <f>BZ22/1000*'Reagent cost'!$H$19*'Reagent cost'!$C$19*60*7200</f>
        <v>93023.570316775513</v>
      </c>
      <c r="EG22">
        <f>0.33*('Costing 100 Lmin Feed Orig'!BO22*'Reagent cost'!$C$13+'Costing 100 Lmin Feed Orig'!BP22*'Reagent cost'!$C$12+'Costing 100 Lmin Feed Orig'!BQ22*'Reagent cost'!$C$14+'Costing 100 Lmin Feed Orig'!BV22*0.1*'Reagent cost'!$C$16+'Costing 100 Lmin Feed Orig'!BZ22*'Reagent cost'!$C$19)/1000*60*7200</f>
        <v>190323.86523050809</v>
      </c>
      <c r="EH22">
        <f>CG22*'Reagent cost'!$C$35*60*7200</f>
        <v>1953390.4949577919</v>
      </c>
      <c r="EI22">
        <f>CH22*'Reagent cost'!$C$34*60*7200</f>
        <v>464802.86240946664</v>
      </c>
      <c r="EJ22">
        <f>CI22*'Reagent cost'!$C$14*'Reagent cost'!$C$36/1000*60*7200</f>
        <v>7704489.7647244567</v>
      </c>
      <c r="EK22">
        <f t="shared" si="24"/>
        <v>39.6</v>
      </c>
      <c r="EL22">
        <f t="shared" si="25"/>
        <v>610.87663916145755</v>
      </c>
      <c r="EM22">
        <f>0.1*BM22*60*7200*'Reagent cost'!$H$17*'Reagent cost'!$C$17/1000</f>
        <v>466574.12748711376</v>
      </c>
      <c r="EN22">
        <f>CN22*0.1*'Reagent cost'!$C$16/1000*'Reagent cost'!$H$16*60*7200</f>
        <v>1911284.6927227618</v>
      </c>
      <c r="EO22">
        <f>CR22/1000*'Reagent cost'!$H$19*'Reagent cost'!$C$19*60*7200</f>
        <v>160589.72453119347</v>
      </c>
      <c r="EP22">
        <f>0.33*(CG22*'Reagent cost'!$C$13+CH22*'Reagent cost'!$C$12+CI22*'Reagent cost'!$C$14+CN22*0.1*'Reagent cost'!$C$16+CR22*'Reagent cost'!$C$19)/1000*60*7200</f>
        <v>328562.50286888296</v>
      </c>
      <c r="EQ22">
        <f t="shared" si="48"/>
        <v>24276823.513697367</v>
      </c>
      <c r="ER22">
        <f t="shared" si="49"/>
        <v>518886.36809939105</v>
      </c>
      <c r="ES22">
        <f t="shared" si="50"/>
        <v>33024.331428945443</v>
      </c>
      <c r="ET22">
        <f t="shared" si="51"/>
        <v>24915.659383376755</v>
      </c>
      <c r="EU22">
        <f t="shared" si="52"/>
        <v>10548.968690542577</v>
      </c>
      <c r="EV22">
        <f t="shared" si="53"/>
        <v>5588.0830181845758</v>
      </c>
      <c r="EW22">
        <f t="shared" si="54"/>
        <v>5626.1166349560426</v>
      </c>
      <c r="EX22">
        <f t="shared" si="55"/>
        <v>79703.159156005393</v>
      </c>
      <c r="EY22">
        <f t="shared" si="56"/>
        <v>28297.65565608922</v>
      </c>
      <c r="EZ22">
        <f t="shared" si="57"/>
        <v>19405.619727063386</v>
      </c>
      <c r="FA22">
        <f t="shared" si="58"/>
        <v>8216.0889973453832</v>
      </c>
      <c r="FB22">
        <f t="shared" si="59"/>
        <v>4354.6986243488573</v>
      </c>
      <c r="FC22">
        <f t="shared" si="60"/>
        <v>4381.9141319175396</v>
      </c>
      <c r="FD22">
        <f t="shared" si="61"/>
        <v>64655.977136764384</v>
      </c>
      <c r="FE22">
        <f t="shared" si="62"/>
        <v>24940069.018089529</v>
      </c>
      <c r="FF22">
        <f t="shared" si="63"/>
        <v>25271076.765492521</v>
      </c>
      <c r="FG22">
        <f>BM22*AM22*195.08/1000*'PGM market prices'!$C$2*60*7200</f>
        <v>421303089.95293456</v>
      </c>
      <c r="FH22">
        <f>BN22*AQ22*BA22*106.42/1000*'PGM market prices'!$C$3*60*7200</f>
        <v>222573096.03570521</v>
      </c>
      <c r="FI22">
        <f>BK22*J22*102.91/1000*'PGM market prices'!$C$4*60*7200</f>
        <v>246100432.55373973</v>
      </c>
      <c r="FJ22">
        <f t="shared" si="26"/>
        <v>889976618.54237962</v>
      </c>
      <c r="FK22">
        <f t="shared" si="27"/>
        <v>639882100.91489637</v>
      </c>
      <c r="FL22">
        <f t="shared" si="64"/>
        <v>0.58497862883084539</v>
      </c>
      <c r="FM22">
        <f t="shared" si="65"/>
        <v>2023.250224335015</v>
      </c>
      <c r="FN22">
        <f t="shared" si="66"/>
        <v>3738.8544291711032</v>
      </c>
      <c r="FO22">
        <f t="shared" si="67"/>
        <v>16937.663399006025</v>
      </c>
    </row>
    <row r="23" spans="1:171">
      <c r="A23">
        <v>5</v>
      </c>
      <c r="B23">
        <v>1.54143585092054E-3</v>
      </c>
      <c r="C23">
        <v>1.54143585092054E-3</v>
      </c>
      <c r="D23">
        <v>3.4254130020456501E-4</v>
      </c>
      <c r="E23">
        <v>0</v>
      </c>
      <c r="F23">
        <v>0</v>
      </c>
      <c r="G23">
        <v>0</v>
      </c>
      <c r="H23" s="53">
        <v>1.7558377832426001E-5</v>
      </c>
      <c r="I23" s="53">
        <v>1.05063644964669E-7</v>
      </c>
      <c r="J23">
        <v>3.35605387572801E-4</v>
      </c>
      <c r="K23">
        <v>0.12557893497872399</v>
      </c>
      <c r="L23">
        <v>0.12701721899235199</v>
      </c>
      <c r="M23">
        <v>5.7157122982957897E-4</v>
      </c>
      <c r="N23" s="53">
        <v>-1.88000656708986E-16</v>
      </c>
      <c r="O23" s="53">
        <v>-6.2354635343986299E-15</v>
      </c>
      <c r="P23" s="53">
        <v>-1.51703600853245E-18</v>
      </c>
      <c r="Q23">
        <v>0.121348176216534</v>
      </c>
      <c r="R23">
        <v>97.975160184298204</v>
      </c>
      <c r="S23">
        <v>500</v>
      </c>
      <c r="T23">
        <v>95</v>
      </c>
      <c r="U23">
        <v>1</v>
      </c>
      <c r="V23">
        <v>0.1</v>
      </c>
      <c r="W23">
        <v>82.407501388038199</v>
      </c>
      <c r="X23" t="s">
        <v>323</v>
      </c>
      <c r="Y23">
        <v>1</v>
      </c>
      <c r="Z23">
        <v>0.28318429382522198</v>
      </c>
      <c r="AA23">
        <v>0.56945642916197003</v>
      </c>
      <c r="AB23">
        <v>3.7698628972227502E-3</v>
      </c>
      <c r="AC23">
        <v>1822.2107908876901</v>
      </c>
      <c r="AD23">
        <v>2662.6059073104898</v>
      </c>
      <c r="AE23">
        <v>2401.5030938442701</v>
      </c>
      <c r="AF23">
        <v>5</v>
      </c>
      <c r="AG23">
        <v>1.64912412966352E-3</v>
      </c>
      <c r="AH23">
        <v>1.66801192221077E-3</v>
      </c>
      <c r="AI23" s="53">
        <v>7.5059714998626504E-6</v>
      </c>
      <c r="AJ23">
        <v>0</v>
      </c>
      <c r="AK23">
        <v>0</v>
      </c>
      <c r="AL23">
        <v>0</v>
      </c>
      <c r="AM23">
        <v>1.6096879788713E-3</v>
      </c>
      <c r="AN23" s="53">
        <v>7.7267020721356303E-5</v>
      </c>
      <c r="AO23" s="53">
        <v>7.45339932047821E-6</v>
      </c>
      <c r="AP23">
        <v>1.8140228936544E-3</v>
      </c>
      <c r="AQ23">
        <v>7.3172650253414503E-2</v>
      </c>
      <c r="AR23" s="53">
        <v>2.4182668707984701E-6</v>
      </c>
      <c r="AS23" s="53">
        <v>-8.2860151032204602E-17</v>
      </c>
      <c r="AT23" s="53">
        <v>-2.00577401909818E-16</v>
      </c>
      <c r="AU23" s="53">
        <v>-8.2771000814506101E-20</v>
      </c>
      <c r="AV23">
        <v>0.200885438649126</v>
      </c>
      <c r="AW23">
        <v>99.299595270440307</v>
      </c>
      <c r="AX23">
        <v>500</v>
      </c>
      <c r="AY23">
        <v>95</v>
      </c>
      <c r="AZ23">
        <v>0.92405262022284995</v>
      </c>
      <c r="BA23">
        <v>0.1</v>
      </c>
      <c r="BB23">
        <v>45.998984617139399</v>
      </c>
      <c r="BC23" t="s">
        <v>251</v>
      </c>
      <c r="BD23">
        <v>1</v>
      </c>
      <c r="BE23">
        <v>1.8775014999999999E-2</v>
      </c>
      <c r="BF23">
        <v>0.10492961100000001</v>
      </c>
      <c r="BG23">
        <v>1.814625E-3</v>
      </c>
      <c r="BH23">
        <v>285.1951444</v>
      </c>
      <c r="BI23">
        <v>2169.8944889999998</v>
      </c>
      <c r="BJ23">
        <v>866.49409060000005</v>
      </c>
      <c r="BK23">
        <f t="shared" si="0"/>
        <v>100</v>
      </c>
      <c r="BL23">
        <f t="shared" si="1"/>
        <v>12.134817621653401</v>
      </c>
      <c r="BM23">
        <f t="shared" si="2"/>
        <v>92.405262022285001</v>
      </c>
      <c r="BN23">
        <f t="shared" si="3"/>
        <v>20.088543864912602</v>
      </c>
      <c r="BO23">
        <f t="shared" si="28"/>
        <v>4.3685343437952238</v>
      </c>
      <c r="BP23">
        <f t="shared" si="4"/>
        <v>0.29123562291968164</v>
      </c>
      <c r="BQ23">
        <f t="shared" si="5"/>
        <v>1.4561781145984081</v>
      </c>
      <c r="BR23">
        <f t="shared" si="29"/>
        <v>0.72808905729920403</v>
      </c>
      <c r="BS23">
        <f t="shared" si="6"/>
        <v>1.2134817621653402</v>
      </c>
      <c r="BT23">
        <f t="shared" si="30"/>
        <v>7.2808905729920399</v>
      </c>
      <c r="BU23">
        <f t="shared" si="7"/>
        <v>19.415708194645443</v>
      </c>
      <c r="BV23">
        <f t="shared" si="31"/>
        <v>6.0674088108267004</v>
      </c>
      <c r="BW23">
        <f t="shared" si="8"/>
        <v>86.337853211458295</v>
      </c>
      <c r="BX23">
        <f t="shared" si="32"/>
        <v>104.5400796439384</v>
      </c>
      <c r="BY23">
        <f t="shared" si="33"/>
        <v>92.405262022285001</v>
      </c>
      <c r="BZ23">
        <f t="shared" si="34"/>
        <v>1.6988744670314762</v>
      </c>
      <c r="CA23">
        <f>7963.6*(BT23/1000)^0.6*1.7*('CAPEX+OPEX'!$G$116/'CAPEX+OPEX'!$G$115)</f>
        <v>832.82092834424373</v>
      </c>
      <c r="CB23">
        <f>7963.6*(BU23/1000)^0.6*1.7*('CAPEX+OPEX'!$G$116/'CAPEX+OPEX'!$G$115)</f>
        <v>1500.143724582284</v>
      </c>
      <c r="CC23">
        <f>7963.6*(BX23/1000)^0.6*1.7*('CAPEX+OPEX'!$G$116/'CAPEX+OPEX'!$G$115)</f>
        <v>4119.1786120236593</v>
      </c>
      <c r="CD23">
        <f>7963.6*(BY23/1000)^0.6*1.7*('CAPEX+OPEX'!$G$116/'CAPEX+OPEX'!$G$115)</f>
        <v>3825.2422996341465</v>
      </c>
      <c r="CE23">
        <v>300</v>
      </c>
      <c r="CF23">
        <v>30</v>
      </c>
      <c r="CG23">
        <f t="shared" si="9"/>
        <v>7.2318757913685365</v>
      </c>
      <c r="CH23">
        <f t="shared" si="10"/>
        <v>0.48212505275790246</v>
      </c>
      <c r="CI23">
        <f t="shared" si="11"/>
        <v>2.410625263789512</v>
      </c>
      <c r="CJ23">
        <f t="shared" si="12"/>
        <v>1.205312631894756</v>
      </c>
      <c r="CK23">
        <f t="shared" si="13"/>
        <v>2.0088543864912602</v>
      </c>
      <c r="CL23">
        <f t="shared" si="14"/>
        <v>12.053126318947561</v>
      </c>
      <c r="CM23">
        <f t="shared" si="35"/>
        <v>32.141670183860164</v>
      </c>
      <c r="CN23">
        <f t="shared" si="36"/>
        <v>10.044271932456301</v>
      </c>
      <c r="CO23">
        <v>0</v>
      </c>
      <c r="CP23">
        <f t="shared" si="37"/>
        <v>30.132815797368902</v>
      </c>
      <c r="CQ23">
        <f t="shared" si="38"/>
        <v>10.044271932456301</v>
      </c>
      <c r="CR23">
        <f t="shared" si="39"/>
        <v>2.8123961410877643</v>
      </c>
      <c r="CS23">
        <f>7963.6*(CL23/1000)^0.6*1.7*('CAPEX+OPEX'!$G$116/'CAPEX+OPEX'!$G$115)</f>
        <v>1126.9398924245354</v>
      </c>
      <c r="CT23">
        <f>7963.6*(CM23/1000)^0.6*1.7*('CAPEX+OPEX'!$G$116/'CAPEX+OPEX'!$G$115)</f>
        <v>2029.9343473070217</v>
      </c>
      <c r="CU23">
        <f>7963.6*(CP23/1000)^0.6*1.7*('CAPEX+OPEX'!$G$116/'CAPEX+OPEX'!$G$115)</f>
        <v>1952.8314374497049</v>
      </c>
      <c r="CV23">
        <f>7963.6*(CQ23/1000)^0.6*1.7*('CAPEX+OPEX'!$G$116/'CAPEX+OPEX'!$G$115)</f>
        <v>1010.1642742696982</v>
      </c>
      <c r="CW23">
        <v>300</v>
      </c>
      <c r="CX23">
        <f t="shared" si="15"/>
        <v>30</v>
      </c>
      <c r="CY23">
        <f t="shared" si="16"/>
        <v>10</v>
      </c>
      <c r="CZ23">
        <f t="shared" si="17"/>
        <v>9.2405262022284997</v>
      </c>
      <c r="DA23">
        <f t="shared" si="40"/>
        <v>3960</v>
      </c>
      <c r="DB23">
        <f t="shared" si="18"/>
        <v>3960</v>
      </c>
      <c r="DC23">
        <f>CF23*'Reagent cost'!$C$18/1000*'Reagent cost'!$H$18</f>
        <v>4784.413580611521</v>
      </c>
      <c r="DD23">
        <f>CX23*'Ligand cost'!$B$56*'Ligand cost'!$J$56</f>
        <v>30543.831958072875</v>
      </c>
      <c r="DE23">
        <f t="shared" si="41"/>
        <v>39625.826528698344</v>
      </c>
      <c r="DF23">
        <f t="shared" si="19"/>
        <v>4586243.4239371875</v>
      </c>
      <c r="DG23">
        <f t="shared" si="42"/>
        <v>11794834.586807497</v>
      </c>
      <c r="DH23">
        <f t="shared" si="20"/>
        <v>2275209.1661185985</v>
      </c>
      <c r="DI23">
        <f t="shared" si="21"/>
        <v>14083914.336508472</v>
      </c>
      <c r="DJ23">
        <f t="shared" si="43"/>
        <v>1662824.8986326549</v>
      </c>
      <c r="DK23" s="55">
        <f>DF23*($BK$2/10000)^0.72*0.6*((A23+1)/3)^0.6*('CAPEX+OPEX'!$G$116/'CAPEX+OPEX'!$G$114)</f>
        <v>353432.95821938996</v>
      </c>
      <c r="DL23" s="55">
        <f>DG23*($BK$2/10000)^0.72*0.6*((A23+1)/3)^0.6*('CAPEX+OPEX'!$G$116/'CAPEX+OPEX'!$G$114)</f>
        <v>908953.77641011216</v>
      </c>
      <c r="DM23" s="55">
        <f>DH23*($BK$2/10000)^0.72*0.6*((A23+1)/3)^0.6*('CAPEX+OPEX'!$G$116/'CAPEX+OPEX'!$G$114)</f>
        <v>175336.07177327637</v>
      </c>
      <c r="DN23" s="55">
        <f>DI23*($BK$2/10000)^0.72*0.6*((A23+1)/3)^0.6*('CAPEX+OPEX'!$G$116/'CAPEX+OPEX'!$G$114)</f>
        <v>1085358.7668897447</v>
      </c>
      <c r="DO23" s="55">
        <f>DJ23*($BK$2/10000)^0.72*0.6*((A23+1)/3)^0.6*('CAPEX+OPEX'!$G$116/'CAPEX+OPEX'!$G$114)</f>
        <v>128143.46483599243</v>
      </c>
      <c r="DP23">
        <f t="shared" si="44"/>
        <v>2651225.0381285157</v>
      </c>
      <c r="DQ23">
        <f>DF23*(BM23/10000)^0.72*0.6*((AF23+1)/3)^0.6*('CAPEX+OPEX'!$G$116/'CAPEX+OPEX'!$G$114)</f>
        <v>333894.04370754538</v>
      </c>
      <c r="DR23">
        <f>DG23*(BM23/10000)^0.72*0.6*((AF23+1)/3)^0.6*('CAPEX+OPEX'!$G$116/'CAPEX+OPEX'!$G$114)</f>
        <v>858703.8783191957</v>
      </c>
      <c r="DS23">
        <f>DH23*(BM23/10000)^0.72*0.6*((AF23+1)/3)^0.6*('CAPEX+OPEX'!$G$116/'CAPEX+OPEX'!$G$114)</f>
        <v>165642.92788969408</v>
      </c>
      <c r="DT23">
        <f>DI23*(BM23/10000)^0.72*0.6*((AF23+1)/3)^0.6*('CAPEX+OPEX'!$G$116/'CAPEX+OPEX'!$G$114)</f>
        <v>1025356.6316395965</v>
      </c>
      <c r="DU23">
        <f>DJ23*(BM23/10000)^0.72*0.6*((AF23+1)/3)^0.6*('CAPEX+OPEX'!$G$116/'CAPEX+OPEX'!$G$114)</f>
        <v>121059.28056156542</v>
      </c>
      <c r="DV23">
        <f t="shared" si="45"/>
        <v>2504656.7621175973</v>
      </c>
      <c r="DW23">
        <f t="shared" si="46"/>
        <v>5224474.1264590407</v>
      </c>
      <c r="DX23">
        <f t="shared" si="47"/>
        <v>348298.27509726939</v>
      </c>
      <c r="DY23">
        <f>BO23*'Reagent cost'!$C$35*60*7200</f>
        <v>1131525.4359785069</v>
      </c>
      <c r="DZ23">
        <f>BP23*'Reagent cost'!$C$34*60*7200</f>
        <v>269242.76681467838</v>
      </c>
      <c r="EA23">
        <f>BQ23*'Reagent cost'!$C$14*'Reagent cost'!$C$36/1000*60*7200</f>
        <v>4462920.323675557</v>
      </c>
      <c r="EB23">
        <f t="shared" si="22"/>
        <v>39.6</v>
      </c>
      <c r="EC23">
        <f t="shared" si="23"/>
        <v>95.688271612230423</v>
      </c>
      <c r="ED23">
        <f>0.1*BK23*60*7200*'Reagent cost'!$H$17*'Reagent cost'!$C$17/1000</f>
        <v>504921.59999999998</v>
      </c>
      <c r="EE23">
        <f>BV23*0.1*'Reagent cost'!$C$16/1000*'Reagent cost'!$H$16*60*7200</f>
        <v>1107135.1328853988</v>
      </c>
      <c r="EF23">
        <f>BZ23/1000*'Reagent cost'!$H$19*'Reagent cost'!$C$19*60*7200</f>
        <v>93023.570316775513</v>
      </c>
      <c r="EG23">
        <f>0.33*('Costing 100 Lmin Feed Orig'!BO23*'Reagent cost'!$C$13+'Costing 100 Lmin Feed Orig'!BP23*'Reagent cost'!$C$12+'Costing 100 Lmin Feed Orig'!BQ23*'Reagent cost'!$C$14+'Costing 100 Lmin Feed Orig'!BV23*0.1*'Reagent cost'!$C$16+'Costing 100 Lmin Feed Orig'!BZ23*'Reagent cost'!$C$19)/1000*60*7200</f>
        <v>190323.86523050809</v>
      </c>
      <c r="EH23">
        <f>CG23*'Reagent cost'!$C$35*60*7200</f>
        <v>1873180.0562340447</v>
      </c>
      <c r="EI23">
        <f>CH23*'Reagent cost'!$C$34*60*7200</f>
        <v>445717.05155385361</v>
      </c>
      <c r="EJ23">
        <f>CI23*'Reagent cost'!$C$14*'Reagent cost'!$C$36/1000*60*7200</f>
        <v>7388126.7508947402</v>
      </c>
      <c r="EK23">
        <f t="shared" si="24"/>
        <v>39.6</v>
      </c>
      <c r="EL23">
        <f t="shared" si="25"/>
        <v>610.87663916145755</v>
      </c>
      <c r="EM23">
        <f>0.1*BM23*60*7200*'Reagent cost'!$H$17*'Reagent cost'!$C$17/1000</f>
        <v>466574.12748711376</v>
      </c>
      <c r="EN23">
        <f>CN23*0.1*'Reagent cost'!$C$16/1000*'Reagent cost'!$H$16*60*7200</f>
        <v>1832803.2093096939</v>
      </c>
      <c r="EO23">
        <f>CR23/1000*'Reagent cost'!$H$19*'Reagent cost'!$C$19*60*7200</f>
        <v>153995.56310140164</v>
      </c>
      <c r="EP23">
        <f>0.33*(CG23*'Reagent cost'!$C$13+CH23*'Reagent cost'!$C$12+CI23*'Reagent cost'!$C$14+CN23*0.1*'Reagent cost'!$C$16+CR23*'Reagent cost'!$C$19)/1000*60*7200</f>
        <v>315071.01585115027</v>
      </c>
      <c r="EQ23">
        <f t="shared" si="48"/>
        <v>23675941.62379504</v>
      </c>
      <c r="ER23">
        <f t="shared" si="49"/>
        <v>505394.88108165836</v>
      </c>
      <c r="ES23">
        <f t="shared" si="50"/>
        <v>33024.331428945443</v>
      </c>
      <c r="ET23">
        <f t="shared" si="51"/>
        <v>24915.659383376755</v>
      </c>
      <c r="EU23">
        <f t="shared" si="52"/>
        <v>10548.968690542577</v>
      </c>
      <c r="EV23">
        <f t="shared" si="53"/>
        <v>5588.0830181845758</v>
      </c>
      <c r="EW23">
        <f t="shared" si="54"/>
        <v>5626.1166349560426</v>
      </c>
      <c r="EX23">
        <f t="shared" si="55"/>
        <v>79703.159156005393</v>
      </c>
      <c r="EY23">
        <f t="shared" si="56"/>
        <v>30870.169806642782</v>
      </c>
      <c r="EZ23">
        <f t="shared" si="57"/>
        <v>23286.743672476066</v>
      </c>
      <c r="FA23">
        <f t="shared" si="58"/>
        <v>9859.3067968144605</v>
      </c>
      <c r="FB23">
        <f t="shared" si="59"/>
        <v>5225.6383492186287</v>
      </c>
      <c r="FC23">
        <f t="shared" si="60"/>
        <v>5258.2969583010481</v>
      </c>
      <c r="FD23">
        <f t="shared" si="61"/>
        <v>74500.155583452986</v>
      </c>
      <c r="FE23">
        <f t="shared" si="62"/>
        <v>24335539.819616158</v>
      </c>
      <c r="FF23">
        <f t="shared" si="63"/>
        <v>24683838.094713427</v>
      </c>
      <c r="FG23">
        <f>BM23*AM23*195.08/1000*'PGM market prices'!$C$2*60*7200</f>
        <v>422819873.48602891</v>
      </c>
      <c r="FH23">
        <f>BN23*AQ23*BA23*106.42/1000*'PGM market prices'!$C$3*60*7200</f>
        <v>222531615.39706647</v>
      </c>
      <c r="FI23">
        <f>BK23*J23*102.91/1000*'PGM market prices'!$C$4*60*7200</f>
        <v>246100432.55373973</v>
      </c>
      <c r="FJ23">
        <f t="shared" si="26"/>
        <v>891451921.43683505</v>
      </c>
      <c r="FK23">
        <f t="shared" si="27"/>
        <v>641408381.67316997</v>
      </c>
      <c r="FL23">
        <f t="shared" si="64"/>
        <v>0.57138514108132932</v>
      </c>
      <c r="FM23">
        <f t="shared" si="65"/>
        <v>1969.1454297041523</v>
      </c>
      <c r="FN23">
        <f t="shared" si="66"/>
        <v>3652.6532397661758</v>
      </c>
      <c r="FO23">
        <f t="shared" si="67"/>
        <v>16544.073088912162</v>
      </c>
    </row>
    <row r="24" spans="1:171">
      <c r="A24">
        <v>5</v>
      </c>
      <c r="B24">
        <v>1.54143585092054E-3</v>
      </c>
      <c r="C24">
        <v>1.54143585092054E-3</v>
      </c>
      <c r="D24">
        <v>3.4254130020456501E-4</v>
      </c>
      <c r="E24">
        <v>0</v>
      </c>
      <c r="F24">
        <v>0</v>
      </c>
      <c r="G24">
        <v>0</v>
      </c>
      <c r="H24" s="53">
        <v>1.7558377832426001E-5</v>
      </c>
      <c r="I24" s="53">
        <v>1.05063644964669E-7</v>
      </c>
      <c r="J24">
        <v>3.35605387572801E-4</v>
      </c>
      <c r="K24">
        <v>0.12557893497872399</v>
      </c>
      <c r="L24">
        <v>0.12701721899235199</v>
      </c>
      <c r="M24">
        <v>5.7157122982957897E-4</v>
      </c>
      <c r="N24" s="53">
        <v>-1.88000656708986E-16</v>
      </c>
      <c r="O24" s="53">
        <v>-6.2354635343986299E-15</v>
      </c>
      <c r="P24" s="53">
        <v>-1.51703600853245E-18</v>
      </c>
      <c r="Q24">
        <v>0.121348176216534</v>
      </c>
      <c r="R24">
        <v>97.975160184298204</v>
      </c>
      <c r="S24">
        <v>500</v>
      </c>
      <c r="T24">
        <v>95</v>
      </c>
      <c r="U24">
        <v>1</v>
      </c>
      <c r="V24">
        <v>0.1</v>
      </c>
      <c r="W24">
        <v>82.407501388038199</v>
      </c>
      <c r="X24" t="s">
        <v>323</v>
      </c>
      <c r="Y24">
        <v>1</v>
      </c>
      <c r="Z24">
        <v>0.28318429382522198</v>
      </c>
      <c r="AA24">
        <v>0.56945642916197003</v>
      </c>
      <c r="AB24">
        <v>3.7698628972227502E-3</v>
      </c>
      <c r="AC24">
        <v>1822.2107908876901</v>
      </c>
      <c r="AD24">
        <v>2662.6059073104898</v>
      </c>
      <c r="AE24">
        <v>2401.5030938442701</v>
      </c>
      <c r="AF24">
        <v>6</v>
      </c>
      <c r="AG24">
        <v>1.64912412966352E-3</v>
      </c>
      <c r="AH24">
        <v>1.66801192221077E-3</v>
      </c>
      <c r="AI24" s="53">
        <v>7.5059714998626504E-6</v>
      </c>
      <c r="AJ24">
        <v>0</v>
      </c>
      <c r="AK24">
        <v>0</v>
      </c>
      <c r="AL24">
        <v>0</v>
      </c>
      <c r="AM24">
        <v>1.6114297833378999E-3</v>
      </c>
      <c r="AN24" s="53">
        <v>7.7356463127358006E-5</v>
      </c>
      <c r="AO24" s="53">
        <v>7.4556307325320903E-6</v>
      </c>
      <c r="AP24">
        <v>1.7565900233430501E-3</v>
      </c>
      <c r="AQ24">
        <v>7.4125957401307799E-2</v>
      </c>
      <c r="AR24" s="53">
        <v>2.3459244762174398E-6</v>
      </c>
      <c r="AS24" s="53">
        <v>-5.3532482266471697E-18</v>
      </c>
      <c r="AT24" s="53">
        <v>-7.2164496600635096E-16</v>
      </c>
      <c r="AU24" s="53">
        <v>-4.9035266712143398E-21</v>
      </c>
      <c r="AV24">
        <v>0.198290773754322</v>
      </c>
      <c r="AW24">
        <v>99.329323761334805</v>
      </c>
      <c r="AX24">
        <v>500</v>
      </c>
      <c r="AY24">
        <v>95</v>
      </c>
      <c r="AZ24">
        <v>0.92405262022284995</v>
      </c>
      <c r="BA24">
        <v>0.1</v>
      </c>
      <c r="BB24">
        <v>46.600888318068002</v>
      </c>
      <c r="BC24" t="s">
        <v>251</v>
      </c>
      <c r="BD24">
        <v>1</v>
      </c>
      <c r="BE24">
        <v>1.8775014999999999E-2</v>
      </c>
      <c r="BF24">
        <v>0.10492961100000001</v>
      </c>
      <c r="BG24">
        <v>1.814625E-3</v>
      </c>
      <c r="BH24">
        <v>285.1951444</v>
      </c>
      <c r="BI24">
        <v>2169.8944889999998</v>
      </c>
      <c r="BJ24">
        <v>866.49409060000005</v>
      </c>
      <c r="BK24">
        <f t="shared" si="0"/>
        <v>100</v>
      </c>
      <c r="BL24">
        <f t="shared" si="1"/>
        <v>12.134817621653401</v>
      </c>
      <c r="BM24">
        <f t="shared" si="2"/>
        <v>92.405262022285001</v>
      </c>
      <c r="BN24">
        <f t="shared" si="3"/>
        <v>19.829077375432199</v>
      </c>
      <c r="BO24">
        <f t="shared" si="28"/>
        <v>4.3685343437952238</v>
      </c>
      <c r="BP24">
        <f t="shared" si="4"/>
        <v>0.29123562291968164</v>
      </c>
      <c r="BQ24">
        <f t="shared" si="5"/>
        <v>1.4561781145984081</v>
      </c>
      <c r="BR24">
        <f t="shared" si="29"/>
        <v>0.72808905729920403</v>
      </c>
      <c r="BS24">
        <f t="shared" si="6"/>
        <v>1.2134817621653402</v>
      </c>
      <c r="BT24">
        <f t="shared" si="30"/>
        <v>7.2808905729920399</v>
      </c>
      <c r="BU24">
        <f t="shared" si="7"/>
        <v>19.415708194645443</v>
      </c>
      <c r="BV24">
        <f t="shared" si="31"/>
        <v>6.0674088108267004</v>
      </c>
      <c r="BW24">
        <f t="shared" si="8"/>
        <v>86.337853211458295</v>
      </c>
      <c r="BX24">
        <f t="shared" si="32"/>
        <v>104.5400796439384</v>
      </c>
      <c r="BY24">
        <f t="shared" si="33"/>
        <v>92.405262022285001</v>
      </c>
      <c r="BZ24">
        <f t="shared" si="34"/>
        <v>1.6988744670314762</v>
      </c>
      <c r="CA24">
        <f>7963.6*(BT24/1000)^0.6*1.7*('CAPEX+OPEX'!$G$116/'CAPEX+OPEX'!$G$115)</f>
        <v>832.82092834424373</v>
      </c>
      <c r="CB24">
        <f>7963.6*(BU24/1000)^0.6*1.7*('CAPEX+OPEX'!$G$116/'CAPEX+OPEX'!$G$115)</f>
        <v>1500.143724582284</v>
      </c>
      <c r="CC24">
        <f>7963.6*(BX24/1000)^0.6*1.7*('CAPEX+OPEX'!$G$116/'CAPEX+OPEX'!$G$115)</f>
        <v>4119.1786120236593</v>
      </c>
      <c r="CD24">
        <f>7963.6*(BY24/1000)^0.6*1.7*('CAPEX+OPEX'!$G$116/'CAPEX+OPEX'!$G$115)</f>
        <v>3825.2422996341465</v>
      </c>
      <c r="CE24">
        <v>300</v>
      </c>
      <c r="CF24">
        <v>30</v>
      </c>
      <c r="CG24">
        <f t="shared" si="9"/>
        <v>7.1384678551555911</v>
      </c>
      <c r="CH24">
        <f t="shared" si="10"/>
        <v>0.47589785701037279</v>
      </c>
      <c r="CI24">
        <f t="shared" si="11"/>
        <v>2.3794892850518639</v>
      </c>
      <c r="CJ24">
        <f t="shared" si="12"/>
        <v>1.1897446425259319</v>
      </c>
      <c r="CK24">
        <f t="shared" si="13"/>
        <v>1.98290773754322</v>
      </c>
      <c r="CL24">
        <f t="shared" si="14"/>
        <v>11.89744642525932</v>
      </c>
      <c r="CM24">
        <f t="shared" si="35"/>
        <v>31.72652380069152</v>
      </c>
      <c r="CN24">
        <f t="shared" si="36"/>
        <v>9.9145386877160995</v>
      </c>
      <c r="CO24">
        <v>0</v>
      </c>
      <c r="CP24">
        <f t="shared" si="37"/>
        <v>29.743616063148298</v>
      </c>
      <c r="CQ24">
        <f t="shared" si="38"/>
        <v>9.9145386877160995</v>
      </c>
      <c r="CR24">
        <f t="shared" si="39"/>
        <v>2.7760708325605079</v>
      </c>
      <c r="CS24">
        <f>7963.6*(CL24/1000)^0.6*1.7*('CAPEX+OPEX'!$G$116/'CAPEX+OPEX'!$G$115)</f>
        <v>1118.1837653819532</v>
      </c>
      <c r="CT24">
        <f>7963.6*(CM24/1000)^0.6*1.7*('CAPEX+OPEX'!$G$116/'CAPEX+OPEX'!$G$115)</f>
        <v>2014.1621103380378</v>
      </c>
      <c r="CU24">
        <f>7963.6*(CP24/1000)^0.6*1.7*('CAPEX+OPEX'!$G$116/'CAPEX+OPEX'!$G$115)</f>
        <v>1937.6582766857621</v>
      </c>
      <c r="CV24">
        <f>7963.6*(CQ24/1000)^0.6*1.7*('CAPEX+OPEX'!$G$116/'CAPEX+OPEX'!$G$115)</f>
        <v>1002.3154734784209</v>
      </c>
      <c r="CW24">
        <v>300</v>
      </c>
      <c r="CX24">
        <f t="shared" si="15"/>
        <v>30</v>
      </c>
      <c r="CY24">
        <f t="shared" si="16"/>
        <v>10</v>
      </c>
      <c r="CZ24">
        <f t="shared" si="17"/>
        <v>9.2405262022284997</v>
      </c>
      <c r="DA24">
        <f t="shared" si="40"/>
        <v>3960</v>
      </c>
      <c r="DB24">
        <f t="shared" si="18"/>
        <v>3960</v>
      </c>
      <c r="DC24">
        <f>CF24*'Reagent cost'!$C$18/1000*'Reagent cost'!$H$18</f>
        <v>4784.413580611521</v>
      </c>
      <c r="DD24">
        <f>CX24*'Ligand cost'!$B$56*'Ligand cost'!$J$56</f>
        <v>30543.831958072875</v>
      </c>
      <c r="DE24">
        <f t="shared" si="41"/>
        <v>39625.826528698344</v>
      </c>
      <c r="DF24">
        <f t="shared" si="19"/>
        <v>4586243.4239371875</v>
      </c>
      <c r="DG24">
        <f t="shared" si="42"/>
        <v>11794834.586807497</v>
      </c>
      <c r="DH24">
        <f t="shared" si="20"/>
        <v>2275209.1661185985</v>
      </c>
      <c r="DI24">
        <f t="shared" si="21"/>
        <v>14083914.336508472</v>
      </c>
      <c r="DJ24">
        <f t="shared" si="43"/>
        <v>1662824.8986326549</v>
      </c>
      <c r="DK24" s="55">
        <f>DF24*($BK$2/10000)^0.72*0.6*((A24+1)/3)^0.6*('CAPEX+OPEX'!$G$116/'CAPEX+OPEX'!$G$114)</f>
        <v>353432.95821938996</v>
      </c>
      <c r="DL24" s="55">
        <f>DG24*($BK$2/10000)^0.72*0.6*((A24+1)/3)^0.6*('CAPEX+OPEX'!$G$116/'CAPEX+OPEX'!$G$114)</f>
        <v>908953.77641011216</v>
      </c>
      <c r="DM24" s="55">
        <f>DH24*($BK$2/10000)^0.72*0.6*((A24+1)/3)^0.6*('CAPEX+OPEX'!$G$116/'CAPEX+OPEX'!$G$114)</f>
        <v>175336.07177327637</v>
      </c>
      <c r="DN24" s="55">
        <f>DI24*($BK$2/10000)^0.72*0.6*((A24+1)/3)^0.6*('CAPEX+OPEX'!$G$116/'CAPEX+OPEX'!$G$114)</f>
        <v>1085358.7668897447</v>
      </c>
      <c r="DO24" s="55">
        <f>DJ24*($BK$2/10000)^0.72*0.6*((A24+1)/3)^0.6*('CAPEX+OPEX'!$G$116/'CAPEX+OPEX'!$G$114)</f>
        <v>128143.46483599243</v>
      </c>
      <c r="DP24">
        <f t="shared" si="44"/>
        <v>2651225.0381285157</v>
      </c>
      <c r="DQ24">
        <f>DF24*(BM24/10000)^0.72*0.6*((AF24+1)/3)^0.6*('CAPEX+OPEX'!$G$116/'CAPEX+OPEX'!$G$114)</f>
        <v>366249.25131388957</v>
      </c>
      <c r="DR24">
        <f>DG24*(BM24/10000)^0.72*0.6*((AF24+1)/3)^0.6*('CAPEX+OPEX'!$G$116/'CAPEX+OPEX'!$G$114)</f>
        <v>941914.53385196056</v>
      </c>
      <c r="DS24">
        <f>DH24*(BM24/10000)^0.72*0.6*((AF24+1)/3)^0.6*('CAPEX+OPEX'!$G$116/'CAPEX+OPEX'!$G$114)</f>
        <v>181694.16157114305</v>
      </c>
      <c r="DT24">
        <f>DI24*(BM24/10000)^0.72*0.6*((AF24+1)/3)^0.6*('CAPEX+OPEX'!$G$116/'CAPEX+OPEX'!$G$114)</f>
        <v>1124716.3755836936</v>
      </c>
      <c r="DU24">
        <f>DJ24*(BM24/10000)^0.72*0.6*((AF24+1)/3)^0.6*('CAPEX+OPEX'!$G$116/'CAPEX+OPEX'!$G$114)</f>
        <v>132790.24201194363</v>
      </c>
      <c r="DV24">
        <f t="shared" si="45"/>
        <v>2747364.5643326305</v>
      </c>
      <c r="DW24">
        <f t="shared" si="46"/>
        <v>5467127.2457996719</v>
      </c>
      <c r="DX24">
        <f t="shared" si="47"/>
        <v>364475.1497199781</v>
      </c>
      <c r="DY24">
        <f>BO24*'Reagent cost'!$C$35*60*7200</f>
        <v>1131525.4359785069</v>
      </c>
      <c r="DZ24">
        <f>BP24*'Reagent cost'!$C$34*60*7200</f>
        <v>269242.76681467838</v>
      </c>
      <c r="EA24">
        <f>BQ24*'Reagent cost'!$C$14*'Reagent cost'!$C$36/1000*60*7200</f>
        <v>4462920.323675557</v>
      </c>
      <c r="EB24">
        <f t="shared" si="22"/>
        <v>39.6</v>
      </c>
      <c r="EC24">
        <f t="shared" si="23"/>
        <v>95.688271612230423</v>
      </c>
      <c r="ED24">
        <f>0.1*BK24*60*7200*'Reagent cost'!$H$17*'Reagent cost'!$C$17/1000</f>
        <v>504921.59999999998</v>
      </c>
      <c r="EE24">
        <f>BV24*0.1*'Reagent cost'!$C$16/1000*'Reagent cost'!$H$16*60*7200</f>
        <v>1107135.1328853988</v>
      </c>
      <c r="EF24">
        <f>BZ24/1000*'Reagent cost'!$H$19*'Reagent cost'!$C$19*60*7200</f>
        <v>93023.570316775513</v>
      </c>
      <c r="EG24">
        <f>0.33*('Costing 100 Lmin Feed Orig'!BO24*'Reagent cost'!$C$13+'Costing 100 Lmin Feed Orig'!BP24*'Reagent cost'!$C$12+'Costing 100 Lmin Feed Orig'!BQ24*'Reagent cost'!$C$14+'Costing 100 Lmin Feed Orig'!BV24*0.1*'Reagent cost'!$C$16+'Costing 100 Lmin Feed Orig'!BZ24*'Reagent cost'!$C$19)/1000*60*7200</f>
        <v>190323.86523050809</v>
      </c>
      <c r="EH24">
        <f>CG24*'Reagent cost'!$C$35*60*7200</f>
        <v>1848985.7962307269</v>
      </c>
      <c r="EI24">
        <f>CH24*'Reagent cost'!$C$34*60*7200</f>
        <v>439960.10672769177</v>
      </c>
      <c r="EJ24">
        <f>CI24*'Reagent cost'!$C$14*'Reagent cost'!$C$36/1000*60*7200</f>
        <v>7292700.6550671002</v>
      </c>
      <c r="EK24">
        <f t="shared" si="24"/>
        <v>39.6</v>
      </c>
      <c r="EL24">
        <f t="shared" si="25"/>
        <v>610.87663916145755</v>
      </c>
      <c r="EM24">
        <f>0.1*BM24*60*7200*'Reagent cost'!$H$17*'Reagent cost'!$C$17/1000</f>
        <v>466574.12748711376</v>
      </c>
      <c r="EN24">
        <f>CN24*0.1*'Reagent cost'!$C$16/1000*'Reagent cost'!$H$16*60*7200</f>
        <v>1809130.4624035021</v>
      </c>
      <c r="EO24">
        <f>CR24/1000*'Reagent cost'!$H$19*'Reagent cost'!$C$19*60*7200</f>
        <v>152006.53450768316</v>
      </c>
      <c r="EP24">
        <f>0.33*(CG24*'Reagent cost'!$C$13+CH24*'Reagent cost'!$C$12+CI24*'Reagent cost'!$C$14+CN24*0.1*'Reagent cost'!$C$16+CR24*'Reagent cost'!$C$19)/1000*60*7200</f>
        <v>311001.51380213868</v>
      </c>
      <c r="EQ24">
        <f t="shared" si="48"/>
        <v>23494694.732406605</v>
      </c>
      <c r="ER24">
        <f t="shared" si="49"/>
        <v>501325.37903264677</v>
      </c>
      <c r="ES24">
        <f t="shared" si="50"/>
        <v>33024.331428945443</v>
      </c>
      <c r="ET24">
        <f t="shared" si="51"/>
        <v>24915.659383376755</v>
      </c>
      <c r="EU24">
        <f t="shared" si="52"/>
        <v>10548.968690542577</v>
      </c>
      <c r="EV24">
        <f t="shared" si="53"/>
        <v>5588.0830181845758</v>
      </c>
      <c r="EW24">
        <f t="shared" si="54"/>
        <v>5626.1166349560426</v>
      </c>
      <c r="EX24">
        <f t="shared" si="55"/>
        <v>79703.159156005393</v>
      </c>
      <c r="EY24">
        <f t="shared" si="56"/>
        <v>33442.68395719635</v>
      </c>
      <c r="EZ24">
        <f t="shared" si="57"/>
        <v>27167.86761788874</v>
      </c>
      <c r="FA24">
        <f t="shared" si="58"/>
        <v>11502.524596283536</v>
      </c>
      <c r="FB24">
        <f t="shared" si="59"/>
        <v>6096.5780740883993</v>
      </c>
      <c r="FC24">
        <f t="shared" si="60"/>
        <v>6134.6797846845557</v>
      </c>
      <c r="FD24">
        <f t="shared" si="61"/>
        <v>84344.334030141574</v>
      </c>
      <c r="FE24">
        <f t="shared" si="62"/>
        <v>24160067.604625396</v>
      </c>
      <c r="FF24">
        <f t="shared" si="63"/>
        <v>24524542.754345376</v>
      </c>
      <c r="FG24">
        <f>BM24*AM24*195.08/1000*'PGM market prices'!$C$2*60*7200</f>
        <v>423277396.65441442</v>
      </c>
      <c r="FH24">
        <f>BN24*AQ24*BA24*106.42/1000*'PGM market prices'!$C$3*60*7200</f>
        <v>222519103.16902292</v>
      </c>
      <c r="FI24">
        <f>BK24*J24*102.91/1000*'PGM market prices'!$C$4*60*7200</f>
        <v>246100432.55373973</v>
      </c>
      <c r="FJ24">
        <f t="shared" si="26"/>
        <v>891896932.377177</v>
      </c>
      <c r="FK24">
        <f t="shared" si="27"/>
        <v>641855568.32089531</v>
      </c>
      <c r="FL24">
        <f t="shared" si="64"/>
        <v>0.56769774894318004</v>
      </c>
      <c r="FM24">
        <f t="shared" si="65"/>
        <v>1954.3229683069503</v>
      </c>
      <c r="FN24">
        <f t="shared" si="66"/>
        <v>3629.2851726277941</v>
      </c>
      <c r="FO24">
        <f t="shared" si="67"/>
        <v>16437.307125545365</v>
      </c>
    </row>
    <row r="25" spans="1:171">
      <c r="A25">
        <v>5</v>
      </c>
      <c r="B25">
        <v>1.54143585092054E-3</v>
      </c>
      <c r="C25">
        <v>1.54143585092054E-3</v>
      </c>
      <c r="D25">
        <v>3.4254130020456501E-4</v>
      </c>
      <c r="E25">
        <v>0</v>
      </c>
      <c r="F25">
        <v>0</v>
      </c>
      <c r="G25">
        <v>0</v>
      </c>
      <c r="H25" s="53">
        <v>1.7558377832426001E-5</v>
      </c>
      <c r="I25" s="53">
        <v>1.05063644964669E-7</v>
      </c>
      <c r="J25">
        <v>3.35605387572801E-4</v>
      </c>
      <c r="K25">
        <v>0.12557893497872399</v>
      </c>
      <c r="L25">
        <v>0.12701721899235199</v>
      </c>
      <c r="M25">
        <v>5.7157122982957897E-4</v>
      </c>
      <c r="N25" s="53">
        <v>-1.88000656708986E-16</v>
      </c>
      <c r="O25" s="53">
        <v>-6.2354635343986299E-15</v>
      </c>
      <c r="P25" s="53">
        <v>-1.51703600853245E-18</v>
      </c>
      <c r="Q25">
        <v>0.121348176216534</v>
      </c>
      <c r="R25">
        <v>97.975160184298204</v>
      </c>
      <c r="S25">
        <v>500</v>
      </c>
      <c r="T25">
        <v>95</v>
      </c>
      <c r="U25">
        <v>1</v>
      </c>
      <c r="V25">
        <v>0.1</v>
      </c>
      <c r="W25">
        <v>82.407501388038199</v>
      </c>
      <c r="X25" t="s">
        <v>323</v>
      </c>
      <c r="Y25">
        <v>1</v>
      </c>
      <c r="Z25">
        <v>0.28318429382522198</v>
      </c>
      <c r="AA25">
        <v>0.56945642916197003</v>
      </c>
      <c r="AB25">
        <v>3.7698628972227502E-3</v>
      </c>
      <c r="AC25">
        <v>1822.2107908876901</v>
      </c>
      <c r="AD25">
        <v>2662.6059073104898</v>
      </c>
      <c r="AE25">
        <v>2401.5030938442701</v>
      </c>
      <c r="AF25">
        <v>7</v>
      </c>
      <c r="AG25">
        <v>1.64912412966352E-3</v>
      </c>
      <c r="AH25">
        <v>1.66801192221077E-3</v>
      </c>
      <c r="AI25" s="53">
        <v>7.5059714998626504E-6</v>
      </c>
      <c r="AJ25">
        <v>0</v>
      </c>
      <c r="AK25">
        <v>0</v>
      </c>
      <c r="AL25">
        <v>0</v>
      </c>
      <c r="AM25">
        <v>1.6119381310433301E-3</v>
      </c>
      <c r="AN25" s="53">
        <v>7.7382567030457797E-5</v>
      </c>
      <c r="AO25" s="53">
        <v>7.4562819717611701E-6</v>
      </c>
      <c r="AP25">
        <v>1.73954373622606E-3</v>
      </c>
      <c r="AQ25">
        <v>7.4408902129409704E-2</v>
      </c>
      <c r="AR25" s="53">
        <v>2.32445303539035E-6</v>
      </c>
      <c r="AS25" s="53">
        <v>6.9016244542280303E-16</v>
      </c>
      <c r="AT25" s="53">
        <v>-2.1108657356772001E-13</v>
      </c>
      <c r="AU25" s="53">
        <v>-1.7602403435128399E-20</v>
      </c>
      <c r="AV25">
        <v>0.19753351838366801</v>
      </c>
      <c r="AW25">
        <v>99.338000043000505</v>
      </c>
      <c r="AX25">
        <v>500</v>
      </c>
      <c r="AY25">
        <v>95</v>
      </c>
      <c r="AZ25">
        <v>0.92405262022284995</v>
      </c>
      <c r="BA25">
        <v>0.1</v>
      </c>
      <c r="BB25">
        <v>46.779535330711099</v>
      </c>
      <c r="BC25" t="s">
        <v>251</v>
      </c>
      <c r="BD25">
        <v>1</v>
      </c>
      <c r="BE25">
        <v>1.8775014999999999E-2</v>
      </c>
      <c r="BF25">
        <v>0.10492961100000001</v>
      </c>
      <c r="BG25">
        <v>1.814625E-3</v>
      </c>
      <c r="BH25">
        <v>285.1951444</v>
      </c>
      <c r="BI25">
        <v>2169.8944889999998</v>
      </c>
      <c r="BJ25">
        <v>866.49409060000005</v>
      </c>
      <c r="BK25">
        <f t="shared" si="0"/>
        <v>100</v>
      </c>
      <c r="BL25">
        <f t="shared" si="1"/>
        <v>12.134817621653401</v>
      </c>
      <c r="BM25">
        <f t="shared" si="2"/>
        <v>92.405262022285001</v>
      </c>
      <c r="BN25">
        <f t="shared" si="3"/>
        <v>19.7533518383668</v>
      </c>
      <c r="BO25">
        <f t="shared" si="28"/>
        <v>4.3685343437952238</v>
      </c>
      <c r="BP25">
        <f t="shared" si="4"/>
        <v>0.29123562291968164</v>
      </c>
      <c r="BQ25">
        <f t="shared" si="5"/>
        <v>1.4561781145984081</v>
      </c>
      <c r="BR25">
        <f t="shared" si="29"/>
        <v>0.72808905729920403</v>
      </c>
      <c r="BS25">
        <f t="shared" si="6"/>
        <v>1.2134817621653402</v>
      </c>
      <c r="BT25">
        <f t="shared" si="30"/>
        <v>7.2808905729920399</v>
      </c>
      <c r="BU25">
        <f t="shared" si="7"/>
        <v>19.415708194645443</v>
      </c>
      <c r="BV25">
        <f t="shared" si="31"/>
        <v>6.0674088108267004</v>
      </c>
      <c r="BW25">
        <f t="shared" si="8"/>
        <v>86.337853211458295</v>
      </c>
      <c r="BX25">
        <f t="shared" si="32"/>
        <v>104.5400796439384</v>
      </c>
      <c r="BY25">
        <f t="shared" si="33"/>
        <v>92.405262022285001</v>
      </c>
      <c r="BZ25">
        <f t="shared" si="34"/>
        <v>1.6988744670314762</v>
      </c>
      <c r="CA25">
        <f>7963.6*(BT25/1000)^0.6*1.7*('CAPEX+OPEX'!$G$116/'CAPEX+OPEX'!$G$115)</f>
        <v>832.82092834424373</v>
      </c>
      <c r="CB25">
        <f>7963.6*(BU25/1000)^0.6*1.7*('CAPEX+OPEX'!$G$116/'CAPEX+OPEX'!$G$115)</f>
        <v>1500.143724582284</v>
      </c>
      <c r="CC25">
        <f>7963.6*(BX25/1000)^0.6*1.7*('CAPEX+OPEX'!$G$116/'CAPEX+OPEX'!$G$115)</f>
        <v>4119.1786120236593</v>
      </c>
      <c r="CD25">
        <f>7963.6*(BY25/1000)^0.6*1.7*('CAPEX+OPEX'!$G$116/'CAPEX+OPEX'!$G$115)</f>
        <v>3825.2422996341465</v>
      </c>
      <c r="CE25">
        <v>300</v>
      </c>
      <c r="CF25">
        <v>30</v>
      </c>
      <c r="CG25">
        <f t="shared" si="9"/>
        <v>7.111206661812048</v>
      </c>
      <c r="CH25">
        <f t="shared" si="10"/>
        <v>0.47408044412080319</v>
      </c>
      <c r="CI25">
        <f t="shared" si="11"/>
        <v>2.3704022206040158</v>
      </c>
      <c r="CJ25">
        <f t="shared" si="12"/>
        <v>1.1852011103020079</v>
      </c>
      <c r="CK25">
        <f t="shared" si="13"/>
        <v>1.9753351838366802</v>
      </c>
      <c r="CL25">
        <f t="shared" si="14"/>
        <v>11.852011103020081</v>
      </c>
      <c r="CM25">
        <f t="shared" si="35"/>
        <v>31.605362941386883</v>
      </c>
      <c r="CN25">
        <f t="shared" si="36"/>
        <v>9.8766759191834002</v>
      </c>
      <c r="CO25">
        <v>0</v>
      </c>
      <c r="CP25">
        <f t="shared" si="37"/>
        <v>29.630027757550202</v>
      </c>
      <c r="CQ25">
        <f t="shared" si="38"/>
        <v>9.8766759191834002</v>
      </c>
      <c r="CR25">
        <f t="shared" si="39"/>
        <v>2.7654692573713522</v>
      </c>
      <c r="CS25">
        <f>7963.6*(CL25/1000)^0.6*1.7*('CAPEX+OPEX'!$G$116/'CAPEX+OPEX'!$G$115)</f>
        <v>1115.6196565196321</v>
      </c>
      <c r="CT25">
        <f>7963.6*(CM25/1000)^0.6*1.7*('CAPEX+OPEX'!$G$116/'CAPEX+OPEX'!$G$115)</f>
        <v>2009.5434321948205</v>
      </c>
      <c r="CU25">
        <f>7963.6*(CP25/1000)^0.6*1.7*('CAPEX+OPEX'!$G$116/'CAPEX+OPEX'!$G$115)</f>
        <v>1933.215029597746</v>
      </c>
      <c r="CV25">
        <f>7963.6*(CQ25/1000)^0.6*1.7*('CAPEX+OPEX'!$G$116/'CAPEX+OPEX'!$G$115)</f>
        <v>1000.0170623693048</v>
      </c>
      <c r="CW25">
        <v>300</v>
      </c>
      <c r="CX25">
        <f t="shared" si="15"/>
        <v>30</v>
      </c>
      <c r="CY25">
        <f t="shared" si="16"/>
        <v>10</v>
      </c>
      <c r="CZ25">
        <f t="shared" si="17"/>
        <v>9.2405262022284997</v>
      </c>
      <c r="DA25">
        <f t="shared" si="40"/>
        <v>3960</v>
      </c>
      <c r="DB25">
        <f t="shared" si="18"/>
        <v>3960</v>
      </c>
      <c r="DC25">
        <f>CF25*'Reagent cost'!$C$18/1000*'Reagent cost'!$H$18</f>
        <v>4784.413580611521</v>
      </c>
      <c r="DD25">
        <f>CX25*'Ligand cost'!$B$56*'Ligand cost'!$J$56</f>
        <v>30543.831958072875</v>
      </c>
      <c r="DE25">
        <f t="shared" si="41"/>
        <v>39625.826528698344</v>
      </c>
      <c r="DF25">
        <f t="shared" si="19"/>
        <v>4586243.4239371875</v>
      </c>
      <c r="DG25">
        <f t="shared" si="42"/>
        <v>11794834.586807497</v>
      </c>
      <c r="DH25">
        <f t="shared" si="20"/>
        <v>2275209.1661185985</v>
      </c>
      <c r="DI25">
        <f t="shared" si="21"/>
        <v>14083914.336508472</v>
      </c>
      <c r="DJ25">
        <f t="shared" si="43"/>
        <v>1662824.8986326549</v>
      </c>
      <c r="DK25" s="55">
        <f>DF25*($BK$2/10000)^0.72*0.6*((A25+1)/3)^0.6*('CAPEX+OPEX'!$G$116/'CAPEX+OPEX'!$G$114)</f>
        <v>353432.95821938996</v>
      </c>
      <c r="DL25" s="55">
        <f>DG25*($BK$2/10000)^0.72*0.6*((A25+1)/3)^0.6*('CAPEX+OPEX'!$G$116/'CAPEX+OPEX'!$G$114)</f>
        <v>908953.77641011216</v>
      </c>
      <c r="DM25" s="55">
        <f>DH25*($BK$2/10000)^0.72*0.6*((A25+1)/3)^0.6*('CAPEX+OPEX'!$G$116/'CAPEX+OPEX'!$G$114)</f>
        <v>175336.07177327637</v>
      </c>
      <c r="DN25" s="55">
        <f>DI25*($BK$2/10000)^0.72*0.6*((A25+1)/3)^0.6*('CAPEX+OPEX'!$G$116/'CAPEX+OPEX'!$G$114)</f>
        <v>1085358.7668897447</v>
      </c>
      <c r="DO25" s="55">
        <f>DJ25*($BK$2/10000)^0.72*0.6*((A25+1)/3)^0.6*('CAPEX+OPEX'!$G$116/'CAPEX+OPEX'!$G$114)</f>
        <v>128143.46483599243</v>
      </c>
      <c r="DP25">
        <f t="shared" si="44"/>
        <v>2651225.0381285157</v>
      </c>
      <c r="DQ25">
        <f>DF25*(BM25/10000)^0.72*0.6*((AF25+1)/3)^0.6*('CAPEX+OPEX'!$G$116/'CAPEX+OPEX'!$G$114)</f>
        <v>396800.22867551906</v>
      </c>
      <c r="DR25">
        <f>DG25*(BM25/10000)^0.72*0.6*((AF25+1)/3)^0.6*('CAPEX+OPEX'!$G$116/'CAPEX+OPEX'!$G$114)</f>
        <v>1020485.0961044921</v>
      </c>
      <c r="DS25">
        <f>DH25*(BM25/10000)^0.72*0.6*((AF25+1)/3)^0.6*('CAPEX+OPEX'!$G$116/'CAPEX+OPEX'!$G$114)</f>
        <v>196850.32693390278</v>
      </c>
      <c r="DT25">
        <f>DI25*(BM25/10000)^0.72*0.6*((AF25+1)/3)^0.6*('CAPEX+OPEX'!$G$116/'CAPEX+OPEX'!$G$114)</f>
        <v>1218535.5012349912</v>
      </c>
      <c r="DU25">
        <f>DJ25*(BM25/10000)^0.72*0.6*((AF25+1)/3)^0.6*('CAPEX+OPEX'!$G$116/'CAPEX+OPEX'!$G$114)</f>
        <v>143867.04739242836</v>
      </c>
      <c r="DV25">
        <f t="shared" si="45"/>
        <v>2976538.2003413332</v>
      </c>
      <c r="DW25">
        <f t="shared" si="46"/>
        <v>5696284.8686963907</v>
      </c>
      <c r="DX25">
        <f t="shared" si="47"/>
        <v>379752.32457975938</v>
      </c>
      <c r="DY25">
        <f>BO25*'Reagent cost'!$C$35*60*7200</f>
        <v>1131525.4359785069</v>
      </c>
      <c r="DZ25">
        <f>BP25*'Reagent cost'!$C$34*60*7200</f>
        <v>269242.76681467838</v>
      </c>
      <c r="EA25">
        <f>BQ25*'Reagent cost'!$C$14*'Reagent cost'!$C$36/1000*60*7200</f>
        <v>4462920.323675557</v>
      </c>
      <c r="EB25">
        <f t="shared" si="22"/>
        <v>39.6</v>
      </c>
      <c r="EC25">
        <f t="shared" si="23"/>
        <v>95.688271612230423</v>
      </c>
      <c r="ED25">
        <f>0.1*BK25*60*7200*'Reagent cost'!$H$17*'Reagent cost'!$C$17/1000</f>
        <v>504921.59999999998</v>
      </c>
      <c r="EE25">
        <f>BV25*0.1*'Reagent cost'!$C$16/1000*'Reagent cost'!$H$16*60*7200</f>
        <v>1107135.1328853988</v>
      </c>
      <c r="EF25">
        <f>BZ25/1000*'Reagent cost'!$H$19*'Reagent cost'!$C$19*60*7200</f>
        <v>93023.570316775513</v>
      </c>
      <c r="EG25">
        <f>0.33*('Costing 100 Lmin Feed Orig'!BO25*'Reagent cost'!$C$13+'Costing 100 Lmin Feed Orig'!BP25*'Reagent cost'!$C$12+'Costing 100 Lmin Feed Orig'!BQ25*'Reagent cost'!$C$14+'Costing 100 Lmin Feed Orig'!BV25*0.1*'Reagent cost'!$C$16+'Costing 100 Lmin Feed Orig'!BZ25*'Reagent cost'!$C$19)/1000*60*7200</f>
        <v>190323.86523050809</v>
      </c>
      <c r="EH25">
        <f>CG25*'Reagent cost'!$C$35*60*7200</f>
        <v>1841924.6788728745</v>
      </c>
      <c r="EI25">
        <f>CH25*'Reagent cost'!$C$34*60*7200</f>
        <v>438279.93700831884</v>
      </c>
      <c r="EJ25">
        <f>CI25*'Reagent cost'!$C$14*'Reagent cost'!$C$36/1000*60*7200</f>
        <v>7264850.4599568462</v>
      </c>
      <c r="EK25">
        <f t="shared" si="24"/>
        <v>39.6</v>
      </c>
      <c r="EL25">
        <f t="shared" si="25"/>
        <v>610.87663916145755</v>
      </c>
      <c r="EM25">
        <f>0.1*BM25*60*7200*'Reagent cost'!$H$17*'Reagent cost'!$C$17/1000</f>
        <v>466574.12748711376</v>
      </c>
      <c r="EN25">
        <f>CN25*0.1*'Reagent cost'!$C$16/1000*'Reagent cost'!$H$16*60*7200</f>
        <v>1802221.5491296747</v>
      </c>
      <c r="EO25">
        <f>CR25/1000*'Reagent cost'!$H$19*'Reagent cost'!$C$19*60*7200</f>
        <v>151426.03465662574</v>
      </c>
      <c r="EP25">
        <f>0.33*(CG25*'Reagent cost'!$C$13+CH25*'Reagent cost'!$C$12+CI25*'Reagent cost'!$C$14+CN25*0.1*'Reagent cost'!$C$16+CR25*'Reagent cost'!$C$19)/1000*60*7200</f>
        <v>309813.82583184517</v>
      </c>
      <c r="EQ25">
        <f t="shared" si="48"/>
        <v>23441797.658031773</v>
      </c>
      <c r="ER25">
        <f t="shared" si="49"/>
        <v>500137.69106235326</v>
      </c>
      <c r="ES25">
        <f t="shared" si="50"/>
        <v>33024.331428945443</v>
      </c>
      <c r="ET25">
        <f t="shared" si="51"/>
        <v>24915.659383376755</v>
      </c>
      <c r="EU25">
        <f t="shared" si="52"/>
        <v>10548.968690542577</v>
      </c>
      <c r="EV25">
        <f t="shared" si="53"/>
        <v>5588.0830181845758</v>
      </c>
      <c r="EW25">
        <f t="shared" si="54"/>
        <v>5626.1166349560426</v>
      </c>
      <c r="EX25">
        <f t="shared" si="55"/>
        <v>79703.159156005393</v>
      </c>
      <c r="EY25">
        <f t="shared" si="56"/>
        <v>36015.198107749915</v>
      </c>
      <c r="EZ25">
        <f t="shared" si="57"/>
        <v>31048.991563301424</v>
      </c>
      <c r="FA25">
        <f t="shared" si="58"/>
        <v>13145.742395752615</v>
      </c>
      <c r="FB25">
        <f t="shared" si="59"/>
        <v>6967.5177989581725</v>
      </c>
      <c r="FC25">
        <f t="shared" si="60"/>
        <v>7011.0626110680651</v>
      </c>
      <c r="FD25">
        <f t="shared" si="61"/>
        <v>94188.51247683019</v>
      </c>
      <c r="FE25">
        <f t="shared" si="62"/>
        <v>24115827.020726964</v>
      </c>
      <c r="FF25">
        <f t="shared" si="63"/>
        <v>24495579.345306724</v>
      </c>
      <c r="FG25">
        <f>BM25*AM25*195.08/1000*'PGM market prices'!$C$2*60*7200</f>
        <v>423410925.33532536</v>
      </c>
      <c r="FH25">
        <f>BN25*AQ25*BA25*106.42/1000*'PGM market prices'!$C$3*60*7200</f>
        <v>222515451.48793983</v>
      </c>
      <c r="FI25">
        <f>BK25*J25*102.91/1000*'PGM market prices'!$C$4*60*7200</f>
        <v>246100432.55373973</v>
      </c>
      <c r="FJ25">
        <f t="shared" si="26"/>
        <v>892026809.37700486</v>
      </c>
      <c r="FK25">
        <f t="shared" si="27"/>
        <v>641973110.22345662</v>
      </c>
      <c r="FL25">
        <f t="shared" si="64"/>
        <v>0.56702729965987786</v>
      </c>
      <c r="FM25">
        <f t="shared" si="65"/>
        <v>1951.3993231578311</v>
      </c>
      <c r="FN25">
        <f>FF25/7200/60/(BN25*BA25*AQ25*106.42/1000)</f>
        <v>3625.0584876119519</v>
      </c>
      <c r="FO25">
        <f t="shared" si="67"/>
        <v>16417.894716737588</v>
      </c>
    </row>
    <row r="26" spans="1:171">
      <c r="A26">
        <v>5</v>
      </c>
      <c r="B26">
        <v>1.54143585092054E-3</v>
      </c>
      <c r="C26">
        <v>1.54143585092054E-3</v>
      </c>
      <c r="D26">
        <v>3.4254130020456501E-4</v>
      </c>
      <c r="E26">
        <v>0</v>
      </c>
      <c r="F26">
        <v>0</v>
      </c>
      <c r="G26">
        <v>0</v>
      </c>
      <c r="H26" s="53">
        <v>1.7558377832426001E-5</v>
      </c>
      <c r="I26" s="53">
        <v>1.05063644964669E-7</v>
      </c>
      <c r="J26">
        <v>3.35605387572801E-4</v>
      </c>
      <c r="K26">
        <v>0.12557893497872399</v>
      </c>
      <c r="L26">
        <v>0.12701721899235199</v>
      </c>
      <c r="M26">
        <v>5.7157122982957897E-4</v>
      </c>
      <c r="N26" s="53">
        <v>-1.88000656708986E-16</v>
      </c>
      <c r="O26" s="53">
        <v>-6.2354635343986299E-15</v>
      </c>
      <c r="P26" s="53">
        <v>-1.51703600853245E-18</v>
      </c>
      <c r="Q26">
        <v>0.121348176216534</v>
      </c>
      <c r="R26">
        <v>97.975160184298204</v>
      </c>
      <c r="S26">
        <v>500</v>
      </c>
      <c r="T26">
        <v>95</v>
      </c>
      <c r="U26">
        <v>1</v>
      </c>
      <c r="V26">
        <v>0.1</v>
      </c>
      <c r="W26">
        <v>82.407501388038199</v>
      </c>
      <c r="X26" t="s">
        <v>323</v>
      </c>
      <c r="Y26">
        <v>1</v>
      </c>
      <c r="Z26">
        <v>0.28318429382522198</v>
      </c>
      <c r="AA26">
        <v>0.56945642916197003</v>
      </c>
      <c r="AB26">
        <v>3.7698628972227502E-3</v>
      </c>
      <c r="AC26">
        <v>1822.2107908876901</v>
      </c>
      <c r="AD26">
        <v>2662.6059073104898</v>
      </c>
      <c r="AE26">
        <v>2401.5030938442701</v>
      </c>
      <c r="AF26">
        <v>8</v>
      </c>
      <c r="AG26">
        <v>1.64912412966352E-3</v>
      </c>
      <c r="AH26">
        <v>1.66801192221077E-3</v>
      </c>
      <c r="AI26" s="53">
        <v>7.5059714998626504E-6</v>
      </c>
      <c r="AJ26">
        <v>0</v>
      </c>
      <c r="AK26">
        <v>0</v>
      </c>
      <c r="AL26">
        <v>0</v>
      </c>
      <c r="AM26">
        <v>1.6120834525789199E-3</v>
      </c>
      <c r="AN26" s="53">
        <v>7.7390029362408002E-5</v>
      </c>
      <c r="AO26" s="53">
        <v>7.4564681417452103E-6</v>
      </c>
      <c r="AP26">
        <v>1.73464665743558E-3</v>
      </c>
      <c r="AQ26">
        <v>7.4490186842272293E-2</v>
      </c>
      <c r="AR26" s="53">
        <v>2.3182846935160901E-6</v>
      </c>
      <c r="AS26" s="53">
        <v>1.3007864642193499E-14</v>
      </c>
      <c r="AT26" s="53">
        <v>-3.2357883733569101E-12</v>
      </c>
      <c r="AU26" s="53">
        <v>1.045225422022E-19</v>
      </c>
      <c r="AV26">
        <v>0.19731704180288601</v>
      </c>
      <c r="AW26">
        <v>99.340480334646202</v>
      </c>
      <c r="AX26">
        <v>500</v>
      </c>
      <c r="AY26">
        <v>95</v>
      </c>
      <c r="AZ26">
        <v>0.92405262022284995</v>
      </c>
      <c r="BA26">
        <v>0.1</v>
      </c>
      <c r="BB26">
        <v>46.830857171776799</v>
      </c>
      <c r="BC26" t="s">
        <v>251</v>
      </c>
      <c r="BD26">
        <v>1</v>
      </c>
      <c r="BE26">
        <v>1.8775014999999999E-2</v>
      </c>
      <c r="BF26">
        <v>0.10492961100000001</v>
      </c>
      <c r="BG26">
        <v>1.814625E-3</v>
      </c>
      <c r="BH26">
        <v>285.1951444</v>
      </c>
      <c r="BI26">
        <v>2169.8944889999998</v>
      </c>
      <c r="BJ26">
        <v>866.49409060000005</v>
      </c>
      <c r="BK26">
        <f t="shared" si="0"/>
        <v>100</v>
      </c>
      <c r="BL26">
        <f t="shared" si="1"/>
        <v>12.134817621653401</v>
      </c>
      <c r="BM26">
        <f t="shared" si="2"/>
        <v>92.405262022285001</v>
      </c>
      <c r="BN26">
        <f t="shared" si="3"/>
        <v>19.731704180288602</v>
      </c>
      <c r="BO26">
        <f t="shared" si="28"/>
        <v>4.3685343437952238</v>
      </c>
      <c r="BP26">
        <f t="shared" si="4"/>
        <v>0.29123562291968164</v>
      </c>
      <c r="BQ26">
        <f t="shared" si="5"/>
        <v>1.4561781145984081</v>
      </c>
      <c r="BR26">
        <f t="shared" si="29"/>
        <v>0.72808905729920403</v>
      </c>
      <c r="BS26">
        <f t="shared" si="6"/>
        <v>1.2134817621653402</v>
      </c>
      <c r="BT26">
        <f t="shared" si="30"/>
        <v>7.2808905729920399</v>
      </c>
      <c r="BU26">
        <f t="shared" si="7"/>
        <v>19.415708194645443</v>
      </c>
      <c r="BV26">
        <f t="shared" si="31"/>
        <v>6.0674088108267004</v>
      </c>
      <c r="BW26">
        <f t="shared" si="8"/>
        <v>86.337853211458295</v>
      </c>
      <c r="BX26">
        <f t="shared" si="32"/>
        <v>104.5400796439384</v>
      </c>
      <c r="BY26">
        <f t="shared" si="33"/>
        <v>92.405262022285001</v>
      </c>
      <c r="BZ26">
        <f t="shared" si="34"/>
        <v>1.6988744670314762</v>
      </c>
      <c r="CA26">
        <f>7963.6*(BT26/1000)^0.6*1.7*('CAPEX+OPEX'!$G$116/'CAPEX+OPEX'!$G$115)</f>
        <v>832.82092834424373</v>
      </c>
      <c r="CB26">
        <f>7963.6*(BU26/1000)^0.6*1.7*('CAPEX+OPEX'!$G$116/'CAPEX+OPEX'!$G$115)</f>
        <v>1500.143724582284</v>
      </c>
      <c r="CC26">
        <f>7963.6*(BX26/1000)^0.6*1.7*('CAPEX+OPEX'!$G$116/'CAPEX+OPEX'!$G$115)</f>
        <v>4119.1786120236593</v>
      </c>
      <c r="CD26">
        <f>7963.6*(BY26/1000)^0.6*1.7*('CAPEX+OPEX'!$G$116/'CAPEX+OPEX'!$G$115)</f>
        <v>3825.2422996341465</v>
      </c>
      <c r="CE26">
        <v>300</v>
      </c>
      <c r="CF26">
        <v>30</v>
      </c>
      <c r="CG26">
        <f t="shared" si="9"/>
        <v>7.1034135049038962</v>
      </c>
      <c r="CH26">
        <f t="shared" si="10"/>
        <v>0.47356090032692649</v>
      </c>
      <c r="CI26">
        <f t="shared" si="11"/>
        <v>2.3678045016346321</v>
      </c>
      <c r="CJ26">
        <f t="shared" si="12"/>
        <v>1.183902250817316</v>
      </c>
      <c r="CK26">
        <f t="shared" si="13"/>
        <v>1.9731704180288603</v>
      </c>
      <c r="CL26">
        <f t="shared" si="14"/>
        <v>11.83902250817316</v>
      </c>
      <c r="CM26">
        <f t="shared" si="35"/>
        <v>31.570726688461765</v>
      </c>
      <c r="CN26">
        <f t="shared" si="36"/>
        <v>9.8658520901443012</v>
      </c>
      <c r="CO26">
        <v>0</v>
      </c>
      <c r="CP26">
        <f t="shared" si="37"/>
        <v>29.597556270432904</v>
      </c>
      <c r="CQ26">
        <f t="shared" si="38"/>
        <v>9.8658520901443012</v>
      </c>
      <c r="CR26">
        <f t="shared" si="39"/>
        <v>2.7624385852404041</v>
      </c>
      <c r="CS26">
        <f>7963.6*(CL26/1000)^0.6*1.7*('CAPEX+OPEX'!$G$116/'CAPEX+OPEX'!$G$115)</f>
        <v>1114.8859324686086</v>
      </c>
      <c r="CT26">
        <f>7963.6*(CM26/1000)^0.6*1.7*('CAPEX+OPEX'!$G$116/'CAPEX+OPEX'!$G$115)</f>
        <v>2008.2217896985089</v>
      </c>
      <c r="CU26">
        <f>7963.6*(CP26/1000)^0.6*1.7*('CAPEX+OPEX'!$G$116/'CAPEX+OPEX'!$G$115)</f>
        <v>1931.9435869920831</v>
      </c>
      <c r="CV26">
        <f>7963.6*(CQ26/1000)^0.6*1.7*('CAPEX+OPEX'!$G$116/'CAPEX+OPEX'!$G$115)</f>
        <v>999.35936817594245</v>
      </c>
      <c r="CW26">
        <v>300</v>
      </c>
      <c r="CX26">
        <f t="shared" si="15"/>
        <v>30</v>
      </c>
      <c r="CY26">
        <f t="shared" si="16"/>
        <v>10</v>
      </c>
      <c r="CZ26">
        <f t="shared" si="17"/>
        <v>9.2405262022284997</v>
      </c>
      <c r="DA26">
        <f t="shared" si="40"/>
        <v>3960</v>
      </c>
      <c r="DB26">
        <f t="shared" si="18"/>
        <v>3960</v>
      </c>
      <c r="DC26">
        <f>CF26*'Reagent cost'!$C$18/1000*'Reagent cost'!$H$18</f>
        <v>4784.413580611521</v>
      </c>
      <c r="DD26">
        <f>CX26*'Ligand cost'!$B$56*'Ligand cost'!$J$56</f>
        <v>30543.831958072875</v>
      </c>
      <c r="DE26">
        <f t="shared" si="41"/>
        <v>39625.826528698344</v>
      </c>
      <c r="DF26">
        <f t="shared" si="19"/>
        <v>4586243.4239371875</v>
      </c>
      <c r="DG26">
        <f t="shared" si="42"/>
        <v>11794834.586807497</v>
      </c>
      <c r="DH26">
        <f t="shared" si="20"/>
        <v>2275209.1661185985</v>
      </c>
      <c r="DI26">
        <f t="shared" si="21"/>
        <v>14083914.336508472</v>
      </c>
      <c r="DJ26">
        <f t="shared" si="43"/>
        <v>1662824.8986326549</v>
      </c>
      <c r="DK26" s="55">
        <f>DF26*($BK$2/10000)^0.72*0.6*((A26+1)/3)^0.6*('CAPEX+OPEX'!$G$116/'CAPEX+OPEX'!$G$114)</f>
        <v>353432.95821938996</v>
      </c>
      <c r="DL26" s="55">
        <f>DG26*($BK$2/10000)^0.72*0.6*((A26+1)/3)^0.6*('CAPEX+OPEX'!$G$116/'CAPEX+OPEX'!$G$114)</f>
        <v>908953.77641011216</v>
      </c>
      <c r="DM26" s="55">
        <f>DH26*($BK$2/10000)^0.72*0.6*((A26+1)/3)^0.6*('CAPEX+OPEX'!$G$116/'CAPEX+OPEX'!$G$114)</f>
        <v>175336.07177327637</v>
      </c>
      <c r="DN26" s="55">
        <f>DI26*($BK$2/10000)^0.72*0.6*((A26+1)/3)^0.6*('CAPEX+OPEX'!$G$116/'CAPEX+OPEX'!$G$114)</f>
        <v>1085358.7668897447</v>
      </c>
      <c r="DO26" s="55">
        <f>DJ26*($BK$2/10000)^0.72*0.6*((A26+1)/3)^0.6*('CAPEX+OPEX'!$G$116/'CAPEX+OPEX'!$G$114)</f>
        <v>128143.46483599243</v>
      </c>
      <c r="DP26">
        <f t="shared" si="44"/>
        <v>2651225.0381285157</v>
      </c>
      <c r="DQ26">
        <f>DF26*(BM26/10000)^0.72*0.6*((AF26+1)/3)^0.6*('CAPEX+OPEX'!$G$116/'CAPEX+OPEX'!$G$114)</f>
        <v>425856.64395762212</v>
      </c>
      <c r="DR26">
        <f>DG26*(BM26/10000)^0.72*0.6*((AF26+1)/3)^0.6*('CAPEX+OPEX'!$G$116/'CAPEX+OPEX'!$G$114)</f>
        <v>1095211.96519069</v>
      </c>
      <c r="DS26">
        <f>DH26*(BM26/10000)^0.72*0.6*((AF26+1)/3)^0.6*('CAPEX+OPEX'!$G$116/'CAPEX+OPEX'!$G$114)</f>
        <v>211265.04858590697</v>
      </c>
      <c r="DT26">
        <f>DI26*(BM26/10000)^0.72*0.6*((AF26+1)/3)^0.6*('CAPEX+OPEX'!$G$116/'CAPEX+OPEX'!$G$114)</f>
        <v>1307764.9698722754</v>
      </c>
      <c r="DU26">
        <f>DJ26*(BM26/10000)^0.72*0.6*((AF26+1)/3)^0.6*('CAPEX+OPEX'!$G$116/'CAPEX+OPEX'!$G$114)</f>
        <v>154401.97245635209</v>
      </c>
      <c r="DV26">
        <f t="shared" si="45"/>
        <v>3194500.6000628462</v>
      </c>
      <c r="DW26">
        <f t="shared" si="46"/>
        <v>5914242.6862390563</v>
      </c>
      <c r="DX26">
        <f t="shared" si="47"/>
        <v>394282.8457492704</v>
      </c>
      <c r="DY26">
        <f>BO26*'Reagent cost'!$C$35*60*7200</f>
        <v>1131525.4359785069</v>
      </c>
      <c r="DZ26">
        <f>BP26*'Reagent cost'!$C$34*60*7200</f>
        <v>269242.76681467838</v>
      </c>
      <c r="EA26">
        <f>BQ26*'Reagent cost'!$C$14*'Reagent cost'!$C$36/1000*60*7200</f>
        <v>4462920.323675557</v>
      </c>
      <c r="EB26">
        <f t="shared" si="22"/>
        <v>39.6</v>
      </c>
      <c r="EC26">
        <f t="shared" si="23"/>
        <v>95.688271612230423</v>
      </c>
      <c r="ED26">
        <f>0.1*BK26*60*7200*'Reagent cost'!$H$17*'Reagent cost'!$C$17/1000</f>
        <v>504921.59999999998</v>
      </c>
      <c r="EE26">
        <f>BV26*0.1*'Reagent cost'!$C$16/1000*'Reagent cost'!$H$16*60*7200</f>
        <v>1107135.1328853988</v>
      </c>
      <c r="EF26">
        <f>BZ26/1000*'Reagent cost'!$H$19*'Reagent cost'!$C$19*60*7200</f>
        <v>93023.570316775513</v>
      </c>
      <c r="EG26">
        <f>0.33*('Costing 100 Lmin Feed Orig'!BO26*'Reagent cost'!$C$13+'Costing 100 Lmin Feed Orig'!BP26*'Reagent cost'!$C$12+'Costing 100 Lmin Feed Orig'!BQ26*'Reagent cost'!$C$14+'Costing 100 Lmin Feed Orig'!BV26*0.1*'Reagent cost'!$C$16+'Costing 100 Lmin Feed Orig'!BZ26*'Reagent cost'!$C$19)/1000*60*7200</f>
        <v>190323.86523050809</v>
      </c>
      <c r="EH26">
        <f>CG26*'Reagent cost'!$C$35*60*7200</f>
        <v>1839906.1173659309</v>
      </c>
      <c r="EI26">
        <f>CH26*'Reagent cost'!$C$34*60*7200</f>
        <v>437799.62691732647</v>
      </c>
      <c r="EJ26">
        <f>CI26*'Reagent cost'!$C$14*'Reagent cost'!$C$36/1000*60*7200</f>
        <v>7256888.9251229968</v>
      </c>
      <c r="EK26">
        <f t="shared" si="24"/>
        <v>39.6</v>
      </c>
      <c r="EL26">
        <f t="shared" si="25"/>
        <v>610.87663916145755</v>
      </c>
      <c r="EM26">
        <f>0.1*BM26*60*7200*'Reagent cost'!$H$17*'Reagent cost'!$C$17/1000</f>
        <v>466574.12748711376</v>
      </c>
      <c r="EN26">
        <f>CN26*0.1*'Reagent cost'!$C$16/1000*'Reagent cost'!$H$16*60*7200</f>
        <v>1800246.4982018142</v>
      </c>
      <c r="EO26">
        <f>CR26/1000*'Reagent cost'!$H$19*'Reagent cost'!$C$19*60*7200</f>
        <v>151260.08717342358</v>
      </c>
      <c r="EP26">
        <f>0.33*(CG26*'Reagent cost'!$C$13+CH26*'Reagent cost'!$C$12+CI26*'Reagent cost'!$C$14+CN26*0.1*'Reagent cost'!$C$16+CR26*'Reagent cost'!$C$19)/1000*60*7200</f>
        <v>309474.3014906405</v>
      </c>
      <c r="EQ26">
        <f t="shared" si="48"/>
        <v>23426675.97222035</v>
      </c>
      <c r="ER26">
        <f t="shared" si="49"/>
        <v>499798.16672114859</v>
      </c>
      <c r="ES26">
        <f t="shared" si="50"/>
        <v>33024.331428945443</v>
      </c>
      <c r="ET26">
        <f t="shared" si="51"/>
        <v>24915.659383376755</v>
      </c>
      <c r="EU26">
        <f t="shared" si="52"/>
        <v>10548.968690542577</v>
      </c>
      <c r="EV26">
        <f t="shared" si="53"/>
        <v>5588.0830181845758</v>
      </c>
      <c r="EW26">
        <f t="shared" si="54"/>
        <v>5626.1166349560426</v>
      </c>
      <c r="EX26">
        <f t="shared" si="55"/>
        <v>79703.159156005393</v>
      </c>
      <c r="EY26">
        <f t="shared" si="56"/>
        <v>38587.712258303472</v>
      </c>
      <c r="EZ26">
        <f t="shared" si="57"/>
        <v>34930.115508714101</v>
      </c>
      <c r="FA26">
        <f t="shared" si="58"/>
        <v>14788.960195221691</v>
      </c>
      <c r="FB26">
        <f t="shared" si="59"/>
        <v>7838.4575238279431</v>
      </c>
      <c r="FC26">
        <f t="shared" si="60"/>
        <v>7887.4454374515717</v>
      </c>
      <c r="FD26">
        <f t="shared" si="61"/>
        <v>104032.69092351878</v>
      </c>
      <c r="FE26">
        <f t="shared" si="62"/>
        <v>24110209.989021026</v>
      </c>
      <c r="FF26">
        <f t="shared" si="63"/>
        <v>24504492.834770296</v>
      </c>
      <c r="FG26">
        <f>BM26*AM26*195.08/1000*'PGM market prices'!$C$2*60*7200</f>
        <v>423449097.22584045</v>
      </c>
      <c r="FH26">
        <f>BN26*AQ26*BA26*106.42/1000*'PGM market prices'!$C$3*60*7200</f>
        <v>222514408.02938876</v>
      </c>
      <c r="FI26">
        <f>BK26*J26*102.91/1000*'PGM market prices'!$C$4*60*7200</f>
        <v>246100432.55373973</v>
      </c>
      <c r="FJ26">
        <f t="shared" si="26"/>
        <v>892063937.80896902</v>
      </c>
      <c r="FK26">
        <f t="shared" si="27"/>
        <v>641993989.28090703</v>
      </c>
      <c r="FL26">
        <f t="shared" si="64"/>
        <v>0.56723363043449759</v>
      </c>
      <c r="FM26">
        <f t="shared" si="65"/>
        <v>1951.9334281425677</v>
      </c>
      <c r="FN26">
        <f t="shared" si="66"/>
        <v>3626.39458505223</v>
      </c>
      <c r="FO26">
        <f t="shared" si="67"/>
        <v>16423.868885770651</v>
      </c>
    </row>
    <row r="27" spans="1:171">
      <c r="A27">
        <v>5</v>
      </c>
      <c r="B27">
        <v>1.54143585092054E-3</v>
      </c>
      <c r="C27">
        <v>1.54143585092054E-3</v>
      </c>
      <c r="D27">
        <v>3.4254130020456501E-4</v>
      </c>
      <c r="E27">
        <v>0</v>
      </c>
      <c r="F27">
        <v>0</v>
      </c>
      <c r="G27">
        <v>0</v>
      </c>
      <c r="H27" s="53">
        <v>1.7558377832426001E-5</v>
      </c>
      <c r="I27" s="53">
        <v>1.05063644964669E-7</v>
      </c>
      <c r="J27">
        <v>3.35605387572801E-4</v>
      </c>
      <c r="K27">
        <v>0.12557893497872399</v>
      </c>
      <c r="L27">
        <v>0.12701721899235199</v>
      </c>
      <c r="M27">
        <v>5.7157122982957897E-4</v>
      </c>
      <c r="N27" s="53">
        <v>-1.88000656708986E-16</v>
      </c>
      <c r="O27" s="53">
        <v>-6.2354635343986299E-15</v>
      </c>
      <c r="P27" s="53">
        <v>-1.51703600853245E-18</v>
      </c>
      <c r="Q27">
        <v>0.121348176216534</v>
      </c>
      <c r="R27">
        <v>97.975160184298204</v>
      </c>
      <c r="S27">
        <v>500</v>
      </c>
      <c r="T27">
        <v>95</v>
      </c>
      <c r="U27">
        <v>1</v>
      </c>
      <c r="V27">
        <v>0.1</v>
      </c>
      <c r="W27">
        <v>82.407501388038199</v>
      </c>
      <c r="X27" t="s">
        <v>323</v>
      </c>
      <c r="Y27">
        <v>1</v>
      </c>
      <c r="Z27">
        <v>0.28318429382522198</v>
      </c>
      <c r="AA27">
        <v>0.56945642916197003</v>
      </c>
      <c r="AB27">
        <v>3.7698628972227502E-3</v>
      </c>
      <c r="AC27">
        <v>1822.2107908876901</v>
      </c>
      <c r="AD27">
        <v>2662.6059073104898</v>
      </c>
      <c r="AE27">
        <v>2401.5030938442701</v>
      </c>
      <c r="AF27">
        <v>9</v>
      </c>
      <c r="AG27">
        <v>1.64912412966352E-3</v>
      </c>
      <c r="AH27">
        <v>1.66801192221077E-3</v>
      </c>
      <c r="AI27" s="53">
        <v>7.5059714998626504E-6</v>
      </c>
      <c r="AJ27">
        <v>0</v>
      </c>
      <c r="AK27">
        <v>0</v>
      </c>
      <c r="AL27">
        <v>0</v>
      </c>
      <c r="AM27">
        <v>1.6121246149811801E-3</v>
      </c>
      <c r="AN27" s="53">
        <v>7.7392143035352694E-5</v>
      </c>
      <c r="AO27" s="53">
        <v>7.4565208744733498E-6</v>
      </c>
      <c r="AP27">
        <v>1.73325760784225E-3</v>
      </c>
      <c r="AQ27">
        <v>7.4513243137229707E-2</v>
      </c>
      <c r="AR27" s="53">
        <v>2.3165350520080302E-6</v>
      </c>
      <c r="AS27" s="53">
        <v>1.36270660554271E-16</v>
      </c>
      <c r="AT27" s="53">
        <v>-1.76959141784394E-14</v>
      </c>
      <c r="AU27" s="53">
        <v>-3.3351922298138001E-21</v>
      </c>
      <c r="AV27">
        <v>0.19725572433293401</v>
      </c>
      <c r="AW27">
        <v>99.341182878322797</v>
      </c>
      <c r="AX27">
        <v>500</v>
      </c>
      <c r="AY27">
        <v>95</v>
      </c>
      <c r="AZ27">
        <v>0.92405262022284995</v>
      </c>
      <c r="BA27">
        <v>0.1</v>
      </c>
      <c r="BB27">
        <v>46.8454146690923</v>
      </c>
      <c r="BC27" t="s">
        <v>251</v>
      </c>
      <c r="BD27">
        <v>1</v>
      </c>
      <c r="BE27">
        <v>1.8775014999999999E-2</v>
      </c>
      <c r="BF27">
        <v>0.10492961100000001</v>
      </c>
      <c r="BG27">
        <v>1.814625E-3</v>
      </c>
      <c r="BH27">
        <v>285.1951444</v>
      </c>
      <c r="BI27">
        <v>2169.8944889999998</v>
      </c>
      <c r="BJ27">
        <v>866.49409060000005</v>
      </c>
      <c r="BK27">
        <f t="shared" si="0"/>
        <v>100</v>
      </c>
      <c r="BL27">
        <f t="shared" si="1"/>
        <v>12.134817621653401</v>
      </c>
      <c r="BM27">
        <f t="shared" si="2"/>
        <v>92.405262022285001</v>
      </c>
      <c r="BN27">
        <f t="shared" si="3"/>
        <v>19.725572433293401</v>
      </c>
      <c r="BO27">
        <f t="shared" si="28"/>
        <v>4.3685343437952238</v>
      </c>
      <c r="BP27">
        <f t="shared" si="4"/>
        <v>0.29123562291968164</v>
      </c>
      <c r="BQ27">
        <f t="shared" si="5"/>
        <v>1.4561781145984081</v>
      </c>
      <c r="BR27">
        <f t="shared" si="29"/>
        <v>0.72808905729920403</v>
      </c>
      <c r="BS27">
        <f t="shared" si="6"/>
        <v>1.2134817621653402</v>
      </c>
      <c r="BT27">
        <f t="shared" si="30"/>
        <v>7.2808905729920399</v>
      </c>
      <c r="BU27">
        <f t="shared" si="7"/>
        <v>19.415708194645443</v>
      </c>
      <c r="BV27">
        <f t="shared" si="31"/>
        <v>6.0674088108267004</v>
      </c>
      <c r="BW27">
        <f t="shared" si="8"/>
        <v>86.337853211458295</v>
      </c>
      <c r="BX27">
        <f t="shared" si="32"/>
        <v>104.5400796439384</v>
      </c>
      <c r="BY27">
        <f t="shared" si="33"/>
        <v>92.405262022285001</v>
      </c>
      <c r="BZ27">
        <f t="shared" si="34"/>
        <v>1.6988744670314762</v>
      </c>
      <c r="CA27">
        <f>7963.6*(BT27/1000)^0.6*1.7*('CAPEX+OPEX'!$G$116/'CAPEX+OPEX'!$G$115)</f>
        <v>832.82092834424373</v>
      </c>
      <c r="CB27">
        <f>7963.6*(BU27/1000)^0.6*1.7*('CAPEX+OPEX'!$G$116/'CAPEX+OPEX'!$G$115)</f>
        <v>1500.143724582284</v>
      </c>
      <c r="CC27">
        <f>7963.6*(BX27/1000)^0.6*1.7*('CAPEX+OPEX'!$G$116/'CAPEX+OPEX'!$G$115)</f>
        <v>4119.1786120236593</v>
      </c>
      <c r="CD27">
        <f>7963.6*(BY27/1000)^0.6*1.7*('CAPEX+OPEX'!$G$116/'CAPEX+OPEX'!$G$115)</f>
        <v>3825.2422996341465</v>
      </c>
      <c r="CE27">
        <v>300</v>
      </c>
      <c r="CF27">
        <v>30</v>
      </c>
      <c r="CG27">
        <f t="shared" si="9"/>
        <v>7.1012060759856244</v>
      </c>
      <c r="CH27">
        <f t="shared" si="10"/>
        <v>0.47341373839904161</v>
      </c>
      <c r="CI27">
        <f t="shared" si="11"/>
        <v>2.367068691995208</v>
      </c>
      <c r="CJ27">
        <f t="shared" si="12"/>
        <v>1.183534345997604</v>
      </c>
      <c r="CK27">
        <f t="shared" si="13"/>
        <v>1.9725572433293401</v>
      </c>
      <c r="CL27">
        <f t="shared" si="14"/>
        <v>11.835343459976039</v>
      </c>
      <c r="CM27">
        <f t="shared" si="35"/>
        <v>31.560915893269442</v>
      </c>
      <c r="CN27">
        <f t="shared" si="36"/>
        <v>9.8627862166467004</v>
      </c>
      <c r="CO27">
        <v>0</v>
      </c>
      <c r="CP27">
        <f t="shared" si="37"/>
        <v>29.588358649940101</v>
      </c>
      <c r="CQ27">
        <f t="shared" si="38"/>
        <v>9.8627862166467004</v>
      </c>
      <c r="CR27">
        <f t="shared" si="39"/>
        <v>2.761580140661076</v>
      </c>
      <c r="CS27">
        <f>7963.6*(CL27/1000)^0.6*1.7*('CAPEX+OPEX'!$G$116/'CAPEX+OPEX'!$G$115)</f>
        <v>1114.6780449994792</v>
      </c>
      <c r="CT27">
        <f>7963.6*(CM27/1000)^0.6*1.7*('CAPEX+OPEX'!$G$116/'CAPEX+OPEX'!$G$115)</f>
        <v>2007.8473261474383</v>
      </c>
      <c r="CU27">
        <f>7963.6*(CP27/1000)^0.6*1.7*('CAPEX+OPEX'!$G$116/'CAPEX+OPEX'!$G$115)</f>
        <v>1931.583346674123</v>
      </c>
      <c r="CV27">
        <f>7963.6*(CQ27/1000)^0.6*1.7*('CAPEX+OPEX'!$G$116/'CAPEX+OPEX'!$G$115)</f>
        <v>999.17302239495245</v>
      </c>
      <c r="CW27">
        <v>300</v>
      </c>
      <c r="CX27">
        <f t="shared" si="15"/>
        <v>30</v>
      </c>
      <c r="CY27">
        <f t="shared" si="16"/>
        <v>10</v>
      </c>
      <c r="CZ27">
        <f t="shared" si="17"/>
        <v>9.2405262022284997</v>
      </c>
      <c r="DA27">
        <f t="shared" si="40"/>
        <v>3960</v>
      </c>
      <c r="DB27">
        <f t="shared" si="18"/>
        <v>3960</v>
      </c>
      <c r="DC27">
        <f>CF27*'Reagent cost'!$C$18/1000*'Reagent cost'!$H$18</f>
        <v>4784.413580611521</v>
      </c>
      <c r="DD27">
        <f>CX27*'Ligand cost'!$B$56*'Ligand cost'!$J$56</f>
        <v>30543.831958072875</v>
      </c>
      <c r="DE27">
        <f t="shared" si="41"/>
        <v>39625.826528698344</v>
      </c>
      <c r="DF27">
        <f t="shared" si="19"/>
        <v>4586243.4239371875</v>
      </c>
      <c r="DG27">
        <f t="shared" si="42"/>
        <v>11794834.586807497</v>
      </c>
      <c r="DH27">
        <f t="shared" si="20"/>
        <v>2275209.1661185985</v>
      </c>
      <c r="DI27">
        <f t="shared" si="21"/>
        <v>14083914.336508472</v>
      </c>
      <c r="DJ27">
        <f t="shared" si="43"/>
        <v>1662824.8986326549</v>
      </c>
      <c r="DK27" s="55">
        <f>DF27*($BK$2/10000)^0.72*0.6*((A27+1)/3)^0.6*('CAPEX+OPEX'!$G$116/'CAPEX+OPEX'!$G$114)</f>
        <v>353432.95821938996</v>
      </c>
      <c r="DL27" s="55">
        <f>DG27*($BK$2/10000)^0.72*0.6*((A27+1)/3)^0.6*('CAPEX+OPEX'!$G$116/'CAPEX+OPEX'!$G$114)</f>
        <v>908953.77641011216</v>
      </c>
      <c r="DM27" s="55">
        <f>DH27*($BK$2/10000)^0.72*0.6*((A27+1)/3)^0.6*('CAPEX+OPEX'!$G$116/'CAPEX+OPEX'!$G$114)</f>
        <v>175336.07177327637</v>
      </c>
      <c r="DN27" s="55">
        <f>DI27*($BK$2/10000)^0.72*0.6*((A27+1)/3)^0.6*('CAPEX+OPEX'!$G$116/'CAPEX+OPEX'!$G$114)</f>
        <v>1085358.7668897447</v>
      </c>
      <c r="DO27" s="55">
        <f>DJ27*($BK$2/10000)^0.72*0.6*((A27+1)/3)^0.6*('CAPEX+OPEX'!$G$116/'CAPEX+OPEX'!$G$114)</f>
        <v>128143.46483599243</v>
      </c>
      <c r="DP27">
        <f t="shared" si="44"/>
        <v>2651225.0381285157</v>
      </c>
      <c r="DQ27">
        <f>DF27*(BM27/10000)^0.72*0.6*((AF27+1)/3)^0.6*('CAPEX+OPEX'!$G$116/'CAPEX+OPEX'!$G$114)</f>
        <v>453646.87294808304</v>
      </c>
      <c r="DR27">
        <f>DG27*(BM27/10000)^0.72*0.6*((AF27+1)/3)^0.6*('CAPEX+OPEX'!$G$116/'CAPEX+OPEX'!$G$114)</f>
        <v>1166682.4746628185</v>
      </c>
      <c r="DS27">
        <f>DH27*(BM27/10000)^0.72*0.6*((AF27+1)/3)^0.6*('CAPEX+OPEX'!$G$116/'CAPEX+OPEX'!$G$114)</f>
        <v>225051.6224510489</v>
      </c>
      <c r="DT27">
        <f>DI27*(BM27/10000)^0.72*0.6*((AF27+1)/3)^0.6*('CAPEX+OPEX'!$G$116/'CAPEX+OPEX'!$G$114)</f>
        <v>1393106.1016688957</v>
      </c>
      <c r="DU27">
        <f>DJ27*(BM27/10000)^0.72*0.6*((AF27+1)/3)^0.6*('CAPEX+OPEX'!$G$116/'CAPEX+OPEX'!$G$114)</f>
        <v>164477.81894606393</v>
      </c>
      <c r="DV27">
        <f t="shared" si="45"/>
        <v>3402964.8906769101</v>
      </c>
      <c r="DW27">
        <f t="shared" si="46"/>
        <v>6122705.6785754329</v>
      </c>
      <c r="DX27">
        <f t="shared" si="47"/>
        <v>408180.37857169553</v>
      </c>
      <c r="DY27">
        <f>BO27*'Reagent cost'!$C$35*60*7200</f>
        <v>1131525.4359785069</v>
      </c>
      <c r="DZ27">
        <f>BP27*'Reagent cost'!$C$34*60*7200</f>
        <v>269242.76681467838</v>
      </c>
      <c r="EA27">
        <f>BQ27*'Reagent cost'!$C$14*'Reagent cost'!$C$36/1000*60*7200</f>
        <v>4462920.323675557</v>
      </c>
      <c r="EB27">
        <f t="shared" si="22"/>
        <v>39.6</v>
      </c>
      <c r="EC27">
        <f t="shared" si="23"/>
        <v>95.688271612230423</v>
      </c>
      <c r="ED27">
        <f>0.1*BK27*60*7200*'Reagent cost'!$H$17*'Reagent cost'!$C$17/1000</f>
        <v>504921.59999999998</v>
      </c>
      <c r="EE27">
        <f>BV27*0.1*'Reagent cost'!$C$16/1000*'Reagent cost'!$H$16*60*7200</f>
        <v>1107135.1328853988</v>
      </c>
      <c r="EF27">
        <f>BZ27/1000*'Reagent cost'!$H$19*'Reagent cost'!$C$19*60*7200</f>
        <v>93023.570316775513</v>
      </c>
      <c r="EG27">
        <f>0.33*('Costing 100 Lmin Feed Orig'!BO27*'Reagent cost'!$C$13+'Costing 100 Lmin Feed Orig'!BP27*'Reagent cost'!$C$12+'Costing 100 Lmin Feed Orig'!BQ27*'Reagent cost'!$C$14+'Costing 100 Lmin Feed Orig'!BV27*0.1*'Reagent cost'!$C$16+'Costing 100 Lmin Feed Orig'!BZ27*'Reagent cost'!$C$19)/1000*60*7200</f>
        <v>190323.86523050809</v>
      </c>
      <c r="EH27">
        <f>CG27*'Reagent cost'!$C$35*60*7200</f>
        <v>1839334.3553577678</v>
      </c>
      <c r="EI27">
        <f>CH27*'Reagent cost'!$C$34*60*7200</f>
        <v>437663.5780224959</v>
      </c>
      <c r="EJ27">
        <f>CI27*'Reagent cost'!$C$14*'Reagent cost'!$C$36/1000*60*7200</f>
        <v>7254633.8027851321</v>
      </c>
      <c r="EK27">
        <f t="shared" si="24"/>
        <v>39.6</v>
      </c>
      <c r="EL27">
        <f t="shared" si="25"/>
        <v>610.87663916145755</v>
      </c>
      <c r="EM27">
        <f>0.1*BM27*60*7200*'Reagent cost'!$H$17*'Reagent cost'!$C$17/1000</f>
        <v>466574.12748711376</v>
      </c>
      <c r="EN27">
        <f>CN27*0.1*'Reagent cost'!$C$16/1000*'Reagent cost'!$H$16*60*7200</f>
        <v>1799687.0606613408</v>
      </c>
      <c r="EO27">
        <f>CR27/1000*'Reagent cost'!$H$19*'Reagent cost'!$C$19*60*7200</f>
        <v>151213.08218203788</v>
      </c>
      <c r="EP27">
        <f>0.33*(CG27*'Reagent cost'!$C$13+CH27*'Reagent cost'!$C$12+CI27*'Reagent cost'!$C$14+CN27*0.1*'Reagent cost'!$C$16+CR27*'Reagent cost'!$C$19)/1000*60*7200</f>
        <v>309378.13047059486</v>
      </c>
      <c r="EQ27">
        <f t="shared" si="48"/>
        <v>23422392.721293095</v>
      </c>
      <c r="ER27">
        <f t="shared" si="49"/>
        <v>499701.99570110295</v>
      </c>
      <c r="ES27">
        <f t="shared" si="50"/>
        <v>33024.331428945443</v>
      </c>
      <c r="ET27">
        <f t="shared" si="51"/>
        <v>24915.659383376755</v>
      </c>
      <c r="EU27">
        <f t="shared" si="52"/>
        <v>10548.968690542577</v>
      </c>
      <c r="EV27">
        <f t="shared" si="53"/>
        <v>5588.0830181845758</v>
      </c>
      <c r="EW27">
        <f t="shared" si="54"/>
        <v>5626.1166349560426</v>
      </c>
      <c r="EX27">
        <f t="shared" si="55"/>
        <v>79703.159156005393</v>
      </c>
      <c r="EY27">
        <f t="shared" si="56"/>
        <v>41160.226408857045</v>
      </c>
      <c r="EZ27">
        <f t="shared" si="57"/>
        <v>38811.239454126779</v>
      </c>
      <c r="FA27">
        <f t="shared" si="58"/>
        <v>16432.17799469077</v>
      </c>
      <c r="FB27">
        <f t="shared" si="59"/>
        <v>8709.3972486977145</v>
      </c>
      <c r="FC27">
        <f t="shared" si="60"/>
        <v>8763.8282638350811</v>
      </c>
      <c r="FD27">
        <f t="shared" si="61"/>
        <v>113876.86937020738</v>
      </c>
      <c r="FE27">
        <f t="shared" si="62"/>
        <v>24115674.745520413</v>
      </c>
      <c r="FF27">
        <f t="shared" si="63"/>
        <v>24523855.12409211</v>
      </c>
      <c r="FG27">
        <f>BM27*AM27*195.08/1000*'PGM market prices'!$C$2*60*7200</f>
        <v>423459909.43413442</v>
      </c>
      <c r="FH27">
        <f>BN27*AQ27*BA27*106.42/1000*'PGM market prices'!$C$3*60*7200</f>
        <v>222514111.85742551</v>
      </c>
      <c r="FI27">
        <f>BK27*J27*102.91/1000*'PGM market prices'!$C$4*60*7200</f>
        <v>246100432.55373973</v>
      </c>
      <c r="FJ27">
        <f t="shared" si="26"/>
        <v>892074453.84529972</v>
      </c>
      <c r="FK27">
        <f t="shared" si="27"/>
        <v>641987443.05369365</v>
      </c>
      <c r="FL27">
        <f t="shared" si="64"/>
        <v>0.56768183157620622</v>
      </c>
      <c r="FM27">
        <f t="shared" si="65"/>
        <v>1953.425875337316</v>
      </c>
      <c r="FN27">
        <f t="shared" si="66"/>
        <v>3629.2648208882406</v>
      </c>
      <c r="FO27">
        <f t="shared" si="67"/>
        <v>16436.84624887276</v>
      </c>
    </row>
    <row r="28" spans="1:171">
      <c r="A28">
        <v>5</v>
      </c>
      <c r="B28">
        <v>1.54143585092054E-3</v>
      </c>
      <c r="C28">
        <v>1.54143585092054E-3</v>
      </c>
      <c r="D28">
        <v>3.4254130020456501E-4</v>
      </c>
      <c r="E28">
        <v>0</v>
      </c>
      <c r="F28">
        <v>0</v>
      </c>
      <c r="G28">
        <v>0</v>
      </c>
      <c r="H28" s="53">
        <v>1.7558377832426001E-5</v>
      </c>
      <c r="I28" s="53">
        <v>1.05063644964669E-7</v>
      </c>
      <c r="J28">
        <v>3.35605387572801E-4</v>
      </c>
      <c r="K28">
        <v>0.12557893497872399</v>
      </c>
      <c r="L28">
        <v>0.12701721899235199</v>
      </c>
      <c r="M28">
        <v>5.7157122982957897E-4</v>
      </c>
      <c r="N28" s="53">
        <v>-1.88000656708986E-16</v>
      </c>
      <c r="O28" s="53">
        <v>-6.2354635343986299E-15</v>
      </c>
      <c r="P28" s="53">
        <v>-1.51703600853245E-18</v>
      </c>
      <c r="Q28">
        <v>0.121348176216534</v>
      </c>
      <c r="R28">
        <v>97.975160184298204</v>
      </c>
      <c r="S28">
        <v>500</v>
      </c>
      <c r="T28">
        <v>95</v>
      </c>
      <c r="U28">
        <v>1</v>
      </c>
      <c r="V28">
        <v>0.1</v>
      </c>
      <c r="W28">
        <v>82.407501388038199</v>
      </c>
      <c r="X28" t="s">
        <v>323</v>
      </c>
      <c r="Y28">
        <v>1</v>
      </c>
      <c r="Z28">
        <v>0.28318429382522198</v>
      </c>
      <c r="AA28">
        <v>0.56945642916197003</v>
      </c>
      <c r="AB28">
        <v>3.7698628972227502E-3</v>
      </c>
      <c r="AC28">
        <v>1822.2107908876901</v>
      </c>
      <c r="AD28">
        <v>2662.6059073104898</v>
      </c>
      <c r="AE28">
        <v>2401.5030938442701</v>
      </c>
      <c r="AF28">
        <v>10</v>
      </c>
      <c r="AG28">
        <v>1.64912412966352E-3</v>
      </c>
      <c r="AH28">
        <v>1.66801192221077E-3</v>
      </c>
      <c r="AI28" s="53">
        <v>7.5059714998626504E-6</v>
      </c>
      <c r="AJ28">
        <v>0</v>
      </c>
      <c r="AK28">
        <v>0</v>
      </c>
      <c r="AL28">
        <v>0</v>
      </c>
      <c r="AM28">
        <v>1.6121362331363101E-3</v>
      </c>
      <c r="AN28" s="53">
        <v>7.7392739668893999E-5</v>
      </c>
      <c r="AO28" s="53">
        <v>7.4565357583961302E-6</v>
      </c>
      <c r="AP28">
        <v>1.73286538721668E-3</v>
      </c>
      <c r="AQ28">
        <v>7.4519753455558904E-2</v>
      </c>
      <c r="AR28" s="53">
        <v>2.3160410123781799E-6</v>
      </c>
      <c r="AS28" s="53">
        <v>1.6048882329425901E-14</v>
      </c>
      <c r="AT28" s="53">
        <v>-1.6442669708433E-12</v>
      </c>
      <c r="AU28" s="53">
        <v>1.7745340244977501E-19</v>
      </c>
      <c r="AV28">
        <v>0.19723841758619901</v>
      </c>
      <c r="AW28">
        <v>99.341381172744505</v>
      </c>
      <c r="AX28">
        <v>500</v>
      </c>
      <c r="AY28">
        <v>95</v>
      </c>
      <c r="AZ28">
        <v>0.92405262022284995</v>
      </c>
      <c r="BA28">
        <v>0.1</v>
      </c>
      <c r="BB28">
        <v>46.849525134676597</v>
      </c>
      <c r="BC28" t="s">
        <v>251</v>
      </c>
      <c r="BD28">
        <v>1</v>
      </c>
      <c r="BE28">
        <v>1.8775014999999999E-2</v>
      </c>
      <c r="BF28">
        <v>0.10492961100000001</v>
      </c>
      <c r="BG28">
        <v>1.814625E-3</v>
      </c>
      <c r="BH28">
        <v>285.1951444</v>
      </c>
      <c r="BI28">
        <v>2169.8944889999998</v>
      </c>
      <c r="BJ28">
        <v>866.49409060000005</v>
      </c>
      <c r="BK28">
        <f t="shared" si="0"/>
        <v>100</v>
      </c>
      <c r="BL28">
        <f t="shared" si="1"/>
        <v>12.134817621653401</v>
      </c>
      <c r="BM28">
        <f t="shared" si="2"/>
        <v>92.405262022285001</v>
      </c>
      <c r="BN28">
        <f t="shared" si="3"/>
        <v>19.723841758619901</v>
      </c>
      <c r="BO28">
        <f t="shared" si="28"/>
        <v>4.3685343437952238</v>
      </c>
      <c r="BP28">
        <f t="shared" si="4"/>
        <v>0.29123562291968164</v>
      </c>
      <c r="BQ28">
        <f t="shared" si="5"/>
        <v>1.4561781145984081</v>
      </c>
      <c r="BR28">
        <f t="shared" si="29"/>
        <v>0.72808905729920403</v>
      </c>
      <c r="BS28">
        <f t="shared" si="6"/>
        <v>1.2134817621653402</v>
      </c>
      <c r="BT28">
        <f t="shared" si="30"/>
        <v>7.2808905729920399</v>
      </c>
      <c r="BU28">
        <f t="shared" si="7"/>
        <v>19.415708194645443</v>
      </c>
      <c r="BV28">
        <f t="shared" si="31"/>
        <v>6.0674088108267004</v>
      </c>
      <c r="BW28">
        <f t="shared" si="8"/>
        <v>86.337853211458295</v>
      </c>
      <c r="BX28">
        <f t="shared" si="32"/>
        <v>104.5400796439384</v>
      </c>
      <c r="BY28">
        <f t="shared" si="33"/>
        <v>92.405262022285001</v>
      </c>
      <c r="BZ28">
        <f t="shared" si="34"/>
        <v>1.6988744670314762</v>
      </c>
      <c r="CA28">
        <f>7963.6*(BT28/1000)^0.6*1.7*('CAPEX+OPEX'!$G$116/'CAPEX+OPEX'!$G$115)</f>
        <v>832.82092834424373</v>
      </c>
      <c r="CB28">
        <f>7963.6*(BU28/1000)^0.6*1.7*('CAPEX+OPEX'!$G$116/'CAPEX+OPEX'!$G$115)</f>
        <v>1500.143724582284</v>
      </c>
      <c r="CC28">
        <f>7963.6*(BX28/1000)^0.6*1.7*('CAPEX+OPEX'!$G$116/'CAPEX+OPEX'!$G$115)</f>
        <v>4119.1786120236593</v>
      </c>
      <c r="CD28">
        <f>7963.6*(BY28/1000)^0.6*1.7*('CAPEX+OPEX'!$G$116/'CAPEX+OPEX'!$G$115)</f>
        <v>3825.2422996341465</v>
      </c>
      <c r="CE28">
        <v>300</v>
      </c>
      <c r="CF28">
        <v>30</v>
      </c>
      <c r="CG28">
        <f t="shared" si="9"/>
        <v>7.1005830331031641</v>
      </c>
      <c r="CH28">
        <f t="shared" si="10"/>
        <v>0.47337220220687765</v>
      </c>
      <c r="CI28">
        <f t="shared" si="11"/>
        <v>2.3668610110343882</v>
      </c>
      <c r="CJ28">
        <f t="shared" si="12"/>
        <v>1.1834305055171941</v>
      </c>
      <c r="CK28">
        <f t="shared" si="13"/>
        <v>1.9723841758619902</v>
      </c>
      <c r="CL28">
        <f t="shared" si="14"/>
        <v>11.83430505517194</v>
      </c>
      <c r="CM28">
        <f t="shared" si="35"/>
        <v>31.558146813791843</v>
      </c>
      <c r="CN28">
        <f t="shared" si="36"/>
        <v>9.8619208793099506</v>
      </c>
      <c r="CO28">
        <v>0</v>
      </c>
      <c r="CP28">
        <f t="shared" si="37"/>
        <v>29.585762637929854</v>
      </c>
      <c r="CQ28">
        <f t="shared" si="38"/>
        <v>9.8619208793099506</v>
      </c>
      <c r="CR28">
        <f t="shared" si="39"/>
        <v>2.7613378462067861</v>
      </c>
      <c r="CS28">
        <f>7963.6*(CL28/1000)^0.6*1.7*('CAPEX+OPEX'!$G$116/'CAPEX+OPEX'!$G$115)</f>
        <v>1114.619364454074</v>
      </c>
      <c r="CT28">
        <f>7963.6*(CM28/1000)^0.6*1.7*('CAPEX+OPEX'!$G$116/'CAPEX+OPEX'!$G$115)</f>
        <v>2007.741626051597</v>
      </c>
      <c r="CU28">
        <f>7963.6*(CP28/1000)^0.6*1.7*('CAPEX+OPEX'!$G$116/'CAPEX+OPEX'!$G$115)</f>
        <v>1931.481661380521</v>
      </c>
      <c r="CV28">
        <f>7963.6*(CQ28/1000)^0.6*1.7*('CAPEX+OPEX'!$G$116/'CAPEX+OPEX'!$G$115)</f>
        <v>999.12042243734913</v>
      </c>
      <c r="CW28">
        <v>300</v>
      </c>
      <c r="CX28">
        <f t="shared" si="15"/>
        <v>30</v>
      </c>
      <c r="CY28">
        <f t="shared" si="16"/>
        <v>10</v>
      </c>
      <c r="CZ28">
        <f t="shared" si="17"/>
        <v>9.2405262022284997</v>
      </c>
      <c r="DA28">
        <f t="shared" si="40"/>
        <v>3960</v>
      </c>
      <c r="DB28">
        <f t="shared" si="18"/>
        <v>3960</v>
      </c>
      <c r="DC28">
        <f>CF28*'Reagent cost'!$C$18/1000*'Reagent cost'!$H$18</f>
        <v>4784.413580611521</v>
      </c>
      <c r="DD28">
        <f>CX28*'Ligand cost'!$B$56*'Ligand cost'!$J$56</f>
        <v>30543.831958072875</v>
      </c>
      <c r="DE28">
        <f t="shared" si="41"/>
        <v>39625.826528698344</v>
      </c>
      <c r="DF28">
        <f t="shared" si="19"/>
        <v>4586243.4239371875</v>
      </c>
      <c r="DG28">
        <f t="shared" si="42"/>
        <v>11794834.586807497</v>
      </c>
      <c r="DH28">
        <f t="shared" si="20"/>
        <v>2275209.1661185985</v>
      </c>
      <c r="DI28">
        <f t="shared" si="21"/>
        <v>14083914.336508472</v>
      </c>
      <c r="DJ28">
        <f t="shared" si="43"/>
        <v>1662824.8986326549</v>
      </c>
      <c r="DK28" s="55">
        <f>DF28*($BK$2/10000)^0.72*0.6*((A28+1)/3)^0.6*('CAPEX+OPEX'!$G$116/'CAPEX+OPEX'!$G$114)</f>
        <v>353432.95821938996</v>
      </c>
      <c r="DL28" s="55">
        <f>DG28*($BK$2/10000)^0.72*0.6*((A28+1)/3)^0.6*('CAPEX+OPEX'!$G$116/'CAPEX+OPEX'!$G$114)</f>
        <v>908953.77641011216</v>
      </c>
      <c r="DM28" s="55">
        <f>DH28*($BK$2/10000)^0.72*0.6*((A28+1)/3)^0.6*('CAPEX+OPEX'!$G$116/'CAPEX+OPEX'!$G$114)</f>
        <v>175336.07177327637</v>
      </c>
      <c r="DN28" s="55">
        <f>DI28*($BK$2/10000)^0.72*0.6*((A28+1)/3)^0.6*('CAPEX+OPEX'!$G$116/'CAPEX+OPEX'!$G$114)</f>
        <v>1085358.7668897447</v>
      </c>
      <c r="DO28" s="55">
        <f>DJ28*($BK$2/10000)^0.72*0.6*((A28+1)/3)^0.6*('CAPEX+OPEX'!$G$116/'CAPEX+OPEX'!$G$114)</f>
        <v>128143.46483599243</v>
      </c>
      <c r="DP28">
        <f t="shared" si="44"/>
        <v>2651225.0381285157</v>
      </c>
      <c r="DQ28">
        <f>DF28*(BM28/10000)^0.72*0.6*((AF28+1)/3)^0.6*('CAPEX+OPEX'!$G$116/'CAPEX+OPEX'!$G$114)</f>
        <v>480345.28564012412</v>
      </c>
      <c r="DR28">
        <f>DG28*(BM28/10000)^0.72*0.6*((AF28+1)/3)^0.6*('CAPEX+OPEX'!$G$116/'CAPEX+OPEX'!$G$114)</f>
        <v>1235345.0667505732</v>
      </c>
      <c r="DS28">
        <f>DH28*(BM28/10000)^0.72*0.6*((AF28+1)/3)^0.6*('CAPEX+OPEX'!$G$116/'CAPEX+OPEX'!$G$114)</f>
        <v>238296.55248696948</v>
      </c>
      <c r="DT28">
        <f>DI28*(BM28/10000)^0.72*0.6*((AF28+1)/3)^0.6*('CAPEX+OPEX'!$G$116/'CAPEX+OPEX'!$G$114)</f>
        <v>1475094.3701748559</v>
      </c>
      <c r="DU28">
        <f>DJ28*(BM28/10000)^0.72*0.6*((AF28+1)/3)^0.6*('CAPEX+OPEX'!$G$116/'CAPEX+OPEX'!$G$114)</f>
        <v>174157.80783339258</v>
      </c>
      <c r="DV28">
        <f t="shared" si="45"/>
        <v>3603239.0828859149</v>
      </c>
      <c r="DW28">
        <f t="shared" si="46"/>
        <v>6322979.504318662</v>
      </c>
      <c r="DX28">
        <f t="shared" si="47"/>
        <v>421531.96695457748</v>
      </c>
      <c r="DY28">
        <f>BO28*'Reagent cost'!$C$35*60*7200</f>
        <v>1131525.4359785069</v>
      </c>
      <c r="DZ28">
        <f>BP28*'Reagent cost'!$C$34*60*7200</f>
        <v>269242.76681467838</v>
      </c>
      <c r="EA28">
        <f>BQ28*'Reagent cost'!$C$14*'Reagent cost'!$C$36/1000*60*7200</f>
        <v>4462920.323675557</v>
      </c>
      <c r="EB28">
        <f t="shared" si="22"/>
        <v>39.6</v>
      </c>
      <c r="EC28">
        <f t="shared" si="23"/>
        <v>95.688271612230423</v>
      </c>
      <c r="ED28">
        <f>0.1*BK28*60*7200*'Reagent cost'!$H$17*'Reagent cost'!$C$17/1000</f>
        <v>504921.59999999998</v>
      </c>
      <c r="EE28">
        <f>BV28*0.1*'Reagent cost'!$C$16/1000*'Reagent cost'!$H$16*60*7200</f>
        <v>1107135.1328853988</v>
      </c>
      <c r="EF28">
        <f>BZ28/1000*'Reagent cost'!$H$19*'Reagent cost'!$C$19*60*7200</f>
        <v>93023.570316775513</v>
      </c>
      <c r="EG28">
        <f>0.33*('Costing 100 Lmin Feed Orig'!BO28*'Reagent cost'!$C$13+'Costing 100 Lmin Feed Orig'!BP28*'Reagent cost'!$C$12+'Costing 100 Lmin Feed Orig'!BQ28*'Reagent cost'!$C$14+'Costing 100 Lmin Feed Orig'!BV28*0.1*'Reagent cost'!$C$16+'Costing 100 Lmin Feed Orig'!BZ28*'Reagent cost'!$C$19)/1000*60*7200</f>
        <v>190323.86523050809</v>
      </c>
      <c r="EH28">
        <f>CG28*'Reagent cost'!$C$35*60*7200</f>
        <v>1839172.9765488289</v>
      </c>
      <c r="EI28">
        <f>CH28*'Reagent cost'!$C$34*60*7200</f>
        <v>437625.17846412782</v>
      </c>
      <c r="EJ28">
        <f>CI28*'Reagent cost'!$C$14*'Reagent cost'!$C$36/1000*60*7200</f>
        <v>7253997.2985198982</v>
      </c>
      <c r="EK28">
        <f t="shared" si="24"/>
        <v>39.6</v>
      </c>
      <c r="EL28">
        <f t="shared" si="25"/>
        <v>610.87663916145755</v>
      </c>
      <c r="EM28">
        <f>0.1*BM28*60*7200*'Reagent cost'!$H$17*'Reagent cost'!$C$17/1000</f>
        <v>466574.12748711376</v>
      </c>
      <c r="EN28">
        <f>CN28*0.1*'Reagent cost'!$C$16/1000*'Reagent cost'!$H$16*60*7200</f>
        <v>1799529.1604114673</v>
      </c>
      <c r="EO28">
        <f>CR28/1000*'Reagent cost'!$H$19*'Reagent cost'!$C$19*60*7200</f>
        <v>151199.81510689878</v>
      </c>
      <c r="EP28">
        <f>0.33*(CG28*'Reagent cost'!$C$13+CH28*'Reagent cost'!$C$12+CI28*'Reagent cost'!$C$14+CN28*0.1*'Reagent cost'!$C$16+CR28*'Reagent cost'!$C$19)/1000*60*7200</f>
        <v>309350.98637139308</v>
      </c>
      <c r="EQ28">
        <f t="shared" si="48"/>
        <v>23421183.78134403</v>
      </c>
      <c r="ER28">
        <f t="shared" si="49"/>
        <v>499674.85160190117</v>
      </c>
      <c r="ES28">
        <f t="shared" si="50"/>
        <v>33024.331428945443</v>
      </c>
      <c r="ET28">
        <f t="shared" si="51"/>
        <v>24915.659383376755</v>
      </c>
      <c r="EU28">
        <f t="shared" si="52"/>
        <v>10548.968690542577</v>
      </c>
      <c r="EV28">
        <f t="shared" si="53"/>
        <v>5588.0830181845758</v>
      </c>
      <c r="EW28">
        <f t="shared" si="54"/>
        <v>5626.1166349560426</v>
      </c>
      <c r="EX28">
        <f t="shared" si="55"/>
        <v>79703.159156005393</v>
      </c>
      <c r="EY28">
        <f t="shared" si="56"/>
        <v>43732.740559410609</v>
      </c>
      <c r="EZ28">
        <f t="shared" si="57"/>
        <v>42692.363399539456</v>
      </c>
      <c r="FA28">
        <f t="shared" si="58"/>
        <v>18075.395794159842</v>
      </c>
      <c r="FB28">
        <f t="shared" si="59"/>
        <v>9580.336973567486</v>
      </c>
      <c r="FC28">
        <f t="shared" si="60"/>
        <v>9640.2110902185887</v>
      </c>
      <c r="FD28">
        <f t="shared" si="61"/>
        <v>123721.047816896</v>
      </c>
      <c r="FE28">
        <f t="shared" si="62"/>
        <v>24124282.839918833</v>
      </c>
      <c r="FF28">
        <f t="shared" si="63"/>
        <v>24545814.806873411</v>
      </c>
      <c r="FG28">
        <f>BM28*AM28*195.08/1000*'PGM market prices'!$C$2*60*7200</f>
        <v>423462961.19754875</v>
      </c>
      <c r="FH28">
        <f>BN28*AQ28*BA28*106.42/1000*'PGM market prices'!$C$3*60*7200</f>
        <v>222514028.6397379</v>
      </c>
      <c r="FI28">
        <f>BK28*J28*102.91/1000*'PGM market prices'!$C$4*60*7200</f>
        <v>246100432.55373973</v>
      </c>
      <c r="FJ28">
        <f t="shared" si="26"/>
        <v>892077422.3910265</v>
      </c>
      <c r="FK28">
        <f t="shared" si="27"/>
        <v>641973389.61227322</v>
      </c>
      <c r="FL28">
        <f t="shared" si="64"/>
        <v>0.56819015756651414</v>
      </c>
      <c r="FM28">
        <f t="shared" si="65"/>
        <v>1955.1609640172928</v>
      </c>
      <c r="FN28">
        <f t="shared" si="66"/>
        <v>3632.5159745061419</v>
      </c>
      <c r="FO28">
        <f t="shared" si="67"/>
        <v>16451.564486593699</v>
      </c>
    </row>
    <row r="29" spans="1:171">
      <c r="A29">
        <v>5</v>
      </c>
      <c r="B29">
        <v>1.54143585092054E-3</v>
      </c>
      <c r="C29">
        <v>1.54143585092054E-3</v>
      </c>
      <c r="D29">
        <v>3.4254130020456501E-4</v>
      </c>
      <c r="E29">
        <v>0</v>
      </c>
      <c r="F29">
        <v>0</v>
      </c>
      <c r="G29">
        <v>0</v>
      </c>
      <c r="H29" s="53">
        <v>1.7558377832426001E-5</v>
      </c>
      <c r="I29" s="53">
        <v>1.05063644964669E-7</v>
      </c>
      <c r="J29">
        <v>3.35605387572801E-4</v>
      </c>
      <c r="K29">
        <v>0.12557893497872399</v>
      </c>
      <c r="L29">
        <v>0.12701721899235199</v>
      </c>
      <c r="M29">
        <v>5.7157122982957897E-4</v>
      </c>
      <c r="N29" s="53">
        <v>-1.88000656708986E-16</v>
      </c>
      <c r="O29" s="53">
        <v>-6.2354635343986299E-15</v>
      </c>
      <c r="P29" s="53">
        <v>-1.51703600853245E-18</v>
      </c>
      <c r="Q29">
        <v>0.121348176216534</v>
      </c>
      <c r="R29">
        <v>97.975160184298204</v>
      </c>
      <c r="S29">
        <v>500</v>
      </c>
      <c r="T29">
        <v>95</v>
      </c>
      <c r="U29">
        <v>1</v>
      </c>
      <c r="V29">
        <v>0.1</v>
      </c>
      <c r="W29">
        <v>82.407501388038199</v>
      </c>
      <c r="X29" t="s">
        <v>323</v>
      </c>
      <c r="Y29">
        <v>1</v>
      </c>
      <c r="Z29">
        <v>0.28318429382522198</v>
      </c>
      <c r="AA29">
        <v>0.56945642916197003</v>
      </c>
      <c r="AB29">
        <v>3.7698628972227502E-3</v>
      </c>
      <c r="AC29">
        <v>1822.2107908876901</v>
      </c>
      <c r="AD29">
        <v>2662.6059073104898</v>
      </c>
      <c r="AE29">
        <v>2401.5030938442701</v>
      </c>
      <c r="AF29">
        <v>11</v>
      </c>
      <c r="AG29">
        <v>1.64912412966352E-3</v>
      </c>
      <c r="AH29">
        <v>1.66801192221077E-3</v>
      </c>
      <c r="AI29" s="53">
        <v>7.5059714998626504E-6</v>
      </c>
      <c r="AJ29">
        <v>0</v>
      </c>
      <c r="AK29">
        <v>0</v>
      </c>
      <c r="AL29">
        <v>0</v>
      </c>
      <c r="AM29">
        <v>1.6121395083820099E-3</v>
      </c>
      <c r="AN29" s="53">
        <v>7.7392907855296494E-5</v>
      </c>
      <c r="AO29" s="53">
        <v>7.4565399542604097E-6</v>
      </c>
      <c r="AP29">
        <v>1.73275480734907E-3</v>
      </c>
      <c r="AQ29">
        <v>7.4521588927651899E-2</v>
      </c>
      <c r="AR29" s="53">
        <v>2.3159017264239102E-6</v>
      </c>
      <c r="AS29" s="53">
        <v>3.11708124589582E-19</v>
      </c>
      <c r="AT29" s="53">
        <v>-5.4210108624275199E-18</v>
      </c>
      <c r="AU29" s="53">
        <v>1.34334131478611E-21</v>
      </c>
      <c r="AV29">
        <v>0.197233538514378</v>
      </c>
      <c r="AW29">
        <v>99.3414370730938</v>
      </c>
      <c r="AX29">
        <v>500</v>
      </c>
      <c r="AY29">
        <v>95</v>
      </c>
      <c r="AZ29">
        <v>0.92405262022284995</v>
      </c>
      <c r="BA29">
        <v>0.1</v>
      </c>
      <c r="BB29">
        <v>46.850684076505999</v>
      </c>
      <c r="BC29" t="s">
        <v>251</v>
      </c>
      <c r="BD29">
        <v>1</v>
      </c>
      <c r="BE29">
        <v>1.8775014999999999E-2</v>
      </c>
      <c r="BF29">
        <v>0.10492961100000001</v>
      </c>
      <c r="BG29">
        <v>1.814625E-3</v>
      </c>
      <c r="BH29">
        <v>285.1951444</v>
      </c>
      <c r="BI29">
        <v>2169.8944889999998</v>
      </c>
      <c r="BJ29">
        <v>866.49409060000005</v>
      </c>
      <c r="BK29">
        <f t="shared" si="0"/>
        <v>100</v>
      </c>
      <c r="BL29">
        <f t="shared" si="1"/>
        <v>12.134817621653401</v>
      </c>
      <c r="BM29">
        <f t="shared" si="2"/>
        <v>92.405262022285001</v>
      </c>
      <c r="BN29">
        <f t="shared" si="3"/>
        <v>19.7233538514378</v>
      </c>
      <c r="BO29">
        <f t="shared" si="28"/>
        <v>4.3685343437952238</v>
      </c>
      <c r="BP29">
        <f t="shared" si="4"/>
        <v>0.29123562291968164</v>
      </c>
      <c r="BQ29">
        <f t="shared" si="5"/>
        <v>1.4561781145984081</v>
      </c>
      <c r="BR29">
        <f t="shared" si="29"/>
        <v>0.72808905729920403</v>
      </c>
      <c r="BS29">
        <f t="shared" si="6"/>
        <v>1.2134817621653402</v>
      </c>
      <c r="BT29">
        <f t="shared" si="30"/>
        <v>7.2808905729920399</v>
      </c>
      <c r="BU29">
        <f t="shared" si="7"/>
        <v>19.415708194645443</v>
      </c>
      <c r="BV29">
        <f t="shared" si="31"/>
        <v>6.0674088108267004</v>
      </c>
      <c r="BW29">
        <f t="shared" si="8"/>
        <v>86.337853211458295</v>
      </c>
      <c r="BX29">
        <f t="shared" si="32"/>
        <v>104.5400796439384</v>
      </c>
      <c r="BY29">
        <f t="shared" si="33"/>
        <v>92.405262022285001</v>
      </c>
      <c r="BZ29">
        <f t="shared" si="34"/>
        <v>1.6988744670314762</v>
      </c>
      <c r="CA29">
        <f>7963.6*(BT29/1000)^0.6*1.7*('CAPEX+OPEX'!$G$116/'CAPEX+OPEX'!$G$115)</f>
        <v>832.82092834424373</v>
      </c>
      <c r="CB29">
        <f>7963.6*(BU29/1000)^0.6*1.7*('CAPEX+OPEX'!$G$116/'CAPEX+OPEX'!$G$115)</f>
        <v>1500.143724582284</v>
      </c>
      <c r="CC29">
        <f>7963.6*(BX29/1000)^0.6*1.7*('CAPEX+OPEX'!$G$116/'CAPEX+OPEX'!$G$115)</f>
        <v>4119.1786120236593</v>
      </c>
      <c r="CD29">
        <f>7963.6*(BY29/1000)^0.6*1.7*('CAPEX+OPEX'!$G$116/'CAPEX+OPEX'!$G$115)</f>
        <v>3825.2422996341465</v>
      </c>
      <c r="CE29">
        <v>300</v>
      </c>
      <c r="CF29">
        <v>30</v>
      </c>
      <c r="CG29">
        <f t="shared" si="9"/>
        <v>7.1004073865176078</v>
      </c>
      <c r="CH29">
        <f t="shared" si="10"/>
        <v>0.47336049243450723</v>
      </c>
      <c r="CI29">
        <f t="shared" si="11"/>
        <v>2.3668024621725361</v>
      </c>
      <c r="CJ29">
        <f t="shared" si="12"/>
        <v>1.183401231086268</v>
      </c>
      <c r="CK29">
        <f t="shared" si="13"/>
        <v>1.9723353851437802</v>
      </c>
      <c r="CL29">
        <f t="shared" si="14"/>
        <v>11.834012310862679</v>
      </c>
      <c r="CM29">
        <f t="shared" si="35"/>
        <v>31.557366162300482</v>
      </c>
      <c r="CN29">
        <f t="shared" si="36"/>
        <v>9.8616769257188999</v>
      </c>
      <c r="CO29">
        <v>0</v>
      </c>
      <c r="CP29">
        <f t="shared" si="37"/>
        <v>29.5850307771567</v>
      </c>
      <c r="CQ29">
        <f t="shared" si="38"/>
        <v>9.8616769257188999</v>
      </c>
      <c r="CR29">
        <f t="shared" si="39"/>
        <v>2.761269539201292</v>
      </c>
      <c r="CS29">
        <f>7963.6*(CL29/1000)^0.6*1.7*('CAPEX+OPEX'!$G$116/'CAPEX+OPEX'!$G$115)</f>
        <v>1114.6028210192669</v>
      </c>
      <c r="CT29">
        <f>7963.6*(CM29/1000)^0.6*1.7*('CAPEX+OPEX'!$G$116/'CAPEX+OPEX'!$G$115)</f>
        <v>2007.7118266924983</v>
      </c>
      <c r="CU29">
        <f>7963.6*(CP29/1000)^0.6*1.7*('CAPEX+OPEX'!$G$116/'CAPEX+OPEX'!$G$115)</f>
        <v>1931.4529938892092</v>
      </c>
      <c r="CV29">
        <f>7963.6*(CQ29/1000)^0.6*1.7*('CAPEX+OPEX'!$G$116/'CAPEX+OPEX'!$G$115)</f>
        <v>999.10559326417979</v>
      </c>
      <c r="CW29">
        <v>300</v>
      </c>
      <c r="CX29">
        <f t="shared" si="15"/>
        <v>30</v>
      </c>
      <c r="CY29">
        <f t="shared" si="16"/>
        <v>10</v>
      </c>
      <c r="CZ29">
        <f t="shared" si="17"/>
        <v>9.2405262022284997</v>
      </c>
      <c r="DA29">
        <f t="shared" si="40"/>
        <v>3960</v>
      </c>
      <c r="DB29">
        <f t="shared" si="18"/>
        <v>3960</v>
      </c>
      <c r="DC29">
        <f>CF29*'Reagent cost'!$C$18/1000*'Reagent cost'!$H$18</f>
        <v>4784.413580611521</v>
      </c>
      <c r="DD29">
        <f>CX29*'Ligand cost'!$B$56*'Ligand cost'!$J$56</f>
        <v>30543.831958072875</v>
      </c>
      <c r="DE29">
        <f t="shared" si="41"/>
        <v>39625.826528698344</v>
      </c>
      <c r="DF29">
        <f t="shared" si="19"/>
        <v>4586243.4239371875</v>
      </c>
      <c r="DG29">
        <f t="shared" si="42"/>
        <v>11794834.586807497</v>
      </c>
      <c r="DH29">
        <f t="shared" si="20"/>
        <v>2275209.1661185985</v>
      </c>
      <c r="DI29">
        <f t="shared" si="21"/>
        <v>14083914.336508472</v>
      </c>
      <c r="DJ29">
        <f t="shared" si="43"/>
        <v>1662824.8986326549</v>
      </c>
      <c r="DK29" s="55">
        <f>DF29*($BK$2/10000)^0.72*0.6*((A29+1)/3)^0.6*('CAPEX+OPEX'!$G$116/'CAPEX+OPEX'!$G$114)</f>
        <v>353432.95821938996</v>
      </c>
      <c r="DL29" s="55">
        <f>DG29*($BK$2/10000)^0.72*0.6*((A29+1)/3)^0.6*('CAPEX+OPEX'!$G$116/'CAPEX+OPEX'!$G$114)</f>
        <v>908953.77641011216</v>
      </c>
      <c r="DM29" s="55">
        <f>DH29*($BK$2/10000)^0.72*0.6*((A29+1)/3)^0.6*('CAPEX+OPEX'!$G$116/'CAPEX+OPEX'!$G$114)</f>
        <v>175336.07177327637</v>
      </c>
      <c r="DN29" s="55">
        <f>DI29*($BK$2/10000)^0.72*0.6*((A29+1)/3)^0.6*('CAPEX+OPEX'!$G$116/'CAPEX+OPEX'!$G$114)</f>
        <v>1085358.7668897447</v>
      </c>
      <c r="DO29" s="55">
        <f>DJ29*($BK$2/10000)^0.72*0.6*((A29+1)/3)^0.6*('CAPEX+OPEX'!$G$116/'CAPEX+OPEX'!$G$114)</f>
        <v>128143.46483599243</v>
      </c>
      <c r="DP29">
        <f t="shared" si="44"/>
        <v>2651225.0381285157</v>
      </c>
      <c r="DQ29">
        <f>DF29*(BM29/10000)^0.72*0.6*((AF29+1)/3)^0.6*('CAPEX+OPEX'!$G$116/'CAPEX+OPEX'!$G$114)</f>
        <v>506088.73350667354</v>
      </c>
      <c r="DR29">
        <f>DG29*(BM29/10000)^0.72*0.6*((AF29+1)/3)^0.6*('CAPEX+OPEX'!$G$116/'CAPEX+OPEX'!$G$114)</f>
        <v>1301551.694095134</v>
      </c>
      <c r="DS29">
        <f>DH29*(BM29/10000)^0.72*0.6*((AF29+1)/3)^0.6*('CAPEX+OPEX'!$G$116/'CAPEX+OPEX'!$G$114)</f>
        <v>251067.72992769661</v>
      </c>
      <c r="DT29">
        <f>DI29*(BM29/10000)^0.72*0.6*((AF29+1)/3)^0.6*('CAPEX+OPEX'!$G$116/'CAPEX+OPEX'!$G$114)</f>
        <v>1554150.0331574366</v>
      </c>
      <c r="DU29">
        <f>DJ29*(BM29/10000)^0.72*0.6*((AF29+1)/3)^0.6*('CAPEX+OPEX'!$G$116/'CAPEX+OPEX'!$G$114)</f>
        <v>183491.55707699497</v>
      </c>
      <c r="DV29">
        <f t="shared" si="45"/>
        <v>3796349.7477639355</v>
      </c>
      <c r="DW29">
        <f t="shared" si="46"/>
        <v>6516090.0658813054</v>
      </c>
      <c r="DX29">
        <f t="shared" si="47"/>
        <v>434406.00439208705</v>
      </c>
      <c r="DY29">
        <f>BO29*'Reagent cost'!$C$35*60*7200</f>
        <v>1131525.4359785069</v>
      </c>
      <c r="DZ29">
        <f>BP29*'Reagent cost'!$C$34*60*7200</f>
        <v>269242.76681467838</v>
      </c>
      <c r="EA29">
        <f>BQ29*'Reagent cost'!$C$14*'Reagent cost'!$C$36/1000*60*7200</f>
        <v>4462920.323675557</v>
      </c>
      <c r="EB29">
        <f t="shared" si="22"/>
        <v>39.6</v>
      </c>
      <c r="EC29">
        <f t="shared" si="23"/>
        <v>95.688271612230423</v>
      </c>
      <c r="ED29">
        <f>0.1*BK29*60*7200*'Reagent cost'!$H$17*'Reagent cost'!$C$17/1000</f>
        <v>504921.59999999998</v>
      </c>
      <c r="EE29">
        <f>BV29*0.1*'Reagent cost'!$C$16/1000*'Reagent cost'!$H$16*60*7200</f>
        <v>1107135.1328853988</v>
      </c>
      <c r="EF29">
        <f>BZ29/1000*'Reagent cost'!$H$19*'Reagent cost'!$C$19*60*7200</f>
        <v>93023.570316775513</v>
      </c>
      <c r="EG29">
        <f>0.33*('Costing 100 Lmin Feed Orig'!BO29*'Reagent cost'!$C$13+'Costing 100 Lmin Feed Orig'!BP29*'Reagent cost'!$C$12+'Costing 100 Lmin Feed Orig'!BQ29*'Reagent cost'!$C$14+'Costing 100 Lmin Feed Orig'!BV29*0.1*'Reagent cost'!$C$16+'Costing 100 Lmin Feed Orig'!BZ29*'Reagent cost'!$C$19)/1000*60*7200</f>
        <v>190323.86523050809</v>
      </c>
      <c r="EH29">
        <f>CG29*'Reagent cost'!$C$35*60*7200</f>
        <v>1839127.4810659832</v>
      </c>
      <c r="EI29">
        <f>CH29*'Reagent cost'!$C$34*60*7200</f>
        <v>437614.35296318063</v>
      </c>
      <c r="EJ29">
        <f>CI29*'Reagent cost'!$C$14*'Reagent cost'!$C$36/1000*60*7200</f>
        <v>7253817.8569372594</v>
      </c>
      <c r="EK29">
        <f t="shared" si="24"/>
        <v>39.6</v>
      </c>
      <c r="EL29">
        <f t="shared" si="25"/>
        <v>610.87663916145755</v>
      </c>
      <c r="EM29">
        <f>0.1*BM29*60*7200*'Reagent cost'!$H$17*'Reagent cost'!$C$17/1000</f>
        <v>466574.12748711376</v>
      </c>
      <c r="EN29">
        <f>CN29*0.1*'Reagent cost'!$C$16/1000*'Reagent cost'!$H$16*60*7200</f>
        <v>1799484.6455947033</v>
      </c>
      <c r="EO29">
        <f>CR29/1000*'Reagent cost'!$H$19*'Reagent cost'!$C$19*60*7200</f>
        <v>151196.07488850594</v>
      </c>
      <c r="EP29">
        <f>0.33*(CG29*'Reagent cost'!$C$13+CH29*'Reagent cost'!$C$12+CI29*'Reagent cost'!$C$14+CN29*0.1*'Reagent cost'!$C$16+CR29*'Reagent cost'!$C$19)/1000*60*7200</f>
        <v>309343.33397943573</v>
      </c>
      <c r="EQ29">
        <f t="shared" si="48"/>
        <v>23420842.960222121</v>
      </c>
      <c r="ER29">
        <f t="shared" si="49"/>
        <v>499667.19920994382</v>
      </c>
      <c r="ES29">
        <f t="shared" si="50"/>
        <v>33024.331428945443</v>
      </c>
      <c r="ET29">
        <f t="shared" si="51"/>
        <v>24915.659383376755</v>
      </c>
      <c r="EU29">
        <f t="shared" si="52"/>
        <v>10548.968690542577</v>
      </c>
      <c r="EV29">
        <f t="shared" si="53"/>
        <v>5588.0830181845758</v>
      </c>
      <c r="EW29">
        <f t="shared" si="54"/>
        <v>5626.1166349560426</v>
      </c>
      <c r="EX29">
        <f t="shared" si="55"/>
        <v>79703.159156005393</v>
      </c>
      <c r="EY29">
        <f t="shared" si="56"/>
        <v>46305.254709964174</v>
      </c>
      <c r="EZ29">
        <f t="shared" si="57"/>
        <v>46573.487344952133</v>
      </c>
      <c r="FA29">
        <f t="shared" si="58"/>
        <v>19718.613593628921</v>
      </c>
      <c r="FB29">
        <f t="shared" si="59"/>
        <v>10451.276698437257</v>
      </c>
      <c r="FC29">
        <f t="shared" si="60"/>
        <v>10516.593916602096</v>
      </c>
      <c r="FD29">
        <f t="shared" si="61"/>
        <v>133565.22626358457</v>
      </c>
      <c r="FE29">
        <f t="shared" si="62"/>
        <v>24133778.544851653</v>
      </c>
      <c r="FF29">
        <f t="shared" si="63"/>
        <v>24568184.549243741</v>
      </c>
      <c r="FG29">
        <f>BM29*AM29*195.08/1000*'PGM market prices'!$C$2*60*7200</f>
        <v>423463821.5127095</v>
      </c>
      <c r="FH29">
        <f>BN29*AQ29*BA29*106.42/1000*'PGM market prices'!$C$3*60*7200</f>
        <v>222514004.86297485</v>
      </c>
      <c r="FI29">
        <f>BK29*J29*102.91/1000*'PGM market prices'!$C$4*60*7200</f>
        <v>246100432.55373973</v>
      </c>
      <c r="FJ29">
        <f t="shared" si="26"/>
        <v>892078258.92942405</v>
      </c>
      <c r="FK29">
        <f t="shared" si="27"/>
        <v>641957455.04133344</v>
      </c>
      <c r="FL29">
        <f t="shared" si="64"/>
        <v>0.56870797567693843</v>
      </c>
      <c r="FM29">
        <f t="shared" si="65"/>
        <v>1956.9388173623283</v>
      </c>
      <c r="FN29">
        <f t="shared" si="66"/>
        <v>3635.8268437259649</v>
      </c>
      <c r="FO29">
        <f t="shared" si="67"/>
        <v>16466.557562278886</v>
      </c>
    </row>
    <row r="30" spans="1:171">
      <c r="A30">
        <v>5</v>
      </c>
      <c r="B30">
        <v>1.54143585092054E-3</v>
      </c>
      <c r="C30">
        <v>1.54143585092054E-3</v>
      </c>
      <c r="D30">
        <v>3.4254130020456501E-4</v>
      </c>
      <c r="E30">
        <v>0</v>
      </c>
      <c r="F30">
        <v>0</v>
      </c>
      <c r="G30">
        <v>0</v>
      </c>
      <c r="H30" s="53">
        <v>1.7558377832426001E-5</v>
      </c>
      <c r="I30" s="53">
        <v>1.05063644964669E-7</v>
      </c>
      <c r="J30">
        <v>3.35605387572801E-4</v>
      </c>
      <c r="K30">
        <v>0.12557893497872399</v>
      </c>
      <c r="L30">
        <v>0.12701721899235199</v>
      </c>
      <c r="M30">
        <v>5.7157122982957897E-4</v>
      </c>
      <c r="N30" s="53">
        <v>-1.88000656708986E-16</v>
      </c>
      <c r="O30" s="53">
        <v>-6.2354635343986299E-15</v>
      </c>
      <c r="P30" s="53">
        <v>-1.51703600853245E-18</v>
      </c>
      <c r="Q30">
        <v>0.121348176216534</v>
      </c>
      <c r="R30">
        <v>97.975160184298204</v>
      </c>
      <c r="S30">
        <v>500</v>
      </c>
      <c r="T30">
        <v>95</v>
      </c>
      <c r="U30">
        <v>1</v>
      </c>
      <c r="V30">
        <v>0.1</v>
      </c>
      <c r="W30">
        <v>82.407501388038199</v>
      </c>
      <c r="X30" t="s">
        <v>323</v>
      </c>
      <c r="Y30">
        <v>1</v>
      </c>
      <c r="Z30">
        <v>0.28318429382522198</v>
      </c>
      <c r="AA30">
        <v>0.56945642916197003</v>
      </c>
      <c r="AB30">
        <v>3.7698628972227502E-3</v>
      </c>
      <c r="AC30">
        <v>1822.2107908876901</v>
      </c>
      <c r="AD30">
        <v>2662.6059073104898</v>
      </c>
      <c r="AE30">
        <v>2401.5030938442701</v>
      </c>
      <c r="AF30">
        <v>12</v>
      </c>
      <c r="AG30">
        <v>1.64912412966352E-3</v>
      </c>
      <c r="AH30">
        <v>1.66801192221077E-3</v>
      </c>
      <c r="AI30" s="53">
        <v>7.5059714998626504E-6</v>
      </c>
      <c r="AJ30">
        <v>0</v>
      </c>
      <c r="AK30">
        <v>0</v>
      </c>
      <c r="AL30">
        <v>0</v>
      </c>
      <c r="AM30">
        <v>1.6121404312672901E-3</v>
      </c>
      <c r="AN30" s="53">
        <v>7.73929552459276E-5</v>
      </c>
      <c r="AO30" s="53">
        <v>7.4565411365620697E-6</v>
      </c>
      <c r="AP30">
        <v>1.73272364681595E-3</v>
      </c>
      <c r="AQ30">
        <v>7.4522106149284603E-2</v>
      </c>
      <c r="AR30" s="53">
        <v>2.3158624767325598E-6</v>
      </c>
      <c r="AS30" s="53">
        <v>1.9933395754324901E-15</v>
      </c>
      <c r="AT30" s="53">
        <v>-2.0379531395775499E-13</v>
      </c>
      <c r="AU30" s="53">
        <v>-4.3741310791804103E-21</v>
      </c>
      <c r="AV30">
        <v>0.19723216376352101</v>
      </c>
      <c r="AW30">
        <v>99.341452824574603</v>
      </c>
      <c r="AX30">
        <v>500</v>
      </c>
      <c r="AY30">
        <v>95</v>
      </c>
      <c r="AZ30">
        <v>0.92405262022284995</v>
      </c>
      <c r="BA30">
        <v>0.1</v>
      </c>
      <c r="BB30">
        <v>46.851010635911102</v>
      </c>
      <c r="BC30" t="s">
        <v>251</v>
      </c>
      <c r="BD30">
        <v>1</v>
      </c>
      <c r="BE30">
        <v>1.8775014999999999E-2</v>
      </c>
      <c r="BF30">
        <v>0.10492961100000001</v>
      </c>
      <c r="BG30">
        <v>1.814625E-3</v>
      </c>
      <c r="BH30">
        <v>285.1951444</v>
      </c>
      <c r="BI30">
        <v>2169.8944889999998</v>
      </c>
      <c r="BJ30">
        <v>866.49409060000005</v>
      </c>
      <c r="BK30">
        <f t="shared" si="0"/>
        <v>100</v>
      </c>
      <c r="BL30">
        <f t="shared" si="1"/>
        <v>12.134817621653401</v>
      </c>
      <c r="BM30">
        <f t="shared" si="2"/>
        <v>92.405262022285001</v>
      </c>
      <c r="BN30">
        <f t="shared" si="3"/>
        <v>19.723216376352102</v>
      </c>
      <c r="BO30">
        <f t="shared" si="28"/>
        <v>4.3685343437952238</v>
      </c>
      <c r="BP30">
        <f t="shared" si="4"/>
        <v>0.29123562291968164</v>
      </c>
      <c r="BQ30">
        <f t="shared" si="5"/>
        <v>1.4561781145984081</v>
      </c>
      <c r="BR30">
        <f t="shared" si="29"/>
        <v>0.72808905729920403</v>
      </c>
      <c r="BS30">
        <f t="shared" si="6"/>
        <v>1.2134817621653402</v>
      </c>
      <c r="BT30">
        <f t="shared" si="30"/>
        <v>7.2808905729920399</v>
      </c>
      <c r="BU30">
        <f t="shared" si="7"/>
        <v>19.415708194645443</v>
      </c>
      <c r="BV30">
        <f t="shared" si="31"/>
        <v>6.0674088108267004</v>
      </c>
      <c r="BW30">
        <f t="shared" si="8"/>
        <v>86.337853211458295</v>
      </c>
      <c r="BX30">
        <f t="shared" si="32"/>
        <v>104.5400796439384</v>
      </c>
      <c r="BY30">
        <f t="shared" si="33"/>
        <v>92.405262022285001</v>
      </c>
      <c r="BZ30">
        <f t="shared" si="34"/>
        <v>1.6988744670314762</v>
      </c>
      <c r="CA30">
        <f>7963.6*(BT30/1000)^0.6*1.7*('CAPEX+OPEX'!$G$116/'CAPEX+OPEX'!$G$115)</f>
        <v>832.82092834424373</v>
      </c>
      <c r="CB30">
        <f>7963.6*(BU30/1000)^0.6*1.7*('CAPEX+OPEX'!$G$116/'CAPEX+OPEX'!$G$115)</f>
        <v>1500.143724582284</v>
      </c>
      <c r="CC30">
        <f>7963.6*(BX30/1000)^0.6*1.7*('CAPEX+OPEX'!$G$116/'CAPEX+OPEX'!$G$115)</f>
        <v>4119.1786120236593</v>
      </c>
      <c r="CD30">
        <f>7963.6*(BY30/1000)^0.6*1.7*('CAPEX+OPEX'!$G$116/'CAPEX+OPEX'!$G$115)</f>
        <v>3825.2422996341465</v>
      </c>
      <c r="CE30">
        <v>300</v>
      </c>
      <c r="CF30">
        <v>30</v>
      </c>
      <c r="CG30">
        <f t="shared" si="9"/>
        <v>7.1003578954867566</v>
      </c>
      <c r="CH30">
        <f t="shared" si="10"/>
        <v>0.47335719303245044</v>
      </c>
      <c r="CI30">
        <f t="shared" si="11"/>
        <v>2.366785965162252</v>
      </c>
      <c r="CJ30">
        <f t="shared" si="12"/>
        <v>1.183392982581126</v>
      </c>
      <c r="CK30">
        <f t="shared" si="13"/>
        <v>1.9723216376352104</v>
      </c>
      <c r="CL30">
        <f t="shared" si="14"/>
        <v>11.833929825811261</v>
      </c>
      <c r="CM30">
        <f t="shared" si="35"/>
        <v>31.557146202163366</v>
      </c>
      <c r="CN30">
        <f t="shared" si="36"/>
        <v>9.8616081881760511</v>
      </c>
      <c r="CO30">
        <v>0</v>
      </c>
      <c r="CP30">
        <f t="shared" si="37"/>
        <v>29.584824564528155</v>
      </c>
      <c r="CQ30">
        <f t="shared" si="38"/>
        <v>9.8616081881760511</v>
      </c>
      <c r="CR30">
        <f t="shared" si="39"/>
        <v>2.7612502926892946</v>
      </c>
      <c r="CS30">
        <f>7963.6*(CL30/1000)^0.6*1.7*('CAPEX+OPEX'!$G$116/'CAPEX+OPEX'!$G$115)</f>
        <v>1114.5981596315607</v>
      </c>
      <c r="CT30">
        <f>7963.6*(CM30/1000)^0.6*1.7*('CAPEX+OPEX'!$G$116/'CAPEX+OPEX'!$G$115)</f>
        <v>2007.7034302278114</v>
      </c>
      <c r="CU30">
        <f>7963.6*(CP30/1000)^0.6*1.7*('CAPEX+OPEX'!$G$116/'CAPEX+OPEX'!$G$115)</f>
        <v>1931.4449163470836</v>
      </c>
      <c r="CV30">
        <f>7963.6*(CQ30/1000)^0.6*1.7*('CAPEX+OPEX'!$G$116/'CAPEX+OPEX'!$G$115)</f>
        <v>999.10141489818056</v>
      </c>
      <c r="CW30">
        <v>300</v>
      </c>
      <c r="CX30">
        <f t="shared" si="15"/>
        <v>30</v>
      </c>
      <c r="CY30">
        <f t="shared" si="16"/>
        <v>10</v>
      </c>
      <c r="CZ30">
        <f t="shared" si="17"/>
        <v>9.2405262022284997</v>
      </c>
      <c r="DA30">
        <f t="shared" si="40"/>
        <v>3960</v>
      </c>
      <c r="DB30">
        <f t="shared" si="18"/>
        <v>3960</v>
      </c>
      <c r="DC30">
        <f>CF30*'Reagent cost'!$C$18/1000*'Reagent cost'!$H$18</f>
        <v>4784.413580611521</v>
      </c>
      <c r="DD30">
        <f>CX30*'Ligand cost'!$B$56*'Ligand cost'!$J$56</f>
        <v>30543.831958072875</v>
      </c>
      <c r="DE30">
        <f t="shared" si="41"/>
        <v>39625.826528698344</v>
      </c>
      <c r="DF30">
        <f t="shared" si="19"/>
        <v>4586243.4239371875</v>
      </c>
      <c r="DG30">
        <f t="shared" si="42"/>
        <v>11794834.586807497</v>
      </c>
      <c r="DH30">
        <f t="shared" si="20"/>
        <v>2275209.1661185985</v>
      </c>
      <c r="DI30">
        <f t="shared" si="21"/>
        <v>14083914.336508472</v>
      </c>
      <c r="DJ30">
        <f t="shared" si="43"/>
        <v>1662824.8986326549</v>
      </c>
      <c r="DK30" s="55">
        <f>DF30*($BK$2/10000)^0.72*0.6*((A30+1)/3)^0.6*('CAPEX+OPEX'!$G$116/'CAPEX+OPEX'!$G$114)</f>
        <v>353432.95821938996</v>
      </c>
      <c r="DL30" s="55">
        <f>DG30*($BK$2/10000)^0.72*0.6*((A30+1)/3)^0.6*('CAPEX+OPEX'!$G$116/'CAPEX+OPEX'!$G$114)</f>
        <v>908953.77641011216</v>
      </c>
      <c r="DM30" s="55">
        <f>DH30*($BK$2/10000)^0.72*0.6*((A30+1)/3)^0.6*('CAPEX+OPEX'!$G$116/'CAPEX+OPEX'!$G$114)</f>
        <v>175336.07177327637</v>
      </c>
      <c r="DN30" s="55">
        <f>DI30*($BK$2/10000)^0.72*0.6*((A30+1)/3)^0.6*('CAPEX+OPEX'!$G$116/'CAPEX+OPEX'!$G$114)</f>
        <v>1085358.7668897447</v>
      </c>
      <c r="DO30" s="55">
        <f>DJ30*($BK$2/10000)^0.72*0.6*((A30+1)/3)^0.6*('CAPEX+OPEX'!$G$116/'CAPEX+OPEX'!$G$114)</f>
        <v>128143.46483599243</v>
      </c>
      <c r="DP30">
        <f t="shared" si="44"/>
        <v>2651225.0381285157</v>
      </c>
      <c r="DQ30">
        <f>DF30*(BM30/10000)^0.72*0.6*((AF30+1)/3)^0.6*('CAPEX+OPEX'!$G$116/'CAPEX+OPEX'!$G$114)</f>
        <v>530987.05434426235</v>
      </c>
      <c r="DR30">
        <f>DG30*(BM30/10000)^0.72*0.6*((AF30+1)/3)^0.6*('CAPEX+OPEX'!$G$116/'CAPEX+OPEX'!$G$114)</f>
        <v>1365584.8359549509</v>
      </c>
      <c r="DS30">
        <f>DH30*(BM30/10000)^0.72*0.6*((AF30+1)/3)^0.6*('CAPEX+OPEX'!$G$116/'CAPEX+OPEX'!$G$114)</f>
        <v>263419.64467669872</v>
      </c>
      <c r="DT30">
        <f>DI30*(BM30/10000)^0.72*0.6*((AF30+1)/3)^0.6*('CAPEX+OPEX'!$G$116/'CAPEX+OPEX'!$G$114)</f>
        <v>1630610.3919707646</v>
      </c>
      <c r="DU30">
        <f>DJ30*(BM30/10000)^0.72*0.6*((AF30+1)/3)^0.6*('CAPEX+OPEX'!$G$116/'CAPEX+OPEX'!$G$114)</f>
        <v>192518.89034212386</v>
      </c>
      <c r="DV30">
        <f t="shared" si="45"/>
        <v>3983120.8172888001</v>
      </c>
      <c r="DW30">
        <f t="shared" si="46"/>
        <v>6702861.1062953454</v>
      </c>
      <c r="DX30">
        <f t="shared" si="47"/>
        <v>446857.40708635637</v>
      </c>
      <c r="DY30">
        <f>BO30*'Reagent cost'!$C$35*60*7200</f>
        <v>1131525.4359785069</v>
      </c>
      <c r="DZ30">
        <f>BP30*'Reagent cost'!$C$34*60*7200</f>
        <v>269242.76681467838</v>
      </c>
      <c r="EA30">
        <f>BQ30*'Reagent cost'!$C$14*'Reagent cost'!$C$36/1000*60*7200</f>
        <v>4462920.323675557</v>
      </c>
      <c r="EB30">
        <f t="shared" si="22"/>
        <v>39.6</v>
      </c>
      <c r="EC30">
        <f t="shared" si="23"/>
        <v>95.688271612230423</v>
      </c>
      <c r="ED30">
        <f>0.1*BK30*60*7200*'Reagent cost'!$H$17*'Reagent cost'!$C$17/1000</f>
        <v>504921.59999999998</v>
      </c>
      <c r="EE30">
        <f>BV30*0.1*'Reagent cost'!$C$16/1000*'Reagent cost'!$H$16*60*7200</f>
        <v>1107135.1328853988</v>
      </c>
      <c r="EF30">
        <f>BZ30/1000*'Reagent cost'!$H$19*'Reagent cost'!$C$19*60*7200</f>
        <v>93023.570316775513</v>
      </c>
      <c r="EG30">
        <f>0.33*('Costing 100 Lmin Feed Orig'!BO30*'Reagent cost'!$C$13+'Costing 100 Lmin Feed Orig'!BP30*'Reagent cost'!$C$12+'Costing 100 Lmin Feed Orig'!BQ30*'Reagent cost'!$C$14+'Costing 100 Lmin Feed Orig'!BV30*0.1*'Reagent cost'!$C$16+'Costing 100 Lmin Feed Orig'!BZ30*'Reagent cost'!$C$19)/1000*60*7200</f>
        <v>190323.86523050809</v>
      </c>
      <c r="EH30">
        <f>CG30*'Reagent cost'!$C$35*60*7200</f>
        <v>1839114.6620388555</v>
      </c>
      <c r="EI30">
        <f>CH30*'Reagent cost'!$C$34*60*7200</f>
        <v>437611.30271771376</v>
      </c>
      <c r="EJ30">
        <f>CI30*'Reagent cost'!$C$14*'Reagent cost'!$C$36/1000*60*7200</f>
        <v>7253767.2966096867</v>
      </c>
      <c r="EK30">
        <f t="shared" si="24"/>
        <v>39.6</v>
      </c>
      <c r="EL30">
        <f t="shared" si="25"/>
        <v>610.87663916145755</v>
      </c>
      <c r="EM30">
        <f>0.1*BM30*60*7200*'Reagent cost'!$H$17*'Reagent cost'!$C$17/1000</f>
        <v>466574.12748711376</v>
      </c>
      <c r="EN30">
        <f>CN30*0.1*'Reagent cost'!$C$16/1000*'Reagent cost'!$H$16*60*7200</f>
        <v>1799472.1028847909</v>
      </c>
      <c r="EO30">
        <f>CR30/1000*'Reagent cost'!$H$19*'Reagent cost'!$C$19*60*7200</f>
        <v>151195.021026495</v>
      </c>
      <c r="EP30">
        <f>0.33*(CG30*'Reagent cost'!$C$13+CH30*'Reagent cost'!$C$12+CI30*'Reagent cost'!$C$14+CN30*0.1*'Reagent cost'!$C$16+CR30*'Reagent cost'!$C$19)/1000*60*7200</f>
        <v>309341.17780449369</v>
      </c>
      <c r="EQ30">
        <f t="shared" si="48"/>
        <v>23420746.928815614</v>
      </c>
      <c r="ER30">
        <f t="shared" si="49"/>
        <v>499665.04303500179</v>
      </c>
      <c r="ES30">
        <f t="shared" si="50"/>
        <v>33024.331428945443</v>
      </c>
      <c r="ET30">
        <f t="shared" si="51"/>
        <v>24915.659383376755</v>
      </c>
      <c r="EU30">
        <f t="shared" si="52"/>
        <v>10548.968690542577</v>
      </c>
      <c r="EV30">
        <f t="shared" si="53"/>
        <v>5588.0830181845758</v>
      </c>
      <c r="EW30">
        <f t="shared" si="54"/>
        <v>5626.1166349560426</v>
      </c>
      <c r="EX30">
        <f t="shared" si="55"/>
        <v>79703.159156005393</v>
      </c>
      <c r="EY30">
        <f t="shared" si="56"/>
        <v>48877.768860517739</v>
      </c>
      <c r="EZ30">
        <f t="shared" si="57"/>
        <v>50454.611290364817</v>
      </c>
      <c r="FA30">
        <f t="shared" si="58"/>
        <v>21361.831393098</v>
      </c>
      <c r="FB30">
        <f t="shared" si="59"/>
        <v>11322.216423307031</v>
      </c>
      <c r="FC30">
        <f t="shared" si="60"/>
        <v>11392.976742985606</v>
      </c>
      <c r="FD30">
        <f t="shared" si="61"/>
        <v>143409.40471027317</v>
      </c>
      <c r="FE30">
        <f t="shared" si="62"/>
        <v>24143524.535716895</v>
      </c>
      <c r="FF30">
        <f t="shared" si="63"/>
        <v>24590381.942803252</v>
      </c>
      <c r="FG30">
        <f>BM30*AM30*195.08/1000*'PGM market prices'!$C$2*60*7200</f>
        <v>423464063.92878175</v>
      </c>
      <c r="FH30">
        <f>BN30*AQ30*BA30*106.42/1000*'PGM market prices'!$C$3*60*7200</f>
        <v>222513998.26428211</v>
      </c>
      <c r="FI30">
        <f>BK30*J30*102.91/1000*'PGM market prices'!$C$4*60*7200</f>
        <v>246100432.55373973</v>
      </c>
      <c r="FJ30">
        <f t="shared" si="26"/>
        <v>892078494.74680352</v>
      </c>
      <c r="FK30">
        <f t="shared" si="27"/>
        <v>641941203.47496021</v>
      </c>
      <c r="FL30">
        <f t="shared" si="64"/>
        <v>0.56922180423155677</v>
      </c>
      <c r="FM30">
        <f t="shared" si="65"/>
        <v>1958.7057933953076</v>
      </c>
      <c r="FN30">
        <f t="shared" si="66"/>
        <v>3639.1119269426231</v>
      </c>
      <c r="FO30">
        <f t="shared" si="67"/>
        <v>16481.435123054594</v>
      </c>
    </row>
    <row r="31" spans="1:171">
      <c r="A31">
        <v>5</v>
      </c>
      <c r="B31">
        <v>1.54143585092054E-3</v>
      </c>
      <c r="C31">
        <v>1.54143585092054E-3</v>
      </c>
      <c r="D31">
        <v>3.4254130020456501E-4</v>
      </c>
      <c r="E31">
        <v>0</v>
      </c>
      <c r="F31">
        <v>0</v>
      </c>
      <c r="G31">
        <v>0</v>
      </c>
      <c r="H31" s="53">
        <v>1.7558377832426001E-5</v>
      </c>
      <c r="I31" s="53">
        <v>1.05063644964669E-7</v>
      </c>
      <c r="J31">
        <v>3.35605387572801E-4</v>
      </c>
      <c r="K31">
        <v>0.12557893497872399</v>
      </c>
      <c r="L31">
        <v>0.12701721899235199</v>
      </c>
      <c r="M31">
        <v>5.7157122982957897E-4</v>
      </c>
      <c r="N31" s="53">
        <v>-1.88000656708986E-16</v>
      </c>
      <c r="O31" s="53">
        <v>-6.2354635343986299E-15</v>
      </c>
      <c r="P31" s="53">
        <v>-1.51703600853245E-18</v>
      </c>
      <c r="Q31">
        <v>0.121348176216534</v>
      </c>
      <c r="R31">
        <v>97.975160184298204</v>
      </c>
      <c r="S31">
        <v>500</v>
      </c>
      <c r="T31">
        <v>95</v>
      </c>
      <c r="U31">
        <v>1</v>
      </c>
      <c r="V31">
        <v>0.1</v>
      </c>
      <c r="W31">
        <v>82.407501388038199</v>
      </c>
      <c r="X31" t="s">
        <v>323</v>
      </c>
      <c r="Y31">
        <v>1</v>
      </c>
      <c r="Z31">
        <v>0.28318429382522198</v>
      </c>
      <c r="AA31">
        <v>0.56945642916197003</v>
      </c>
      <c r="AB31">
        <v>3.7698628972227502E-3</v>
      </c>
      <c r="AC31">
        <v>1822.2107908876901</v>
      </c>
      <c r="AD31">
        <v>2662.6059073104898</v>
      </c>
      <c r="AE31">
        <v>2401.5030938442701</v>
      </c>
      <c r="AF31">
        <v>13</v>
      </c>
      <c r="AG31">
        <v>1.64912412966352E-3</v>
      </c>
      <c r="AH31">
        <v>1.66801192221077E-3</v>
      </c>
      <c r="AI31" s="53">
        <v>7.5059714998626504E-6</v>
      </c>
      <c r="AJ31">
        <v>0</v>
      </c>
      <c r="AK31">
        <v>0</v>
      </c>
      <c r="AL31">
        <v>0</v>
      </c>
      <c r="AM31">
        <v>1.61214069129301E-3</v>
      </c>
      <c r="AN31" s="53">
        <v>7.7392968598377306E-5</v>
      </c>
      <c r="AO31" s="53">
        <v>7.4565414696759002E-6</v>
      </c>
      <c r="AP31">
        <v>1.73271486747767E-3</v>
      </c>
      <c r="AQ31">
        <v>7.4522251874090506E-2</v>
      </c>
      <c r="AR31" s="53">
        <v>2.3158514183141602E-6</v>
      </c>
      <c r="AS31" s="53">
        <v>2.9341221292888898E-18</v>
      </c>
      <c r="AT31" s="53">
        <v>-2.4871597836817398E-16</v>
      </c>
      <c r="AU31" s="53">
        <v>-1.16467030247466E-21</v>
      </c>
      <c r="AV31">
        <v>0.19723177640219999</v>
      </c>
      <c r="AW31">
        <v>99.341457262558706</v>
      </c>
      <c r="AX31">
        <v>500</v>
      </c>
      <c r="AY31">
        <v>95</v>
      </c>
      <c r="AZ31">
        <v>0.92405262022284995</v>
      </c>
      <c r="BA31">
        <v>0.1</v>
      </c>
      <c r="BB31">
        <v>46.851102650847501</v>
      </c>
      <c r="BC31" t="s">
        <v>251</v>
      </c>
      <c r="BD31">
        <v>1</v>
      </c>
      <c r="BE31">
        <v>1.8775014999999999E-2</v>
      </c>
      <c r="BF31">
        <v>0.10492961100000001</v>
      </c>
      <c r="BG31">
        <v>1.814625E-3</v>
      </c>
      <c r="BH31">
        <v>285.1951444</v>
      </c>
      <c r="BI31">
        <v>2169.8944889999998</v>
      </c>
      <c r="BJ31">
        <v>866.49409060000005</v>
      </c>
      <c r="BK31">
        <f t="shared" si="0"/>
        <v>100</v>
      </c>
      <c r="BL31">
        <f t="shared" si="1"/>
        <v>12.134817621653401</v>
      </c>
      <c r="BM31">
        <f t="shared" si="2"/>
        <v>92.405262022285001</v>
      </c>
      <c r="BN31">
        <f t="shared" si="3"/>
        <v>19.723177640219998</v>
      </c>
      <c r="BO31">
        <f t="shared" si="28"/>
        <v>4.3685343437952238</v>
      </c>
      <c r="BP31">
        <f t="shared" si="4"/>
        <v>0.29123562291968164</v>
      </c>
      <c r="BQ31">
        <f t="shared" si="5"/>
        <v>1.4561781145984081</v>
      </c>
      <c r="BR31">
        <f t="shared" si="29"/>
        <v>0.72808905729920403</v>
      </c>
      <c r="BS31">
        <f t="shared" si="6"/>
        <v>1.2134817621653402</v>
      </c>
      <c r="BT31">
        <f t="shared" si="30"/>
        <v>7.2808905729920399</v>
      </c>
      <c r="BU31">
        <f t="shared" si="7"/>
        <v>19.415708194645443</v>
      </c>
      <c r="BV31">
        <f t="shared" si="31"/>
        <v>6.0674088108267004</v>
      </c>
      <c r="BW31">
        <f t="shared" si="8"/>
        <v>86.337853211458295</v>
      </c>
      <c r="BX31">
        <f t="shared" si="32"/>
        <v>104.5400796439384</v>
      </c>
      <c r="BY31">
        <f t="shared" si="33"/>
        <v>92.405262022285001</v>
      </c>
      <c r="BZ31">
        <f t="shared" si="34"/>
        <v>1.6988744670314762</v>
      </c>
      <c r="CA31">
        <f>7963.6*(BT31/1000)^0.6*1.7*('CAPEX+OPEX'!$G$116/'CAPEX+OPEX'!$G$115)</f>
        <v>832.82092834424373</v>
      </c>
      <c r="CB31">
        <f>7963.6*(BU31/1000)^0.6*1.7*('CAPEX+OPEX'!$G$116/'CAPEX+OPEX'!$G$115)</f>
        <v>1500.143724582284</v>
      </c>
      <c r="CC31">
        <f>7963.6*(BX31/1000)^0.6*1.7*('CAPEX+OPEX'!$G$116/'CAPEX+OPEX'!$G$115)</f>
        <v>4119.1786120236593</v>
      </c>
      <c r="CD31">
        <f>7963.6*(BY31/1000)^0.6*1.7*('CAPEX+OPEX'!$G$116/'CAPEX+OPEX'!$G$115)</f>
        <v>3825.2422996341465</v>
      </c>
      <c r="CE31">
        <v>300</v>
      </c>
      <c r="CF31">
        <v>30</v>
      </c>
      <c r="CG31">
        <f t="shared" si="9"/>
        <v>7.100343950479199</v>
      </c>
      <c r="CH31">
        <f t="shared" si="10"/>
        <v>0.47335626336527997</v>
      </c>
      <c r="CI31">
        <f t="shared" si="11"/>
        <v>2.3667813168263998</v>
      </c>
      <c r="CJ31">
        <f t="shared" si="12"/>
        <v>1.1833906584131999</v>
      </c>
      <c r="CK31">
        <f t="shared" si="13"/>
        <v>1.9723177640219998</v>
      </c>
      <c r="CL31">
        <f t="shared" si="14"/>
        <v>11.833906584131999</v>
      </c>
      <c r="CM31">
        <f t="shared" si="35"/>
        <v>31.557084224351996</v>
      </c>
      <c r="CN31">
        <f t="shared" si="36"/>
        <v>9.8615888201099988</v>
      </c>
      <c r="CO31">
        <v>0</v>
      </c>
      <c r="CP31">
        <f t="shared" si="37"/>
        <v>29.584766460329995</v>
      </c>
      <c r="CQ31">
        <f t="shared" si="38"/>
        <v>9.8615888201099988</v>
      </c>
      <c r="CR31">
        <f t="shared" si="39"/>
        <v>2.7612448696307994</v>
      </c>
      <c r="CS31">
        <f>7963.6*(CL31/1000)^0.6*1.7*('CAPEX+OPEX'!$G$116/'CAPEX+OPEX'!$G$115)</f>
        <v>1114.5968461975547</v>
      </c>
      <c r="CT31">
        <f>7963.6*(CM31/1000)^0.6*1.7*('CAPEX+OPEX'!$G$116/'CAPEX+OPEX'!$G$115)</f>
        <v>2007.7010643653364</v>
      </c>
      <c r="CU31">
        <f>7963.6*(CP31/1000)^0.6*1.7*('CAPEX+OPEX'!$G$116/'CAPEX+OPEX'!$G$115)</f>
        <v>1931.4426403470623</v>
      </c>
      <c r="CV31">
        <f>7963.6*(CQ31/1000)^0.6*1.7*('CAPEX+OPEX'!$G$116/'CAPEX+OPEX'!$G$115)</f>
        <v>999.10023756466103</v>
      </c>
      <c r="CW31">
        <v>300</v>
      </c>
      <c r="CX31">
        <f t="shared" si="15"/>
        <v>30</v>
      </c>
      <c r="CY31">
        <f t="shared" si="16"/>
        <v>10</v>
      </c>
      <c r="CZ31">
        <f t="shared" si="17"/>
        <v>9.2405262022284997</v>
      </c>
      <c r="DA31">
        <f t="shared" si="40"/>
        <v>3960</v>
      </c>
      <c r="DB31">
        <f t="shared" si="18"/>
        <v>3960</v>
      </c>
      <c r="DC31">
        <f>CF31*'Reagent cost'!$C$18/1000*'Reagent cost'!$H$18</f>
        <v>4784.413580611521</v>
      </c>
      <c r="DD31">
        <f>CX31*'Ligand cost'!$B$56*'Ligand cost'!$J$56</f>
        <v>30543.831958072875</v>
      </c>
      <c r="DE31">
        <f t="shared" si="41"/>
        <v>39625.826528698344</v>
      </c>
      <c r="DF31">
        <f t="shared" si="19"/>
        <v>4586243.4239371875</v>
      </c>
      <c r="DG31">
        <f t="shared" si="42"/>
        <v>11794834.586807497</v>
      </c>
      <c r="DH31">
        <f t="shared" si="20"/>
        <v>2275209.1661185985</v>
      </c>
      <c r="DI31">
        <f t="shared" si="21"/>
        <v>14083914.336508472</v>
      </c>
      <c r="DJ31">
        <f t="shared" si="43"/>
        <v>1662824.8986326549</v>
      </c>
      <c r="DK31" s="55">
        <f>DF31*($BK$2/10000)^0.72*0.6*((A31+1)/3)^0.6*('CAPEX+OPEX'!$G$116/'CAPEX+OPEX'!$G$114)</f>
        <v>353432.95821938996</v>
      </c>
      <c r="DL31" s="55">
        <f>DG31*($BK$2/10000)^0.72*0.6*((A31+1)/3)^0.6*('CAPEX+OPEX'!$G$116/'CAPEX+OPEX'!$G$114)</f>
        <v>908953.77641011216</v>
      </c>
      <c r="DM31" s="55">
        <f>DH31*($BK$2/10000)^0.72*0.6*((A31+1)/3)^0.6*('CAPEX+OPEX'!$G$116/'CAPEX+OPEX'!$G$114)</f>
        <v>175336.07177327637</v>
      </c>
      <c r="DN31" s="55">
        <f>DI31*($BK$2/10000)^0.72*0.6*((A31+1)/3)^0.6*('CAPEX+OPEX'!$G$116/'CAPEX+OPEX'!$G$114)</f>
        <v>1085358.7668897447</v>
      </c>
      <c r="DO31" s="55">
        <f>DJ31*($BK$2/10000)^0.72*0.6*((A31+1)/3)^0.6*('CAPEX+OPEX'!$G$116/'CAPEX+OPEX'!$G$114)</f>
        <v>128143.46483599243</v>
      </c>
      <c r="DP31">
        <f t="shared" si="44"/>
        <v>2651225.0381285157</v>
      </c>
      <c r="DQ31">
        <f>DF31*(BM31/10000)^0.72*0.6*((AF31+1)/3)^0.6*('CAPEX+OPEX'!$G$116/'CAPEX+OPEX'!$G$114)</f>
        <v>555130.05768849247</v>
      </c>
      <c r="DR31">
        <f>DG31*(BM31/10000)^0.72*0.6*((AF31+1)/3)^0.6*('CAPEX+OPEX'!$G$116/'CAPEX+OPEX'!$G$114)</f>
        <v>1427675.4631963354</v>
      </c>
      <c r="DS31">
        <f>DH31*(BM31/10000)^0.72*0.6*((AF31+1)/3)^0.6*('CAPEX+OPEX'!$G$116/'CAPEX+OPEX'!$G$114)</f>
        <v>275396.85073159845</v>
      </c>
      <c r="DT31">
        <f>DI31*(BM31/10000)^0.72*0.6*((AF31+1)/3)^0.6*('CAPEX+OPEX'!$G$116/'CAPEX+OPEX'!$G$114)</f>
        <v>1704751.2430977353</v>
      </c>
      <c r="DU31">
        <f>DJ31*(BM31/10000)^0.72*0.6*((AF31+1)/3)^0.6*('CAPEX+OPEX'!$G$116/'CAPEX+OPEX'!$G$114)</f>
        <v>201272.36968842801</v>
      </c>
      <c r="DV31">
        <f t="shared" si="45"/>
        <v>4164225.9844025895</v>
      </c>
      <c r="DW31">
        <f t="shared" si="46"/>
        <v>6883966.2652066099</v>
      </c>
      <c r="DX31">
        <f t="shared" si="47"/>
        <v>458931.08434710733</v>
      </c>
      <c r="DY31">
        <f>BO31*'Reagent cost'!$C$35*60*7200</f>
        <v>1131525.4359785069</v>
      </c>
      <c r="DZ31">
        <f>BP31*'Reagent cost'!$C$34*60*7200</f>
        <v>269242.76681467838</v>
      </c>
      <c r="EA31">
        <f>BQ31*'Reagent cost'!$C$14*'Reagent cost'!$C$36/1000*60*7200</f>
        <v>4462920.323675557</v>
      </c>
      <c r="EB31">
        <f t="shared" si="22"/>
        <v>39.6</v>
      </c>
      <c r="EC31">
        <f t="shared" si="23"/>
        <v>95.688271612230423</v>
      </c>
      <c r="ED31">
        <f>0.1*BK31*60*7200*'Reagent cost'!$H$17*'Reagent cost'!$C$17/1000</f>
        <v>504921.59999999998</v>
      </c>
      <c r="EE31">
        <f>BV31*0.1*'Reagent cost'!$C$16/1000*'Reagent cost'!$H$16*60*7200</f>
        <v>1107135.1328853988</v>
      </c>
      <c r="EF31">
        <f>BZ31/1000*'Reagent cost'!$H$19*'Reagent cost'!$C$19*60*7200</f>
        <v>93023.570316775513</v>
      </c>
      <c r="EG31">
        <f>0.33*('Costing 100 Lmin Feed Orig'!BO31*'Reagent cost'!$C$13+'Costing 100 Lmin Feed Orig'!BP31*'Reagent cost'!$C$12+'Costing 100 Lmin Feed Orig'!BQ31*'Reagent cost'!$C$14+'Costing 100 Lmin Feed Orig'!BV31*0.1*'Reagent cost'!$C$16+'Costing 100 Lmin Feed Orig'!BZ31*'Reagent cost'!$C$19)/1000*60*7200</f>
        <v>190323.86523050809</v>
      </c>
      <c r="EH31">
        <f>CG31*'Reagent cost'!$C$35*60*7200</f>
        <v>1839111.0500423564</v>
      </c>
      <c r="EI31">
        <f>CH31*'Reagent cost'!$C$34*60*7200</f>
        <v>437610.44325499184</v>
      </c>
      <c r="EJ31">
        <f>CI31*'Reagent cost'!$C$14*'Reagent cost'!$C$36/1000*60*7200</f>
        <v>7253753.050308127</v>
      </c>
      <c r="EK31">
        <f t="shared" si="24"/>
        <v>39.6</v>
      </c>
      <c r="EL31">
        <f t="shared" si="25"/>
        <v>610.87663916145755</v>
      </c>
      <c r="EM31">
        <f>0.1*BM31*60*7200*'Reagent cost'!$H$17*'Reagent cost'!$C$17/1000</f>
        <v>466574.12748711376</v>
      </c>
      <c r="EN31">
        <f>CN31*0.1*'Reagent cost'!$C$16/1000*'Reagent cost'!$H$16*60*7200</f>
        <v>1799468.5687457451</v>
      </c>
      <c r="EO31">
        <f>CR31/1000*'Reagent cost'!$H$19*'Reagent cost'!$C$19*60*7200</f>
        <v>151194.72408150407</v>
      </c>
      <c r="EP31">
        <f>0.33*(CG31*'Reagent cost'!$C$13+CH31*'Reagent cost'!$C$12+CI31*'Reagent cost'!$C$14+CN31*0.1*'Reagent cost'!$C$16+CR31*'Reagent cost'!$C$19)/1000*60*7200</f>
        <v>309340.57026257459</v>
      </c>
      <c r="EQ31">
        <f t="shared" si="48"/>
        <v>23420719.87020183</v>
      </c>
      <c r="ER31">
        <f t="shared" si="49"/>
        <v>499664.43549308268</v>
      </c>
      <c r="ES31">
        <f t="shared" si="50"/>
        <v>33024.331428945443</v>
      </c>
      <c r="ET31">
        <f t="shared" si="51"/>
        <v>24915.659383376755</v>
      </c>
      <c r="EU31">
        <f t="shared" si="52"/>
        <v>10548.968690542577</v>
      </c>
      <c r="EV31">
        <f t="shared" si="53"/>
        <v>5588.0830181845758</v>
      </c>
      <c r="EW31">
        <f t="shared" si="54"/>
        <v>5626.1166349560426</v>
      </c>
      <c r="EX31">
        <f t="shared" si="55"/>
        <v>79703.159156005393</v>
      </c>
      <c r="EY31">
        <f t="shared" si="56"/>
        <v>51450.283011071304</v>
      </c>
      <c r="EZ31">
        <f t="shared" si="57"/>
        <v>54335.73523577748</v>
      </c>
      <c r="FA31">
        <f t="shared" si="58"/>
        <v>23005.049192567072</v>
      </c>
      <c r="FB31">
        <f t="shared" si="59"/>
        <v>12193.156148176799</v>
      </c>
      <c r="FC31">
        <f t="shared" si="60"/>
        <v>12269.359569369111</v>
      </c>
      <c r="FD31">
        <f t="shared" si="61"/>
        <v>153253.58315696174</v>
      </c>
      <c r="FE31">
        <f t="shared" si="62"/>
        <v>24153341.048007879</v>
      </c>
      <c r="FF31">
        <f t="shared" si="63"/>
        <v>24612272.132354986</v>
      </c>
      <c r="FG31">
        <f>BM31*AM31*195.08/1000*'PGM market prices'!$C$2*60*7200</f>
        <v>423464132.23024362</v>
      </c>
      <c r="FH31">
        <f>BN31*AQ31*BA31*106.42/1000*'PGM market prices'!$C$3*60*7200</f>
        <v>222513996.36557347</v>
      </c>
      <c r="FI31">
        <f>BK31*J31*102.91/1000*'PGM market prices'!$C$4*60*7200</f>
        <v>246100432.55373973</v>
      </c>
      <c r="FJ31">
        <f t="shared" si="26"/>
        <v>892078561.14955688</v>
      </c>
      <c r="FK31">
        <f t="shared" si="27"/>
        <v>641925053.87272942</v>
      </c>
      <c r="FL31">
        <f t="shared" si="64"/>
        <v>0.56972852158229137</v>
      </c>
      <c r="FM31">
        <f t="shared" si="65"/>
        <v>1960.4491036694844</v>
      </c>
      <c r="FN31">
        <f t="shared" si="66"/>
        <v>3642.3514705307775</v>
      </c>
      <c r="FO31">
        <f t="shared" si="67"/>
        <v>16496.10678369685</v>
      </c>
    </row>
    <row r="32" spans="1:171">
      <c r="A32">
        <v>6</v>
      </c>
      <c r="B32">
        <v>1.54143585092054E-3</v>
      </c>
      <c r="C32">
        <v>1.54143585092054E-3</v>
      </c>
      <c r="D32">
        <v>3.4254130020456501E-4</v>
      </c>
      <c r="E32">
        <v>0</v>
      </c>
      <c r="F32">
        <v>0</v>
      </c>
      <c r="G32">
        <v>0</v>
      </c>
      <c r="H32" s="53">
        <v>1.7693893431643E-5</v>
      </c>
      <c r="I32" s="53">
        <v>3.7175600603836103E-8</v>
      </c>
      <c r="J32">
        <v>3.36890310328726E-4</v>
      </c>
      <c r="K32">
        <v>0.133710118829723</v>
      </c>
      <c r="L32">
        <v>0.13525951632913</v>
      </c>
      <c r="M32">
        <v>4.9588089642288804E-4</v>
      </c>
      <c r="N32" s="53">
        <v>-1.72886878424538E-14</v>
      </c>
      <c r="O32" s="53">
        <v>-1.05961268405396E-12</v>
      </c>
      <c r="P32" s="53">
        <v>-9.6595637304880395E-18</v>
      </c>
      <c r="Q32">
        <v>0.11395861217105201</v>
      </c>
      <c r="R32">
        <v>98.3502748800029</v>
      </c>
      <c r="S32">
        <v>500</v>
      </c>
      <c r="T32">
        <v>95</v>
      </c>
      <c r="U32">
        <v>1</v>
      </c>
      <c r="V32">
        <v>0.1</v>
      </c>
      <c r="W32">
        <v>87.751156402202497</v>
      </c>
      <c r="X32" t="s">
        <v>323</v>
      </c>
      <c r="Y32">
        <v>1</v>
      </c>
      <c r="Z32">
        <v>0.28318429382522198</v>
      </c>
      <c r="AA32">
        <v>0.56945642916197003</v>
      </c>
      <c r="AB32">
        <v>3.7698628972227502E-3</v>
      </c>
      <c r="AC32">
        <v>1822.2107908876901</v>
      </c>
      <c r="AD32">
        <v>2662.6059073104898</v>
      </c>
      <c r="AE32">
        <v>2401.5030938442701</v>
      </c>
      <c r="AF32">
        <v>4</v>
      </c>
      <c r="AG32">
        <v>1.64951815726537E-3</v>
      </c>
      <c r="AH32">
        <v>1.6686323374819601E-3</v>
      </c>
      <c r="AI32" s="53">
        <v>6.1174468293775103E-6</v>
      </c>
      <c r="AJ32">
        <v>0</v>
      </c>
      <c r="AK32">
        <v>0</v>
      </c>
      <c r="AL32">
        <v>0</v>
      </c>
      <c r="AM32">
        <v>1.60449551819817E-3</v>
      </c>
      <c r="AN32" s="53">
        <v>7.8378352599036395E-5</v>
      </c>
      <c r="AO32" s="53">
        <v>6.0687799409797502E-6</v>
      </c>
      <c r="AP32">
        <v>1.98992535233798E-3</v>
      </c>
      <c r="AQ32">
        <v>7.0286566630574296E-2</v>
      </c>
      <c r="AR32" s="53">
        <v>2.1509950778718299E-6</v>
      </c>
      <c r="AS32" s="53">
        <v>-1.0218998498963401E-14</v>
      </c>
      <c r="AT32" s="53">
        <v>-1.31525649746389E-13</v>
      </c>
      <c r="AU32" s="53">
        <v>-3.7253567811428197E-18</v>
      </c>
      <c r="AV32">
        <v>0.20900106017960299</v>
      </c>
      <c r="AW32">
        <v>99.204457517079604</v>
      </c>
      <c r="AX32">
        <v>500</v>
      </c>
      <c r="AY32">
        <v>95</v>
      </c>
      <c r="AZ32">
        <v>0.92374973309314701</v>
      </c>
      <c r="BA32">
        <v>0.1</v>
      </c>
      <c r="BB32">
        <v>44.198327620889899</v>
      </c>
      <c r="BC32" t="s">
        <v>251</v>
      </c>
      <c r="BD32">
        <v>1</v>
      </c>
      <c r="BE32">
        <v>1.8775014999999999E-2</v>
      </c>
      <c r="BF32">
        <v>0.10492961100000001</v>
      </c>
      <c r="BG32">
        <v>1.814625E-3</v>
      </c>
      <c r="BH32">
        <v>285.1951444</v>
      </c>
      <c r="BI32">
        <v>2169.8944889999998</v>
      </c>
      <c r="BJ32">
        <v>866.49409060000005</v>
      </c>
      <c r="BK32">
        <f t="shared" si="0"/>
        <v>100</v>
      </c>
      <c r="BL32">
        <f t="shared" si="1"/>
        <v>11.395861217105201</v>
      </c>
      <c r="BM32">
        <f t="shared" si="2"/>
        <v>92.374973309314697</v>
      </c>
      <c r="BN32">
        <f t="shared" si="3"/>
        <v>20.900106017960297</v>
      </c>
      <c r="BO32">
        <f t="shared" si="28"/>
        <v>4.1025100381578721</v>
      </c>
      <c r="BP32">
        <f t="shared" si="4"/>
        <v>0.27350066921052485</v>
      </c>
      <c r="BQ32">
        <f t="shared" si="5"/>
        <v>1.367503346052624</v>
      </c>
      <c r="BR32">
        <f t="shared" si="29"/>
        <v>0.68375167302631201</v>
      </c>
      <c r="BS32">
        <f t="shared" si="6"/>
        <v>1.1395861217105201</v>
      </c>
      <c r="BT32">
        <f t="shared" si="30"/>
        <v>6.837516730263121</v>
      </c>
      <c r="BU32">
        <f t="shared" si="7"/>
        <v>18.233377947368322</v>
      </c>
      <c r="BV32">
        <f t="shared" si="31"/>
        <v>5.6979306085525998</v>
      </c>
      <c r="BW32">
        <f t="shared" si="8"/>
        <v>86.677042700762101</v>
      </c>
      <c r="BX32">
        <f t="shared" si="32"/>
        <v>103.7708345264199</v>
      </c>
      <c r="BY32">
        <f t="shared" si="33"/>
        <v>92.374973309314697</v>
      </c>
      <c r="BZ32">
        <f t="shared" si="34"/>
        <v>1.595420570394728</v>
      </c>
      <c r="CA32">
        <f>7963.6*(BT32/1000)^0.6*1.7*('CAPEX+OPEX'!$G$116/'CAPEX+OPEX'!$G$115)</f>
        <v>802.01034286435458</v>
      </c>
      <c r="CB32">
        <f>7963.6*(BU32/1000)^0.6*1.7*('CAPEX+OPEX'!$G$116/'CAPEX+OPEX'!$G$115)</f>
        <v>1444.645231586612</v>
      </c>
      <c r="CC32">
        <f>7963.6*(BX32/1000)^0.6*1.7*('CAPEX+OPEX'!$G$116/'CAPEX+OPEX'!$G$115)</f>
        <v>4100.9654786569836</v>
      </c>
      <c r="CD32">
        <f>7963.6*(BY32/1000)^0.6*1.7*('CAPEX+OPEX'!$G$116/'CAPEX+OPEX'!$G$115)</f>
        <v>3824.4899446699064</v>
      </c>
      <c r="CE32">
        <v>300</v>
      </c>
      <c r="CF32">
        <v>30</v>
      </c>
      <c r="CG32">
        <f t="shared" si="9"/>
        <v>7.524038166465707</v>
      </c>
      <c r="CH32">
        <f t="shared" si="10"/>
        <v>0.50160254443104713</v>
      </c>
      <c r="CI32">
        <f t="shared" si="11"/>
        <v>2.5080127221552355</v>
      </c>
      <c r="CJ32">
        <f t="shared" si="12"/>
        <v>1.2540063610776178</v>
      </c>
      <c r="CK32">
        <f t="shared" si="13"/>
        <v>2.0900106017960298</v>
      </c>
      <c r="CL32">
        <f t="shared" si="14"/>
        <v>12.540063610776178</v>
      </c>
      <c r="CM32">
        <f t="shared" si="35"/>
        <v>33.440169628736477</v>
      </c>
      <c r="CN32">
        <f t="shared" si="36"/>
        <v>10.450053008980149</v>
      </c>
      <c r="CO32">
        <v>0</v>
      </c>
      <c r="CP32">
        <f t="shared" si="37"/>
        <v>31.350159026940446</v>
      </c>
      <c r="CQ32">
        <f t="shared" si="38"/>
        <v>10.450053008980149</v>
      </c>
      <c r="CR32">
        <f t="shared" si="39"/>
        <v>2.9260148425144417</v>
      </c>
      <c r="CS32">
        <f>7963.6*(CL32/1000)^0.6*1.7*('CAPEX+OPEX'!$G$116/'CAPEX+OPEX'!$G$115)</f>
        <v>1154.0397594437595</v>
      </c>
      <c r="CT32">
        <f>7963.6*(CM32/1000)^0.6*1.7*('CAPEX+OPEX'!$G$116/'CAPEX+OPEX'!$G$115)</f>
        <v>2078.7487971632813</v>
      </c>
      <c r="CU32">
        <f>7963.6*(CP32/1000)^0.6*1.7*('CAPEX+OPEX'!$G$116/'CAPEX+OPEX'!$G$115)</f>
        <v>1999.7917701361187</v>
      </c>
      <c r="CV32">
        <f>7963.6*(CQ32/1000)^0.6*1.7*('CAPEX+OPEX'!$G$116/'CAPEX+OPEX'!$G$115)</f>
        <v>1034.4560024126993</v>
      </c>
      <c r="CW32">
        <v>300</v>
      </c>
      <c r="CX32">
        <f t="shared" si="15"/>
        <v>30</v>
      </c>
      <c r="CY32">
        <f t="shared" si="16"/>
        <v>10</v>
      </c>
      <c r="CZ32">
        <f t="shared" si="17"/>
        <v>9.2374973309314701</v>
      </c>
      <c r="DA32">
        <f t="shared" si="40"/>
        <v>3960</v>
      </c>
      <c r="DB32">
        <f t="shared" si="18"/>
        <v>3960</v>
      </c>
      <c r="DC32">
        <f>CF32*'Reagent cost'!$C$18/1000*'Reagent cost'!$H$18</f>
        <v>4784.413580611521</v>
      </c>
      <c r="DD32">
        <f>CX32*'Ligand cost'!$B$56*'Ligand cost'!$J$56</f>
        <v>30543.831958072875</v>
      </c>
      <c r="DE32">
        <f t="shared" si="41"/>
        <v>39625.826528698344</v>
      </c>
      <c r="DF32">
        <f t="shared" si="19"/>
        <v>4586243.4239371875</v>
      </c>
      <c r="DG32">
        <f t="shared" si="42"/>
        <v>11794834.586807497</v>
      </c>
      <c r="DH32">
        <f t="shared" si="20"/>
        <v>2275209.1661185985</v>
      </c>
      <c r="DI32">
        <f t="shared" si="21"/>
        <v>14083914.336508472</v>
      </c>
      <c r="DJ32">
        <f t="shared" si="43"/>
        <v>1662824.8986326549</v>
      </c>
      <c r="DK32" s="55">
        <f>DF32*($BK$2/10000)^0.72*0.6*((A32+1)/3)^0.6*('CAPEX+OPEX'!$G$116/'CAPEX+OPEX'!$G$114)</f>
        <v>387681.53783205553</v>
      </c>
      <c r="DL32" s="55">
        <f>DG32*($BK$2/10000)^0.72*0.6*((A32+1)/3)^0.6*('CAPEX+OPEX'!$G$116/'CAPEX+OPEX'!$G$114)</f>
        <v>997033.77871790738</v>
      </c>
      <c r="DM32" s="55">
        <f>DH32*($BK$2/10000)^0.72*0.6*((A32+1)/3)^0.6*('CAPEX+OPEX'!$G$116/'CAPEX+OPEX'!$G$114)</f>
        <v>192326.59649217245</v>
      </c>
      <c r="DN32" s="55">
        <f>DI32*($BK$2/10000)^0.72*0.6*((A32+1)/3)^0.6*('CAPEX+OPEX'!$G$116/'CAPEX+OPEX'!$G$114)</f>
        <v>1190532.8749395488</v>
      </c>
      <c r="DO32" s="55">
        <f>DJ32*($BK$2/10000)^0.72*0.6*((A32+1)/3)^0.6*('CAPEX+OPEX'!$G$116/'CAPEX+OPEX'!$G$114)</f>
        <v>140560.90230246107</v>
      </c>
      <c r="DP32">
        <f t="shared" si="44"/>
        <v>2908135.6902841455</v>
      </c>
      <c r="DQ32">
        <f>DF32*(BM32/10000)^0.72*0.6*((AF32+1)/3)^0.6*('CAPEX+OPEX'!$G$116/'CAPEX+OPEX'!$G$114)</f>
        <v>299224.68108931626</v>
      </c>
      <c r="DR32">
        <f>DG32*(BM32/10000)^0.72*0.6*((AF32+1)/3)^0.6*('CAPEX+OPEX'!$G$116/'CAPEX+OPEX'!$G$114)</f>
        <v>769541.71235614002</v>
      </c>
      <c r="DS32">
        <f>DH32*(BM32/10000)^0.72*0.6*((AF32+1)/3)^0.6*('CAPEX+OPEX'!$G$116/'CAPEX+OPEX'!$G$114)</f>
        <v>148443.6551252389</v>
      </c>
      <c r="DT32">
        <f>DI32*(BM32/10000)^0.72*0.6*((AF32+1)/3)^0.6*('CAPEX+OPEX'!$G$116/'CAPEX+OPEX'!$G$114)</f>
        <v>918890.33927753288</v>
      </c>
      <c r="DU32">
        <f>DJ32*(BM32/10000)^0.72*0.6*((AF32+1)/3)^0.6*('CAPEX+OPEX'!$G$116/'CAPEX+OPEX'!$G$114)</f>
        <v>108489.28066133657</v>
      </c>
      <c r="DV32">
        <f t="shared" si="45"/>
        <v>2244589.6685095648</v>
      </c>
      <c r="DW32">
        <f t="shared" si="46"/>
        <v>5221365.8605891708</v>
      </c>
      <c r="DX32">
        <f t="shared" si="47"/>
        <v>348091.05737261137</v>
      </c>
      <c r="DY32">
        <f>BO32*'Reagent cost'!$C$35*60*7200</f>
        <v>1062620.5711593204</v>
      </c>
      <c r="DZ32">
        <f>BP32*'Reagent cost'!$C$34*60*7200</f>
        <v>252847.08019463703</v>
      </c>
      <c r="EA32">
        <f>BQ32*'Reagent cost'!$C$14*'Reagent cost'!$C$36/1000*60*7200</f>
        <v>4191148.3317929949</v>
      </c>
      <c r="EB32">
        <f t="shared" si="22"/>
        <v>39.6</v>
      </c>
      <c r="EC32">
        <f t="shared" si="23"/>
        <v>95.688271612230423</v>
      </c>
      <c r="ED32">
        <f>0.1*BK32*60*7200*'Reagent cost'!$H$17*'Reagent cost'!$C$17/1000</f>
        <v>504921.59999999998</v>
      </c>
      <c r="EE32">
        <f>BV32*0.1*'Reagent cost'!$C$16/1000*'Reagent cost'!$H$16*60*7200</f>
        <v>1039715.5290105023</v>
      </c>
      <c r="EF32">
        <f>BZ32/1000*'Reagent cost'!$H$19*'Reagent cost'!$C$19*60*7200</f>
        <v>87358.848752533726</v>
      </c>
      <c r="EG32">
        <f>0.33*('Costing 100 Lmin Feed Orig'!BO32*'Reagent cost'!$C$13+'Costing 100 Lmin Feed Orig'!BP32*'Reagent cost'!$C$12+'Costing 100 Lmin Feed Orig'!BQ32*'Reagent cost'!$C$14+'Costing 100 Lmin Feed Orig'!BV32*0.1*'Reagent cost'!$C$16+'Costing 100 Lmin Feed Orig'!BZ32*'Reagent cost'!$C$19)/1000*60*7200</f>
        <v>178733.98860150197</v>
      </c>
      <c r="EH32">
        <f>CG32*'Reagent cost'!$C$35*60*7200</f>
        <v>1948855.1300326264</v>
      </c>
      <c r="EI32">
        <f>CH32*'Reagent cost'!$C$34*60*7200</f>
        <v>463723.68719860638</v>
      </c>
      <c r="EJ32">
        <f>CI32*'Reagent cost'!$C$14*'Reagent cost'!$C$36/1000*60*7200</f>
        <v>7686601.5479365578</v>
      </c>
      <c r="EK32">
        <f t="shared" si="24"/>
        <v>39.6</v>
      </c>
      <c r="EL32">
        <f t="shared" si="25"/>
        <v>610.87663916145755</v>
      </c>
      <c r="EM32">
        <f>0.1*BM32*60*7200*'Reagent cost'!$H$17*'Reagent cost'!$C$17/1000</f>
        <v>466421.19323296467</v>
      </c>
      <c r="EN32">
        <f>CN32*0.1*'Reagent cost'!$C$16/1000*'Reagent cost'!$H$16*60*7200</f>
        <v>1906847.0886800699</v>
      </c>
      <c r="EO32">
        <f>CR32/1000*'Reagent cost'!$H$19*'Reagent cost'!$C$19*60*7200</f>
        <v>160216.86871672075</v>
      </c>
      <c r="EP32">
        <f>0.33*(CG32*'Reagent cost'!$C$13+CH32*'Reagent cost'!$C$12+CI32*'Reagent cost'!$C$14+CN32*0.1*'Reagent cost'!$C$16+CR32*'Reagent cost'!$C$19)/1000*60*7200</f>
        <v>327799.64933033928</v>
      </c>
      <c r="EQ32">
        <f t="shared" si="48"/>
        <v>23726475.889941964</v>
      </c>
      <c r="ER32">
        <f t="shared" si="49"/>
        <v>506533.63793184125</v>
      </c>
      <c r="ES32">
        <f t="shared" si="50"/>
        <v>35776.359048024235</v>
      </c>
      <c r="ET32">
        <f t="shared" si="51"/>
        <v>29068.269280606211</v>
      </c>
      <c r="EU32">
        <f t="shared" si="52"/>
        <v>12307.130138966339</v>
      </c>
      <c r="EV32">
        <f t="shared" si="53"/>
        <v>6519.4301878820042</v>
      </c>
      <c r="EW32">
        <f t="shared" si="54"/>
        <v>6563.8027407820491</v>
      </c>
      <c r="EX32">
        <f t="shared" si="55"/>
        <v>90234.991396260841</v>
      </c>
      <c r="EY32">
        <f t="shared" si="56"/>
        <v>28289.73423978344</v>
      </c>
      <c r="EZ32">
        <f t="shared" si="57"/>
        <v>19400.174755088523</v>
      </c>
      <c r="FA32">
        <f t="shared" si="58"/>
        <v>8213.783666468933</v>
      </c>
      <c r="FB32">
        <f t="shared" si="59"/>
        <v>4353.4867414415085</v>
      </c>
      <c r="FC32">
        <f t="shared" si="60"/>
        <v>4380.6846221167634</v>
      </c>
      <c r="FD32">
        <f t="shared" si="61"/>
        <v>64637.864024899165</v>
      </c>
      <c r="FE32">
        <f t="shared" si="62"/>
        <v>24387882.383294966</v>
      </c>
      <c r="FF32">
        <f t="shared" si="63"/>
        <v>24735973.440667577</v>
      </c>
      <c r="FG32">
        <f>BM32*AM32*195.08/1000*'PGM market prices'!$C$2*60*7200</f>
        <v>421317814.37330979</v>
      </c>
      <c r="FH32">
        <f>BN32*AQ32*BA32*106.42/1000*'PGM market prices'!$C$3*60*7200</f>
        <v>222390021.19733122</v>
      </c>
      <c r="FI32">
        <f>BK32*J32*102.91/1000*'PGM market prices'!$C$4*60*7200</f>
        <v>247042670.24640098</v>
      </c>
      <c r="FJ32">
        <f t="shared" si="26"/>
        <v>890750505.81704199</v>
      </c>
      <c r="FK32">
        <f t="shared" si="27"/>
        <v>640850753.95851707</v>
      </c>
      <c r="FL32">
        <f t="shared" si="64"/>
        <v>0.5725919777932309</v>
      </c>
      <c r="FM32">
        <f t="shared" si="65"/>
        <v>1980.3396273215935</v>
      </c>
      <c r="FN32">
        <f t="shared" si="66"/>
        <v>3662.6986304036877</v>
      </c>
      <c r="FO32">
        <f t="shared" si="67"/>
        <v>16515.782730219675</v>
      </c>
    </row>
    <row r="33" spans="1:171">
      <c r="A33">
        <v>6</v>
      </c>
      <c r="B33">
        <v>1.54143585092054E-3</v>
      </c>
      <c r="C33">
        <v>1.54143585092054E-3</v>
      </c>
      <c r="D33">
        <v>3.4254130020456501E-4</v>
      </c>
      <c r="E33">
        <v>0</v>
      </c>
      <c r="F33">
        <v>0</v>
      </c>
      <c r="G33">
        <v>0</v>
      </c>
      <c r="H33" s="53">
        <v>1.7693893431643E-5</v>
      </c>
      <c r="I33" s="53">
        <v>3.7175600603836103E-8</v>
      </c>
      <c r="J33">
        <v>3.36890310328726E-4</v>
      </c>
      <c r="K33">
        <v>0.133710118829723</v>
      </c>
      <c r="L33">
        <v>0.13525951632913</v>
      </c>
      <c r="M33">
        <v>4.9588089642288804E-4</v>
      </c>
      <c r="N33" s="53">
        <v>-1.72886878424538E-14</v>
      </c>
      <c r="O33" s="53">
        <v>-1.05961268405396E-12</v>
      </c>
      <c r="P33" s="53">
        <v>-9.6595637304880395E-18</v>
      </c>
      <c r="Q33">
        <v>0.11395861217105201</v>
      </c>
      <c r="R33">
        <v>98.3502748800029</v>
      </c>
      <c r="S33">
        <v>500</v>
      </c>
      <c r="T33">
        <v>95</v>
      </c>
      <c r="U33">
        <v>1</v>
      </c>
      <c r="V33">
        <v>0.1</v>
      </c>
      <c r="W33">
        <v>87.751156402202497</v>
      </c>
      <c r="X33" t="s">
        <v>323</v>
      </c>
      <c r="Y33">
        <v>1</v>
      </c>
      <c r="Z33">
        <v>0.28318429382522198</v>
      </c>
      <c r="AA33">
        <v>0.56945642916197003</v>
      </c>
      <c r="AB33">
        <v>3.7698628972227502E-3</v>
      </c>
      <c r="AC33">
        <v>1822.2107908876901</v>
      </c>
      <c r="AD33">
        <v>2662.6059073104898</v>
      </c>
      <c r="AE33">
        <v>2401.5030938442701</v>
      </c>
      <c r="AF33">
        <v>5</v>
      </c>
      <c r="AG33">
        <v>1.64951815726537E-3</v>
      </c>
      <c r="AH33">
        <v>1.6686323374819601E-3</v>
      </c>
      <c r="AI33" s="53">
        <v>6.1174468293775103E-6</v>
      </c>
      <c r="AJ33">
        <v>0</v>
      </c>
      <c r="AK33">
        <v>0</v>
      </c>
      <c r="AL33">
        <v>0</v>
      </c>
      <c r="AM33">
        <v>1.6101609638428101E-3</v>
      </c>
      <c r="AN33" s="53">
        <v>7.8670620175806696E-5</v>
      </c>
      <c r="AO33" s="53">
        <v>6.0746937584639903E-6</v>
      </c>
      <c r="AP33">
        <v>1.81262020813318E-3</v>
      </c>
      <c r="AQ33">
        <v>7.3226683315541802E-2</v>
      </c>
      <c r="AR33" s="53">
        <v>1.96901947416695E-6</v>
      </c>
      <c r="AS33" s="53">
        <v>-5.6209106379795297E-17</v>
      </c>
      <c r="AT33" s="53">
        <v>1.07336015076064E-16</v>
      </c>
      <c r="AU33" s="53">
        <v>-4.8360287332300198E-20</v>
      </c>
      <c r="AV33">
        <v>0.200572611715987</v>
      </c>
      <c r="AW33">
        <v>99.301128851529697</v>
      </c>
      <c r="AX33">
        <v>500</v>
      </c>
      <c r="AY33">
        <v>95</v>
      </c>
      <c r="AZ33">
        <v>0.92374973309314701</v>
      </c>
      <c r="BA33">
        <v>0.1</v>
      </c>
      <c r="BB33">
        <v>46.055626697486701</v>
      </c>
      <c r="BC33" t="s">
        <v>251</v>
      </c>
      <c r="BD33">
        <v>1</v>
      </c>
      <c r="BE33">
        <v>1.8775014999999999E-2</v>
      </c>
      <c r="BF33">
        <v>0.10492961100000001</v>
      </c>
      <c r="BG33">
        <v>1.814625E-3</v>
      </c>
      <c r="BH33">
        <v>285.1951444</v>
      </c>
      <c r="BI33">
        <v>2169.8944889999998</v>
      </c>
      <c r="BJ33">
        <v>866.49409060000005</v>
      </c>
      <c r="BK33">
        <f t="shared" si="0"/>
        <v>100</v>
      </c>
      <c r="BL33">
        <f t="shared" si="1"/>
        <v>11.395861217105201</v>
      </c>
      <c r="BM33">
        <f t="shared" si="2"/>
        <v>92.374973309314697</v>
      </c>
      <c r="BN33">
        <f t="shared" si="3"/>
        <v>20.0572611715987</v>
      </c>
      <c r="BO33">
        <f t="shared" si="28"/>
        <v>4.1025100381578721</v>
      </c>
      <c r="BP33">
        <f t="shared" si="4"/>
        <v>0.27350066921052485</v>
      </c>
      <c r="BQ33">
        <f t="shared" si="5"/>
        <v>1.367503346052624</v>
      </c>
      <c r="BR33">
        <f t="shared" si="29"/>
        <v>0.68375167302631201</v>
      </c>
      <c r="BS33">
        <f t="shared" si="6"/>
        <v>1.1395861217105201</v>
      </c>
      <c r="BT33">
        <f t="shared" si="30"/>
        <v>6.837516730263121</v>
      </c>
      <c r="BU33">
        <f t="shared" si="7"/>
        <v>18.233377947368322</v>
      </c>
      <c r="BV33">
        <f t="shared" si="31"/>
        <v>5.6979306085525998</v>
      </c>
      <c r="BW33">
        <f t="shared" si="8"/>
        <v>86.677042700762101</v>
      </c>
      <c r="BX33">
        <f t="shared" si="32"/>
        <v>103.7708345264199</v>
      </c>
      <c r="BY33">
        <f t="shared" si="33"/>
        <v>92.374973309314697</v>
      </c>
      <c r="BZ33">
        <f t="shared" si="34"/>
        <v>1.595420570394728</v>
      </c>
      <c r="CA33">
        <f>7963.6*(BT33/1000)^0.6*1.7*('CAPEX+OPEX'!$G$116/'CAPEX+OPEX'!$G$115)</f>
        <v>802.01034286435458</v>
      </c>
      <c r="CB33">
        <f>7963.6*(BU33/1000)^0.6*1.7*('CAPEX+OPEX'!$G$116/'CAPEX+OPEX'!$G$115)</f>
        <v>1444.645231586612</v>
      </c>
      <c r="CC33">
        <f>7963.6*(BX33/1000)^0.6*1.7*('CAPEX+OPEX'!$G$116/'CAPEX+OPEX'!$G$115)</f>
        <v>4100.9654786569836</v>
      </c>
      <c r="CD33">
        <f>7963.6*(BY33/1000)^0.6*1.7*('CAPEX+OPEX'!$G$116/'CAPEX+OPEX'!$G$115)</f>
        <v>3824.4899446699064</v>
      </c>
      <c r="CE33">
        <v>300</v>
      </c>
      <c r="CF33">
        <v>30</v>
      </c>
      <c r="CG33">
        <f t="shared" si="9"/>
        <v>7.2206140217755319</v>
      </c>
      <c r="CH33">
        <f t="shared" si="10"/>
        <v>0.48137426811836881</v>
      </c>
      <c r="CI33">
        <f t="shared" si="11"/>
        <v>2.4068713405918438</v>
      </c>
      <c r="CJ33">
        <f t="shared" si="12"/>
        <v>1.2034356702959219</v>
      </c>
      <c r="CK33">
        <f t="shared" si="13"/>
        <v>2.0057261171598699</v>
      </c>
      <c r="CL33">
        <f t="shared" si="14"/>
        <v>12.03435670295922</v>
      </c>
      <c r="CM33">
        <f t="shared" si="35"/>
        <v>32.091617874557919</v>
      </c>
      <c r="CN33">
        <f t="shared" si="36"/>
        <v>10.028630585799348</v>
      </c>
      <c r="CO33">
        <v>0</v>
      </c>
      <c r="CP33">
        <f t="shared" si="37"/>
        <v>30.085891757398048</v>
      </c>
      <c r="CQ33">
        <f t="shared" si="38"/>
        <v>10.028630585799348</v>
      </c>
      <c r="CR33">
        <f t="shared" si="39"/>
        <v>2.8080165640238177</v>
      </c>
      <c r="CS33">
        <f>7963.6*(CL33/1000)^0.6*1.7*('CAPEX+OPEX'!$G$116/'CAPEX+OPEX'!$G$115)</f>
        <v>1125.8866144080525</v>
      </c>
      <c r="CT33">
        <f>7963.6*(CM33/1000)^0.6*1.7*('CAPEX+OPEX'!$G$116/'CAPEX+OPEX'!$G$115)</f>
        <v>2028.0370986273954</v>
      </c>
      <c r="CU33">
        <f>7963.6*(CP33/1000)^0.6*1.7*('CAPEX+OPEX'!$G$116/'CAPEX+OPEX'!$G$115)</f>
        <v>1951.006251885872</v>
      </c>
      <c r="CV33">
        <f>7963.6*(CQ33/1000)^0.6*1.7*('CAPEX+OPEX'!$G$116/'CAPEX+OPEX'!$G$115)</f>
        <v>1009.2201388900947</v>
      </c>
      <c r="CW33">
        <v>300</v>
      </c>
      <c r="CX33">
        <f t="shared" si="15"/>
        <v>30</v>
      </c>
      <c r="CY33">
        <f t="shared" si="16"/>
        <v>10</v>
      </c>
      <c r="CZ33">
        <f t="shared" si="17"/>
        <v>9.2374973309314701</v>
      </c>
      <c r="DA33">
        <f t="shared" si="40"/>
        <v>3960</v>
      </c>
      <c r="DB33">
        <f t="shared" si="18"/>
        <v>3960</v>
      </c>
      <c r="DC33">
        <f>CF33*'Reagent cost'!$C$18/1000*'Reagent cost'!$H$18</f>
        <v>4784.413580611521</v>
      </c>
      <c r="DD33">
        <f>CX33*'Ligand cost'!$B$56*'Ligand cost'!$J$56</f>
        <v>30543.831958072875</v>
      </c>
      <c r="DE33">
        <f t="shared" si="41"/>
        <v>39625.826528698344</v>
      </c>
      <c r="DF33">
        <f t="shared" si="19"/>
        <v>4586243.4239371875</v>
      </c>
      <c r="DG33">
        <f t="shared" si="42"/>
        <v>11794834.586807497</v>
      </c>
      <c r="DH33">
        <f t="shared" si="20"/>
        <v>2275209.1661185985</v>
      </c>
      <c r="DI33">
        <f t="shared" si="21"/>
        <v>14083914.336508472</v>
      </c>
      <c r="DJ33">
        <f t="shared" si="43"/>
        <v>1662824.8986326549</v>
      </c>
      <c r="DK33" s="55">
        <f>DF33*($BK$2/10000)^0.72*0.6*((A33+1)/3)^0.6*('CAPEX+OPEX'!$G$116/'CAPEX+OPEX'!$G$114)</f>
        <v>387681.53783205553</v>
      </c>
      <c r="DL33" s="55">
        <f>DG33*($BK$2/10000)^0.72*0.6*((A33+1)/3)^0.6*('CAPEX+OPEX'!$G$116/'CAPEX+OPEX'!$G$114)</f>
        <v>997033.77871790738</v>
      </c>
      <c r="DM33" s="55">
        <f>DH33*($BK$2/10000)^0.72*0.6*((A33+1)/3)^0.6*('CAPEX+OPEX'!$G$116/'CAPEX+OPEX'!$G$114)</f>
        <v>192326.59649217245</v>
      </c>
      <c r="DN33" s="55">
        <f>DI33*($BK$2/10000)^0.72*0.6*((A33+1)/3)^0.6*('CAPEX+OPEX'!$G$116/'CAPEX+OPEX'!$G$114)</f>
        <v>1190532.8749395488</v>
      </c>
      <c r="DO33" s="55">
        <f>DJ33*($BK$2/10000)^0.72*0.6*((A33+1)/3)^0.6*('CAPEX+OPEX'!$G$116/'CAPEX+OPEX'!$G$114)</f>
        <v>140560.90230246107</v>
      </c>
      <c r="DP33">
        <f t="shared" si="44"/>
        <v>2908135.6902841455</v>
      </c>
      <c r="DQ33">
        <f>DF33*(BM33/10000)^0.72*0.6*((AF33+1)/3)^0.6*('CAPEX+OPEX'!$G$116/'CAPEX+OPEX'!$G$114)</f>
        <v>333815.24026015052</v>
      </c>
      <c r="DR33">
        <f>DG33*(BM33/10000)^0.72*0.6*((AF33+1)/3)^0.6*('CAPEX+OPEX'!$G$116/'CAPEX+OPEX'!$G$114)</f>
        <v>858501.21275154583</v>
      </c>
      <c r="DS33">
        <f>DH33*(BM33/10000)^0.72*0.6*((AF33+1)/3)^0.6*('CAPEX+OPEX'!$G$116/'CAPEX+OPEX'!$G$114)</f>
        <v>165603.83394956461</v>
      </c>
      <c r="DT33">
        <f>DI33*(BM33/10000)^0.72*0.6*((AF33+1)/3)^0.6*('CAPEX+OPEX'!$G$116/'CAPEX+OPEX'!$G$114)</f>
        <v>1025114.6337995476</v>
      </c>
      <c r="DU33">
        <f>DJ33*(BM33/10000)^0.72*0.6*((AF33+1)/3)^0.6*('CAPEX+OPEX'!$G$116/'CAPEX+OPEX'!$G$114)</f>
        <v>121030.70895680881</v>
      </c>
      <c r="DV33">
        <f t="shared" si="45"/>
        <v>2504065.6297176173</v>
      </c>
      <c r="DW33">
        <f t="shared" si="46"/>
        <v>5480666.0026380774</v>
      </c>
      <c r="DX33">
        <f t="shared" si="47"/>
        <v>365377.73350920517</v>
      </c>
      <c r="DY33">
        <f>BO33*'Reagent cost'!$C$35*60*7200</f>
        <v>1062620.5711593204</v>
      </c>
      <c r="DZ33">
        <f>BP33*'Reagent cost'!$C$34*60*7200</f>
        <v>252847.08019463703</v>
      </c>
      <c r="EA33">
        <f>BQ33*'Reagent cost'!$C$14*'Reagent cost'!$C$36/1000*60*7200</f>
        <v>4191148.3317929949</v>
      </c>
      <c r="EB33">
        <f t="shared" si="22"/>
        <v>39.6</v>
      </c>
      <c r="EC33">
        <f t="shared" si="23"/>
        <v>95.688271612230423</v>
      </c>
      <c r="ED33">
        <f>0.1*BK33*60*7200*'Reagent cost'!$H$17*'Reagent cost'!$C$17/1000</f>
        <v>504921.59999999998</v>
      </c>
      <c r="EE33">
        <f>BV33*0.1*'Reagent cost'!$C$16/1000*'Reagent cost'!$H$16*60*7200</f>
        <v>1039715.5290105023</v>
      </c>
      <c r="EF33">
        <f>BZ33/1000*'Reagent cost'!$H$19*'Reagent cost'!$C$19*60*7200</f>
        <v>87358.848752533726</v>
      </c>
      <c r="EG33">
        <f>0.33*('Costing 100 Lmin Feed Orig'!BO33*'Reagent cost'!$C$13+'Costing 100 Lmin Feed Orig'!BP33*'Reagent cost'!$C$12+'Costing 100 Lmin Feed Orig'!BQ33*'Reagent cost'!$C$14+'Costing 100 Lmin Feed Orig'!BV33*0.1*'Reagent cost'!$C$16+'Costing 100 Lmin Feed Orig'!BZ33*'Reagent cost'!$C$19)/1000*60*7200</f>
        <v>178733.98860150197</v>
      </c>
      <c r="EH33">
        <f>CG33*'Reagent cost'!$C$35*60*7200</f>
        <v>1870263.0644592834</v>
      </c>
      <c r="EI33">
        <f>CH33*'Reagent cost'!$C$34*60*7200</f>
        <v>445022.96292690787</v>
      </c>
      <c r="EJ33">
        <f>CI33*'Reagent cost'!$C$14*'Reagent cost'!$C$36/1000*60*7200</f>
        <v>7376621.660985454</v>
      </c>
      <c r="EK33">
        <f t="shared" si="24"/>
        <v>39.6</v>
      </c>
      <c r="EL33">
        <f t="shared" si="25"/>
        <v>610.87663916145755</v>
      </c>
      <c r="EM33">
        <f>0.1*BM33*60*7200*'Reagent cost'!$H$17*'Reagent cost'!$C$17/1000</f>
        <v>466421.19323296467</v>
      </c>
      <c r="EN33">
        <f>CN33*0.1*'Reagent cost'!$C$16/1000*'Reagent cost'!$H$16*60*7200</f>
        <v>1829949.0939946601</v>
      </c>
      <c r="EO33">
        <f>CR33/1000*'Reagent cost'!$H$19*'Reagent cost'!$C$19*60*7200</f>
        <v>153755.75497968818</v>
      </c>
      <c r="EP33">
        <f>0.33*(CG33*'Reagent cost'!$C$13+CH33*'Reagent cost'!$C$12+CI33*'Reagent cost'!$C$14+CN33*0.1*'Reagent cost'!$C$16+CR33*'Reagent cost'!$C$19)/1000*60*7200</f>
        <v>314580.37451710179</v>
      </c>
      <c r="EQ33">
        <f t="shared" si="48"/>
        <v>23137717.747679662</v>
      </c>
      <c r="ER33">
        <f t="shared" si="49"/>
        <v>493314.36311860377</v>
      </c>
      <c r="ES33">
        <f t="shared" si="50"/>
        <v>35776.359048024235</v>
      </c>
      <c r="ET33">
        <f t="shared" si="51"/>
        <v>29068.269280606211</v>
      </c>
      <c r="EU33">
        <f t="shared" si="52"/>
        <v>12307.130138966339</v>
      </c>
      <c r="EV33">
        <f t="shared" si="53"/>
        <v>6519.4301878820042</v>
      </c>
      <c r="EW33">
        <f t="shared" si="54"/>
        <v>6563.8027407820491</v>
      </c>
      <c r="EX33">
        <f t="shared" si="55"/>
        <v>90234.991396260841</v>
      </c>
      <c r="EY33">
        <f t="shared" si="56"/>
        <v>30861.528261581931</v>
      </c>
      <c r="EZ33">
        <f t="shared" si="57"/>
        <v>23280.20970610623</v>
      </c>
      <c r="FA33">
        <f t="shared" si="58"/>
        <v>9856.54039976272</v>
      </c>
      <c r="FB33">
        <f t="shared" si="59"/>
        <v>5224.1840897298107</v>
      </c>
      <c r="FC33">
        <f t="shared" si="60"/>
        <v>5256.8215465401163</v>
      </c>
      <c r="FD33">
        <f t="shared" si="61"/>
        <v>74479.284003720808</v>
      </c>
      <c r="FE33">
        <f t="shared" si="62"/>
        <v>23795746.386198245</v>
      </c>
      <c r="FF33">
        <f t="shared" si="63"/>
        <v>24161124.11970745</v>
      </c>
      <c r="FG33">
        <f>BM33*AM33*195.08/1000*'PGM market prices'!$C$2*60*7200</f>
        <v>422805480.21554977</v>
      </c>
      <c r="FH33">
        <f>BN33*AQ33*BA33*106.42/1000*'PGM market prices'!$C$3*60*7200</f>
        <v>222349148.84304404</v>
      </c>
      <c r="FI33">
        <f>BK33*J33*102.91/1000*'PGM market prices'!$C$4*60*7200</f>
        <v>247042670.24640098</v>
      </c>
      <c r="FJ33">
        <f t="shared" si="26"/>
        <v>892197299.3049947</v>
      </c>
      <c r="FK33">
        <f t="shared" si="27"/>
        <v>642346769.6371125</v>
      </c>
      <c r="FL33">
        <f t="shared" si="64"/>
        <v>0.55928528054878357</v>
      </c>
      <c r="FM33">
        <f t="shared" si="65"/>
        <v>1927.5117012515166</v>
      </c>
      <c r="FN33">
        <f t="shared" si="66"/>
        <v>3578.2373240051647</v>
      </c>
      <c r="FO33">
        <f t="shared" si="67"/>
        <v>16131.965755708257</v>
      </c>
    </row>
    <row r="34" spans="1:171">
      <c r="A34">
        <v>6</v>
      </c>
      <c r="B34">
        <v>1.54143585092054E-3</v>
      </c>
      <c r="C34">
        <v>1.54143585092054E-3</v>
      </c>
      <c r="D34">
        <v>3.4254130020456501E-4</v>
      </c>
      <c r="E34">
        <v>0</v>
      </c>
      <c r="F34">
        <v>0</v>
      </c>
      <c r="G34">
        <v>0</v>
      </c>
      <c r="H34" s="53">
        <v>1.7693893431643E-5</v>
      </c>
      <c r="I34" s="53">
        <v>3.7175600603836103E-8</v>
      </c>
      <c r="J34">
        <v>3.36890310328726E-4</v>
      </c>
      <c r="K34">
        <v>0.133710118829723</v>
      </c>
      <c r="L34">
        <v>0.13525951632913</v>
      </c>
      <c r="M34">
        <v>4.9588089642288804E-4</v>
      </c>
      <c r="N34" s="53">
        <v>-1.72886878424538E-14</v>
      </c>
      <c r="O34" s="53">
        <v>-1.05961268405396E-12</v>
      </c>
      <c r="P34" s="53">
        <v>-9.6595637304880395E-18</v>
      </c>
      <c r="Q34">
        <v>0.11395861217105201</v>
      </c>
      <c r="R34">
        <v>98.3502748800029</v>
      </c>
      <c r="S34">
        <v>500</v>
      </c>
      <c r="T34">
        <v>95</v>
      </c>
      <c r="U34">
        <v>1</v>
      </c>
      <c r="V34">
        <v>0.1</v>
      </c>
      <c r="W34">
        <v>87.751156402202497</v>
      </c>
      <c r="X34" t="s">
        <v>323</v>
      </c>
      <c r="Y34">
        <v>1</v>
      </c>
      <c r="Z34">
        <v>0.28318429382522198</v>
      </c>
      <c r="AA34">
        <v>0.56945642916197003</v>
      </c>
      <c r="AB34">
        <v>3.7698628972227502E-3</v>
      </c>
      <c r="AC34">
        <v>1822.2107908876901</v>
      </c>
      <c r="AD34">
        <v>2662.6059073104898</v>
      </c>
      <c r="AE34">
        <v>2401.5030938442701</v>
      </c>
      <c r="AF34">
        <v>6</v>
      </c>
      <c r="AG34">
        <v>1.64951815726537E-3</v>
      </c>
      <c r="AH34">
        <v>1.6686323374819601E-3</v>
      </c>
      <c r="AI34" s="53">
        <v>6.1174468293775103E-6</v>
      </c>
      <c r="AJ34">
        <v>0</v>
      </c>
      <c r="AK34">
        <v>0</v>
      </c>
      <c r="AL34">
        <v>0</v>
      </c>
      <c r="AM34">
        <v>1.6118646916441E-3</v>
      </c>
      <c r="AN34" s="53">
        <v>7.8758511932156396E-5</v>
      </c>
      <c r="AO34" s="53">
        <v>6.0764721178985501E-6</v>
      </c>
      <c r="AP34">
        <v>1.75634842896041E-3</v>
      </c>
      <c r="AQ34">
        <v>7.4159771210348502E-2</v>
      </c>
      <c r="AR34" s="53">
        <v>1.91126816471642E-6</v>
      </c>
      <c r="AS34" s="53">
        <v>-2.6427427954334101E-18</v>
      </c>
      <c r="AT34" s="53">
        <v>-2.7300210703185002E-16</v>
      </c>
      <c r="AU34" s="53">
        <v>-2.0447904742310799E-21</v>
      </c>
      <c r="AV34">
        <v>0.19803803302439801</v>
      </c>
      <c r="AW34">
        <v>99.330199139906</v>
      </c>
      <c r="AX34">
        <v>500</v>
      </c>
      <c r="AY34">
        <v>95</v>
      </c>
      <c r="AZ34">
        <v>0.92374973309314701</v>
      </c>
      <c r="BA34">
        <v>0.1</v>
      </c>
      <c r="BB34">
        <v>46.645067060393401</v>
      </c>
      <c r="BC34" t="s">
        <v>251</v>
      </c>
      <c r="BD34">
        <v>1</v>
      </c>
      <c r="BE34">
        <v>1.8775014999999999E-2</v>
      </c>
      <c r="BF34">
        <v>0.10492961100000001</v>
      </c>
      <c r="BG34">
        <v>1.814625E-3</v>
      </c>
      <c r="BH34">
        <v>285.1951444</v>
      </c>
      <c r="BI34">
        <v>2169.8944889999998</v>
      </c>
      <c r="BJ34">
        <v>866.49409060000005</v>
      </c>
      <c r="BK34">
        <f t="shared" ref="BK34:BK65" si="68">U34*100</f>
        <v>100</v>
      </c>
      <c r="BL34">
        <f t="shared" ref="BL34:BL65" si="69">Q34*100</f>
        <v>11.395861217105201</v>
      </c>
      <c r="BM34">
        <f t="shared" ref="BM34:BM65" si="70">AZ34*100</f>
        <v>92.374973309314697</v>
      </c>
      <c r="BN34">
        <f t="shared" ref="BN34:BN65" si="71">AV34*100</f>
        <v>19.8038033024398</v>
      </c>
      <c r="BO34">
        <f t="shared" ref="BO34:BO65" si="72">0.6*1.2*BL34/2</f>
        <v>4.1025100381578721</v>
      </c>
      <c r="BP34">
        <f t="shared" ref="BP34:BP65" si="73">0.04*1.2*BL34/2</f>
        <v>0.27350066921052485</v>
      </c>
      <c r="BQ34">
        <f t="shared" ref="BQ34:BQ65" si="74">0.2*1.2*BL34/2</f>
        <v>1.367503346052624</v>
      </c>
      <c r="BR34">
        <f t="shared" ref="BR34:BR65" si="75">0.1*1.2*BL34/2</f>
        <v>0.68375167302631201</v>
      </c>
      <c r="BS34">
        <f t="shared" ref="BS34:BS65" si="76">V34*BL34</f>
        <v>1.1395861217105201</v>
      </c>
      <c r="BT34">
        <f t="shared" ref="BT34:BT65" si="77">0.6*BL34*1</f>
        <v>6.837516730263121</v>
      </c>
      <c r="BU34">
        <f t="shared" ref="BU34:BU65" si="78">1.6*BL34*1</f>
        <v>18.233377947368322</v>
      </c>
      <c r="BV34">
        <f t="shared" si="31"/>
        <v>5.6979306085525998</v>
      </c>
      <c r="BW34">
        <f t="shared" ref="BW34:BW65" si="79">BM34-BV34</f>
        <v>86.677042700762101</v>
      </c>
      <c r="BX34">
        <f t="shared" ref="BX34:BX65" si="80">(SUM(BV34:BW34)+BL34)*1</f>
        <v>103.7708345264199</v>
      </c>
      <c r="BY34">
        <f t="shared" si="33"/>
        <v>92.374973309314697</v>
      </c>
      <c r="BZ34">
        <f t="shared" si="34"/>
        <v>1.595420570394728</v>
      </c>
      <c r="CA34">
        <f>7963.6*(BT34/1000)^0.6*1.7*('CAPEX+OPEX'!$G$116/'CAPEX+OPEX'!$G$115)</f>
        <v>802.01034286435458</v>
      </c>
      <c r="CB34">
        <f>7963.6*(BU34/1000)^0.6*1.7*('CAPEX+OPEX'!$G$116/'CAPEX+OPEX'!$G$115)</f>
        <v>1444.645231586612</v>
      </c>
      <c r="CC34">
        <f>7963.6*(BX34/1000)^0.6*1.7*('CAPEX+OPEX'!$G$116/'CAPEX+OPEX'!$G$115)</f>
        <v>4100.9654786569836</v>
      </c>
      <c r="CD34">
        <f>7963.6*(BY34/1000)^0.6*1.7*('CAPEX+OPEX'!$G$116/'CAPEX+OPEX'!$G$115)</f>
        <v>3824.4899446699064</v>
      </c>
      <c r="CE34">
        <v>300</v>
      </c>
      <c r="CF34">
        <v>30</v>
      </c>
      <c r="CG34">
        <f t="shared" ref="CG34:CG65" si="81">0.6*1.2*BN34/2</f>
        <v>7.1293691888783277</v>
      </c>
      <c r="CH34">
        <f t="shared" ref="CH34:CH65" si="82">0.04*1.2*BN34/2</f>
        <v>0.47529127925855519</v>
      </c>
      <c r="CI34">
        <f t="shared" ref="CI34:CI65" si="83">0.2*1.2*BN34/2</f>
        <v>2.3764563962927761</v>
      </c>
      <c r="CJ34">
        <f t="shared" ref="CJ34:CJ65" si="84">0.1*1.2*BN34/2</f>
        <v>1.188228198146388</v>
      </c>
      <c r="CK34">
        <f t="shared" ref="CK34:CK65" si="85">0.1*BN34</f>
        <v>1.98038033024398</v>
      </c>
      <c r="CL34">
        <f t="shared" ref="CL34:CL65" si="86">0.6*BN34*1</f>
        <v>11.88228198146388</v>
      </c>
      <c r="CM34">
        <f t="shared" ref="CM34:CM65" si="87">1.6*BN34*1</f>
        <v>31.68608528390368</v>
      </c>
      <c r="CN34">
        <f t="shared" si="36"/>
        <v>9.9019016512198998</v>
      </c>
      <c r="CO34">
        <v>0</v>
      </c>
      <c r="CP34">
        <f t="shared" ref="CP34:CP65" si="88">(SUM(CN34:CO34)+BN34)*1</f>
        <v>29.705704953659698</v>
      </c>
      <c r="CQ34">
        <f t="shared" si="38"/>
        <v>9.9019016512198998</v>
      </c>
      <c r="CR34">
        <f t="shared" si="39"/>
        <v>2.7725324623415717</v>
      </c>
      <c r="CS34">
        <f>7963.6*(CL34/1000)^0.6*1.7*('CAPEX+OPEX'!$G$116/'CAPEX+OPEX'!$G$115)</f>
        <v>1117.3284073797315</v>
      </c>
      <c r="CT34">
        <f>7963.6*(CM34/1000)^0.6*1.7*('CAPEX+OPEX'!$G$116/'CAPEX+OPEX'!$G$115)</f>
        <v>2012.6213710318639</v>
      </c>
      <c r="CU34">
        <f>7963.6*(CP34/1000)^0.6*1.7*('CAPEX+OPEX'!$G$116/'CAPEX+OPEX'!$G$115)</f>
        <v>1936.1760592150338</v>
      </c>
      <c r="CV34">
        <f>7963.6*(CQ34/1000)^0.6*1.7*('CAPEX+OPEX'!$G$116/'CAPEX+OPEX'!$G$115)</f>
        <v>1001.5487492712446</v>
      </c>
      <c r="CW34">
        <v>300</v>
      </c>
      <c r="CX34">
        <f t="shared" ref="CX34:CX65" si="89">0.1*CW34</f>
        <v>30</v>
      </c>
      <c r="CY34">
        <f t="shared" ref="CY34:CY65" si="90">0.1*BK34</f>
        <v>10</v>
      </c>
      <c r="CZ34">
        <f t="shared" ref="CZ34:CZ65" si="91">0.1*BM34</f>
        <v>9.2374973309314701</v>
      </c>
      <c r="DA34">
        <f t="shared" ref="DA34:DA65" si="92">CE34*1.32*10</f>
        <v>3960</v>
      </c>
      <c r="DB34">
        <f t="shared" ref="DB34:DB65" si="93">CW34*1.32*10</f>
        <v>3960</v>
      </c>
      <c r="DC34">
        <f>CF34*'Reagent cost'!$C$18/1000*'Reagent cost'!$H$18</f>
        <v>4784.413580611521</v>
      </c>
      <c r="DD34">
        <f>CX34*'Ligand cost'!$B$56*'Ligand cost'!$J$56</f>
        <v>30543.831958072875</v>
      </c>
      <c r="DE34">
        <f t="shared" ref="DE34:DE65" si="94">10000*1/3.78541*15</f>
        <v>39625.826528698344</v>
      </c>
      <c r="DF34">
        <f t="shared" ref="DF34:DF65" si="95">2510*(DE34^0.571)+89*DE34</f>
        <v>4586243.4239371875</v>
      </c>
      <c r="DG34">
        <f t="shared" ref="DG34:DG65" si="96">4810*(DE34^0.6)+228*DE34</f>
        <v>11794834.586807497</v>
      </c>
      <c r="DH34">
        <f t="shared" ref="DH34:DH65" si="97">1030*(DE34^0.59)+44*DE34</f>
        <v>2275209.1661185985</v>
      </c>
      <c r="DI34">
        <f t="shared" ref="DI34:DI65" si="98">5640*(DE34^0.602)+272*DE34</f>
        <v>14083914.336508472</v>
      </c>
      <c r="DJ34">
        <f t="shared" ref="DJ34:DJ65" si="99">688*(DE34^0.6)+32*DE34</f>
        <v>1662824.8986326549</v>
      </c>
      <c r="DK34" s="55">
        <f>DF34*($BK$2/10000)^0.72*0.6*((A34+1)/3)^0.6*('CAPEX+OPEX'!$G$116/'CAPEX+OPEX'!$G$114)</f>
        <v>387681.53783205553</v>
      </c>
      <c r="DL34" s="55">
        <f>DG34*($BK$2/10000)^0.72*0.6*((A34+1)/3)^0.6*('CAPEX+OPEX'!$G$116/'CAPEX+OPEX'!$G$114)</f>
        <v>997033.77871790738</v>
      </c>
      <c r="DM34" s="55">
        <f>DH34*($BK$2/10000)^0.72*0.6*((A34+1)/3)^0.6*('CAPEX+OPEX'!$G$116/'CAPEX+OPEX'!$G$114)</f>
        <v>192326.59649217245</v>
      </c>
      <c r="DN34" s="55">
        <f>DI34*($BK$2/10000)^0.72*0.6*((A34+1)/3)^0.6*('CAPEX+OPEX'!$G$116/'CAPEX+OPEX'!$G$114)</f>
        <v>1190532.8749395488</v>
      </c>
      <c r="DO34" s="55">
        <f>DJ34*($BK$2/10000)^0.72*0.6*((A34+1)/3)^0.6*('CAPEX+OPEX'!$G$116/'CAPEX+OPEX'!$G$114)</f>
        <v>140560.90230246107</v>
      </c>
      <c r="DP34">
        <f t="shared" ref="DP34:DP65" si="100">SUM(DK34:DO34)</f>
        <v>2908135.6902841455</v>
      </c>
      <c r="DQ34">
        <f>DF34*(BM34/10000)^0.72*0.6*((AF34+1)/3)^0.6*('CAPEX+OPEX'!$G$116/'CAPEX+OPEX'!$G$114)</f>
        <v>366162.81160598446</v>
      </c>
      <c r="DR34">
        <f>DG34*(BM34/10000)^0.72*0.6*((AF34+1)/3)^0.6*('CAPEX+OPEX'!$G$116/'CAPEX+OPEX'!$G$114)</f>
        <v>941692.22945984057</v>
      </c>
      <c r="DS34">
        <f>DH34*(BM34/10000)^0.72*0.6*((AF34+1)/3)^0.6*('CAPEX+OPEX'!$G$116/'CAPEX+OPEX'!$G$114)</f>
        <v>181651.27932579257</v>
      </c>
      <c r="DT34">
        <f>DI34*(BM34/10000)^0.72*0.6*((AF34+1)/3)^0.6*('CAPEX+OPEX'!$G$116/'CAPEX+OPEX'!$G$114)</f>
        <v>1124450.9275189324</v>
      </c>
      <c r="DU34">
        <f>DJ34*(BM34/10000)^0.72*0.6*((AF34+1)/3)^0.6*('CAPEX+OPEX'!$G$116/'CAPEX+OPEX'!$G$114)</f>
        <v>132758.90174383117</v>
      </c>
      <c r="DV34">
        <f t="shared" ref="DV34:DV65" si="101">SUM(DQ34:DU34)</f>
        <v>2746716.149654381</v>
      </c>
      <c r="DW34">
        <f t="shared" ref="DW34:DW65" si="102">DV34+DP34+SUM(DA34:DD34)*1.15+SUM(CS34:CV34)*1.15+SUM(CA34:CD34)*1.15</f>
        <v>5723263.0757303908</v>
      </c>
      <c r="DX34">
        <f t="shared" ref="DX34:DX65" si="103">DW34/15</f>
        <v>381550.87171535939</v>
      </c>
      <c r="DY34">
        <f>BO34*'Reagent cost'!$C$35*60*7200</f>
        <v>1062620.5711593204</v>
      </c>
      <c r="DZ34">
        <f>BP34*'Reagent cost'!$C$34*60*7200</f>
        <v>252847.08019463703</v>
      </c>
      <c r="EA34">
        <f>BQ34*'Reagent cost'!$C$14*'Reagent cost'!$C$36/1000*60*7200</f>
        <v>4191148.3317929949</v>
      </c>
      <c r="EB34">
        <f t="shared" ref="EB34:EB65" si="104">DA34*0.01</f>
        <v>39.6</v>
      </c>
      <c r="EC34">
        <f t="shared" ref="EC34:EC65" si="105">DC34*0.02</f>
        <v>95.688271612230423</v>
      </c>
      <c r="ED34">
        <f>0.1*BK34*60*7200*'Reagent cost'!$H$17*'Reagent cost'!$C$17/1000</f>
        <v>504921.59999999998</v>
      </c>
      <c r="EE34">
        <f>BV34*0.1*'Reagent cost'!$C$16/1000*'Reagent cost'!$H$16*60*7200</f>
        <v>1039715.5290105023</v>
      </c>
      <c r="EF34">
        <f>BZ34/1000*'Reagent cost'!$H$19*'Reagent cost'!$C$19*60*7200</f>
        <v>87358.848752533726</v>
      </c>
      <c r="EG34">
        <f>0.33*('Costing 100 Lmin Feed Orig'!BO34*'Reagent cost'!$C$13+'Costing 100 Lmin Feed Orig'!BP34*'Reagent cost'!$C$12+'Costing 100 Lmin Feed Orig'!BQ34*'Reagent cost'!$C$14+'Costing 100 Lmin Feed Orig'!BV34*0.1*'Reagent cost'!$C$16+'Costing 100 Lmin Feed Orig'!BZ34*'Reagent cost'!$C$19)/1000*60*7200</f>
        <v>178733.98860150197</v>
      </c>
      <c r="EH34">
        <f>CG34*'Reagent cost'!$C$35*60*7200</f>
        <v>1846629.0853716659</v>
      </c>
      <c r="EI34">
        <f>CH34*'Reagent cost'!$C$34*60*7200</f>
        <v>439399.33510727558</v>
      </c>
      <c r="EJ34">
        <f>CI34*'Reagent cost'!$C$14*'Reagent cost'!$C$36/1000*60*7200</f>
        <v>7283405.404199996</v>
      </c>
      <c r="EK34">
        <f t="shared" ref="EK34:EK65" si="106">DB34*0.01</f>
        <v>39.6</v>
      </c>
      <c r="EL34">
        <f t="shared" ref="EL34:EL65" si="107">DD34*0.02</f>
        <v>610.87663916145755</v>
      </c>
      <c r="EM34">
        <f>0.1*BM34*60*7200*'Reagent cost'!$H$17*'Reagent cost'!$C$17/1000</f>
        <v>466421.19323296467</v>
      </c>
      <c r="EN34">
        <f>CN34*0.1*'Reagent cost'!$C$16/1000*'Reagent cost'!$H$16*60*7200</f>
        <v>1806824.5510141901</v>
      </c>
      <c r="EO34">
        <f>CR34/1000*'Reagent cost'!$H$19*'Reagent cost'!$C$19*60*7200</f>
        <v>151812.78750797507</v>
      </c>
      <c r="EP34">
        <f>0.33*(CG34*'Reagent cost'!$C$13+CH34*'Reagent cost'!$C$12+CI34*'Reagent cost'!$C$14+CN34*0.1*'Reagent cost'!$C$16+CR34*'Reagent cost'!$C$19)/1000*60*7200</f>
        <v>310605.11235532595</v>
      </c>
      <c r="EQ34">
        <f t="shared" ref="EQ34:EQ65" si="108">(SUM(DY34:EF34)+SUM(EH34:EO34))*1.2</f>
        <v>22960668.098705791</v>
      </c>
      <c r="ER34">
        <f t="shared" ref="ER34:ER65" si="109">EG34+EP34</f>
        <v>489339.10095682793</v>
      </c>
      <c r="ES34">
        <f t="shared" ref="ES34:ES65" si="110">0.499*((BK34/3.78541*15)^(-0.146))*BK34/3.78541*15*300*(1+(A34-2)/9)</f>
        <v>35776.359048024235</v>
      </c>
      <c r="ET34">
        <f t="shared" ref="ET34:ET65" si="111">0.248*((BK34/3.78541*15)^(-0.144))*BK34/3.78541*15*300*(1+(A34-2)/3)</f>
        <v>29068.269280606211</v>
      </c>
      <c r="EU34">
        <f t="shared" ref="EU34:EU65" si="112">0.105*((BK34/3.78541*15)^(-0.144))*BK34/3.78541*15*300*(1+(A34-2)/3)</f>
        <v>12307.130138966339</v>
      </c>
      <c r="EV34">
        <f t="shared" ref="EV34:EV65" si="113">0.058*((BK34/3.78541*15)^(-0.151))*BK34/3.78541*15*300*(1+(A34-2)/3)</f>
        <v>6519.4301878820042</v>
      </c>
      <c r="EW34">
        <f t="shared" ref="EW34:EW65" si="114">0.056*((BK34/3.78541*15)^(-0.144))*BK34/3.78541*15*300*(1+(A34-2)/3)</f>
        <v>6563.8027407820491</v>
      </c>
      <c r="EX34">
        <f t="shared" ref="EX34:EX65" si="115">SUM(ES34:EW34)</f>
        <v>90234.991396260841</v>
      </c>
      <c r="EY34">
        <f t="shared" si="56"/>
        <v>33433.322283380425</v>
      </c>
      <c r="EZ34">
        <f t="shared" si="57"/>
        <v>27160.244657123931</v>
      </c>
      <c r="FA34">
        <f t="shared" si="58"/>
        <v>11499.297133056505</v>
      </c>
      <c r="FB34">
        <f t="shared" si="59"/>
        <v>6094.881438018112</v>
      </c>
      <c r="FC34">
        <f t="shared" si="60"/>
        <v>6132.9584709634682</v>
      </c>
      <c r="FD34">
        <f t="shared" ref="FD34:FD65" si="116">SUM(EY34:FC34)</f>
        <v>84320.703982542444</v>
      </c>
      <c r="FE34">
        <f t="shared" ref="FE34:FE65" si="117">EQ34+ER34+EX34+FD34</f>
        <v>23624562.895041421</v>
      </c>
      <c r="FF34">
        <f t="shared" ref="FF34:FF65" si="118">FE34+DX34</f>
        <v>24006113.76675678</v>
      </c>
      <c r="FG34">
        <f>BM34*AM34*195.08/1000*'PGM market prices'!$C$2*60*7200</f>
        <v>423252855.02301121</v>
      </c>
      <c r="FH34">
        <f>BN34*AQ34*BA34*106.42/1000*'PGM market prices'!$C$3*60*7200</f>
        <v>222336857.56778184</v>
      </c>
      <c r="FI34">
        <f>BK34*J34*102.91/1000*'PGM market prices'!$C$4*60*7200</f>
        <v>247042670.24640098</v>
      </c>
      <c r="FJ34">
        <f t="shared" ref="FJ34:FJ65" si="119">SUM(FG34:FI34)</f>
        <v>892632382.83719397</v>
      </c>
      <c r="FK34">
        <f t="shared" ref="FK34:FK65" si="120">(1-0.26)*(FJ34-FF34)</f>
        <v>642783439.11212349</v>
      </c>
      <c r="FL34">
        <f t="shared" si="64"/>
        <v>0.55569707793418477</v>
      </c>
      <c r="FM34">
        <f t="shared" si="65"/>
        <v>1913.1210850694672</v>
      </c>
      <c r="FN34">
        <f t="shared" si="66"/>
        <v>3555.4769959390892</v>
      </c>
      <c r="FO34">
        <f t="shared" si="67"/>
        <v>16028.468017225934</v>
      </c>
    </row>
    <row r="35" spans="1:171">
      <c r="A35">
        <v>6</v>
      </c>
      <c r="B35">
        <v>1.54143585092054E-3</v>
      </c>
      <c r="C35">
        <v>1.54143585092054E-3</v>
      </c>
      <c r="D35">
        <v>3.4254130020456501E-4</v>
      </c>
      <c r="E35">
        <v>0</v>
      </c>
      <c r="F35">
        <v>0</v>
      </c>
      <c r="G35">
        <v>0</v>
      </c>
      <c r="H35" s="53">
        <v>1.7693893431643E-5</v>
      </c>
      <c r="I35" s="53">
        <v>3.7175600603836103E-8</v>
      </c>
      <c r="J35">
        <v>3.36890310328726E-4</v>
      </c>
      <c r="K35">
        <v>0.133710118829723</v>
      </c>
      <c r="L35">
        <v>0.13525951632913</v>
      </c>
      <c r="M35">
        <v>4.9588089642288804E-4</v>
      </c>
      <c r="N35" s="53">
        <v>-1.72886878424538E-14</v>
      </c>
      <c r="O35" s="53">
        <v>-1.05961268405396E-12</v>
      </c>
      <c r="P35" s="53">
        <v>-9.6595637304880395E-18</v>
      </c>
      <c r="Q35">
        <v>0.11395861217105201</v>
      </c>
      <c r="R35">
        <v>98.3502748800029</v>
      </c>
      <c r="S35">
        <v>500</v>
      </c>
      <c r="T35">
        <v>95</v>
      </c>
      <c r="U35">
        <v>1</v>
      </c>
      <c r="V35">
        <v>0.1</v>
      </c>
      <c r="W35">
        <v>87.751156402202497</v>
      </c>
      <c r="X35" t="s">
        <v>323</v>
      </c>
      <c r="Y35">
        <v>1</v>
      </c>
      <c r="Z35">
        <v>0.28318429382522198</v>
      </c>
      <c r="AA35">
        <v>0.56945642916197003</v>
      </c>
      <c r="AB35">
        <v>3.7698628972227502E-3</v>
      </c>
      <c r="AC35">
        <v>1822.2107908876901</v>
      </c>
      <c r="AD35">
        <v>2662.6059073104898</v>
      </c>
      <c r="AE35">
        <v>2401.5030938442701</v>
      </c>
      <c r="AF35">
        <v>7</v>
      </c>
      <c r="AG35">
        <v>1.64951815726537E-3</v>
      </c>
      <c r="AH35">
        <v>1.6686323374819601E-3</v>
      </c>
      <c r="AI35" s="53">
        <v>6.1174468293775103E-6</v>
      </c>
      <c r="AJ35">
        <v>0</v>
      </c>
      <c r="AK35">
        <v>0</v>
      </c>
      <c r="AL35">
        <v>0</v>
      </c>
      <c r="AM35">
        <v>1.61236068920583E-3</v>
      </c>
      <c r="AN35" s="53">
        <v>7.8784098873371198E-5</v>
      </c>
      <c r="AO35" s="53">
        <v>6.0769898417647796E-6</v>
      </c>
      <c r="AP35">
        <v>1.7396945907611301E-3</v>
      </c>
      <c r="AQ35">
        <v>7.4435921644561601E-2</v>
      </c>
      <c r="AR35" s="53">
        <v>1.8941764922222101E-6</v>
      </c>
      <c r="AS35" s="53">
        <v>2.4732006807109899E-16</v>
      </c>
      <c r="AT35" s="53">
        <v>-7.0015824735203402E-14</v>
      </c>
      <c r="AU35" s="53">
        <v>-9.2578054156934797E-21</v>
      </c>
      <c r="AV35">
        <v>0.197300154776898</v>
      </c>
      <c r="AW35">
        <v>99.338662210867994</v>
      </c>
      <c r="AX35">
        <v>500</v>
      </c>
      <c r="AY35">
        <v>95</v>
      </c>
      <c r="AZ35">
        <v>0.92374973309314701</v>
      </c>
      <c r="BA35">
        <v>0.1</v>
      </c>
      <c r="BB35">
        <v>46.819513858856197</v>
      </c>
      <c r="BC35" t="s">
        <v>251</v>
      </c>
      <c r="BD35">
        <v>1</v>
      </c>
      <c r="BE35">
        <v>1.8775014999999999E-2</v>
      </c>
      <c r="BF35">
        <v>0.10492961100000001</v>
      </c>
      <c r="BG35">
        <v>1.814625E-3</v>
      </c>
      <c r="BH35">
        <v>285.1951444</v>
      </c>
      <c r="BI35">
        <v>2169.8944889999998</v>
      </c>
      <c r="BJ35">
        <v>866.49409060000005</v>
      </c>
      <c r="BK35">
        <f t="shared" si="68"/>
        <v>100</v>
      </c>
      <c r="BL35">
        <f t="shared" si="69"/>
        <v>11.395861217105201</v>
      </c>
      <c r="BM35">
        <f t="shared" si="70"/>
        <v>92.374973309314697</v>
      </c>
      <c r="BN35">
        <f t="shared" si="71"/>
        <v>19.7300154776898</v>
      </c>
      <c r="BO35">
        <f t="shared" si="72"/>
        <v>4.1025100381578721</v>
      </c>
      <c r="BP35">
        <f t="shared" si="73"/>
        <v>0.27350066921052485</v>
      </c>
      <c r="BQ35">
        <f t="shared" si="74"/>
        <v>1.367503346052624</v>
      </c>
      <c r="BR35">
        <f t="shared" si="75"/>
        <v>0.68375167302631201</v>
      </c>
      <c r="BS35">
        <f t="shared" si="76"/>
        <v>1.1395861217105201</v>
      </c>
      <c r="BT35">
        <f t="shared" si="77"/>
        <v>6.837516730263121</v>
      </c>
      <c r="BU35">
        <f t="shared" si="78"/>
        <v>18.233377947368322</v>
      </c>
      <c r="BV35">
        <f t="shared" si="31"/>
        <v>5.6979306085525998</v>
      </c>
      <c r="BW35">
        <f t="shared" si="79"/>
        <v>86.677042700762101</v>
      </c>
      <c r="BX35">
        <f t="shared" si="80"/>
        <v>103.7708345264199</v>
      </c>
      <c r="BY35">
        <f t="shared" si="33"/>
        <v>92.374973309314697</v>
      </c>
      <c r="BZ35">
        <f t="shared" si="34"/>
        <v>1.595420570394728</v>
      </c>
      <c r="CA35">
        <f>7963.6*(BT35/1000)^0.6*1.7*('CAPEX+OPEX'!$G$116/'CAPEX+OPEX'!$G$115)</f>
        <v>802.01034286435458</v>
      </c>
      <c r="CB35">
        <f>7963.6*(BU35/1000)^0.6*1.7*('CAPEX+OPEX'!$G$116/'CAPEX+OPEX'!$G$115)</f>
        <v>1444.645231586612</v>
      </c>
      <c r="CC35">
        <f>7963.6*(BX35/1000)^0.6*1.7*('CAPEX+OPEX'!$G$116/'CAPEX+OPEX'!$G$115)</f>
        <v>4100.9654786569836</v>
      </c>
      <c r="CD35">
        <f>7963.6*(BY35/1000)^0.6*1.7*('CAPEX+OPEX'!$G$116/'CAPEX+OPEX'!$G$115)</f>
        <v>3824.4899446699064</v>
      </c>
      <c r="CE35">
        <v>300</v>
      </c>
      <c r="CF35">
        <v>30</v>
      </c>
      <c r="CG35">
        <f t="shared" si="81"/>
        <v>7.1028055719683278</v>
      </c>
      <c r="CH35">
        <f t="shared" si="82"/>
        <v>0.47352037146455522</v>
      </c>
      <c r="CI35">
        <f t="shared" si="83"/>
        <v>2.3676018573227759</v>
      </c>
      <c r="CJ35">
        <f t="shared" si="84"/>
        <v>1.183800928661388</v>
      </c>
      <c r="CK35">
        <f t="shared" si="85"/>
        <v>1.9730015477689802</v>
      </c>
      <c r="CL35">
        <f t="shared" si="86"/>
        <v>11.838009286613881</v>
      </c>
      <c r="CM35">
        <f t="shared" si="87"/>
        <v>31.568024764303683</v>
      </c>
      <c r="CN35">
        <f t="shared" si="36"/>
        <v>9.8650077388449002</v>
      </c>
      <c r="CO35">
        <v>0</v>
      </c>
      <c r="CP35">
        <f t="shared" si="88"/>
        <v>29.595023216534699</v>
      </c>
      <c r="CQ35">
        <f t="shared" si="38"/>
        <v>9.8650077388449002</v>
      </c>
      <c r="CR35">
        <f t="shared" si="39"/>
        <v>2.7622021668765719</v>
      </c>
      <c r="CS35">
        <f>7963.6*(CL35/1000)^0.6*1.7*('CAPEX+OPEX'!$G$116/'CAPEX+OPEX'!$G$115)</f>
        <v>1114.8286821779711</v>
      </c>
      <c r="CT35">
        <f>7963.6*(CM35/1000)^0.6*1.7*('CAPEX+OPEX'!$G$116/'CAPEX+OPEX'!$G$115)</f>
        <v>2008.1186658920492</v>
      </c>
      <c r="CU35">
        <f>7963.6*(CP35/1000)^0.6*1.7*('CAPEX+OPEX'!$G$116/'CAPEX+OPEX'!$G$115)</f>
        <v>1931.8443801327708</v>
      </c>
      <c r="CV35">
        <f>7963.6*(CQ35/1000)^0.6*1.7*('CAPEX+OPEX'!$G$116/'CAPEX+OPEX'!$G$115)</f>
        <v>999.30805026743406</v>
      </c>
      <c r="CW35">
        <v>300</v>
      </c>
      <c r="CX35">
        <f t="shared" si="89"/>
        <v>30</v>
      </c>
      <c r="CY35">
        <f t="shared" si="90"/>
        <v>10</v>
      </c>
      <c r="CZ35">
        <f t="shared" si="91"/>
        <v>9.2374973309314701</v>
      </c>
      <c r="DA35">
        <f t="shared" si="92"/>
        <v>3960</v>
      </c>
      <c r="DB35">
        <f t="shared" si="93"/>
        <v>3960</v>
      </c>
      <c r="DC35">
        <f>CF35*'Reagent cost'!$C$18/1000*'Reagent cost'!$H$18</f>
        <v>4784.413580611521</v>
      </c>
      <c r="DD35">
        <f>CX35*'Ligand cost'!$B$56*'Ligand cost'!$J$56</f>
        <v>30543.831958072875</v>
      </c>
      <c r="DE35">
        <f t="shared" si="94"/>
        <v>39625.826528698344</v>
      </c>
      <c r="DF35">
        <f t="shared" si="95"/>
        <v>4586243.4239371875</v>
      </c>
      <c r="DG35">
        <f t="shared" si="96"/>
        <v>11794834.586807497</v>
      </c>
      <c r="DH35">
        <f t="shared" si="97"/>
        <v>2275209.1661185985</v>
      </c>
      <c r="DI35">
        <f t="shared" si="98"/>
        <v>14083914.336508472</v>
      </c>
      <c r="DJ35">
        <f t="shared" si="99"/>
        <v>1662824.8986326549</v>
      </c>
      <c r="DK35" s="55">
        <f>DF35*($BK$2/10000)^0.72*0.6*((A35+1)/3)^0.6*('CAPEX+OPEX'!$G$116/'CAPEX+OPEX'!$G$114)</f>
        <v>387681.53783205553</v>
      </c>
      <c r="DL35" s="55">
        <f>DG35*($BK$2/10000)^0.72*0.6*((A35+1)/3)^0.6*('CAPEX+OPEX'!$G$116/'CAPEX+OPEX'!$G$114)</f>
        <v>997033.77871790738</v>
      </c>
      <c r="DM35" s="55">
        <f>DH35*($BK$2/10000)^0.72*0.6*((A35+1)/3)^0.6*('CAPEX+OPEX'!$G$116/'CAPEX+OPEX'!$G$114)</f>
        <v>192326.59649217245</v>
      </c>
      <c r="DN35" s="55">
        <f>DI35*($BK$2/10000)^0.72*0.6*((A35+1)/3)^0.6*('CAPEX+OPEX'!$G$116/'CAPEX+OPEX'!$G$114)</f>
        <v>1190532.8749395488</v>
      </c>
      <c r="DO35" s="55">
        <f>DJ35*($BK$2/10000)^0.72*0.6*((A35+1)/3)^0.6*('CAPEX+OPEX'!$G$116/'CAPEX+OPEX'!$G$114)</f>
        <v>140560.90230246107</v>
      </c>
      <c r="DP35">
        <f t="shared" si="100"/>
        <v>2908135.6902841455</v>
      </c>
      <c r="DQ35">
        <f>DF35*(BM35/10000)^0.72*0.6*((AF35+1)/3)^0.6*('CAPEX+OPEX'!$G$116/'CAPEX+OPEX'!$G$114)</f>
        <v>396706.57852950413</v>
      </c>
      <c r="DR35">
        <f>DG35*(BM35/10000)^0.72*0.6*((AF35+1)/3)^0.6*('CAPEX+OPEX'!$G$116/'CAPEX+OPEX'!$G$114)</f>
        <v>1020244.2480118002</v>
      </c>
      <c r="DS35">
        <f>DH35*(BM35/10000)^0.72*0.6*((AF35+1)/3)^0.6*('CAPEX+OPEX'!$G$116/'CAPEX+OPEX'!$G$114)</f>
        <v>196803.86763139183</v>
      </c>
      <c r="DT35">
        <f>DI35*(BM35/10000)^0.72*0.6*((AF35+1)/3)^0.6*('CAPEX+OPEX'!$G$116/'CAPEX+OPEX'!$G$114)</f>
        <v>1218247.9106053286</v>
      </c>
      <c r="DU35">
        <f>DJ35*(BM35/10000)^0.72*0.6*((AF35+1)/3)^0.6*('CAPEX+OPEX'!$G$116/'CAPEX+OPEX'!$G$114)</f>
        <v>143833.0928505169</v>
      </c>
      <c r="DV35">
        <f t="shared" si="101"/>
        <v>2975835.6976285418</v>
      </c>
      <c r="DW35">
        <f t="shared" si="102"/>
        <v>5952367.0126748597</v>
      </c>
      <c r="DX35">
        <f t="shared" si="103"/>
        <v>396824.46751165733</v>
      </c>
      <c r="DY35">
        <f>BO35*'Reagent cost'!$C$35*60*7200</f>
        <v>1062620.5711593204</v>
      </c>
      <c r="DZ35">
        <f>BP35*'Reagent cost'!$C$34*60*7200</f>
        <v>252847.08019463703</v>
      </c>
      <c r="EA35">
        <f>BQ35*'Reagent cost'!$C$14*'Reagent cost'!$C$36/1000*60*7200</f>
        <v>4191148.3317929949</v>
      </c>
      <c r="EB35">
        <f t="shared" si="104"/>
        <v>39.6</v>
      </c>
      <c r="EC35">
        <f t="shared" si="105"/>
        <v>95.688271612230423</v>
      </c>
      <c r="ED35">
        <f>0.1*BK35*60*7200*'Reagent cost'!$H$17*'Reagent cost'!$C$17/1000</f>
        <v>504921.59999999998</v>
      </c>
      <c r="EE35">
        <f>BV35*0.1*'Reagent cost'!$C$16/1000*'Reagent cost'!$H$16*60*7200</f>
        <v>1039715.5290105023</v>
      </c>
      <c r="EF35">
        <f>BZ35/1000*'Reagent cost'!$H$19*'Reagent cost'!$C$19*60*7200</f>
        <v>87358.848752533726</v>
      </c>
      <c r="EG35">
        <f>0.33*('Costing 100 Lmin Feed Orig'!BO35*'Reagent cost'!$C$13+'Costing 100 Lmin Feed Orig'!BP35*'Reagent cost'!$C$12+'Costing 100 Lmin Feed Orig'!BQ35*'Reagent cost'!$C$14+'Costing 100 Lmin Feed Orig'!BV35*0.1*'Reagent cost'!$C$16+'Costing 100 Lmin Feed Orig'!BZ35*'Reagent cost'!$C$19)/1000*60*7200</f>
        <v>178733.98860150197</v>
      </c>
      <c r="EH35">
        <f>CG35*'Reagent cost'!$C$35*60*7200</f>
        <v>1839748.6522927899</v>
      </c>
      <c r="EI35">
        <f>CH35*'Reagent cost'!$C$34*60*7200</f>
        <v>437762.15861955675</v>
      </c>
      <c r="EJ35">
        <f>CI35*'Reagent cost'!$C$14*'Reagent cost'!$C$36/1000*60*7200</f>
        <v>7256267.8572681854</v>
      </c>
      <c r="EK35">
        <f t="shared" si="106"/>
        <v>39.6</v>
      </c>
      <c r="EL35">
        <f t="shared" si="107"/>
        <v>610.87663916145755</v>
      </c>
      <c r="EM35">
        <f>0.1*BM35*60*7200*'Reagent cost'!$H$17*'Reagent cost'!$C$17/1000</f>
        <v>466421.19323296467</v>
      </c>
      <c r="EN35">
        <f>CN35*0.1*'Reagent cost'!$C$16/1000*'Reagent cost'!$H$16*60*7200</f>
        <v>1800092.4273262215</v>
      </c>
      <c r="EO35">
        <f>CR35/1000*'Reagent cost'!$H$19*'Reagent cost'!$C$19*60*7200</f>
        <v>151247.14184949358</v>
      </c>
      <c r="EP35">
        <f>0.33*(CG35*'Reagent cost'!$C$13+CH35*'Reagent cost'!$C$12+CI35*'Reagent cost'!$C$14+CN35*0.1*'Reagent cost'!$C$16+CR35*'Reagent cost'!$C$19)/1000*60*7200</f>
        <v>309447.81568625104</v>
      </c>
      <c r="EQ35">
        <f t="shared" si="108"/>
        <v>22909124.587691966</v>
      </c>
      <c r="ER35">
        <f t="shared" si="109"/>
        <v>488181.80428775301</v>
      </c>
      <c r="ES35">
        <f t="shared" si="110"/>
        <v>35776.359048024235</v>
      </c>
      <c r="ET35">
        <f t="shared" si="111"/>
        <v>29068.269280606211</v>
      </c>
      <c r="EU35">
        <f t="shared" si="112"/>
        <v>12307.130138966339</v>
      </c>
      <c r="EV35">
        <f t="shared" si="113"/>
        <v>6519.4301878820042</v>
      </c>
      <c r="EW35">
        <f t="shared" si="114"/>
        <v>6563.8027407820491</v>
      </c>
      <c r="EX35">
        <f t="shared" si="115"/>
        <v>90234.991396260841</v>
      </c>
      <c r="EY35">
        <f t="shared" si="56"/>
        <v>36005.116305178919</v>
      </c>
      <c r="EZ35">
        <f t="shared" si="57"/>
        <v>31040.279608141645</v>
      </c>
      <c r="FA35">
        <f t="shared" si="58"/>
        <v>13142.053866350294</v>
      </c>
      <c r="FB35">
        <f t="shared" si="59"/>
        <v>6965.5787863064152</v>
      </c>
      <c r="FC35">
        <f t="shared" si="60"/>
        <v>7009.0953953868229</v>
      </c>
      <c r="FD35">
        <f t="shared" si="116"/>
        <v>94162.123961364094</v>
      </c>
      <c r="FE35">
        <f t="shared" si="117"/>
        <v>23581703.507337343</v>
      </c>
      <c r="FF35">
        <f t="shared" si="118"/>
        <v>23978527.974849001</v>
      </c>
      <c r="FG35">
        <f>BM35*AM35*195.08/1000*'PGM market prices'!$C$2*60*7200</f>
        <v>423383096.96278119</v>
      </c>
      <c r="FH35">
        <f>BN35*AQ35*BA35*106.42/1000*'PGM market prices'!$C$3*60*7200</f>
        <v>222333279.35721797</v>
      </c>
      <c r="FI35">
        <f>BK35*J35*102.91/1000*'PGM market prices'!$C$4*60*7200</f>
        <v>247042670.24640098</v>
      </c>
      <c r="FJ35">
        <f t="shared" si="119"/>
        <v>892759046.56640017</v>
      </c>
      <c r="FK35">
        <f t="shared" si="120"/>
        <v>642897583.75774789</v>
      </c>
      <c r="FL35">
        <f t="shared" si="64"/>
        <v>0.55505851793631944</v>
      </c>
      <c r="FM35">
        <f t="shared" si="65"/>
        <v>1910.3348466265795</v>
      </c>
      <c r="FN35">
        <f t="shared" si="66"/>
        <v>3551.4484987832716</v>
      </c>
      <c r="FO35">
        <f t="shared" si="67"/>
        <v>16010.049459869266</v>
      </c>
    </row>
    <row r="36" spans="1:171">
      <c r="A36">
        <v>6</v>
      </c>
      <c r="B36">
        <v>1.54143585092054E-3</v>
      </c>
      <c r="C36">
        <v>1.54143585092054E-3</v>
      </c>
      <c r="D36">
        <v>3.4254130020456501E-4</v>
      </c>
      <c r="E36">
        <v>0</v>
      </c>
      <c r="F36">
        <v>0</v>
      </c>
      <c r="G36">
        <v>0</v>
      </c>
      <c r="H36" s="53">
        <v>1.7693893431643E-5</v>
      </c>
      <c r="I36" s="53">
        <v>3.7175600603836103E-8</v>
      </c>
      <c r="J36">
        <v>3.36890310328726E-4</v>
      </c>
      <c r="K36">
        <v>0.133710118829723</v>
      </c>
      <c r="L36">
        <v>0.13525951632913</v>
      </c>
      <c r="M36">
        <v>4.9588089642288804E-4</v>
      </c>
      <c r="N36" s="53">
        <v>-1.72886878424538E-14</v>
      </c>
      <c r="O36" s="53">
        <v>-1.05961268405396E-12</v>
      </c>
      <c r="P36" s="53">
        <v>-9.6595637304880395E-18</v>
      </c>
      <c r="Q36">
        <v>0.11395861217105201</v>
      </c>
      <c r="R36">
        <v>98.3502748800029</v>
      </c>
      <c r="S36">
        <v>500</v>
      </c>
      <c r="T36">
        <v>95</v>
      </c>
      <c r="U36">
        <v>1</v>
      </c>
      <c r="V36">
        <v>0.1</v>
      </c>
      <c r="W36">
        <v>87.751156402202497</v>
      </c>
      <c r="X36" t="s">
        <v>323</v>
      </c>
      <c r="Y36">
        <v>1</v>
      </c>
      <c r="Z36">
        <v>0.28318429382522198</v>
      </c>
      <c r="AA36">
        <v>0.56945642916197003</v>
      </c>
      <c r="AB36">
        <v>3.7698628972227502E-3</v>
      </c>
      <c r="AC36">
        <v>1822.2107908876901</v>
      </c>
      <c r="AD36">
        <v>2662.6059073104898</v>
      </c>
      <c r="AE36">
        <v>2401.5030938442701</v>
      </c>
      <c r="AF36">
        <v>8</v>
      </c>
      <c r="AG36">
        <v>1.64951815726537E-3</v>
      </c>
      <c r="AH36">
        <v>1.6686323374819601E-3</v>
      </c>
      <c r="AI36" s="53">
        <v>6.1174468293775103E-6</v>
      </c>
      <c r="AJ36">
        <v>0</v>
      </c>
      <c r="AK36">
        <v>0</v>
      </c>
      <c r="AL36">
        <v>0</v>
      </c>
      <c r="AM36">
        <v>1.6125021937551699E-3</v>
      </c>
      <c r="AN36" s="53">
        <v>7.8791398968760994E-5</v>
      </c>
      <c r="AO36" s="53">
        <v>6.0771375446680096E-6</v>
      </c>
      <c r="AP36">
        <v>1.73492050588017E-3</v>
      </c>
      <c r="AQ36">
        <v>7.4515084509212501E-2</v>
      </c>
      <c r="AR36" s="53">
        <v>1.8892768957738701E-6</v>
      </c>
      <c r="AS36" s="53">
        <v>7.2525806974615906E-15</v>
      </c>
      <c r="AT36" s="53">
        <v>-1.73205959123901E-12</v>
      </c>
      <c r="AU36" s="53">
        <v>4.3225150089571002E-20</v>
      </c>
      <c r="AV36">
        <v>0.19708964352883601</v>
      </c>
      <c r="AW36">
        <v>99.341076664272293</v>
      </c>
      <c r="AX36">
        <v>500</v>
      </c>
      <c r="AY36">
        <v>95</v>
      </c>
      <c r="AZ36">
        <v>0.92374973309314701</v>
      </c>
      <c r="BA36">
        <v>0.1</v>
      </c>
      <c r="BB36">
        <v>46.869521734052398</v>
      </c>
      <c r="BC36" t="s">
        <v>251</v>
      </c>
      <c r="BD36">
        <v>1</v>
      </c>
      <c r="BE36">
        <v>1.8775014999999999E-2</v>
      </c>
      <c r="BF36">
        <v>0.10492961100000001</v>
      </c>
      <c r="BG36">
        <v>1.814625E-3</v>
      </c>
      <c r="BH36">
        <v>285.1951444</v>
      </c>
      <c r="BI36">
        <v>2169.8944889999998</v>
      </c>
      <c r="BJ36">
        <v>866.49409060000005</v>
      </c>
      <c r="BK36">
        <f t="shared" si="68"/>
        <v>100</v>
      </c>
      <c r="BL36">
        <f t="shared" si="69"/>
        <v>11.395861217105201</v>
      </c>
      <c r="BM36">
        <f t="shared" si="70"/>
        <v>92.374973309314697</v>
      </c>
      <c r="BN36">
        <f t="shared" si="71"/>
        <v>19.708964352883601</v>
      </c>
      <c r="BO36">
        <f t="shared" si="72"/>
        <v>4.1025100381578721</v>
      </c>
      <c r="BP36">
        <f t="shared" si="73"/>
        <v>0.27350066921052485</v>
      </c>
      <c r="BQ36">
        <f t="shared" si="74"/>
        <v>1.367503346052624</v>
      </c>
      <c r="BR36">
        <f t="shared" si="75"/>
        <v>0.68375167302631201</v>
      </c>
      <c r="BS36">
        <f t="shared" si="76"/>
        <v>1.1395861217105201</v>
      </c>
      <c r="BT36">
        <f t="shared" si="77"/>
        <v>6.837516730263121</v>
      </c>
      <c r="BU36">
        <f t="shared" si="78"/>
        <v>18.233377947368322</v>
      </c>
      <c r="BV36">
        <f t="shared" si="31"/>
        <v>5.6979306085525998</v>
      </c>
      <c r="BW36">
        <f t="shared" si="79"/>
        <v>86.677042700762101</v>
      </c>
      <c r="BX36">
        <f t="shared" si="80"/>
        <v>103.7708345264199</v>
      </c>
      <c r="BY36">
        <f t="shared" si="33"/>
        <v>92.374973309314697</v>
      </c>
      <c r="BZ36">
        <f t="shared" si="34"/>
        <v>1.595420570394728</v>
      </c>
      <c r="CA36">
        <f>7963.6*(BT36/1000)^0.6*1.7*('CAPEX+OPEX'!$G$116/'CAPEX+OPEX'!$G$115)</f>
        <v>802.01034286435458</v>
      </c>
      <c r="CB36">
        <f>7963.6*(BU36/1000)^0.6*1.7*('CAPEX+OPEX'!$G$116/'CAPEX+OPEX'!$G$115)</f>
        <v>1444.645231586612</v>
      </c>
      <c r="CC36">
        <f>7963.6*(BX36/1000)^0.6*1.7*('CAPEX+OPEX'!$G$116/'CAPEX+OPEX'!$G$115)</f>
        <v>4100.9654786569836</v>
      </c>
      <c r="CD36">
        <f>7963.6*(BY36/1000)^0.6*1.7*('CAPEX+OPEX'!$G$116/'CAPEX+OPEX'!$G$115)</f>
        <v>3824.4899446699064</v>
      </c>
      <c r="CE36">
        <v>300</v>
      </c>
      <c r="CF36">
        <v>30</v>
      </c>
      <c r="CG36">
        <f t="shared" si="81"/>
        <v>7.0952271670380966</v>
      </c>
      <c r="CH36">
        <f t="shared" si="82"/>
        <v>0.47301514446920645</v>
      </c>
      <c r="CI36">
        <f t="shared" si="83"/>
        <v>2.3650757223460319</v>
      </c>
      <c r="CJ36">
        <f t="shared" si="84"/>
        <v>1.182537861173016</v>
      </c>
      <c r="CK36">
        <f t="shared" si="85"/>
        <v>1.9708964352883602</v>
      </c>
      <c r="CL36">
        <f t="shared" si="86"/>
        <v>11.82537861173016</v>
      </c>
      <c r="CM36">
        <f t="shared" si="87"/>
        <v>31.534342964613764</v>
      </c>
      <c r="CN36">
        <f t="shared" si="36"/>
        <v>9.8544821764418007</v>
      </c>
      <c r="CO36">
        <v>0</v>
      </c>
      <c r="CP36">
        <f t="shared" si="88"/>
        <v>29.563446529325404</v>
      </c>
      <c r="CQ36">
        <f t="shared" si="38"/>
        <v>9.8544821764418007</v>
      </c>
      <c r="CR36">
        <f t="shared" si="39"/>
        <v>2.7592550094037041</v>
      </c>
      <c r="CS36">
        <f>7963.6*(CL36/1000)^0.6*1.7*('CAPEX+OPEX'!$G$116/'CAPEX+OPEX'!$G$115)</f>
        <v>1114.1148436648759</v>
      </c>
      <c r="CT36">
        <f>7963.6*(CM36/1000)^0.6*1.7*('CAPEX+OPEX'!$G$116/'CAPEX+OPEX'!$G$115)</f>
        <v>2006.8328428185182</v>
      </c>
      <c r="CU36">
        <f>7963.6*(CP36/1000)^0.6*1.7*('CAPEX+OPEX'!$G$116/'CAPEX+OPEX'!$G$115)</f>
        <v>1930.6073964222783</v>
      </c>
      <c r="CV36">
        <f>7963.6*(CQ36/1000)^0.6*1.7*('CAPEX+OPEX'!$G$116/'CAPEX+OPEX'!$G$115)</f>
        <v>998.66818103538958</v>
      </c>
      <c r="CW36">
        <v>300</v>
      </c>
      <c r="CX36">
        <f t="shared" si="89"/>
        <v>30</v>
      </c>
      <c r="CY36">
        <f t="shared" si="90"/>
        <v>10</v>
      </c>
      <c r="CZ36">
        <f t="shared" si="91"/>
        <v>9.2374973309314701</v>
      </c>
      <c r="DA36">
        <f t="shared" si="92"/>
        <v>3960</v>
      </c>
      <c r="DB36">
        <f t="shared" si="93"/>
        <v>3960</v>
      </c>
      <c r="DC36">
        <f>CF36*'Reagent cost'!$C$18/1000*'Reagent cost'!$H$18</f>
        <v>4784.413580611521</v>
      </c>
      <c r="DD36">
        <f>CX36*'Ligand cost'!$B$56*'Ligand cost'!$J$56</f>
        <v>30543.831958072875</v>
      </c>
      <c r="DE36">
        <f t="shared" si="94"/>
        <v>39625.826528698344</v>
      </c>
      <c r="DF36">
        <f t="shared" si="95"/>
        <v>4586243.4239371875</v>
      </c>
      <c r="DG36">
        <f t="shared" si="96"/>
        <v>11794834.586807497</v>
      </c>
      <c r="DH36">
        <f t="shared" si="97"/>
        <v>2275209.1661185985</v>
      </c>
      <c r="DI36">
        <f t="shared" si="98"/>
        <v>14083914.336508472</v>
      </c>
      <c r="DJ36">
        <f t="shared" si="99"/>
        <v>1662824.8986326549</v>
      </c>
      <c r="DK36" s="55">
        <f>DF36*($BK$2/10000)^0.72*0.6*((A36+1)/3)^0.6*('CAPEX+OPEX'!$G$116/'CAPEX+OPEX'!$G$114)</f>
        <v>387681.53783205553</v>
      </c>
      <c r="DL36" s="55">
        <f>DG36*($BK$2/10000)^0.72*0.6*((A36+1)/3)^0.6*('CAPEX+OPEX'!$G$116/'CAPEX+OPEX'!$G$114)</f>
        <v>997033.77871790738</v>
      </c>
      <c r="DM36" s="55">
        <f>DH36*($BK$2/10000)^0.72*0.6*((A36+1)/3)^0.6*('CAPEX+OPEX'!$G$116/'CAPEX+OPEX'!$G$114)</f>
        <v>192326.59649217245</v>
      </c>
      <c r="DN36" s="55">
        <f>DI36*($BK$2/10000)^0.72*0.6*((A36+1)/3)^0.6*('CAPEX+OPEX'!$G$116/'CAPEX+OPEX'!$G$114)</f>
        <v>1190532.8749395488</v>
      </c>
      <c r="DO36" s="55">
        <f>DJ36*($BK$2/10000)^0.72*0.6*((A36+1)/3)^0.6*('CAPEX+OPEX'!$G$116/'CAPEX+OPEX'!$G$114)</f>
        <v>140560.90230246107</v>
      </c>
      <c r="DP36">
        <f t="shared" si="100"/>
        <v>2908135.6902841455</v>
      </c>
      <c r="DQ36">
        <f>DF36*(BM36/10000)^0.72*0.6*((AF36+1)/3)^0.6*('CAPEX+OPEX'!$G$116/'CAPEX+OPEX'!$G$114)</f>
        <v>425756.13611008087</v>
      </c>
      <c r="DR36">
        <f>DG36*(BM36/10000)^0.72*0.6*((AF36+1)/3)^0.6*('CAPEX+OPEX'!$G$116/'CAPEX+OPEX'!$G$114)</f>
        <v>1094953.4805602762</v>
      </c>
      <c r="DS36">
        <f>DH36*(BM36/10000)^0.72*0.6*((AF36+1)/3)^0.6*('CAPEX+OPEX'!$G$116/'CAPEX+OPEX'!$G$114)</f>
        <v>211215.18721683984</v>
      </c>
      <c r="DT36">
        <f>DI36*(BM36/10000)^0.72*0.6*((AF36+1)/3)^0.6*('CAPEX+OPEX'!$G$116/'CAPEX+OPEX'!$G$114)</f>
        <v>1307456.3198979786</v>
      </c>
      <c r="DU36">
        <f>DJ36*(BM36/10000)^0.72*0.6*((AF36+1)/3)^0.6*('CAPEX+OPEX'!$G$116/'CAPEX+OPEX'!$G$114)</f>
        <v>154365.53153162333</v>
      </c>
      <c r="DV36">
        <f t="shared" si="101"/>
        <v>3193746.6553167989</v>
      </c>
      <c r="DW36">
        <f t="shared" si="102"/>
        <v>6170273.5123714078</v>
      </c>
      <c r="DX36">
        <f t="shared" si="103"/>
        <v>411351.56749142718</v>
      </c>
      <c r="DY36">
        <f>BO36*'Reagent cost'!$C$35*60*7200</f>
        <v>1062620.5711593204</v>
      </c>
      <c r="DZ36">
        <f>BP36*'Reagent cost'!$C$34*60*7200</f>
        <v>252847.08019463703</v>
      </c>
      <c r="EA36">
        <f>BQ36*'Reagent cost'!$C$14*'Reagent cost'!$C$36/1000*60*7200</f>
        <v>4191148.3317929949</v>
      </c>
      <c r="EB36">
        <f t="shared" si="104"/>
        <v>39.6</v>
      </c>
      <c r="EC36">
        <f t="shared" si="105"/>
        <v>95.688271612230423</v>
      </c>
      <c r="ED36">
        <f>0.1*BK36*60*7200*'Reagent cost'!$H$17*'Reagent cost'!$C$17/1000</f>
        <v>504921.59999999998</v>
      </c>
      <c r="EE36">
        <f>BV36*0.1*'Reagent cost'!$C$16/1000*'Reagent cost'!$H$16*60*7200</f>
        <v>1039715.5290105023</v>
      </c>
      <c r="EF36">
        <f>BZ36/1000*'Reagent cost'!$H$19*'Reagent cost'!$C$19*60*7200</f>
        <v>87358.848752533726</v>
      </c>
      <c r="EG36">
        <f>0.33*('Costing 100 Lmin Feed Orig'!BO36*'Reagent cost'!$C$13+'Costing 100 Lmin Feed Orig'!BP36*'Reagent cost'!$C$12+'Costing 100 Lmin Feed Orig'!BQ36*'Reagent cost'!$C$14+'Costing 100 Lmin Feed Orig'!BV36*0.1*'Reagent cost'!$C$16+'Costing 100 Lmin Feed Orig'!BZ36*'Reagent cost'!$C$19)/1000*60*7200</f>
        <v>178733.98860150197</v>
      </c>
      <c r="EH36">
        <f>CG36*'Reagent cost'!$C$35*60*7200</f>
        <v>1837785.7152370515</v>
      </c>
      <c r="EI36">
        <f>CH36*'Reagent cost'!$C$34*60*7200</f>
        <v>437295.0841843161</v>
      </c>
      <c r="EJ36">
        <f>CI36*'Reagent cost'!$C$14*'Reagent cost'!$C$36/1000*60*7200</f>
        <v>7248525.7143153176</v>
      </c>
      <c r="EK36">
        <f t="shared" si="106"/>
        <v>39.6</v>
      </c>
      <c r="EL36">
        <f t="shared" si="107"/>
        <v>610.87663916145755</v>
      </c>
      <c r="EM36">
        <f>0.1*BM36*60*7200*'Reagent cost'!$H$17*'Reagent cost'!$C$17/1000</f>
        <v>466421.19323296467</v>
      </c>
      <c r="EN36">
        <f>CN36*0.1*'Reagent cost'!$C$16/1000*'Reagent cost'!$H$16*60*7200</f>
        <v>1798171.8018511329</v>
      </c>
      <c r="EO36">
        <f>CR36/1000*'Reagent cost'!$H$19*'Reagent cost'!$C$19*60*7200</f>
        <v>151085.76729490922</v>
      </c>
      <c r="EP36">
        <f>0.33*(CG36*'Reagent cost'!$C$13+CH36*'Reagent cost'!$C$12+CI36*'Reagent cost'!$C$14+CN36*0.1*'Reagent cost'!$C$16+CR36*'Reagent cost'!$C$19)/1000*60*7200</f>
        <v>309117.64744100143</v>
      </c>
      <c r="EQ36">
        <f t="shared" si="108"/>
        <v>22894419.602323744</v>
      </c>
      <c r="ER36">
        <f t="shared" si="109"/>
        <v>487851.63604250341</v>
      </c>
      <c r="ES36">
        <f t="shared" si="110"/>
        <v>35776.359048024235</v>
      </c>
      <c r="ET36">
        <f t="shared" si="111"/>
        <v>29068.269280606211</v>
      </c>
      <c r="EU36">
        <f t="shared" si="112"/>
        <v>12307.130138966339</v>
      </c>
      <c r="EV36">
        <f t="shared" si="113"/>
        <v>6519.4301878820042</v>
      </c>
      <c r="EW36">
        <f t="shared" si="114"/>
        <v>6563.8027407820491</v>
      </c>
      <c r="EX36">
        <f t="shared" si="115"/>
        <v>90234.991396260841</v>
      </c>
      <c r="EY36">
        <f t="shared" si="56"/>
        <v>38576.910326977413</v>
      </c>
      <c r="EZ36">
        <f t="shared" si="57"/>
        <v>34920.314559159349</v>
      </c>
      <c r="FA36">
        <f t="shared" si="58"/>
        <v>14784.810599644079</v>
      </c>
      <c r="FB36">
        <f t="shared" si="59"/>
        <v>7836.2761345947165</v>
      </c>
      <c r="FC36">
        <f t="shared" si="60"/>
        <v>7885.2323198101749</v>
      </c>
      <c r="FD36">
        <f t="shared" si="116"/>
        <v>104003.54394018576</v>
      </c>
      <c r="FE36">
        <f t="shared" si="117"/>
        <v>23576509.773702692</v>
      </c>
      <c r="FF36">
        <f t="shared" si="118"/>
        <v>23987861.341194119</v>
      </c>
      <c r="FG36">
        <f>BM36*AM36*195.08/1000*'PGM market prices'!$C$2*60*7200</f>
        <v>423420254.0546993</v>
      </c>
      <c r="FH36">
        <f>BN36*AQ36*BA36*106.42/1000*'PGM market prices'!$C$3*60*7200</f>
        <v>222332258.72261968</v>
      </c>
      <c r="FI36">
        <f>BK36*J36*102.91/1000*'PGM market prices'!$C$4*60*7200</f>
        <v>247042670.24640098</v>
      </c>
      <c r="FJ36">
        <f t="shared" si="119"/>
        <v>892795183.02371991</v>
      </c>
      <c r="FK36">
        <f t="shared" si="120"/>
        <v>642917418.0450691</v>
      </c>
      <c r="FL36">
        <f t="shared" si="64"/>
        <v>0.5552745680831972</v>
      </c>
      <c r="FM36">
        <f t="shared" si="65"/>
        <v>1910.9107165046946</v>
      </c>
      <c r="FN36">
        <f t="shared" si="66"/>
        <v>3552.8471688457262</v>
      </c>
      <c r="FO36">
        <f t="shared" si="67"/>
        <v>16016.281187562023</v>
      </c>
    </row>
    <row r="37" spans="1:171">
      <c r="A37">
        <v>6</v>
      </c>
      <c r="B37">
        <v>1.54143585092054E-3</v>
      </c>
      <c r="C37">
        <v>1.54143585092054E-3</v>
      </c>
      <c r="D37">
        <v>3.4254130020456501E-4</v>
      </c>
      <c r="E37">
        <v>0</v>
      </c>
      <c r="F37">
        <v>0</v>
      </c>
      <c r="G37">
        <v>0</v>
      </c>
      <c r="H37" s="53">
        <v>1.7693893431643E-5</v>
      </c>
      <c r="I37" s="53">
        <v>3.7175600603836103E-8</v>
      </c>
      <c r="J37">
        <v>3.36890310328726E-4</v>
      </c>
      <c r="K37">
        <v>0.133710118829723</v>
      </c>
      <c r="L37">
        <v>0.13525951632913</v>
      </c>
      <c r="M37">
        <v>4.9588089642288804E-4</v>
      </c>
      <c r="N37" s="53">
        <v>-1.72886878424538E-14</v>
      </c>
      <c r="O37" s="53">
        <v>-1.05961268405396E-12</v>
      </c>
      <c r="P37" s="53">
        <v>-9.6595637304880395E-18</v>
      </c>
      <c r="Q37">
        <v>0.11395861217105201</v>
      </c>
      <c r="R37">
        <v>98.3502748800029</v>
      </c>
      <c r="S37">
        <v>500</v>
      </c>
      <c r="T37">
        <v>95</v>
      </c>
      <c r="U37">
        <v>1</v>
      </c>
      <c r="V37">
        <v>0.1</v>
      </c>
      <c r="W37">
        <v>87.751156402202497</v>
      </c>
      <c r="X37" t="s">
        <v>323</v>
      </c>
      <c r="Y37">
        <v>1</v>
      </c>
      <c r="Z37">
        <v>0.28318429382522198</v>
      </c>
      <c r="AA37">
        <v>0.56945642916197003</v>
      </c>
      <c r="AB37">
        <v>3.7698628972227502E-3</v>
      </c>
      <c r="AC37">
        <v>1822.2107908876901</v>
      </c>
      <c r="AD37">
        <v>2662.6059073104898</v>
      </c>
      <c r="AE37">
        <v>2401.5030938442701</v>
      </c>
      <c r="AF37">
        <v>9</v>
      </c>
      <c r="AG37">
        <v>1.64951815726537E-3</v>
      </c>
      <c r="AH37">
        <v>1.6686323374819601E-3</v>
      </c>
      <c r="AI37" s="53">
        <v>6.1174468293775103E-6</v>
      </c>
      <c r="AJ37">
        <v>0</v>
      </c>
      <c r="AK37">
        <v>0</v>
      </c>
      <c r="AL37">
        <v>0</v>
      </c>
      <c r="AM37">
        <v>1.6125422035540001E-3</v>
      </c>
      <c r="AN37" s="53">
        <v>7.8793462951453095E-5</v>
      </c>
      <c r="AO37" s="53">
        <v>6.0771793070157197E-6</v>
      </c>
      <c r="AP37">
        <v>1.7335688061823E-3</v>
      </c>
      <c r="AQ37">
        <v>7.4537498106893293E-2</v>
      </c>
      <c r="AR37" s="53">
        <v>1.8878896596870901E-6</v>
      </c>
      <c r="AS37" s="53">
        <v>6.1243870218274895E-17</v>
      </c>
      <c r="AT37" s="53">
        <v>-7.9610797121265604E-15</v>
      </c>
      <c r="AU37" s="53">
        <v>8.7350272685599704E-22</v>
      </c>
      <c r="AV37">
        <v>0.19703012219574401</v>
      </c>
      <c r="AW37">
        <v>99.341759340376896</v>
      </c>
      <c r="AX37">
        <v>500</v>
      </c>
      <c r="AY37">
        <v>95</v>
      </c>
      <c r="AZ37">
        <v>0.92374973309314701</v>
      </c>
      <c r="BA37">
        <v>0.1</v>
      </c>
      <c r="BB37">
        <v>46.883680667640498</v>
      </c>
      <c r="BC37" t="s">
        <v>251</v>
      </c>
      <c r="BD37">
        <v>1</v>
      </c>
      <c r="BE37">
        <v>1.8775014999999999E-2</v>
      </c>
      <c r="BF37">
        <v>0.10492961100000001</v>
      </c>
      <c r="BG37">
        <v>1.814625E-3</v>
      </c>
      <c r="BH37">
        <v>285.1951444</v>
      </c>
      <c r="BI37">
        <v>2169.8944889999998</v>
      </c>
      <c r="BJ37">
        <v>866.49409060000005</v>
      </c>
      <c r="BK37">
        <f t="shared" si="68"/>
        <v>100</v>
      </c>
      <c r="BL37">
        <f t="shared" si="69"/>
        <v>11.395861217105201</v>
      </c>
      <c r="BM37">
        <f t="shared" si="70"/>
        <v>92.374973309314697</v>
      </c>
      <c r="BN37">
        <f t="shared" si="71"/>
        <v>19.703012219574401</v>
      </c>
      <c r="BO37">
        <f t="shared" si="72"/>
        <v>4.1025100381578721</v>
      </c>
      <c r="BP37">
        <f t="shared" si="73"/>
        <v>0.27350066921052485</v>
      </c>
      <c r="BQ37">
        <f t="shared" si="74"/>
        <v>1.367503346052624</v>
      </c>
      <c r="BR37">
        <f t="shared" si="75"/>
        <v>0.68375167302631201</v>
      </c>
      <c r="BS37">
        <f t="shared" si="76"/>
        <v>1.1395861217105201</v>
      </c>
      <c r="BT37">
        <f t="shared" si="77"/>
        <v>6.837516730263121</v>
      </c>
      <c r="BU37">
        <f t="shared" si="78"/>
        <v>18.233377947368322</v>
      </c>
      <c r="BV37">
        <f t="shared" si="31"/>
        <v>5.6979306085525998</v>
      </c>
      <c r="BW37">
        <f t="shared" si="79"/>
        <v>86.677042700762101</v>
      </c>
      <c r="BX37">
        <f t="shared" si="80"/>
        <v>103.7708345264199</v>
      </c>
      <c r="BY37">
        <f t="shared" si="33"/>
        <v>92.374973309314697</v>
      </c>
      <c r="BZ37">
        <f t="shared" si="34"/>
        <v>1.595420570394728</v>
      </c>
      <c r="CA37">
        <f>7963.6*(BT37/1000)^0.6*1.7*('CAPEX+OPEX'!$G$116/'CAPEX+OPEX'!$G$115)</f>
        <v>802.01034286435458</v>
      </c>
      <c r="CB37">
        <f>7963.6*(BU37/1000)^0.6*1.7*('CAPEX+OPEX'!$G$116/'CAPEX+OPEX'!$G$115)</f>
        <v>1444.645231586612</v>
      </c>
      <c r="CC37">
        <f>7963.6*(BX37/1000)^0.6*1.7*('CAPEX+OPEX'!$G$116/'CAPEX+OPEX'!$G$115)</f>
        <v>4100.9654786569836</v>
      </c>
      <c r="CD37">
        <f>7963.6*(BY37/1000)^0.6*1.7*('CAPEX+OPEX'!$G$116/'CAPEX+OPEX'!$G$115)</f>
        <v>3824.4899446699064</v>
      </c>
      <c r="CE37">
        <v>300</v>
      </c>
      <c r="CF37">
        <v>30</v>
      </c>
      <c r="CG37">
        <f t="shared" si="81"/>
        <v>7.0930843990467842</v>
      </c>
      <c r="CH37">
        <f t="shared" si="82"/>
        <v>0.47287229326978564</v>
      </c>
      <c r="CI37">
        <f t="shared" si="83"/>
        <v>2.3643614663489281</v>
      </c>
      <c r="CJ37">
        <f t="shared" si="84"/>
        <v>1.182180733174464</v>
      </c>
      <c r="CK37">
        <f t="shared" si="85"/>
        <v>1.9703012219574401</v>
      </c>
      <c r="CL37">
        <f t="shared" si="86"/>
        <v>11.82180733174464</v>
      </c>
      <c r="CM37">
        <f t="shared" si="87"/>
        <v>31.524819551319041</v>
      </c>
      <c r="CN37">
        <f t="shared" si="36"/>
        <v>9.8515061097872003</v>
      </c>
      <c r="CO37">
        <v>0</v>
      </c>
      <c r="CP37">
        <f t="shared" si="88"/>
        <v>29.554518329361599</v>
      </c>
      <c r="CQ37">
        <f t="shared" si="38"/>
        <v>9.8515061097872003</v>
      </c>
      <c r="CR37">
        <f t="shared" si="39"/>
        <v>2.7584217107404161</v>
      </c>
      <c r="CS37">
        <f>7963.6*(CL37/1000)^0.6*1.7*('CAPEX+OPEX'!$G$116/'CAPEX+OPEX'!$G$115)</f>
        <v>1113.9129529755978</v>
      </c>
      <c r="CT37">
        <f>7963.6*(CM37/1000)^0.6*1.7*('CAPEX+OPEX'!$G$116/'CAPEX+OPEX'!$G$115)</f>
        <v>2006.4691811473656</v>
      </c>
      <c r="CU37">
        <f>7963.6*(CP37/1000)^0.6*1.7*('CAPEX+OPEX'!$G$116/'CAPEX+OPEX'!$G$115)</f>
        <v>1930.2575476968916</v>
      </c>
      <c r="CV37">
        <f>7963.6*(CQ37/1000)^0.6*1.7*('CAPEX+OPEX'!$G$116/'CAPEX+OPEX'!$G$115)</f>
        <v>998.48721063671246</v>
      </c>
      <c r="CW37">
        <v>300</v>
      </c>
      <c r="CX37">
        <f t="shared" si="89"/>
        <v>30</v>
      </c>
      <c r="CY37">
        <f t="shared" si="90"/>
        <v>10</v>
      </c>
      <c r="CZ37">
        <f t="shared" si="91"/>
        <v>9.2374973309314701</v>
      </c>
      <c r="DA37">
        <f t="shared" si="92"/>
        <v>3960</v>
      </c>
      <c r="DB37">
        <f t="shared" si="93"/>
        <v>3960</v>
      </c>
      <c r="DC37">
        <f>CF37*'Reagent cost'!$C$18/1000*'Reagent cost'!$H$18</f>
        <v>4784.413580611521</v>
      </c>
      <c r="DD37">
        <f>CX37*'Ligand cost'!$B$56*'Ligand cost'!$J$56</f>
        <v>30543.831958072875</v>
      </c>
      <c r="DE37">
        <f t="shared" si="94"/>
        <v>39625.826528698344</v>
      </c>
      <c r="DF37">
        <f t="shared" si="95"/>
        <v>4586243.4239371875</v>
      </c>
      <c r="DG37">
        <f t="shared" si="96"/>
        <v>11794834.586807497</v>
      </c>
      <c r="DH37">
        <f t="shared" si="97"/>
        <v>2275209.1661185985</v>
      </c>
      <c r="DI37">
        <f t="shared" si="98"/>
        <v>14083914.336508472</v>
      </c>
      <c r="DJ37">
        <f t="shared" si="99"/>
        <v>1662824.8986326549</v>
      </c>
      <c r="DK37" s="55">
        <f>DF37*($BK$2/10000)^0.72*0.6*((A37+1)/3)^0.6*('CAPEX+OPEX'!$G$116/'CAPEX+OPEX'!$G$114)</f>
        <v>387681.53783205553</v>
      </c>
      <c r="DL37" s="55">
        <f>DG37*($BK$2/10000)^0.72*0.6*((A37+1)/3)^0.6*('CAPEX+OPEX'!$G$116/'CAPEX+OPEX'!$G$114)</f>
        <v>997033.77871790738</v>
      </c>
      <c r="DM37" s="55">
        <f>DH37*($BK$2/10000)^0.72*0.6*((A37+1)/3)^0.6*('CAPEX+OPEX'!$G$116/'CAPEX+OPEX'!$G$114)</f>
        <v>192326.59649217245</v>
      </c>
      <c r="DN37" s="55">
        <f>DI37*($BK$2/10000)^0.72*0.6*((A37+1)/3)^0.6*('CAPEX+OPEX'!$G$116/'CAPEX+OPEX'!$G$114)</f>
        <v>1190532.8749395488</v>
      </c>
      <c r="DO37" s="55">
        <f>DJ37*($BK$2/10000)^0.72*0.6*((A37+1)/3)^0.6*('CAPEX+OPEX'!$G$116/'CAPEX+OPEX'!$G$114)</f>
        <v>140560.90230246107</v>
      </c>
      <c r="DP37">
        <f t="shared" si="100"/>
        <v>2908135.6902841455</v>
      </c>
      <c r="DQ37">
        <f>DF37*(BM37/10000)^0.72*0.6*((AF37+1)/3)^0.6*('CAPEX+OPEX'!$G$116/'CAPEX+OPEX'!$G$114)</f>
        <v>453539.8062358672</v>
      </c>
      <c r="DR37">
        <f>DG37*(BM37/10000)^0.72*0.6*((AF37+1)/3)^0.6*('CAPEX+OPEX'!$G$116/'CAPEX+OPEX'!$G$114)</f>
        <v>1166407.1220389807</v>
      </c>
      <c r="DS37">
        <f>DH37*(BM37/10000)^0.72*0.6*((AF37+1)/3)^0.6*('CAPEX+OPEX'!$G$116/'CAPEX+OPEX'!$G$114)</f>
        <v>224998.50726668074</v>
      </c>
      <c r="DT37">
        <f>DI37*(BM37/10000)^0.72*0.6*((AF37+1)/3)^0.6*('CAPEX+OPEX'!$G$116/'CAPEX+OPEX'!$G$114)</f>
        <v>1392777.3100493166</v>
      </c>
      <c r="DU37">
        <f>DJ37*(BM37/10000)^0.72*0.6*((AF37+1)/3)^0.6*('CAPEX+OPEX'!$G$116/'CAPEX+OPEX'!$G$114)</f>
        <v>164438.99998718398</v>
      </c>
      <c r="DV37">
        <f t="shared" si="101"/>
        <v>3402161.7455780292</v>
      </c>
      <c r="DW37">
        <f t="shared" si="102"/>
        <v>6378687.3418054311</v>
      </c>
      <c r="DX37">
        <f t="shared" si="103"/>
        <v>425245.82278702874</v>
      </c>
      <c r="DY37">
        <f>BO37*'Reagent cost'!$C$35*60*7200</f>
        <v>1062620.5711593204</v>
      </c>
      <c r="DZ37">
        <f>BP37*'Reagent cost'!$C$34*60*7200</f>
        <v>252847.08019463703</v>
      </c>
      <c r="EA37">
        <f>BQ37*'Reagent cost'!$C$14*'Reagent cost'!$C$36/1000*60*7200</f>
        <v>4191148.3317929949</v>
      </c>
      <c r="EB37">
        <f t="shared" si="104"/>
        <v>39.6</v>
      </c>
      <c r="EC37">
        <f t="shared" si="105"/>
        <v>95.688271612230423</v>
      </c>
      <c r="ED37">
        <f>0.1*BK37*60*7200*'Reagent cost'!$H$17*'Reagent cost'!$C$17/1000</f>
        <v>504921.59999999998</v>
      </c>
      <c r="EE37">
        <f>BV37*0.1*'Reagent cost'!$C$16/1000*'Reagent cost'!$H$16*60*7200</f>
        <v>1039715.5290105023</v>
      </c>
      <c r="EF37">
        <f>BZ37/1000*'Reagent cost'!$H$19*'Reagent cost'!$C$19*60*7200</f>
        <v>87358.848752533726</v>
      </c>
      <c r="EG37">
        <f>0.33*('Costing 100 Lmin Feed Orig'!BO37*'Reagent cost'!$C$13+'Costing 100 Lmin Feed Orig'!BP37*'Reagent cost'!$C$12+'Costing 100 Lmin Feed Orig'!BQ37*'Reagent cost'!$C$14+'Costing 100 Lmin Feed Orig'!BV37*0.1*'Reagent cost'!$C$16+'Costing 100 Lmin Feed Orig'!BZ37*'Reagent cost'!$C$19)/1000*60*7200</f>
        <v>178733.98860150197</v>
      </c>
      <c r="EH37">
        <f>CG37*'Reagent cost'!$C$35*60*7200</f>
        <v>1837230.7015196902</v>
      </c>
      <c r="EI37">
        <f>CH37*'Reagent cost'!$C$34*60*7200</f>
        <v>437163.02049035835</v>
      </c>
      <c r="EJ37">
        <f>CI37*'Reagent cost'!$C$14*'Reagent cost'!$C$36/1000*60*7200</f>
        <v>7246336.6499599162</v>
      </c>
      <c r="EK37">
        <f t="shared" si="106"/>
        <v>39.6</v>
      </c>
      <c r="EL37">
        <f t="shared" si="107"/>
        <v>610.87663916145755</v>
      </c>
      <c r="EM37">
        <f>0.1*BM37*60*7200*'Reagent cost'!$H$17*'Reagent cost'!$C$17/1000</f>
        <v>466421.19323296467</v>
      </c>
      <c r="EN37">
        <f>CN37*0.1*'Reagent cost'!$C$16/1000*'Reagent cost'!$H$16*60*7200</f>
        <v>1797628.7515880228</v>
      </c>
      <c r="EO37">
        <f>CR37/1000*'Reagent cost'!$H$19*'Reagent cost'!$C$19*60*7200</f>
        <v>151040.13919330222</v>
      </c>
      <c r="EP37">
        <f>0.33*(CG37*'Reagent cost'!$C$13+CH37*'Reagent cost'!$C$12+CI37*'Reagent cost'!$C$14+CN37*0.1*'Reagent cost'!$C$16+CR37*'Reagent cost'!$C$19)/1000*60*7200</f>
        <v>309024.2935025167</v>
      </c>
      <c r="EQ37">
        <f t="shared" si="108"/>
        <v>22890261.818166018</v>
      </c>
      <c r="ER37">
        <f t="shared" si="109"/>
        <v>487758.28210401867</v>
      </c>
      <c r="ES37">
        <f t="shared" si="110"/>
        <v>35776.359048024235</v>
      </c>
      <c r="ET37">
        <f t="shared" si="111"/>
        <v>29068.269280606211</v>
      </c>
      <c r="EU37">
        <f t="shared" si="112"/>
        <v>12307.130138966339</v>
      </c>
      <c r="EV37">
        <f t="shared" si="113"/>
        <v>6519.4301878820042</v>
      </c>
      <c r="EW37">
        <f t="shared" si="114"/>
        <v>6563.8027407820491</v>
      </c>
      <c r="EX37">
        <f t="shared" si="115"/>
        <v>90234.991396260841</v>
      </c>
      <c r="EY37">
        <f t="shared" si="56"/>
        <v>41148.704348775907</v>
      </c>
      <c r="EZ37">
        <f t="shared" si="57"/>
        <v>38800.349510177053</v>
      </c>
      <c r="FA37">
        <f t="shared" si="58"/>
        <v>16427.567332937866</v>
      </c>
      <c r="FB37">
        <f t="shared" si="59"/>
        <v>8706.9734828830187</v>
      </c>
      <c r="FC37">
        <f t="shared" si="60"/>
        <v>8761.3692442335268</v>
      </c>
      <c r="FD37">
        <f t="shared" si="116"/>
        <v>113844.96391900736</v>
      </c>
      <c r="FE37">
        <f t="shared" si="117"/>
        <v>23582100.055585302</v>
      </c>
      <c r="FF37">
        <f t="shared" si="118"/>
        <v>24007345.87837233</v>
      </c>
      <c r="FG37">
        <f>BM37*AM37*195.08/1000*'PGM market prices'!$C$2*60*7200</f>
        <v>423430760.06160641</v>
      </c>
      <c r="FH37">
        <f>BN37*AQ37*BA37*106.42/1000*'PGM market prices'!$C$3*60*7200</f>
        <v>222331969.82271454</v>
      </c>
      <c r="FI37">
        <f>BK37*J37*102.91/1000*'PGM market prices'!$C$4*60*7200</f>
        <v>247042670.24640098</v>
      </c>
      <c r="FJ37">
        <f t="shared" si="119"/>
        <v>892805400.13072193</v>
      </c>
      <c r="FK37">
        <f t="shared" si="120"/>
        <v>642910560.14673865</v>
      </c>
      <c r="FL37">
        <f t="shared" si="64"/>
        <v>0.55572559903639651</v>
      </c>
      <c r="FM37">
        <f t="shared" si="65"/>
        <v>1912.4154340246889</v>
      </c>
      <c r="FN37">
        <f t="shared" si="66"/>
        <v>3555.7376480767002</v>
      </c>
      <c r="FO37">
        <f t="shared" si="67"/>
        <v>16029.290676895689</v>
      </c>
    </row>
    <row r="38" spans="1:171">
      <c r="A38">
        <v>6</v>
      </c>
      <c r="B38">
        <v>1.54143585092054E-3</v>
      </c>
      <c r="C38">
        <v>1.54143585092054E-3</v>
      </c>
      <c r="D38">
        <v>3.4254130020456501E-4</v>
      </c>
      <c r="E38">
        <v>0</v>
      </c>
      <c r="F38">
        <v>0</v>
      </c>
      <c r="G38">
        <v>0</v>
      </c>
      <c r="H38" s="53">
        <v>1.7693893431643E-5</v>
      </c>
      <c r="I38" s="53">
        <v>3.7175600603836103E-8</v>
      </c>
      <c r="J38">
        <v>3.36890310328726E-4</v>
      </c>
      <c r="K38">
        <v>0.133710118829723</v>
      </c>
      <c r="L38">
        <v>0.13525951632913</v>
      </c>
      <c r="M38">
        <v>4.9588089642288804E-4</v>
      </c>
      <c r="N38" s="53">
        <v>-1.72886878424538E-14</v>
      </c>
      <c r="O38" s="53">
        <v>-1.05961268405396E-12</v>
      </c>
      <c r="P38" s="53">
        <v>-9.6595637304880395E-18</v>
      </c>
      <c r="Q38">
        <v>0.11395861217105201</v>
      </c>
      <c r="R38">
        <v>98.3502748800029</v>
      </c>
      <c r="S38">
        <v>500</v>
      </c>
      <c r="T38">
        <v>95</v>
      </c>
      <c r="U38">
        <v>1</v>
      </c>
      <c r="V38">
        <v>0.1</v>
      </c>
      <c r="W38">
        <v>87.751156402202497</v>
      </c>
      <c r="X38" t="s">
        <v>323</v>
      </c>
      <c r="Y38">
        <v>1</v>
      </c>
      <c r="Z38">
        <v>0.28318429382522198</v>
      </c>
      <c r="AA38">
        <v>0.56945642916197003</v>
      </c>
      <c r="AB38">
        <v>3.7698628972227502E-3</v>
      </c>
      <c r="AC38">
        <v>1822.2107908876901</v>
      </c>
      <c r="AD38">
        <v>2662.6059073104898</v>
      </c>
      <c r="AE38">
        <v>2401.5030938442701</v>
      </c>
      <c r="AF38">
        <v>10</v>
      </c>
      <c r="AG38">
        <v>1.64951815726537E-3</v>
      </c>
      <c r="AH38">
        <v>1.6686323374819601E-3</v>
      </c>
      <c r="AI38" s="53">
        <v>6.1174468293775103E-6</v>
      </c>
      <c r="AJ38">
        <v>0</v>
      </c>
      <c r="AK38">
        <v>0</v>
      </c>
      <c r="AL38">
        <v>0</v>
      </c>
      <c r="AM38">
        <v>1.61255347742774E-3</v>
      </c>
      <c r="AN38" s="53">
        <v>7.8794044578505199E-5</v>
      </c>
      <c r="AO38" s="53">
        <v>6.07719107473002E-6</v>
      </c>
      <c r="AP38">
        <v>1.7331877781333199E-3</v>
      </c>
      <c r="AQ38">
        <v>7.4543816233418506E-2</v>
      </c>
      <c r="AR38" s="53">
        <v>1.88749861433376E-6</v>
      </c>
      <c r="AS38" s="53">
        <v>9.0192949137902997E-15</v>
      </c>
      <c r="AT38" s="53">
        <v>-9.3119934506391495E-13</v>
      </c>
      <c r="AU38" s="53">
        <v>9.0473706678599895E-20</v>
      </c>
      <c r="AV38">
        <v>0.19701335051902499</v>
      </c>
      <c r="AW38">
        <v>99.341951703541199</v>
      </c>
      <c r="AX38">
        <v>500</v>
      </c>
      <c r="AY38">
        <v>95</v>
      </c>
      <c r="AZ38">
        <v>0.92374973309314701</v>
      </c>
      <c r="BA38">
        <v>0.1</v>
      </c>
      <c r="BB38">
        <v>46.887671858762701</v>
      </c>
      <c r="BC38" t="s">
        <v>251</v>
      </c>
      <c r="BD38">
        <v>1</v>
      </c>
      <c r="BE38">
        <v>1.8775014999999999E-2</v>
      </c>
      <c r="BF38">
        <v>0.10492961100000001</v>
      </c>
      <c r="BG38">
        <v>1.814625E-3</v>
      </c>
      <c r="BH38">
        <v>285.1951444</v>
      </c>
      <c r="BI38">
        <v>2169.8944889999998</v>
      </c>
      <c r="BJ38">
        <v>866.49409060000005</v>
      </c>
      <c r="BK38">
        <f t="shared" si="68"/>
        <v>100</v>
      </c>
      <c r="BL38">
        <f t="shared" si="69"/>
        <v>11.395861217105201</v>
      </c>
      <c r="BM38">
        <f t="shared" si="70"/>
        <v>92.374973309314697</v>
      </c>
      <c r="BN38">
        <f t="shared" si="71"/>
        <v>19.7013350519025</v>
      </c>
      <c r="BO38">
        <f t="shared" si="72"/>
        <v>4.1025100381578721</v>
      </c>
      <c r="BP38">
        <f t="shared" si="73"/>
        <v>0.27350066921052485</v>
      </c>
      <c r="BQ38">
        <f t="shared" si="74"/>
        <v>1.367503346052624</v>
      </c>
      <c r="BR38">
        <f t="shared" si="75"/>
        <v>0.68375167302631201</v>
      </c>
      <c r="BS38">
        <f t="shared" si="76"/>
        <v>1.1395861217105201</v>
      </c>
      <c r="BT38">
        <f t="shared" si="77"/>
        <v>6.837516730263121</v>
      </c>
      <c r="BU38">
        <f t="shared" si="78"/>
        <v>18.233377947368322</v>
      </c>
      <c r="BV38">
        <f t="shared" si="31"/>
        <v>5.6979306085525998</v>
      </c>
      <c r="BW38">
        <f t="shared" si="79"/>
        <v>86.677042700762101</v>
      </c>
      <c r="BX38">
        <f t="shared" si="80"/>
        <v>103.7708345264199</v>
      </c>
      <c r="BY38">
        <f t="shared" si="33"/>
        <v>92.374973309314697</v>
      </c>
      <c r="BZ38">
        <f t="shared" si="34"/>
        <v>1.595420570394728</v>
      </c>
      <c r="CA38">
        <f>7963.6*(BT38/1000)^0.6*1.7*('CAPEX+OPEX'!$G$116/'CAPEX+OPEX'!$G$115)</f>
        <v>802.01034286435458</v>
      </c>
      <c r="CB38">
        <f>7963.6*(BU38/1000)^0.6*1.7*('CAPEX+OPEX'!$G$116/'CAPEX+OPEX'!$G$115)</f>
        <v>1444.645231586612</v>
      </c>
      <c r="CC38">
        <f>7963.6*(BX38/1000)^0.6*1.7*('CAPEX+OPEX'!$G$116/'CAPEX+OPEX'!$G$115)</f>
        <v>4100.9654786569836</v>
      </c>
      <c r="CD38">
        <f>7963.6*(BY38/1000)^0.6*1.7*('CAPEX+OPEX'!$G$116/'CAPEX+OPEX'!$G$115)</f>
        <v>3824.4899446699064</v>
      </c>
      <c r="CE38">
        <v>300</v>
      </c>
      <c r="CF38">
        <v>30</v>
      </c>
      <c r="CG38">
        <f t="shared" si="81"/>
        <v>7.0924806186848999</v>
      </c>
      <c r="CH38">
        <f t="shared" si="82"/>
        <v>0.47283204124566003</v>
      </c>
      <c r="CI38">
        <f t="shared" si="83"/>
        <v>2.3641602062282998</v>
      </c>
      <c r="CJ38">
        <f t="shared" si="84"/>
        <v>1.1820801031141499</v>
      </c>
      <c r="CK38">
        <f t="shared" si="85"/>
        <v>1.9701335051902502</v>
      </c>
      <c r="CL38">
        <f t="shared" si="86"/>
        <v>11.820801031141499</v>
      </c>
      <c r="CM38">
        <f t="shared" si="87"/>
        <v>31.522136083044003</v>
      </c>
      <c r="CN38">
        <f t="shared" si="36"/>
        <v>9.8506675259512502</v>
      </c>
      <c r="CO38">
        <v>0</v>
      </c>
      <c r="CP38">
        <f t="shared" si="88"/>
        <v>29.552002577853749</v>
      </c>
      <c r="CQ38">
        <f t="shared" si="38"/>
        <v>9.8506675259512502</v>
      </c>
      <c r="CR38">
        <f t="shared" si="39"/>
        <v>2.7581869072663503</v>
      </c>
      <c r="CS38">
        <f>7963.6*(CL38/1000)^0.6*1.7*('CAPEX+OPEX'!$G$116/'CAPEX+OPEX'!$G$115)</f>
        <v>1113.8560606411686</v>
      </c>
      <c r="CT38">
        <f>7963.6*(CM38/1000)^0.6*1.7*('CAPEX+OPEX'!$G$116/'CAPEX+OPEX'!$G$115)</f>
        <v>2006.366702120283</v>
      </c>
      <c r="CU38">
        <f>7963.6*(CP38/1000)^0.6*1.7*('CAPEX+OPEX'!$G$116/'CAPEX+OPEX'!$G$115)</f>
        <v>1930.15896112633</v>
      </c>
      <c r="CV38">
        <f>7963.6*(CQ38/1000)^0.6*1.7*('CAPEX+OPEX'!$G$116/'CAPEX+OPEX'!$G$115)</f>
        <v>998.43621359232134</v>
      </c>
      <c r="CW38">
        <v>300</v>
      </c>
      <c r="CX38">
        <f t="shared" si="89"/>
        <v>30</v>
      </c>
      <c r="CY38">
        <f t="shared" si="90"/>
        <v>10</v>
      </c>
      <c r="CZ38">
        <f t="shared" si="91"/>
        <v>9.2374973309314701</v>
      </c>
      <c r="DA38">
        <f t="shared" si="92"/>
        <v>3960</v>
      </c>
      <c r="DB38">
        <f t="shared" si="93"/>
        <v>3960</v>
      </c>
      <c r="DC38">
        <f>CF38*'Reagent cost'!$C$18/1000*'Reagent cost'!$H$18</f>
        <v>4784.413580611521</v>
      </c>
      <c r="DD38">
        <f>CX38*'Ligand cost'!$B$56*'Ligand cost'!$J$56</f>
        <v>30543.831958072875</v>
      </c>
      <c r="DE38">
        <f t="shared" si="94"/>
        <v>39625.826528698344</v>
      </c>
      <c r="DF38">
        <f t="shared" si="95"/>
        <v>4586243.4239371875</v>
      </c>
      <c r="DG38">
        <f t="shared" si="96"/>
        <v>11794834.586807497</v>
      </c>
      <c r="DH38">
        <f t="shared" si="97"/>
        <v>2275209.1661185985</v>
      </c>
      <c r="DI38">
        <f t="shared" si="98"/>
        <v>14083914.336508472</v>
      </c>
      <c r="DJ38">
        <f t="shared" si="99"/>
        <v>1662824.8986326549</v>
      </c>
      <c r="DK38" s="55">
        <f>DF38*($BK$2/10000)^0.72*0.6*((A38+1)/3)^0.6*('CAPEX+OPEX'!$G$116/'CAPEX+OPEX'!$G$114)</f>
        <v>387681.53783205553</v>
      </c>
      <c r="DL38" s="55">
        <f>DG38*($BK$2/10000)^0.72*0.6*((A38+1)/3)^0.6*('CAPEX+OPEX'!$G$116/'CAPEX+OPEX'!$G$114)</f>
        <v>997033.77871790738</v>
      </c>
      <c r="DM38" s="55">
        <f>DH38*($BK$2/10000)^0.72*0.6*((A38+1)/3)^0.6*('CAPEX+OPEX'!$G$116/'CAPEX+OPEX'!$G$114)</f>
        <v>192326.59649217245</v>
      </c>
      <c r="DN38" s="55">
        <f>DI38*($BK$2/10000)^0.72*0.6*((A38+1)/3)^0.6*('CAPEX+OPEX'!$G$116/'CAPEX+OPEX'!$G$114)</f>
        <v>1190532.8749395488</v>
      </c>
      <c r="DO38" s="55">
        <f>DJ38*($BK$2/10000)^0.72*0.6*((A38+1)/3)^0.6*('CAPEX+OPEX'!$G$116/'CAPEX+OPEX'!$G$114)</f>
        <v>140560.90230246107</v>
      </c>
      <c r="DP38">
        <f t="shared" si="100"/>
        <v>2908135.6902841455</v>
      </c>
      <c r="DQ38">
        <f>DF38*(BM38/10000)^0.72*0.6*((AF38+1)/3)^0.6*('CAPEX+OPEX'!$G$116/'CAPEX+OPEX'!$G$114)</f>
        <v>480231.91774644144</v>
      </c>
      <c r="DR38">
        <f>DG38*(BM38/10000)^0.72*0.6*((AF38+1)/3)^0.6*('CAPEX+OPEX'!$G$116/'CAPEX+OPEX'!$G$114)</f>
        <v>1235053.5088392631</v>
      </c>
      <c r="DS38">
        <f>DH38*(BM38/10000)^0.72*0.6*((AF38+1)/3)^0.6*('CAPEX+OPEX'!$G$116/'CAPEX+OPEX'!$G$114)</f>
        <v>238240.31132246781</v>
      </c>
      <c r="DT38">
        <f>DI38*(BM38/10000)^0.72*0.6*((AF38+1)/3)^0.6*('CAPEX+OPEX'!$G$116/'CAPEX+OPEX'!$G$114)</f>
        <v>1474746.2282304477</v>
      </c>
      <c r="DU38">
        <f>DJ38*(BM38/10000)^0.72*0.6*((AF38+1)/3)^0.6*('CAPEX+OPEX'!$G$116/'CAPEX+OPEX'!$G$114)</f>
        <v>174116.70426803504</v>
      </c>
      <c r="DV38">
        <f t="shared" si="101"/>
        <v>3602388.6704066549</v>
      </c>
      <c r="DW38">
        <f t="shared" si="102"/>
        <v>6578913.9113358343</v>
      </c>
      <c r="DX38">
        <f t="shared" si="103"/>
        <v>438594.26075572229</v>
      </c>
      <c r="DY38">
        <f>BO38*'Reagent cost'!$C$35*60*7200</f>
        <v>1062620.5711593204</v>
      </c>
      <c r="DZ38">
        <f>BP38*'Reagent cost'!$C$34*60*7200</f>
        <v>252847.08019463703</v>
      </c>
      <c r="EA38">
        <f>BQ38*'Reagent cost'!$C$14*'Reagent cost'!$C$36/1000*60*7200</f>
        <v>4191148.3317929949</v>
      </c>
      <c r="EB38">
        <f t="shared" si="104"/>
        <v>39.6</v>
      </c>
      <c r="EC38">
        <f t="shared" si="105"/>
        <v>95.688271612230423</v>
      </c>
      <c r="ED38">
        <f>0.1*BK38*60*7200*'Reagent cost'!$H$17*'Reagent cost'!$C$17/1000</f>
        <v>504921.59999999998</v>
      </c>
      <c r="EE38">
        <f>BV38*0.1*'Reagent cost'!$C$16/1000*'Reagent cost'!$H$16*60*7200</f>
        <v>1039715.5290105023</v>
      </c>
      <c r="EF38">
        <f>BZ38/1000*'Reagent cost'!$H$19*'Reagent cost'!$C$19*60*7200</f>
        <v>87358.848752533726</v>
      </c>
      <c r="EG38">
        <f>0.33*('Costing 100 Lmin Feed Orig'!BO38*'Reagent cost'!$C$13+'Costing 100 Lmin Feed Orig'!BP38*'Reagent cost'!$C$12+'Costing 100 Lmin Feed Orig'!BQ38*'Reagent cost'!$C$14+'Costing 100 Lmin Feed Orig'!BV38*0.1*'Reagent cost'!$C$16+'Costing 100 Lmin Feed Orig'!BZ38*'Reagent cost'!$C$19)/1000*60*7200</f>
        <v>178733.98860150197</v>
      </c>
      <c r="EH38">
        <f>CG38*'Reagent cost'!$C$35*60*7200</f>
        <v>1837074.3120344647</v>
      </c>
      <c r="EI38">
        <f>CH38*'Reagent cost'!$C$34*60*7200</f>
        <v>437125.80812520604</v>
      </c>
      <c r="EJ38">
        <f>CI38*'Reagent cost'!$C$14*'Reagent cost'!$C$36/1000*60*7200</f>
        <v>7245719.8243987476</v>
      </c>
      <c r="EK38">
        <f t="shared" si="106"/>
        <v>39.6</v>
      </c>
      <c r="EL38">
        <f t="shared" si="107"/>
        <v>610.87663916145755</v>
      </c>
      <c r="EM38">
        <f>0.1*BM38*60*7200*'Reagent cost'!$H$17*'Reagent cost'!$C$17/1000</f>
        <v>466421.19323296467</v>
      </c>
      <c r="EN38">
        <f>CN38*0.1*'Reagent cost'!$C$16/1000*'Reagent cost'!$H$16*60*7200</f>
        <v>1797475.733115789</v>
      </c>
      <c r="EO38">
        <f>CR38/1000*'Reagent cost'!$H$19*'Reagent cost'!$C$19*60*7200</f>
        <v>151027.28229427626</v>
      </c>
      <c r="EP38">
        <f>0.33*(CG38*'Reagent cost'!$C$13+CH38*'Reagent cost'!$C$12+CI38*'Reagent cost'!$C$14+CN38*0.1*'Reagent cost'!$C$16+CR38*'Reagent cost'!$C$19)/1000*60*7200</f>
        <v>308997.98861323792</v>
      </c>
      <c r="EQ38">
        <f t="shared" si="108"/>
        <v>22889090.254826654</v>
      </c>
      <c r="ER38">
        <f t="shared" si="109"/>
        <v>487731.97721473989</v>
      </c>
      <c r="ES38">
        <f t="shared" si="110"/>
        <v>35776.359048024235</v>
      </c>
      <c r="ET38">
        <f t="shared" si="111"/>
        <v>29068.269280606211</v>
      </c>
      <c r="EU38">
        <f t="shared" si="112"/>
        <v>12307.130138966339</v>
      </c>
      <c r="EV38">
        <f t="shared" si="113"/>
        <v>6519.4301878820042</v>
      </c>
      <c r="EW38">
        <f t="shared" si="114"/>
        <v>6563.8027407820491</v>
      </c>
      <c r="EX38">
        <f t="shared" si="115"/>
        <v>90234.991396260841</v>
      </c>
      <c r="EY38">
        <f t="shared" si="56"/>
        <v>43720.498370574402</v>
      </c>
      <c r="EZ38">
        <f t="shared" si="57"/>
        <v>42680.384461194757</v>
      </c>
      <c r="FA38">
        <f t="shared" si="58"/>
        <v>18070.324066231653</v>
      </c>
      <c r="FB38">
        <f t="shared" si="59"/>
        <v>9577.6708311713192</v>
      </c>
      <c r="FC38">
        <f t="shared" si="60"/>
        <v>9637.5061686568788</v>
      </c>
      <c r="FD38">
        <f t="shared" si="116"/>
        <v>123686.383897829</v>
      </c>
      <c r="FE38">
        <f t="shared" si="117"/>
        <v>23590743.607335482</v>
      </c>
      <c r="FF38">
        <f t="shared" si="118"/>
        <v>24029337.868091203</v>
      </c>
      <c r="FG38">
        <f>BM38*AM38*195.08/1000*'PGM market prices'!$C$2*60*7200</f>
        <v>423433720.42128944</v>
      </c>
      <c r="FH38">
        <f>BN38*AQ38*BA38*106.42/1000*'PGM market prices'!$C$3*60*7200</f>
        <v>222331888.62449926</v>
      </c>
      <c r="FI38">
        <f>BK38*J38*102.91/1000*'PGM market prices'!$C$4*60*7200</f>
        <v>247042670.24640098</v>
      </c>
      <c r="FJ38">
        <f t="shared" si="119"/>
        <v>892808279.29218972</v>
      </c>
      <c r="FK38">
        <f t="shared" si="120"/>
        <v>642896416.65383291</v>
      </c>
      <c r="FL38">
        <f t="shared" si="64"/>
        <v>0.55623467287248152</v>
      </c>
      <c r="FM38">
        <f t="shared" si="65"/>
        <v>1914.1539244527239</v>
      </c>
      <c r="FN38">
        <f t="shared" si="66"/>
        <v>3558.9961903006042</v>
      </c>
      <c r="FO38">
        <f t="shared" si="67"/>
        <v>16043.974349033087</v>
      </c>
    </row>
    <row r="39" spans="1:171">
      <c r="A39">
        <v>6</v>
      </c>
      <c r="B39">
        <v>1.54143585092054E-3</v>
      </c>
      <c r="C39">
        <v>1.54143585092054E-3</v>
      </c>
      <c r="D39">
        <v>3.4254130020456501E-4</v>
      </c>
      <c r="E39">
        <v>0</v>
      </c>
      <c r="F39">
        <v>0</v>
      </c>
      <c r="G39">
        <v>0</v>
      </c>
      <c r="H39" s="53">
        <v>1.7693893431643E-5</v>
      </c>
      <c r="I39" s="53">
        <v>3.7175600603836103E-8</v>
      </c>
      <c r="J39">
        <v>3.36890310328726E-4</v>
      </c>
      <c r="K39">
        <v>0.133710118829723</v>
      </c>
      <c r="L39">
        <v>0.13525951632913</v>
      </c>
      <c r="M39">
        <v>4.9588089642288804E-4</v>
      </c>
      <c r="N39" s="53">
        <v>-1.72886878424538E-14</v>
      </c>
      <c r="O39" s="53">
        <v>-1.05961268405396E-12</v>
      </c>
      <c r="P39" s="53">
        <v>-9.6595637304880395E-18</v>
      </c>
      <c r="Q39">
        <v>0.11395861217105201</v>
      </c>
      <c r="R39">
        <v>98.3502748800029</v>
      </c>
      <c r="S39">
        <v>500</v>
      </c>
      <c r="T39">
        <v>95</v>
      </c>
      <c r="U39">
        <v>1</v>
      </c>
      <c r="V39">
        <v>0.1</v>
      </c>
      <c r="W39">
        <v>87.751156402202497</v>
      </c>
      <c r="X39" t="s">
        <v>323</v>
      </c>
      <c r="Y39">
        <v>1</v>
      </c>
      <c r="Z39">
        <v>0.28318429382522198</v>
      </c>
      <c r="AA39">
        <v>0.56945642916197003</v>
      </c>
      <c r="AB39">
        <v>3.7698628972227502E-3</v>
      </c>
      <c r="AC39">
        <v>1822.2107908876901</v>
      </c>
      <c r="AD39">
        <v>2662.6059073104898</v>
      </c>
      <c r="AE39">
        <v>2401.5030938442701</v>
      </c>
      <c r="AF39">
        <v>11</v>
      </c>
      <c r="AG39">
        <v>1.64951815726537E-3</v>
      </c>
      <c r="AH39">
        <v>1.6686323374819601E-3</v>
      </c>
      <c r="AI39" s="53">
        <v>6.1174468293775103E-6</v>
      </c>
      <c r="AJ39">
        <v>0</v>
      </c>
      <c r="AK39">
        <v>0</v>
      </c>
      <c r="AL39">
        <v>0</v>
      </c>
      <c r="AM39">
        <v>1.61255664991154E-3</v>
      </c>
      <c r="AN39" s="53">
        <v>7.87942082405777E-5</v>
      </c>
      <c r="AO39" s="53">
        <v>6.0771943863253104E-6</v>
      </c>
      <c r="AP39">
        <v>1.7330805296501401E-3</v>
      </c>
      <c r="AQ39">
        <v>7.4545594606665405E-2</v>
      </c>
      <c r="AR39" s="53">
        <v>1.8873885461363599E-6</v>
      </c>
      <c r="AS39" s="53">
        <v>1.4982685366893601E-13</v>
      </c>
      <c r="AT39" s="53">
        <v>-1.2832369715443101E-11</v>
      </c>
      <c r="AU39" s="53">
        <v>1.70440234344306E-18</v>
      </c>
      <c r="AV39">
        <v>0.19700863184865999</v>
      </c>
      <c r="AW39">
        <v>99.342005837158993</v>
      </c>
      <c r="AX39">
        <v>500</v>
      </c>
      <c r="AY39">
        <v>95</v>
      </c>
      <c r="AZ39">
        <v>0.92374973309314701</v>
      </c>
      <c r="BA39">
        <v>0.1</v>
      </c>
      <c r="BB39">
        <v>46.888794893147498</v>
      </c>
      <c r="BC39" t="s">
        <v>251</v>
      </c>
      <c r="BD39">
        <v>1</v>
      </c>
      <c r="BE39">
        <v>1.8775014999999999E-2</v>
      </c>
      <c r="BF39">
        <v>0.10492961100000001</v>
      </c>
      <c r="BG39">
        <v>1.814625E-3</v>
      </c>
      <c r="BH39">
        <v>285.1951444</v>
      </c>
      <c r="BI39">
        <v>2169.8944889999998</v>
      </c>
      <c r="BJ39">
        <v>866.49409060000005</v>
      </c>
      <c r="BK39">
        <f t="shared" si="68"/>
        <v>100</v>
      </c>
      <c r="BL39">
        <f t="shared" si="69"/>
        <v>11.395861217105201</v>
      </c>
      <c r="BM39">
        <f t="shared" si="70"/>
        <v>92.374973309314697</v>
      </c>
      <c r="BN39">
        <f t="shared" si="71"/>
        <v>19.700863184865998</v>
      </c>
      <c r="BO39">
        <f t="shared" si="72"/>
        <v>4.1025100381578721</v>
      </c>
      <c r="BP39">
        <f t="shared" si="73"/>
        <v>0.27350066921052485</v>
      </c>
      <c r="BQ39">
        <f t="shared" si="74"/>
        <v>1.367503346052624</v>
      </c>
      <c r="BR39">
        <f t="shared" si="75"/>
        <v>0.68375167302631201</v>
      </c>
      <c r="BS39">
        <f t="shared" si="76"/>
        <v>1.1395861217105201</v>
      </c>
      <c r="BT39">
        <f t="shared" si="77"/>
        <v>6.837516730263121</v>
      </c>
      <c r="BU39">
        <f t="shared" si="78"/>
        <v>18.233377947368322</v>
      </c>
      <c r="BV39">
        <f t="shared" si="31"/>
        <v>5.6979306085525998</v>
      </c>
      <c r="BW39">
        <f t="shared" si="79"/>
        <v>86.677042700762101</v>
      </c>
      <c r="BX39">
        <f t="shared" si="80"/>
        <v>103.7708345264199</v>
      </c>
      <c r="BY39">
        <f t="shared" si="33"/>
        <v>92.374973309314697</v>
      </c>
      <c r="BZ39">
        <f t="shared" si="34"/>
        <v>1.595420570394728</v>
      </c>
      <c r="CA39">
        <f>7963.6*(BT39/1000)^0.6*1.7*('CAPEX+OPEX'!$G$116/'CAPEX+OPEX'!$G$115)</f>
        <v>802.01034286435458</v>
      </c>
      <c r="CB39">
        <f>7963.6*(BU39/1000)^0.6*1.7*('CAPEX+OPEX'!$G$116/'CAPEX+OPEX'!$G$115)</f>
        <v>1444.645231586612</v>
      </c>
      <c r="CC39">
        <f>7963.6*(BX39/1000)^0.6*1.7*('CAPEX+OPEX'!$G$116/'CAPEX+OPEX'!$G$115)</f>
        <v>4100.9654786569836</v>
      </c>
      <c r="CD39">
        <f>7963.6*(BY39/1000)^0.6*1.7*('CAPEX+OPEX'!$G$116/'CAPEX+OPEX'!$G$115)</f>
        <v>3824.4899446699064</v>
      </c>
      <c r="CE39">
        <v>300</v>
      </c>
      <c r="CF39">
        <v>30</v>
      </c>
      <c r="CG39">
        <f t="shared" si="81"/>
        <v>7.0923107465517594</v>
      </c>
      <c r="CH39">
        <f t="shared" si="82"/>
        <v>0.47282071643678397</v>
      </c>
      <c r="CI39">
        <f t="shared" si="83"/>
        <v>2.3641035821839198</v>
      </c>
      <c r="CJ39">
        <f t="shared" si="84"/>
        <v>1.1820517910919599</v>
      </c>
      <c r="CK39">
        <f t="shared" si="85"/>
        <v>1.9700863184866</v>
      </c>
      <c r="CL39">
        <f t="shared" si="86"/>
        <v>11.820517910919598</v>
      </c>
      <c r="CM39">
        <f t="shared" si="87"/>
        <v>31.5213810957856</v>
      </c>
      <c r="CN39">
        <f t="shared" si="36"/>
        <v>9.850431592432999</v>
      </c>
      <c r="CO39">
        <v>0</v>
      </c>
      <c r="CP39">
        <f t="shared" si="88"/>
        <v>29.551294777298999</v>
      </c>
      <c r="CQ39">
        <f t="shared" si="38"/>
        <v>9.850431592432999</v>
      </c>
      <c r="CR39">
        <f t="shared" si="39"/>
        <v>2.7581208458812396</v>
      </c>
      <c r="CS39">
        <f>7963.6*(CL39/1000)^0.6*1.7*('CAPEX+OPEX'!$G$116/'CAPEX+OPEX'!$G$115)</f>
        <v>1113.8400537723521</v>
      </c>
      <c r="CT39">
        <f>7963.6*(CM39/1000)^0.6*1.7*('CAPEX+OPEX'!$G$116/'CAPEX+OPEX'!$G$115)</f>
        <v>2006.3378692667991</v>
      </c>
      <c r="CU39">
        <f>7963.6*(CP39/1000)^0.6*1.7*('CAPEX+OPEX'!$G$116/'CAPEX+OPEX'!$G$115)</f>
        <v>1930.1312234298925</v>
      </c>
      <c r="CV39">
        <f>7963.6*(CQ39/1000)^0.6*1.7*('CAPEX+OPEX'!$G$116/'CAPEX+OPEX'!$G$115)</f>
        <v>998.42186538517262</v>
      </c>
      <c r="CW39">
        <v>300</v>
      </c>
      <c r="CX39">
        <f t="shared" si="89"/>
        <v>30</v>
      </c>
      <c r="CY39">
        <f t="shared" si="90"/>
        <v>10</v>
      </c>
      <c r="CZ39">
        <f t="shared" si="91"/>
        <v>9.2374973309314701</v>
      </c>
      <c r="DA39">
        <f t="shared" si="92"/>
        <v>3960</v>
      </c>
      <c r="DB39">
        <f t="shared" si="93"/>
        <v>3960</v>
      </c>
      <c r="DC39">
        <f>CF39*'Reagent cost'!$C$18/1000*'Reagent cost'!$H$18</f>
        <v>4784.413580611521</v>
      </c>
      <c r="DD39">
        <f>CX39*'Ligand cost'!$B$56*'Ligand cost'!$J$56</f>
        <v>30543.831958072875</v>
      </c>
      <c r="DE39">
        <f t="shared" si="94"/>
        <v>39625.826528698344</v>
      </c>
      <c r="DF39">
        <f t="shared" si="95"/>
        <v>4586243.4239371875</v>
      </c>
      <c r="DG39">
        <f t="shared" si="96"/>
        <v>11794834.586807497</v>
      </c>
      <c r="DH39">
        <f t="shared" si="97"/>
        <v>2275209.1661185985</v>
      </c>
      <c r="DI39">
        <f t="shared" si="98"/>
        <v>14083914.336508472</v>
      </c>
      <c r="DJ39">
        <f t="shared" si="99"/>
        <v>1662824.8986326549</v>
      </c>
      <c r="DK39" s="55">
        <f>DF39*($BK$2/10000)^0.72*0.6*((A39+1)/3)^0.6*('CAPEX+OPEX'!$G$116/'CAPEX+OPEX'!$G$114)</f>
        <v>387681.53783205553</v>
      </c>
      <c r="DL39" s="55">
        <f>DG39*($BK$2/10000)^0.72*0.6*((A39+1)/3)^0.6*('CAPEX+OPEX'!$G$116/'CAPEX+OPEX'!$G$114)</f>
        <v>997033.77871790738</v>
      </c>
      <c r="DM39" s="55">
        <f>DH39*($BK$2/10000)^0.72*0.6*((A39+1)/3)^0.6*('CAPEX+OPEX'!$G$116/'CAPEX+OPEX'!$G$114)</f>
        <v>192326.59649217245</v>
      </c>
      <c r="DN39" s="55">
        <f>DI39*($BK$2/10000)^0.72*0.6*((A39+1)/3)^0.6*('CAPEX+OPEX'!$G$116/'CAPEX+OPEX'!$G$114)</f>
        <v>1190532.8749395488</v>
      </c>
      <c r="DO39" s="55">
        <f>DJ39*($BK$2/10000)^0.72*0.6*((A39+1)/3)^0.6*('CAPEX+OPEX'!$G$116/'CAPEX+OPEX'!$G$114)</f>
        <v>140560.90230246107</v>
      </c>
      <c r="DP39">
        <f t="shared" si="100"/>
        <v>2908135.6902841455</v>
      </c>
      <c r="DQ39">
        <f>DF39*(BM39/10000)^0.72*0.6*((AF39+1)/3)^0.6*('CAPEX+OPEX'!$G$116/'CAPEX+OPEX'!$G$114)</f>
        <v>505969.289815959</v>
      </c>
      <c r="DR39">
        <f>DG39*(BM39/10000)^0.72*0.6*((AF39+1)/3)^0.6*('CAPEX+OPEX'!$G$116/'CAPEX+OPEX'!$G$114)</f>
        <v>1301244.5105367859</v>
      </c>
      <c r="DS39">
        <f>DH39*(BM39/10000)^0.72*0.6*((AF39+1)/3)^0.6*('CAPEX+OPEX'!$G$116/'CAPEX+OPEX'!$G$114)</f>
        <v>251008.47459499218</v>
      </c>
      <c r="DT39">
        <f>DI39*(BM39/10000)^0.72*0.6*((AF39+1)/3)^0.6*('CAPEX+OPEX'!$G$116/'CAPEX+OPEX'!$G$114)</f>
        <v>1553783.2330222146</v>
      </c>
      <c r="DU39">
        <f>DJ39*(BM39/10000)^0.72*0.6*((AF39+1)/3)^0.6*('CAPEX+OPEX'!$G$116/'CAPEX+OPEX'!$G$114)</f>
        <v>183448.25062233355</v>
      </c>
      <c r="DV39">
        <f t="shared" si="101"/>
        <v>3795453.7585922852</v>
      </c>
      <c r="DW39">
        <f t="shared" si="102"/>
        <v>6771978.8995569954</v>
      </c>
      <c r="DX39">
        <f t="shared" si="103"/>
        <v>451465.25997046637</v>
      </c>
      <c r="DY39">
        <f>BO39*'Reagent cost'!$C$35*60*7200</f>
        <v>1062620.5711593204</v>
      </c>
      <c r="DZ39">
        <f>BP39*'Reagent cost'!$C$34*60*7200</f>
        <v>252847.08019463703</v>
      </c>
      <c r="EA39">
        <f>BQ39*'Reagent cost'!$C$14*'Reagent cost'!$C$36/1000*60*7200</f>
        <v>4191148.3317929949</v>
      </c>
      <c r="EB39">
        <f t="shared" si="104"/>
        <v>39.6</v>
      </c>
      <c r="EC39">
        <f t="shared" si="105"/>
        <v>95.688271612230423</v>
      </c>
      <c r="ED39">
        <f>0.1*BK39*60*7200*'Reagent cost'!$H$17*'Reagent cost'!$C$17/1000</f>
        <v>504921.59999999998</v>
      </c>
      <c r="EE39">
        <f>BV39*0.1*'Reagent cost'!$C$16/1000*'Reagent cost'!$H$16*60*7200</f>
        <v>1039715.5290105023</v>
      </c>
      <c r="EF39">
        <f>BZ39/1000*'Reagent cost'!$H$19*'Reagent cost'!$C$19*60*7200</f>
        <v>87358.848752533726</v>
      </c>
      <c r="EG39">
        <f>0.33*('Costing 100 Lmin Feed Orig'!BO39*'Reagent cost'!$C$13+'Costing 100 Lmin Feed Orig'!BP39*'Reagent cost'!$C$12+'Costing 100 Lmin Feed Orig'!BQ39*'Reagent cost'!$C$14+'Costing 100 Lmin Feed Orig'!BV39*0.1*'Reagent cost'!$C$16+'Costing 100 Lmin Feed Orig'!BZ39*'Reagent cost'!$C$19)/1000*60*7200</f>
        <v>178733.98860150197</v>
      </c>
      <c r="EH39">
        <f>CG39*'Reagent cost'!$C$35*60*7200</f>
        <v>1837030.3122339859</v>
      </c>
      <c r="EI39">
        <f>CH39*'Reagent cost'!$C$34*60*7200</f>
        <v>437115.33851697308</v>
      </c>
      <c r="EJ39">
        <f>CI39*'Reagent cost'!$C$14*'Reagent cost'!$C$36/1000*60*7200</f>
        <v>7245546.2820305862</v>
      </c>
      <c r="EK39">
        <f t="shared" si="106"/>
        <v>39.6</v>
      </c>
      <c r="EL39">
        <f t="shared" si="107"/>
        <v>610.87663916145755</v>
      </c>
      <c r="EM39">
        <f>0.1*BM39*60*7200*'Reagent cost'!$H$17*'Reagent cost'!$C$17/1000</f>
        <v>466421.19323296467</v>
      </c>
      <c r="EN39">
        <f>CN39*0.1*'Reagent cost'!$C$16/1000*'Reagent cost'!$H$16*60*7200</f>
        <v>1797432.6817415988</v>
      </c>
      <c r="EO39">
        <f>CR39/1000*'Reagent cost'!$H$19*'Reagent cost'!$C$19*60*7200</f>
        <v>151023.66503707314</v>
      </c>
      <c r="EP39">
        <f>0.33*(CG39*'Reagent cost'!$C$13+CH39*'Reagent cost'!$C$12+CI39*'Reagent cost'!$C$14+CN39*0.1*'Reagent cost'!$C$16+CR39*'Reagent cost'!$C$19)/1000*60*7200</f>
        <v>308990.58779675583</v>
      </c>
      <c r="EQ39">
        <f t="shared" si="108"/>
        <v>22888760.638336729</v>
      </c>
      <c r="ER39">
        <f t="shared" si="109"/>
        <v>487724.57639825781</v>
      </c>
      <c r="ES39">
        <f t="shared" si="110"/>
        <v>35776.359048024235</v>
      </c>
      <c r="ET39">
        <f t="shared" si="111"/>
        <v>29068.269280606211</v>
      </c>
      <c r="EU39">
        <f t="shared" si="112"/>
        <v>12307.130138966339</v>
      </c>
      <c r="EV39">
        <f t="shared" si="113"/>
        <v>6519.4301878820042</v>
      </c>
      <c r="EW39">
        <f t="shared" si="114"/>
        <v>6563.8027407820491</v>
      </c>
      <c r="EX39">
        <f t="shared" si="115"/>
        <v>90234.991396260841</v>
      </c>
      <c r="EY39">
        <f t="shared" si="56"/>
        <v>46292.292392372896</v>
      </c>
      <c r="EZ39">
        <f t="shared" si="57"/>
        <v>46560.419412212461</v>
      </c>
      <c r="FA39">
        <f t="shared" si="58"/>
        <v>19713.08079952544</v>
      </c>
      <c r="FB39">
        <f t="shared" si="59"/>
        <v>10448.368179459621</v>
      </c>
      <c r="FC39">
        <f t="shared" si="60"/>
        <v>10513.643093080233</v>
      </c>
      <c r="FD39">
        <f t="shared" si="116"/>
        <v>133527.80387665067</v>
      </c>
      <c r="FE39">
        <f t="shared" si="117"/>
        <v>23600248.010007896</v>
      </c>
      <c r="FF39">
        <f t="shared" si="118"/>
        <v>24051713.269978363</v>
      </c>
      <c r="FG39">
        <f>BM39*AM39*195.08/1000*'PGM market prices'!$C$2*60*7200</f>
        <v>423434553.47063458</v>
      </c>
      <c r="FH39">
        <f>BN39*AQ39*BA39*106.42/1000*'PGM market prices'!$C$3*60*7200</f>
        <v>222331867.53878537</v>
      </c>
      <c r="FI39">
        <f>BK39*J39*102.91/1000*'PGM market prices'!$C$4*60*7200</f>
        <v>247042670.24640098</v>
      </c>
      <c r="FJ39">
        <f t="shared" si="119"/>
        <v>892809091.25582087</v>
      </c>
      <c r="FK39">
        <f t="shared" si="120"/>
        <v>642880459.70952344</v>
      </c>
      <c r="FL39">
        <f t="shared" si="64"/>
        <v>0.55675262199023989</v>
      </c>
      <c r="FM39">
        <f t="shared" si="65"/>
        <v>1915.9325580873181</v>
      </c>
      <c r="FN39">
        <f t="shared" si="66"/>
        <v>3562.3105591241356</v>
      </c>
      <c r="FO39">
        <f t="shared" si="67"/>
        <v>16058.91401886076</v>
      </c>
    </row>
    <row r="40" spans="1:171">
      <c r="A40">
        <v>6</v>
      </c>
      <c r="B40">
        <v>1.54143585092054E-3</v>
      </c>
      <c r="C40">
        <v>1.54143585092054E-3</v>
      </c>
      <c r="D40">
        <v>3.4254130020456501E-4</v>
      </c>
      <c r="E40">
        <v>0</v>
      </c>
      <c r="F40">
        <v>0</v>
      </c>
      <c r="G40">
        <v>0</v>
      </c>
      <c r="H40" s="53">
        <v>1.7693893431643E-5</v>
      </c>
      <c r="I40" s="53">
        <v>3.7175600603836103E-8</v>
      </c>
      <c r="J40">
        <v>3.36890310328726E-4</v>
      </c>
      <c r="K40">
        <v>0.133710118829723</v>
      </c>
      <c r="L40">
        <v>0.13525951632913</v>
      </c>
      <c r="M40">
        <v>4.9588089642288804E-4</v>
      </c>
      <c r="N40" s="53">
        <v>-1.72886878424538E-14</v>
      </c>
      <c r="O40" s="53">
        <v>-1.05961268405396E-12</v>
      </c>
      <c r="P40" s="53">
        <v>-9.6595637304880395E-18</v>
      </c>
      <c r="Q40">
        <v>0.11395861217105201</v>
      </c>
      <c r="R40">
        <v>98.3502748800029</v>
      </c>
      <c r="S40">
        <v>500</v>
      </c>
      <c r="T40">
        <v>95</v>
      </c>
      <c r="U40">
        <v>1</v>
      </c>
      <c r="V40">
        <v>0.1</v>
      </c>
      <c r="W40">
        <v>87.751156402202497</v>
      </c>
      <c r="X40" t="s">
        <v>323</v>
      </c>
      <c r="Y40">
        <v>1</v>
      </c>
      <c r="Z40">
        <v>0.28318429382522198</v>
      </c>
      <c r="AA40">
        <v>0.56945642916197003</v>
      </c>
      <c r="AB40">
        <v>3.7698628972227502E-3</v>
      </c>
      <c r="AC40">
        <v>1822.2107908876901</v>
      </c>
      <c r="AD40">
        <v>2662.6059073104898</v>
      </c>
      <c r="AE40">
        <v>2401.5030938442701</v>
      </c>
      <c r="AF40">
        <v>12</v>
      </c>
      <c r="AG40">
        <v>1.64951815726537E-3</v>
      </c>
      <c r="AH40">
        <v>1.6686323374819601E-3</v>
      </c>
      <c r="AI40" s="53">
        <v>6.1174468293775103E-6</v>
      </c>
      <c r="AJ40">
        <v>0</v>
      </c>
      <c r="AK40">
        <v>0</v>
      </c>
      <c r="AL40">
        <v>0</v>
      </c>
      <c r="AM40">
        <v>1.6125575429752001E-3</v>
      </c>
      <c r="AN40" s="53">
        <v>7.8794254311918995E-5</v>
      </c>
      <c r="AO40" s="53">
        <v>6.0771953183527996E-6</v>
      </c>
      <c r="AP40">
        <v>1.7330503585533999E-3</v>
      </c>
      <c r="AQ40">
        <v>7.4546094895645801E-2</v>
      </c>
      <c r="AR40" s="53">
        <v>1.8873575819805E-6</v>
      </c>
      <c r="AS40" s="53">
        <v>7.3561084524067997E-16</v>
      </c>
      <c r="AT40" s="53">
        <v>-7.3104283043745598E-14</v>
      </c>
      <c r="AU40" s="53">
        <v>-3.93076227085198E-21</v>
      </c>
      <c r="AV40">
        <v>0.197007302276343</v>
      </c>
      <c r="AW40">
        <v>99.342021072722403</v>
      </c>
      <c r="AX40">
        <v>500</v>
      </c>
      <c r="AY40">
        <v>95</v>
      </c>
      <c r="AZ40">
        <v>0.92374973309314701</v>
      </c>
      <c r="BA40">
        <v>0.1</v>
      </c>
      <c r="BB40">
        <v>46.889111338492199</v>
      </c>
      <c r="BC40" t="s">
        <v>251</v>
      </c>
      <c r="BD40">
        <v>1</v>
      </c>
      <c r="BE40">
        <v>1.8775014999999999E-2</v>
      </c>
      <c r="BF40">
        <v>0.10492961100000001</v>
      </c>
      <c r="BG40">
        <v>1.814625E-3</v>
      </c>
      <c r="BH40">
        <v>285.1951444</v>
      </c>
      <c r="BI40">
        <v>2169.8944889999998</v>
      </c>
      <c r="BJ40">
        <v>866.49409060000005</v>
      </c>
      <c r="BK40">
        <f t="shared" si="68"/>
        <v>100</v>
      </c>
      <c r="BL40">
        <f t="shared" si="69"/>
        <v>11.395861217105201</v>
      </c>
      <c r="BM40">
        <f t="shared" si="70"/>
        <v>92.374973309314697</v>
      </c>
      <c r="BN40">
        <f t="shared" si="71"/>
        <v>19.700730227634299</v>
      </c>
      <c r="BO40">
        <f t="shared" si="72"/>
        <v>4.1025100381578721</v>
      </c>
      <c r="BP40">
        <f t="shared" si="73"/>
        <v>0.27350066921052485</v>
      </c>
      <c r="BQ40">
        <f t="shared" si="74"/>
        <v>1.367503346052624</v>
      </c>
      <c r="BR40">
        <f t="shared" si="75"/>
        <v>0.68375167302631201</v>
      </c>
      <c r="BS40">
        <f t="shared" si="76"/>
        <v>1.1395861217105201</v>
      </c>
      <c r="BT40">
        <f t="shared" si="77"/>
        <v>6.837516730263121</v>
      </c>
      <c r="BU40">
        <f t="shared" si="78"/>
        <v>18.233377947368322</v>
      </c>
      <c r="BV40">
        <f t="shared" si="31"/>
        <v>5.6979306085525998</v>
      </c>
      <c r="BW40">
        <f t="shared" si="79"/>
        <v>86.677042700762101</v>
      </c>
      <c r="BX40">
        <f t="shared" si="80"/>
        <v>103.7708345264199</v>
      </c>
      <c r="BY40">
        <f t="shared" si="33"/>
        <v>92.374973309314697</v>
      </c>
      <c r="BZ40">
        <f t="shared" si="34"/>
        <v>1.595420570394728</v>
      </c>
      <c r="CA40">
        <f>7963.6*(BT40/1000)^0.6*1.7*('CAPEX+OPEX'!$G$116/'CAPEX+OPEX'!$G$115)</f>
        <v>802.01034286435458</v>
      </c>
      <c r="CB40">
        <f>7963.6*(BU40/1000)^0.6*1.7*('CAPEX+OPEX'!$G$116/'CAPEX+OPEX'!$G$115)</f>
        <v>1444.645231586612</v>
      </c>
      <c r="CC40">
        <f>7963.6*(BX40/1000)^0.6*1.7*('CAPEX+OPEX'!$G$116/'CAPEX+OPEX'!$G$115)</f>
        <v>4100.9654786569836</v>
      </c>
      <c r="CD40">
        <f>7963.6*(BY40/1000)^0.6*1.7*('CAPEX+OPEX'!$G$116/'CAPEX+OPEX'!$G$115)</f>
        <v>3824.4899446699064</v>
      </c>
      <c r="CE40">
        <v>300</v>
      </c>
      <c r="CF40">
        <v>30</v>
      </c>
      <c r="CG40">
        <f t="shared" si="81"/>
        <v>7.0922628819483471</v>
      </c>
      <c r="CH40">
        <f t="shared" si="82"/>
        <v>0.4728175254632232</v>
      </c>
      <c r="CI40">
        <f t="shared" si="83"/>
        <v>2.364087627316116</v>
      </c>
      <c r="CJ40">
        <f t="shared" si="84"/>
        <v>1.182043813658058</v>
      </c>
      <c r="CK40">
        <f t="shared" si="85"/>
        <v>1.97007302276343</v>
      </c>
      <c r="CL40">
        <f t="shared" si="86"/>
        <v>11.820438136580579</v>
      </c>
      <c r="CM40">
        <f t="shared" si="87"/>
        <v>31.52116836421488</v>
      </c>
      <c r="CN40">
        <f t="shared" si="36"/>
        <v>9.8503651138171495</v>
      </c>
      <c r="CO40">
        <v>0</v>
      </c>
      <c r="CP40">
        <f t="shared" si="88"/>
        <v>29.55109534145145</v>
      </c>
      <c r="CQ40">
        <f t="shared" si="38"/>
        <v>9.8503651138171495</v>
      </c>
      <c r="CR40">
        <f t="shared" si="39"/>
        <v>2.758102231868802</v>
      </c>
      <c r="CS40">
        <f>7963.6*(CL40/1000)^0.6*1.7*('CAPEX+OPEX'!$G$116/'CAPEX+OPEX'!$G$115)</f>
        <v>1113.8355435144433</v>
      </c>
      <c r="CT40">
        <f>7963.6*(CM40/1000)^0.6*1.7*('CAPEX+OPEX'!$G$116/'CAPEX+OPEX'!$G$115)</f>
        <v>2006.3297450292009</v>
      </c>
      <c r="CU40">
        <f>7963.6*(CP40/1000)^0.6*1.7*('CAPEX+OPEX'!$G$116/'CAPEX+OPEX'!$G$115)</f>
        <v>1930.1234077748645</v>
      </c>
      <c r="CV40">
        <f>7963.6*(CQ40/1000)^0.6*1.7*('CAPEX+OPEX'!$G$116/'CAPEX+OPEX'!$G$115)</f>
        <v>998.41782248861875</v>
      </c>
      <c r="CW40">
        <v>300</v>
      </c>
      <c r="CX40">
        <f t="shared" si="89"/>
        <v>30</v>
      </c>
      <c r="CY40">
        <f t="shared" si="90"/>
        <v>10</v>
      </c>
      <c r="CZ40">
        <f t="shared" si="91"/>
        <v>9.2374973309314701</v>
      </c>
      <c r="DA40">
        <f t="shared" si="92"/>
        <v>3960</v>
      </c>
      <c r="DB40">
        <f t="shared" si="93"/>
        <v>3960</v>
      </c>
      <c r="DC40">
        <f>CF40*'Reagent cost'!$C$18/1000*'Reagent cost'!$H$18</f>
        <v>4784.413580611521</v>
      </c>
      <c r="DD40">
        <f>CX40*'Ligand cost'!$B$56*'Ligand cost'!$J$56</f>
        <v>30543.831958072875</v>
      </c>
      <c r="DE40">
        <f t="shared" si="94"/>
        <v>39625.826528698344</v>
      </c>
      <c r="DF40">
        <f t="shared" si="95"/>
        <v>4586243.4239371875</v>
      </c>
      <c r="DG40">
        <f t="shared" si="96"/>
        <v>11794834.586807497</v>
      </c>
      <c r="DH40">
        <f t="shared" si="97"/>
        <v>2275209.1661185985</v>
      </c>
      <c r="DI40">
        <f t="shared" si="98"/>
        <v>14083914.336508472</v>
      </c>
      <c r="DJ40">
        <f t="shared" si="99"/>
        <v>1662824.8986326549</v>
      </c>
      <c r="DK40" s="55">
        <f>DF40*($BK$2/10000)^0.72*0.6*((A40+1)/3)^0.6*('CAPEX+OPEX'!$G$116/'CAPEX+OPEX'!$G$114)</f>
        <v>387681.53783205553</v>
      </c>
      <c r="DL40" s="55">
        <f>DG40*($BK$2/10000)^0.72*0.6*((A40+1)/3)^0.6*('CAPEX+OPEX'!$G$116/'CAPEX+OPEX'!$G$114)</f>
        <v>997033.77871790738</v>
      </c>
      <c r="DM40" s="55">
        <f>DH40*($BK$2/10000)^0.72*0.6*((A40+1)/3)^0.6*('CAPEX+OPEX'!$G$116/'CAPEX+OPEX'!$G$114)</f>
        <v>192326.59649217245</v>
      </c>
      <c r="DN40" s="55">
        <f>DI40*($BK$2/10000)^0.72*0.6*((A40+1)/3)^0.6*('CAPEX+OPEX'!$G$116/'CAPEX+OPEX'!$G$114)</f>
        <v>1190532.8749395488</v>
      </c>
      <c r="DO40" s="55">
        <f>DJ40*($BK$2/10000)^0.72*0.6*((A40+1)/3)^0.6*('CAPEX+OPEX'!$G$116/'CAPEX+OPEX'!$G$114)</f>
        <v>140560.90230246107</v>
      </c>
      <c r="DP40">
        <f t="shared" si="100"/>
        <v>2908135.6902841455</v>
      </c>
      <c r="DQ40">
        <f>DF40*(BM40/10000)^0.72*0.6*((AF40+1)/3)^0.6*('CAPEX+OPEX'!$G$116/'CAPEX+OPEX'!$G$114)</f>
        <v>530861.73431776604</v>
      </c>
      <c r="DR40">
        <f>DG40*(BM40/10000)^0.72*0.6*((AF40+1)/3)^0.6*('CAPEX+OPEX'!$G$116/'CAPEX+OPEX'!$G$114)</f>
        <v>1365262.5397211264</v>
      </c>
      <c r="DS40">
        <f>DH40*(BM40/10000)^0.72*0.6*((AF40+1)/3)^0.6*('CAPEX+OPEX'!$G$116/'CAPEX+OPEX'!$G$114)</f>
        <v>263357.47412737843</v>
      </c>
      <c r="DT40">
        <f>DI40*(BM40/10000)^0.72*0.6*((AF40+1)/3)^0.6*('CAPEX+OPEX'!$G$116/'CAPEX+OPEX'!$G$114)</f>
        <v>1630225.546171126</v>
      </c>
      <c r="DU40">
        <f>DJ40*(BM40/10000)^0.72*0.6*((AF40+1)/3)^0.6*('CAPEX+OPEX'!$G$116/'CAPEX+OPEX'!$G$114)</f>
        <v>192473.4533164161</v>
      </c>
      <c r="DV40">
        <f t="shared" si="101"/>
        <v>3982180.7476538131</v>
      </c>
      <c r="DW40">
        <f t="shared" si="102"/>
        <v>6958705.8604515176</v>
      </c>
      <c r="DX40">
        <f t="shared" si="103"/>
        <v>463913.72403010115</v>
      </c>
      <c r="DY40">
        <f>BO40*'Reagent cost'!$C$35*60*7200</f>
        <v>1062620.5711593204</v>
      </c>
      <c r="DZ40">
        <f>BP40*'Reagent cost'!$C$34*60*7200</f>
        <v>252847.08019463703</v>
      </c>
      <c r="EA40">
        <f>BQ40*'Reagent cost'!$C$14*'Reagent cost'!$C$36/1000*60*7200</f>
        <v>4191148.3317929949</v>
      </c>
      <c r="EB40">
        <f t="shared" si="104"/>
        <v>39.6</v>
      </c>
      <c r="EC40">
        <f t="shared" si="105"/>
        <v>95.688271612230423</v>
      </c>
      <c r="ED40">
        <f>0.1*BK40*60*7200*'Reagent cost'!$H$17*'Reagent cost'!$C$17/1000</f>
        <v>504921.59999999998</v>
      </c>
      <c r="EE40">
        <f>BV40*0.1*'Reagent cost'!$C$16/1000*'Reagent cost'!$H$16*60*7200</f>
        <v>1039715.5290105023</v>
      </c>
      <c r="EF40">
        <f>BZ40/1000*'Reagent cost'!$H$19*'Reagent cost'!$C$19*60*7200</f>
        <v>87358.848752533726</v>
      </c>
      <c r="EG40">
        <f>0.33*('Costing 100 Lmin Feed Orig'!BO40*'Reagent cost'!$C$13+'Costing 100 Lmin Feed Orig'!BP40*'Reagent cost'!$C$12+'Costing 100 Lmin Feed Orig'!BQ40*'Reagent cost'!$C$14+'Costing 100 Lmin Feed Orig'!BV40*0.1*'Reagent cost'!$C$16+'Costing 100 Lmin Feed Orig'!BZ40*'Reagent cost'!$C$19)/1000*60*7200</f>
        <v>178733.98860150197</v>
      </c>
      <c r="EH40">
        <f>CG40*'Reagent cost'!$C$35*60*7200</f>
        <v>1837017.9144795029</v>
      </c>
      <c r="EI40">
        <f>CH40*'Reagent cost'!$C$34*60*7200</f>
        <v>437112.38851195062</v>
      </c>
      <c r="EJ40">
        <f>CI40*'Reagent cost'!$C$14*'Reagent cost'!$C$36/1000*60*7200</f>
        <v>7245497.3832708346</v>
      </c>
      <c r="EK40">
        <f t="shared" si="106"/>
        <v>39.6</v>
      </c>
      <c r="EL40">
        <f t="shared" si="107"/>
        <v>610.87663916145755</v>
      </c>
      <c r="EM40">
        <f>0.1*BM40*60*7200*'Reagent cost'!$H$17*'Reagent cost'!$C$17/1000</f>
        <v>466421.19323296467</v>
      </c>
      <c r="EN40">
        <f>CN40*0.1*'Reagent cost'!$C$16/1000*'Reagent cost'!$H$16*60*7200</f>
        <v>1797420.5512236976</v>
      </c>
      <c r="EO40">
        <f>CR40/1000*'Reagent cost'!$H$19*'Reagent cost'!$C$19*60*7200</f>
        <v>151022.64580820812</v>
      </c>
      <c r="EP40">
        <f>0.33*(CG40*'Reagent cost'!$C$13+CH40*'Reagent cost'!$C$12+CI40*'Reagent cost'!$C$14+CN40*0.1*'Reagent cost'!$C$16+CR40*'Reagent cost'!$C$19)/1000*60*7200</f>
        <v>308988.50248035172</v>
      </c>
      <c r="EQ40">
        <f t="shared" si="108"/>
        <v>22888667.762817506</v>
      </c>
      <c r="ER40">
        <f t="shared" si="109"/>
        <v>487722.49108185369</v>
      </c>
      <c r="ES40">
        <f t="shared" si="110"/>
        <v>35776.359048024235</v>
      </c>
      <c r="ET40">
        <f t="shared" si="111"/>
        <v>29068.269280606211</v>
      </c>
      <c r="EU40">
        <f t="shared" si="112"/>
        <v>12307.130138966339</v>
      </c>
      <c r="EV40">
        <f t="shared" si="113"/>
        <v>6519.4301878820042</v>
      </c>
      <c r="EW40">
        <f t="shared" si="114"/>
        <v>6563.8027407820491</v>
      </c>
      <c r="EX40">
        <f t="shared" si="115"/>
        <v>90234.991396260841</v>
      </c>
      <c r="EY40">
        <f t="shared" si="56"/>
        <v>48864.08641417139</v>
      </c>
      <c r="EZ40">
        <f t="shared" si="57"/>
        <v>50440.454363230172</v>
      </c>
      <c r="FA40">
        <f t="shared" si="58"/>
        <v>21355.837532819231</v>
      </c>
      <c r="FB40">
        <f t="shared" si="59"/>
        <v>11319.065527747925</v>
      </c>
      <c r="FC40">
        <f t="shared" si="60"/>
        <v>11389.780017503586</v>
      </c>
      <c r="FD40">
        <f t="shared" si="116"/>
        <v>143369.22385547232</v>
      </c>
      <c r="FE40">
        <f t="shared" si="117"/>
        <v>23609994.469151091</v>
      </c>
      <c r="FF40">
        <f t="shared" si="118"/>
        <v>24073908.193181191</v>
      </c>
      <c r="FG40">
        <f>BM40*AM40*195.08/1000*'PGM market prices'!$C$2*60*7200</f>
        <v>423434787.97651207</v>
      </c>
      <c r="FH40">
        <f>BN40*AQ40*BA40*106.42/1000*'PGM market prices'!$C$3*60*7200</f>
        <v>222331859.16429773</v>
      </c>
      <c r="FI40">
        <f>BK40*J40*102.91/1000*'PGM market prices'!$C$4*60*7200</f>
        <v>247042670.24640098</v>
      </c>
      <c r="FJ40">
        <f t="shared" si="119"/>
        <v>892809317.38721073</v>
      </c>
      <c r="FK40">
        <f t="shared" si="120"/>
        <v>642864202.80358183</v>
      </c>
      <c r="FL40">
        <f t="shared" si="64"/>
        <v>0.55726639336067574</v>
      </c>
      <c r="FM40">
        <f t="shared" si="65"/>
        <v>1917.6995187695372</v>
      </c>
      <c r="FN40">
        <f t="shared" si="66"/>
        <v>3565.5979939375238</v>
      </c>
      <c r="FO40">
        <f t="shared" si="67"/>
        <v>16073.73318618446</v>
      </c>
    </row>
    <row r="41" spans="1:171">
      <c r="A41">
        <v>6</v>
      </c>
      <c r="B41">
        <v>1.54143585092054E-3</v>
      </c>
      <c r="C41">
        <v>1.54143585092054E-3</v>
      </c>
      <c r="D41">
        <v>3.4254130020456501E-4</v>
      </c>
      <c r="E41">
        <v>0</v>
      </c>
      <c r="F41">
        <v>0</v>
      </c>
      <c r="G41">
        <v>0</v>
      </c>
      <c r="H41" s="53">
        <v>1.7693893431643E-5</v>
      </c>
      <c r="I41" s="53">
        <v>3.7175600603836103E-8</v>
      </c>
      <c r="J41">
        <v>3.36890310328726E-4</v>
      </c>
      <c r="K41">
        <v>0.133710118829723</v>
      </c>
      <c r="L41">
        <v>0.13525951632913</v>
      </c>
      <c r="M41">
        <v>4.9588089642288804E-4</v>
      </c>
      <c r="N41" s="53">
        <v>-1.72886878424538E-14</v>
      </c>
      <c r="O41" s="53">
        <v>-1.05961268405396E-12</v>
      </c>
      <c r="P41" s="53">
        <v>-9.6595637304880395E-18</v>
      </c>
      <c r="Q41">
        <v>0.11395861217105201</v>
      </c>
      <c r="R41">
        <v>98.3502748800029</v>
      </c>
      <c r="S41">
        <v>500</v>
      </c>
      <c r="T41">
        <v>95</v>
      </c>
      <c r="U41">
        <v>1</v>
      </c>
      <c r="V41">
        <v>0.1</v>
      </c>
      <c r="W41">
        <v>87.751156402202497</v>
      </c>
      <c r="X41" t="s">
        <v>323</v>
      </c>
      <c r="Y41">
        <v>1</v>
      </c>
      <c r="Z41">
        <v>0.28318429382522198</v>
      </c>
      <c r="AA41">
        <v>0.56945642916197003</v>
      </c>
      <c r="AB41">
        <v>3.7698628972227502E-3</v>
      </c>
      <c r="AC41">
        <v>1822.2107908876901</v>
      </c>
      <c r="AD41">
        <v>2662.6059073104898</v>
      </c>
      <c r="AE41">
        <v>2401.5030938442701</v>
      </c>
      <c r="AF41">
        <v>13</v>
      </c>
      <c r="AG41">
        <v>1.64951815726537E-3</v>
      </c>
      <c r="AH41">
        <v>1.6686323374819601E-3</v>
      </c>
      <c r="AI41" s="53">
        <v>6.1174468293775103E-6</v>
      </c>
      <c r="AJ41">
        <v>0</v>
      </c>
      <c r="AK41">
        <v>0</v>
      </c>
      <c r="AL41">
        <v>0</v>
      </c>
      <c r="AM41">
        <v>1.6125577940565899E-3</v>
      </c>
      <c r="AN41" s="53">
        <v>7.87942672646522E-5</v>
      </c>
      <c r="AO41" s="53">
        <v>6.0771955804315697E-6</v>
      </c>
      <c r="AP41">
        <v>1.73304187149951E-3</v>
      </c>
      <c r="AQ41">
        <v>7.4546235626165996E-2</v>
      </c>
      <c r="AR41" s="53">
        <v>1.8873488718012801E-6</v>
      </c>
      <c r="AS41" s="53">
        <v>3.5914196963582301E-19</v>
      </c>
      <c r="AT41" s="53">
        <v>-3.7730235602495499E-17</v>
      </c>
      <c r="AU41" s="53">
        <v>-5.6910026143648304E-22</v>
      </c>
      <c r="AV41">
        <v>0.197006928745454</v>
      </c>
      <c r="AW41">
        <v>99.342025356842598</v>
      </c>
      <c r="AX41">
        <v>500</v>
      </c>
      <c r="AY41">
        <v>95</v>
      </c>
      <c r="AZ41">
        <v>0.92374973309314701</v>
      </c>
      <c r="BA41">
        <v>0.1</v>
      </c>
      <c r="BB41">
        <v>46.889200241616201</v>
      </c>
      <c r="BC41" t="s">
        <v>251</v>
      </c>
      <c r="BD41">
        <v>1</v>
      </c>
      <c r="BE41">
        <v>1.8775014999999999E-2</v>
      </c>
      <c r="BF41">
        <v>0.10492961100000001</v>
      </c>
      <c r="BG41">
        <v>1.814625E-3</v>
      </c>
      <c r="BH41">
        <v>285.1951444</v>
      </c>
      <c r="BI41">
        <v>2169.8944889999998</v>
      </c>
      <c r="BJ41">
        <v>866.49409060000005</v>
      </c>
      <c r="BK41">
        <f t="shared" si="68"/>
        <v>100</v>
      </c>
      <c r="BL41">
        <f t="shared" si="69"/>
        <v>11.395861217105201</v>
      </c>
      <c r="BM41">
        <f t="shared" si="70"/>
        <v>92.374973309314697</v>
      </c>
      <c r="BN41">
        <f t="shared" si="71"/>
        <v>19.7006928745454</v>
      </c>
      <c r="BO41">
        <f t="shared" si="72"/>
        <v>4.1025100381578721</v>
      </c>
      <c r="BP41">
        <f t="shared" si="73"/>
        <v>0.27350066921052485</v>
      </c>
      <c r="BQ41">
        <f t="shared" si="74"/>
        <v>1.367503346052624</v>
      </c>
      <c r="BR41">
        <f t="shared" si="75"/>
        <v>0.68375167302631201</v>
      </c>
      <c r="BS41">
        <f t="shared" si="76"/>
        <v>1.1395861217105201</v>
      </c>
      <c r="BT41">
        <f t="shared" si="77"/>
        <v>6.837516730263121</v>
      </c>
      <c r="BU41">
        <f t="shared" si="78"/>
        <v>18.233377947368322</v>
      </c>
      <c r="BV41">
        <f t="shared" si="31"/>
        <v>5.6979306085525998</v>
      </c>
      <c r="BW41">
        <f t="shared" si="79"/>
        <v>86.677042700762101</v>
      </c>
      <c r="BX41">
        <f t="shared" si="80"/>
        <v>103.7708345264199</v>
      </c>
      <c r="BY41">
        <f t="shared" si="33"/>
        <v>92.374973309314697</v>
      </c>
      <c r="BZ41">
        <f t="shared" si="34"/>
        <v>1.595420570394728</v>
      </c>
      <c r="CA41">
        <f>7963.6*(BT41/1000)^0.6*1.7*('CAPEX+OPEX'!$G$116/'CAPEX+OPEX'!$G$115)</f>
        <v>802.01034286435458</v>
      </c>
      <c r="CB41">
        <f>7963.6*(BU41/1000)^0.6*1.7*('CAPEX+OPEX'!$G$116/'CAPEX+OPEX'!$G$115)</f>
        <v>1444.645231586612</v>
      </c>
      <c r="CC41">
        <f>7963.6*(BX41/1000)^0.6*1.7*('CAPEX+OPEX'!$G$116/'CAPEX+OPEX'!$G$115)</f>
        <v>4100.9654786569836</v>
      </c>
      <c r="CD41">
        <f>7963.6*(BY41/1000)^0.6*1.7*('CAPEX+OPEX'!$G$116/'CAPEX+OPEX'!$G$115)</f>
        <v>3824.4899446699064</v>
      </c>
      <c r="CE41">
        <v>300</v>
      </c>
      <c r="CF41">
        <v>30</v>
      </c>
      <c r="CG41">
        <f t="shared" si="81"/>
        <v>7.0922494348363436</v>
      </c>
      <c r="CH41">
        <f t="shared" si="82"/>
        <v>0.4728166289890896</v>
      </c>
      <c r="CI41">
        <f t="shared" si="83"/>
        <v>2.364083144945448</v>
      </c>
      <c r="CJ41">
        <f t="shared" si="84"/>
        <v>1.182041572472724</v>
      </c>
      <c r="CK41">
        <f t="shared" si="85"/>
        <v>1.97006928745454</v>
      </c>
      <c r="CL41">
        <f t="shared" si="86"/>
        <v>11.820415724727239</v>
      </c>
      <c r="CM41">
        <f t="shared" si="87"/>
        <v>31.52110859927264</v>
      </c>
      <c r="CN41">
        <f t="shared" si="36"/>
        <v>9.8503464372726999</v>
      </c>
      <c r="CO41">
        <v>0</v>
      </c>
      <c r="CP41">
        <f t="shared" si="88"/>
        <v>29.551039311818101</v>
      </c>
      <c r="CQ41">
        <f t="shared" si="38"/>
        <v>9.8503464372726999</v>
      </c>
      <c r="CR41">
        <f t="shared" si="39"/>
        <v>2.7580970024363558</v>
      </c>
      <c r="CS41">
        <f>7963.6*(CL41/1000)^0.6*1.7*('CAPEX+OPEX'!$G$116/'CAPEX+OPEX'!$G$115)</f>
        <v>1113.8342763975379</v>
      </c>
      <c r="CT41">
        <f>7963.6*(CM41/1000)^0.6*1.7*('CAPEX+OPEX'!$G$116/'CAPEX+OPEX'!$G$115)</f>
        <v>2006.327462596797</v>
      </c>
      <c r="CU41">
        <f>7963.6*(CP41/1000)^0.6*1.7*('CAPEX+OPEX'!$G$116/'CAPEX+OPEX'!$G$115)</f>
        <v>1930.1212120359933</v>
      </c>
      <c r="CV41">
        <f>7963.6*(CQ41/1000)^0.6*1.7*('CAPEX+OPEX'!$G$116/'CAPEX+OPEX'!$G$115)</f>
        <v>998.41668667273564</v>
      </c>
      <c r="CW41">
        <v>300</v>
      </c>
      <c r="CX41">
        <f t="shared" si="89"/>
        <v>30</v>
      </c>
      <c r="CY41">
        <f t="shared" si="90"/>
        <v>10</v>
      </c>
      <c r="CZ41">
        <f t="shared" si="91"/>
        <v>9.2374973309314701</v>
      </c>
      <c r="DA41">
        <f t="shared" si="92"/>
        <v>3960</v>
      </c>
      <c r="DB41">
        <f t="shared" si="93"/>
        <v>3960</v>
      </c>
      <c r="DC41">
        <f>CF41*'Reagent cost'!$C$18/1000*'Reagent cost'!$H$18</f>
        <v>4784.413580611521</v>
      </c>
      <c r="DD41">
        <f>CX41*'Ligand cost'!$B$56*'Ligand cost'!$J$56</f>
        <v>30543.831958072875</v>
      </c>
      <c r="DE41">
        <f t="shared" si="94"/>
        <v>39625.826528698344</v>
      </c>
      <c r="DF41">
        <f t="shared" si="95"/>
        <v>4586243.4239371875</v>
      </c>
      <c r="DG41">
        <f t="shared" si="96"/>
        <v>11794834.586807497</v>
      </c>
      <c r="DH41">
        <f t="shared" si="97"/>
        <v>2275209.1661185985</v>
      </c>
      <c r="DI41">
        <f t="shared" si="98"/>
        <v>14083914.336508472</v>
      </c>
      <c r="DJ41">
        <f t="shared" si="99"/>
        <v>1662824.8986326549</v>
      </c>
      <c r="DK41" s="55">
        <f>DF41*($BK$2/10000)^0.72*0.6*((A41+1)/3)^0.6*('CAPEX+OPEX'!$G$116/'CAPEX+OPEX'!$G$114)</f>
        <v>387681.53783205553</v>
      </c>
      <c r="DL41" s="55">
        <f>DG41*($BK$2/10000)^0.72*0.6*((A41+1)/3)^0.6*('CAPEX+OPEX'!$G$116/'CAPEX+OPEX'!$G$114)</f>
        <v>997033.77871790738</v>
      </c>
      <c r="DM41" s="55">
        <f>DH41*($BK$2/10000)^0.72*0.6*((A41+1)/3)^0.6*('CAPEX+OPEX'!$G$116/'CAPEX+OPEX'!$G$114)</f>
        <v>192326.59649217245</v>
      </c>
      <c r="DN41" s="55">
        <f>DI41*($BK$2/10000)^0.72*0.6*((A41+1)/3)^0.6*('CAPEX+OPEX'!$G$116/'CAPEX+OPEX'!$G$114)</f>
        <v>1190532.8749395488</v>
      </c>
      <c r="DO41" s="55">
        <f>DJ41*($BK$2/10000)^0.72*0.6*((A41+1)/3)^0.6*('CAPEX+OPEX'!$G$116/'CAPEX+OPEX'!$G$114)</f>
        <v>140560.90230246107</v>
      </c>
      <c r="DP41">
        <f t="shared" si="100"/>
        <v>2908135.6902841455</v>
      </c>
      <c r="DQ41">
        <f>DF41*(BM41/10000)^0.72*0.6*((AF41+1)/3)^0.6*('CAPEX+OPEX'!$G$116/'CAPEX+OPEX'!$G$114)</f>
        <v>554999.03959121637</v>
      </c>
      <c r="DR41">
        <f>DG41*(BM41/10000)^0.72*0.6*((AF41+1)/3)^0.6*('CAPEX+OPEX'!$G$116/'CAPEX+OPEX'!$G$114)</f>
        <v>1427338.5127463914</v>
      </c>
      <c r="DS41">
        <f>DH41*(BM41/10000)^0.72*0.6*((AF41+1)/3)^0.6*('CAPEX+OPEX'!$G$116/'CAPEX+OPEX'!$G$114)</f>
        <v>275331.8534019115</v>
      </c>
      <c r="DT41">
        <f>DI41*(BM41/10000)^0.72*0.6*((AF41+1)/3)^0.6*('CAPEX+OPEX'!$G$116/'CAPEX+OPEX'!$G$114)</f>
        <v>1704348.8990684284</v>
      </c>
      <c r="DU41">
        <f>DJ41*(BM41/10000)^0.72*0.6*((AF41+1)/3)^0.6*('CAPEX+OPEX'!$G$116/'CAPEX+OPEX'!$G$114)</f>
        <v>201224.86672485105</v>
      </c>
      <c r="DV41">
        <f t="shared" si="101"/>
        <v>4163243.171532799</v>
      </c>
      <c r="DW41">
        <f t="shared" si="102"/>
        <v>7139768.2764172349</v>
      </c>
      <c r="DX41">
        <f t="shared" si="103"/>
        <v>475984.55176114902</v>
      </c>
      <c r="DY41">
        <f>BO41*'Reagent cost'!$C$35*60*7200</f>
        <v>1062620.5711593204</v>
      </c>
      <c r="DZ41">
        <f>BP41*'Reagent cost'!$C$34*60*7200</f>
        <v>252847.08019463703</v>
      </c>
      <c r="EA41">
        <f>BQ41*'Reagent cost'!$C$14*'Reagent cost'!$C$36/1000*60*7200</f>
        <v>4191148.3317929949</v>
      </c>
      <c r="EB41">
        <f t="shared" si="104"/>
        <v>39.6</v>
      </c>
      <c r="EC41">
        <f t="shared" si="105"/>
        <v>95.688271612230423</v>
      </c>
      <c r="ED41">
        <f>0.1*BK41*60*7200*'Reagent cost'!$H$17*'Reagent cost'!$C$17/1000</f>
        <v>504921.59999999998</v>
      </c>
      <c r="EE41">
        <f>BV41*0.1*'Reagent cost'!$C$16/1000*'Reagent cost'!$H$16*60*7200</f>
        <v>1039715.5290105023</v>
      </c>
      <c r="EF41">
        <f>BZ41/1000*'Reagent cost'!$H$19*'Reagent cost'!$C$19*60*7200</f>
        <v>87358.848752533726</v>
      </c>
      <c r="EG41">
        <f>0.33*('Costing 100 Lmin Feed Orig'!BO41*'Reagent cost'!$C$13+'Costing 100 Lmin Feed Orig'!BP41*'Reagent cost'!$C$12+'Costing 100 Lmin Feed Orig'!BQ41*'Reagent cost'!$C$14+'Costing 100 Lmin Feed Orig'!BV41*0.1*'Reagent cost'!$C$16+'Costing 100 Lmin Feed Orig'!BZ41*'Reagent cost'!$C$19)/1000*60*7200</f>
        <v>178733.98860150197</v>
      </c>
      <c r="EH41">
        <f>CG41*'Reagent cost'!$C$35*60*7200</f>
        <v>1837014.4314465048</v>
      </c>
      <c r="EI41">
        <f>CH41*'Reagent cost'!$C$34*60*7200</f>
        <v>437111.55973567086</v>
      </c>
      <c r="EJ41">
        <f>CI41*'Reagent cost'!$C$14*'Reagent cost'!$C$36/1000*60*7200</f>
        <v>7245483.6456222935</v>
      </c>
      <c r="EK41">
        <f t="shared" si="106"/>
        <v>39.6</v>
      </c>
      <c r="EL41">
        <f t="shared" si="107"/>
        <v>610.87663916145755</v>
      </c>
      <c r="EM41">
        <f>0.1*BM41*60*7200*'Reagent cost'!$H$17*'Reagent cost'!$C$17/1000</f>
        <v>466421.19323296467</v>
      </c>
      <c r="EN41">
        <f>CN41*0.1*'Reagent cost'!$C$16/1000*'Reagent cost'!$H$16*60*7200</f>
        <v>1797417.1432683137</v>
      </c>
      <c r="EO41">
        <f>CR41/1000*'Reagent cost'!$H$19*'Reagent cost'!$C$19*60*7200</f>
        <v>151022.35946540511</v>
      </c>
      <c r="EP41">
        <f>0.33*(CG41*'Reagent cost'!$C$13+CH41*'Reagent cost'!$C$12+CI41*'Reagent cost'!$C$14+CN41*0.1*'Reagent cost'!$C$16+CR41*'Reagent cost'!$C$19)/1000*60*7200</f>
        <v>308987.91663024016</v>
      </c>
      <c r="EQ41">
        <f t="shared" si="108"/>
        <v>22888641.670310296</v>
      </c>
      <c r="ER41">
        <f t="shared" si="109"/>
        <v>487721.90523174213</v>
      </c>
      <c r="ES41">
        <f t="shared" si="110"/>
        <v>35776.359048024235</v>
      </c>
      <c r="ET41">
        <f t="shared" si="111"/>
        <v>29068.269280606211</v>
      </c>
      <c r="EU41">
        <f t="shared" si="112"/>
        <v>12307.130138966339</v>
      </c>
      <c r="EV41">
        <f t="shared" si="113"/>
        <v>6519.4301878820042</v>
      </c>
      <c r="EW41">
        <f t="shared" si="114"/>
        <v>6563.8027407820491</v>
      </c>
      <c r="EX41">
        <f t="shared" si="115"/>
        <v>90234.991396260841</v>
      </c>
      <c r="EY41">
        <f t="shared" si="56"/>
        <v>51435.880435969884</v>
      </c>
      <c r="EZ41">
        <f t="shared" si="57"/>
        <v>54320.489314247861</v>
      </c>
      <c r="FA41">
        <f t="shared" si="58"/>
        <v>22998.59426611301</v>
      </c>
      <c r="FB41">
        <f t="shared" si="59"/>
        <v>12189.762876036224</v>
      </c>
      <c r="FC41">
        <f t="shared" si="60"/>
        <v>12265.916941926936</v>
      </c>
      <c r="FD41">
        <f t="shared" si="116"/>
        <v>153210.64383429391</v>
      </c>
      <c r="FE41">
        <f t="shared" si="117"/>
        <v>23619809.210772589</v>
      </c>
      <c r="FF41">
        <f t="shared" si="118"/>
        <v>24095793.762533739</v>
      </c>
      <c r="FG41">
        <f>BM41*AM41*195.08/1000*'PGM market prices'!$C$2*60*7200</f>
        <v>423434853.9069314</v>
      </c>
      <c r="FH41">
        <f>BN41*AQ41*BA41*106.42/1000*'PGM market prices'!$C$3*60*7200</f>
        <v>222331857.34185311</v>
      </c>
      <c r="FI41">
        <f>BK41*J41*102.91/1000*'PGM market prices'!$C$4*60*7200</f>
        <v>247042670.24640098</v>
      </c>
      <c r="FJ41">
        <f t="shared" si="119"/>
        <v>892809381.49518549</v>
      </c>
      <c r="FK41">
        <f t="shared" si="120"/>
        <v>642848054.92216229</v>
      </c>
      <c r="FL41">
        <f t="shared" si="64"/>
        <v>0.55777300376235506</v>
      </c>
      <c r="FM41">
        <f t="shared" si="65"/>
        <v>1919.442598897635</v>
      </c>
      <c r="FN41">
        <f t="shared" si="66"/>
        <v>3568.8395052784522</v>
      </c>
      <c r="FO41">
        <f t="shared" si="67"/>
        <v>16088.345803279188</v>
      </c>
    </row>
    <row r="42" spans="1:171">
      <c r="A42">
        <v>7</v>
      </c>
      <c r="B42">
        <v>1.54143585092054E-3</v>
      </c>
      <c r="C42">
        <v>1.54143585092054E-3</v>
      </c>
      <c r="D42">
        <v>3.4254130020456501E-4</v>
      </c>
      <c r="E42">
        <v>0</v>
      </c>
      <c r="F42">
        <v>0</v>
      </c>
      <c r="G42">
        <v>0</v>
      </c>
      <c r="H42" s="53">
        <v>1.7744466230058299E-5</v>
      </c>
      <c r="I42" s="53">
        <v>1.2927742824924801E-8</v>
      </c>
      <c r="J42">
        <v>3.3739048286900598E-4</v>
      </c>
      <c r="K42">
        <v>0.13716795306346499</v>
      </c>
      <c r="L42">
        <v>0.138764207307677</v>
      </c>
      <c r="M42">
        <v>4.6369433969460899E-4</v>
      </c>
      <c r="N42" s="53">
        <v>-1.1037178115902399E-16</v>
      </c>
      <c r="O42" s="53">
        <v>-5.3700533603207003E-15</v>
      </c>
      <c r="P42" s="53">
        <v>-3.4304834363799101E-19</v>
      </c>
      <c r="Q42">
        <v>0.111082169753281</v>
      </c>
      <c r="R42">
        <v>98.496293050653193</v>
      </c>
      <c r="S42">
        <v>500</v>
      </c>
      <c r="T42">
        <v>95</v>
      </c>
      <c r="U42">
        <v>1</v>
      </c>
      <c r="V42">
        <v>0.1</v>
      </c>
      <c r="W42">
        <v>90.023448607553206</v>
      </c>
      <c r="X42" t="s">
        <v>323</v>
      </c>
      <c r="Y42">
        <v>1</v>
      </c>
      <c r="Z42">
        <v>0.28318429382522198</v>
      </c>
      <c r="AA42">
        <v>0.56945642916197003</v>
      </c>
      <c r="AB42">
        <v>3.7698628972227502E-3</v>
      </c>
      <c r="AC42">
        <v>1822.2107908876901</v>
      </c>
      <c r="AD42">
        <v>2662.6059073104898</v>
      </c>
      <c r="AE42">
        <v>2401.5030938442701</v>
      </c>
      <c r="AF42">
        <v>4</v>
      </c>
      <c r="AG42">
        <v>1.64967327652189E-3</v>
      </c>
      <c r="AH42">
        <v>1.66887089455438E-3</v>
      </c>
      <c r="AI42" s="53">
        <v>5.5766973522943398E-6</v>
      </c>
      <c r="AJ42">
        <v>0</v>
      </c>
      <c r="AK42">
        <v>0</v>
      </c>
      <c r="AL42">
        <v>0</v>
      </c>
      <c r="AM42">
        <v>1.6047223792851101E-3</v>
      </c>
      <c r="AN42" s="53">
        <v>7.8926667299838998E-5</v>
      </c>
      <c r="AO42" s="53">
        <v>5.5324052965634797E-6</v>
      </c>
      <c r="AP42">
        <v>1.9882830340612E-3</v>
      </c>
      <c r="AQ42">
        <v>7.0326941752228797E-2</v>
      </c>
      <c r="AR42" s="53">
        <v>1.9591409371835302E-6</v>
      </c>
      <c r="AS42" s="53">
        <v>-9.7615058397559906E-15</v>
      </c>
      <c r="AT42" s="53">
        <v>-1.25855922905593E-13</v>
      </c>
      <c r="AU42" s="53">
        <v>-3.2733654421091398E-18</v>
      </c>
      <c r="AV42">
        <v>0.20881381645079999</v>
      </c>
      <c r="AW42">
        <v>99.205765474925002</v>
      </c>
      <c r="AX42">
        <v>500</v>
      </c>
      <c r="AY42">
        <v>95</v>
      </c>
      <c r="AZ42">
        <v>0.92363221637625403</v>
      </c>
      <c r="BA42">
        <v>0.1</v>
      </c>
      <c r="BB42">
        <v>44.232332518757197</v>
      </c>
      <c r="BC42" t="s">
        <v>251</v>
      </c>
      <c r="BD42">
        <v>1</v>
      </c>
      <c r="BE42">
        <v>1.8775014999999999E-2</v>
      </c>
      <c r="BF42">
        <v>0.10492961100000001</v>
      </c>
      <c r="BG42">
        <v>1.814625E-3</v>
      </c>
      <c r="BH42">
        <v>285.1951444</v>
      </c>
      <c r="BI42">
        <v>2169.8944889999998</v>
      </c>
      <c r="BJ42">
        <v>866.49409060000005</v>
      </c>
      <c r="BK42">
        <f t="shared" si="68"/>
        <v>100</v>
      </c>
      <c r="BL42">
        <f t="shared" si="69"/>
        <v>11.1082169753281</v>
      </c>
      <c r="BM42">
        <f t="shared" si="70"/>
        <v>92.363221637625401</v>
      </c>
      <c r="BN42">
        <f t="shared" si="71"/>
        <v>20.881381645079998</v>
      </c>
      <c r="BO42">
        <f t="shared" si="72"/>
        <v>3.9989581111181156</v>
      </c>
      <c r="BP42">
        <f t="shared" si="73"/>
        <v>0.2665972074078744</v>
      </c>
      <c r="BQ42">
        <f t="shared" si="74"/>
        <v>1.332986037039372</v>
      </c>
      <c r="BR42">
        <f t="shared" si="75"/>
        <v>0.66649301851968601</v>
      </c>
      <c r="BS42">
        <f t="shared" si="76"/>
        <v>1.11082169753281</v>
      </c>
      <c r="BT42">
        <f t="shared" si="77"/>
        <v>6.6649301851968596</v>
      </c>
      <c r="BU42">
        <f t="shared" si="78"/>
        <v>17.77314716052496</v>
      </c>
      <c r="BV42">
        <f t="shared" si="31"/>
        <v>5.5541084876640499</v>
      </c>
      <c r="BW42">
        <f t="shared" si="79"/>
        <v>86.809113149961348</v>
      </c>
      <c r="BX42">
        <f t="shared" si="80"/>
        <v>103.47143861295351</v>
      </c>
      <c r="BY42">
        <f t="shared" si="33"/>
        <v>92.363221637625401</v>
      </c>
      <c r="BZ42">
        <f t="shared" si="34"/>
        <v>1.555150376545934</v>
      </c>
      <c r="CA42">
        <f>7963.6*(BT42/1000)^0.6*1.7*('CAPEX+OPEX'!$G$116/'CAPEX+OPEX'!$G$115)</f>
        <v>789.80211173988403</v>
      </c>
      <c r="CB42">
        <f>7963.6*(BU42/1000)^0.6*1.7*('CAPEX+OPEX'!$G$116/'CAPEX+OPEX'!$G$115)</f>
        <v>1422.6547883997009</v>
      </c>
      <c r="CC42">
        <f>7963.6*(BX42/1000)^0.6*1.7*('CAPEX+OPEX'!$G$116/'CAPEX+OPEX'!$G$115)</f>
        <v>4093.8622010078388</v>
      </c>
      <c r="CD42">
        <f>7963.6*(BY42/1000)^0.6*1.7*('CAPEX+OPEX'!$G$116/'CAPEX+OPEX'!$G$115)</f>
        <v>3824.1980130425482</v>
      </c>
      <c r="CE42">
        <v>300</v>
      </c>
      <c r="CF42">
        <v>30</v>
      </c>
      <c r="CG42">
        <f t="shared" si="81"/>
        <v>7.5172973922287989</v>
      </c>
      <c r="CH42">
        <f t="shared" si="82"/>
        <v>0.50115315948191996</v>
      </c>
      <c r="CI42">
        <f t="shared" si="83"/>
        <v>2.5057657974095995</v>
      </c>
      <c r="CJ42">
        <f t="shared" si="84"/>
        <v>1.2528828987047997</v>
      </c>
      <c r="CK42">
        <f t="shared" si="85"/>
        <v>2.0881381645079999</v>
      </c>
      <c r="CL42">
        <f t="shared" si="86"/>
        <v>12.528828987047998</v>
      </c>
      <c r="CM42">
        <f t="shared" si="87"/>
        <v>33.410210632127999</v>
      </c>
      <c r="CN42">
        <f t="shared" si="36"/>
        <v>10.440690822539999</v>
      </c>
      <c r="CO42">
        <v>0</v>
      </c>
      <c r="CP42">
        <f t="shared" si="88"/>
        <v>31.322072467619996</v>
      </c>
      <c r="CQ42">
        <f t="shared" si="38"/>
        <v>10.440690822539999</v>
      </c>
      <c r="CR42">
        <f t="shared" si="39"/>
        <v>2.9233934303111999</v>
      </c>
      <c r="CS42">
        <f>7963.6*(CL42/1000)^0.6*1.7*('CAPEX+OPEX'!$G$116/'CAPEX+OPEX'!$G$115)</f>
        <v>1153.4193067758954</v>
      </c>
      <c r="CT42">
        <f>7963.6*(CM42/1000)^0.6*1.7*('CAPEX+OPEX'!$G$116/'CAPEX+OPEX'!$G$115)</f>
        <v>2077.6311881498445</v>
      </c>
      <c r="CU42">
        <f>7963.6*(CP42/1000)^0.6*1.7*('CAPEX+OPEX'!$G$116/'CAPEX+OPEX'!$G$115)</f>
        <v>1998.7166112182394</v>
      </c>
      <c r="CV42">
        <f>7963.6*(CQ42/1000)^0.6*1.7*('CAPEX+OPEX'!$G$116/'CAPEX+OPEX'!$G$115)</f>
        <v>1033.899842210044</v>
      </c>
      <c r="CW42">
        <v>300</v>
      </c>
      <c r="CX42">
        <f t="shared" si="89"/>
        <v>30</v>
      </c>
      <c r="CY42">
        <f t="shared" si="90"/>
        <v>10</v>
      </c>
      <c r="CZ42">
        <f t="shared" si="91"/>
        <v>9.2363221637625408</v>
      </c>
      <c r="DA42">
        <f t="shared" si="92"/>
        <v>3960</v>
      </c>
      <c r="DB42">
        <f t="shared" si="93"/>
        <v>3960</v>
      </c>
      <c r="DC42">
        <f>CF42*'Reagent cost'!$C$18/1000*'Reagent cost'!$H$18</f>
        <v>4784.413580611521</v>
      </c>
      <c r="DD42">
        <f>CX42*'Ligand cost'!$B$56*'Ligand cost'!$J$56</f>
        <v>30543.831958072875</v>
      </c>
      <c r="DE42">
        <f t="shared" si="94"/>
        <v>39625.826528698344</v>
      </c>
      <c r="DF42">
        <f t="shared" si="95"/>
        <v>4586243.4239371875</v>
      </c>
      <c r="DG42">
        <f t="shared" si="96"/>
        <v>11794834.586807497</v>
      </c>
      <c r="DH42">
        <f t="shared" si="97"/>
        <v>2275209.1661185985</v>
      </c>
      <c r="DI42">
        <f t="shared" si="98"/>
        <v>14083914.336508472</v>
      </c>
      <c r="DJ42">
        <f t="shared" si="99"/>
        <v>1662824.8986326549</v>
      </c>
      <c r="DK42" s="55">
        <f>DF42*($BK$2/10000)^0.72*0.6*((A42+1)/3)^0.6*('CAPEX+OPEX'!$G$116/'CAPEX+OPEX'!$G$114)</f>
        <v>420020.3066987202</v>
      </c>
      <c r="DL42" s="55">
        <f>DG42*($BK$2/10000)^0.72*0.6*((A42+1)/3)^0.6*('CAPEX+OPEX'!$G$116/'CAPEX+OPEX'!$G$114)</f>
        <v>1080202.1573374313</v>
      </c>
      <c r="DM42" s="55">
        <f>DH42*($BK$2/10000)^0.72*0.6*((A42+1)/3)^0.6*('CAPEX+OPEX'!$G$116/'CAPEX+OPEX'!$G$114)</f>
        <v>208369.67500876408</v>
      </c>
      <c r="DN42" s="55">
        <f>DI42*($BK$2/10000)^0.72*0.6*((A42+1)/3)^0.6*('CAPEX+OPEX'!$G$116/'CAPEX+OPEX'!$G$114)</f>
        <v>1289842.1370884064</v>
      </c>
      <c r="DO42" s="55">
        <f>DJ42*($BK$2/10000)^0.72*0.6*((A42+1)/3)^0.6*('CAPEX+OPEX'!$G$116/'CAPEX+OPEX'!$G$114)</f>
        <v>152285.9035926135</v>
      </c>
      <c r="DP42">
        <f t="shared" si="100"/>
        <v>3150720.1797259357</v>
      </c>
      <c r="DQ42">
        <f>DF42*(BM42/10000)^0.72*0.6*((AF42+1)/3)^0.6*('CAPEX+OPEX'!$G$116/'CAPEX+OPEX'!$G$114)</f>
        <v>299197.27273445751</v>
      </c>
      <c r="DR42">
        <f>DG42*(BM42/10000)^0.72*0.6*((AF42+1)/3)^0.6*('CAPEX+OPEX'!$G$116/'CAPEX+OPEX'!$G$114)</f>
        <v>769471.22394504352</v>
      </c>
      <c r="DS42">
        <f>DH42*(BM42/10000)^0.72*0.6*((AF42+1)/3)^0.6*('CAPEX+OPEX'!$G$116/'CAPEX+OPEX'!$G$114)</f>
        <v>148430.05799694927</v>
      </c>
      <c r="DT42">
        <f>DI42*(BM42/10000)^0.72*0.6*((AF42+1)/3)^0.6*('CAPEX+OPEX'!$G$116/'CAPEX+OPEX'!$G$114)</f>
        <v>918806.17084462324</v>
      </c>
      <c r="DU42">
        <f>DJ42*(BM42/10000)^0.72*0.6*((AF42+1)/3)^0.6*('CAPEX+OPEX'!$G$116/'CAPEX+OPEX'!$G$114)</f>
        <v>108479.3432701698</v>
      </c>
      <c r="DV42">
        <f t="shared" si="101"/>
        <v>2244384.0687912432</v>
      </c>
      <c r="DW42">
        <f t="shared" si="102"/>
        <v>5463693.0425585918</v>
      </c>
      <c r="DX42">
        <f t="shared" si="103"/>
        <v>364246.20283723943</v>
      </c>
      <c r="DY42">
        <f>BO42*'Reagent cost'!$C$35*60*7200</f>
        <v>1035798.8432824415</v>
      </c>
      <c r="DZ42">
        <f>BP42*'Reagent cost'!$C$34*60*7200</f>
        <v>246464.93800436775</v>
      </c>
      <c r="EA42">
        <f>BQ42*'Reagent cost'!$C$14*'Reagent cost'!$C$36/1000*60*7200</f>
        <v>4085359.0754036303</v>
      </c>
      <c r="EB42">
        <f t="shared" si="104"/>
        <v>39.6</v>
      </c>
      <c r="EC42">
        <f t="shared" si="105"/>
        <v>95.688271612230423</v>
      </c>
      <c r="ED42">
        <f>0.1*BK42*60*7200*'Reagent cost'!$H$17*'Reagent cost'!$C$17/1000</f>
        <v>504921.59999999998</v>
      </c>
      <c r="EE42">
        <f>BV42*0.1*'Reagent cost'!$C$16/1000*'Reagent cost'!$H$16*60*7200</f>
        <v>1013471.9499331086</v>
      </c>
      <c r="EF42">
        <f>BZ42/1000*'Reagent cost'!$H$19*'Reagent cost'!$C$19*60*7200</f>
        <v>85153.814018149162</v>
      </c>
      <c r="EG42">
        <f>0.33*('Costing 100 Lmin Feed Orig'!BO42*'Reagent cost'!$C$13+'Costing 100 Lmin Feed Orig'!BP42*'Reagent cost'!$C$12+'Costing 100 Lmin Feed Orig'!BQ42*'Reagent cost'!$C$14+'Costing 100 Lmin Feed Orig'!BV42*0.1*'Reagent cost'!$C$16+'Costing 100 Lmin Feed Orig'!BZ42*'Reagent cost'!$C$19)/1000*60*7200</f>
        <v>174222.54346790322</v>
      </c>
      <c r="EH42">
        <f>CG42*'Reagent cost'!$C$35*60*7200</f>
        <v>1947109.1537149439</v>
      </c>
      <c r="EI42">
        <f>CH42*'Reagent cost'!$C$34*60*7200</f>
        <v>463308.2378594944</v>
      </c>
      <c r="EJ42">
        <f>CI42*'Reagent cost'!$C$14*'Reagent cost'!$C$36/1000*60*7200</f>
        <v>7679715.133415876</v>
      </c>
      <c r="EK42">
        <f t="shared" si="106"/>
        <v>39.6</v>
      </c>
      <c r="EL42">
        <f t="shared" si="107"/>
        <v>610.87663916145755</v>
      </c>
      <c r="EM42">
        <f>0.1*BM42*60*7200*'Reagent cost'!$H$17*'Reagent cost'!$C$17/1000</f>
        <v>466361.85650424438</v>
      </c>
      <c r="EN42">
        <f>CN42*0.1*'Reagent cost'!$C$16/1000*'Reagent cost'!$H$16*60*7200</f>
        <v>1905138.7473021133</v>
      </c>
      <c r="EO42">
        <f>CR42/1000*'Reagent cost'!$H$19*'Reagent cost'!$C$19*60*7200</f>
        <v>160073.33067012011</v>
      </c>
      <c r="EP42">
        <f>0.33*(CG42*'Reagent cost'!$C$13+CH42*'Reagent cost'!$C$12+CI42*'Reagent cost'!$C$14+CN42*0.1*'Reagent cost'!$C$16+CR42*'Reagent cost'!$C$19)/1000*60*7200</f>
        <v>327505.97412798298</v>
      </c>
      <c r="EQ42">
        <f t="shared" si="108"/>
        <v>23512394.934023112</v>
      </c>
      <c r="ER42">
        <f t="shared" si="109"/>
        <v>501728.51759588619</v>
      </c>
      <c r="ES42">
        <f t="shared" si="110"/>
        <v>38528.386667103026</v>
      </c>
      <c r="ET42">
        <f t="shared" si="111"/>
        <v>33220.879177835675</v>
      </c>
      <c r="EU42">
        <f t="shared" si="112"/>
        <v>14065.291587390104</v>
      </c>
      <c r="EV42">
        <f t="shared" si="113"/>
        <v>7450.7773575794354</v>
      </c>
      <c r="EW42">
        <f t="shared" si="114"/>
        <v>7501.4888466080574</v>
      </c>
      <c r="EX42">
        <f t="shared" si="115"/>
        <v>100766.8236365163</v>
      </c>
      <c r="EY42">
        <f t="shared" si="56"/>
        <v>28286.660719414074</v>
      </c>
      <c r="EZ42">
        <f t="shared" si="57"/>
        <v>19398.062099470691</v>
      </c>
      <c r="FA42">
        <f t="shared" si="58"/>
        <v>8212.8891953404127</v>
      </c>
      <c r="FB42">
        <f t="shared" si="59"/>
        <v>4353.0165286796973</v>
      </c>
      <c r="FC42">
        <f t="shared" si="60"/>
        <v>4380.2075708482198</v>
      </c>
      <c r="FD42">
        <f t="shared" si="116"/>
        <v>64630.836113753096</v>
      </c>
      <c r="FE42">
        <f t="shared" si="117"/>
        <v>24179521.111369271</v>
      </c>
      <c r="FF42">
        <f t="shared" si="118"/>
        <v>24543767.314206511</v>
      </c>
      <c r="FG42">
        <f>BM42*AM42*195.08/1000*'PGM market prices'!$C$2*60*7200</f>
        <v>421323778.49567872</v>
      </c>
      <c r="FH42">
        <f>BN42*AQ42*BA42*106.42/1000*'PGM market prices'!$C$3*60*7200</f>
        <v>222318416.66352487</v>
      </c>
      <c r="FI42">
        <f>BK42*J42*102.91/1000*'PGM market prices'!$C$4*60*7200</f>
        <v>247409448.26329947</v>
      </c>
      <c r="FJ42">
        <f t="shared" si="119"/>
        <v>891051643.42250299</v>
      </c>
      <c r="FK42">
        <f t="shared" si="120"/>
        <v>641215828.32013941</v>
      </c>
      <c r="FL42">
        <f t="shared" si="64"/>
        <v>0.56814276190292845</v>
      </c>
      <c r="FM42">
        <f t="shared" si="65"/>
        <v>1964.923963723001</v>
      </c>
      <c r="FN42">
        <f t="shared" si="66"/>
        <v>3635.4088538501519</v>
      </c>
      <c r="FO42">
        <f t="shared" si="67"/>
        <v>16363.156050687339</v>
      </c>
    </row>
    <row r="43" spans="1:171">
      <c r="A43">
        <v>7</v>
      </c>
      <c r="B43">
        <v>1.54143585092054E-3</v>
      </c>
      <c r="C43">
        <v>1.54143585092054E-3</v>
      </c>
      <c r="D43">
        <v>3.4254130020456501E-4</v>
      </c>
      <c r="E43">
        <v>0</v>
      </c>
      <c r="F43">
        <v>0</v>
      </c>
      <c r="G43">
        <v>0</v>
      </c>
      <c r="H43" s="53">
        <v>1.7744466230058299E-5</v>
      </c>
      <c r="I43" s="53">
        <v>1.2927742824924801E-8</v>
      </c>
      <c r="J43">
        <v>3.3739048286900598E-4</v>
      </c>
      <c r="K43">
        <v>0.13716795306346499</v>
      </c>
      <c r="L43">
        <v>0.138764207307677</v>
      </c>
      <c r="M43">
        <v>4.6369433969460899E-4</v>
      </c>
      <c r="N43" s="53">
        <v>-1.1037178115902399E-16</v>
      </c>
      <c r="O43" s="53">
        <v>-5.3700533603207003E-15</v>
      </c>
      <c r="P43" s="53">
        <v>-3.4304834363799101E-19</v>
      </c>
      <c r="Q43">
        <v>0.111082169753281</v>
      </c>
      <c r="R43">
        <v>98.496293050653193</v>
      </c>
      <c r="S43">
        <v>500</v>
      </c>
      <c r="T43">
        <v>95</v>
      </c>
      <c r="U43">
        <v>1</v>
      </c>
      <c r="V43">
        <v>0.1</v>
      </c>
      <c r="W43">
        <v>90.023448607553206</v>
      </c>
      <c r="X43" t="s">
        <v>323</v>
      </c>
      <c r="Y43">
        <v>1</v>
      </c>
      <c r="Z43">
        <v>0.28318429382522198</v>
      </c>
      <c r="AA43">
        <v>0.56945642916197003</v>
      </c>
      <c r="AB43">
        <v>3.7698628972227502E-3</v>
      </c>
      <c r="AC43">
        <v>1822.2107908876901</v>
      </c>
      <c r="AD43">
        <v>2662.6059073104898</v>
      </c>
      <c r="AE43">
        <v>2401.5030938442701</v>
      </c>
      <c r="AF43">
        <v>5</v>
      </c>
      <c r="AG43">
        <v>1.64967327652189E-3</v>
      </c>
      <c r="AH43">
        <v>1.66887089455438E-3</v>
      </c>
      <c r="AI43" s="53">
        <v>5.5766973522943398E-6</v>
      </c>
      <c r="AJ43">
        <v>0</v>
      </c>
      <c r="AK43">
        <v>0</v>
      </c>
      <c r="AL43">
        <v>0</v>
      </c>
      <c r="AM43">
        <v>1.6103462731678301E-3</v>
      </c>
      <c r="AN43" s="53">
        <v>7.9217310821158102E-5</v>
      </c>
      <c r="AO43" s="53">
        <v>5.5377562230767902E-6</v>
      </c>
      <c r="AP43">
        <v>1.8120934755895301E-3</v>
      </c>
      <c r="AQ43">
        <v>7.3247403612026599E-2</v>
      </c>
      <c r="AR43" s="53">
        <v>1.7943133259324499E-6</v>
      </c>
      <c r="AS43" s="53">
        <v>-4.8687453808177097E-17</v>
      </c>
      <c r="AT43" s="53">
        <v>1.6631661325927601E-16</v>
      </c>
      <c r="AU43" s="53">
        <v>-3.9301005263619403E-20</v>
      </c>
      <c r="AV43">
        <v>0.200451509597636</v>
      </c>
      <c r="AW43">
        <v>99.301717006365394</v>
      </c>
      <c r="AX43">
        <v>500</v>
      </c>
      <c r="AY43">
        <v>95</v>
      </c>
      <c r="AZ43">
        <v>0.92363221637625403</v>
      </c>
      <c r="BA43">
        <v>0.1</v>
      </c>
      <c r="BB43">
        <v>46.0775884517032</v>
      </c>
      <c r="BC43" t="s">
        <v>251</v>
      </c>
      <c r="BD43">
        <v>1</v>
      </c>
      <c r="BE43">
        <v>1.8775014999999999E-2</v>
      </c>
      <c r="BF43">
        <v>0.10492961100000001</v>
      </c>
      <c r="BG43">
        <v>1.814625E-3</v>
      </c>
      <c r="BH43">
        <v>285.1951444</v>
      </c>
      <c r="BI43">
        <v>2169.8944889999998</v>
      </c>
      <c r="BJ43">
        <v>866.49409060000005</v>
      </c>
      <c r="BK43">
        <f t="shared" si="68"/>
        <v>100</v>
      </c>
      <c r="BL43">
        <f t="shared" si="69"/>
        <v>11.1082169753281</v>
      </c>
      <c r="BM43">
        <f t="shared" si="70"/>
        <v>92.363221637625401</v>
      </c>
      <c r="BN43">
        <f t="shared" si="71"/>
        <v>20.0451509597636</v>
      </c>
      <c r="BO43">
        <f t="shared" si="72"/>
        <v>3.9989581111181156</v>
      </c>
      <c r="BP43">
        <f t="shared" si="73"/>
        <v>0.2665972074078744</v>
      </c>
      <c r="BQ43">
        <f t="shared" si="74"/>
        <v>1.332986037039372</v>
      </c>
      <c r="BR43">
        <f t="shared" si="75"/>
        <v>0.66649301851968601</v>
      </c>
      <c r="BS43">
        <f t="shared" si="76"/>
        <v>1.11082169753281</v>
      </c>
      <c r="BT43">
        <f t="shared" si="77"/>
        <v>6.6649301851968596</v>
      </c>
      <c r="BU43">
        <f t="shared" si="78"/>
        <v>17.77314716052496</v>
      </c>
      <c r="BV43">
        <f t="shared" si="31"/>
        <v>5.5541084876640499</v>
      </c>
      <c r="BW43">
        <f t="shared" si="79"/>
        <v>86.809113149961348</v>
      </c>
      <c r="BX43">
        <f t="shared" si="80"/>
        <v>103.47143861295351</v>
      </c>
      <c r="BY43">
        <f t="shared" si="33"/>
        <v>92.363221637625401</v>
      </c>
      <c r="BZ43">
        <f t="shared" si="34"/>
        <v>1.555150376545934</v>
      </c>
      <c r="CA43">
        <f>7963.6*(BT43/1000)^0.6*1.7*('CAPEX+OPEX'!$G$116/'CAPEX+OPEX'!$G$115)</f>
        <v>789.80211173988403</v>
      </c>
      <c r="CB43">
        <f>7963.6*(BU43/1000)^0.6*1.7*('CAPEX+OPEX'!$G$116/'CAPEX+OPEX'!$G$115)</f>
        <v>1422.6547883997009</v>
      </c>
      <c r="CC43">
        <f>7963.6*(BX43/1000)^0.6*1.7*('CAPEX+OPEX'!$G$116/'CAPEX+OPEX'!$G$115)</f>
        <v>4093.8622010078388</v>
      </c>
      <c r="CD43">
        <f>7963.6*(BY43/1000)^0.6*1.7*('CAPEX+OPEX'!$G$116/'CAPEX+OPEX'!$G$115)</f>
        <v>3824.1980130425482</v>
      </c>
      <c r="CE43">
        <v>300</v>
      </c>
      <c r="CF43">
        <v>30</v>
      </c>
      <c r="CG43">
        <f t="shared" si="81"/>
        <v>7.216254345514896</v>
      </c>
      <c r="CH43">
        <f t="shared" si="82"/>
        <v>0.48108362303432639</v>
      </c>
      <c r="CI43">
        <f t="shared" si="83"/>
        <v>2.4054181151716318</v>
      </c>
      <c r="CJ43">
        <f t="shared" si="84"/>
        <v>1.2027090575858159</v>
      </c>
      <c r="CK43">
        <f t="shared" si="85"/>
        <v>2.0045150959763602</v>
      </c>
      <c r="CL43">
        <f t="shared" si="86"/>
        <v>12.027090575858159</v>
      </c>
      <c r="CM43">
        <f t="shared" si="87"/>
        <v>32.072241535621764</v>
      </c>
      <c r="CN43">
        <f t="shared" si="36"/>
        <v>10.0225754798818</v>
      </c>
      <c r="CO43">
        <v>0</v>
      </c>
      <c r="CP43">
        <f t="shared" si="88"/>
        <v>30.067726439645398</v>
      </c>
      <c r="CQ43">
        <f t="shared" si="38"/>
        <v>10.0225754798818</v>
      </c>
      <c r="CR43">
        <f t="shared" si="39"/>
        <v>2.8063211343669043</v>
      </c>
      <c r="CS43">
        <f>7963.6*(CL43/1000)^0.6*1.7*('CAPEX+OPEX'!$G$116/'CAPEX+OPEX'!$G$115)</f>
        <v>1125.4786911458375</v>
      </c>
      <c r="CT43">
        <f>7963.6*(CM43/1000)^0.6*1.7*('CAPEX+OPEX'!$G$116/'CAPEX+OPEX'!$G$115)</f>
        <v>2027.3023145926809</v>
      </c>
      <c r="CU43">
        <f>7963.6*(CP43/1000)^0.6*1.7*('CAPEX+OPEX'!$G$116/'CAPEX+OPEX'!$G$115)</f>
        <v>1950.2993771218526</v>
      </c>
      <c r="CV43">
        <f>7963.6*(CQ43/1000)^0.6*1.7*('CAPEX+OPEX'!$G$116/'CAPEX+OPEX'!$G$115)</f>
        <v>1008.8544853988101</v>
      </c>
      <c r="CW43">
        <v>300</v>
      </c>
      <c r="CX43">
        <f t="shared" si="89"/>
        <v>30</v>
      </c>
      <c r="CY43">
        <f t="shared" si="90"/>
        <v>10</v>
      </c>
      <c r="CZ43">
        <f t="shared" si="91"/>
        <v>9.2363221637625408</v>
      </c>
      <c r="DA43">
        <f t="shared" si="92"/>
        <v>3960</v>
      </c>
      <c r="DB43">
        <f t="shared" si="93"/>
        <v>3960</v>
      </c>
      <c r="DC43">
        <f>CF43*'Reagent cost'!$C$18/1000*'Reagent cost'!$H$18</f>
        <v>4784.413580611521</v>
      </c>
      <c r="DD43">
        <f>CX43*'Ligand cost'!$B$56*'Ligand cost'!$J$56</f>
        <v>30543.831958072875</v>
      </c>
      <c r="DE43">
        <f t="shared" si="94"/>
        <v>39625.826528698344</v>
      </c>
      <c r="DF43">
        <f t="shared" si="95"/>
        <v>4586243.4239371875</v>
      </c>
      <c r="DG43">
        <f t="shared" si="96"/>
        <v>11794834.586807497</v>
      </c>
      <c r="DH43">
        <f t="shared" si="97"/>
        <v>2275209.1661185985</v>
      </c>
      <c r="DI43">
        <f t="shared" si="98"/>
        <v>14083914.336508472</v>
      </c>
      <c r="DJ43">
        <f t="shared" si="99"/>
        <v>1662824.8986326549</v>
      </c>
      <c r="DK43" s="55">
        <f>DF43*($BK$2/10000)^0.72*0.6*((A43+1)/3)^0.6*('CAPEX+OPEX'!$G$116/'CAPEX+OPEX'!$G$114)</f>
        <v>420020.3066987202</v>
      </c>
      <c r="DL43" s="55">
        <f>DG43*($BK$2/10000)^0.72*0.6*((A43+1)/3)^0.6*('CAPEX+OPEX'!$G$116/'CAPEX+OPEX'!$G$114)</f>
        <v>1080202.1573374313</v>
      </c>
      <c r="DM43" s="55">
        <f>DH43*($BK$2/10000)^0.72*0.6*((A43+1)/3)^0.6*('CAPEX+OPEX'!$G$116/'CAPEX+OPEX'!$G$114)</f>
        <v>208369.67500876408</v>
      </c>
      <c r="DN43" s="55">
        <f>DI43*($BK$2/10000)^0.72*0.6*((A43+1)/3)^0.6*('CAPEX+OPEX'!$G$116/'CAPEX+OPEX'!$G$114)</f>
        <v>1289842.1370884064</v>
      </c>
      <c r="DO43" s="55">
        <f>DJ43*($BK$2/10000)^0.72*0.6*((A43+1)/3)^0.6*('CAPEX+OPEX'!$G$116/'CAPEX+OPEX'!$G$114)</f>
        <v>152285.9035926135</v>
      </c>
      <c r="DP43">
        <f t="shared" si="100"/>
        <v>3150720.1797259357</v>
      </c>
      <c r="DQ43">
        <f>DF43*(BM43/10000)^0.72*0.6*((AF43+1)/3)^0.6*('CAPEX+OPEX'!$G$116/'CAPEX+OPEX'!$G$114)</f>
        <v>333784.66348242952</v>
      </c>
      <c r="DR43">
        <f>DG43*(BM43/10000)^0.72*0.6*((AF43+1)/3)^0.6*('CAPEX+OPEX'!$G$116/'CAPEX+OPEX'!$G$114)</f>
        <v>858422.57583630178</v>
      </c>
      <c r="DS43">
        <f>DH43*(BM43/10000)^0.72*0.6*((AF43+1)/3)^0.6*('CAPEX+OPEX'!$G$116/'CAPEX+OPEX'!$G$114)</f>
        <v>165588.66498479096</v>
      </c>
      <c r="DT43">
        <f>DI43*(BM43/10000)^0.72*0.6*((AF43+1)/3)^0.6*('CAPEX+OPEX'!$G$116/'CAPEX+OPEX'!$G$114)</f>
        <v>1025020.7354434635</v>
      </c>
      <c r="DU43">
        <f>DJ43*(BM43/10000)^0.72*0.6*((AF43+1)/3)^0.6*('CAPEX+OPEX'!$G$116/'CAPEX+OPEX'!$G$114)</f>
        <v>121019.62279704479</v>
      </c>
      <c r="DV43">
        <f t="shared" si="101"/>
        <v>2503836.2625440308</v>
      </c>
      <c r="DW43">
        <f t="shared" si="102"/>
        <v>5722970.7444192702</v>
      </c>
      <c r="DX43">
        <f t="shared" si="103"/>
        <v>381531.38296128466</v>
      </c>
      <c r="DY43">
        <f>BO43*'Reagent cost'!$C$35*60*7200</f>
        <v>1035798.8432824415</v>
      </c>
      <c r="DZ43">
        <f>BP43*'Reagent cost'!$C$34*60*7200</f>
        <v>246464.93800436775</v>
      </c>
      <c r="EA43">
        <f>BQ43*'Reagent cost'!$C$14*'Reagent cost'!$C$36/1000*60*7200</f>
        <v>4085359.0754036303</v>
      </c>
      <c r="EB43">
        <f t="shared" si="104"/>
        <v>39.6</v>
      </c>
      <c r="EC43">
        <f t="shared" si="105"/>
        <v>95.688271612230423</v>
      </c>
      <c r="ED43">
        <f>0.1*BK43*60*7200*'Reagent cost'!$H$17*'Reagent cost'!$C$17/1000</f>
        <v>504921.59999999998</v>
      </c>
      <c r="EE43">
        <f>BV43*0.1*'Reagent cost'!$C$16/1000*'Reagent cost'!$H$16*60*7200</f>
        <v>1013471.9499331086</v>
      </c>
      <c r="EF43">
        <f>BZ43/1000*'Reagent cost'!$H$19*'Reagent cost'!$C$19*60*7200</f>
        <v>85153.814018149162</v>
      </c>
      <c r="EG43">
        <f>0.33*('Costing 100 Lmin Feed Orig'!BO43*'Reagent cost'!$C$13+'Costing 100 Lmin Feed Orig'!BP43*'Reagent cost'!$C$12+'Costing 100 Lmin Feed Orig'!BQ43*'Reagent cost'!$C$14+'Costing 100 Lmin Feed Orig'!BV43*0.1*'Reagent cost'!$C$16+'Costing 100 Lmin Feed Orig'!BZ43*'Reagent cost'!$C$19)/1000*60*7200</f>
        <v>174222.54346790322</v>
      </c>
      <c r="EH43">
        <f>CG43*'Reagent cost'!$C$35*60*7200</f>
        <v>1869133.8334190038</v>
      </c>
      <c r="EI43">
        <f>CH43*'Reagent cost'!$C$34*60*7200</f>
        <v>444754.26610402559</v>
      </c>
      <c r="EJ43">
        <f>CI43*'Reagent cost'!$C$14*'Reagent cost'!$C$36/1000*60*7200</f>
        <v>7372167.7901315195</v>
      </c>
      <c r="EK43">
        <f t="shared" si="106"/>
        <v>39.6</v>
      </c>
      <c r="EL43">
        <f t="shared" si="107"/>
        <v>610.87663916145755</v>
      </c>
      <c r="EM43">
        <f>0.1*BM43*60*7200*'Reagent cost'!$H$17*'Reagent cost'!$C$17/1000</f>
        <v>466361.85650424438</v>
      </c>
      <c r="EN43">
        <f>CN43*0.1*'Reagent cost'!$C$16/1000*'Reagent cost'!$H$16*60*7200</f>
        <v>1828844.2038012221</v>
      </c>
      <c r="EO43">
        <f>CR43/1000*'Reagent cost'!$H$19*'Reagent cost'!$C$19*60*7200</f>
        <v>153662.92003339421</v>
      </c>
      <c r="EP43">
        <f>0.33*(CG43*'Reagent cost'!$C$13+CH43*'Reagent cost'!$C$12+CI43*'Reagent cost'!$C$14+CN43*0.1*'Reagent cost'!$C$16+CR43*'Reagent cost'!$C$19)/1000*60*7200</f>
        <v>314390.43657183734</v>
      </c>
      <c r="EQ43">
        <f t="shared" si="108"/>
        <v>22928257.026655052</v>
      </c>
      <c r="ER43">
        <f t="shared" si="109"/>
        <v>488612.98003974056</v>
      </c>
      <c r="ES43">
        <f t="shared" si="110"/>
        <v>38528.386667103026</v>
      </c>
      <c r="ET43">
        <f t="shared" si="111"/>
        <v>33220.879177835675</v>
      </c>
      <c r="EU43">
        <f t="shared" si="112"/>
        <v>14065.291587390104</v>
      </c>
      <c r="EV43">
        <f t="shared" si="113"/>
        <v>7450.7773575794354</v>
      </c>
      <c r="EW43">
        <f t="shared" si="114"/>
        <v>7501.4888466080574</v>
      </c>
      <c r="EX43">
        <f t="shared" si="115"/>
        <v>100766.8236365163</v>
      </c>
      <c r="EY43">
        <f t="shared" si="56"/>
        <v>30858.175330269896</v>
      </c>
      <c r="EZ43">
        <f t="shared" si="57"/>
        <v>23277.674519364831</v>
      </c>
      <c r="FA43">
        <f t="shared" si="58"/>
        <v>9855.4670344084952</v>
      </c>
      <c r="FB43">
        <f t="shared" si="59"/>
        <v>5223.6198344156373</v>
      </c>
      <c r="FC43">
        <f t="shared" si="60"/>
        <v>5256.2490850178647</v>
      </c>
      <c r="FD43">
        <f t="shared" si="116"/>
        <v>74471.185803476721</v>
      </c>
      <c r="FE43">
        <f t="shared" si="117"/>
        <v>23592108.016134787</v>
      </c>
      <c r="FF43">
        <f t="shared" si="118"/>
        <v>23973639.399096072</v>
      </c>
      <c r="FG43">
        <f>BM43*AM43*195.08/1000*'PGM market prices'!$C$2*60*7200</f>
        <v>422800345.56491959</v>
      </c>
      <c r="FH43">
        <f>BN43*AQ43*BA43*106.42/1000*'PGM market prices'!$C$3*60*7200</f>
        <v>222277776.5978587</v>
      </c>
      <c r="FI43">
        <f>BK43*J43*102.91/1000*'PGM market prices'!$C$4*60*7200</f>
        <v>247409448.26329947</v>
      </c>
      <c r="FJ43">
        <f t="shared" si="119"/>
        <v>892487570.42607772</v>
      </c>
      <c r="FK43">
        <f t="shared" si="120"/>
        <v>642700308.95996642</v>
      </c>
      <c r="FL43">
        <f t="shared" si="64"/>
        <v>0.5549453564605572</v>
      </c>
      <c r="FM43">
        <f t="shared" si="65"/>
        <v>1912.5778842094421</v>
      </c>
      <c r="FN43">
        <f t="shared" si="66"/>
        <v>3551.611070001024</v>
      </c>
      <c r="FO43">
        <f t="shared" si="67"/>
        <v>15983.055802653891</v>
      </c>
    </row>
    <row r="44" spans="1:171">
      <c r="A44">
        <v>7</v>
      </c>
      <c r="B44">
        <v>1.54143585092054E-3</v>
      </c>
      <c r="C44">
        <v>1.54143585092054E-3</v>
      </c>
      <c r="D44">
        <v>3.4254130020456501E-4</v>
      </c>
      <c r="E44">
        <v>0</v>
      </c>
      <c r="F44">
        <v>0</v>
      </c>
      <c r="G44">
        <v>0</v>
      </c>
      <c r="H44" s="53">
        <v>1.7744466230058299E-5</v>
      </c>
      <c r="I44" s="53">
        <v>1.2927742824924801E-8</v>
      </c>
      <c r="J44">
        <v>3.3739048286900598E-4</v>
      </c>
      <c r="K44">
        <v>0.13716795306346499</v>
      </c>
      <c r="L44">
        <v>0.138764207307677</v>
      </c>
      <c r="M44">
        <v>4.6369433969460899E-4</v>
      </c>
      <c r="N44" s="53">
        <v>-1.1037178115902399E-16</v>
      </c>
      <c r="O44" s="53">
        <v>-5.3700533603207003E-15</v>
      </c>
      <c r="P44" s="53">
        <v>-3.4304834363799101E-19</v>
      </c>
      <c r="Q44">
        <v>0.111082169753281</v>
      </c>
      <c r="R44">
        <v>98.496293050653193</v>
      </c>
      <c r="S44">
        <v>500</v>
      </c>
      <c r="T44">
        <v>95</v>
      </c>
      <c r="U44">
        <v>1</v>
      </c>
      <c r="V44">
        <v>0.1</v>
      </c>
      <c r="W44">
        <v>90.023448607553206</v>
      </c>
      <c r="X44" t="s">
        <v>323</v>
      </c>
      <c r="Y44">
        <v>1</v>
      </c>
      <c r="Z44">
        <v>0.28318429382522198</v>
      </c>
      <c r="AA44">
        <v>0.56945642916197003</v>
      </c>
      <c r="AB44">
        <v>3.7698628972227502E-3</v>
      </c>
      <c r="AC44">
        <v>1822.2107908876901</v>
      </c>
      <c r="AD44">
        <v>2662.6059073104898</v>
      </c>
      <c r="AE44">
        <v>2401.5030938442701</v>
      </c>
      <c r="AF44">
        <v>6</v>
      </c>
      <c r="AG44">
        <v>1.64967327652189E-3</v>
      </c>
      <c r="AH44">
        <v>1.66887089455438E-3</v>
      </c>
      <c r="AI44" s="53">
        <v>5.5766973522943398E-6</v>
      </c>
      <c r="AJ44">
        <v>0</v>
      </c>
      <c r="AK44">
        <v>0</v>
      </c>
      <c r="AL44">
        <v>0</v>
      </c>
      <c r="AM44">
        <v>1.6120355192372701E-3</v>
      </c>
      <c r="AN44" s="53">
        <v>7.9304611498975396E-5</v>
      </c>
      <c r="AO44" s="53">
        <v>5.5393634244761098E-6</v>
      </c>
      <c r="AP44">
        <v>1.7562637605677701E-3</v>
      </c>
      <c r="AQ44">
        <v>7.4172795069579203E-2</v>
      </c>
      <c r="AR44" s="53">
        <v>1.7420863833882601E-6</v>
      </c>
      <c r="AS44" s="53">
        <v>-2.1751806085490402E-18</v>
      </c>
      <c r="AT44" s="53">
        <v>-1.83013326715553E-16</v>
      </c>
      <c r="AU44" s="53">
        <v>-3.08372932359768E-21</v>
      </c>
      <c r="AV44">
        <v>0.197939773972164</v>
      </c>
      <c r="AW44">
        <v>99.330536956557793</v>
      </c>
      <c r="AX44">
        <v>500</v>
      </c>
      <c r="AY44">
        <v>95</v>
      </c>
      <c r="AZ44">
        <v>0.92363221637625403</v>
      </c>
      <c r="BA44">
        <v>0.1</v>
      </c>
      <c r="BB44">
        <v>46.6622850901175</v>
      </c>
      <c r="BC44" t="s">
        <v>251</v>
      </c>
      <c r="BD44">
        <v>1</v>
      </c>
      <c r="BE44">
        <v>1.8775014999999999E-2</v>
      </c>
      <c r="BF44">
        <v>0.10492961100000001</v>
      </c>
      <c r="BG44">
        <v>1.814625E-3</v>
      </c>
      <c r="BH44">
        <v>285.1951444</v>
      </c>
      <c r="BI44">
        <v>2169.8944889999998</v>
      </c>
      <c r="BJ44">
        <v>866.49409060000005</v>
      </c>
      <c r="BK44">
        <f t="shared" si="68"/>
        <v>100</v>
      </c>
      <c r="BL44">
        <f t="shared" si="69"/>
        <v>11.1082169753281</v>
      </c>
      <c r="BM44">
        <f t="shared" si="70"/>
        <v>92.363221637625401</v>
      </c>
      <c r="BN44">
        <f t="shared" si="71"/>
        <v>19.793977397216402</v>
      </c>
      <c r="BO44">
        <f t="shared" si="72"/>
        <v>3.9989581111181156</v>
      </c>
      <c r="BP44">
        <f t="shared" si="73"/>
        <v>0.2665972074078744</v>
      </c>
      <c r="BQ44">
        <f t="shared" si="74"/>
        <v>1.332986037039372</v>
      </c>
      <c r="BR44">
        <f t="shared" si="75"/>
        <v>0.66649301851968601</v>
      </c>
      <c r="BS44">
        <f t="shared" si="76"/>
        <v>1.11082169753281</v>
      </c>
      <c r="BT44">
        <f t="shared" si="77"/>
        <v>6.6649301851968596</v>
      </c>
      <c r="BU44">
        <f t="shared" si="78"/>
        <v>17.77314716052496</v>
      </c>
      <c r="BV44">
        <f t="shared" si="31"/>
        <v>5.5541084876640499</v>
      </c>
      <c r="BW44">
        <f t="shared" si="79"/>
        <v>86.809113149961348</v>
      </c>
      <c r="BX44">
        <f t="shared" si="80"/>
        <v>103.47143861295351</v>
      </c>
      <c r="BY44">
        <f t="shared" si="33"/>
        <v>92.363221637625401</v>
      </c>
      <c r="BZ44">
        <f t="shared" si="34"/>
        <v>1.555150376545934</v>
      </c>
      <c r="CA44">
        <f>7963.6*(BT44/1000)^0.6*1.7*('CAPEX+OPEX'!$G$116/'CAPEX+OPEX'!$G$115)</f>
        <v>789.80211173988403</v>
      </c>
      <c r="CB44">
        <f>7963.6*(BU44/1000)^0.6*1.7*('CAPEX+OPEX'!$G$116/'CAPEX+OPEX'!$G$115)</f>
        <v>1422.6547883997009</v>
      </c>
      <c r="CC44">
        <f>7963.6*(BX44/1000)^0.6*1.7*('CAPEX+OPEX'!$G$116/'CAPEX+OPEX'!$G$115)</f>
        <v>4093.8622010078388</v>
      </c>
      <c r="CD44">
        <f>7963.6*(BY44/1000)^0.6*1.7*('CAPEX+OPEX'!$G$116/'CAPEX+OPEX'!$G$115)</f>
        <v>3824.1980130425482</v>
      </c>
      <c r="CE44">
        <v>300</v>
      </c>
      <c r="CF44">
        <v>30</v>
      </c>
      <c r="CG44">
        <f t="shared" si="81"/>
        <v>7.1258318629979041</v>
      </c>
      <c r="CH44">
        <f t="shared" si="82"/>
        <v>0.47505545753319367</v>
      </c>
      <c r="CI44">
        <f t="shared" si="83"/>
        <v>2.375277287665968</v>
      </c>
      <c r="CJ44">
        <f t="shared" si="84"/>
        <v>1.187638643832984</v>
      </c>
      <c r="CK44">
        <f t="shared" si="85"/>
        <v>1.9793977397216402</v>
      </c>
      <c r="CL44">
        <f t="shared" si="86"/>
        <v>11.87638643832984</v>
      </c>
      <c r="CM44">
        <f t="shared" si="87"/>
        <v>31.670363835546244</v>
      </c>
      <c r="CN44">
        <f t="shared" si="36"/>
        <v>9.896988698608201</v>
      </c>
      <c r="CO44">
        <v>0</v>
      </c>
      <c r="CP44">
        <f t="shared" si="88"/>
        <v>29.690966095824603</v>
      </c>
      <c r="CQ44">
        <f t="shared" si="38"/>
        <v>9.896988698608201</v>
      </c>
      <c r="CR44">
        <f t="shared" si="39"/>
        <v>2.771156835610296</v>
      </c>
      <c r="CS44">
        <f>7963.6*(CL44/1000)^0.6*1.7*('CAPEX+OPEX'!$G$116/'CAPEX+OPEX'!$G$115)</f>
        <v>1116.9957484686377</v>
      </c>
      <c r="CT44">
        <f>7963.6*(CM44/1000)^0.6*1.7*('CAPEX+OPEX'!$G$116/'CAPEX+OPEX'!$G$115)</f>
        <v>2012.0221591714032</v>
      </c>
      <c r="CU44">
        <f>7963.6*(CP44/1000)^0.6*1.7*('CAPEX+OPEX'!$G$116/'CAPEX+OPEX'!$G$115)</f>
        <v>1935.5996071931488</v>
      </c>
      <c r="CV44">
        <f>7963.6*(CQ44/1000)^0.6*1.7*('CAPEX+OPEX'!$G$116/'CAPEX+OPEX'!$G$115)</f>
        <v>1001.2505610983321</v>
      </c>
      <c r="CW44">
        <v>300</v>
      </c>
      <c r="CX44">
        <f t="shared" si="89"/>
        <v>30</v>
      </c>
      <c r="CY44">
        <f t="shared" si="90"/>
        <v>10</v>
      </c>
      <c r="CZ44">
        <f t="shared" si="91"/>
        <v>9.2363221637625408</v>
      </c>
      <c r="DA44">
        <f t="shared" si="92"/>
        <v>3960</v>
      </c>
      <c r="DB44">
        <f t="shared" si="93"/>
        <v>3960</v>
      </c>
      <c r="DC44">
        <f>CF44*'Reagent cost'!$C$18/1000*'Reagent cost'!$H$18</f>
        <v>4784.413580611521</v>
      </c>
      <c r="DD44">
        <f>CX44*'Ligand cost'!$B$56*'Ligand cost'!$J$56</f>
        <v>30543.831958072875</v>
      </c>
      <c r="DE44">
        <f t="shared" si="94"/>
        <v>39625.826528698344</v>
      </c>
      <c r="DF44">
        <f t="shared" si="95"/>
        <v>4586243.4239371875</v>
      </c>
      <c r="DG44">
        <f t="shared" si="96"/>
        <v>11794834.586807497</v>
      </c>
      <c r="DH44">
        <f t="shared" si="97"/>
        <v>2275209.1661185985</v>
      </c>
      <c r="DI44">
        <f t="shared" si="98"/>
        <v>14083914.336508472</v>
      </c>
      <c r="DJ44">
        <f t="shared" si="99"/>
        <v>1662824.8986326549</v>
      </c>
      <c r="DK44" s="55">
        <f>DF44*($BK$2/10000)^0.72*0.6*((A44+1)/3)^0.6*('CAPEX+OPEX'!$G$116/'CAPEX+OPEX'!$G$114)</f>
        <v>420020.3066987202</v>
      </c>
      <c r="DL44" s="55">
        <f>DG44*($BK$2/10000)^0.72*0.6*((A44+1)/3)^0.6*('CAPEX+OPEX'!$G$116/'CAPEX+OPEX'!$G$114)</f>
        <v>1080202.1573374313</v>
      </c>
      <c r="DM44" s="55">
        <f>DH44*($BK$2/10000)^0.72*0.6*((A44+1)/3)^0.6*('CAPEX+OPEX'!$G$116/'CAPEX+OPEX'!$G$114)</f>
        <v>208369.67500876408</v>
      </c>
      <c r="DN44" s="55">
        <f>DI44*($BK$2/10000)^0.72*0.6*((A44+1)/3)^0.6*('CAPEX+OPEX'!$G$116/'CAPEX+OPEX'!$G$114)</f>
        <v>1289842.1370884064</v>
      </c>
      <c r="DO44" s="55">
        <f>DJ44*($BK$2/10000)^0.72*0.6*((A44+1)/3)^0.6*('CAPEX+OPEX'!$G$116/'CAPEX+OPEX'!$G$114)</f>
        <v>152285.9035926135</v>
      </c>
      <c r="DP44">
        <f t="shared" si="100"/>
        <v>3150720.1797259357</v>
      </c>
      <c r="DQ44">
        <f>DF44*(BM44/10000)^0.72*0.6*((AF44+1)/3)^0.6*('CAPEX+OPEX'!$G$116/'CAPEX+OPEX'!$G$114)</f>
        <v>366129.27185839397</v>
      </c>
      <c r="DR44">
        <f>DG44*(BM44/10000)^0.72*0.6*((AF44+1)/3)^0.6*('CAPEX+OPEX'!$G$116/'CAPEX+OPEX'!$G$114)</f>
        <v>941605.97242148803</v>
      </c>
      <c r="DS44">
        <f>DH44*(BM44/10000)^0.72*0.6*((AF44+1)/3)^0.6*('CAPEX+OPEX'!$G$116/'CAPEX+OPEX'!$G$114)</f>
        <v>181634.64044859106</v>
      </c>
      <c r="DT44">
        <f>DI44*(BM44/10000)^0.72*0.6*((AF44+1)/3)^0.6*('CAPEX+OPEX'!$G$116/'CAPEX+OPEX'!$G$114)</f>
        <v>1124347.930166139</v>
      </c>
      <c r="DU44">
        <f>DJ44*(BM44/10000)^0.72*0.6*((AF44+1)/3)^0.6*('CAPEX+OPEX'!$G$116/'CAPEX+OPEX'!$G$114)</f>
        <v>132746.74130614131</v>
      </c>
      <c r="DV44">
        <f t="shared" si="101"/>
        <v>2746464.5562007534</v>
      </c>
      <c r="DW44">
        <f t="shared" si="102"/>
        <v>5965546.0612648167</v>
      </c>
      <c r="DX44">
        <f t="shared" si="103"/>
        <v>397703.0707509878</v>
      </c>
      <c r="DY44">
        <f>BO44*'Reagent cost'!$C$35*60*7200</f>
        <v>1035798.8432824415</v>
      </c>
      <c r="DZ44">
        <f>BP44*'Reagent cost'!$C$34*60*7200</f>
        <v>246464.93800436775</v>
      </c>
      <c r="EA44">
        <f>BQ44*'Reagent cost'!$C$14*'Reagent cost'!$C$36/1000*60*7200</f>
        <v>4085359.0754036303</v>
      </c>
      <c r="EB44">
        <f t="shared" si="104"/>
        <v>39.6</v>
      </c>
      <c r="EC44">
        <f t="shared" si="105"/>
        <v>95.688271612230423</v>
      </c>
      <c r="ED44">
        <f>0.1*BK44*60*7200*'Reagent cost'!$H$17*'Reagent cost'!$C$17/1000</f>
        <v>504921.59999999998</v>
      </c>
      <c r="EE44">
        <f>BV44*0.1*'Reagent cost'!$C$16/1000*'Reagent cost'!$H$16*60*7200</f>
        <v>1013471.9499331086</v>
      </c>
      <c r="EF44">
        <f>BZ44/1000*'Reagent cost'!$H$19*'Reagent cost'!$C$19*60*7200</f>
        <v>85153.814018149162</v>
      </c>
      <c r="EG44">
        <f>0.33*('Costing 100 Lmin Feed Orig'!BO44*'Reagent cost'!$C$13+'Costing 100 Lmin Feed Orig'!BP44*'Reagent cost'!$C$12+'Costing 100 Lmin Feed Orig'!BQ44*'Reagent cost'!$C$14+'Costing 100 Lmin Feed Orig'!BV44*0.1*'Reagent cost'!$C$16+'Costing 100 Lmin Feed Orig'!BZ44*'Reagent cost'!$C$19)/1000*60*7200</f>
        <v>174222.54346790322</v>
      </c>
      <c r="EH44">
        <f>CG44*'Reagent cost'!$C$35*60*7200</f>
        <v>1845712.8572058671</v>
      </c>
      <c r="EI44">
        <f>CH44*'Reagent cost'!$C$34*60*7200</f>
        <v>439181.32161986345</v>
      </c>
      <c r="EJ44">
        <f>CI44*'Reagent cost'!$C$14*'Reagent cost'!$C$36/1000*60*7200</f>
        <v>7279791.6513206977</v>
      </c>
      <c r="EK44">
        <f t="shared" si="106"/>
        <v>39.6</v>
      </c>
      <c r="EL44">
        <f t="shared" si="107"/>
        <v>610.87663916145755</v>
      </c>
      <c r="EM44">
        <f>0.1*BM44*60*7200*'Reagent cost'!$H$17*'Reagent cost'!$C$17/1000</f>
        <v>466361.85650424438</v>
      </c>
      <c r="EN44">
        <f>CN44*0.1*'Reagent cost'!$C$16/1000*'Reagent cost'!$H$16*60*7200</f>
        <v>1805928.0723670113</v>
      </c>
      <c r="EO44">
        <f>CR44/1000*'Reagent cost'!$H$19*'Reagent cost'!$C$19*60*7200</f>
        <v>151737.46369067737</v>
      </c>
      <c r="EP44">
        <f>0.33*(CG44*'Reagent cost'!$C$13+CH44*'Reagent cost'!$C$12+CI44*'Reagent cost'!$C$14+CN44*0.1*'Reagent cost'!$C$16+CR44*'Reagent cost'!$C$19)/1000*60*7200</f>
        <v>310451.00173580012</v>
      </c>
      <c r="EQ44">
        <f t="shared" si="108"/>
        <v>22752803.049912997</v>
      </c>
      <c r="ER44">
        <f t="shared" si="109"/>
        <v>484673.54520370334</v>
      </c>
      <c r="ES44">
        <f t="shared" si="110"/>
        <v>38528.386667103026</v>
      </c>
      <c r="ET44">
        <f t="shared" si="111"/>
        <v>33220.879177835675</v>
      </c>
      <c r="EU44">
        <f t="shared" si="112"/>
        <v>14065.291587390104</v>
      </c>
      <c r="EV44">
        <f t="shared" si="113"/>
        <v>7450.7773575794354</v>
      </c>
      <c r="EW44">
        <f t="shared" si="114"/>
        <v>7501.4888466080574</v>
      </c>
      <c r="EX44">
        <f t="shared" si="115"/>
        <v>100766.8236365163</v>
      </c>
      <c r="EY44">
        <f t="shared" si="56"/>
        <v>33429.689941125718</v>
      </c>
      <c r="EZ44">
        <f t="shared" si="57"/>
        <v>27157.286939258967</v>
      </c>
      <c r="FA44">
        <f t="shared" si="58"/>
        <v>11498.044873476576</v>
      </c>
      <c r="FB44">
        <f t="shared" si="59"/>
        <v>6094.2231401515764</v>
      </c>
      <c r="FC44">
        <f t="shared" si="60"/>
        <v>6132.2905991875077</v>
      </c>
      <c r="FD44">
        <f t="shared" si="116"/>
        <v>84311.535493200339</v>
      </c>
      <c r="FE44">
        <f t="shared" si="117"/>
        <v>23422554.954246417</v>
      </c>
      <c r="FF44">
        <f t="shared" si="118"/>
        <v>23820258.024997406</v>
      </c>
      <c r="FG44">
        <f>BM44*AM44*195.08/1000*'PGM market prices'!$C$2*60*7200</f>
        <v>423243861.2446239</v>
      </c>
      <c r="FH44">
        <f>BN44*AQ44*BA44*106.42/1000*'PGM market prices'!$C$3*60*7200</f>
        <v>222265569.53546813</v>
      </c>
      <c r="FI44">
        <f>BK44*J44*102.91/1000*'PGM market prices'!$C$4*60*7200</f>
        <v>247409448.26329947</v>
      </c>
      <c r="FJ44">
        <f t="shared" si="119"/>
        <v>892918879.04339147</v>
      </c>
      <c r="FK44">
        <f t="shared" si="120"/>
        <v>643132979.55361164</v>
      </c>
      <c r="FL44">
        <f t="shared" si="64"/>
        <v>0.55139486168975471</v>
      </c>
      <c r="FM44">
        <f t="shared" si="65"/>
        <v>1898.3500074274734</v>
      </c>
      <c r="FN44">
        <f t="shared" si="66"/>
        <v>3529.0819646440709</v>
      </c>
      <c r="FO44">
        <f t="shared" si="67"/>
        <v>15880.79752553143</v>
      </c>
    </row>
    <row r="45" spans="1:171">
      <c r="A45">
        <v>7</v>
      </c>
      <c r="B45">
        <v>1.54143585092054E-3</v>
      </c>
      <c r="C45">
        <v>1.54143585092054E-3</v>
      </c>
      <c r="D45">
        <v>3.4254130020456501E-4</v>
      </c>
      <c r="E45">
        <v>0</v>
      </c>
      <c r="F45">
        <v>0</v>
      </c>
      <c r="G45">
        <v>0</v>
      </c>
      <c r="H45" s="53">
        <v>1.7744466230058299E-5</v>
      </c>
      <c r="I45" s="53">
        <v>1.2927742824924801E-8</v>
      </c>
      <c r="J45">
        <v>3.3739048286900598E-4</v>
      </c>
      <c r="K45">
        <v>0.13716795306346499</v>
      </c>
      <c r="L45">
        <v>0.138764207307677</v>
      </c>
      <c r="M45">
        <v>4.6369433969460899E-4</v>
      </c>
      <c r="N45" s="53">
        <v>-1.1037178115902399E-16</v>
      </c>
      <c r="O45" s="53">
        <v>-5.3700533603207003E-15</v>
      </c>
      <c r="P45" s="53">
        <v>-3.4304834363799101E-19</v>
      </c>
      <c r="Q45">
        <v>0.111082169753281</v>
      </c>
      <c r="R45">
        <v>98.496293050653193</v>
      </c>
      <c r="S45">
        <v>500</v>
      </c>
      <c r="T45">
        <v>95</v>
      </c>
      <c r="U45">
        <v>1</v>
      </c>
      <c r="V45">
        <v>0.1</v>
      </c>
      <c r="W45">
        <v>90.023448607553206</v>
      </c>
      <c r="X45" t="s">
        <v>323</v>
      </c>
      <c r="Y45">
        <v>1</v>
      </c>
      <c r="Z45">
        <v>0.28318429382522198</v>
      </c>
      <c r="AA45">
        <v>0.56945642916197003</v>
      </c>
      <c r="AB45">
        <v>3.7698628972227502E-3</v>
      </c>
      <c r="AC45">
        <v>1822.2107908876901</v>
      </c>
      <c r="AD45">
        <v>2662.6059073104898</v>
      </c>
      <c r="AE45">
        <v>2401.5030938442701</v>
      </c>
      <c r="AF45">
        <v>7</v>
      </c>
      <c r="AG45">
        <v>1.64967327652189E-3</v>
      </c>
      <c r="AH45">
        <v>1.66887089455438E-3</v>
      </c>
      <c r="AI45" s="53">
        <v>5.5766973522943398E-6</v>
      </c>
      <c r="AJ45">
        <v>0</v>
      </c>
      <c r="AK45">
        <v>0</v>
      </c>
      <c r="AL45">
        <v>0</v>
      </c>
      <c r="AM45">
        <v>1.6125268282720601E-3</v>
      </c>
      <c r="AN45" s="53">
        <v>7.9330002196474706E-5</v>
      </c>
      <c r="AO45" s="53">
        <v>5.5398308704750104E-6</v>
      </c>
      <c r="AP45">
        <v>1.7397589915908601E-3</v>
      </c>
      <c r="AQ45">
        <v>7.4446365407150494E-2</v>
      </c>
      <c r="AR45" s="53">
        <v>1.7266467254719899E-6</v>
      </c>
      <c r="AS45" s="53">
        <v>-4.8721335126067302E-18</v>
      </c>
      <c r="AT45" s="53">
        <v>-2.21068822969794E-15</v>
      </c>
      <c r="AU45" s="53">
        <v>-5.2476338060364E-21</v>
      </c>
      <c r="AV45">
        <v>0.19720924848406601</v>
      </c>
      <c r="AW45">
        <v>99.338919086147698</v>
      </c>
      <c r="AX45">
        <v>500</v>
      </c>
      <c r="AY45">
        <v>95</v>
      </c>
      <c r="AZ45">
        <v>0.92363221637625403</v>
      </c>
      <c r="BA45">
        <v>0.1</v>
      </c>
      <c r="BB45">
        <v>46.835136966250197</v>
      </c>
      <c r="BC45" t="s">
        <v>251</v>
      </c>
      <c r="BD45">
        <v>1</v>
      </c>
      <c r="BE45">
        <v>1.8775014999999999E-2</v>
      </c>
      <c r="BF45">
        <v>0.10492961100000001</v>
      </c>
      <c r="BG45">
        <v>1.814625E-3</v>
      </c>
      <c r="BH45">
        <v>285.1951444</v>
      </c>
      <c r="BI45">
        <v>2169.8944889999998</v>
      </c>
      <c r="BJ45">
        <v>866.49409060000005</v>
      </c>
      <c r="BK45">
        <f t="shared" si="68"/>
        <v>100</v>
      </c>
      <c r="BL45">
        <f t="shared" si="69"/>
        <v>11.1082169753281</v>
      </c>
      <c r="BM45">
        <f t="shared" si="70"/>
        <v>92.363221637625401</v>
      </c>
      <c r="BN45">
        <f t="shared" si="71"/>
        <v>19.7209248484066</v>
      </c>
      <c r="BO45">
        <f t="shared" si="72"/>
        <v>3.9989581111181156</v>
      </c>
      <c r="BP45">
        <f t="shared" si="73"/>
        <v>0.2665972074078744</v>
      </c>
      <c r="BQ45">
        <f t="shared" si="74"/>
        <v>1.332986037039372</v>
      </c>
      <c r="BR45">
        <f t="shared" si="75"/>
        <v>0.66649301851968601</v>
      </c>
      <c r="BS45">
        <f t="shared" si="76"/>
        <v>1.11082169753281</v>
      </c>
      <c r="BT45">
        <f t="shared" si="77"/>
        <v>6.6649301851968596</v>
      </c>
      <c r="BU45">
        <f t="shared" si="78"/>
        <v>17.77314716052496</v>
      </c>
      <c r="BV45">
        <f t="shared" si="31"/>
        <v>5.5541084876640499</v>
      </c>
      <c r="BW45">
        <f t="shared" si="79"/>
        <v>86.809113149961348</v>
      </c>
      <c r="BX45">
        <f t="shared" si="80"/>
        <v>103.47143861295351</v>
      </c>
      <c r="BY45">
        <f t="shared" si="33"/>
        <v>92.363221637625401</v>
      </c>
      <c r="BZ45">
        <f t="shared" si="34"/>
        <v>1.555150376545934</v>
      </c>
      <c r="CA45">
        <f>7963.6*(BT45/1000)^0.6*1.7*('CAPEX+OPEX'!$G$116/'CAPEX+OPEX'!$G$115)</f>
        <v>789.80211173988403</v>
      </c>
      <c r="CB45">
        <f>7963.6*(BU45/1000)^0.6*1.7*('CAPEX+OPEX'!$G$116/'CAPEX+OPEX'!$G$115)</f>
        <v>1422.6547883997009</v>
      </c>
      <c r="CC45">
        <f>7963.6*(BX45/1000)^0.6*1.7*('CAPEX+OPEX'!$G$116/'CAPEX+OPEX'!$G$115)</f>
        <v>4093.8622010078388</v>
      </c>
      <c r="CD45">
        <f>7963.6*(BY45/1000)^0.6*1.7*('CAPEX+OPEX'!$G$116/'CAPEX+OPEX'!$G$115)</f>
        <v>3824.1980130425482</v>
      </c>
      <c r="CE45">
        <v>300</v>
      </c>
      <c r="CF45">
        <v>30</v>
      </c>
      <c r="CG45">
        <f t="shared" si="81"/>
        <v>7.0995329454263763</v>
      </c>
      <c r="CH45">
        <f t="shared" si="82"/>
        <v>0.47330219636175841</v>
      </c>
      <c r="CI45">
        <f t="shared" si="83"/>
        <v>2.3665109818087919</v>
      </c>
      <c r="CJ45">
        <f t="shared" si="84"/>
        <v>1.183255490904396</v>
      </c>
      <c r="CK45">
        <f t="shared" si="85"/>
        <v>1.97209248484066</v>
      </c>
      <c r="CL45">
        <f t="shared" si="86"/>
        <v>11.83255490904396</v>
      </c>
      <c r="CM45">
        <f t="shared" si="87"/>
        <v>31.55347975745056</v>
      </c>
      <c r="CN45">
        <f t="shared" si="36"/>
        <v>9.8604624242033001</v>
      </c>
      <c r="CO45">
        <v>0</v>
      </c>
      <c r="CP45">
        <f t="shared" si="88"/>
        <v>29.581387272609902</v>
      </c>
      <c r="CQ45">
        <f t="shared" si="38"/>
        <v>9.8604624242033001</v>
      </c>
      <c r="CR45">
        <f t="shared" si="39"/>
        <v>2.7609294787769239</v>
      </c>
      <c r="CS45">
        <f>7963.6*(CL45/1000)^0.6*1.7*('CAPEX+OPEX'!$G$116/'CAPEX+OPEX'!$G$115)</f>
        <v>1114.5204585466479</v>
      </c>
      <c r="CT45">
        <f>7963.6*(CM45/1000)^0.6*1.7*('CAPEX+OPEX'!$G$116/'CAPEX+OPEX'!$G$115)</f>
        <v>2007.5634688135876</v>
      </c>
      <c r="CU45">
        <f>7963.6*(CP45/1000)^0.6*1.7*('CAPEX+OPEX'!$G$116/'CAPEX+OPEX'!$G$115)</f>
        <v>1931.310271081295</v>
      </c>
      <c r="CV45">
        <f>7963.6*(CQ45/1000)^0.6*1.7*('CAPEX+OPEX'!$G$116/'CAPEX+OPEX'!$G$115)</f>
        <v>999.03176534492673</v>
      </c>
      <c r="CW45">
        <v>300</v>
      </c>
      <c r="CX45">
        <f t="shared" si="89"/>
        <v>30</v>
      </c>
      <c r="CY45">
        <f t="shared" si="90"/>
        <v>10</v>
      </c>
      <c r="CZ45">
        <f t="shared" si="91"/>
        <v>9.2363221637625408</v>
      </c>
      <c r="DA45">
        <f t="shared" si="92"/>
        <v>3960</v>
      </c>
      <c r="DB45">
        <f t="shared" si="93"/>
        <v>3960</v>
      </c>
      <c r="DC45">
        <f>CF45*'Reagent cost'!$C$18/1000*'Reagent cost'!$H$18</f>
        <v>4784.413580611521</v>
      </c>
      <c r="DD45">
        <f>CX45*'Ligand cost'!$B$56*'Ligand cost'!$J$56</f>
        <v>30543.831958072875</v>
      </c>
      <c r="DE45">
        <f t="shared" si="94"/>
        <v>39625.826528698344</v>
      </c>
      <c r="DF45">
        <f t="shared" si="95"/>
        <v>4586243.4239371875</v>
      </c>
      <c r="DG45">
        <f t="shared" si="96"/>
        <v>11794834.586807497</v>
      </c>
      <c r="DH45">
        <f t="shared" si="97"/>
        <v>2275209.1661185985</v>
      </c>
      <c r="DI45">
        <f t="shared" si="98"/>
        <v>14083914.336508472</v>
      </c>
      <c r="DJ45">
        <f t="shared" si="99"/>
        <v>1662824.8986326549</v>
      </c>
      <c r="DK45" s="55">
        <f>DF45*($BK$2/10000)^0.72*0.6*((A45+1)/3)^0.6*('CAPEX+OPEX'!$G$116/'CAPEX+OPEX'!$G$114)</f>
        <v>420020.3066987202</v>
      </c>
      <c r="DL45" s="55">
        <f>DG45*($BK$2/10000)^0.72*0.6*((A45+1)/3)^0.6*('CAPEX+OPEX'!$G$116/'CAPEX+OPEX'!$G$114)</f>
        <v>1080202.1573374313</v>
      </c>
      <c r="DM45" s="55">
        <f>DH45*($BK$2/10000)^0.72*0.6*((A45+1)/3)^0.6*('CAPEX+OPEX'!$G$116/'CAPEX+OPEX'!$G$114)</f>
        <v>208369.67500876408</v>
      </c>
      <c r="DN45" s="55">
        <f>DI45*($BK$2/10000)^0.72*0.6*((A45+1)/3)^0.6*('CAPEX+OPEX'!$G$116/'CAPEX+OPEX'!$G$114)</f>
        <v>1289842.1370884064</v>
      </c>
      <c r="DO45" s="55">
        <f>DJ45*($BK$2/10000)^0.72*0.6*((A45+1)/3)^0.6*('CAPEX+OPEX'!$G$116/'CAPEX+OPEX'!$G$114)</f>
        <v>152285.9035926135</v>
      </c>
      <c r="DP45">
        <f t="shared" si="100"/>
        <v>3150720.1797259357</v>
      </c>
      <c r="DQ45">
        <f>DF45*(BM45/10000)^0.72*0.6*((AF45+1)/3)^0.6*('CAPEX+OPEX'!$G$116/'CAPEX+OPEX'!$G$114)</f>
        <v>396670.24103675608</v>
      </c>
      <c r="DR45">
        <f>DG45*(BM45/10000)^0.72*0.6*((AF45+1)/3)^0.6*('CAPEX+OPEX'!$G$116/'CAPEX+OPEX'!$G$114)</f>
        <v>1020150.7957728663</v>
      </c>
      <c r="DS45">
        <f>DH45*(BM45/10000)^0.72*0.6*((AF45+1)/3)^0.6*('CAPEX+OPEX'!$G$116/'CAPEX+OPEX'!$G$114)</f>
        <v>196785.84080879827</v>
      </c>
      <c r="DT45">
        <f>DI45*(BM45/10000)^0.72*0.6*((AF45+1)/3)^0.6*('CAPEX+OPEX'!$G$116/'CAPEX+OPEX'!$G$114)</f>
        <v>1218136.3216450925</v>
      </c>
      <c r="DU45">
        <f>DJ45*(BM45/10000)^0.72*0.6*((AF45+1)/3)^0.6*('CAPEX+OPEX'!$G$116/'CAPEX+OPEX'!$G$114)</f>
        <v>143819.91804008707</v>
      </c>
      <c r="DV45">
        <f t="shared" si="101"/>
        <v>2975563.1173036001</v>
      </c>
      <c r="DW45">
        <f t="shared" si="102"/>
        <v>6194629.1639386965</v>
      </c>
      <c r="DX45">
        <f t="shared" si="103"/>
        <v>412975.2775959131</v>
      </c>
      <c r="DY45">
        <f>BO45*'Reagent cost'!$C$35*60*7200</f>
        <v>1035798.8432824415</v>
      </c>
      <c r="DZ45">
        <f>BP45*'Reagent cost'!$C$34*60*7200</f>
        <v>246464.93800436775</v>
      </c>
      <c r="EA45">
        <f>BQ45*'Reagent cost'!$C$14*'Reagent cost'!$C$36/1000*60*7200</f>
        <v>4085359.0754036303</v>
      </c>
      <c r="EB45">
        <f t="shared" si="104"/>
        <v>39.6</v>
      </c>
      <c r="EC45">
        <f t="shared" si="105"/>
        <v>95.688271612230423</v>
      </c>
      <c r="ED45">
        <f>0.1*BK45*60*7200*'Reagent cost'!$H$17*'Reagent cost'!$C$17/1000</f>
        <v>504921.59999999998</v>
      </c>
      <c r="EE45">
        <f>BV45*0.1*'Reagent cost'!$C$16/1000*'Reagent cost'!$H$16*60*7200</f>
        <v>1013471.9499331086</v>
      </c>
      <c r="EF45">
        <f>BZ45/1000*'Reagent cost'!$H$19*'Reagent cost'!$C$19*60*7200</f>
        <v>85153.814018149162</v>
      </c>
      <c r="EG45">
        <f>0.33*('Costing 100 Lmin Feed Orig'!BO45*'Reagent cost'!$C$13+'Costing 100 Lmin Feed Orig'!BP45*'Reagent cost'!$C$12+'Costing 100 Lmin Feed Orig'!BQ45*'Reagent cost'!$C$14+'Costing 100 Lmin Feed Orig'!BV45*0.1*'Reagent cost'!$C$16+'Costing 100 Lmin Feed Orig'!BZ45*'Reagent cost'!$C$19)/1000*60*7200</f>
        <v>174222.54346790322</v>
      </c>
      <c r="EH45">
        <f>CG45*'Reagent cost'!$C$35*60*7200</f>
        <v>1838900.9858025548</v>
      </c>
      <c r="EI45">
        <f>CH45*'Reagent cost'!$C$34*60*7200</f>
        <v>437560.45915800671</v>
      </c>
      <c r="EJ45">
        <f>CI45*'Reagent cost'!$C$14*'Reagent cost'!$C$36/1000*60*7200</f>
        <v>7252924.5227865344</v>
      </c>
      <c r="EK45">
        <f t="shared" si="106"/>
        <v>39.6</v>
      </c>
      <c r="EL45">
        <f t="shared" si="107"/>
        <v>610.87663916145755</v>
      </c>
      <c r="EM45">
        <f>0.1*BM45*60*7200*'Reagent cost'!$H$17*'Reagent cost'!$C$17/1000</f>
        <v>466361.85650424438</v>
      </c>
      <c r="EN45">
        <f>CN45*0.1*'Reagent cost'!$C$16/1000*'Reagent cost'!$H$16*60*7200</f>
        <v>1799263.0324911887</v>
      </c>
      <c r="EO45">
        <f>CR45/1000*'Reagent cost'!$H$19*'Reagent cost'!$C$19*60*7200</f>
        <v>151177.45453990923</v>
      </c>
      <c r="EP45">
        <f>0.33*(CG45*'Reagent cost'!$C$13+CH45*'Reagent cost'!$C$12+CI45*'Reagent cost'!$C$14+CN45*0.1*'Reagent cost'!$C$16+CR45*'Reagent cost'!$C$19)/1000*60*7200</f>
        <v>309305.23721853108</v>
      </c>
      <c r="EQ45">
        <f t="shared" si="108"/>
        <v>22701773.156201888</v>
      </c>
      <c r="ER45">
        <f t="shared" si="109"/>
        <v>483527.7806864343</v>
      </c>
      <c r="ES45">
        <f t="shared" si="110"/>
        <v>38528.386667103026</v>
      </c>
      <c r="ET45">
        <f t="shared" si="111"/>
        <v>33220.879177835675</v>
      </c>
      <c r="EU45">
        <f t="shared" si="112"/>
        <v>14065.291587390104</v>
      </c>
      <c r="EV45">
        <f t="shared" si="113"/>
        <v>7450.7773575794354</v>
      </c>
      <c r="EW45">
        <f t="shared" si="114"/>
        <v>7501.4888466080574</v>
      </c>
      <c r="EX45">
        <f t="shared" si="115"/>
        <v>100766.8236365163</v>
      </c>
      <c r="EY45">
        <f t="shared" si="56"/>
        <v>36001.204551981551</v>
      </c>
      <c r="EZ45">
        <f t="shared" si="57"/>
        <v>31036.899359153111</v>
      </c>
      <c r="FA45">
        <f t="shared" si="58"/>
        <v>13140.622712544662</v>
      </c>
      <c r="FB45">
        <f t="shared" si="59"/>
        <v>6964.8264458875174</v>
      </c>
      <c r="FC45">
        <f t="shared" si="60"/>
        <v>7008.3321133571535</v>
      </c>
      <c r="FD45">
        <f t="shared" si="116"/>
        <v>94151.885182924001</v>
      </c>
      <c r="FE45">
        <f t="shared" si="117"/>
        <v>23380219.645707764</v>
      </c>
      <c r="FF45">
        <f t="shared" si="118"/>
        <v>23793194.923303679</v>
      </c>
      <c r="FG45">
        <f>BM45*AM45*195.08/1000*'PGM market prices'!$C$2*60*7200</f>
        <v>423372855.63120371</v>
      </c>
      <c r="FH45">
        <f>BN45*AQ45*BA45*106.42/1000*'PGM market prices'!$C$3*60*7200</f>
        <v>222262019.21019143</v>
      </c>
      <c r="FI45">
        <f>BK45*J45*102.91/1000*'PGM market prices'!$C$4*60*7200</f>
        <v>247409448.26329947</v>
      </c>
      <c r="FJ45">
        <f t="shared" si="119"/>
        <v>893044323.1046946</v>
      </c>
      <c r="FK45">
        <f t="shared" si="120"/>
        <v>643245834.85422921</v>
      </c>
      <c r="FL45">
        <f t="shared" si="64"/>
        <v>0.55076840100239999</v>
      </c>
      <c r="FM45">
        <f t="shared" si="65"/>
        <v>1895.615482458559</v>
      </c>
      <c r="FN45">
        <f t="shared" si="66"/>
        <v>3525.1287484222375</v>
      </c>
      <c r="FO45">
        <f t="shared" si="67"/>
        <v>15862.754747071183</v>
      </c>
    </row>
    <row r="46" spans="1:171">
      <c r="A46">
        <v>7</v>
      </c>
      <c r="B46">
        <v>1.54143585092054E-3</v>
      </c>
      <c r="C46">
        <v>1.54143585092054E-3</v>
      </c>
      <c r="D46">
        <v>3.4254130020456501E-4</v>
      </c>
      <c r="E46">
        <v>0</v>
      </c>
      <c r="F46">
        <v>0</v>
      </c>
      <c r="G46">
        <v>0</v>
      </c>
      <c r="H46" s="53">
        <v>1.7744466230058299E-5</v>
      </c>
      <c r="I46" s="53">
        <v>1.2927742824924801E-8</v>
      </c>
      <c r="J46">
        <v>3.3739048286900598E-4</v>
      </c>
      <c r="K46">
        <v>0.13716795306346499</v>
      </c>
      <c r="L46">
        <v>0.138764207307677</v>
      </c>
      <c r="M46">
        <v>4.6369433969460899E-4</v>
      </c>
      <c r="N46" s="53">
        <v>-1.1037178115902399E-16</v>
      </c>
      <c r="O46" s="53">
        <v>-5.3700533603207003E-15</v>
      </c>
      <c r="P46" s="53">
        <v>-3.4304834363799101E-19</v>
      </c>
      <c r="Q46">
        <v>0.111082169753281</v>
      </c>
      <c r="R46">
        <v>98.496293050653193</v>
      </c>
      <c r="S46">
        <v>500</v>
      </c>
      <c r="T46">
        <v>95</v>
      </c>
      <c r="U46">
        <v>1</v>
      </c>
      <c r="V46">
        <v>0.1</v>
      </c>
      <c r="W46">
        <v>90.023448607553206</v>
      </c>
      <c r="X46" t="s">
        <v>323</v>
      </c>
      <c r="Y46">
        <v>1</v>
      </c>
      <c r="Z46">
        <v>0.28318429382522198</v>
      </c>
      <c r="AA46">
        <v>0.56945642916197003</v>
      </c>
      <c r="AB46">
        <v>3.7698628972227502E-3</v>
      </c>
      <c r="AC46">
        <v>1822.2107908876901</v>
      </c>
      <c r="AD46">
        <v>2662.6059073104898</v>
      </c>
      <c r="AE46">
        <v>2401.5030938442701</v>
      </c>
      <c r="AF46">
        <v>8</v>
      </c>
      <c r="AG46">
        <v>1.64967327652189E-3</v>
      </c>
      <c r="AH46">
        <v>1.66887089455438E-3</v>
      </c>
      <c r="AI46" s="53">
        <v>5.5766973522943398E-6</v>
      </c>
      <c r="AJ46">
        <v>0</v>
      </c>
      <c r="AK46">
        <v>0</v>
      </c>
      <c r="AL46">
        <v>0</v>
      </c>
      <c r="AM46">
        <v>1.6126668855832699E-3</v>
      </c>
      <c r="AN46" s="53">
        <v>7.9337240379229206E-5</v>
      </c>
      <c r="AO46" s="53">
        <v>5.5399641251523699E-6</v>
      </c>
      <c r="AP46">
        <v>1.7350315599837401E-3</v>
      </c>
      <c r="AQ46">
        <v>7.4524723667687906E-2</v>
      </c>
      <c r="AR46" s="53">
        <v>1.7222243722089301E-6</v>
      </c>
      <c r="AS46" s="53">
        <v>5.7278333009773403E-15</v>
      </c>
      <c r="AT46" s="53">
        <v>-1.34509916226155E-12</v>
      </c>
      <c r="AU46" s="53">
        <v>2.7085201977436299E-20</v>
      </c>
      <c r="AV46">
        <v>0.19700099793756001</v>
      </c>
      <c r="AW46">
        <v>99.341308577076504</v>
      </c>
      <c r="AX46">
        <v>500</v>
      </c>
      <c r="AY46">
        <v>95</v>
      </c>
      <c r="AZ46">
        <v>0.92363221637625403</v>
      </c>
      <c r="BA46">
        <v>0.1</v>
      </c>
      <c r="BB46">
        <v>46.884646577729498</v>
      </c>
      <c r="BC46" t="s">
        <v>251</v>
      </c>
      <c r="BD46">
        <v>1</v>
      </c>
      <c r="BE46">
        <v>1.8775014999999999E-2</v>
      </c>
      <c r="BF46">
        <v>0.10492961100000001</v>
      </c>
      <c r="BG46">
        <v>1.814625E-3</v>
      </c>
      <c r="BH46">
        <v>285.1951444</v>
      </c>
      <c r="BI46">
        <v>2169.8944889999998</v>
      </c>
      <c r="BJ46">
        <v>866.49409060000005</v>
      </c>
      <c r="BK46">
        <f t="shared" si="68"/>
        <v>100</v>
      </c>
      <c r="BL46">
        <f t="shared" si="69"/>
        <v>11.1082169753281</v>
      </c>
      <c r="BM46">
        <f t="shared" si="70"/>
        <v>92.363221637625401</v>
      </c>
      <c r="BN46">
        <f t="shared" si="71"/>
        <v>19.700099793756003</v>
      </c>
      <c r="BO46">
        <f t="shared" si="72"/>
        <v>3.9989581111181156</v>
      </c>
      <c r="BP46">
        <f t="shared" si="73"/>
        <v>0.2665972074078744</v>
      </c>
      <c r="BQ46">
        <f t="shared" si="74"/>
        <v>1.332986037039372</v>
      </c>
      <c r="BR46">
        <f t="shared" si="75"/>
        <v>0.66649301851968601</v>
      </c>
      <c r="BS46">
        <f t="shared" si="76"/>
        <v>1.11082169753281</v>
      </c>
      <c r="BT46">
        <f t="shared" si="77"/>
        <v>6.6649301851968596</v>
      </c>
      <c r="BU46">
        <f t="shared" si="78"/>
        <v>17.77314716052496</v>
      </c>
      <c r="BV46">
        <f t="shared" si="31"/>
        <v>5.5541084876640499</v>
      </c>
      <c r="BW46">
        <f t="shared" si="79"/>
        <v>86.809113149961348</v>
      </c>
      <c r="BX46">
        <f t="shared" si="80"/>
        <v>103.47143861295351</v>
      </c>
      <c r="BY46">
        <f t="shared" si="33"/>
        <v>92.363221637625401</v>
      </c>
      <c r="BZ46">
        <f t="shared" si="34"/>
        <v>1.555150376545934</v>
      </c>
      <c r="CA46">
        <f>7963.6*(BT46/1000)^0.6*1.7*('CAPEX+OPEX'!$G$116/'CAPEX+OPEX'!$G$115)</f>
        <v>789.80211173988403</v>
      </c>
      <c r="CB46">
        <f>7963.6*(BU46/1000)^0.6*1.7*('CAPEX+OPEX'!$G$116/'CAPEX+OPEX'!$G$115)</f>
        <v>1422.6547883997009</v>
      </c>
      <c r="CC46">
        <f>7963.6*(BX46/1000)^0.6*1.7*('CAPEX+OPEX'!$G$116/'CAPEX+OPEX'!$G$115)</f>
        <v>4093.8622010078388</v>
      </c>
      <c r="CD46">
        <f>7963.6*(BY46/1000)^0.6*1.7*('CAPEX+OPEX'!$G$116/'CAPEX+OPEX'!$G$115)</f>
        <v>3824.1980130425482</v>
      </c>
      <c r="CE46">
        <v>300</v>
      </c>
      <c r="CF46">
        <v>30</v>
      </c>
      <c r="CG46">
        <f t="shared" si="81"/>
        <v>7.0920359257521612</v>
      </c>
      <c r="CH46">
        <f t="shared" si="82"/>
        <v>0.4728023950501441</v>
      </c>
      <c r="CI46">
        <f t="shared" si="83"/>
        <v>2.3640119752507203</v>
      </c>
      <c r="CJ46">
        <f t="shared" si="84"/>
        <v>1.1820059876253601</v>
      </c>
      <c r="CK46">
        <f t="shared" si="85"/>
        <v>1.9700099793756003</v>
      </c>
      <c r="CL46">
        <f t="shared" si="86"/>
        <v>11.820059876253602</v>
      </c>
      <c r="CM46">
        <f t="shared" si="87"/>
        <v>31.520159670009605</v>
      </c>
      <c r="CN46">
        <f t="shared" si="36"/>
        <v>9.8500498968780015</v>
      </c>
      <c r="CO46">
        <v>0</v>
      </c>
      <c r="CP46">
        <f t="shared" si="88"/>
        <v>29.550149690634004</v>
      </c>
      <c r="CQ46">
        <f t="shared" si="38"/>
        <v>9.8500498968780015</v>
      </c>
      <c r="CR46">
        <f t="shared" si="39"/>
        <v>2.7580139711258402</v>
      </c>
      <c r="CS46">
        <f>7963.6*(CL46/1000)^0.6*1.7*('CAPEX+OPEX'!$G$116/'CAPEX+OPEX'!$G$115)</f>
        <v>1113.8141573785711</v>
      </c>
      <c r="CT46">
        <f>7963.6*(CM46/1000)^0.6*1.7*('CAPEX+OPEX'!$G$116/'CAPEX+OPEX'!$G$115)</f>
        <v>2006.291222609279</v>
      </c>
      <c r="CU46">
        <f>7963.6*(CP46/1000)^0.6*1.7*('CAPEX+OPEX'!$G$116/'CAPEX+OPEX'!$G$115)</f>
        <v>1930.0863485503787</v>
      </c>
      <c r="CV46">
        <f>7963.6*(CQ46/1000)^0.6*1.7*('CAPEX+OPEX'!$G$116/'CAPEX+OPEX'!$G$115)</f>
        <v>998.39865242412077</v>
      </c>
      <c r="CW46">
        <v>300</v>
      </c>
      <c r="CX46">
        <f t="shared" si="89"/>
        <v>30</v>
      </c>
      <c r="CY46">
        <f t="shared" si="90"/>
        <v>10</v>
      </c>
      <c r="CZ46">
        <f t="shared" si="91"/>
        <v>9.2363221637625408</v>
      </c>
      <c r="DA46">
        <f t="shared" si="92"/>
        <v>3960</v>
      </c>
      <c r="DB46">
        <f t="shared" si="93"/>
        <v>3960</v>
      </c>
      <c r="DC46">
        <f>CF46*'Reagent cost'!$C$18/1000*'Reagent cost'!$H$18</f>
        <v>4784.413580611521</v>
      </c>
      <c r="DD46">
        <f>CX46*'Ligand cost'!$B$56*'Ligand cost'!$J$56</f>
        <v>30543.831958072875</v>
      </c>
      <c r="DE46">
        <f t="shared" si="94"/>
        <v>39625.826528698344</v>
      </c>
      <c r="DF46">
        <f t="shared" si="95"/>
        <v>4586243.4239371875</v>
      </c>
      <c r="DG46">
        <f t="shared" si="96"/>
        <v>11794834.586807497</v>
      </c>
      <c r="DH46">
        <f t="shared" si="97"/>
        <v>2275209.1661185985</v>
      </c>
      <c r="DI46">
        <f t="shared" si="98"/>
        <v>14083914.336508472</v>
      </c>
      <c r="DJ46">
        <f t="shared" si="99"/>
        <v>1662824.8986326549</v>
      </c>
      <c r="DK46" s="55">
        <f>DF46*($BK$2/10000)^0.72*0.6*((A46+1)/3)^0.6*('CAPEX+OPEX'!$G$116/'CAPEX+OPEX'!$G$114)</f>
        <v>420020.3066987202</v>
      </c>
      <c r="DL46" s="55">
        <f>DG46*($BK$2/10000)^0.72*0.6*((A46+1)/3)^0.6*('CAPEX+OPEX'!$G$116/'CAPEX+OPEX'!$G$114)</f>
        <v>1080202.1573374313</v>
      </c>
      <c r="DM46" s="55">
        <f>DH46*($BK$2/10000)^0.72*0.6*((A46+1)/3)^0.6*('CAPEX+OPEX'!$G$116/'CAPEX+OPEX'!$G$114)</f>
        <v>208369.67500876408</v>
      </c>
      <c r="DN46" s="55">
        <f>DI46*($BK$2/10000)^0.72*0.6*((A46+1)/3)^0.6*('CAPEX+OPEX'!$G$116/'CAPEX+OPEX'!$G$114)</f>
        <v>1289842.1370884064</v>
      </c>
      <c r="DO46" s="55">
        <f>DJ46*($BK$2/10000)^0.72*0.6*((A46+1)/3)^0.6*('CAPEX+OPEX'!$G$116/'CAPEX+OPEX'!$G$114)</f>
        <v>152285.9035926135</v>
      </c>
      <c r="DP46">
        <f t="shared" si="100"/>
        <v>3150720.1797259357</v>
      </c>
      <c r="DQ46">
        <f>DF46*(BM46/10000)^0.72*0.6*((AF46+1)/3)^0.6*('CAPEX+OPEX'!$G$116/'CAPEX+OPEX'!$G$114)</f>
        <v>425717.13773862534</v>
      </c>
      <c r="DR46">
        <f>DG46*(BM46/10000)^0.72*0.6*((AF46+1)/3)^0.6*('CAPEX+OPEX'!$G$116/'CAPEX+OPEX'!$G$114)</f>
        <v>1094853.1851119203</v>
      </c>
      <c r="DS46">
        <f>DH46*(BM46/10000)^0.72*0.6*((AF46+1)/3)^0.6*('CAPEX+OPEX'!$G$116/'CAPEX+OPEX'!$G$114)</f>
        <v>211195.84034751836</v>
      </c>
      <c r="DT46">
        <f>DI46*(BM46/10000)^0.72*0.6*((AF46+1)/3)^0.6*('CAPEX+OPEX'!$G$116/'CAPEX+OPEX'!$G$114)</f>
        <v>1307336.5596340604</v>
      </c>
      <c r="DU46">
        <f>DJ46*(BM46/10000)^0.72*0.6*((AF46+1)/3)^0.6*('CAPEX+OPEX'!$G$116/'CAPEX+OPEX'!$G$114)</f>
        <v>154351.39197184244</v>
      </c>
      <c r="DV46">
        <f t="shared" si="101"/>
        <v>3193454.1148039671</v>
      </c>
      <c r="DW46">
        <f t="shared" si="102"/>
        <v>6412515.7505188156</v>
      </c>
      <c r="DX46">
        <f t="shared" si="103"/>
        <v>427501.05003458768</v>
      </c>
      <c r="DY46">
        <f>BO46*'Reagent cost'!$C$35*60*7200</f>
        <v>1035798.8432824415</v>
      </c>
      <c r="DZ46">
        <f>BP46*'Reagent cost'!$C$34*60*7200</f>
        <v>246464.93800436775</v>
      </c>
      <c r="EA46">
        <f>BQ46*'Reagent cost'!$C$14*'Reagent cost'!$C$36/1000*60*7200</f>
        <v>4085359.0754036303</v>
      </c>
      <c r="EB46">
        <f t="shared" si="104"/>
        <v>39.6</v>
      </c>
      <c r="EC46">
        <f t="shared" si="105"/>
        <v>95.688271612230423</v>
      </c>
      <c r="ED46">
        <f>0.1*BK46*60*7200*'Reagent cost'!$H$17*'Reagent cost'!$C$17/1000</f>
        <v>504921.59999999998</v>
      </c>
      <c r="EE46">
        <f>BV46*0.1*'Reagent cost'!$C$16/1000*'Reagent cost'!$H$16*60*7200</f>
        <v>1013471.9499331086</v>
      </c>
      <c r="EF46">
        <f>BZ46/1000*'Reagent cost'!$H$19*'Reagent cost'!$C$19*60*7200</f>
        <v>85153.814018149162</v>
      </c>
      <c r="EG46">
        <f>0.33*('Costing 100 Lmin Feed Orig'!BO46*'Reagent cost'!$C$13+'Costing 100 Lmin Feed Orig'!BP46*'Reagent cost'!$C$12+'Costing 100 Lmin Feed Orig'!BQ46*'Reagent cost'!$C$14+'Costing 100 Lmin Feed Orig'!BV46*0.1*'Reagent cost'!$C$16+'Costing 100 Lmin Feed Orig'!BZ46*'Reagent cost'!$C$19)/1000*60*7200</f>
        <v>174222.54346790322</v>
      </c>
      <c r="EH46">
        <f>CG46*'Reagent cost'!$C$35*60*7200</f>
        <v>1836959.1289261281</v>
      </c>
      <c r="EI46">
        <f>CH46*'Reagent cost'!$C$34*60*7200</f>
        <v>437098.40068230388</v>
      </c>
      <c r="EJ46">
        <f>CI46*'Reagent cost'!$C$14*'Reagent cost'!$C$36/1000*60*7200</f>
        <v>7245265.5234888485</v>
      </c>
      <c r="EK46">
        <f t="shared" si="106"/>
        <v>39.6</v>
      </c>
      <c r="EL46">
        <f t="shared" si="107"/>
        <v>610.87663916145755</v>
      </c>
      <c r="EM46">
        <f>0.1*BM46*60*7200*'Reagent cost'!$H$17*'Reagent cost'!$C$17/1000</f>
        <v>466361.85650424438</v>
      </c>
      <c r="EN46">
        <f>CN46*0.1*'Reagent cost'!$C$16/1000*'Reagent cost'!$H$16*60*7200</f>
        <v>1797363.0328070731</v>
      </c>
      <c r="EO46">
        <f>CR46/1000*'Reagent cost'!$H$19*'Reagent cost'!$C$19*60*7200</f>
        <v>151017.81300296649</v>
      </c>
      <c r="EP46">
        <f>0.33*(CG46*'Reagent cost'!$C$13+CH46*'Reagent cost'!$C$12+CI46*'Reagent cost'!$C$14+CN46*0.1*'Reagent cost'!$C$16+CR46*'Reagent cost'!$C$19)/1000*60*7200</f>
        <v>308978.6146834165</v>
      </c>
      <c r="EQ46">
        <f t="shared" si="108"/>
        <v>22687226.08915684</v>
      </c>
      <c r="ER46">
        <f t="shared" si="109"/>
        <v>483201.15815131972</v>
      </c>
      <c r="ES46">
        <f t="shared" si="110"/>
        <v>38528.386667103026</v>
      </c>
      <c r="ET46">
        <f t="shared" si="111"/>
        <v>33220.879177835675</v>
      </c>
      <c r="EU46">
        <f t="shared" si="112"/>
        <v>14065.291587390104</v>
      </c>
      <c r="EV46">
        <f t="shared" si="113"/>
        <v>7450.7773575794354</v>
      </c>
      <c r="EW46">
        <f t="shared" si="114"/>
        <v>7501.4888466080574</v>
      </c>
      <c r="EX46">
        <f t="shared" si="115"/>
        <v>100766.8236365163</v>
      </c>
      <c r="EY46">
        <f t="shared" si="56"/>
        <v>38572.719162837369</v>
      </c>
      <c r="EZ46">
        <f t="shared" si="57"/>
        <v>34916.511779047243</v>
      </c>
      <c r="FA46">
        <f t="shared" si="58"/>
        <v>14783.200551612743</v>
      </c>
      <c r="FB46">
        <f t="shared" si="59"/>
        <v>7835.4297516234565</v>
      </c>
      <c r="FC46">
        <f t="shared" si="60"/>
        <v>7884.3736275267966</v>
      </c>
      <c r="FD46">
        <f t="shared" si="116"/>
        <v>103992.2348726476</v>
      </c>
      <c r="FE46">
        <f t="shared" si="117"/>
        <v>23375186.305817325</v>
      </c>
      <c r="FF46">
        <f t="shared" si="118"/>
        <v>23802687.355851911</v>
      </c>
      <c r="FG46">
        <f>BM46*AM46*195.08/1000*'PGM market prices'!$C$2*60*7200</f>
        <v>423409628.02020168</v>
      </c>
      <c r="FH46">
        <f>BN46*AQ46*BA46*106.42/1000*'PGM market prices'!$C$3*60*7200</f>
        <v>222261007.31425953</v>
      </c>
      <c r="FI46">
        <f>BK46*J46*102.91/1000*'PGM market prices'!$C$4*60*7200</f>
        <v>247409448.26329947</v>
      </c>
      <c r="FJ46">
        <f t="shared" si="119"/>
        <v>893080083.59776068</v>
      </c>
      <c r="FK46">
        <f t="shared" si="120"/>
        <v>643265273.2190125</v>
      </c>
      <c r="FL46">
        <f t="shared" si="64"/>
        <v>0.55098813323731277</v>
      </c>
      <c r="FM46">
        <f t="shared" si="65"/>
        <v>1896.2070526200275</v>
      </c>
      <c r="FN46">
        <f t="shared" si="66"/>
        <v>3526.5511742854092</v>
      </c>
      <c r="FO46">
        <f t="shared" si="67"/>
        <v>15869.083284703524</v>
      </c>
    </row>
    <row r="47" spans="1:171">
      <c r="A47">
        <v>7</v>
      </c>
      <c r="B47">
        <v>1.54143585092054E-3</v>
      </c>
      <c r="C47">
        <v>1.54143585092054E-3</v>
      </c>
      <c r="D47">
        <v>3.4254130020456501E-4</v>
      </c>
      <c r="E47">
        <v>0</v>
      </c>
      <c r="F47">
        <v>0</v>
      </c>
      <c r="G47">
        <v>0</v>
      </c>
      <c r="H47" s="53">
        <v>1.7744466230058299E-5</v>
      </c>
      <c r="I47" s="53">
        <v>1.2927742824924801E-8</v>
      </c>
      <c r="J47">
        <v>3.3739048286900598E-4</v>
      </c>
      <c r="K47">
        <v>0.13716795306346499</v>
      </c>
      <c r="L47">
        <v>0.138764207307677</v>
      </c>
      <c r="M47">
        <v>4.6369433969460899E-4</v>
      </c>
      <c r="N47" s="53">
        <v>-1.1037178115902399E-16</v>
      </c>
      <c r="O47" s="53">
        <v>-5.3700533603207003E-15</v>
      </c>
      <c r="P47" s="53">
        <v>-3.4304834363799101E-19</v>
      </c>
      <c r="Q47">
        <v>0.111082169753281</v>
      </c>
      <c r="R47">
        <v>98.496293050653193</v>
      </c>
      <c r="S47">
        <v>500</v>
      </c>
      <c r="T47">
        <v>95</v>
      </c>
      <c r="U47">
        <v>1</v>
      </c>
      <c r="V47">
        <v>0.1</v>
      </c>
      <c r="W47">
        <v>90.023448607553206</v>
      </c>
      <c r="X47" t="s">
        <v>323</v>
      </c>
      <c r="Y47">
        <v>1</v>
      </c>
      <c r="Z47">
        <v>0.28318429382522198</v>
      </c>
      <c r="AA47">
        <v>0.56945642916197003</v>
      </c>
      <c r="AB47">
        <v>3.7698628972227502E-3</v>
      </c>
      <c r="AC47">
        <v>1822.2107908876901</v>
      </c>
      <c r="AD47">
        <v>2662.6059073104898</v>
      </c>
      <c r="AE47">
        <v>2401.5030938442701</v>
      </c>
      <c r="AF47">
        <v>9</v>
      </c>
      <c r="AG47">
        <v>1.64967327652189E-3</v>
      </c>
      <c r="AH47">
        <v>1.66887089455438E-3</v>
      </c>
      <c r="AI47" s="53">
        <v>5.5766973522943398E-6</v>
      </c>
      <c r="AJ47">
        <v>0</v>
      </c>
      <c r="AK47">
        <v>0</v>
      </c>
      <c r="AL47">
        <v>0</v>
      </c>
      <c r="AM47">
        <v>1.6127064588001699E-3</v>
      </c>
      <c r="AN47" s="53">
        <v>7.9339285496144799E-5</v>
      </c>
      <c r="AO47" s="53">
        <v>5.5400017762774897E-6</v>
      </c>
      <c r="AP47">
        <v>1.7336940135680801E-3</v>
      </c>
      <c r="AQ47">
        <v>7.4546893805151004E-2</v>
      </c>
      <c r="AR47" s="53">
        <v>1.7209731425580199E-6</v>
      </c>
      <c r="AS47" s="53">
        <v>4.4438736544749601E-17</v>
      </c>
      <c r="AT47" s="53">
        <v>-5.7289242794133999E-15</v>
      </c>
      <c r="AU47" s="53">
        <v>-1.43598554339205E-21</v>
      </c>
      <c r="AV47">
        <v>0.19694215655956099</v>
      </c>
      <c r="AW47">
        <v>99.341983728025795</v>
      </c>
      <c r="AX47">
        <v>500</v>
      </c>
      <c r="AY47">
        <v>95</v>
      </c>
      <c r="AZ47">
        <v>0.92363221637625403</v>
      </c>
      <c r="BA47">
        <v>0.1</v>
      </c>
      <c r="BB47">
        <v>46.898654534480997</v>
      </c>
      <c r="BC47" t="s">
        <v>251</v>
      </c>
      <c r="BD47">
        <v>1</v>
      </c>
      <c r="BE47">
        <v>1.8775014999999999E-2</v>
      </c>
      <c r="BF47">
        <v>0.10492961100000001</v>
      </c>
      <c r="BG47">
        <v>1.814625E-3</v>
      </c>
      <c r="BH47">
        <v>285.1951444</v>
      </c>
      <c r="BI47">
        <v>2169.8944889999998</v>
      </c>
      <c r="BJ47">
        <v>866.49409060000005</v>
      </c>
      <c r="BK47">
        <f t="shared" si="68"/>
        <v>100</v>
      </c>
      <c r="BL47">
        <f t="shared" si="69"/>
        <v>11.1082169753281</v>
      </c>
      <c r="BM47">
        <f t="shared" si="70"/>
        <v>92.363221637625401</v>
      </c>
      <c r="BN47">
        <f t="shared" si="71"/>
        <v>19.6942156559561</v>
      </c>
      <c r="BO47">
        <f t="shared" si="72"/>
        <v>3.9989581111181156</v>
      </c>
      <c r="BP47">
        <f t="shared" si="73"/>
        <v>0.2665972074078744</v>
      </c>
      <c r="BQ47">
        <f t="shared" si="74"/>
        <v>1.332986037039372</v>
      </c>
      <c r="BR47">
        <f t="shared" si="75"/>
        <v>0.66649301851968601</v>
      </c>
      <c r="BS47">
        <f t="shared" si="76"/>
        <v>1.11082169753281</v>
      </c>
      <c r="BT47">
        <f t="shared" si="77"/>
        <v>6.6649301851968596</v>
      </c>
      <c r="BU47">
        <f t="shared" si="78"/>
        <v>17.77314716052496</v>
      </c>
      <c r="BV47">
        <f t="shared" si="31"/>
        <v>5.5541084876640499</v>
      </c>
      <c r="BW47">
        <f t="shared" si="79"/>
        <v>86.809113149961348</v>
      </c>
      <c r="BX47">
        <f t="shared" si="80"/>
        <v>103.47143861295351</v>
      </c>
      <c r="BY47">
        <f t="shared" si="33"/>
        <v>92.363221637625401</v>
      </c>
      <c r="BZ47">
        <f t="shared" si="34"/>
        <v>1.555150376545934</v>
      </c>
      <c r="CA47">
        <f>7963.6*(BT47/1000)^0.6*1.7*('CAPEX+OPEX'!$G$116/'CAPEX+OPEX'!$G$115)</f>
        <v>789.80211173988403</v>
      </c>
      <c r="CB47">
        <f>7963.6*(BU47/1000)^0.6*1.7*('CAPEX+OPEX'!$G$116/'CAPEX+OPEX'!$G$115)</f>
        <v>1422.6547883997009</v>
      </c>
      <c r="CC47">
        <f>7963.6*(BX47/1000)^0.6*1.7*('CAPEX+OPEX'!$G$116/'CAPEX+OPEX'!$G$115)</f>
        <v>4093.8622010078388</v>
      </c>
      <c r="CD47">
        <f>7963.6*(BY47/1000)^0.6*1.7*('CAPEX+OPEX'!$G$116/'CAPEX+OPEX'!$G$115)</f>
        <v>3824.1980130425482</v>
      </c>
      <c r="CE47">
        <v>300</v>
      </c>
      <c r="CF47">
        <v>30</v>
      </c>
      <c r="CG47">
        <f t="shared" si="81"/>
        <v>7.0899176361441958</v>
      </c>
      <c r="CH47">
        <f t="shared" si="82"/>
        <v>0.47266117574294642</v>
      </c>
      <c r="CI47">
        <f t="shared" si="83"/>
        <v>2.3633058787147321</v>
      </c>
      <c r="CJ47">
        <f t="shared" si="84"/>
        <v>1.181652939357366</v>
      </c>
      <c r="CK47">
        <f t="shared" si="85"/>
        <v>1.96942156559561</v>
      </c>
      <c r="CL47">
        <f t="shared" si="86"/>
        <v>11.81652939357366</v>
      </c>
      <c r="CM47">
        <f t="shared" si="87"/>
        <v>31.51074504952976</v>
      </c>
      <c r="CN47">
        <f t="shared" si="36"/>
        <v>9.84710782797805</v>
      </c>
      <c r="CO47">
        <v>0</v>
      </c>
      <c r="CP47">
        <f t="shared" si="88"/>
        <v>29.54132348393415</v>
      </c>
      <c r="CQ47">
        <f t="shared" si="38"/>
        <v>9.84710782797805</v>
      </c>
      <c r="CR47">
        <f t="shared" si="39"/>
        <v>2.7571901918338537</v>
      </c>
      <c r="CS47">
        <f>7963.6*(CL47/1000)^0.6*1.7*('CAPEX+OPEX'!$G$116/'CAPEX+OPEX'!$G$115)</f>
        <v>1113.6145372462038</v>
      </c>
      <c r="CT47">
        <f>7963.6*(CM47/1000)^0.6*1.7*('CAPEX+OPEX'!$G$116/'CAPEX+OPEX'!$G$115)</f>
        <v>2005.9316508469958</v>
      </c>
      <c r="CU47">
        <f>7963.6*(CP47/1000)^0.6*1.7*('CAPEX+OPEX'!$G$116/'CAPEX+OPEX'!$G$115)</f>
        <v>1929.7404343870271</v>
      </c>
      <c r="CV47">
        <f>7963.6*(CQ47/1000)^0.6*1.7*('CAPEX+OPEX'!$G$116/'CAPEX+OPEX'!$G$115)</f>
        <v>998.2197173030039</v>
      </c>
      <c r="CW47">
        <v>300</v>
      </c>
      <c r="CX47">
        <f t="shared" si="89"/>
        <v>30</v>
      </c>
      <c r="CY47">
        <f t="shared" si="90"/>
        <v>10</v>
      </c>
      <c r="CZ47">
        <f t="shared" si="91"/>
        <v>9.2363221637625408</v>
      </c>
      <c r="DA47">
        <f t="shared" si="92"/>
        <v>3960</v>
      </c>
      <c r="DB47">
        <f t="shared" si="93"/>
        <v>3960</v>
      </c>
      <c r="DC47">
        <f>CF47*'Reagent cost'!$C$18/1000*'Reagent cost'!$H$18</f>
        <v>4784.413580611521</v>
      </c>
      <c r="DD47">
        <f>CX47*'Ligand cost'!$B$56*'Ligand cost'!$J$56</f>
        <v>30543.831958072875</v>
      </c>
      <c r="DE47">
        <f t="shared" si="94"/>
        <v>39625.826528698344</v>
      </c>
      <c r="DF47">
        <f t="shared" si="95"/>
        <v>4586243.4239371875</v>
      </c>
      <c r="DG47">
        <f t="shared" si="96"/>
        <v>11794834.586807497</v>
      </c>
      <c r="DH47">
        <f t="shared" si="97"/>
        <v>2275209.1661185985</v>
      </c>
      <c r="DI47">
        <f t="shared" si="98"/>
        <v>14083914.336508472</v>
      </c>
      <c r="DJ47">
        <f t="shared" si="99"/>
        <v>1662824.8986326549</v>
      </c>
      <c r="DK47" s="55">
        <f>DF47*($BK$2/10000)^0.72*0.6*((A47+1)/3)^0.6*('CAPEX+OPEX'!$G$116/'CAPEX+OPEX'!$G$114)</f>
        <v>420020.3066987202</v>
      </c>
      <c r="DL47" s="55">
        <f>DG47*($BK$2/10000)^0.72*0.6*((A47+1)/3)^0.6*('CAPEX+OPEX'!$G$116/'CAPEX+OPEX'!$G$114)</f>
        <v>1080202.1573374313</v>
      </c>
      <c r="DM47" s="55">
        <f>DH47*($BK$2/10000)^0.72*0.6*((A47+1)/3)^0.6*('CAPEX+OPEX'!$G$116/'CAPEX+OPEX'!$G$114)</f>
        <v>208369.67500876408</v>
      </c>
      <c r="DN47" s="55">
        <f>DI47*($BK$2/10000)^0.72*0.6*((A47+1)/3)^0.6*('CAPEX+OPEX'!$G$116/'CAPEX+OPEX'!$G$114)</f>
        <v>1289842.1370884064</v>
      </c>
      <c r="DO47" s="55">
        <f>DJ47*($BK$2/10000)^0.72*0.6*((A47+1)/3)^0.6*('CAPEX+OPEX'!$G$116/'CAPEX+OPEX'!$G$114)</f>
        <v>152285.9035926135</v>
      </c>
      <c r="DP47">
        <f t="shared" si="100"/>
        <v>3150720.1797259357</v>
      </c>
      <c r="DQ47">
        <f>DF47*(BM47/10000)^0.72*0.6*((AF47+1)/3)^0.6*('CAPEX+OPEX'!$G$116/'CAPEX+OPEX'!$G$114)</f>
        <v>453498.262938347</v>
      </c>
      <c r="DR47">
        <f>DG47*(BM47/10000)^0.72*0.6*((AF47+1)/3)^0.6*('CAPEX+OPEX'!$G$116/'CAPEX+OPEX'!$G$114)</f>
        <v>1166300.2815865348</v>
      </c>
      <c r="DS47">
        <f>DH47*(BM47/10000)^0.72*0.6*((AF47+1)/3)^0.6*('CAPEX+OPEX'!$G$116/'CAPEX+OPEX'!$G$114)</f>
        <v>224977.89787407516</v>
      </c>
      <c r="DT47">
        <f>DI47*(BM47/10000)^0.72*0.6*((AF47+1)/3)^0.6*('CAPEX+OPEX'!$G$116/'CAPEX+OPEX'!$G$114)</f>
        <v>1392649.7345611784</v>
      </c>
      <c r="DU47">
        <f>DJ47*(BM47/10000)^0.72*0.6*((AF47+1)/3)^0.6*('CAPEX+OPEX'!$G$116/'CAPEX+OPEX'!$G$114)</f>
        <v>164423.93771876459</v>
      </c>
      <c r="DV47">
        <f t="shared" si="101"/>
        <v>3401850.1146788998</v>
      </c>
      <c r="DW47">
        <f t="shared" si="102"/>
        <v>6620910.5037463922</v>
      </c>
      <c r="DX47">
        <f t="shared" si="103"/>
        <v>441394.03358309279</v>
      </c>
      <c r="DY47">
        <f>BO47*'Reagent cost'!$C$35*60*7200</f>
        <v>1035798.8432824415</v>
      </c>
      <c r="DZ47">
        <f>BP47*'Reagent cost'!$C$34*60*7200</f>
        <v>246464.93800436775</v>
      </c>
      <c r="EA47">
        <f>BQ47*'Reagent cost'!$C$14*'Reagent cost'!$C$36/1000*60*7200</f>
        <v>4085359.0754036303</v>
      </c>
      <c r="EB47">
        <f t="shared" si="104"/>
        <v>39.6</v>
      </c>
      <c r="EC47">
        <f t="shared" si="105"/>
        <v>95.688271612230423</v>
      </c>
      <c r="ED47">
        <f>0.1*BK47*60*7200*'Reagent cost'!$H$17*'Reagent cost'!$C$17/1000</f>
        <v>504921.59999999998</v>
      </c>
      <c r="EE47">
        <f>BV47*0.1*'Reagent cost'!$C$16/1000*'Reagent cost'!$H$16*60*7200</f>
        <v>1013471.9499331086</v>
      </c>
      <c r="EF47">
        <f>BZ47/1000*'Reagent cost'!$H$19*'Reagent cost'!$C$19*60*7200</f>
        <v>85153.814018149162</v>
      </c>
      <c r="EG47">
        <f>0.33*('Costing 100 Lmin Feed Orig'!BO47*'Reagent cost'!$C$13+'Costing 100 Lmin Feed Orig'!BP47*'Reagent cost'!$C$12+'Costing 100 Lmin Feed Orig'!BQ47*'Reagent cost'!$C$14+'Costing 100 Lmin Feed Orig'!BV47*0.1*'Reagent cost'!$C$16+'Costing 100 Lmin Feed Orig'!BZ47*'Reagent cost'!$C$19)/1000*60*7200</f>
        <v>174222.54346790322</v>
      </c>
      <c r="EH47">
        <f>CG47*'Reagent cost'!$C$35*60*7200</f>
        <v>1836410.4555305333</v>
      </c>
      <c r="EI47">
        <f>CH47*'Reagent cost'!$C$34*60*7200</f>
        <v>436967.8456471184</v>
      </c>
      <c r="EJ47">
        <f>CI47*'Reagent cost'!$C$14*'Reagent cost'!$C$36/1000*60*7200</f>
        <v>7243101.4663935341</v>
      </c>
      <c r="EK47">
        <f t="shared" si="106"/>
        <v>39.6</v>
      </c>
      <c r="EL47">
        <f t="shared" si="107"/>
        <v>610.87663916145755</v>
      </c>
      <c r="EM47">
        <f>0.1*BM47*60*7200*'Reagent cost'!$H$17*'Reagent cost'!$C$17/1000</f>
        <v>466361.85650424438</v>
      </c>
      <c r="EN47">
        <f>CN47*0.1*'Reagent cost'!$C$16/1000*'Reagent cost'!$H$16*60*7200</f>
        <v>1796826.186198568</v>
      </c>
      <c r="EO47">
        <f>CR47/1000*'Reagent cost'!$H$19*'Reagent cost'!$C$19*60*7200</f>
        <v>150972.70614405448</v>
      </c>
      <c r="EP47">
        <f>0.33*(CG47*'Reagent cost'!$C$13+CH47*'Reagent cost'!$C$12+CI47*'Reagent cost'!$C$14+CN47*0.1*'Reagent cost'!$C$16+CR47*'Reagent cost'!$C$19)/1000*60*7200</f>
        <v>308886.32719426387</v>
      </c>
      <c r="EQ47">
        <f t="shared" si="108"/>
        <v>22683115.802364625</v>
      </c>
      <c r="ER47">
        <f t="shared" si="109"/>
        <v>483108.87066216709</v>
      </c>
      <c r="ES47">
        <f t="shared" si="110"/>
        <v>38528.386667103026</v>
      </c>
      <c r="ET47">
        <f t="shared" si="111"/>
        <v>33220.879177835675</v>
      </c>
      <c r="EU47">
        <f t="shared" si="112"/>
        <v>14065.291587390104</v>
      </c>
      <c r="EV47">
        <f t="shared" si="113"/>
        <v>7450.7773575794354</v>
      </c>
      <c r="EW47">
        <f t="shared" si="114"/>
        <v>7501.4888466080574</v>
      </c>
      <c r="EX47">
        <f t="shared" si="115"/>
        <v>100766.8236365163</v>
      </c>
      <c r="EY47">
        <f t="shared" si="56"/>
        <v>41144.233773693195</v>
      </c>
      <c r="EZ47">
        <f t="shared" si="57"/>
        <v>38796.12419894139</v>
      </c>
      <c r="FA47">
        <f t="shared" si="58"/>
        <v>16425.778390680825</v>
      </c>
      <c r="FB47">
        <f t="shared" si="59"/>
        <v>8706.0330573593965</v>
      </c>
      <c r="FC47">
        <f t="shared" si="60"/>
        <v>8760.4151416964414</v>
      </c>
      <c r="FD47">
        <f t="shared" si="116"/>
        <v>113832.58456237124</v>
      </c>
      <c r="FE47">
        <f t="shared" si="117"/>
        <v>23380824.081225682</v>
      </c>
      <c r="FF47">
        <f t="shared" si="118"/>
        <v>23822218.114808775</v>
      </c>
      <c r="FG47">
        <f>BM47*AM47*195.08/1000*'PGM market prices'!$C$2*60*7200</f>
        <v>423420018.06491399</v>
      </c>
      <c r="FH47">
        <f>BN47*AQ47*BA47*106.42/1000*'PGM market prices'!$C$3*60*7200</f>
        <v>222260721.14727747</v>
      </c>
      <c r="FI47">
        <f>BK47*J47*102.91/1000*'PGM market prices'!$C$4*60*7200</f>
        <v>247409448.26329947</v>
      </c>
      <c r="FJ47">
        <f t="shared" si="119"/>
        <v>893090187.47549093</v>
      </c>
      <c r="FK47">
        <f t="shared" si="120"/>
        <v>643258297.32690477</v>
      </c>
      <c r="FL47">
        <f t="shared" si="64"/>
        <v>0.55144023413909204</v>
      </c>
      <c r="FM47">
        <f t="shared" si="65"/>
        <v>1897.7163745616779</v>
      </c>
      <c r="FN47">
        <f t="shared" si="66"/>
        <v>3529.4493506765698</v>
      </c>
      <c r="FO47">
        <f t="shared" si="67"/>
        <v>15882.104303543389</v>
      </c>
    </row>
    <row r="48" spans="1:171">
      <c r="A48">
        <v>7</v>
      </c>
      <c r="B48">
        <v>1.54143585092054E-3</v>
      </c>
      <c r="C48">
        <v>1.54143585092054E-3</v>
      </c>
      <c r="D48">
        <v>3.4254130020456501E-4</v>
      </c>
      <c r="E48">
        <v>0</v>
      </c>
      <c r="F48">
        <v>0</v>
      </c>
      <c r="G48">
        <v>0</v>
      </c>
      <c r="H48" s="53">
        <v>1.7744466230058299E-5</v>
      </c>
      <c r="I48" s="53">
        <v>1.2927742824924801E-8</v>
      </c>
      <c r="J48">
        <v>3.3739048286900598E-4</v>
      </c>
      <c r="K48">
        <v>0.13716795306346499</v>
      </c>
      <c r="L48">
        <v>0.138764207307677</v>
      </c>
      <c r="M48">
        <v>4.6369433969460899E-4</v>
      </c>
      <c r="N48" s="53">
        <v>-1.1037178115902399E-16</v>
      </c>
      <c r="O48" s="53">
        <v>-5.3700533603207003E-15</v>
      </c>
      <c r="P48" s="53">
        <v>-3.4304834363799101E-19</v>
      </c>
      <c r="Q48">
        <v>0.111082169753281</v>
      </c>
      <c r="R48">
        <v>98.496293050653193</v>
      </c>
      <c r="S48">
        <v>500</v>
      </c>
      <c r="T48">
        <v>95</v>
      </c>
      <c r="U48">
        <v>1</v>
      </c>
      <c r="V48">
        <v>0.1</v>
      </c>
      <c r="W48">
        <v>90.023448607553206</v>
      </c>
      <c r="X48" t="s">
        <v>323</v>
      </c>
      <c r="Y48">
        <v>1</v>
      </c>
      <c r="Z48">
        <v>0.28318429382522198</v>
      </c>
      <c r="AA48">
        <v>0.56945642916197003</v>
      </c>
      <c r="AB48">
        <v>3.7698628972227502E-3</v>
      </c>
      <c r="AC48">
        <v>1822.2107908876901</v>
      </c>
      <c r="AD48">
        <v>2662.6059073104898</v>
      </c>
      <c r="AE48">
        <v>2401.5030938442701</v>
      </c>
      <c r="AF48">
        <v>10</v>
      </c>
      <c r="AG48">
        <v>1.64967327652189E-3</v>
      </c>
      <c r="AH48">
        <v>1.66887089455438E-3</v>
      </c>
      <c r="AI48" s="53">
        <v>5.5766973522943398E-6</v>
      </c>
      <c r="AJ48">
        <v>0</v>
      </c>
      <c r="AK48">
        <v>0</v>
      </c>
      <c r="AL48">
        <v>0</v>
      </c>
      <c r="AM48">
        <v>1.6127176023782901E-3</v>
      </c>
      <c r="AN48" s="53">
        <v>7.93398614299424E-5</v>
      </c>
      <c r="AO48" s="53">
        <v>5.5400123786141803E-6</v>
      </c>
      <c r="AP48">
        <v>1.73331722315182E-3</v>
      </c>
      <c r="AQ48">
        <v>7.4553139192579998E-2</v>
      </c>
      <c r="AR48" s="53">
        <v>1.72062066779231E-6</v>
      </c>
      <c r="AS48" s="53">
        <v>7.0422590285265596E-15</v>
      </c>
      <c r="AT48" s="53">
        <v>-7.2813760229606304E-13</v>
      </c>
      <c r="AU48" s="53">
        <v>6.7531025208829095E-20</v>
      </c>
      <c r="AV48">
        <v>0.19692558727263099</v>
      </c>
      <c r="AW48">
        <v>99.342173846585595</v>
      </c>
      <c r="AX48">
        <v>500</v>
      </c>
      <c r="AY48">
        <v>95</v>
      </c>
      <c r="AZ48">
        <v>0.92363221637625403</v>
      </c>
      <c r="BA48">
        <v>0.1</v>
      </c>
      <c r="BB48">
        <v>46.9026005796566</v>
      </c>
      <c r="BC48" t="s">
        <v>251</v>
      </c>
      <c r="BD48">
        <v>1</v>
      </c>
      <c r="BE48">
        <v>1.8775014999999999E-2</v>
      </c>
      <c r="BF48">
        <v>0.10492961100000001</v>
      </c>
      <c r="BG48">
        <v>1.814625E-3</v>
      </c>
      <c r="BH48">
        <v>285.1951444</v>
      </c>
      <c r="BI48">
        <v>2169.8944889999998</v>
      </c>
      <c r="BJ48">
        <v>866.49409060000005</v>
      </c>
      <c r="BK48">
        <f t="shared" si="68"/>
        <v>100</v>
      </c>
      <c r="BL48">
        <f t="shared" si="69"/>
        <v>11.1082169753281</v>
      </c>
      <c r="BM48">
        <f t="shared" si="70"/>
        <v>92.363221637625401</v>
      </c>
      <c r="BN48">
        <f t="shared" si="71"/>
        <v>19.692558727263098</v>
      </c>
      <c r="BO48">
        <f t="shared" si="72"/>
        <v>3.9989581111181156</v>
      </c>
      <c r="BP48">
        <f t="shared" si="73"/>
        <v>0.2665972074078744</v>
      </c>
      <c r="BQ48">
        <f t="shared" si="74"/>
        <v>1.332986037039372</v>
      </c>
      <c r="BR48">
        <f t="shared" si="75"/>
        <v>0.66649301851968601</v>
      </c>
      <c r="BS48">
        <f t="shared" si="76"/>
        <v>1.11082169753281</v>
      </c>
      <c r="BT48">
        <f t="shared" si="77"/>
        <v>6.6649301851968596</v>
      </c>
      <c r="BU48">
        <f t="shared" si="78"/>
        <v>17.77314716052496</v>
      </c>
      <c r="BV48">
        <f t="shared" si="31"/>
        <v>5.5541084876640499</v>
      </c>
      <c r="BW48">
        <f t="shared" si="79"/>
        <v>86.809113149961348</v>
      </c>
      <c r="BX48">
        <f t="shared" si="80"/>
        <v>103.47143861295351</v>
      </c>
      <c r="BY48">
        <f t="shared" si="33"/>
        <v>92.363221637625401</v>
      </c>
      <c r="BZ48">
        <f t="shared" si="34"/>
        <v>1.555150376545934</v>
      </c>
      <c r="CA48">
        <f>7963.6*(BT48/1000)^0.6*1.7*('CAPEX+OPEX'!$G$116/'CAPEX+OPEX'!$G$115)</f>
        <v>789.80211173988403</v>
      </c>
      <c r="CB48">
        <f>7963.6*(BU48/1000)^0.6*1.7*('CAPEX+OPEX'!$G$116/'CAPEX+OPEX'!$G$115)</f>
        <v>1422.6547883997009</v>
      </c>
      <c r="CC48">
        <f>7963.6*(BX48/1000)^0.6*1.7*('CAPEX+OPEX'!$G$116/'CAPEX+OPEX'!$G$115)</f>
        <v>4093.8622010078388</v>
      </c>
      <c r="CD48">
        <f>7963.6*(BY48/1000)^0.6*1.7*('CAPEX+OPEX'!$G$116/'CAPEX+OPEX'!$G$115)</f>
        <v>3824.1980130425482</v>
      </c>
      <c r="CE48">
        <v>300</v>
      </c>
      <c r="CF48">
        <v>30</v>
      </c>
      <c r="CG48">
        <f t="shared" si="81"/>
        <v>7.0893211418147146</v>
      </c>
      <c r="CH48">
        <f t="shared" si="82"/>
        <v>0.47262140945431436</v>
      </c>
      <c r="CI48">
        <f t="shared" si="83"/>
        <v>2.3631070472715718</v>
      </c>
      <c r="CJ48">
        <f t="shared" si="84"/>
        <v>1.1815535236357859</v>
      </c>
      <c r="CK48">
        <f t="shared" si="85"/>
        <v>1.9692558727263099</v>
      </c>
      <c r="CL48">
        <f t="shared" si="86"/>
        <v>11.815535236357858</v>
      </c>
      <c r="CM48">
        <f t="shared" si="87"/>
        <v>31.508093963620958</v>
      </c>
      <c r="CN48">
        <f t="shared" si="36"/>
        <v>9.8462793636315489</v>
      </c>
      <c r="CO48">
        <v>0</v>
      </c>
      <c r="CP48">
        <f t="shared" si="88"/>
        <v>29.538838090894647</v>
      </c>
      <c r="CQ48">
        <f t="shared" si="38"/>
        <v>9.8462793636315489</v>
      </c>
      <c r="CR48">
        <f t="shared" si="39"/>
        <v>2.7569582218168338</v>
      </c>
      <c r="CS48">
        <f>7963.6*(CL48/1000)^0.6*1.7*('CAPEX+OPEX'!$G$116/'CAPEX+OPEX'!$G$115)</f>
        <v>1113.5583214223946</v>
      </c>
      <c r="CT48">
        <f>7963.6*(CM48/1000)^0.6*1.7*('CAPEX+OPEX'!$G$116/'CAPEX+OPEX'!$G$115)</f>
        <v>2005.8303904049981</v>
      </c>
      <c r="CU48">
        <f>7963.6*(CP48/1000)^0.6*1.7*('CAPEX+OPEX'!$G$116/'CAPEX+OPEX'!$G$115)</f>
        <v>1929.6430201160856</v>
      </c>
      <c r="CV48">
        <f>7963.6*(CQ48/1000)^0.6*1.7*('CAPEX+OPEX'!$G$116/'CAPEX+OPEX'!$G$115)</f>
        <v>998.16932666793832</v>
      </c>
      <c r="CW48">
        <v>300</v>
      </c>
      <c r="CX48">
        <f t="shared" si="89"/>
        <v>30</v>
      </c>
      <c r="CY48">
        <f t="shared" si="90"/>
        <v>10</v>
      </c>
      <c r="CZ48">
        <f t="shared" si="91"/>
        <v>9.2363221637625408</v>
      </c>
      <c r="DA48">
        <f t="shared" si="92"/>
        <v>3960</v>
      </c>
      <c r="DB48">
        <f t="shared" si="93"/>
        <v>3960</v>
      </c>
      <c r="DC48">
        <f>CF48*'Reagent cost'!$C$18/1000*'Reagent cost'!$H$18</f>
        <v>4784.413580611521</v>
      </c>
      <c r="DD48">
        <f>CX48*'Ligand cost'!$B$56*'Ligand cost'!$J$56</f>
        <v>30543.831958072875</v>
      </c>
      <c r="DE48">
        <f t="shared" si="94"/>
        <v>39625.826528698344</v>
      </c>
      <c r="DF48">
        <f t="shared" si="95"/>
        <v>4586243.4239371875</v>
      </c>
      <c r="DG48">
        <f t="shared" si="96"/>
        <v>11794834.586807497</v>
      </c>
      <c r="DH48">
        <f t="shared" si="97"/>
        <v>2275209.1661185985</v>
      </c>
      <c r="DI48">
        <f t="shared" si="98"/>
        <v>14083914.336508472</v>
      </c>
      <c r="DJ48">
        <f t="shared" si="99"/>
        <v>1662824.8986326549</v>
      </c>
      <c r="DK48" s="55">
        <f>DF48*($BK$2/10000)^0.72*0.6*((A48+1)/3)^0.6*('CAPEX+OPEX'!$G$116/'CAPEX+OPEX'!$G$114)</f>
        <v>420020.3066987202</v>
      </c>
      <c r="DL48" s="55">
        <f>DG48*($BK$2/10000)^0.72*0.6*((A48+1)/3)^0.6*('CAPEX+OPEX'!$G$116/'CAPEX+OPEX'!$G$114)</f>
        <v>1080202.1573374313</v>
      </c>
      <c r="DM48" s="55">
        <f>DH48*($BK$2/10000)^0.72*0.6*((A48+1)/3)^0.6*('CAPEX+OPEX'!$G$116/'CAPEX+OPEX'!$G$114)</f>
        <v>208369.67500876408</v>
      </c>
      <c r="DN48" s="55">
        <f>DI48*($BK$2/10000)^0.72*0.6*((A48+1)/3)^0.6*('CAPEX+OPEX'!$G$116/'CAPEX+OPEX'!$G$114)</f>
        <v>1289842.1370884064</v>
      </c>
      <c r="DO48" s="55">
        <f>DJ48*($BK$2/10000)^0.72*0.6*((A48+1)/3)^0.6*('CAPEX+OPEX'!$G$116/'CAPEX+OPEX'!$G$114)</f>
        <v>152285.9035926135</v>
      </c>
      <c r="DP48">
        <f t="shared" si="100"/>
        <v>3150720.1797259357</v>
      </c>
      <c r="DQ48">
        <f>DF48*(BM48/10000)^0.72*0.6*((AF48+1)/3)^0.6*('CAPEX+OPEX'!$G$116/'CAPEX+OPEX'!$G$114)</f>
        <v>480187.9295073424</v>
      </c>
      <c r="DR48">
        <f>DG48*(BM48/10000)^0.72*0.6*((AF48+1)/3)^0.6*('CAPEX+OPEX'!$G$116/'CAPEX+OPEX'!$G$114)</f>
        <v>1234940.3805213834</v>
      </c>
      <c r="DS48">
        <f>DH48*(BM48/10000)^0.72*0.6*((AF48+1)/3)^0.6*('CAPEX+OPEX'!$G$116/'CAPEX+OPEX'!$G$114)</f>
        <v>238218.4890083104</v>
      </c>
      <c r="DT48">
        <f>DI48*(BM48/10000)^0.72*0.6*((AF48+1)/3)^0.6*('CAPEX+OPEX'!$G$116/'CAPEX+OPEX'!$G$114)</f>
        <v>1474611.1445608698</v>
      </c>
      <c r="DU48">
        <f>DJ48*(BM48/10000)^0.72*0.6*((AF48+1)/3)^0.6*('CAPEX+OPEX'!$G$116/'CAPEX+OPEX'!$G$114)</f>
        <v>174100.75554214773</v>
      </c>
      <c r="DV48">
        <f t="shared" si="101"/>
        <v>3602058.6991400542</v>
      </c>
      <c r="DW48">
        <f t="shared" si="102"/>
        <v>6821118.7371341987</v>
      </c>
      <c r="DX48">
        <f t="shared" si="103"/>
        <v>454741.24914227991</v>
      </c>
      <c r="DY48">
        <f>BO48*'Reagent cost'!$C$35*60*7200</f>
        <v>1035798.8432824415</v>
      </c>
      <c r="DZ48">
        <f>BP48*'Reagent cost'!$C$34*60*7200</f>
        <v>246464.93800436775</v>
      </c>
      <c r="EA48">
        <f>BQ48*'Reagent cost'!$C$14*'Reagent cost'!$C$36/1000*60*7200</f>
        <v>4085359.0754036303</v>
      </c>
      <c r="EB48">
        <f t="shared" si="104"/>
        <v>39.6</v>
      </c>
      <c r="EC48">
        <f t="shared" si="105"/>
        <v>95.688271612230423</v>
      </c>
      <c r="ED48">
        <f>0.1*BK48*60*7200*'Reagent cost'!$H$17*'Reagent cost'!$C$17/1000</f>
        <v>504921.59999999998</v>
      </c>
      <c r="EE48">
        <f>BV48*0.1*'Reagent cost'!$C$16/1000*'Reagent cost'!$H$16*60*7200</f>
        <v>1013471.9499331086</v>
      </c>
      <c r="EF48">
        <f>BZ48/1000*'Reagent cost'!$H$19*'Reagent cost'!$C$19*60*7200</f>
        <v>85153.814018149162</v>
      </c>
      <c r="EG48">
        <f>0.33*('Costing 100 Lmin Feed Orig'!BO48*'Reagent cost'!$C$13+'Costing 100 Lmin Feed Orig'!BP48*'Reagent cost'!$C$12+'Costing 100 Lmin Feed Orig'!BQ48*'Reagent cost'!$C$14+'Costing 100 Lmin Feed Orig'!BV48*0.1*'Reagent cost'!$C$16+'Costing 100 Lmin Feed Orig'!BZ48*'Reagent cost'!$C$19)/1000*60*7200</f>
        <v>174222.54346790322</v>
      </c>
      <c r="EH48">
        <f>CG48*'Reagent cost'!$C$35*60*7200</f>
        <v>1836255.9532528569</v>
      </c>
      <c r="EI48">
        <f>CH48*'Reagent cost'!$C$34*60*7200</f>
        <v>436931.08233681344</v>
      </c>
      <c r="EJ48">
        <f>CI48*'Reagent cost'!$C$14*'Reagent cost'!$C$36/1000*60*7200</f>
        <v>7242492.0842858292</v>
      </c>
      <c r="EK48">
        <f t="shared" si="106"/>
        <v>39.6</v>
      </c>
      <c r="EL48">
        <f t="shared" si="107"/>
        <v>610.87663916145755</v>
      </c>
      <c r="EM48">
        <f>0.1*BM48*60*7200*'Reagent cost'!$H$17*'Reagent cost'!$C$17/1000</f>
        <v>466361.85650424438</v>
      </c>
      <c r="EN48">
        <f>CN48*0.1*'Reagent cost'!$C$16/1000*'Reagent cost'!$H$16*60*7200</f>
        <v>1796675.0142546706</v>
      </c>
      <c r="EO48">
        <f>CR48/1000*'Reagent cost'!$H$19*'Reagent cost'!$C$19*60*7200</f>
        <v>150960.00439380255</v>
      </c>
      <c r="EP48">
        <f>0.33*(CG48*'Reagent cost'!$C$13+CH48*'Reagent cost'!$C$12+CI48*'Reagent cost'!$C$14+CN48*0.1*'Reagent cost'!$C$16+CR48*'Reagent cost'!$C$19)/1000*60*7200</f>
        <v>308860.33973544114</v>
      </c>
      <c r="EQ48">
        <f t="shared" si="108"/>
        <v>22681958.376696825</v>
      </c>
      <c r="ER48">
        <f t="shared" si="109"/>
        <v>483082.88320334436</v>
      </c>
      <c r="ES48">
        <f t="shared" si="110"/>
        <v>38528.386667103026</v>
      </c>
      <c r="ET48">
        <f t="shared" si="111"/>
        <v>33220.879177835675</v>
      </c>
      <c r="EU48">
        <f t="shared" si="112"/>
        <v>14065.291587390104</v>
      </c>
      <c r="EV48">
        <f t="shared" si="113"/>
        <v>7450.7773575794354</v>
      </c>
      <c r="EW48">
        <f t="shared" si="114"/>
        <v>7501.4888466080574</v>
      </c>
      <c r="EX48">
        <f t="shared" si="115"/>
        <v>100766.8236365163</v>
      </c>
      <c r="EY48">
        <f t="shared" si="56"/>
        <v>43715.748384549021</v>
      </c>
      <c r="EZ48">
        <f t="shared" si="57"/>
        <v>42675.736618835523</v>
      </c>
      <c r="FA48">
        <f t="shared" si="58"/>
        <v>18068.356229748908</v>
      </c>
      <c r="FB48">
        <f t="shared" si="59"/>
        <v>9576.6363630953347</v>
      </c>
      <c r="FC48">
        <f t="shared" si="60"/>
        <v>9636.4566558660845</v>
      </c>
      <c r="FD48">
        <f t="shared" si="116"/>
        <v>123672.93425209488</v>
      </c>
      <c r="FE48">
        <f t="shared" si="117"/>
        <v>23389481.017788779</v>
      </c>
      <c r="FF48">
        <f t="shared" si="118"/>
        <v>23844222.266931061</v>
      </c>
      <c r="FG48">
        <f>BM48*AM48*195.08/1000*'PGM market prices'!$C$2*60*7200</f>
        <v>423422943.83855569</v>
      </c>
      <c r="FH48">
        <f>BN48*AQ48*BA48*106.42/1000*'PGM market prices'!$C$3*60*7200</f>
        <v>222260640.72508177</v>
      </c>
      <c r="FI48">
        <f>BK48*J48*102.91/1000*'PGM market prices'!$C$4*60*7200</f>
        <v>247409448.26329947</v>
      </c>
      <c r="FJ48">
        <f t="shared" si="119"/>
        <v>893093032.82693696</v>
      </c>
      <c r="FK48">
        <f t="shared" si="120"/>
        <v>643244119.81440437</v>
      </c>
      <c r="FL48">
        <f t="shared" si="64"/>
        <v>0.55194958951229312</v>
      </c>
      <c r="FM48">
        <f t="shared" si="65"/>
        <v>1899.4561358839433</v>
      </c>
      <c r="FN48">
        <f t="shared" si="66"/>
        <v>3532.7107174888611</v>
      </c>
      <c r="FO48">
        <f t="shared" si="67"/>
        <v>15896.77431611035</v>
      </c>
    </row>
    <row r="49" spans="1:171">
      <c r="A49">
        <v>7</v>
      </c>
      <c r="B49">
        <v>1.54143585092054E-3</v>
      </c>
      <c r="C49">
        <v>1.54143585092054E-3</v>
      </c>
      <c r="D49">
        <v>3.4254130020456501E-4</v>
      </c>
      <c r="E49">
        <v>0</v>
      </c>
      <c r="F49">
        <v>0</v>
      </c>
      <c r="G49">
        <v>0</v>
      </c>
      <c r="H49" s="53">
        <v>1.7744466230058299E-5</v>
      </c>
      <c r="I49" s="53">
        <v>1.2927742824924801E-8</v>
      </c>
      <c r="J49">
        <v>3.3739048286900598E-4</v>
      </c>
      <c r="K49">
        <v>0.13716795306346499</v>
      </c>
      <c r="L49">
        <v>0.138764207307677</v>
      </c>
      <c r="M49">
        <v>4.6369433969460899E-4</v>
      </c>
      <c r="N49" s="53">
        <v>-1.1037178115902399E-16</v>
      </c>
      <c r="O49" s="53">
        <v>-5.3700533603207003E-15</v>
      </c>
      <c r="P49" s="53">
        <v>-3.4304834363799101E-19</v>
      </c>
      <c r="Q49">
        <v>0.111082169753281</v>
      </c>
      <c r="R49">
        <v>98.496293050653193</v>
      </c>
      <c r="S49">
        <v>500</v>
      </c>
      <c r="T49">
        <v>95</v>
      </c>
      <c r="U49">
        <v>1</v>
      </c>
      <c r="V49">
        <v>0.1</v>
      </c>
      <c r="W49">
        <v>90.023448607553206</v>
      </c>
      <c r="X49" t="s">
        <v>323</v>
      </c>
      <c r="Y49">
        <v>1</v>
      </c>
      <c r="Z49">
        <v>0.28318429382522198</v>
      </c>
      <c r="AA49">
        <v>0.56945642916197003</v>
      </c>
      <c r="AB49">
        <v>3.7698628972227502E-3</v>
      </c>
      <c r="AC49">
        <v>1822.2107908876901</v>
      </c>
      <c r="AD49">
        <v>2662.6059073104898</v>
      </c>
      <c r="AE49">
        <v>2401.5030938442701</v>
      </c>
      <c r="AF49">
        <v>11</v>
      </c>
      <c r="AG49">
        <v>1.64967327652189E-3</v>
      </c>
      <c r="AH49">
        <v>1.66887089455438E-3</v>
      </c>
      <c r="AI49" s="53">
        <v>5.5766973522943398E-6</v>
      </c>
      <c r="AJ49">
        <v>0</v>
      </c>
      <c r="AK49">
        <v>0</v>
      </c>
      <c r="AL49">
        <v>0</v>
      </c>
      <c r="AM49">
        <v>1.6127207366253499E-3</v>
      </c>
      <c r="AN49" s="53">
        <v>7.9340023409112399E-5</v>
      </c>
      <c r="AO49" s="53">
        <v>5.5400153606251003E-6</v>
      </c>
      <c r="AP49">
        <v>1.7332112363545699E-3</v>
      </c>
      <c r="AQ49">
        <v>7.4554895947902003E-2</v>
      </c>
      <c r="AR49" s="53">
        <v>1.7205215207154199E-6</v>
      </c>
      <c r="AS49" s="53">
        <v>2.2210084791272899E-15</v>
      </c>
      <c r="AT49" s="53">
        <v>-2.21852267459632E-13</v>
      </c>
      <c r="AU49" s="53">
        <v>1.5524525736395199E-20</v>
      </c>
      <c r="AV49">
        <v>0.19692092693176799</v>
      </c>
      <c r="AW49">
        <v>99.3422273192906</v>
      </c>
      <c r="AX49">
        <v>500</v>
      </c>
      <c r="AY49">
        <v>95</v>
      </c>
      <c r="AZ49">
        <v>0.92363221637625403</v>
      </c>
      <c r="BA49">
        <v>0.1</v>
      </c>
      <c r="BB49">
        <v>46.903710579032897</v>
      </c>
      <c r="BC49" t="s">
        <v>251</v>
      </c>
      <c r="BD49">
        <v>1</v>
      </c>
      <c r="BE49">
        <v>1.8775014999999999E-2</v>
      </c>
      <c r="BF49">
        <v>0.10492961100000001</v>
      </c>
      <c r="BG49">
        <v>1.814625E-3</v>
      </c>
      <c r="BH49">
        <v>285.1951444</v>
      </c>
      <c r="BI49">
        <v>2169.8944889999998</v>
      </c>
      <c r="BJ49">
        <v>866.49409060000005</v>
      </c>
      <c r="BK49">
        <f t="shared" si="68"/>
        <v>100</v>
      </c>
      <c r="BL49">
        <f t="shared" si="69"/>
        <v>11.1082169753281</v>
      </c>
      <c r="BM49">
        <f t="shared" si="70"/>
        <v>92.363221637625401</v>
      </c>
      <c r="BN49">
        <f t="shared" si="71"/>
        <v>19.6920926931768</v>
      </c>
      <c r="BO49">
        <f t="shared" si="72"/>
        <v>3.9989581111181156</v>
      </c>
      <c r="BP49">
        <f t="shared" si="73"/>
        <v>0.2665972074078744</v>
      </c>
      <c r="BQ49">
        <f t="shared" si="74"/>
        <v>1.332986037039372</v>
      </c>
      <c r="BR49">
        <f t="shared" si="75"/>
        <v>0.66649301851968601</v>
      </c>
      <c r="BS49">
        <f t="shared" si="76"/>
        <v>1.11082169753281</v>
      </c>
      <c r="BT49">
        <f t="shared" si="77"/>
        <v>6.6649301851968596</v>
      </c>
      <c r="BU49">
        <f t="shared" si="78"/>
        <v>17.77314716052496</v>
      </c>
      <c r="BV49">
        <f t="shared" si="31"/>
        <v>5.5541084876640499</v>
      </c>
      <c r="BW49">
        <f t="shared" si="79"/>
        <v>86.809113149961348</v>
      </c>
      <c r="BX49">
        <f t="shared" si="80"/>
        <v>103.47143861295351</v>
      </c>
      <c r="BY49">
        <f t="shared" si="33"/>
        <v>92.363221637625401</v>
      </c>
      <c r="BZ49">
        <f t="shared" si="34"/>
        <v>1.555150376545934</v>
      </c>
      <c r="CA49">
        <f>7963.6*(BT49/1000)^0.6*1.7*('CAPEX+OPEX'!$G$116/'CAPEX+OPEX'!$G$115)</f>
        <v>789.80211173988403</v>
      </c>
      <c r="CB49">
        <f>7963.6*(BU49/1000)^0.6*1.7*('CAPEX+OPEX'!$G$116/'CAPEX+OPEX'!$G$115)</f>
        <v>1422.6547883997009</v>
      </c>
      <c r="CC49">
        <f>7963.6*(BX49/1000)^0.6*1.7*('CAPEX+OPEX'!$G$116/'CAPEX+OPEX'!$G$115)</f>
        <v>4093.8622010078388</v>
      </c>
      <c r="CD49">
        <f>7963.6*(BY49/1000)^0.6*1.7*('CAPEX+OPEX'!$G$116/'CAPEX+OPEX'!$G$115)</f>
        <v>3824.1980130425482</v>
      </c>
      <c r="CE49">
        <v>300</v>
      </c>
      <c r="CF49">
        <v>30</v>
      </c>
      <c r="CG49">
        <f t="shared" si="81"/>
        <v>7.0891533695436477</v>
      </c>
      <c r="CH49">
        <f t="shared" si="82"/>
        <v>0.47261022463624319</v>
      </c>
      <c r="CI49">
        <f t="shared" si="83"/>
        <v>2.3630511231812159</v>
      </c>
      <c r="CJ49">
        <f t="shared" si="84"/>
        <v>1.181525561590608</v>
      </c>
      <c r="CK49">
        <f t="shared" si="85"/>
        <v>1.9692092693176801</v>
      </c>
      <c r="CL49">
        <f t="shared" si="86"/>
        <v>11.81525561590608</v>
      </c>
      <c r="CM49">
        <f t="shared" si="87"/>
        <v>31.507348309082882</v>
      </c>
      <c r="CN49">
        <f t="shared" si="36"/>
        <v>9.8460463465884001</v>
      </c>
      <c r="CO49">
        <v>0</v>
      </c>
      <c r="CP49">
        <f t="shared" si="88"/>
        <v>29.538139039765198</v>
      </c>
      <c r="CQ49">
        <f t="shared" si="38"/>
        <v>9.8460463465884001</v>
      </c>
      <c r="CR49">
        <f t="shared" si="39"/>
        <v>2.7568929770447519</v>
      </c>
      <c r="CS49">
        <f>7963.6*(CL49/1000)^0.6*1.7*('CAPEX+OPEX'!$G$116/'CAPEX+OPEX'!$G$115)</f>
        <v>1113.5425096043878</v>
      </c>
      <c r="CT49">
        <f>7963.6*(CM49/1000)^0.6*1.7*('CAPEX+OPEX'!$G$116/'CAPEX+OPEX'!$G$115)</f>
        <v>2005.8019088926449</v>
      </c>
      <c r="CU49">
        <f>7963.6*(CP49/1000)^0.6*1.7*('CAPEX+OPEX'!$G$116/'CAPEX+OPEX'!$G$115)</f>
        <v>1929.6156204158035</v>
      </c>
      <c r="CV49">
        <f>7963.6*(CQ49/1000)^0.6*1.7*('CAPEX+OPEX'!$G$116/'CAPEX+OPEX'!$G$115)</f>
        <v>998.15515330006838</v>
      </c>
      <c r="CW49">
        <v>300</v>
      </c>
      <c r="CX49">
        <f t="shared" si="89"/>
        <v>30</v>
      </c>
      <c r="CY49">
        <f t="shared" si="90"/>
        <v>10</v>
      </c>
      <c r="CZ49">
        <f t="shared" si="91"/>
        <v>9.2363221637625408</v>
      </c>
      <c r="DA49">
        <f t="shared" si="92"/>
        <v>3960</v>
      </c>
      <c r="DB49">
        <f t="shared" si="93"/>
        <v>3960</v>
      </c>
      <c r="DC49">
        <f>CF49*'Reagent cost'!$C$18/1000*'Reagent cost'!$H$18</f>
        <v>4784.413580611521</v>
      </c>
      <c r="DD49">
        <f>CX49*'Ligand cost'!$B$56*'Ligand cost'!$J$56</f>
        <v>30543.831958072875</v>
      </c>
      <c r="DE49">
        <f t="shared" si="94"/>
        <v>39625.826528698344</v>
      </c>
      <c r="DF49">
        <f t="shared" si="95"/>
        <v>4586243.4239371875</v>
      </c>
      <c r="DG49">
        <f t="shared" si="96"/>
        <v>11794834.586807497</v>
      </c>
      <c r="DH49">
        <f t="shared" si="97"/>
        <v>2275209.1661185985</v>
      </c>
      <c r="DI49">
        <f t="shared" si="98"/>
        <v>14083914.336508472</v>
      </c>
      <c r="DJ49">
        <f t="shared" si="99"/>
        <v>1662824.8986326549</v>
      </c>
      <c r="DK49" s="55">
        <f>DF49*($BK$2/10000)^0.72*0.6*((A49+1)/3)^0.6*('CAPEX+OPEX'!$G$116/'CAPEX+OPEX'!$G$114)</f>
        <v>420020.3066987202</v>
      </c>
      <c r="DL49" s="55">
        <f>DG49*($BK$2/10000)^0.72*0.6*((A49+1)/3)^0.6*('CAPEX+OPEX'!$G$116/'CAPEX+OPEX'!$G$114)</f>
        <v>1080202.1573374313</v>
      </c>
      <c r="DM49" s="55">
        <f>DH49*($BK$2/10000)^0.72*0.6*((A49+1)/3)^0.6*('CAPEX+OPEX'!$G$116/'CAPEX+OPEX'!$G$114)</f>
        <v>208369.67500876408</v>
      </c>
      <c r="DN49" s="55">
        <f>DI49*($BK$2/10000)^0.72*0.6*((A49+1)/3)^0.6*('CAPEX+OPEX'!$G$116/'CAPEX+OPEX'!$G$114)</f>
        <v>1289842.1370884064</v>
      </c>
      <c r="DO49" s="55">
        <f>DJ49*($BK$2/10000)^0.72*0.6*((A49+1)/3)^0.6*('CAPEX+OPEX'!$G$116/'CAPEX+OPEX'!$G$114)</f>
        <v>152285.9035926135</v>
      </c>
      <c r="DP49">
        <f t="shared" si="100"/>
        <v>3150720.1797259357</v>
      </c>
      <c r="DQ49">
        <f>DF49*(BM49/10000)^0.72*0.6*((AF49+1)/3)^0.6*('CAPEX+OPEX'!$G$116/'CAPEX+OPEX'!$G$114)</f>
        <v>505922.94408741681</v>
      </c>
      <c r="DR49">
        <f>DG49*(BM49/10000)^0.72*0.6*((AF49+1)/3)^0.6*('CAPEX+OPEX'!$G$116/'CAPEX+OPEX'!$G$114)</f>
        <v>1301125.3192616114</v>
      </c>
      <c r="DS49">
        <f>DH49*(BM49/10000)^0.72*0.6*((AF49+1)/3)^0.6*('CAPEX+OPEX'!$G$116/'CAPEX+OPEX'!$G$114)</f>
        <v>250985.48274378796</v>
      </c>
      <c r="DT49">
        <f>DI49*(BM49/10000)^0.72*0.6*((AF49+1)/3)^0.6*('CAPEX+OPEX'!$G$116/'CAPEX+OPEX'!$G$114)</f>
        <v>1553640.9097283301</v>
      </c>
      <c r="DU49">
        <f>DJ49*(BM49/10000)^0.72*0.6*((AF49+1)/3)^0.6*('CAPEX+OPEX'!$G$116/'CAPEX+OPEX'!$G$114)</f>
        <v>183431.44714632025</v>
      </c>
      <c r="DV49">
        <f t="shared" si="101"/>
        <v>3795106.1029674667</v>
      </c>
      <c r="DW49">
        <f t="shared" si="102"/>
        <v>7014166.0422152542</v>
      </c>
      <c r="DX49">
        <f t="shared" si="103"/>
        <v>467611.06948101695</v>
      </c>
      <c r="DY49">
        <f>BO49*'Reagent cost'!$C$35*60*7200</f>
        <v>1035798.8432824415</v>
      </c>
      <c r="DZ49">
        <f>BP49*'Reagent cost'!$C$34*60*7200</f>
        <v>246464.93800436775</v>
      </c>
      <c r="EA49">
        <f>BQ49*'Reagent cost'!$C$14*'Reagent cost'!$C$36/1000*60*7200</f>
        <v>4085359.0754036303</v>
      </c>
      <c r="EB49">
        <f t="shared" si="104"/>
        <v>39.6</v>
      </c>
      <c r="EC49">
        <f t="shared" si="105"/>
        <v>95.688271612230423</v>
      </c>
      <c r="ED49">
        <f>0.1*BK49*60*7200*'Reagent cost'!$H$17*'Reagent cost'!$C$17/1000</f>
        <v>504921.59999999998</v>
      </c>
      <c r="EE49">
        <f>BV49*0.1*'Reagent cost'!$C$16/1000*'Reagent cost'!$H$16*60*7200</f>
        <v>1013471.9499331086</v>
      </c>
      <c r="EF49">
        <f>BZ49/1000*'Reagent cost'!$H$19*'Reagent cost'!$C$19*60*7200</f>
        <v>85153.814018149162</v>
      </c>
      <c r="EG49">
        <f>0.33*('Costing 100 Lmin Feed Orig'!BO49*'Reagent cost'!$C$13+'Costing 100 Lmin Feed Orig'!BP49*'Reagent cost'!$C$12+'Costing 100 Lmin Feed Orig'!BQ49*'Reagent cost'!$C$14+'Costing 100 Lmin Feed Orig'!BV49*0.1*'Reagent cost'!$C$16+'Costing 100 Lmin Feed Orig'!BZ49*'Reagent cost'!$C$19)/1000*60*7200</f>
        <v>174222.54346790322</v>
      </c>
      <c r="EH49">
        <f>CG49*'Reagent cost'!$C$35*60*7200</f>
        <v>1836212.4973527254</v>
      </c>
      <c r="EI49">
        <f>CH49*'Reagent cost'!$C$34*60*7200</f>
        <v>436920.74214788462</v>
      </c>
      <c r="EJ49">
        <f>CI49*'Reagent cost'!$C$14*'Reagent cost'!$C$36/1000*60*7200</f>
        <v>7242320.6871490851</v>
      </c>
      <c r="EK49">
        <f t="shared" si="106"/>
        <v>39.6</v>
      </c>
      <c r="EL49">
        <f t="shared" si="107"/>
        <v>610.87663916145755</v>
      </c>
      <c r="EM49">
        <f>0.1*BM49*60*7200*'Reagent cost'!$H$17*'Reagent cost'!$C$17/1000</f>
        <v>466361.85650424438</v>
      </c>
      <c r="EN49">
        <f>CN49*0.1*'Reagent cost'!$C$16/1000*'Reagent cost'!$H$16*60*7200</f>
        <v>1796632.4950569249</v>
      </c>
      <c r="EO49">
        <f>CR49/1000*'Reagent cost'!$H$19*'Reagent cost'!$C$19*60*7200</f>
        <v>150956.43185106246</v>
      </c>
      <c r="EP49">
        <f>0.33*(CG49*'Reagent cost'!$C$13+CH49*'Reagent cost'!$C$12+CI49*'Reagent cost'!$C$14+CN49*0.1*'Reagent cost'!$C$16+CR49*'Reagent cost'!$C$19)/1000*60*7200</f>
        <v>308853.03040361614</v>
      </c>
      <c r="EQ49">
        <f t="shared" si="108"/>
        <v>22681632.834737275</v>
      </c>
      <c r="ER49">
        <f t="shared" si="109"/>
        <v>483075.57387151936</v>
      </c>
      <c r="ES49">
        <f t="shared" si="110"/>
        <v>38528.386667103026</v>
      </c>
      <c r="ET49">
        <f t="shared" si="111"/>
        <v>33220.879177835675</v>
      </c>
      <c r="EU49">
        <f t="shared" si="112"/>
        <v>14065.291587390104</v>
      </c>
      <c r="EV49">
        <f t="shared" si="113"/>
        <v>7450.7773575794354</v>
      </c>
      <c r="EW49">
        <f t="shared" si="114"/>
        <v>7501.4888466080574</v>
      </c>
      <c r="EX49">
        <f t="shared" si="115"/>
        <v>100766.8236365163</v>
      </c>
      <c r="EY49">
        <f t="shared" si="56"/>
        <v>46287.262995404846</v>
      </c>
      <c r="EZ49">
        <f t="shared" si="57"/>
        <v>46555.349038729662</v>
      </c>
      <c r="FA49">
        <f t="shared" si="58"/>
        <v>19710.93406881699</v>
      </c>
      <c r="FB49">
        <f t="shared" si="59"/>
        <v>10447.239668831275</v>
      </c>
      <c r="FC49">
        <f t="shared" si="60"/>
        <v>10512.498170035729</v>
      </c>
      <c r="FD49">
        <f t="shared" si="116"/>
        <v>133513.28394181849</v>
      </c>
      <c r="FE49">
        <f t="shared" si="117"/>
        <v>23398988.516187131</v>
      </c>
      <c r="FF49">
        <f t="shared" si="118"/>
        <v>23866599.585668147</v>
      </c>
      <c r="FG49">
        <f>BM49*AM49*195.08/1000*'PGM market prices'!$C$2*60*7200</f>
        <v>423423766.74277329</v>
      </c>
      <c r="FH49">
        <f>BN49*AQ49*BA49*106.42/1000*'PGM market prices'!$C$3*60*7200</f>
        <v>222260617.99924353</v>
      </c>
      <c r="FI49">
        <f>BK49*J49*102.91/1000*'PGM market prices'!$C$4*60*7200</f>
        <v>247409448.26329947</v>
      </c>
      <c r="FJ49">
        <f t="shared" si="119"/>
        <v>893093833.00531626</v>
      </c>
      <c r="FK49">
        <f t="shared" si="120"/>
        <v>643228152.73053968</v>
      </c>
      <c r="FL49">
        <f t="shared" si="64"/>
        <v>0.5524675830015775</v>
      </c>
      <c r="FM49">
        <f t="shared" si="65"/>
        <v>1901.2350419543814</v>
      </c>
      <c r="FN49">
        <f t="shared" si="66"/>
        <v>3536.0264563632004</v>
      </c>
      <c r="FO49">
        <f t="shared" si="67"/>
        <v>15911.693116219694</v>
      </c>
    </row>
    <row r="50" spans="1:171">
      <c r="A50">
        <v>7</v>
      </c>
      <c r="B50">
        <v>1.54143585092054E-3</v>
      </c>
      <c r="C50">
        <v>1.54143585092054E-3</v>
      </c>
      <c r="D50">
        <v>3.4254130020456501E-4</v>
      </c>
      <c r="E50">
        <v>0</v>
      </c>
      <c r="F50">
        <v>0</v>
      </c>
      <c r="G50">
        <v>0</v>
      </c>
      <c r="H50" s="53">
        <v>1.7744466230058299E-5</v>
      </c>
      <c r="I50" s="53">
        <v>1.2927742824924801E-8</v>
      </c>
      <c r="J50">
        <v>3.3739048286900598E-4</v>
      </c>
      <c r="K50">
        <v>0.13716795306346499</v>
      </c>
      <c r="L50">
        <v>0.138764207307677</v>
      </c>
      <c r="M50">
        <v>4.6369433969460899E-4</v>
      </c>
      <c r="N50" s="53">
        <v>-1.1037178115902399E-16</v>
      </c>
      <c r="O50" s="53">
        <v>-5.3700533603207003E-15</v>
      </c>
      <c r="P50" s="53">
        <v>-3.4304834363799101E-19</v>
      </c>
      <c r="Q50">
        <v>0.111082169753281</v>
      </c>
      <c r="R50">
        <v>98.496293050653193</v>
      </c>
      <c r="S50">
        <v>500</v>
      </c>
      <c r="T50">
        <v>95</v>
      </c>
      <c r="U50">
        <v>1</v>
      </c>
      <c r="V50">
        <v>0.1</v>
      </c>
      <c r="W50">
        <v>90.023448607553206</v>
      </c>
      <c r="X50" t="s">
        <v>323</v>
      </c>
      <c r="Y50">
        <v>1</v>
      </c>
      <c r="Z50">
        <v>0.28318429382522198</v>
      </c>
      <c r="AA50">
        <v>0.56945642916197003</v>
      </c>
      <c r="AB50">
        <v>3.7698628972227502E-3</v>
      </c>
      <c r="AC50">
        <v>1822.2107908876901</v>
      </c>
      <c r="AD50">
        <v>2662.6059073104898</v>
      </c>
      <c r="AE50">
        <v>2401.5030938442701</v>
      </c>
      <c r="AF50">
        <v>12</v>
      </c>
      <c r="AG50">
        <v>1.64967327652189E-3</v>
      </c>
      <c r="AH50">
        <v>1.66887089455438E-3</v>
      </c>
      <c r="AI50" s="53">
        <v>5.5766973522943398E-6</v>
      </c>
      <c r="AJ50">
        <v>0</v>
      </c>
      <c r="AK50">
        <v>0</v>
      </c>
      <c r="AL50">
        <v>0</v>
      </c>
      <c r="AM50">
        <v>1.6127216178039401E-3</v>
      </c>
      <c r="AN50" s="53">
        <v>7.9340068948572E-5</v>
      </c>
      <c r="AO50" s="53">
        <v>5.5400161990028701E-6</v>
      </c>
      <c r="AP50">
        <v>1.7331814378101901E-3</v>
      </c>
      <c r="AQ50">
        <v>7.4555389865565105E-2</v>
      </c>
      <c r="AR50" s="53">
        <v>1.7204936451815799E-6</v>
      </c>
      <c r="AS50" s="53">
        <v>4.8772157102902604E-16</v>
      </c>
      <c r="AT50" s="53">
        <v>-4.7916531853431302E-14</v>
      </c>
      <c r="AU50" s="53">
        <v>-4.0829635035617401E-21</v>
      </c>
      <c r="AV50">
        <v>0.19691961669677699</v>
      </c>
      <c r="AW50">
        <v>99.342242352879694</v>
      </c>
      <c r="AX50">
        <v>500</v>
      </c>
      <c r="AY50">
        <v>95</v>
      </c>
      <c r="AZ50">
        <v>0.92363221637625403</v>
      </c>
      <c r="BA50">
        <v>0.1</v>
      </c>
      <c r="BB50">
        <v>46.904022660093197</v>
      </c>
      <c r="BC50" t="s">
        <v>251</v>
      </c>
      <c r="BD50">
        <v>1</v>
      </c>
      <c r="BE50">
        <v>1.8775014999999999E-2</v>
      </c>
      <c r="BF50">
        <v>0.10492961100000001</v>
      </c>
      <c r="BG50">
        <v>1.814625E-3</v>
      </c>
      <c r="BH50">
        <v>285.1951444</v>
      </c>
      <c r="BI50">
        <v>2169.8944889999998</v>
      </c>
      <c r="BJ50">
        <v>866.49409060000005</v>
      </c>
      <c r="BK50">
        <f t="shared" si="68"/>
        <v>100</v>
      </c>
      <c r="BL50">
        <f t="shared" si="69"/>
        <v>11.1082169753281</v>
      </c>
      <c r="BM50">
        <f t="shared" si="70"/>
        <v>92.363221637625401</v>
      </c>
      <c r="BN50">
        <f t="shared" si="71"/>
        <v>19.691961669677699</v>
      </c>
      <c r="BO50">
        <f t="shared" si="72"/>
        <v>3.9989581111181156</v>
      </c>
      <c r="BP50">
        <f t="shared" si="73"/>
        <v>0.2665972074078744</v>
      </c>
      <c r="BQ50">
        <f t="shared" si="74"/>
        <v>1.332986037039372</v>
      </c>
      <c r="BR50">
        <f t="shared" si="75"/>
        <v>0.66649301851968601</v>
      </c>
      <c r="BS50">
        <f t="shared" si="76"/>
        <v>1.11082169753281</v>
      </c>
      <c r="BT50">
        <f t="shared" si="77"/>
        <v>6.6649301851968596</v>
      </c>
      <c r="BU50">
        <f t="shared" si="78"/>
        <v>17.77314716052496</v>
      </c>
      <c r="BV50">
        <f t="shared" si="31"/>
        <v>5.5541084876640499</v>
      </c>
      <c r="BW50">
        <f t="shared" si="79"/>
        <v>86.809113149961348</v>
      </c>
      <c r="BX50">
        <f t="shared" si="80"/>
        <v>103.47143861295351</v>
      </c>
      <c r="BY50">
        <f t="shared" si="33"/>
        <v>92.363221637625401</v>
      </c>
      <c r="BZ50">
        <f t="shared" si="34"/>
        <v>1.555150376545934</v>
      </c>
      <c r="CA50">
        <f>7963.6*(BT50/1000)^0.6*1.7*('CAPEX+OPEX'!$G$116/'CAPEX+OPEX'!$G$115)</f>
        <v>789.80211173988403</v>
      </c>
      <c r="CB50">
        <f>7963.6*(BU50/1000)^0.6*1.7*('CAPEX+OPEX'!$G$116/'CAPEX+OPEX'!$G$115)</f>
        <v>1422.6547883997009</v>
      </c>
      <c r="CC50">
        <f>7963.6*(BX50/1000)^0.6*1.7*('CAPEX+OPEX'!$G$116/'CAPEX+OPEX'!$G$115)</f>
        <v>4093.8622010078388</v>
      </c>
      <c r="CD50">
        <f>7963.6*(BY50/1000)^0.6*1.7*('CAPEX+OPEX'!$G$116/'CAPEX+OPEX'!$G$115)</f>
        <v>3824.1980130425482</v>
      </c>
      <c r="CE50">
        <v>300</v>
      </c>
      <c r="CF50">
        <v>30</v>
      </c>
      <c r="CG50">
        <f t="shared" si="81"/>
        <v>7.0891062010839718</v>
      </c>
      <c r="CH50">
        <f t="shared" si="82"/>
        <v>0.47260708007226476</v>
      </c>
      <c r="CI50">
        <f t="shared" si="83"/>
        <v>2.3630354003613236</v>
      </c>
      <c r="CJ50">
        <f t="shared" si="84"/>
        <v>1.1815177001806618</v>
      </c>
      <c r="CK50">
        <f t="shared" si="85"/>
        <v>1.96919616696777</v>
      </c>
      <c r="CL50">
        <f t="shared" si="86"/>
        <v>11.815177001806619</v>
      </c>
      <c r="CM50">
        <f t="shared" si="87"/>
        <v>31.50713867148432</v>
      </c>
      <c r="CN50">
        <f t="shared" si="36"/>
        <v>9.8459808348388496</v>
      </c>
      <c r="CO50">
        <v>0</v>
      </c>
      <c r="CP50">
        <f t="shared" si="88"/>
        <v>29.53794250451655</v>
      </c>
      <c r="CQ50">
        <f t="shared" si="38"/>
        <v>9.8459808348388496</v>
      </c>
      <c r="CR50">
        <f t="shared" si="39"/>
        <v>2.7568746337548777</v>
      </c>
      <c r="CS50">
        <f>7963.6*(CL50/1000)^0.6*1.7*('CAPEX+OPEX'!$G$116/'CAPEX+OPEX'!$G$115)</f>
        <v>1113.5380641521208</v>
      </c>
      <c r="CT50">
        <f>7963.6*(CM50/1000)^0.6*1.7*('CAPEX+OPEX'!$G$116/'CAPEX+OPEX'!$G$115)</f>
        <v>2005.7939013881582</v>
      </c>
      <c r="CU50">
        <f>7963.6*(CP50/1000)^0.6*1.7*('CAPEX+OPEX'!$G$116/'CAPEX+OPEX'!$G$115)</f>
        <v>1929.6079170600187</v>
      </c>
      <c r="CV50">
        <f>7963.6*(CQ50/1000)^0.6*1.7*('CAPEX+OPEX'!$G$116/'CAPEX+OPEX'!$G$115)</f>
        <v>998.15116849387505</v>
      </c>
      <c r="CW50">
        <v>300</v>
      </c>
      <c r="CX50">
        <f t="shared" si="89"/>
        <v>30</v>
      </c>
      <c r="CY50">
        <f t="shared" si="90"/>
        <v>10</v>
      </c>
      <c r="CZ50">
        <f t="shared" si="91"/>
        <v>9.2363221637625408</v>
      </c>
      <c r="DA50">
        <f t="shared" si="92"/>
        <v>3960</v>
      </c>
      <c r="DB50">
        <f t="shared" si="93"/>
        <v>3960</v>
      </c>
      <c r="DC50">
        <f>CF50*'Reagent cost'!$C$18/1000*'Reagent cost'!$H$18</f>
        <v>4784.413580611521</v>
      </c>
      <c r="DD50">
        <f>CX50*'Ligand cost'!$B$56*'Ligand cost'!$J$56</f>
        <v>30543.831958072875</v>
      </c>
      <c r="DE50">
        <f t="shared" si="94"/>
        <v>39625.826528698344</v>
      </c>
      <c r="DF50">
        <f t="shared" si="95"/>
        <v>4586243.4239371875</v>
      </c>
      <c r="DG50">
        <f t="shared" si="96"/>
        <v>11794834.586807497</v>
      </c>
      <c r="DH50">
        <f t="shared" si="97"/>
        <v>2275209.1661185985</v>
      </c>
      <c r="DI50">
        <f t="shared" si="98"/>
        <v>14083914.336508472</v>
      </c>
      <c r="DJ50">
        <f t="shared" si="99"/>
        <v>1662824.8986326549</v>
      </c>
      <c r="DK50" s="55">
        <f>DF50*($BK$2/10000)^0.72*0.6*((A50+1)/3)^0.6*('CAPEX+OPEX'!$G$116/'CAPEX+OPEX'!$G$114)</f>
        <v>420020.3066987202</v>
      </c>
      <c r="DL50" s="55">
        <f>DG50*($BK$2/10000)^0.72*0.6*((A50+1)/3)^0.6*('CAPEX+OPEX'!$G$116/'CAPEX+OPEX'!$G$114)</f>
        <v>1080202.1573374313</v>
      </c>
      <c r="DM50" s="55">
        <f>DH50*($BK$2/10000)^0.72*0.6*((A50+1)/3)^0.6*('CAPEX+OPEX'!$G$116/'CAPEX+OPEX'!$G$114)</f>
        <v>208369.67500876408</v>
      </c>
      <c r="DN50" s="55">
        <f>DI50*($BK$2/10000)^0.72*0.6*((A50+1)/3)^0.6*('CAPEX+OPEX'!$G$116/'CAPEX+OPEX'!$G$114)</f>
        <v>1289842.1370884064</v>
      </c>
      <c r="DO50" s="55">
        <f>DJ50*($BK$2/10000)^0.72*0.6*((A50+1)/3)^0.6*('CAPEX+OPEX'!$G$116/'CAPEX+OPEX'!$G$114)</f>
        <v>152285.9035926135</v>
      </c>
      <c r="DP50">
        <f t="shared" si="100"/>
        <v>3150720.1797259357</v>
      </c>
      <c r="DQ50">
        <f>DF50*(BM50/10000)^0.72*0.6*((AF50+1)/3)^0.6*('CAPEX+OPEX'!$G$116/'CAPEX+OPEX'!$G$114)</f>
        <v>530813.10849337839</v>
      </c>
      <c r="DR50">
        <f>DG50*(BM50/10000)^0.72*0.6*((AF50+1)/3)^0.6*('CAPEX+OPEX'!$G$116/'CAPEX+OPEX'!$G$114)</f>
        <v>1365137.4845283937</v>
      </c>
      <c r="DS50">
        <f>DH50*(BM50/10000)^0.72*0.6*((AF50+1)/3)^0.6*('CAPEX+OPEX'!$G$116/'CAPEX+OPEX'!$G$114)</f>
        <v>263333.35113364912</v>
      </c>
      <c r="DT50">
        <f>DI50*(BM50/10000)^0.72*0.6*((AF50+1)/3)^0.6*('CAPEX+OPEX'!$G$116/'CAPEX+OPEX'!$G$114)</f>
        <v>1630076.2209212617</v>
      </c>
      <c r="DU50">
        <f>DJ50*(BM50/10000)^0.72*0.6*((AF50+1)/3)^0.6*('CAPEX+OPEX'!$G$116/'CAPEX+OPEX'!$G$114)</f>
        <v>192455.82315071527</v>
      </c>
      <c r="DV50">
        <f t="shared" si="101"/>
        <v>3981815.9882273981</v>
      </c>
      <c r="DW50">
        <f t="shared" si="102"/>
        <v>7200875.8997128978</v>
      </c>
      <c r="DX50">
        <f t="shared" si="103"/>
        <v>480058.39331419318</v>
      </c>
      <c r="DY50">
        <f>BO50*'Reagent cost'!$C$35*60*7200</f>
        <v>1035798.8432824415</v>
      </c>
      <c r="DZ50">
        <f>BP50*'Reagent cost'!$C$34*60*7200</f>
        <v>246464.93800436775</v>
      </c>
      <c r="EA50">
        <f>BQ50*'Reagent cost'!$C$14*'Reagent cost'!$C$36/1000*60*7200</f>
        <v>4085359.0754036303</v>
      </c>
      <c r="EB50">
        <f t="shared" si="104"/>
        <v>39.6</v>
      </c>
      <c r="EC50">
        <f t="shared" si="105"/>
        <v>95.688271612230423</v>
      </c>
      <c r="ED50">
        <f>0.1*BK50*60*7200*'Reagent cost'!$H$17*'Reagent cost'!$C$17/1000</f>
        <v>504921.59999999998</v>
      </c>
      <c r="EE50">
        <f>BV50*0.1*'Reagent cost'!$C$16/1000*'Reagent cost'!$H$16*60*7200</f>
        <v>1013471.9499331086</v>
      </c>
      <c r="EF50">
        <f>BZ50/1000*'Reagent cost'!$H$19*'Reagent cost'!$C$19*60*7200</f>
        <v>85153.814018149162</v>
      </c>
      <c r="EG50">
        <f>0.33*('Costing 100 Lmin Feed Orig'!BO50*'Reagent cost'!$C$13+'Costing 100 Lmin Feed Orig'!BP50*'Reagent cost'!$C$12+'Costing 100 Lmin Feed Orig'!BQ50*'Reagent cost'!$C$14+'Costing 100 Lmin Feed Orig'!BV50*0.1*'Reagent cost'!$C$16+'Costing 100 Lmin Feed Orig'!BZ50*'Reagent cost'!$C$19)/1000*60*7200</f>
        <v>174222.54346790322</v>
      </c>
      <c r="EH50">
        <f>CG50*'Reagent cost'!$C$35*60*7200</f>
        <v>1836200.2799114287</v>
      </c>
      <c r="EI50">
        <f>CH50*'Reagent cost'!$C$34*60*7200</f>
        <v>436917.83504779323</v>
      </c>
      <c r="EJ50">
        <f>CI50*'Reagent cost'!$C$14*'Reagent cost'!$C$36/1000*60*7200</f>
        <v>7242272.4995738575</v>
      </c>
      <c r="EK50">
        <f t="shared" si="106"/>
        <v>39.6</v>
      </c>
      <c r="EL50">
        <f t="shared" si="107"/>
        <v>610.87663916145755</v>
      </c>
      <c r="EM50">
        <f>0.1*BM50*60*7200*'Reagent cost'!$H$17*'Reagent cost'!$C$17/1000</f>
        <v>466361.85650424438</v>
      </c>
      <c r="EN50">
        <f>CN50*0.1*'Reagent cost'!$C$16/1000*'Reagent cost'!$H$16*60*7200</f>
        <v>1796620.5409655152</v>
      </c>
      <c r="EO50">
        <f>CR50/1000*'Reagent cost'!$H$19*'Reagent cost'!$C$19*60*7200</f>
        <v>150955.42744588209</v>
      </c>
      <c r="EP50">
        <f>0.33*(CG50*'Reagent cost'!$C$13+CH50*'Reagent cost'!$C$12+CI50*'Reagent cost'!$C$14+CN50*0.1*'Reagent cost'!$C$16+CR50*'Reagent cost'!$C$19)/1000*60*7200</f>
        <v>308850.97541609482</v>
      </c>
      <c r="EQ50">
        <f t="shared" si="108"/>
        <v>22681541.310001425</v>
      </c>
      <c r="ER50">
        <f t="shared" si="109"/>
        <v>483073.51888399804</v>
      </c>
      <c r="ES50">
        <f t="shared" si="110"/>
        <v>38528.386667103026</v>
      </c>
      <c r="ET50">
        <f t="shared" si="111"/>
        <v>33220.879177835675</v>
      </c>
      <c r="EU50">
        <f t="shared" si="112"/>
        <v>14065.291587390104</v>
      </c>
      <c r="EV50">
        <f t="shared" si="113"/>
        <v>7450.7773575794354</v>
      </c>
      <c r="EW50">
        <f t="shared" si="114"/>
        <v>7501.4888466080574</v>
      </c>
      <c r="EX50">
        <f t="shared" si="115"/>
        <v>100766.8236365163</v>
      </c>
      <c r="EY50">
        <f t="shared" si="56"/>
        <v>48858.777606260672</v>
      </c>
      <c r="EZ50">
        <f t="shared" si="57"/>
        <v>50434.961458623809</v>
      </c>
      <c r="FA50">
        <f t="shared" si="58"/>
        <v>21353.511907885077</v>
      </c>
      <c r="FB50">
        <f t="shared" si="59"/>
        <v>11317.842974567217</v>
      </c>
      <c r="FC50">
        <f t="shared" si="60"/>
        <v>11388.539684205374</v>
      </c>
      <c r="FD50">
        <f t="shared" si="116"/>
        <v>143353.63363154215</v>
      </c>
      <c r="FE50">
        <f t="shared" si="117"/>
        <v>23408735.286153484</v>
      </c>
      <c r="FF50">
        <f t="shared" si="118"/>
        <v>23888793.679467678</v>
      </c>
      <c r="FG50">
        <f>BM50*AM50*195.08/1000*'PGM market prices'!$C$2*60*7200</f>
        <v>423423998.09836346</v>
      </c>
      <c r="FH50">
        <f>BN50*AQ50*BA50*106.42/1000*'PGM market prices'!$C$3*60*7200</f>
        <v>222260611.60522798</v>
      </c>
      <c r="FI50">
        <f>BK50*J50*102.91/1000*'PGM market prices'!$C$4*60*7200</f>
        <v>247409448.26329947</v>
      </c>
      <c r="FJ50">
        <f t="shared" si="119"/>
        <v>893094057.96689093</v>
      </c>
      <c r="FK50">
        <f t="shared" si="120"/>
        <v>643211895.57269323</v>
      </c>
      <c r="FL50">
        <f t="shared" si="64"/>
        <v>0.55298133517286296</v>
      </c>
      <c r="FM50">
        <f t="shared" si="65"/>
        <v>1903.0020038772964</v>
      </c>
      <c r="FN50">
        <f t="shared" si="66"/>
        <v>3539.3147896111063</v>
      </c>
      <c r="FO50">
        <f t="shared" si="67"/>
        <v>15926.489761559267</v>
      </c>
    </row>
    <row r="51" spans="1:171">
      <c r="A51">
        <v>7</v>
      </c>
      <c r="B51">
        <v>1.54143585092054E-3</v>
      </c>
      <c r="C51">
        <v>1.54143585092054E-3</v>
      </c>
      <c r="D51">
        <v>3.4254130020456501E-4</v>
      </c>
      <c r="E51">
        <v>0</v>
      </c>
      <c r="F51">
        <v>0</v>
      </c>
      <c r="G51">
        <v>0</v>
      </c>
      <c r="H51" s="53">
        <v>1.7744466230058299E-5</v>
      </c>
      <c r="I51" s="53">
        <v>1.2927742824924801E-8</v>
      </c>
      <c r="J51">
        <v>3.3739048286900598E-4</v>
      </c>
      <c r="K51">
        <v>0.13716795306346499</v>
      </c>
      <c r="L51">
        <v>0.138764207307677</v>
      </c>
      <c r="M51">
        <v>4.6369433969460899E-4</v>
      </c>
      <c r="N51" s="53">
        <v>-1.1037178115902399E-16</v>
      </c>
      <c r="O51" s="53">
        <v>-5.3700533603207003E-15</v>
      </c>
      <c r="P51" s="53">
        <v>-3.4304834363799101E-19</v>
      </c>
      <c r="Q51">
        <v>0.111082169753281</v>
      </c>
      <c r="R51">
        <v>98.496293050653193</v>
      </c>
      <c r="S51">
        <v>500</v>
      </c>
      <c r="T51">
        <v>95</v>
      </c>
      <c r="U51">
        <v>1</v>
      </c>
      <c r="V51">
        <v>0.1</v>
      </c>
      <c r="W51">
        <v>90.023448607553206</v>
      </c>
      <c r="X51" t="s">
        <v>323</v>
      </c>
      <c r="Y51">
        <v>1</v>
      </c>
      <c r="Z51">
        <v>0.28318429382522198</v>
      </c>
      <c r="AA51">
        <v>0.56945642916197003</v>
      </c>
      <c r="AB51">
        <v>3.7698628972227502E-3</v>
      </c>
      <c r="AC51">
        <v>1822.2107908876901</v>
      </c>
      <c r="AD51">
        <v>2662.6059073104898</v>
      </c>
      <c r="AE51">
        <v>2401.5030938442701</v>
      </c>
      <c r="AF51">
        <v>13</v>
      </c>
      <c r="AG51">
        <v>1.64967327652189E-3</v>
      </c>
      <c r="AH51">
        <v>1.66887089455438E-3</v>
      </c>
      <c r="AI51" s="53">
        <v>5.5766973522943398E-6</v>
      </c>
      <c r="AJ51">
        <v>0</v>
      </c>
      <c r="AK51">
        <v>0</v>
      </c>
      <c r="AL51">
        <v>0</v>
      </c>
      <c r="AM51">
        <v>1.61272186550998E-3</v>
      </c>
      <c r="AN51" s="53">
        <v>7.93400817500593E-5</v>
      </c>
      <c r="AO51" s="53">
        <v>5.54001643467726E-6</v>
      </c>
      <c r="AP51">
        <v>1.7331730611392299E-3</v>
      </c>
      <c r="AQ51">
        <v>7.4555528710795793E-2</v>
      </c>
      <c r="AR51" s="53">
        <v>1.7204858090881901E-6</v>
      </c>
      <c r="AS51" s="53">
        <v>5.6920614055488896E-19</v>
      </c>
      <c r="AT51" s="53">
        <v>-1.9298798670241899E-17</v>
      </c>
      <c r="AU51" s="53">
        <v>2.0514079191314999E-22</v>
      </c>
      <c r="AV51">
        <v>0.19691924837979699</v>
      </c>
      <c r="AW51">
        <v>99.342246578936397</v>
      </c>
      <c r="AX51">
        <v>500</v>
      </c>
      <c r="AY51">
        <v>95</v>
      </c>
      <c r="AZ51">
        <v>0.92363221637625403</v>
      </c>
      <c r="BA51">
        <v>0.1</v>
      </c>
      <c r="BB51">
        <v>46.904110389191104</v>
      </c>
      <c r="BC51" t="s">
        <v>251</v>
      </c>
      <c r="BD51">
        <v>1</v>
      </c>
      <c r="BE51">
        <v>1.8775014999999999E-2</v>
      </c>
      <c r="BF51">
        <v>0.10492961100000001</v>
      </c>
      <c r="BG51">
        <v>1.814625E-3</v>
      </c>
      <c r="BH51">
        <v>285.1951444</v>
      </c>
      <c r="BI51">
        <v>2169.8944889999998</v>
      </c>
      <c r="BJ51">
        <v>866.49409060000005</v>
      </c>
      <c r="BK51">
        <f t="shared" si="68"/>
        <v>100</v>
      </c>
      <c r="BL51">
        <f t="shared" si="69"/>
        <v>11.1082169753281</v>
      </c>
      <c r="BM51">
        <f t="shared" si="70"/>
        <v>92.363221637625401</v>
      </c>
      <c r="BN51">
        <f t="shared" si="71"/>
        <v>19.691924837979698</v>
      </c>
      <c r="BO51">
        <f t="shared" si="72"/>
        <v>3.9989581111181156</v>
      </c>
      <c r="BP51">
        <f t="shared" si="73"/>
        <v>0.2665972074078744</v>
      </c>
      <c r="BQ51">
        <f t="shared" si="74"/>
        <v>1.332986037039372</v>
      </c>
      <c r="BR51">
        <f t="shared" si="75"/>
        <v>0.66649301851968601</v>
      </c>
      <c r="BS51">
        <f t="shared" si="76"/>
        <v>1.11082169753281</v>
      </c>
      <c r="BT51">
        <f t="shared" si="77"/>
        <v>6.6649301851968596</v>
      </c>
      <c r="BU51">
        <f t="shared" si="78"/>
        <v>17.77314716052496</v>
      </c>
      <c r="BV51">
        <f t="shared" si="31"/>
        <v>5.5541084876640499</v>
      </c>
      <c r="BW51">
        <f t="shared" si="79"/>
        <v>86.809113149961348</v>
      </c>
      <c r="BX51">
        <f t="shared" si="80"/>
        <v>103.47143861295351</v>
      </c>
      <c r="BY51">
        <f t="shared" si="33"/>
        <v>92.363221637625401</v>
      </c>
      <c r="BZ51">
        <f t="shared" si="34"/>
        <v>1.555150376545934</v>
      </c>
      <c r="CA51">
        <f>7963.6*(BT51/1000)^0.6*1.7*('CAPEX+OPEX'!$G$116/'CAPEX+OPEX'!$G$115)</f>
        <v>789.80211173988403</v>
      </c>
      <c r="CB51">
        <f>7963.6*(BU51/1000)^0.6*1.7*('CAPEX+OPEX'!$G$116/'CAPEX+OPEX'!$G$115)</f>
        <v>1422.6547883997009</v>
      </c>
      <c r="CC51">
        <f>7963.6*(BX51/1000)^0.6*1.7*('CAPEX+OPEX'!$G$116/'CAPEX+OPEX'!$G$115)</f>
        <v>4093.8622010078388</v>
      </c>
      <c r="CD51">
        <f>7963.6*(BY51/1000)^0.6*1.7*('CAPEX+OPEX'!$G$116/'CAPEX+OPEX'!$G$115)</f>
        <v>3824.1980130425482</v>
      </c>
      <c r="CE51">
        <v>300</v>
      </c>
      <c r="CF51">
        <v>30</v>
      </c>
      <c r="CG51">
        <f t="shared" si="81"/>
        <v>7.0890929416726909</v>
      </c>
      <c r="CH51">
        <f t="shared" si="82"/>
        <v>0.47260619611151278</v>
      </c>
      <c r="CI51">
        <f t="shared" si="83"/>
        <v>2.3630309805575638</v>
      </c>
      <c r="CJ51">
        <f t="shared" si="84"/>
        <v>1.1815154902787819</v>
      </c>
      <c r="CK51">
        <f t="shared" si="85"/>
        <v>1.96919248379797</v>
      </c>
      <c r="CL51">
        <f t="shared" si="86"/>
        <v>11.815154902787819</v>
      </c>
      <c r="CM51">
        <f t="shared" si="87"/>
        <v>31.507079740767519</v>
      </c>
      <c r="CN51">
        <f t="shared" si="36"/>
        <v>9.8459624189898491</v>
      </c>
      <c r="CO51">
        <v>0</v>
      </c>
      <c r="CP51">
        <f t="shared" si="88"/>
        <v>29.537887256969547</v>
      </c>
      <c r="CQ51">
        <f t="shared" si="38"/>
        <v>9.8459624189898491</v>
      </c>
      <c r="CR51">
        <f t="shared" si="39"/>
        <v>2.7568694773171578</v>
      </c>
      <c r="CS51">
        <f>7963.6*(CL51/1000)^0.6*1.7*('CAPEX+OPEX'!$G$116/'CAPEX+OPEX'!$G$115)</f>
        <v>1113.536814499688</v>
      </c>
      <c r="CT51">
        <f>7963.6*(CM51/1000)^0.6*1.7*('CAPEX+OPEX'!$G$116/'CAPEX+OPEX'!$G$115)</f>
        <v>2005.7916504141588</v>
      </c>
      <c r="CU51">
        <f>7963.6*(CP51/1000)^0.6*1.7*('CAPEX+OPEX'!$G$116/'CAPEX+OPEX'!$G$115)</f>
        <v>1929.6057515846678</v>
      </c>
      <c r="CV51">
        <f>7963.6*(CQ51/1000)^0.6*1.7*('CAPEX+OPEX'!$G$116/'CAPEX+OPEX'!$G$115)</f>
        <v>998.15004833276259</v>
      </c>
      <c r="CW51">
        <v>300</v>
      </c>
      <c r="CX51">
        <f t="shared" si="89"/>
        <v>30</v>
      </c>
      <c r="CY51">
        <f t="shared" si="90"/>
        <v>10</v>
      </c>
      <c r="CZ51">
        <f t="shared" si="91"/>
        <v>9.2363221637625408</v>
      </c>
      <c r="DA51">
        <f t="shared" si="92"/>
        <v>3960</v>
      </c>
      <c r="DB51">
        <f t="shared" si="93"/>
        <v>3960</v>
      </c>
      <c r="DC51">
        <f>CF51*'Reagent cost'!$C$18/1000*'Reagent cost'!$H$18</f>
        <v>4784.413580611521</v>
      </c>
      <c r="DD51">
        <f>CX51*'Ligand cost'!$B$56*'Ligand cost'!$J$56</f>
        <v>30543.831958072875</v>
      </c>
      <c r="DE51">
        <f t="shared" si="94"/>
        <v>39625.826528698344</v>
      </c>
      <c r="DF51">
        <f t="shared" si="95"/>
        <v>4586243.4239371875</v>
      </c>
      <c r="DG51">
        <f t="shared" si="96"/>
        <v>11794834.586807497</v>
      </c>
      <c r="DH51">
        <f t="shared" si="97"/>
        <v>2275209.1661185985</v>
      </c>
      <c r="DI51">
        <f t="shared" si="98"/>
        <v>14083914.336508472</v>
      </c>
      <c r="DJ51">
        <f t="shared" si="99"/>
        <v>1662824.8986326549</v>
      </c>
      <c r="DK51" s="55">
        <f>DF51*($BK$2/10000)^0.72*0.6*((A51+1)/3)^0.6*('CAPEX+OPEX'!$G$116/'CAPEX+OPEX'!$G$114)</f>
        <v>420020.3066987202</v>
      </c>
      <c r="DL51" s="55">
        <f>DG51*($BK$2/10000)^0.72*0.6*((A51+1)/3)^0.6*('CAPEX+OPEX'!$G$116/'CAPEX+OPEX'!$G$114)</f>
        <v>1080202.1573374313</v>
      </c>
      <c r="DM51" s="55">
        <f>DH51*($BK$2/10000)^0.72*0.6*((A51+1)/3)^0.6*('CAPEX+OPEX'!$G$116/'CAPEX+OPEX'!$G$114)</f>
        <v>208369.67500876408</v>
      </c>
      <c r="DN51" s="55">
        <f>DI51*($BK$2/10000)^0.72*0.6*((A51+1)/3)^0.6*('CAPEX+OPEX'!$G$116/'CAPEX+OPEX'!$G$114)</f>
        <v>1289842.1370884064</v>
      </c>
      <c r="DO51" s="55">
        <f>DJ51*($BK$2/10000)^0.72*0.6*((A51+1)/3)^0.6*('CAPEX+OPEX'!$G$116/'CAPEX+OPEX'!$G$114)</f>
        <v>152285.9035926135</v>
      </c>
      <c r="DP51">
        <f t="shared" si="100"/>
        <v>3150720.1797259357</v>
      </c>
      <c r="DQ51">
        <f>DF51*(BM51/10000)^0.72*0.6*((AF51+1)/3)^0.6*('CAPEX+OPEX'!$G$116/'CAPEX+OPEX'!$G$114)</f>
        <v>554948.20284015709</v>
      </c>
      <c r="DR51">
        <f>DG51*(BM51/10000)^0.72*0.6*((AF51+1)/3)^0.6*('CAPEX+OPEX'!$G$116/'CAPEX+OPEX'!$G$114)</f>
        <v>1427207.7715243823</v>
      </c>
      <c r="DS51">
        <f>DH51*(BM51/10000)^0.72*0.6*((AF51+1)/3)^0.6*('CAPEX+OPEX'!$G$116/'CAPEX+OPEX'!$G$114)</f>
        <v>275306.63358008908</v>
      </c>
      <c r="DT51">
        <f>DI51*(BM51/10000)^0.72*0.6*((AF51+1)/3)^0.6*('CAPEX+OPEX'!$G$116/'CAPEX+OPEX'!$G$114)</f>
        <v>1704192.7842744926</v>
      </c>
      <c r="DU51">
        <f>DJ51*(BM51/10000)^0.72*0.6*((AF51+1)/3)^0.6*('CAPEX+OPEX'!$G$116/'CAPEX+OPEX'!$G$114)</f>
        <v>201206.43494798854</v>
      </c>
      <c r="DV51">
        <f t="shared" si="101"/>
        <v>4162861.8271671091</v>
      </c>
      <c r="DW51">
        <f t="shared" si="102"/>
        <v>7381921.7308484064</v>
      </c>
      <c r="DX51">
        <f t="shared" si="103"/>
        <v>492128.11538989376</v>
      </c>
      <c r="DY51">
        <f>BO51*'Reagent cost'!$C$35*60*7200</f>
        <v>1035798.8432824415</v>
      </c>
      <c r="DZ51">
        <f>BP51*'Reagent cost'!$C$34*60*7200</f>
        <v>246464.93800436775</v>
      </c>
      <c r="EA51">
        <f>BQ51*'Reagent cost'!$C$14*'Reagent cost'!$C$36/1000*60*7200</f>
        <v>4085359.0754036303</v>
      </c>
      <c r="EB51">
        <f t="shared" si="104"/>
        <v>39.6</v>
      </c>
      <c r="EC51">
        <f t="shared" si="105"/>
        <v>95.688271612230423</v>
      </c>
      <c r="ED51">
        <f>0.1*BK51*60*7200*'Reagent cost'!$H$17*'Reagent cost'!$C$17/1000</f>
        <v>504921.59999999998</v>
      </c>
      <c r="EE51">
        <f>BV51*0.1*'Reagent cost'!$C$16/1000*'Reagent cost'!$H$16*60*7200</f>
        <v>1013471.9499331086</v>
      </c>
      <c r="EF51">
        <f>BZ51/1000*'Reagent cost'!$H$19*'Reagent cost'!$C$19*60*7200</f>
        <v>85153.814018149162</v>
      </c>
      <c r="EG51">
        <f>0.33*('Costing 100 Lmin Feed Orig'!BO51*'Reagent cost'!$C$13+'Costing 100 Lmin Feed Orig'!BP51*'Reagent cost'!$C$12+'Costing 100 Lmin Feed Orig'!BQ51*'Reagent cost'!$C$14+'Costing 100 Lmin Feed Orig'!BV51*0.1*'Reagent cost'!$C$16+'Costing 100 Lmin Feed Orig'!BZ51*'Reagent cost'!$C$19)/1000*60*7200</f>
        <v>174222.54346790322</v>
      </c>
      <c r="EH51">
        <f>CG51*'Reagent cost'!$C$35*60*7200</f>
        <v>1836196.8454961421</v>
      </c>
      <c r="EI51">
        <f>CH51*'Reagent cost'!$C$34*60*7200</f>
        <v>436917.01783993858</v>
      </c>
      <c r="EJ51">
        <f>CI51*'Reagent cost'!$C$14*'Reagent cost'!$C$36/1000*60*7200</f>
        <v>7242258.9536814773</v>
      </c>
      <c r="EK51">
        <f t="shared" si="106"/>
        <v>39.6</v>
      </c>
      <c r="EL51">
        <f t="shared" si="107"/>
        <v>610.87663916145755</v>
      </c>
      <c r="EM51">
        <f>0.1*BM51*60*7200*'Reagent cost'!$H$17*'Reagent cost'!$C$17/1000</f>
        <v>466361.85650424438</v>
      </c>
      <c r="EN51">
        <f>CN51*0.1*'Reagent cost'!$C$16/1000*'Reagent cost'!$H$16*60*7200</f>
        <v>1796617.180579877</v>
      </c>
      <c r="EO51">
        <f>CR51/1000*'Reagent cost'!$H$19*'Reagent cost'!$C$19*60*7200</f>
        <v>150955.14509997831</v>
      </c>
      <c r="EP51">
        <f>0.33*(CG51*'Reagent cost'!$C$13+CH51*'Reagent cost'!$C$12+CI51*'Reagent cost'!$C$14+CN51*0.1*'Reagent cost'!$C$16+CR51*'Reagent cost'!$C$19)/1000*60*7200</f>
        <v>308850.39774353773</v>
      </c>
      <c r="EQ51">
        <f t="shared" si="108"/>
        <v>22681515.581704956</v>
      </c>
      <c r="ER51">
        <f t="shared" si="109"/>
        <v>483072.94121144095</v>
      </c>
      <c r="ES51">
        <f t="shared" si="110"/>
        <v>38528.386667103026</v>
      </c>
      <c r="ET51">
        <f t="shared" si="111"/>
        <v>33220.879177835675</v>
      </c>
      <c r="EU51">
        <f t="shared" si="112"/>
        <v>14065.291587390104</v>
      </c>
      <c r="EV51">
        <f t="shared" si="113"/>
        <v>7450.7773575794354</v>
      </c>
      <c r="EW51">
        <f t="shared" si="114"/>
        <v>7501.4888466080574</v>
      </c>
      <c r="EX51">
        <f t="shared" si="115"/>
        <v>100766.8236365163</v>
      </c>
      <c r="EY51">
        <f t="shared" si="56"/>
        <v>51430.292217116497</v>
      </c>
      <c r="EZ51">
        <f t="shared" si="57"/>
        <v>54314.573878517935</v>
      </c>
      <c r="FA51">
        <f t="shared" si="58"/>
        <v>22996.089746953152</v>
      </c>
      <c r="FB51">
        <f t="shared" si="59"/>
        <v>12188.446280303153</v>
      </c>
      <c r="FC51">
        <f t="shared" si="60"/>
        <v>12264.581198375015</v>
      </c>
      <c r="FD51">
        <f t="shared" si="116"/>
        <v>153193.98332126575</v>
      </c>
      <c r="FE51">
        <f t="shared" si="117"/>
        <v>23418549.329874177</v>
      </c>
      <c r="FF51">
        <f t="shared" si="118"/>
        <v>23910677.445264071</v>
      </c>
      <c r="FG51">
        <f>BM51*AM51*195.08/1000*'PGM market prices'!$C$2*60*7200</f>
        <v>423424063.13418901</v>
      </c>
      <c r="FH51">
        <f>BN51*AQ51*BA51*106.42/1000*'PGM market prices'!$C$3*60*7200</f>
        <v>222260609.80797392</v>
      </c>
      <c r="FI51">
        <f>BK51*J51*102.91/1000*'PGM market prices'!$C$4*60*7200</f>
        <v>247409448.26329947</v>
      </c>
      <c r="FJ51">
        <f t="shared" si="119"/>
        <v>893094121.20546246</v>
      </c>
      <c r="FK51">
        <f t="shared" si="120"/>
        <v>643195748.38254678</v>
      </c>
      <c r="FL51">
        <f t="shared" si="64"/>
        <v>0.55348790382555724</v>
      </c>
      <c r="FM51">
        <f t="shared" si="65"/>
        <v>1904.7449910632922</v>
      </c>
      <c r="FN51">
        <f t="shared" si="66"/>
        <v>3542.557072218297</v>
      </c>
      <c r="FO51">
        <f t="shared" si="67"/>
        <v>15941.079513414346</v>
      </c>
    </row>
    <row r="52" spans="1:171">
      <c r="A52">
        <v>8</v>
      </c>
      <c r="B52">
        <v>1.54143585092054E-3</v>
      </c>
      <c r="C52">
        <v>1.54143585092054E-3</v>
      </c>
      <c r="D52">
        <v>3.4254130020456501E-4</v>
      </c>
      <c r="E52">
        <v>0</v>
      </c>
      <c r="F52">
        <v>0</v>
      </c>
      <c r="G52">
        <v>0</v>
      </c>
      <c r="H52" s="53">
        <v>1.7762434284205799E-5</v>
      </c>
      <c r="I52" s="53">
        <v>4.4591984978445998E-9</v>
      </c>
      <c r="J52">
        <v>3.37570976171142E-4</v>
      </c>
      <c r="K52">
        <v>0.13846015972746001</v>
      </c>
      <c r="L52">
        <v>0.14007387303476199</v>
      </c>
      <c r="M52">
        <v>4.5166625081916902E-4</v>
      </c>
      <c r="N52" s="53">
        <v>-2.6107588313450902E-16</v>
      </c>
      <c r="O52" s="53">
        <v>-1.18524981496115E-14</v>
      </c>
      <c r="P52" s="53">
        <v>-2.5241581828178102E-19</v>
      </c>
      <c r="Q52">
        <v>0.110044175857931</v>
      </c>
      <c r="R52">
        <v>98.548985471108097</v>
      </c>
      <c r="S52">
        <v>500</v>
      </c>
      <c r="T52">
        <v>95</v>
      </c>
      <c r="U52">
        <v>1</v>
      </c>
      <c r="V52">
        <v>0.1</v>
      </c>
      <c r="W52">
        <v>90.872596591664205</v>
      </c>
      <c r="X52" t="s">
        <v>323</v>
      </c>
      <c r="Y52">
        <v>1</v>
      </c>
      <c r="Z52">
        <v>0.28318429382522198</v>
      </c>
      <c r="AA52">
        <v>0.56945642916197003</v>
      </c>
      <c r="AB52">
        <v>3.7698628972227502E-3</v>
      </c>
      <c r="AC52">
        <v>1822.2107908876901</v>
      </c>
      <c r="AD52">
        <v>2662.6059073104898</v>
      </c>
      <c r="AE52">
        <v>2401.5030938442701</v>
      </c>
      <c r="AF52">
        <v>4</v>
      </c>
      <c r="AG52">
        <v>1.6497294784823999E-3</v>
      </c>
      <c r="AH52">
        <v>1.66895660069658E-3</v>
      </c>
      <c r="AI52" s="53">
        <v>5.38152729188446E-6</v>
      </c>
      <c r="AJ52">
        <v>0</v>
      </c>
      <c r="AK52">
        <v>0</v>
      </c>
      <c r="AL52">
        <v>0</v>
      </c>
      <c r="AM52">
        <v>1.6048042794156499E-3</v>
      </c>
      <c r="AN52" s="53">
        <v>7.91245725580603E-5</v>
      </c>
      <c r="AO52" s="53">
        <v>5.33881057128359E-6</v>
      </c>
      <c r="AP52">
        <v>1.9876957232607701E-3</v>
      </c>
      <c r="AQ52">
        <v>7.0341420588359904E-2</v>
      </c>
      <c r="AR52" s="53">
        <v>1.8899825621476501E-6</v>
      </c>
      <c r="AS52" s="53">
        <v>-9.5823143256984394E-15</v>
      </c>
      <c r="AT52" s="53">
        <v>-1.23568690002517E-13</v>
      </c>
      <c r="AU52" s="53">
        <v>-3.11350782564959E-18</v>
      </c>
      <c r="AV52">
        <v>0.208746528965852</v>
      </c>
      <c r="AW52">
        <v>99.206234247565902</v>
      </c>
      <c r="AX52">
        <v>499.99999999999898</v>
      </c>
      <c r="AY52">
        <v>95</v>
      </c>
      <c r="AZ52">
        <v>0.92358985913147196</v>
      </c>
      <c r="BA52">
        <v>0.1</v>
      </c>
      <c r="BB52">
        <v>44.244561272803402</v>
      </c>
      <c r="BC52" t="s">
        <v>251</v>
      </c>
      <c r="BD52">
        <v>1</v>
      </c>
      <c r="BE52">
        <v>1.8775014999999999E-2</v>
      </c>
      <c r="BF52">
        <v>0.10492961100000001</v>
      </c>
      <c r="BG52">
        <v>1.814625E-3</v>
      </c>
      <c r="BH52">
        <v>285.1951444</v>
      </c>
      <c r="BI52">
        <v>2169.8944889999998</v>
      </c>
      <c r="BJ52">
        <v>866.49409060000005</v>
      </c>
      <c r="BK52">
        <f t="shared" si="68"/>
        <v>100</v>
      </c>
      <c r="BL52">
        <f t="shared" si="69"/>
        <v>11.004417585793099</v>
      </c>
      <c r="BM52">
        <f t="shared" si="70"/>
        <v>92.358985913147194</v>
      </c>
      <c r="BN52">
        <f t="shared" si="71"/>
        <v>20.8746528965852</v>
      </c>
      <c r="BO52">
        <f t="shared" si="72"/>
        <v>3.9615903308855156</v>
      </c>
      <c r="BP52">
        <f t="shared" si="73"/>
        <v>0.26410602205903438</v>
      </c>
      <c r="BQ52">
        <f t="shared" si="74"/>
        <v>1.3205301102951719</v>
      </c>
      <c r="BR52">
        <f t="shared" si="75"/>
        <v>0.66026505514758593</v>
      </c>
      <c r="BS52">
        <f t="shared" si="76"/>
        <v>1.10044175857931</v>
      </c>
      <c r="BT52">
        <f t="shared" si="77"/>
        <v>6.6026505514758593</v>
      </c>
      <c r="BU52">
        <f t="shared" si="78"/>
        <v>17.607068137268961</v>
      </c>
      <c r="BV52">
        <f t="shared" si="31"/>
        <v>5.5022087928965497</v>
      </c>
      <c r="BW52">
        <f t="shared" si="79"/>
        <v>86.856777120250641</v>
      </c>
      <c r="BX52">
        <f t="shared" si="80"/>
        <v>103.3634034989403</v>
      </c>
      <c r="BY52">
        <f t="shared" si="33"/>
        <v>92.358985913147194</v>
      </c>
      <c r="BZ52">
        <f t="shared" si="34"/>
        <v>1.5406184620110339</v>
      </c>
      <c r="CA52">
        <f>7963.6*(BT52/1000)^0.6*1.7*('CAPEX+OPEX'!$G$116/'CAPEX+OPEX'!$G$115)</f>
        <v>785.36567366618647</v>
      </c>
      <c r="CB52">
        <f>7963.6*(BU52/1000)^0.6*1.7*('CAPEX+OPEX'!$G$116/'CAPEX+OPEX'!$G$115)</f>
        <v>1414.663520998452</v>
      </c>
      <c r="CC52">
        <f>7963.6*(BX52/1000)^0.6*1.7*('CAPEX+OPEX'!$G$116/'CAPEX+OPEX'!$G$115)</f>
        <v>4091.2970103918128</v>
      </c>
      <c r="CD52">
        <f>7963.6*(BY52/1000)^0.6*1.7*('CAPEX+OPEX'!$G$116/'CAPEX+OPEX'!$G$115)</f>
        <v>3824.0927867582022</v>
      </c>
      <c r="CE52">
        <v>300</v>
      </c>
      <c r="CF52">
        <v>30</v>
      </c>
      <c r="CG52">
        <f t="shared" si="81"/>
        <v>7.5148750427706714</v>
      </c>
      <c r="CH52">
        <f t="shared" si="82"/>
        <v>0.50099166951804486</v>
      </c>
      <c r="CI52">
        <f t="shared" si="83"/>
        <v>2.504958347590224</v>
      </c>
      <c r="CJ52">
        <f t="shared" si="84"/>
        <v>1.252479173795112</v>
      </c>
      <c r="CK52">
        <f t="shared" si="85"/>
        <v>2.0874652896585202</v>
      </c>
      <c r="CL52">
        <f t="shared" si="86"/>
        <v>12.524791737951119</v>
      </c>
      <c r="CM52">
        <f t="shared" si="87"/>
        <v>33.399444634536323</v>
      </c>
      <c r="CN52">
        <f t="shared" si="36"/>
        <v>10.4373264482926</v>
      </c>
      <c r="CO52">
        <v>0</v>
      </c>
      <c r="CP52">
        <f t="shared" si="88"/>
        <v>31.311979344877798</v>
      </c>
      <c r="CQ52">
        <f t="shared" si="38"/>
        <v>10.4373264482926</v>
      </c>
      <c r="CR52">
        <f t="shared" si="39"/>
        <v>2.9224514055219282</v>
      </c>
      <c r="CS52">
        <f>7963.6*(CL52/1000)^0.6*1.7*('CAPEX+OPEX'!$G$116/'CAPEX+OPEX'!$G$115)</f>
        <v>1153.196287950462</v>
      </c>
      <c r="CT52">
        <f>7963.6*(CM52/1000)^0.6*1.7*('CAPEX+OPEX'!$G$116/'CAPEX+OPEX'!$G$115)</f>
        <v>2077.2294687885133</v>
      </c>
      <c r="CU52">
        <f>7963.6*(CP52/1000)^0.6*1.7*('CAPEX+OPEX'!$G$116/'CAPEX+OPEX'!$G$115)</f>
        <v>1998.3301503462999</v>
      </c>
      <c r="CV52">
        <f>7963.6*(CQ52/1000)^0.6*1.7*('CAPEX+OPEX'!$G$116/'CAPEX+OPEX'!$G$115)</f>
        <v>1033.6999330121737</v>
      </c>
      <c r="CW52">
        <v>300</v>
      </c>
      <c r="CX52">
        <f t="shared" si="89"/>
        <v>30</v>
      </c>
      <c r="CY52">
        <f t="shared" si="90"/>
        <v>10</v>
      </c>
      <c r="CZ52">
        <f t="shared" si="91"/>
        <v>9.2358985913147205</v>
      </c>
      <c r="DA52">
        <f t="shared" si="92"/>
        <v>3960</v>
      </c>
      <c r="DB52">
        <f t="shared" si="93"/>
        <v>3960</v>
      </c>
      <c r="DC52">
        <f>CF52*'Reagent cost'!$C$18/1000*'Reagent cost'!$H$18</f>
        <v>4784.413580611521</v>
      </c>
      <c r="DD52">
        <f>CX52*'Ligand cost'!$B$56*'Ligand cost'!$J$56</f>
        <v>30543.831958072875</v>
      </c>
      <c r="DE52">
        <f t="shared" si="94"/>
        <v>39625.826528698344</v>
      </c>
      <c r="DF52">
        <f t="shared" si="95"/>
        <v>4586243.4239371875</v>
      </c>
      <c r="DG52">
        <f t="shared" si="96"/>
        <v>11794834.586807497</v>
      </c>
      <c r="DH52">
        <f t="shared" si="97"/>
        <v>2275209.1661185985</v>
      </c>
      <c r="DI52">
        <f t="shared" si="98"/>
        <v>14083914.336508472</v>
      </c>
      <c r="DJ52">
        <f t="shared" si="99"/>
        <v>1662824.8986326549</v>
      </c>
      <c r="DK52" s="55">
        <f>DF52*($BK$2/10000)^0.72*0.6*((A52+1)/3)^0.6*('CAPEX+OPEX'!$G$116/'CAPEX+OPEX'!$G$114)</f>
        <v>450777.05424166139</v>
      </c>
      <c r="DL52" s="55">
        <f>DG52*($BK$2/10000)^0.72*0.6*((A52+1)/3)^0.6*('CAPEX+OPEX'!$G$116/'CAPEX+OPEX'!$G$114)</f>
        <v>1159301.9163697939</v>
      </c>
      <c r="DM52" s="55">
        <f>DH52*($BK$2/10000)^0.72*0.6*((A52+1)/3)^0.6*('CAPEX+OPEX'!$G$116/'CAPEX+OPEX'!$G$114)</f>
        <v>223627.92178311889</v>
      </c>
      <c r="DN52" s="55">
        <f>DI52*($BK$2/10000)^0.72*0.6*((A52+1)/3)^0.6*('CAPEX+OPEX'!$G$116/'CAPEX+OPEX'!$G$114)</f>
        <v>1384293.1632601768</v>
      </c>
      <c r="DO52" s="55">
        <f>DJ52*($BK$2/10000)^0.72*0.6*((A52+1)/3)^0.6*('CAPEX+OPEX'!$G$116/'CAPEX+OPEX'!$G$114)</f>
        <v>163437.31464690424</v>
      </c>
      <c r="DP52">
        <f t="shared" si="100"/>
        <v>3381437.3703016555</v>
      </c>
      <c r="DQ52">
        <f>DF52*(BM52/10000)^0.72*0.6*((AF52+1)/3)^0.6*('CAPEX+OPEX'!$G$116/'CAPEX+OPEX'!$G$114)</f>
        <v>299187.39353974262</v>
      </c>
      <c r="DR52">
        <f>DG52*(BM52/10000)^0.72*0.6*((AF52+1)/3)^0.6*('CAPEX+OPEX'!$G$116/'CAPEX+OPEX'!$G$114)</f>
        <v>769445.81677478645</v>
      </c>
      <c r="DS52">
        <f>DH52*(BM52/10000)^0.72*0.6*((AF52+1)/3)^0.6*('CAPEX+OPEX'!$G$116/'CAPEX+OPEX'!$G$114)</f>
        <v>148425.15698488092</v>
      </c>
      <c r="DT52">
        <f>DI52*(BM52/10000)^0.72*0.6*((AF52+1)/3)^0.6*('CAPEX+OPEX'!$G$116/'CAPEX+OPEX'!$G$114)</f>
        <v>918775.8327837711</v>
      </c>
      <c r="DU52">
        <f>DJ52*(BM52/10000)^0.72*0.6*((AF52+1)/3)^0.6*('CAPEX+OPEX'!$G$116/'CAPEX+OPEX'!$G$114)</f>
        <v>108475.76139074656</v>
      </c>
      <c r="DV52">
        <f t="shared" si="101"/>
        <v>2244309.9614739278</v>
      </c>
      <c r="DW52">
        <f t="shared" si="102"/>
        <v>5694317.3702017702</v>
      </c>
      <c r="DX52">
        <f t="shared" si="103"/>
        <v>379621.15801345132</v>
      </c>
      <c r="DY52">
        <f>BO52*'Reagent cost'!$C$35*60*7200</f>
        <v>1026119.9463134165</v>
      </c>
      <c r="DZ52">
        <f>BP52*'Reagent cost'!$C$34*60*7200</f>
        <v>244161.87621115142</v>
      </c>
      <c r="EA52">
        <f>BQ52*'Reagent cost'!$C$14*'Reagent cost'!$C$36/1000*60*7200</f>
        <v>4047183.9318139763</v>
      </c>
      <c r="EB52">
        <f t="shared" si="104"/>
        <v>39.6</v>
      </c>
      <c r="EC52">
        <f t="shared" si="105"/>
        <v>95.688271612230423</v>
      </c>
      <c r="ED52">
        <f>0.1*BK52*60*7200*'Reagent cost'!$H$17*'Reagent cost'!$C$17/1000</f>
        <v>504921.59999999998</v>
      </c>
      <c r="EE52">
        <f>BV52*0.1*'Reagent cost'!$C$16/1000*'Reagent cost'!$H$16*60*7200</f>
        <v>1004001.6839176399</v>
      </c>
      <c r="EF52">
        <f>BZ52/1000*'Reagent cost'!$H$19*'Reagent cost'!$C$19*60*7200</f>
        <v>84358.104505876181</v>
      </c>
      <c r="EG52">
        <f>0.33*('Costing 100 Lmin Feed Orig'!BO52*'Reagent cost'!$C$13+'Costing 100 Lmin Feed Orig'!BP52*'Reagent cost'!$C$12+'Costing 100 Lmin Feed Orig'!BQ52*'Reagent cost'!$C$14+'Costing 100 Lmin Feed Orig'!BV52*0.1*'Reagent cost'!$C$16+'Costing 100 Lmin Feed Orig'!BZ52*'Reagent cost'!$C$19)/1000*60*7200</f>
        <v>172594.54198977497</v>
      </c>
      <c r="EH52">
        <f>CG52*'Reagent cost'!$C$35*60*7200</f>
        <v>1946481.7235951384</v>
      </c>
      <c r="EI52">
        <f>CH52*'Reagent cost'!$C$34*60*7200</f>
        <v>463158.94292005454</v>
      </c>
      <c r="EJ52">
        <f>CI52*'Reagent cost'!$C$14*'Reagent cost'!$C$36/1000*60*7200</f>
        <v>7677240.4469931703</v>
      </c>
      <c r="EK52">
        <f t="shared" si="106"/>
        <v>39.6</v>
      </c>
      <c r="EL52">
        <f t="shared" si="107"/>
        <v>610.87663916145755</v>
      </c>
      <c r="EM52">
        <f>0.1*BM52*60*7200*'Reagent cost'!$H$17*'Reagent cost'!$C$17/1000</f>
        <v>466340.4694164375</v>
      </c>
      <c r="EN52">
        <f>CN52*0.1*'Reagent cost'!$C$16/1000*'Reagent cost'!$H$16*60*7200</f>
        <v>1904524.8415895428</v>
      </c>
      <c r="EO52">
        <f>CR52/1000*'Reagent cost'!$H$19*'Reagent cost'!$C$19*60*7200</f>
        <v>160021.74916075869</v>
      </c>
      <c r="EP52">
        <f>0.33*(CG52*'Reagent cost'!$C$13+CH52*'Reagent cost'!$C$12+CI52*'Reagent cost'!$C$14+CN52*0.1*'Reagent cost'!$C$16+CR52*'Reagent cost'!$C$19)/1000*60*7200</f>
        <v>327400.43966824719</v>
      </c>
      <c r="EQ52">
        <f t="shared" si="108"/>
        <v>23435161.297617521</v>
      </c>
      <c r="ER52">
        <f t="shared" si="109"/>
        <v>499994.98165802215</v>
      </c>
      <c r="ES52">
        <f t="shared" si="110"/>
        <v>41280.414286181804</v>
      </c>
      <c r="ET52">
        <f t="shared" si="111"/>
        <v>37373.489075065132</v>
      </c>
      <c r="EU52">
        <f t="shared" si="112"/>
        <v>15823.453035813865</v>
      </c>
      <c r="EV52">
        <f t="shared" si="113"/>
        <v>8382.1245272768647</v>
      </c>
      <c r="EW52">
        <f t="shared" si="114"/>
        <v>8439.174952434063</v>
      </c>
      <c r="EX52">
        <f t="shared" si="115"/>
        <v>111298.65587677172</v>
      </c>
      <c r="EY52">
        <f t="shared" si="56"/>
        <v>28285.552898305465</v>
      </c>
      <c r="EZ52">
        <f t="shared" si="57"/>
        <v>19397.30061303094</v>
      </c>
      <c r="FA52">
        <f t="shared" si="58"/>
        <v>8212.5667918074541</v>
      </c>
      <c r="FB52">
        <f t="shared" si="59"/>
        <v>4352.8470449002243</v>
      </c>
      <c r="FC52">
        <f t="shared" si="60"/>
        <v>4380.0356222973096</v>
      </c>
      <c r="FD52">
        <f t="shared" si="116"/>
        <v>64628.302970341392</v>
      </c>
      <c r="FE52">
        <f t="shared" si="117"/>
        <v>24111083.238122657</v>
      </c>
      <c r="FF52">
        <f t="shared" si="118"/>
        <v>24490704.396136109</v>
      </c>
      <c r="FG52">
        <f>BM52*AM52*195.08/1000*'PGM market prices'!$C$2*60*7200</f>
        <v>421325958.92145824</v>
      </c>
      <c r="FH52">
        <f>BN52*AQ52*BA52*106.42/1000*'PGM market prices'!$C$3*60*7200</f>
        <v>222292533.43081921</v>
      </c>
      <c r="FI52">
        <f>BK52*J52*102.91/1000*'PGM market prices'!$C$4*60*7200</f>
        <v>247541804.54056302</v>
      </c>
      <c r="FJ52">
        <f t="shared" si="119"/>
        <v>891160296.8928405</v>
      </c>
      <c r="FK52">
        <f t="shared" si="120"/>
        <v>641335498.44756114</v>
      </c>
      <c r="FL52">
        <f t="shared" si="64"/>
        <v>0.56691445361426174</v>
      </c>
      <c r="FM52">
        <f t="shared" si="65"/>
        <v>1960.665707908327</v>
      </c>
      <c r="FN52">
        <f t="shared" si="66"/>
        <v>3627.9715881168954</v>
      </c>
      <c r="FO52">
        <f t="shared" si="67"/>
        <v>16319.049200249352</v>
      </c>
    </row>
    <row r="53" spans="1:171">
      <c r="A53">
        <v>8</v>
      </c>
      <c r="B53">
        <v>1.54143585092054E-3</v>
      </c>
      <c r="C53">
        <v>1.54143585092054E-3</v>
      </c>
      <c r="D53">
        <v>3.4254130020456501E-4</v>
      </c>
      <c r="E53">
        <v>0</v>
      </c>
      <c r="F53">
        <v>0</v>
      </c>
      <c r="G53">
        <v>0</v>
      </c>
      <c r="H53" s="53">
        <v>1.7762434284205799E-5</v>
      </c>
      <c r="I53" s="53">
        <v>4.4591984978445998E-9</v>
      </c>
      <c r="J53">
        <v>3.37570976171142E-4</v>
      </c>
      <c r="K53">
        <v>0.13846015972746001</v>
      </c>
      <c r="L53">
        <v>0.14007387303476199</v>
      </c>
      <c r="M53">
        <v>4.5166625081916902E-4</v>
      </c>
      <c r="N53" s="53">
        <v>-2.6107588313450902E-16</v>
      </c>
      <c r="O53" s="53">
        <v>-1.18524981496115E-14</v>
      </c>
      <c r="P53" s="53">
        <v>-2.5241581828178102E-19</v>
      </c>
      <c r="Q53">
        <v>0.110044175857931</v>
      </c>
      <c r="R53">
        <v>98.548985471108097</v>
      </c>
      <c r="S53">
        <v>500</v>
      </c>
      <c r="T53">
        <v>95</v>
      </c>
      <c r="U53">
        <v>1</v>
      </c>
      <c r="V53">
        <v>0.1</v>
      </c>
      <c r="W53">
        <v>90.872596591664205</v>
      </c>
      <c r="X53" t="s">
        <v>323</v>
      </c>
      <c r="Y53">
        <v>1</v>
      </c>
      <c r="Z53">
        <v>0.28318429382522198</v>
      </c>
      <c r="AA53">
        <v>0.56945642916197003</v>
      </c>
      <c r="AB53">
        <v>3.7698628972227502E-3</v>
      </c>
      <c r="AC53">
        <v>1822.2107908876901</v>
      </c>
      <c r="AD53">
        <v>2662.6059073104898</v>
      </c>
      <c r="AE53">
        <v>2401.5030938442701</v>
      </c>
      <c r="AF53">
        <v>5</v>
      </c>
      <c r="AG53">
        <v>1.6497294784823999E-3</v>
      </c>
      <c r="AH53">
        <v>1.66895660069658E-3</v>
      </c>
      <c r="AI53" s="53">
        <v>5.38152729188446E-6</v>
      </c>
      <c r="AJ53">
        <v>0</v>
      </c>
      <c r="AK53">
        <v>0</v>
      </c>
      <c r="AL53">
        <v>0</v>
      </c>
      <c r="AM53">
        <v>1.6104132966485E-3</v>
      </c>
      <c r="AN53" s="53">
        <v>7.9414634231904594E-5</v>
      </c>
      <c r="AO53" s="53">
        <v>5.3439603602742398E-6</v>
      </c>
      <c r="AP53">
        <v>1.8119059661181E-3</v>
      </c>
      <c r="AQ53">
        <v>7.3254839053204804E-2</v>
      </c>
      <c r="AR53" s="53">
        <v>1.7312908918998299E-6</v>
      </c>
      <c r="AS53" s="53">
        <v>-4.56313589344836E-17</v>
      </c>
      <c r="AT53" s="53">
        <v>1.8236280541206101E-16</v>
      </c>
      <c r="AU53" s="53">
        <v>-3.5912873474602201E-20</v>
      </c>
      <c r="AV53">
        <v>0.20040789930945399</v>
      </c>
      <c r="AW53">
        <v>99.301928066649793</v>
      </c>
      <c r="AX53">
        <v>499.99999999999898</v>
      </c>
      <c r="AY53">
        <v>95</v>
      </c>
      <c r="AZ53">
        <v>0.92358985913147196</v>
      </c>
      <c r="BA53">
        <v>0.1</v>
      </c>
      <c r="BB53">
        <v>46.085501734905897</v>
      </c>
      <c r="BC53" t="s">
        <v>251</v>
      </c>
      <c r="BD53">
        <v>1</v>
      </c>
      <c r="BE53">
        <v>1.8775014999999999E-2</v>
      </c>
      <c r="BF53">
        <v>0.10492961100000001</v>
      </c>
      <c r="BG53">
        <v>1.814625E-3</v>
      </c>
      <c r="BH53">
        <v>285.1951444</v>
      </c>
      <c r="BI53">
        <v>2169.8944889999998</v>
      </c>
      <c r="BJ53">
        <v>866.49409060000005</v>
      </c>
      <c r="BK53">
        <f t="shared" si="68"/>
        <v>100</v>
      </c>
      <c r="BL53">
        <f t="shared" si="69"/>
        <v>11.004417585793099</v>
      </c>
      <c r="BM53">
        <f t="shared" si="70"/>
        <v>92.358985913147194</v>
      </c>
      <c r="BN53">
        <f t="shared" si="71"/>
        <v>20.040789930945397</v>
      </c>
      <c r="BO53">
        <f t="shared" si="72"/>
        <v>3.9615903308855156</v>
      </c>
      <c r="BP53">
        <f t="shared" si="73"/>
        <v>0.26410602205903438</v>
      </c>
      <c r="BQ53">
        <f t="shared" si="74"/>
        <v>1.3205301102951719</v>
      </c>
      <c r="BR53">
        <f t="shared" si="75"/>
        <v>0.66026505514758593</v>
      </c>
      <c r="BS53">
        <f t="shared" si="76"/>
        <v>1.10044175857931</v>
      </c>
      <c r="BT53">
        <f t="shared" si="77"/>
        <v>6.6026505514758593</v>
      </c>
      <c r="BU53">
        <f t="shared" si="78"/>
        <v>17.607068137268961</v>
      </c>
      <c r="BV53">
        <f t="shared" si="31"/>
        <v>5.5022087928965497</v>
      </c>
      <c r="BW53">
        <f t="shared" si="79"/>
        <v>86.856777120250641</v>
      </c>
      <c r="BX53">
        <f t="shared" si="80"/>
        <v>103.3634034989403</v>
      </c>
      <c r="BY53">
        <f t="shared" si="33"/>
        <v>92.358985913147194</v>
      </c>
      <c r="BZ53">
        <f t="shared" si="34"/>
        <v>1.5406184620110339</v>
      </c>
      <c r="CA53">
        <f>7963.6*(BT53/1000)^0.6*1.7*('CAPEX+OPEX'!$G$116/'CAPEX+OPEX'!$G$115)</f>
        <v>785.36567366618647</v>
      </c>
      <c r="CB53">
        <f>7963.6*(BU53/1000)^0.6*1.7*('CAPEX+OPEX'!$G$116/'CAPEX+OPEX'!$G$115)</f>
        <v>1414.663520998452</v>
      </c>
      <c r="CC53">
        <f>7963.6*(BX53/1000)^0.6*1.7*('CAPEX+OPEX'!$G$116/'CAPEX+OPEX'!$G$115)</f>
        <v>4091.2970103918128</v>
      </c>
      <c r="CD53">
        <f>7963.6*(BY53/1000)^0.6*1.7*('CAPEX+OPEX'!$G$116/'CAPEX+OPEX'!$G$115)</f>
        <v>3824.0927867582022</v>
      </c>
      <c r="CE53">
        <v>300</v>
      </c>
      <c r="CF53">
        <v>30</v>
      </c>
      <c r="CG53">
        <f t="shared" si="81"/>
        <v>7.2146843751403429</v>
      </c>
      <c r="CH53">
        <f t="shared" si="82"/>
        <v>0.48097895834268956</v>
      </c>
      <c r="CI53">
        <f t="shared" si="83"/>
        <v>2.4048947917134478</v>
      </c>
      <c r="CJ53">
        <f t="shared" si="84"/>
        <v>1.2024473958567239</v>
      </c>
      <c r="CK53">
        <f t="shared" si="85"/>
        <v>2.0040789930945397</v>
      </c>
      <c r="CL53">
        <f t="shared" si="86"/>
        <v>12.024473958567238</v>
      </c>
      <c r="CM53">
        <f t="shared" si="87"/>
        <v>32.065263889512636</v>
      </c>
      <c r="CN53">
        <f t="shared" si="36"/>
        <v>10.020394965472699</v>
      </c>
      <c r="CO53">
        <v>0</v>
      </c>
      <c r="CP53">
        <f t="shared" si="88"/>
        <v>30.061184896418098</v>
      </c>
      <c r="CQ53">
        <f t="shared" si="38"/>
        <v>10.020394965472699</v>
      </c>
      <c r="CR53">
        <f t="shared" si="39"/>
        <v>2.8057105903323554</v>
      </c>
      <c r="CS53">
        <f>7963.6*(CL53/1000)^0.6*1.7*('CAPEX+OPEX'!$G$116/'CAPEX+OPEX'!$G$115)</f>
        <v>1125.3317690715942</v>
      </c>
      <c r="CT53">
        <f>7963.6*(CM53/1000)^0.6*1.7*('CAPEX+OPEX'!$G$116/'CAPEX+OPEX'!$G$115)</f>
        <v>2027.0376667912408</v>
      </c>
      <c r="CU53">
        <f>7963.6*(CP53/1000)^0.6*1.7*('CAPEX+OPEX'!$G$116/'CAPEX+OPEX'!$G$115)</f>
        <v>1950.0447814265849</v>
      </c>
      <c r="CV53">
        <f>7963.6*(CQ53/1000)^0.6*1.7*('CAPEX+OPEX'!$G$116/'CAPEX+OPEX'!$G$115)</f>
        <v>1008.7227876645296</v>
      </c>
      <c r="CW53">
        <v>300</v>
      </c>
      <c r="CX53">
        <f t="shared" si="89"/>
        <v>30</v>
      </c>
      <c r="CY53">
        <f t="shared" si="90"/>
        <v>10</v>
      </c>
      <c r="CZ53">
        <f t="shared" si="91"/>
        <v>9.2358985913147205</v>
      </c>
      <c r="DA53">
        <f t="shared" si="92"/>
        <v>3960</v>
      </c>
      <c r="DB53">
        <f t="shared" si="93"/>
        <v>3960</v>
      </c>
      <c r="DC53">
        <f>CF53*'Reagent cost'!$C$18/1000*'Reagent cost'!$H$18</f>
        <v>4784.413580611521</v>
      </c>
      <c r="DD53">
        <f>CX53*'Ligand cost'!$B$56*'Ligand cost'!$J$56</f>
        <v>30543.831958072875</v>
      </c>
      <c r="DE53">
        <f t="shared" si="94"/>
        <v>39625.826528698344</v>
      </c>
      <c r="DF53">
        <f t="shared" si="95"/>
        <v>4586243.4239371875</v>
      </c>
      <c r="DG53">
        <f t="shared" si="96"/>
        <v>11794834.586807497</v>
      </c>
      <c r="DH53">
        <f t="shared" si="97"/>
        <v>2275209.1661185985</v>
      </c>
      <c r="DI53">
        <f t="shared" si="98"/>
        <v>14083914.336508472</v>
      </c>
      <c r="DJ53">
        <f t="shared" si="99"/>
        <v>1662824.8986326549</v>
      </c>
      <c r="DK53" s="55">
        <f>DF53*($BK$2/10000)^0.72*0.6*((A53+1)/3)^0.6*('CAPEX+OPEX'!$G$116/'CAPEX+OPEX'!$G$114)</f>
        <v>450777.05424166139</v>
      </c>
      <c r="DL53" s="55">
        <f>DG53*($BK$2/10000)^0.72*0.6*((A53+1)/3)^0.6*('CAPEX+OPEX'!$G$116/'CAPEX+OPEX'!$G$114)</f>
        <v>1159301.9163697939</v>
      </c>
      <c r="DM53" s="55">
        <f>DH53*($BK$2/10000)^0.72*0.6*((A53+1)/3)^0.6*('CAPEX+OPEX'!$G$116/'CAPEX+OPEX'!$G$114)</f>
        <v>223627.92178311889</v>
      </c>
      <c r="DN53" s="55">
        <f>DI53*($BK$2/10000)^0.72*0.6*((A53+1)/3)^0.6*('CAPEX+OPEX'!$G$116/'CAPEX+OPEX'!$G$114)</f>
        <v>1384293.1632601768</v>
      </c>
      <c r="DO53" s="55">
        <f>DJ53*($BK$2/10000)^0.72*0.6*((A53+1)/3)^0.6*('CAPEX+OPEX'!$G$116/'CAPEX+OPEX'!$G$114)</f>
        <v>163437.31464690424</v>
      </c>
      <c r="DP53">
        <f t="shared" si="100"/>
        <v>3381437.3703016555</v>
      </c>
      <c r="DQ53">
        <f>DF53*(BM53/10000)^0.72*0.6*((AF53+1)/3)^0.6*('CAPEX+OPEX'!$G$116/'CAPEX+OPEX'!$G$114)</f>
        <v>333773.6422466634</v>
      </c>
      <c r="DR53">
        <f>DG53*(BM53/10000)^0.72*0.6*((AF53+1)/3)^0.6*('CAPEX+OPEX'!$G$116/'CAPEX+OPEX'!$G$114)</f>
        <v>858394.2315813665</v>
      </c>
      <c r="DS53">
        <f>DH53*(BM53/10000)^0.72*0.6*((AF53+1)/3)^0.6*('CAPEX+OPEX'!$G$116/'CAPEX+OPEX'!$G$114)</f>
        <v>165583.1974126804</v>
      </c>
      <c r="DT53">
        <f>DI53*(BM53/10000)^0.72*0.6*((AF53+1)/3)^0.6*('CAPEX+OPEX'!$G$116/'CAPEX+OPEX'!$G$114)</f>
        <v>1024986.8902839149</v>
      </c>
      <c r="DU53">
        <f>DJ53*(BM53/10000)^0.72*0.6*((AF53+1)/3)^0.6*('CAPEX+OPEX'!$G$116/'CAPEX+OPEX'!$G$114)</f>
        <v>121015.62685013327</v>
      </c>
      <c r="DV53">
        <f t="shared" si="101"/>
        <v>2503753.5883747586</v>
      </c>
      <c r="DW53">
        <f t="shared" si="102"/>
        <v>5953586.9804421859</v>
      </c>
      <c r="DX53">
        <f t="shared" si="103"/>
        <v>396905.79869614571</v>
      </c>
      <c r="DY53">
        <f>BO53*'Reagent cost'!$C$35*60*7200</f>
        <v>1026119.9463134165</v>
      </c>
      <c r="DZ53">
        <f>BP53*'Reagent cost'!$C$34*60*7200</f>
        <v>244161.87621115142</v>
      </c>
      <c r="EA53">
        <f>BQ53*'Reagent cost'!$C$14*'Reagent cost'!$C$36/1000*60*7200</f>
        <v>4047183.9318139763</v>
      </c>
      <c r="EB53">
        <f t="shared" si="104"/>
        <v>39.6</v>
      </c>
      <c r="EC53">
        <f t="shared" si="105"/>
        <v>95.688271612230423</v>
      </c>
      <c r="ED53">
        <f>0.1*BK53*60*7200*'Reagent cost'!$H$17*'Reagent cost'!$C$17/1000</f>
        <v>504921.59999999998</v>
      </c>
      <c r="EE53">
        <f>BV53*0.1*'Reagent cost'!$C$16/1000*'Reagent cost'!$H$16*60*7200</f>
        <v>1004001.6839176399</v>
      </c>
      <c r="EF53">
        <f>BZ53/1000*'Reagent cost'!$H$19*'Reagent cost'!$C$19*60*7200</f>
        <v>84358.104505876181</v>
      </c>
      <c r="EG53">
        <f>0.33*('Costing 100 Lmin Feed Orig'!BO53*'Reagent cost'!$C$13+'Costing 100 Lmin Feed Orig'!BP53*'Reagent cost'!$C$12+'Costing 100 Lmin Feed Orig'!BQ53*'Reagent cost'!$C$14+'Costing 100 Lmin Feed Orig'!BV53*0.1*'Reagent cost'!$C$16+'Costing 100 Lmin Feed Orig'!BZ53*'Reagent cost'!$C$19)/1000*60*7200</f>
        <v>172594.54198977497</v>
      </c>
      <c r="EH53">
        <f>CG53*'Reagent cost'!$C$35*60*7200</f>
        <v>1868727.1841236711</v>
      </c>
      <c r="EI53">
        <f>CH53*'Reagent cost'!$C$34*60*7200</f>
        <v>444657.50523774972</v>
      </c>
      <c r="EJ53">
        <f>CI53*'Reagent cost'!$C$14*'Reagent cost'!$C$36/1000*60*7200</f>
        <v>7370563.8991830368</v>
      </c>
      <c r="EK53">
        <f t="shared" si="106"/>
        <v>39.6</v>
      </c>
      <c r="EL53">
        <f t="shared" si="107"/>
        <v>610.87663916145755</v>
      </c>
      <c r="EM53">
        <f>0.1*BM53*60*7200*'Reagent cost'!$H$17*'Reagent cost'!$C$17/1000</f>
        <v>466340.4694164375</v>
      </c>
      <c r="EN53">
        <f>CN53*0.1*'Reagent cost'!$C$16/1000*'Reagent cost'!$H$16*60*7200</f>
        <v>1828446.319929318</v>
      </c>
      <c r="EO53">
        <f>CR53/1000*'Reagent cost'!$H$19*'Reagent cost'!$C$19*60*7200</f>
        <v>153629.48908423845</v>
      </c>
      <c r="EP53">
        <f>0.33*(CG53*'Reagent cost'!$C$13+CH53*'Reagent cost'!$C$12+CI53*'Reagent cost'!$C$14+CN53*0.1*'Reagent cost'!$C$16+CR53*'Reagent cost'!$C$19)/1000*60*7200</f>
        <v>314322.03769787477</v>
      </c>
      <c r="EQ53">
        <f t="shared" si="108"/>
        <v>22852677.329576742</v>
      </c>
      <c r="ER53">
        <f t="shared" si="109"/>
        <v>486916.57968764973</v>
      </c>
      <c r="ES53">
        <f t="shared" si="110"/>
        <v>41280.414286181804</v>
      </c>
      <c r="ET53">
        <f t="shared" si="111"/>
        <v>37373.489075065132</v>
      </c>
      <c r="EU53">
        <f t="shared" si="112"/>
        <v>15823.453035813865</v>
      </c>
      <c r="EV53">
        <f t="shared" si="113"/>
        <v>8382.1245272768647</v>
      </c>
      <c r="EW53">
        <f t="shared" si="114"/>
        <v>8439.174952434063</v>
      </c>
      <c r="EX53">
        <f t="shared" si="115"/>
        <v>111298.65587677172</v>
      </c>
      <c r="EY53">
        <f t="shared" si="56"/>
        <v>30856.96679815141</v>
      </c>
      <c r="EZ53">
        <f t="shared" si="57"/>
        <v>23276.76073563713</v>
      </c>
      <c r="FA53">
        <f t="shared" si="58"/>
        <v>9855.0801501689457</v>
      </c>
      <c r="FB53">
        <f t="shared" si="59"/>
        <v>5223.4164538802697</v>
      </c>
      <c r="FC53">
        <f t="shared" si="60"/>
        <v>5256.0427467567724</v>
      </c>
      <c r="FD53">
        <f t="shared" si="116"/>
        <v>74468.26688459453</v>
      </c>
      <c r="FE53">
        <f t="shared" si="117"/>
        <v>23525360.832025759</v>
      </c>
      <c r="FF53">
        <f t="shared" si="118"/>
        <v>23922266.630721904</v>
      </c>
      <c r="FG53">
        <f>BM53*AM53*195.08/1000*'PGM market prices'!$C$2*60*7200</f>
        <v>422798552.55455726</v>
      </c>
      <c r="FH53">
        <f>BN53*AQ53*BA53*106.42/1000*'PGM market prices'!$C$3*60*7200</f>
        <v>222251976.58395293</v>
      </c>
      <c r="FI53">
        <f>BK53*J53*102.91/1000*'PGM market prices'!$C$4*60*7200</f>
        <v>247541804.54056302</v>
      </c>
      <c r="FJ53">
        <f t="shared" si="119"/>
        <v>892592333.67907321</v>
      </c>
      <c r="FK53">
        <f t="shared" si="120"/>
        <v>642815849.61578</v>
      </c>
      <c r="FL53">
        <f t="shared" si="64"/>
        <v>0.55375617200745153</v>
      </c>
      <c r="FM53">
        <f t="shared" si="65"/>
        <v>1908.4875419726791</v>
      </c>
      <c r="FN53">
        <f t="shared" si="66"/>
        <v>3544.4117771069864</v>
      </c>
      <c r="FO53">
        <f t="shared" si="67"/>
        <v>15940.278393537164</v>
      </c>
    </row>
    <row r="54" spans="1:171">
      <c r="A54">
        <v>8</v>
      </c>
      <c r="B54">
        <v>1.54143585092054E-3</v>
      </c>
      <c r="C54">
        <v>1.54143585092054E-3</v>
      </c>
      <c r="D54">
        <v>3.4254130020456501E-4</v>
      </c>
      <c r="E54">
        <v>0</v>
      </c>
      <c r="F54">
        <v>0</v>
      </c>
      <c r="G54">
        <v>0</v>
      </c>
      <c r="H54" s="53">
        <v>1.7762434284205799E-5</v>
      </c>
      <c r="I54" s="53">
        <v>4.4591984978445998E-9</v>
      </c>
      <c r="J54">
        <v>3.37570976171142E-4</v>
      </c>
      <c r="K54">
        <v>0.13846015972746001</v>
      </c>
      <c r="L54">
        <v>0.14007387303476199</v>
      </c>
      <c r="M54">
        <v>4.5166625081916902E-4</v>
      </c>
      <c r="N54" s="53">
        <v>-2.6107588313450902E-16</v>
      </c>
      <c r="O54" s="53">
        <v>-1.18524981496115E-14</v>
      </c>
      <c r="P54" s="53">
        <v>-2.5241581828178102E-19</v>
      </c>
      <c r="Q54">
        <v>0.110044175857931</v>
      </c>
      <c r="R54">
        <v>98.548985471108097</v>
      </c>
      <c r="S54">
        <v>500</v>
      </c>
      <c r="T54">
        <v>95</v>
      </c>
      <c r="U54">
        <v>1</v>
      </c>
      <c r="V54">
        <v>0.1</v>
      </c>
      <c r="W54">
        <v>90.872596591664205</v>
      </c>
      <c r="X54" t="s">
        <v>323</v>
      </c>
      <c r="Y54">
        <v>1</v>
      </c>
      <c r="Z54">
        <v>0.28318429382522198</v>
      </c>
      <c r="AA54">
        <v>0.56945642916197003</v>
      </c>
      <c r="AB54">
        <v>3.7698628972227502E-3</v>
      </c>
      <c r="AC54">
        <v>1822.2107908876901</v>
      </c>
      <c r="AD54">
        <v>2662.6059073104898</v>
      </c>
      <c r="AE54">
        <v>2401.5030938442701</v>
      </c>
      <c r="AF54">
        <v>6</v>
      </c>
      <c r="AG54">
        <v>1.6497294784823999E-3</v>
      </c>
      <c r="AH54">
        <v>1.66895660069658E-3</v>
      </c>
      <c r="AI54" s="53">
        <v>5.38152729188446E-6</v>
      </c>
      <c r="AJ54">
        <v>0</v>
      </c>
      <c r="AK54">
        <v>0</v>
      </c>
      <c r="AL54">
        <v>0</v>
      </c>
      <c r="AM54">
        <v>1.6120973624594601E-3</v>
      </c>
      <c r="AN54" s="53">
        <v>7.9501723318735999E-5</v>
      </c>
      <c r="AO54" s="53">
        <v>5.3455064946735699E-6</v>
      </c>
      <c r="AP54">
        <v>1.7562344447916399E-3</v>
      </c>
      <c r="AQ54">
        <v>7.4177476557294494E-2</v>
      </c>
      <c r="AR54" s="53">
        <v>1.6810366111767E-6</v>
      </c>
      <c r="AS54" s="53">
        <v>-2.1616280813929698E-18</v>
      </c>
      <c r="AT54" s="53">
        <v>-1.5872719805187701E-16</v>
      </c>
      <c r="AU54" s="53">
        <v>-1.13158307797254E-21</v>
      </c>
      <c r="AV54">
        <v>0.19790433355595599</v>
      </c>
      <c r="AW54">
        <v>99.330658468178498</v>
      </c>
      <c r="AX54">
        <v>499.99999999999898</v>
      </c>
      <c r="AY54">
        <v>95</v>
      </c>
      <c r="AZ54">
        <v>0.92358985913147196</v>
      </c>
      <c r="BA54">
        <v>0.1</v>
      </c>
      <c r="BB54">
        <v>46.668501014422198</v>
      </c>
      <c r="BC54" t="s">
        <v>251</v>
      </c>
      <c r="BD54">
        <v>1</v>
      </c>
      <c r="BE54">
        <v>1.8775014999999999E-2</v>
      </c>
      <c r="BF54">
        <v>0.10492961100000001</v>
      </c>
      <c r="BG54">
        <v>1.814625E-3</v>
      </c>
      <c r="BH54">
        <v>285.1951444</v>
      </c>
      <c r="BI54">
        <v>2169.8944889999998</v>
      </c>
      <c r="BJ54">
        <v>866.49409060000005</v>
      </c>
      <c r="BK54">
        <f t="shared" si="68"/>
        <v>100</v>
      </c>
      <c r="BL54">
        <f t="shared" si="69"/>
        <v>11.004417585793099</v>
      </c>
      <c r="BM54">
        <f t="shared" si="70"/>
        <v>92.358985913147194</v>
      </c>
      <c r="BN54">
        <f t="shared" si="71"/>
        <v>19.790433355595599</v>
      </c>
      <c r="BO54">
        <f t="shared" si="72"/>
        <v>3.9615903308855156</v>
      </c>
      <c r="BP54">
        <f t="shared" si="73"/>
        <v>0.26410602205903438</v>
      </c>
      <c r="BQ54">
        <f t="shared" si="74"/>
        <v>1.3205301102951719</v>
      </c>
      <c r="BR54">
        <f t="shared" si="75"/>
        <v>0.66026505514758593</v>
      </c>
      <c r="BS54">
        <f t="shared" si="76"/>
        <v>1.10044175857931</v>
      </c>
      <c r="BT54">
        <f t="shared" si="77"/>
        <v>6.6026505514758593</v>
      </c>
      <c r="BU54">
        <f t="shared" si="78"/>
        <v>17.607068137268961</v>
      </c>
      <c r="BV54">
        <f t="shared" si="31"/>
        <v>5.5022087928965497</v>
      </c>
      <c r="BW54">
        <f t="shared" si="79"/>
        <v>86.856777120250641</v>
      </c>
      <c r="BX54">
        <f t="shared" si="80"/>
        <v>103.3634034989403</v>
      </c>
      <c r="BY54">
        <f t="shared" si="33"/>
        <v>92.358985913147194</v>
      </c>
      <c r="BZ54">
        <f t="shared" si="34"/>
        <v>1.5406184620110339</v>
      </c>
      <c r="CA54">
        <f>7963.6*(BT54/1000)^0.6*1.7*('CAPEX+OPEX'!$G$116/'CAPEX+OPEX'!$G$115)</f>
        <v>785.36567366618647</v>
      </c>
      <c r="CB54">
        <f>7963.6*(BU54/1000)^0.6*1.7*('CAPEX+OPEX'!$G$116/'CAPEX+OPEX'!$G$115)</f>
        <v>1414.663520998452</v>
      </c>
      <c r="CC54">
        <f>7963.6*(BX54/1000)^0.6*1.7*('CAPEX+OPEX'!$G$116/'CAPEX+OPEX'!$G$115)</f>
        <v>4091.2970103918128</v>
      </c>
      <c r="CD54">
        <f>7963.6*(BY54/1000)^0.6*1.7*('CAPEX+OPEX'!$G$116/'CAPEX+OPEX'!$G$115)</f>
        <v>3824.0927867582022</v>
      </c>
      <c r="CE54">
        <v>300</v>
      </c>
      <c r="CF54">
        <v>30</v>
      </c>
      <c r="CG54">
        <f t="shared" si="81"/>
        <v>7.1245560080144159</v>
      </c>
      <c r="CH54">
        <f t="shared" si="82"/>
        <v>0.4749704005342944</v>
      </c>
      <c r="CI54">
        <f t="shared" si="83"/>
        <v>2.3748520026714717</v>
      </c>
      <c r="CJ54">
        <f t="shared" si="84"/>
        <v>1.1874260013357358</v>
      </c>
      <c r="CK54">
        <f t="shared" si="85"/>
        <v>1.97904333555956</v>
      </c>
      <c r="CL54">
        <f t="shared" si="86"/>
        <v>11.874260013357359</v>
      </c>
      <c r="CM54">
        <f t="shared" si="87"/>
        <v>31.66469336895296</v>
      </c>
      <c r="CN54">
        <f t="shared" si="36"/>
        <v>9.8952166777977997</v>
      </c>
      <c r="CO54">
        <v>0</v>
      </c>
      <c r="CP54">
        <f t="shared" si="88"/>
        <v>29.685650033393401</v>
      </c>
      <c r="CQ54">
        <f t="shared" si="38"/>
        <v>9.8952166777977997</v>
      </c>
      <c r="CR54">
        <f t="shared" si="39"/>
        <v>2.7706606697833838</v>
      </c>
      <c r="CS54">
        <f>7963.6*(CL54/1000)^0.6*1.7*('CAPEX+OPEX'!$G$116/'CAPEX+OPEX'!$G$115)</f>
        <v>1116.8757476892272</v>
      </c>
      <c r="CT54">
        <f>7963.6*(CM54/1000)^0.6*1.7*('CAPEX+OPEX'!$G$116/'CAPEX+OPEX'!$G$115)</f>
        <v>2011.806004161303</v>
      </c>
      <c r="CU54">
        <f>7963.6*(CP54/1000)^0.6*1.7*('CAPEX+OPEX'!$G$116/'CAPEX+OPEX'!$G$115)</f>
        <v>1935.39166238959</v>
      </c>
      <c r="CV54">
        <f>7963.6*(CQ54/1000)^0.6*1.7*('CAPEX+OPEX'!$G$116/'CAPEX+OPEX'!$G$115)</f>
        <v>1001.1429950239917</v>
      </c>
      <c r="CW54">
        <v>300</v>
      </c>
      <c r="CX54">
        <f t="shared" si="89"/>
        <v>30</v>
      </c>
      <c r="CY54">
        <f t="shared" si="90"/>
        <v>10</v>
      </c>
      <c r="CZ54">
        <f t="shared" si="91"/>
        <v>9.2358985913147205</v>
      </c>
      <c r="DA54">
        <f t="shared" si="92"/>
        <v>3960</v>
      </c>
      <c r="DB54">
        <f t="shared" si="93"/>
        <v>3960</v>
      </c>
      <c r="DC54">
        <f>CF54*'Reagent cost'!$C$18/1000*'Reagent cost'!$H$18</f>
        <v>4784.413580611521</v>
      </c>
      <c r="DD54">
        <f>CX54*'Ligand cost'!$B$56*'Ligand cost'!$J$56</f>
        <v>30543.831958072875</v>
      </c>
      <c r="DE54">
        <f t="shared" si="94"/>
        <v>39625.826528698344</v>
      </c>
      <c r="DF54">
        <f t="shared" si="95"/>
        <v>4586243.4239371875</v>
      </c>
      <c r="DG54">
        <f t="shared" si="96"/>
        <v>11794834.586807497</v>
      </c>
      <c r="DH54">
        <f t="shared" si="97"/>
        <v>2275209.1661185985</v>
      </c>
      <c r="DI54">
        <f t="shared" si="98"/>
        <v>14083914.336508472</v>
      </c>
      <c r="DJ54">
        <f t="shared" si="99"/>
        <v>1662824.8986326549</v>
      </c>
      <c r="DK54" s="55">
        <f>DF54*($BK$2/10000)^0.72*0.6*((A54+1)/3)^0.6*('CAPEX+OPEX'!$G$116/'CAPEX+OPEX'!$G$114)</f>
        <v>450777.05424166139</v>
      </c>
      <c r="DL54" s="55">
        <f>DG54*($BK$2/10000)^0.72*0.6*((A54+1)/3)^0.6*('CAPEX+OPEX'!$G$116/'CAPEX+OPEX'!$G$114)</f>
        <v>1159301.9163697939</v>
      </c>
      <c r="DM54" s="55">
        <f>DH54*($BK$2/10000)^0.72*0.6*((A54+1)/3)^0.6*('CAPEX+OPEX'!$G$116/'CAPEX+OPEX'!$G$114)</f>
        <v>223627.92178311889</v>
      </c>
      <c r="DN54" s="55">
        <f>DI54*($BK$2/10000)^0.72*0.6*((A54+1)/3)^0.6*('CAPEX+OPEX'!$G$116/'CAPEX+OPEX'!$G$114)</f>
        <v>1384293.1632601768</v>
      </c>
      <c r="DO54" s="55">
        <f>DJ54*($BK$2/10000)^0.72*0.6*((A54+1)/3)^0.6*('CAPEX+OPEX'!$G$116/'CAPEX+OPEX'!$G$114)</f>
        <v>163437.31464690424</v>
      </c>
      <c r="DP54">
        <f t="shared" si="100"/>
        <v>3381437.3703016555</v>
      </c>
      <c r="DQ54">
        <f>DF54*(BM54/10000)^0.72*0.6*((AF54+1)/3)^0.6*('CAPEX+OPEX'!$G$116/'CAPEX+OPEX'!$G$114)</f>
        <v>366117.18263600755</v>
      </c>
      <c r="DR54">
        <f>DG54*(BM54/10000)^0.72*0.6*((AF54+1)/3)^0.6*('CAPEX+OPEX'!$G$116/'CAPEX+OPEX'!$G$114)</f>
        <v>941574.88153399026</v>
      </c>
      <c r="DS54">
        <f>DH54*(BM54/10000)^0.72*0.6*((AF54+1)/3)^0.6*('CAPEX+OPEX'!$G$116/'CAPEX+OPEX'!$G$114)</f>
        <v>181628.64305441847</v>
      </c>
      <c r="DT54">
        <f>DI54*(BM54/10000)^0.72*0.6*((AF54+1)/3)^0.6*('CAPEX+OPEX'!$G$116/'CAPEX+OPEX'!$G$114)</f>
        <v>1124310.8053219588</v>
      </c>
      <c r="DU54">
        <f>DJ54*(BM54/10000)^0.72*0.6*((AF54+1)/3)^0.6*('CAPEX+OPEX'!$G$116/'CAPEX+OPEX'!$G$114)</f>
        <v>132742.35814150507</v>
      </c>
      <c r="DV54">
        <f t="shared" si="101"/>
        <v>2746373.8706878806</v>
      </c>
      <c r="DW54">
        <f t="shared" si="102"/>
        <v>6196154.4540702645</v>
      </c>
      <c r="DX54">
        <f t="shared" si="103"/>
        <v>413076.96360468428</v>
      </c>
      <c r="DY54">
        <f>BO54*'Reagent cost'!$C$35*60*7200</f>
        <v>1026119.9463134165</v>
      </c>
      <c r="DZ54">
        <f>BP54*'Reagent cost'!$C$34*60*7200</f>
        <v>244161.87621115142</v>
      </c>
      <c r="EA54">
        <f>BQ54*'Reagent cost'!$C$14*'Reagent cost'!$C$36/1000*60*7200</f>
        <v>4047183.9318139763</v>
      </c>
      <c r="EB54">
        <f t="shared" si="104"/>
        <v>39.6</v>
      </c>
      <c r="EC54">
        <f t="shared" si="105"/>
        <v>95.688271612230423</v>
      </c>
      <c r="ED54">
        <f>0.1*BK54*60*7200*'Reagent cost'!$H$17*'Reagent cost'!$C$17/1000</f>
        <v>504921.59999999998</v>
      </c>
      <c r="EE54">
        <f>BV54*0.1*'Reagent cost'!$C$16/1000*'Reagent cost'!$H$16*60*7200</f>
        <v>1004001.6839176399</v>
      </c>
      <c r="EF54">
        <f>BZ54/1000*'Reagent cost'!$H$19*'Reagent cost'!$C$19*60*7200</f>
        <v>84358.104505876181</v>
      </c>
      <c r="EG54">
        <f>0.33*('Costing 100 Lmin Feed Orig'!BO54*'Reagent cost'!$C$13+'Costing 100 Lmin Feed Orig'!BP54*'Reagent cost'!$C$12+'Costing 100 Lmin Feed Orig'!BQ54*'Reagent cost'!$C$14+'Costing 100 Lmin Feed Orig'!BV54*0.1*'Reagent cost'!$C$16+'Costing 100 Lmin Feed Orig'!BZ54*'Reagent cost'!$C$19)/1000*60*7200</f>
        <v>172594.54198977497</v>
      </c>
      <c r="EH54">
        <f>CG54*'Reagent cost'!$C$35*60*7200</f>
        <v>1845382.3888490172</v>
      </c>
      <c r="EI54">
        <f>CH54*'Reagent cost'!$C$34*60*7200</f>
        <v>439102.68775807484</v>
      </c>
      <c r="EJ54">
        <f>CI54*'Reagent cost'!$C$14*'Reagent cost'!$C$36/1000*60*7200</f>
        <v>7278488.2303818259</v>
      </c>
      <c r="EK54">
        <f t="shared" si="106"/>
        <v>39.6</v>
      </c>
      <c r="EL54">
        <f t="shared" si="107"/>
        <v>610.87663916145755</v>
      </c>
      <c r="EM54">
        <f>0.1*BM54*60*7200*'Reagent cost'!$H$17*'Reagent cost'!$C$17/1000</f>
        <v>466340.4694164375</v>
      </c>
      <c r="EN54">
        <f>CN54*0.1*'Reagent cost'!$C$16/1000*'Reagent cost'!$H$16*60*7200</f>
        <v>1805604.7273351252</v>
      </c>
      <c r="EO54">
        <f>CR54/1000*'Reagent cost'!$H$19*'Reagent cost'!$C$19*60*7200</f>
        <v>151710.29563465895</v>
      </c>
      <c r="EP54">
        <f>0.33*(CG54*'Reagent cost'!$C$13+CH54*'Reagent cost'!$C$12+CI54*'Reagent cost'!$C$14+CN54*0.1*'Reagent cost'!$C$16+CR54*'Reagent cost'!$C$19)/1000*60*7200</f>
        <v>310395.41658233188</v>
      </c>
      <c r="EQ54">
        <f t="shared" si="108"/>
        <v>22677794.048457563</v>
      </c>
      <c r="ER54">
        <f t="shared" si="109"/>
        <v>482989.95857210684</v>
      </c>
      <c r="ES54">
        <f t="shared" si="110"/>
        <v>41280.414286181804</v>
      </c>
      <c r="ET54">
        <f t="shared" si="111"/>
        <v>37373.489075065132</v>
      </c>
      <c r="EU54">
        <f t="shared" si="112"/>
        <v>15823.453035813865</v>
      </c>
      <c r="EV54">
        <f t="shared" si="113"/>
        <v>8382.1245272768647</v>
      </c>
      <c r="EW54">
        <f t="shared" si="114"/>
        <v>8439.174952434063</v>
      </c>
      <c r="EX54">
        <f t="shared" si="115"/>
        <v>111298.65587677172</v>
      </c>
      <c r="EY54">
        <f t="shared" si="56"/>
        <v>33428.38069799736</v>
      </c>
      <c r="EZ54">
        <f t="shared" si="57"/>
        <v>27156.220858243316</v>
      </c>
      <c r="FA54">
        <f t="shared" si="58"/>
        <v>11497.593508530435</v>
      </c>
      <c r="FB54">
        <f t="shared" si="59"/>
        <v>6093.9858628603142</v>
      </c>
      <c r="FC54">
        <f t="shared" si="60"/>
        <v>6132.0498712162334</v>
      </c>
      <c r="FD54">
        <f t="shared" si="116"/>
        <v>84308.230798847653</v>
      </c>
      <c r="FE54">
        <f t="shared" si="117"/>
        <v>23356390.89370529</v>
      </c>
      <c r="FF54">
        <f t="shared" si="118"/>
        <v>23769467.857309975</v>
      </c>
      <c r="FG54">
        <f>BM54*AM54*195.08/1000*'PGM market prices'!$C$2*60*7200</f>
        <v>423240687.8677482</v>
      </c>
      <c r="FH54">
        <f>BN54*AQ54*BA54*106.42/1000*'PGM market prices'!$C$3*60*7200</f>
        <v>222239799.66631609</v>
      </c>
      <c r="FI54">
        <f>BK54*J54*102.91/1000*'PGM market prices'!$C$4*60*7200</f>
        <v>247541804.54056302</v>
      </c>
      <c r="FJ54">
        <f t="shared" si="119"/>
        <v>893022292.07462728</v>
      </c>
      <c r="FK54">
        <f t="shared" si="120"/>
        <v>643247089.92081487</v>
      </c>
      <c r="FL54">
        <f t="shared" si="64"/>
        <v>0.55021916336365684</v>
      </c>
      <c r="FM54">
        <f t="shared" si="65"/>
        <v>1894.3164997592787</v>
      </c>
      <c r="FN54">
        <f t="shared" si="66"/>
        <v>3521.9655081860415</v>
      </c>
      <c r="FO54">
        <f t="shared" si="67"/>
        <v>15838.463000206117</v>
      </c>
    </row>
    <row r="55" spans="1:171">
      <c r="A55">
        <v>8</v>
      </c>
      <c r="B55">
        <v>1.54143585092054E-3</v>
      </c>
      <c r="C55">
        <v>1.54143585092054E-3</v>
      </c>
      <c r="D55">
        <v>3.4254130020456501E-4</v>
      </c>
      <c r="E55">
        <v>0</v>
      </c>
      <c r="F55">
        <v>0</v>
      </c>
      <c r="G55">
        <v>0</v>
      </c>
      <c r="H55" s="53">
        <v>1.7762434284205799E-5</v>
      </c>
      <c r="I55" s="53">
        <v>4.4591984978445998E-9</v>
      </c>
      <c r="J55">
        <v>3.37570976171142E-4</v>
      </c>
      <c r="K55">
        <v>0.13846015972746001</v>
      </c>
      <c r="L55">
        <v>0.14007387303476199</v>
      </c>
      <c r="M55">
        <v>4.5166625081916902E-4</v>
      </c>
      <c r="N55" s="53">
        <v>-2.6107588313450902E-16</v>
      </c>
      <c r="O55" s="53">
        <v>-1.18524981496115E-14</v>
      </c>
      <c r="P55" s="53">
        <v>-2.5241581828178102E-19</v>
      </c>
      <c r="Q55">
        <v>0.110044175857931</v>
      </c>
      <c r="R55">
        <v>98.548985471108097</v>
      </c>
      <c r="S55">
        <v>500</v>
      </c>
      <c r="T55">
        <v>95</v>
      </c>
      <c r="U55">
        <v>1</v>
      </c>
      <c r="V55">
        <v>0.1</v>
      </c>
      <c r="W55">
        <v>90.872596591664205</v>
      </c>
      <c r="X55" t="s">
        <v>323</v>
      </c>
      <c r="Y55">
        <v>1</v>
      </c>
      <c r="Z55">
        <v>0.28318429382522198</v>
      </c>
      <c r="AA55">
        <v>0.56945642916197003</v>
      </c>
      <c r="AB55">
        <v>3.7698628972227502E-3</v>
      </c>
      <c r="AC55">
        <v>1822.2107908876901</v>
      </c>
      <c r="AD55">
        <v>2662.6059073104898</v>
      </c>
      <c r="AE55">
        <v>2401.5030938442701</v>
      </c>
      <c r="AF55">
        <v>7</v>
      </c>
      <c r="AG55">
        <v>1.6497294784823999E-3</v>
      </c>
      <c r="AH55">
        <v>1.66895660069658E-3</v>
      </c>
      <c r="AI55" s="53">
        <v>5.38152729188446E-6</v>
      </c>
      <c r="AJ55">
        <v>0</v>
      </c>
      <c r="AK55">
        <v>0</v>
      </c>
      <c r="AL55">
        <v>0</v>
      </c>
      <c r="AM55">
        <v>1.6125869955133201E-3</v>
      </c>
      <c r="AN55" s="53">
        <v>7.9527043739658596E-5</v>
      </c>
      <c r="AO55" s="53">
        <v>5.3459560242007103E-6</v>
      </c>
      <c r="AP55">
        <v>1.7397829738956801E-3</v>
      </c>
      <c r="AQ55">
        <v>7.4450124503133999E-2</v>
      </c>
      <c r="AR55" s="53">
        <v>1.6661860201321599E-6</v>
      </c>
      <c r="AS55" s="53">
        <v>-4.4926627522367998E-18</v>
      </c>
      <c r="AT55" s="53">
        <v>-1.8262301393345801E-15</v>
      </c>
      <c r="AU55" s="53">
        <v>-5.4726269326508303E-21</v>
      </c>
      <c r="AV55">
        <v>0.197176435957374</v>
      </c>
      <c r="AW55">
        <v>99.339011664265001</v>
      </c>
      <c r="AX55">
        <v>499.99999999999898</v>
      </c>
      <c r="AY55">
        <v>95</v>
      </c>
      <c r="AZ55">
        <v>0.92358985913147196</v>
      </c>
      <c r="BA55">
        <v>0.1</v>
      </c>
      <c r="BB55">
        <v>46.840782705451403</v>
      </c>
      <c r="BC55" t="s">
        <v>251</v>
      </c>
      <c r="BD55">
        <v>1</v>
      </c>
      <c r="BE55">
        <v>1.8775014999999999E-2</v>
      </c>
      <c r="BF55">
        <v>0.10492961100000001</v>
      </c>
      <c r="BG55">
        <v>1.814625E-3</v>
      </c>
      <c r="BH55">
        <v>285.1951444</v>
      </c>
      <c r="BI55">
        <v>2169.8944889999998</v>
      </c>
      <c r="BJ55">
        <v>866.49409060000005</v>
      </c>
      <c r="BK55">
        <f t="shared" si="68"/>
        <v>100</v>
      </c>
      <c r="BL55">
        <f t="shared" si="69"/>
        <v>11.004417585793099</v>
      </c>
      <c r="BM55">
        <f t="shared" si="70"/>
        <v>92.358985913147194</v>
      </c>
      <c r="BN55">
        <f t="shared" si="71"/>
        <v>19.7176435957374</v>
      </c>
      <c r="BO55">
        <f t="shared" si="72"/>
        <v>3.9615903308855156</v>
      </c>
      <c r="BP55">
        <f t="shared" si="73"/>
        <v>0.26410602205903438</v>
      </c>
      <c r="BQ55">
        <f t="shared" si="74"/>
        <v>1.3205301102951719</v>
      </c>
      <c r="BR55">
        <f t="shared" si="75"/>
        <v>0.66026505514758593</v>
      </c>
      <c r="BS55">
        <f t="shared" si="76"/>
        <v>1.10044175857931</v>
      </c>
      <c r="BT55">
        <f t="shared" si="77"/>
        <v>6.6026505514758593</v>
      </c>
      <c r="BU55">
        <f t="shared" si="78"/>
        <v>17.607068137268961</v>
      </c>
      <c r="BV55">
        <f t="shared" si="31"/>
        <v>5.5022087928965497</v>
      </c>
      <c r="BW55">
        <f t="shared" si="79"/>
        <v>86.856777120250641</v>
      </c>
      <c r="BX55">
        <f t="shared" si="80"/>
        <v>103.3634034989403</v>
      </c>
      <c r="BY55">
        <f t="shared" si="33"/>
        <v>92.358985913147194</v>
      </c>
      <c r="BZ55">
        <f t="shared" si="34"/>
        <v>1.5406184620110339</v>
      </c>
      <c r="CA55">
        <f>7963.6*(BT55/1000)^0.6*1.7*('CAPEX+OPEX'!$G$116/'CAPEX+OPEX'!$G$115)</f>
        <v>785.36567366618647</v>
      </c>
      <c r="CB55">
        <f>7963.6*(BU55/1000)^0.6*1.7*('CAPEX+OPEX'!$G$116/'CAPEX+OPEX'!$G$115)</f>
        <v>1414.663520998452</v>
      </c>
      <c r="CC55">
        <f>7963.6*(BX55/1000)^0.6*1.7*('CAPEX+OPEX'!$G$116/'CAPEX+OPEX'!$G$115)</f>
        <v>4091.2970103918128</v>
      </c>
      <c r="CD55">
        <f>7963.6*(BY55/1000)^0.6*1.7*('CAPEX+OPEX'!$G$116/'CAPEX+OPEX'!$G$115)</f>
        <v>3824.0927867582022</v>
      </c>
      <c r="CE55">
        <v>300</v>
      </c>
      <c r="CF55">
        <v>30</v>
      </c>
      <c r="CG55">
        <f t="shared" si="81"/>
        <v>7.0983516944654639</v>
      </c>
      <c r="CH55">
        <f t="shared" si="82"/>
        <v>0.47322344629769758</v>
      </c>
      <c r="CI55">
        <f t="shared" si="83"/>
        <v>2.366117231488488</v>
      </c>
      <c r="CJ55">
        <f t="shared" si="84"/>
        <v>1.183058615744244</v>
      </c>
      <c r="CK55">
        <f t="shared" si="85"/>
        <v>1.97176435957374</v>
      </c>
      <c r="CL55">
        <f t="shared" si="86"/>
        <v>11.83058615744244</v>
      </c>
      <c r="CM55">
        <f t="shared" si="87"/>
        <v>31.548229753179839</v>
      </c>
      <c r="CN55">
        <f t="shared" si="36"/>
        <v>9.8588217978686998</v>
      </c>
      <c r="CO55">
        <v>0</v>
      </c>
      <c r="CP55">
        <f t="shared" si="88"/>
        <v>29.576465393606099</v>
      </c>
      <c r="CQ55">
        <f t="shared" si="38"/>
        <v>9.8588217978686998</v>
      </c>
      <c r="CR55">
        <f t="shared" si="39"/>
        <v>2.760470103403236</v>
      </c>
      <c r="CS55">
        <f>7963.6*(CL55/1000)^0.6*1.7*('CAPEX+OPEX'!$G$116/'CAPEX+OPEX'!$G$115)</f>
        <v>1114.4091916067459</v>
      </c>
      <c r="CT55">
        <f>7963.6*(CM55/1000)^0.6*1.7*('CAPEX+OPEX'!$G$116/'CAPEX+OPEX'!$G$115)</f>
        <v>2007.363045894366</v>
      </c>
      <c r="CU55">
        <f>7963.6*(CP55/1000)^0.6*1.7*('CAPEX+OPEX'!$G$116/'CAPEX+OPEX'!$G$115)</f>
        <v>1931.1174608172782</v>
      </c>
      <c r="CV55">
        <f>7963.6*(CQ55/1000)^0.6*1.7*('CAPEX+OPEX'!$G$116/'CAPEX+OPEX'!$G$115)</f>
        <v>998.93202809332035</v>
      </c>
      <c r="CW55">
        <v>300</v>
      </c>
      <c r="CX55">
        <f t="shared" si="89"/>
        <v>30</v>
      </c>
      <c r="CY55">
        <f t="shared" si="90"/>
        <v>10</v>
      </c>
      <c r="CZ55">
        <f t="shared" si="91"/>
        <v>9.2358985913147205</v>
      </c>
      <c r="DA55">
        <f t="shared" si="92"/>
        <v>3960</v>
      </c>
      <c r="DB55">
        <f t="shared" si="93"/>
        <v>3960</v>
      </c>
      <c r="DC55">
        <f>CF55*'Reagent cost'!$C$18/1000*'Reagent cost'!$H$18</f>
        <v>4784.413580611521</v>
      </c>
      <c r="DD55">
        <f>CX55*'Ligand cost'!$B$56*'Ligand cost'!$J$56</f>
        <v>30543.831958072875</v>
      </c>
      <c r="DE55">
        <f t="shared" si="94"/>
        <v>39625.826528698344</v>
      </c>
      <c r="DF55">
        <f t="shared" si="95"/>
        <v>4586243.4239371875</v>
      </c>
      <c r="DG55">
        <f t="shared" si="96"/>
        <v>11794834.586807497</v>
      </c>
      <c r="DH55">
        <f t="shared" si="97"/>
        <v>2275209.1661185985</v>
      </c>
      <c r="DI55">
        <f t="shared" si="98"/>
        <v>14083914.336508472</v>
      </c>
      <c r="DJ55">
        <f t="shared" si="99"/>
        <v>1662824.8986326549</v>
      </c>
      <c r="DK55" s="55">
        <f>DF55*($BK$2/10000)^0.72*0.6*((A55+1)/3)^0.6*('CAPEX+OPEX'!$G$116/'CAPEX+OPEX'!$G$114)</f>
        <v>450777.05424166139</v>
      </c>
      <c r="DL55" s="55">
        <f>DG55*($BK$2/10000)^0.72*0.6*((A55+1)/3)^0.6*('CAPEX+OPEX'!$G$116/'CAPEX+OPEX'!$G$114)</f>
        <v>1159301.9163697939</v>
      </c>
      <c r="DM55" s="55">
        <f>DH55*($BK$2/10000)^0.72*0.6*((A55+1)/3)^0.6*('CAPEX+OPEX'!$G$116/'CAPEX+OPEX'!$G$114)</f>
        <v>223627.92178311889</v>
      </c>
      <c r="DN55" s="55">
        <f>DI55*($BK$2/10000)^0.72*0.6*((A55+1)/3)^0.6*('CAPEX+OPEX'!$G$116/'CAPEX+OPEX'!$G$114)</f>
        <v>1384293.1632601768</v>
      </c>
      <c r="DO55" s="55">
        <f>DJ55*($BK$2/10000)^0.72*0.6*((A55+1)/3)^0.6*('CAPEX+OPEX'!$G$116/'CAPEX+OPEX'!$G$114)</f>
        <v>163437.31464690424</v>
      </c>
      <c r="DP55">
        <f t="shared" si="100"/>
        <v>3381437.3703016555</v>
      </c>
      <c r="DQ55">
        <f>DF55*(BM55/10000)^0.72*0.6*((AF55+1)/3)^0.6*('CAPEX+OPEX'!$G$116/'CAPEX+OPEX'!$G$114)</f>
        <v>396657.1433821118</v>
      </c>
      <c r="DR55">
        <f>DG55*(BM55/10000)^0.72*0.6*((AF55+1)/3)^0.6*('CAPEX+OPEX'!$G$116/'CAPEX+OPEX'!$G$114)</f>
        <v>1020117.1114138552</v>
      </c>
      <c r="DS55">
        <f>DH55*(BM55/10000)^0.72*0.6*((AF55+1)/3)^0.6*('CAPEX+OPEX'!$G$116/'CAPEX+OPEX'!$G$114)</f>
        <v>196779.34313714269</v>
      </c>
      <c r="DT55">
        <f>DI55*(BM55/10000)^0.72*0.6*((AF55+1)/3)^0.6*('CAPEX+OPEX'!$G$116/'CAPEX+OPEX'!$G$114)</f>
        <v>1218096.1000020246</v>
      </c>
      <c r="DU55">
        <f>DJ55*(BM55/10000)^0.72*0.6*((AF55+1)/3)^0.6*('CAPEX+OPEX'!$G$116/'CAPEX+OPEX'!$G$114)</f>
        <v>143815.16925022949</v>
      </c>
      <c r="DV55">
        <f t="shared" si="101"/>
        <v>2975464.8671853635</v>
      </c>
      <c r="DW55">
        <f t="shared" si="102"/>
        <v>6425230.0466824668</v>
      </c>
      <c r="DX55">
        <f t="shared" si="103"/>
        <v>428348.66977883113</v>
      </c>
      <c r="DY55">
        <f>BO55*'Reagent cost'!$C$35*60*7200</f>
        <v>1026119.9463134165</v>
      </c>
      <c r="DZ55">
        <f>BP55*'Reagent cost'!$C$34*60*7200</f>
        <v>244161.87621115142</v>
      </c>
      <c r="EA55">
        <f>BQ55*'Reagent cost'!$C$14*'Reagent cost'!$C$36/1000*60*7200</f>
        <v>4047183.9318139763</v>
      </c>
      <c r="EB55">
        <f t="shared" si="104"/>
        <v>39.6</v>
      </c>
      <c r="EC55">
        <f t="shared" si="105"/>
        <v>95.688271612230423</v>
      </c>
      <c r="ED55">
        <f>0.1*BK55*60*7200*'Reagent cost'!$H$17*'Reagent cost'!$C$17/1000</f>
        <v>504921.59999999998</v>
      </c>
      <c r="EE55">
        <f>BV55*0.1*'Reagent cost'!$C$16/1000*'Reagent cost'!$H$16*60*7200</f>
        <v>1004001.6839176399</v>
      </c>
      <c r="EF55">
        <f>BZ55/1000*'Reagent cost'!$H$19*'Reagent cost'!$C$19*60*7200</f>
        <v>84358.104505876181</v>
      </c>
      <c r="EG55">
        <f>0.33*('Costing 100 Lmin Feed Orig'!BO55*'Reagent cost'!$C$13+'Costing 100 Lmin Feed Orig'!BP55*'Reagent cost'!$C$12+'Costing 100 Lmin Feed Orig'!BQ55*'Reagent cost'!$C$14+'Costing 100 Lmin Feed Orig'!BV55*0.1*'Reagent cost'!$C$16+'Costing 100 Lmin Feed Orig'!BZ55*'Reagent cost'!$C$19)/1000*60*7200</f>
        <v>172594.54198977497</v>
      </c>
      <c r="EH55">
        <f>CG55*'Reagent cost'!$C$35*60*7200</f>
        <v>1838595.021512622</v>
      </c>
      <c r="EI55">
        <f>CH55*'Reagent cost'!$C$34*60*7200</f>
        <v>437487.65595858352</v>
      </c>
      <c r="EJ55">
        <f>CI55*'Reagent cost'!$C$14*'Reagent cost'!$C$36/1000*60*7200</f>
        <v>7251717.7498723418</v>
      </c>
      <c r="EK55">
        <f t="shared" si="106"/>
        <v>39.6</v>
      </c>
      <c r="EL55">
        <f t="shared" si="107"/>
        <v>610.87663916145755</v>
      </c>
      <c r="EM55">
        <f>0.1*BM55*60*7200*'Reagent cost'!$H$17*'Reagent cost'!$C$17/1000</f>
        <v>466340.4694164375</v>
      </c>
      <c r="EN55">
        <f>CN55*0.1*'Reagent cost'!$C$16/1000*'Reagent cost'!$H$16*60*7200</f>
        <v>1798963.6633351604</v>
      </c>
      <c r="EO55">
        <f>CR55/1000*'Reagent cost'!$H$19*'Reagent cost'!$C$19*60*7200</f>
        <v>151152.30098194757</v>
      </c>
      <c r="EP55">
        <f>0.33*(CG55*'Reagent cost'!$C$13+CH55*'Reagent cost'!$C$12+CI55*'Reagent cost'!$C$14+CN55*0.1*'Reagent cost'!$C$16+CR55*'Reagent cost'!$C$19)/1000*60*7200</f>
        <v>309253.7736769871</v>
      </c>
      <c r="EQ55">
        <f t="shared" si="108"/>
        <v>22626947.722499907</v>
      </c>
      <c r="ER55">
        <f t="shared" si="109"/>
        <v>481848.31566676206</v>
      </c>
      <c r="ES55">
        <f t="shared" si="110"/>
        <v>41280.414286181804</v>
      </c>
      <c r="ET55">
        <f t="shared" si="111"/>
        <v>37373.489075065132</v>
      </c>
      <c r="EU55">
        <f t="shared" si="112"/>
        <v>15823.453035813865</v>
      </c>
      <c r="EV55">
        <f t="shared" si="113"/>
        <v>8382.1245272768647</v>
      </c>
      <c r="EW55">
        <f t="shared" si="114"/>
        <v>8439.174952434063</v>
      </c>
      <c r="EX55">
        <f t="shared" si="115"/>
        <v>111298.65587677172</v>
      </c>
      <c r="EY55">
        <f t="shared" si="56"/>
        <v>35999.794597843313</v>
      </c>
      <c r="EZ55">
        <f t="shared" si="57"/>
        <v>31035.680980849509</v>
      </c>
      <c r="FA55">
        <f t="shared" si="58"/>
        <v>13140.106866891929</v>
      </c>
      <c r="FB55">
        <f t="shared" si="59"/>
        <v>6964.5552718403605</v>
      </c>
      <c r="FC55">
        <f t="shared" si="60"/>
        <v>7008.0569956756972</v>
      </c>
      <c r="FD55">
        <f t="shared" si="116"/>
        <v>94148.19471310082</v>
      </c>
      <c r="FE55">
        <f t="shared" si="117"/>
        <v>23314242.88875654</v>
      </c>
      <c r="FF55">
        <f t="shared" si="118"/>
        <v>23742591.558535371</v>
      </c>
      <c r="FG55">
        <f>BM55*AM55*195.08/1000*'PGM market prices'!$C$2*60*7200</f>
        <v>423369236.32601398</v>
      </c>
      <c r="FH55">
        <f>BN55*AQ55*BA55*106.42/1000*'PGM market prices'!$C$3*60*7200</f>
        <v>222236259.3299714</v>
      </c>
      <c r="FI55">
        <f>BK55*J55*102.91/1000*'PGM market prices'!$C$4*60*7200</f>
        <v>247541804.54056302</v>
      </c>
      <c r="FJ55">
        <f t="shared" si="119"/>
        <v>893147300.19654834</v>
      </c>
      <c r="FK55">
        <f t="shared" si="120"/>
        <v>643359484.39212966</v>
      </c>
      <c r="FL55">
        <f t="shared" si="64"/>
        <v>0.54959702681794842</v>
      </c>
      <c r="FM55">
        <f t="shared" si="65"/>
        <v>1891.6000584256265</v>
      </c>
      <c r="FN55">
        <f t="shared" si="66"/>
        <v>3518.0392411177809</v>
      </c>
      <c r="FO55">
        <f t="shared" si="67"/>
        <v>15820.554342499539</v>
      </c>
    </row>
    <row r="56" spans="1:171">
      <c r="A56">
        <v>8</v>
      </c>
      <c r="B56">
        <v>1.54143585092054E-3</v>
      </c>
      <c r="C56">
        <v>1.54143585092054E-3</v>
      </c>
      <c r="D56">
        <v>3.4254130020456501E-4</v>
      </c>
      <c r="E56">
        <v>0</v>
      </c>
      <c r="F56">
        <v>0</v>
      </c>
      <c r="G56">
        <v>0</v>
      </c>
      <c r="H56" s="53">
        <v>1.7762434284205799E-5</v>
      </c>
      <c r="I56" s="53">
        <v>4.4591984978445998E-9</v>
      </c>
      <c r="J56">
        <v>3.37570976171142E-4</v>
      </c>
      <c r="K56">
        <v>0.13846015972746001</v>
      </c>
      <c r="L56">
        <v>0.14007387303476199</v>
      </c>
      <c r="M56">
        <v>4.5166625081916902E-4</v>
      </c>
      <c r="N56" s="53">
        <v>-2.6107588313450902E-16</v>
      </c>
      <c r="O56" s="53">
        <v>-1.18524981496115E-14</v>
      </c>
      <c r="P56" s="53">
        <v>-2.5241581828178102E-19</v>
      </c>
      <c r="Q56">
        <v>0.110044175857931</v>
      </c>
      <c r="R56">
        <v>98.548985471108097</v>
      </c>
      <c r="S56">
        <v>500</v>
      </c>
      <c r="T56">
        <v>95</v>
      </c>
      <c r="U56">
        <v>1</v>
      </c>
      <c r="V56">
        <v>0.1</v>
      </c>
      <c r="W56">
        <v>90.872596591664205</v>
      </c>
      <c r="X56" t="s">
        <v>323</v>
      </c>
      <c r="Y56">
        <v>1</v>
      </c>
      <c r="Z56">
        <v>0.28318429382522198</v>
      </c>
      <c r="AA56">
        <v>0.56945642916197003</v>
      </c>
      <c r="AB56">
        <v>3.7698628972227502E-3</v>
      </c>
      <c r="AC56">
        <v>1822.2107908876901</v>
      </c>
      <c r="AD56">
        <v>2662.6059073104898</v>
      </c>
      <c r="AE56">
        <v>2401.5030938442701</v>
      </c>
      <c r="AF56">
        <v>8</v>
      </c>
      <c r="AG56">
        <v>1.6497294784823999E-3</v>
      </c>
      <c r="AH56">
        <v>1.66895660069658E-3</v>
      </c>
      <c r="AI56" s="53">
        <v>5.38152729188446E-6</v>
      </c>
      <c r="AJ56">
        <v>0</v>
      </c>
      <c r="AK56">
        <v>0</v>
      </c>
      <c r="AL56">
        <v>0</v>
      </c>
      <c r="AM56">
        <v>1.6127265357375701E-3</v>
      </c>
      <c r="AN56" s="53">
        <v>7.9534259850848901E-5</v>
      </c>
      <c r="AO56" s="53">
        <v>5.3460841353395197E-6</v>
      </c>
      <c r="AP56">
        <v>1.7350722139013899E-3</v>
      </c>
      <c r="AQ56">
        <v>7.4528195270851597E-2</v>
      </c>
      <c r="AR56" s="53">
        <v>1.6619336609946501E-6</v>
      </c>
      <c r="AS56" s="53">
        <v>5.2535422843599799E-15</v>
      </c>
      <c r="AT56" s="53">
        <v>-1.2261545945246801E-12</v>
      </c>
      <c r="AU56" s="53">
        <v>2.5556572205438301E-20</v>
      </c>
      <c r="AV56">
        <v>0.19696899297954801</v>
      </c>
      <c r="AW56">
        <v>99.341392236393602</v>
      </c>
      <c r="AX56">
        <v>499.99999999999898</v>
      </c>
      <c r="AY56">
        <v>95</v>
      </c>
      <c r="AZ56">
        <v>0.92358985913147196</v>
      </c>
      <c r="BA56">
        <v>0.1</v>
      </c>
      <c r="BB56">
        <v>46.890114284504001</v>
      </c>
      <c r="BC56" t="s">
        <v>251</v>
      </c>
      <c r="BD56">
        <v>1</v>
      </c>
      <c r="BE56">
        <v>1.8775014999999999E-2</v>
      </c>
      <c r="BF56">
        <v>0.10492961100000001</v>
      </c>
      <c r="BG56">
        <v>1.814625E-3</v>
      </c>
      <c r="BH56">
        <v>285.1951444</v>
      </c>
      <c r="BI56">
        <v>2169.8944889999998</v>
      </c>
      <c r="BJ56">
        <v>866.49409060000005</v>
      </c>
      <c r="BK56">
        <f t="shared" si="68"/>
        <v>100</v>
      </c>
      <c r="BL56">
        <f t="shared" si="69"/>
        <v>11.004417585793099</v>
      </c>
      <c r="BM56">
        <f t="shared" si="70"/>
        <v>92.358985913147194</v>
      </c>
      <c r="BN56">
        <f t="shared" si="71"/>
        <v>19.696899297954801</v>
      </c>
      <c r="BO56">
        <f t="shared" si="72"/>
        <v>3.9615903308855156</v>
      </c>
      <c r="BP56">
        <f t="shared" si="73"/>
        <v>0.26410602205903438</v>
      </c>
      <c r="BQ56">
        <f t="shared" si="74"/>
        <v>1.3205301102951719</v>
      </c>
      <c r="BR56">
        <f t="shared" si="75"/>
        <v>0.66026505514758593</v>
      </c>
      <c r="BS56">
        <f t="shared" si="76"/>
        <v>1.10044175857931</v>
      </c>
      <c r="BT56">
        <f t="shared" si="77"/>
        <v>6.6026505514758593</v>
      </c>
      <c r="BU56">
        <f t="shared" si="78"/>
        <v>17.607068137268961</v>
      </c>
      <c r="BV56">
        <f t="shared" si="31"/>
        <v>5.5022087928965497</v>
      </c>
      <c r="BW56">
        <f t="shared" si="79"/>
        <v>86.856777120250641</v>
      </c>
      <c r="BX56">
        <f t="shared" si="80"/>
        <v>103.3634034989403</v>
      </c>
      <c r="BY56">
        <f t="shared" si="33"/>
        <v>92.358985913147194</v>
      </c>
      <c r="BZ56">
        <f t="shared" si="34"/>
        <v>1.5406184620110339</v>
      </c>
      <c r="CA56">
        <f>7963.6*(BT56/1000)^0.6*1.7*('CAPEX+OPEX'!$G$116/'CAPEX+OPEX'!$G$115)</f>
        <v>785.36567366618647</v>
      </c>
      <c r="CB56">
        <f>7963.6*(BU56/1000)^0.6*1.7*('CAPEX+OPEX'!$G$116/'CAPEX+OPEX'!$G$115)</f>
        <v>1414.663520998452</v>
      </c>
      <c r="CC56">
        <f>7963.6*(BX56/1000)^0.6*1.7*('CAPEX+OPEX'!$G$116/'CAPEX+OPEX'!$G$115)</f>
        <v>4091.2970103918128</v>
      </c>
      <c r="CD56">
        <f>7963.6*(BY56/1000)^0.6*1.7*('CAPEX+OPEX'!$G$116/'CAPEX+OPEX'!$G$115)</f>
        <v>3824.0927867582022</v>
      </c>
      <c r="CE56">
        <v>300</v>
      </c>
      <c r="CF56">
        <v>30</v>
      </c>
      <c r="CG56">
        <f t="shared" si="81"/>
        <v>7.0908837472637281</v>
      </c>
      <c r="CH56">
        <f t="shared" si="82"/>
        <v>0.47272558315091523</v>
      </c>
      <c r="CI56">
        <f t="shared" si="83"/>
        <v>2.3636279157545759</v>
      </c>
      <c r="CJ56">
        <f t="shared" si="84"/>
        <v>1.1818139578772879</v>
      </c>
      <c r="CK56">
        <f t="shared" si="85"/>
        <v>1.9696899297954802</v>
      </c>
      <c r="CL56">
        <f t="shared" si="86"/>
        <v>11.818139578772881</v>
      </c>
      <c r="CM56">
        <f t="shared" si="87"/>
        <v>31.515038876727683</v>
      </c>
      <c r="CN56">
        <f t="shared" si="36"/>
        <v>9.8484496489774003</v>
      </c>
      <c r="CO56">
        <v>0</v>
      </c>
      <c r="CP56">
        <f t="shared" si="88"/>
        <v>29.545348946932201</v>
      </c>
      <c r="CQ56">
        <f t="shared" si="38"/>
        <v>9.8484496489774003</v>
      </c>
      <c r="CR56">
        <f t="shared" si="39"/>
        <v>2.7575659017136722</v>
      </c>
      <c r="CS56">
        <f>7963.6*(CL56/1000)^0.6*1.7*('CAPEX+OPEX'!$G$116/'CAPEX+OPEX'!$G$115)</f>
        <v>1113.7055831051355</v>
      </c>
      <c r="CT56">
        <f>7963.6*(CM56/1000)^0.6*1.7*('CAPEX+OPEX'!$G$116/'CAPEX+OPEX'!$G$115)</f>
        <v>2006.0956499364479</v>
      </c>
      <c r="CU56">
        <f>7963.6*(CP56/1000)^0.6*1.7*('CAPEX+OPEX'!$G$116/'CAPEX+OPEX'!$G$115)</f>
        <v>1929.89820430605</v>
      </c>
      <c r="CV56">
        <f>7963.6*(CQ56/1000)^0.6*1.7*('CAPEX+OPEX'!$G$116/'CAPEX+OPEX'!$G$115)</f>
        <v>998.30132881984821</v>
      </c>
      <c r="CW56">
        <v>300</v>
      </c>
      <c r="CX56">
        <f t="shared" si="89"/>
        <v>30</v>
      </c>
      <c r="CY56">
        <f t="shared" si="90"/>
        <v>10</v>
      </c>
      <c r="CZ56">
        <f t="shared" si="91"/>
        <v>9.2358985913147205</v>
      </c>
      <c r="DA56">
        <f t="shared" si="92"/>
        <v>3960</v>
      </c>
      <c r="DB56">
        <f t="shared" si="93"/>
        <v>3960</v>
      </c>
      <c r="DC56">
        <f>CF56*'Reagent cost'!$C$18/1000*'Reagent cost'!$H$18</f>
        <v>4784.413580611521</v>
      </c>
      <c r="DD56">
        <f>CX56*'Ligand cost'!$B$56*'Ligand cost'!$J$56</f>
        <v>30543.831958072875</v>
      </c>
      <c r="DE56">
        <f t="shared" si="94"/>
        <v>39625.826528698344</v>
      </c>
      <c r="DF56">
        <f t="shared" si="95"/>
        <v>4586243.4239371875</v>
      </c>
      <c r="DG56">
        <f t="shared" si="96"/>
        <v>11794834.586807497</v>
      </c>
      <c r="DH56">
        <f t="shared" si="97"/>
        <v>2275209.1661185985</v>
      </c>
      <c r="DI56">
        <f t="shared" si="98"/>
        <v>14083914.336508472</v>
      </c>
      <c r="DJ56">
        <f t="shared" si="99"/>
        <v>1662824.8986326549</v>
      </c>
      <c r="DK56" s="55">
        <f>DF56*($BK$2/10000)^0.72*0.6*((A56+1)/3)^0.6*('CAPEX+OPEX'!$G$116/'CAPEX+OPEX'!$G$114)</f>
        <v>450777.05424166139</v>
      </c>
      <c r="DL56" s="55">
        <f>DG56*($BK$2/10000)^0.72*0.6*((A56+1)/3)^0.6*('CAPEX+OPEX'!$G$116/'CAPEX+OPEX'!$G$114)</f>
        <v>1159301.9163697939</v>
      </c>
      <c r="DM56" s="55">
        <f>DH56*($BK$2/10000)^0.72*0.6*((A56+1)/3)^0.6*('CAPEX+OPEX'!$G$116/'CAPEX+OPEX'!$G$114)</f>
        <v>223627.92178311889</v>
      </c>
      <c r="DN56" s="55">
        <f>DI56*($BK$2/10000)^0.72*0.6*((A56+1)/3)^0.6*('CAPEX+OPEX'!$G$116/'CAPEX+OPEX'!$G$114)</f>
        <v>1384293.1632601768</v>
      </c>
      <c r="DO56" s="55">
        <f>DJ56*($BK$2/10000)^0.72*0.6*((A56+1)/3)^0.6*('CAPEX+OPEX'!$G$116/'CAPEX+OPEX'!$G$114)</f>
        <v>163437.31464690424</v>
      </c>
      <c r="DP56">
        <f t="shared" si="100"/>
        <v>3381437.3703016555</v>
      </c>
      <c r="DQ56">
        <f>DF56*(BM56/10000)^0.72*0.6*((AF56+1)/3)^0.6*('CAPEX+OPEX'!$G$116/'CAPEX+OPEX'!$G$114)</f>
        <v>425703.0809845021</v>
      </c>
      <c r="DR56">
        <f>DG56*(BM56/10000)^0.72*0.6*((AF56+1)/3)^0.6*('CAPEX+OPEX'!$G$116/'CAPEX+OPEX'!$G$114)</f>
        <v>1094817.0341547239</v>
      </c>
      <c r="DS56">
        <f>DH56*(BM56/10000)^0.72*0.6*((AF56+1)/3)^0.6*('CAPEX+OPEX'!$G$116/'CAPEX+OPEX'!$G$114)</f>
        <v>211188.86687208962</v>
      </c>
      <c r="DT56">
        <f>DI56*(BM56/10000)^0.72*0.6*((AF56+1)/3)^0.6*('CAPEX+OPEX'!$G$116/'CAPEX+OPEX'!$G$114)</f>
        <v>1307293.3926883447</v>
      </c>
      <c r="DU56">
        <f>DJ56*(BM56/10000)^0.72*0.6*((AF56+1)/3)^0.6*('CAPEX+OPEX'!$G$116/'CAPEX+OPEX'!$G$114)</f>
        <v>154346.29544324827</v>
      </c>
      <c r="DV56">
        <f t="shared" si="101"/>
        <v>3193348.670142909</v>
      </c>
      <c r="DW56">
        <f t="shared" si="102"/>
        <v>6643109.4555357313</v>
      </c>
      <c r="DX56">
        <f t="shared" si="103"/>
        <v>442873.96370238211</v>
      </c>
      <c r="DY56">
        <f>BO56*'Reagent cost'!$C$35*60*7200</f>
        <v>1026119.9463134165</v>
      </c>
      <c r="DZ56">
        <f>BP56*'Reagent cost'!$C$34*60*7200</f>
        <v>244161.87621115142</v>
      </c>
      <c r="EA56">
        <f>BQ56*'Reagent cost'!$C$14*'Reagent cost'!$C$36/1000*60*7200</f>
        <v>4047183.9318139763</v>
      </c>
      <c r="EB56">
        <f t="shared" si="104"/>
        <v>39.6</v>
      </c>
      <c r="EC56">
        <f t="shared" si="105"/>
        <v>95.688271612230423</v>
      </c>
      <c r="ED56">
        <f>0.1*BK56*60*7200*'Reagent cost'!$H$17*'Reagent cost'!$C$17/1000</f>
        <v>504921.59999999998</v>
      </c>
      <c r="EE56">
        <f>BV56*0.1*'Reagent cost'!$C$16/1000*'Reagent cost'!$H$16*60*7200</f>
        <v>1004001.6839176399</v>
      </c>
      <c r="EF56">
        <f>BZ56/1000*'Reagent cost'!$H$19*'Reagent cost'!$C$19*60*7200</f>
        <v>84358.104505876181</v>
      </c>
      <c r="EG56">
        <f>0.33*('Costing 100 Lmin Feed Orig'!BO56*'Reagent cost'!$C$13+'Costing 100 Lmin Feed Orig'!BP56*'Reagent cost'!$C$12+'Costing 100 Lmin Feed Orig'!BQ56*'Reagent cost'!$C$14+'Costing 100 Lmin Feed Orig'!BV56*0.1*'Reagent cost'!$C$16+'Costing 100 Lmin Feed Orig'!BZ56*'Reagent cost'!$C$19)/1000*60*7200</f>
        <v>172594.54198977497</v>
      </c>
      <c r="EH56">
        <f>CG56*'Reagent cost'!$C$35*60*7200</f>
        <v>1836660.6949059623</v>
      </c>
      <c r="EI56">
        <f>CH56*'Reagent cost'!$C$34*60*7200</f>
        <v>437027.38928587735</v>
      </c>
      <c r="EJ56">
        <f>CI56*'Reagent cost'!$C$14*'Reagent cost'!$C$36/1000*60*7200</f>
        <v>7244088.4511831617</v>
      </c>
      <c r="EK56">
        <f t="shared" si="106"/>
        <v>39.6</v>
      </c>
      <c r="EL56">
        <f t="shared" si="107"/>
        <v>610.87663916145755</v>
      </c>
      <c r="EM56">
        <f>0.1*BM56*60*7200*'Reagent cost'!$H$17*'Reagent cost'!$C$17/1000</f>
        <v>466340.4694164375</v>
      </c>
      <c r="EN56">
        <f>CN56*0.1*'Reagent cost'!$C$16/1000*'Reagent cost'!$H$16*60*7200</f>
        <v>1797071.0316040358</v>
      </c>
      <c r="EO56">
        <f>CR56/1000*'Reagent cost'!$H$19*'Reagent cost'!$C$19*60*7200</f>
        <v>150993.27851423385</v>
      </c>
      <c r="EP56">
        <f>0.33*(CG56*'Reagent cost'!$C$13+CH56*'Reagent cost'!$C$12+CI56*'Reagent cost'!$C$14+CN56*0.1*'Reagent cost'!$C$16+CR56*'Reagent cost'!$C$19)/1000*60*7200</f>
        <v>308928.41774181166</v>
      </c>
      <c r="EQ56">
        <f t="shared" si="108"/>
        <v>22612457.06709905</v>
      </c>
      <c r="ER56">
        <f t="shared" si="109"/>
        <v>481522.95973158663</v>
      </c>
      <c r="ES56">
        <f t="shared" si="110"/>
        <v>41280.414286181804</v>
      </c>
      <c r="ET56">
        <f t="shared" si="111"/>
        <v>37373.489075065132</v>
      </c>
      <c r="EU56">
        <f t="shared" si="112"/>
        <v>15823.453035813865</v>
      </c>
      <c r="EV56">
        <f t="shared" si="113"/>
        <v>8382.1245272768647</v>
      </c>
      <c r="EW56">
        <f t="shared" si="114"/>
        <v>8439.174952434063</v>
      </c>
      <c r="EX56">
        <f t="shared" si="115"/>
        <v>111298.65587677172</v>
      </c>
      <c r="EY56">
        <f t="shared" si="56"/>
        <v>38571.208497689258</v>
      </c>
      <c r="EZ56">
        <f t="shared" si="57"/>
        <v>34915.141103455695</v>
      </c>
      <c r="FA56">
        <f t="shared" si="58"/>
        <v>14782.620225253419</v>
      </c>
      <c r="FB56">
        <f t="shared" si="59"/>
        <v>7835.124680820405</v>
      </c>
      <c r="FC56">
        <f t="shared" si="60"/>
        <v>7884.0641201351591</v>
      </c>
      <c r="FD56">
        <f t="shared" si="116"/>
        <v>103988.15862735393</v>
      </c>
      <c r="FE56">
        <f t="shared" si="117"/>
        <v>23309266.84133476</v>
      </c>
      <c r="FF56">
        <f t="shared" si="118"/>
        <v>23752140.805037141</v>
      </c>
      <c r="FG56">
        <f>BM56*AM56*195.08/1000*'PGM market prices'!$C$2*60*7200</f>
        <v>423405871.27243358</v>
      </c>
      <c r="FH56">
        <f>BN56*AQ56*BA56*106.42/1000*'PGM market prices'!$C$3*60*7200</f>
        <v>222235250.54858059</v>
      </c>
      <c r="FI56">
        <f>BK56*J56*102.91/1000*'PGM market prices'!$C$4*60*7200</f>
        <v>247541804.54056302</v>
      </c>
      <c r="FJ56">
        <f t="shared" si="119"/>
        <v>893182926.36157715</v>
      </c>
      <c r="FK56">
        <f t="shared" si="120"/>
        <v>643378781.31183958</v>
      </c>
      <c r="FL56">
        <f t="shared" si="64"/>
        <v>0.54981807419067452</v>
      </c>
      <c r="FM56">
        <f t="shared" si="65"/>
        <v>1892.1971226499825</v>
      </c>
      <c r="FN56">
        <f t="shared" si="66"/>
        <v>3519.4701686535109</v>
      </c>
      <c r="FO56">
        <f t="shared" si="67"/>
        <v>15826.91735358191</v>
      </c>
    </row>
    <row r="57" spans="1:171">
      <c r="A57">
        <v>8</v>
      </c>
      <c r="B57">
        <v>1.54143585092054E-3</v>
      </c>
      <c r="C57">
        <v>1.54143585092054E-3</v>
      </c>
      <c r="D57">
        <v>3.4254130020456501E-4</v>
      </c>
      <c r="E57">
        <v>0</v>
      </c>
      <c r="F57">
        <v>0</v>
      </c>
      <c r="G57">
        <v>0</v>
      </c>
      <c r="H57" s="53">
        <v>1.7762434284205799E-5</v>
      </c>
      <c r="I57" s="53">
        <v>4.4591984978445998E-9</v>
      </c>
      <c r="J57">
        <v>3.37570976171142E-4</v>
      </c>
      <c r="K57">
        <v>0.13846015972746001</v>
      </c>
      <c r="L57">
        <v>0.14007387303476199</v>
      </c>
      <c r="M57">
        <v>4.5166625081916902E-4</v>
      </c>
      <c r="N57" s="53">
        <v>-2.6107588313450902E-16</v>
      </c>
      <c r="O57" s="53">
        <v>-1.18524981496115E-14</v>
      </c>
      <c r="P57" s="53">
        <v>-2.5241581828178102E-19</v>
      </c>
      <c r="Q57">
        <v>0.110044175857931</v>
      </c>
      <c r="R57">
        <v>98.548985471108097</v>
      </c>
      <c r="S57">
        <v>500</v>
      </c>
      <c r="T57">
        <v>95</v>
      </c>
      <c r="U57">
        <v>1</v>
      </c>
      <c r="V57">
        <v>0.1</v>
      </c>
      <c r="W57">
        <v>90.872596591664205</v>
      </c>
      <c r="X57" t="s">
        <v>323</v>
      </c>
      <c r="Y57">
        <v>1</v>
      </c>
      <c r="Z57">
        <v>0.28318429382522198</v>
      </c>
      <c r="AA57">
        <v>0.56945642916197003</v>
      </c>
      <c r="AB57">
        <v>3.7698628972227502E-3</v>
      </c>
      <c r="AC57">
        <v>1822.2107908876901</v>
      </c>
      <c r="AD57">
        <v>2662.6059073104898</v>
      </c>
      <c r="AE57">
        <v>2401.5030938442701</v>
      </c>
      <c r="AF57">
        <v>9</v>
      </c>
      <c r="AG57">
        <v>1.6497294784823999E-3</v>
      </c>
      <c r="AH57">
        <v>1.66895660069658E-3</v>
      </c>
      <c r="AI57" s="53">
        <v>5.38152729188446E-6</v>
      </c>
      <c r="AJ57">
        <v>0</v>
      </c>
      <c r="AK57">
        <v>0</v>
      </c>
      <c r="AL57">
        <v>0</v>
      </c>
      <c r="AM57">
        <v>1.61276595302466E-3</v>
      </c>
      <c r="AN57" s="53">
        <v>7.9536298223616001E-5</v>
      </c>
      <c r="AO57" s="53">
        <v>5.3461203241357404E-6</v>
      </c>
      <c r="AP57">
        <v>1.7337397232919901E-3</v>
      </c>
      <c r="AQ57">
        <v>7.4550278451312305E-2</v>
      </c>
      <c r="AR57" s="53">
        <v>1.66073083417147E-6</v>
      </c>
      <c r="AS57" s="53">
        <v>3.9512392923518602E-17</v>
      </c>
      <c r="AT57" s="53">
        <v>-5.1148321689176102E-15</v>
      </c>
      <c r="AU57" s="53">
        <v>-1.7734752333136898E-21</v>
      </c>
      <c r="AV57">
        <v>0.19691039440255501</v>
      </c>
      <c r="AW57">
        <v>99.342064699697403</v>
      </c>
      <c r="AX57">
        <v>499.99999999999898</v>
      </c>
      <c r="AY57">
        <v>95</v>
      </c>
      <c r="AZ57">
        <v>0.92358985913147196</v>
      </c>
      <c r="BA57">
        <v>0.1</v>
      </c>
      <c r="BB57">
        <v>46.904068316643603</v>
      </c>
      <c r="BC57" t="s">
        <v>251</v>
      </c>
      <c r="BD57">
        <v>1</v>
      </c>
      <c r="BE57">
        <v>1.8775014999999999E-2</v>
      </c>
      <c r="BF57">
        <v>0.10492961100000001</v>
      </c>
      <c r="BG57">
        <v>1.814625E-3</v>
      </c>
      <c r="BH57">
        <v>285.1951444</v>
      </c>
      <c r="BI57">
        <v>2169.8944889999998</v>
      </c>
      <c r="BJ57">
        <v>866.49409060000005</v>
      </c>
      <c r="BK57">
        <f t="shared" si="68"/>
        <v>100</v>
      </c>
      <c r="BL57">
        <f t="shared" si="69"/>
        <v>11.004417585793099</v>
      </c>
      <c r="BM57">
        <f t="shared" si="70"/>
        <v>92.358985913147194</v>
      </c>
      <c r="BN57">
        <f t="shared" si="71"/>
        <v>19.691039440255501</v>
      </c>
      <c r="BO57">
        <f t="shared" si="72"/>
        <v>3.9615903308855156</v>
      </c>
      <c r="BP57">
        <f t="shared" si="73"/>
        <v>0.26410602205903438</v>
      </c>
      <c r="BQ57">
        <f t="shared" si="74"/>
        <v>1.3205301102951719</v>
      </c>
      <c r="BR57">
        <f t="shared" si="75"/>
        <v>0.66026505514758593</v>
      </c>
      <c r="BS57">
        <f t="shared" si="76"/>
        <v>1.10044175857931</v>
      </c>
      <c r="BT57">
        <f t="shared" si="77"/>
        <v>6.6026505514758593</v>
      </c>
      <c r="BU57">
        <f t="shared" si="78"/>
        <v>17.607068137268961</v>
      </c>
      <c r="BV57">
        <f t="shared" si="31"/>
        <v>5.5022087928965497</v>
      </c>
      <c r="BW57">
        <f t="shared" si="79"/>
        <v>86.856777120250641</v>
      </c>
      <c r="BX57">
        <f t="shared" si="80"/>
        <v>103.3634034989403</v>
      </c>
      <c r="BY57">
        <f t="shared" si="33"/>
        <v>92.358985913147194</v>
      </c>
      <c r="BZ57">
        <f t="shared" si="34"/>
        <v>1.5406184620110339</v>
      </c>
      <c r="CA57">
        <f>7963.6*(BT57/1000)^0.6*1.7*('CAPEX+OPEX'!$G$116/'CAPEX+OPEX'!$G$115)</f>
        <v>785.36567366618647</v>
      </c>
      <c r="CB57">
        <f>7963.6*(BU57/1000)^0.6*1.7*('CAPEX+OPEX'!$G$116/'CAPEX+OPEX'!$G$115)</f>
        <v>1414.663520998452</v>
      </c>
      <c r="CC57">
        <f>7963.6*(BX57/1000)^0.6*1.7*('CAPEX+OPEX'!$G$116/'CAPEX+OPEX'!$G$115)</f>
        <v>4091.2970103918128</v>
      </c>
      <c r="CD57">
        <f>7963.6*(BY57/1000)^0.6*1.7*('CAPEX+OPEX'!$G$116/'CAPEX+OPEX'!$G$115)</f>
        <v>3824.0927867582022</v>
      </c>
      <c r="CE57">
        <v>300</v>
      </c>
      <c r="CF57">
        <v>30</v>
      </c>
      <c r="CG57">
        <f t="shared" si="81"/>
        <v>7.0887741984919801</v>
      </c>
      <c r="CH57">
        <f t="shared" si="82"/>
        <v>0.47258494656613204</v>
      </c>
      <c r="CI57">
        <f t="shared" si="83"/>
        <v>2.3629247328306602</v>
      </c>
      <c r="CJ57">
        <f t="shared" si="84"/>
        <v>1.1814623664153301</v>
      </c>
      <c r="CK57">
        <f t="shared" si="85"/>
        <v>1.9691039440255502</v>
      </c>
      <c r="CL57">
        <f t="shared" si="86"/>
        <v>11.8146236641533</v>
      </c>
      <c r="CM57">
        <f t="shared" si="87"/>
        <v>31.505663104408804</v>
      </c>
      <c r="CN57">
        <f t="shared" si="36"/>
        <v>9.8455197201277507</v>
      </c>
      <c r="CO57">
        <v>0</v>
      </c>
      <c r="CP57">
        <f t="shared" si="88"/>
        <v>29.536559160383252</v>
      </c>
      <c r="CQ57">
        <f t="shared" si="38"/>
        <v>9.8455197201277507</v>
      </c>
      <c r="CR57">
        <f t="shared" si="39"/>
        <v>2.7567455216357701</v>
      </c>
      <c r="CS57">
        <f>7963.6*(CL57/1000)^0.6*1.7*('CAPEX+OPEX'!$G$116/'CAPEX+OPEX'!$G$115)</f>
        <v>1113.506773805274</v>
      </c>
      <c r="CT57">
        <f>7963.6*(CM57/1000)^0.6*1.7*('CAPEX+OPEX'!$G$116/'CAPEX+OPEX'!$G$115)</f>
        <v>2005.7375387105831</v>
      </c>
      <c r="CU57">
        <f>7963.6*(CP57/1000)^0.6*1.7*('CAPEX+OPEX'!$G$116/'CAPEX+OPEX'!$G$115)</f>
        <v>1929.5536952036239</v>
      </c>
      <c r="CV57">
        <f>7963.6*(CQ57/1000)^0.6*1.7*('CAPEX+OPEX'!$G$116/'CAPEX+OPEX'!$G$115)</f>
        <v>998.12312051125741</v>
      </c>
      <c r="CW57">
        <v>300</v>
      </c>
      <c r="CX57">
        <f t="shared" si="89"/>
        <v>30</v>
      </c>
      <c r="CY57">
        <f t="shared" si="90"/>
        <v>10</v>
      </c>
      <c r="CZ57">
        <f t="shared" si="91"/>
        <v>9.2358985913147205</v>
      </c>
      <c r="DA57">
        <f t="shared" si="92"/>
        <v>3960</v>
      </c>
      <c r="DB57">
        <f t="shared" si="93"/>
        <v>3960</v>
      </c>
      <c r="DC57">
        <f>CF57*'Reagent cost'!$C$18/1000*'Reagent cost'!$H$18</f>
        <v>4784.413580611521</v>
      </c>
      <c r="DD57">
        <f>CX57*'Ligand cost'!$B$56*'Ligand cost'!$J$56</f>
        <v>30543.831958072875</v>
      </c>
      <c r="DE57">
        <f t="shared" si="94"/>
        <v>39625.826528698344</v>
      </c>
      <c r="DF57">
        <f t="shared" si="95"/>
        <v>4586243.4239371875</v>
      </c>
      <c r="DG57">
        <f t="shared" si="96"/>
        <v>11794834.586807497</v>
      </c>
      <c r="DH57">
        <f t="shared" si="97"/>
        <v>2275209.1661185985</v>
      </c>
      <c r="DI57">
        <f t="shared" si="98"/>
        <v>14083914.336508472</v>
      </c>
      <c r="DJ57">
        <f t="shared" si="99"/>
        <v>1662824.8986326549</v>
      </c>
      <c r="DK57" s="55">
        <f>DF57*($BK$2/10000)^0.72*0.6*((A57+1)/3)^0.6*('CAPEX+OPEX'!$G$116/'CAPEX+OPEX'!$G$114)</f>
        <v>450777.05424166139</v>
      </c>
      <c r="DL57" s="55">
        <f>DG57*($BK$2/10000)^0.72*0.6*((A57+1)/3)^0.6*('CAPEX+OPEX'!$G$116/'CAPEX+OPEX'!$G$114)</f>
        <v>1159301.9163697939</v>
      </c>
      <c r="DM57" s="55">
        <f>DH57*($BK$2/10000)^0.72*0.6*((A57+1)/3)^0.6*('CAPEX+OPEX'!$G$116/'CAPEX+OPEX'!$G$114)</f>
        <v>223627.92178311889</v>
      </c>
      <c r="DN57" s="55">
        <f>DI57*($BK$2/10000)^0.72*0.6*((A57+1)/3)^0.6*('CAPEX+OPEX'!$G$116/'CAPEX+OPEX'!$G$114)</f>
        <v>1384293.1632601768</v>
      </c>
      <c r="DO57" s="55">
        <f>DJ57*($BK$2/10000)^0.72*0.6*((A57+1)/3)^0.6*('CAPEX+OPEX'!$G$116/'CAPEX+OPEX'!$G$114)</f>
        <v>163437.31464690424</v>
      </c>
      <c r="DP57">
        <f t="shared" si="100"/>
        <v>3381437.3703016555</v>
      </c>
      <c r="DQ57">
        <f>DF57*(BM57/10000)^0.72*0.6*((AF57+1)/3)^0.6*('CAPEX+OPEX'!$G$116/'CAPEX+OPEX'!$G$114)</f>
        <v>453483.2888792539</v>
      </c>
      <c r="DR57">
        <f>DG57*(BM57/10000)^0.72*0.6*((AF57+1)/3)^0.6*('CAPEX+OPEX'!$G$116/'CAPEX+OPEX'!$G$114)</f>
        <v>1166261.7715176679</v>
      </c>
      <c r="DS57">
        <f>DH57*(BM57/10000)^0.72*0.6*((AF57+1)/3)^0.6*('CAPEX+OPEX'!$G$116/'CAPEX+OPEX'!$G$114)</f>
        <v>224970.4693288905</v>
      </c>
      <c r="DT57">
        <f>DI57*(BM57/10000)^0.72*0.6*((AF57+1)/3)^0.6*('CAPEX+OPEX'!$G$116/'CAPEX+OPEX'!$G$114)</f>
        <v>1392603.7506597491</v>
      </c>
      <c r="DU57">
        <f>DJ57*(BM57/10000)^0.72*0.6*((AF57+1)/3)^0.6*('CAPEX+OPEX'!$G$116/'CAPEX+OPEX'!$G$114)</f>
        <v>164418.50860478354</v>
      </c>
      <c r="DV57">
        <f t="shared" si="101"/>
        <v>3401737.7889903449</v>
      </c>
      <c r="DW57">
        <f t="shared" si="102"/>
        <v>6851497.3327995399</v>
      </c>
      <c r="DX57">
        <f t="shared" si="103"/>
        <v>456766.48885330267</v>
      </c>
      <c r="DY57">
        <f>BO57*'Reagent cost'!$C$35*60*7200</f>
        <v>1026119.9463134165</v>
      </c>
      <c r="DZ57">
        <f>BP57*'Reagent cost'!$C$34*60*7200</f>
        <v>244161.87621115142</v>
      </c>
      <c r="EA57">
        <f>BQ57*'Reagent cost'!$C$14*'Reagent cost'!$C$36/1000*60*7200</f>
        <v>4047183.9318139763</v>
      </c>
      <c r="EB57">
        <f t="shared" si="104"/>
        <v>39.6</v>
      </c>
      <c r="EC57">
        <f t="shared" si="105"/>
        <v>95.688271612230423</v>
      </c>
      <c r="ED57">
        <f>0.1*BK57*60*7200*'Reagent cost'!$H$17*'Reagent cost'!$C$17/1000</f>
        <v>504921.59999999998</v>
      </c>
      <c r="EE57">
        <f>BV57*0.1*'Reagent cost'!$C$16/1000*'Reagent cost'!$H$16*60*7200</f>
        <v>1004001.6839176399</v>
      </c>
      <c r="EF57">
        <f>BZ57/1000*'Reagent cost'!$H$19*'Reagent cost'!$C$19*60*7200</f>
        <v>84358.104505876181</v>
      </c>
      <c r="EG57">
        <f>0.33*('Costing 100 Lmin Feed Orig'!BO57*'Reagent cost'!$C$13+'Costing 100 Lmin Feed Orig'!BP57*'Reagent cost'!$C$12+'Costing 100 Lmin Feed Orig'!BQ57*'Reagent cost'!$C$14+'Costing 100 Lmin Feed Orig'!BV57*0.1*'Reagent cost'!$C$16+'Costing 100 Lmin Feed Orig'!BZ57*'Reagent cost'!$C$19)/1000*60*7200</f>
        <v>172594.54198977497</v>
      </c>
      <c r="EH57">
        <f>CG57*'Reagent cost'!$C$35*60*7200</f>
        <v>1836114.285537095</v>
      </c>
      <c r="EI57">
        <f>CH57*'Reagent cost'!$C$34*60*7200</f>
        <v>436897.37296842691</v>
      </c>
      <c r="EJ57">
        <f>CI57*'Reagent cost'!$C$14*'Reagent cost'!$C$36/1000*60*7200</f>
        <v>7241933.3237774242</v>
      </c>
      <c r="EK57">
        <f t="shared" si="106"/>
        <v>39.6</v>
      </c>
      <c r="EL57">
        <f t="shared" si="107"/>
        <v>610.87663916145755</v>
      </c>
      <c r="EM57">
        <f>0.1*BM57*60*7200*'Reagent cost'!$H$17*'Reagent cost'!$C$17/1000</f>
        <v>466340.4694164375</v>
      </c>
      <c r="EN57">
        <f>CN57*0.1*'Reagent cost'!$C$16/1000*'Reagent cost'!$H$16*60*7200</f>
        <v>1796536.4002206165</v>
      </c>
      <c r="EO57">
        <f>CR57/1000*'Reagent cost'!$H$19*'Reagent cost'!$C$19*60*7200</f>
        <v>150948.35778268822</v>
      </c>
      <c r="EP57">
        <f>0.33*(CG57*'Reagent cost'!$C$13+CH57*'Reagent cost'!$C$12+CI57*'Reagent cost'!$C$14+CN57*0.1*'Reagent cost'!$C$16+CR57*'Reagent cost'!$C$19)/1000*60*7200</f>
        <v>308836.51106452954</v>
      </c>
      <c r="EQ57">
        <f t="shared" si="108"/>
        <v>22608363.740850624</v>
      </c>
      <c r="ER57">
        <f t="shared" si="109"/>
        <v>481431.0530543045</v>
      </c>
      <c r="ES57">
        <f t="shared" si="110"/>
        <v>41280.414286181804</v>
      </c>
      <c r="ET57">
        <f t="shared" si="111"/>
        <v>37373.489075065132</v>
      </c>
      <c r="EU57">
        <f t="shared" si="112"/>
        <v>15823.453035813865</v>
      </c>
      <c r="EV57">
        <f t="shared" si="113"/>
        <v>8382.1245272768647</v>
      </c>
      <c r="EW57">
        <f t="shared" si="114"/>
        <v>8439.174952434063</v>
      </c>
      <c r="EX57">
        <f t="shared" si="115"/>
        <v>111298.65587677172</v>
      </c>
      <c r="EY57">
        <f t="shared" si="56"/>
        <v>41142.622397535211</v>
      </c>
      <c r="EZ57">
        <f t="shared" si="57"/>
        <v>38794.601226061888</v>
      </c>
      <c r="FA57">
        <f t="shared" si="58"/>
        <v>16425.133583614912</v>
      </c>
      <c r="FB57">
        <f t="shared" si="59"/>
        <v>8705.6940898004505</v>
      </c>
      <c r="FC57">
        <f t="shared" si="60"/>
        <v>8760.071244594621</v>
      </c>
      <c r="FD57">
        <f t="shared" si="116"/>
        <v>113828.12254160708</v>
      </c>
      <c r="FE57">
        <f t="shared" si="117"/>
        <v>23314921.572323304</v>
      </c>
      <c r="FF57">
        <f t="shared" si="118"/>
        <v>23771688.061176606</v>
      </c>
      <c r="FG57">
        <f>BM57*AM57*195.08/1000*'PGM market prices'!$C$2*60*7200</f>
        <v>423416219.90278941</v>
      </c>
      <c r="FH57">
        <f>BN57*AQ57*BA57*106.42/1000*'PGM market prices'!$C$3*60*7200</f>
        <v>222234965.35560322</v>
      </c>
      <c r="FI57">
        <f>BK57*J57*102.91/1000*'PGM market prices'!$C$4*60*7200</f>
        <v>247541804.54056302</v>
      </c>
      <c r="FJ57">
        <f t="shared" si="119"/>
        <v>893192989.79895556</v>
      </c>
      <c r="FK57">
        <f t="shared" si="120"/>
        <v>643371763.28595638</v>
      </c>
      <c r="FL57">
        <f t="shared" si="64"/>
        <v>0.5502705569716807</v>
      </c>
      <c r="FM57">
        <f t="shared" si="65"/>
        <v>1893.7080558086482</v>
      </c>
      <c r="FN57">
        <f t="shared" si="66"/>
        <v>3522.3711008549353</v>
      </c>
      <c r="FO57">
        <f t="shared" si="67"/>
        <v>15839.942402984741</v>
      </c>
    </row>
    <row r="58" spans="1:171">
      <c r="A58">
        <v>8</v>
      </c>
      <c r="B58">
        <v>1.54143585092054E-3</v>
      </c>
      <c r="C58">
        <v>1.54143585092054E-3</v>
      </c>
      <c r="D58">
        <v>3.4254130020456501E-4</v>
      </c>
      <c r="E58">
        <v>0</v>
      </c>
      <c r="F58">
        <v>0</v>
      </c>
      <c r="G58">
        <v>0</v>
      </c>
      <c r="H58" s="53">
        <v>1.7762434284205799E-5</v>
      </c>
      <c r="I58" s="53">
        <v>4.4591984978445998E-9</v>
      </c>
      <c r="J58">
        <v>3.37570976171142E-4</v>
      </c>
      <c r="K58">
        <v>0.13846015972746001</v>
      </c>
      <c r="L58">
        <v>0.14007387303476199</v>
      </c>
      <c r="M58">
        <v>4.5166625081916902E-4</v>
      </c>
      <c r="N58" s="53">
        <v>-2.6107588313450902E-16</v>
      </c>
      <c r="O58" s="53">
        <v>-1.18524981496115E-14</v>
      </c>
      <c r="P58" s="53">
        <v>-2.5241581828178102E-19</v>
      </c>
      <c r="Q58">
        <v>0.110044175857931</v>
      </c>
      <c r="R58">
        <v>98.548985471108097</v>
      </c>
      <c r="S58">
        <v>500</v>
      </c>
      <c r="T58">
        <v>95</v>
      </c>
      <c r="U58">
        <v>1</v>
      </c>
      <c r="V58">
        <v>0.1</v>
      </c>
      <c r="W58">
        <v>90.872596591664205</v>
      </c>
      <c r="X58" t="s">
        <v>323</v>
      </c>
      <c r="Y58">
        <v>1</v>
      </c>
      <c r="Z58">
        <v>0.28318429382522198</v>
      </c>
      <c r="AA58">
        <v>0.56945642916197003</v>
      </c>
      <c r="AB58">
        <v>3.7698628972227502E-3</v>
      </c>
      <c r="AC58">
        <v>1822.2107908876901</v>
      </c>
      <c r="AD58">
        <v>2662.6059073104898</v>
      </c>
      <c r="AE58">
        <v>2401.5030938442701</v>
      </c>
      <c r="AF58">
        <v>10</v>
      </c>
      <c r="AG58">
        <v>1.6497294784823999E-3</v>
      </c>
      <c r="AH58">
        <v>1.66895660069658E-3</v>
      </c>
      <c r="AI58" s="53">
        <v>5.38152729188446E-6</v>
      </c>
      <c r="AJ58">
        <v>0</v>
      </c>
      <c r="AK58">
        <v>0</v>
      </c>
      <c r="AL58">
        <v>0</v>
      </c>
      <c r="AM58">
        <v>1.61277705008137E-3</v>
      </c>
      <c r="AN58" s="53">
        <v>7.9536872122754404E-5</v>
      </c>
      <c r="AO58" s="53">
        <v>5.3461305122899801E-6</v>
      </c>
      <c r="AP58">
        <v>1.73336444614092E-3</v>
      </c>
      <c r="AQ58">
        <v>7.4556497867205695E-2</v>
      </c>
      <c r="AR58" s="53">
        <v>1.6603920749814E-6</v>
      </c>
      <c r="AS58" s="53">
        <v>6.41926968395281E-15</v>
      </c>
      <c r="AT58" s="53">
        <v>-6.6401007955962902E-13</v>
      </c>
      <c r="AU58" s="53">
        <v>6.1661351582152895E-20</v>
      </c>
      <c r="AV58">
        <v>0.19689389736263299</v>
      </c>
      <c r="AW58">
        <v>99.342254016850205</v>
      </c>
      <c r="AX58">
        <v>499.99999999999898</v>
      </c>
      <c r="AY58">
        <v>95</v>
      </c>
      <c r="AZ58">
        <v>0.92358985913147196</v>
      </c>
      <c r="BA58">
        <v>0.1</v>
      </c>
      <c r="BB58">
        <v>46.907998241836403</v>
      </c>
      <c r="BC58" t="s">
        <v>251</v>
      </c>
      <c r="BD58">
        <v>1</v>
      </c>
      <c r="BE58">
        <v>1.8775014999999999E-2</v>
      </c>
      <c r="BF58">
        <v>0.10492961100000001</v>
      </c>
      <c r="BG58">
        <v>1.814625E-3</v>
      </c>
      <c r="BH58">
        <v>285.1951444</v>
      </c>
      <c r="BI58">
        <v>2169.8944889999998</v>
      </c>
      <c r="BJ58">
        <v>866.49409060000005</v>
      </c>
      <c r="BK58">
        <f t="shared" si="68"/>
        <v>100</v>
      </c>
      <c r="BL58">
        <f t="shared" si="69"/>
        <v>11.004417585793099</v>
      </c>
      <c r="BM58">
        <f t="shared" si="70"/>
        <v>92.358985913147194</v>
      </c>
      <c r="BN58">
        <f t="shared" si="71"/>
        <v>19.689389736263298</v>
      </c>
      <c r="BO58">
        <f t="shared" si="72"/>
        <v>3.9615903308855156</v>
      </c>
      <c r="BP58">
        <f t="shared" si="73"/>
        <v>0.26410602205903438</v>
      </c>
      <c r="BQ58">
        <f t="shared" si="74"/>
        <v>1.3205301102951719</v>
      </c>
      <c r="BR58">
        <f t="shared" si="75"/>
        <v>0.66026505514758593</v>
      </c>
      <c r="BS58">
        <f t="shared" si="76"/>
        <v>1.10044175857931</v>
      </c>
      <c r="BT58">
        <f t="shared" si="77"/>
        <v>6.6026505514758593</v>
      </c>
      <c r="BU58">
        <f t="shared" si="78"/>
        <v>17.607068137268961</v>
      </c>
      <c r="BV58">
        <f t="shared" si="31"/>
        <v>5.5022087928965497</v>
      </c>
      <c r="BW58">
        <f t="shared" si="79"/>
        <v>86.856777120250641</v>
      </c>
      <c r="BX58">
        <f t="shared" si="80"/>
        <v>103.3634034989403</v>
      </c>
      <c r="BY58">
        <f t="shared" si="33"/>
        <v>92.358985913147194</v>
      </c>
      <c r="BZ58">
        <f t="shared" si="34"/>
        <v>1.5406184620110339</v>
      </c>
      <c r="CA58">
        <f>7963.6*(BT58/1000)^0.6*1.7*('CAPEX+OPEX'!$G$116/'CAPEX+OPEX'!$G$115)</f>
        <v>785.36567366618647</v>
      </c>
      <c r="CB58">
        <f>7963.6*(BU58/1000)^0.6*1.7*('CAPEX+OPEX'!$G$116/'CAPEX+OPEX'!$G$115)</f>
        <v>1414.663520998452</v>
      </c>
      <c r="CC58">
        <f>7963.6*(BX58/1000)^0.6*1.7*('CAPEX+OPEX'!$G$116/'CAPEX+OPEX'!$G$115)</f>
        <v>4091.2970103918128</v>
      </c>
      <c r="CD58">
        <f>7963.6*(BY58/1000)^0.6*1.7*('CAPEX+OPEX'!$G$116/'CAPEX+OPEX'!$G$115)</f>
        <v>3824.0927867582022</v>
      </c>
      <c r="CE58">
        <v>300</v>
      </c>
      <c r="CF58">
        <v>30</v>
      </c>
      <c r="CG58">
        <f t="shared" si="81"/>
        <v>7.0881803050547871</v>
      </c>
      <c r="CH58">
        <f t="shared" si="82"/>
        <v>0.47254535367031913</v>
      </c>
      <c r="CI58">
        <f t="shared" si="83"/>
        <v>2.3627267683515956</v>
      </c>
      <c r="CJ58">
        <f t="shared" si="84"/>
        <v>1.1813633841757978</v>
      </c>
      <c r="CK58">
        <f t="shared" si="85"/>
        <v>1.9689389736263299</v>
      </c>
      <c r="CL58">
        <f t="shared" si="86"/>
        <v>11.813633841757978</v>
      </c>
      <c r="CM58">
        <f t="shared" si="87"/>
        <v>31.503023578021278</v>
      </c>
      <c r="CN58">
        <f t="shared" si="36"/>
        <v>9.8446948681316488</v>
      </c>
      <c r="CO58">
        <v>0</v>
      </c>
      <c r="CP58">
        <f t="shared" si="88"/>
        <v>29.534084604394948</v>
      </c>
      <c r="CQ58">
        <f t="shared" si="38"/>
        <v>9.8446948681316488</v>
      </c>
      <c r="CR58">
        <f t="shared" si="39"/>
        <v>2.7565145630768617</v>
      </c>
      <c r="CS58">
        <f>7963.6*(CL58/1000)^0.6*1.7*('CAPEX+OPEX'!$G$116/'CAPEX+OPEX'!$G$115)</f>
        <v>1113.450799491982</v>
      </c>
      <c r="CT58">
        <f>7963.6*(CM58/1000)^0.6*1.7*('CAPEX+OPEX'!$G$116/'CAPEX+OPEX'!$G$115)</f>
        <v>2005.6367132966602</v>
      </c>
      <c r="CU58">
        <f>7963.6*(CP58/1000)^0.6*1.7*('CAPEX+OPEX'!$G$116/'CAPEX+OPEX'!$G$115)</f>
        <v>1929.4566994371053</v>
      </c>
      <c r="CV58">
        <f>7963.6*(CQ58/1000)^0.6*1.7*('CAPEX+OPEX'!$G$116/'CAPEX+OPEX'!$G$115)</f>
        <v>998.07294636093673</v>
      </c>
      <c r="CW58">
        <v>300</v>
      </c>
      <c r="CX58">
        <f t="shared" si="89"/>
        <v>30</v>
      </c>
      <c r="CY58">
        <f t="shared" si="90"/>
        <v>10</v>
      </c>
      <c r="CZ58">
        <f t="shared" si="91"/>
        <v>9.2358985913147205</v>
      </c>
      <c r="DA58">
        <f t="shared" si="92"/>
        <v>3960</v>
      </c>
      <c r="DB58">
        <f t="shared" si="93"/>
        <v>3960</v>
      </c>
      <c r="DC58">
        <f>CF58*'Reagent cost'!$C$18/1000*'Reagent cost'!$H$18</f>
        <v>4784.413580611521</v>
      </c>
      <c r="DD58">
        <f>CX58*'Ligand cost'!$B$56*'Ligand cost'!$J$56</f>
        <v>30543.831958072875</v>
      </c>
      <c r="DE58">
        <f t="shared" si="94"/>
        <v>39625.826528698344</v>
      </c>
      <c r="DF58">
        <f t="shared" si="95"/>
        <v>4586243.4239371875</v>
      </c>
      <c r="DG58">
        <f t="shared" si="96"/>
        <v>11794834.586807497</v>
      </c>
      <c r="DH58">
        <f t="shared" si="97"/>
        <v>2275209.1661185985</v>
      </c>
      <c r="DI58">
        <f t="shared" si="98"/>
        <v>14083914.336508472</v>
      </c>
      <c r="DJ58">
        <f t="shared" si="99"/>
        <v>1662824.8986326549</v>
      </c>
      <c r="DK58" s="55">
        <f>DF58*($BK$2/10000)^0.72*0.6*((A58+1)/3)^0.6*('CAPEX+OPEX'!$G$116/'CAPEX+OPEX'!$G$114)</f>
        <v>450777.05424166139</v>
      </c>
      <c r="DL58" s="55">
        <f>DG58*($BK$2/10000)^0.72*0.6*((A58+1)/3)^0.6*('CAPEX+OPEX'!$G$116/'CAPEX+OPEX'!$G$114)</f>
        <v>1159301.9163697939</v>
      </c>
      <c r="DM58" s="55">
        <f>DH58*($BK$2/10000)^0.72*0.6*((A58+1)/3)^0.6*('CAPEX+OPEX'!$G$116/'CAPEX+OPEX'!$G$114)</f>
        <v>223627.92178311889</v>
      </c>
      <c r="DN58" s="55">
        <f>DI58*($BK$2/10000)^0.72*0.6*((A58+1)/3)^0.6*('CAPEX+OPEX'!$G$116/'CAPEX+OPEX'!$G$114)</f>
        <v>1384293.1632601768</v>
      </c>
      <c r="DO58" s="55">
        <f>DJ58*($BK$2/10000)^0.72*0.6*((A58+1)/3)^0.6*('CAPEX+OPEX'!$G$116/'CAPEX+OPEX'!$G$114)</f>
        <v>163437.31464690424</v>
      </c>
      <c r="DP58">
        <f t="shared" si="100"/>
        <v>3381437.3703016555</v>
      </c>
      <c r="DQ58">
        <f>DF58*(BM58/10000)^0.72*0.6*((AF58+1)/3)^0.6*('CAPEX+OPEX'!$G$116/'CAPEX+OPEX'!$G$114)</f>
        <v>480172.07418215182</v>
      </c>
      <c r="DR58">
        <f>DG58*(BM58/10000)^0.72*0.6*((AF58+1)/3)^0.6*('CAPEX+OPEX'!$G$116/'CAPEX+OPEX'!$G$114)</f>
        <v>1234899.6040250973</v>
      </c>
      <c r="DS58">
        <f>DH58*(BM58/10000)^0.72*0.6*((AF58+1)/3)^0.6*('CAPEX+OPEX'!$G$116/'CAPEX+OPEX'!$G$114)</f>
        <v>238210.62327204857</v>
      </c>
      <c r="DT58">
        <f>DI58*(BM58/10000)^0.72*0.6*((AF58+1)/3)^0.6*('CAPEX+OPEX'!$G$116/'CAPEX+OPEX'!$G$114)</f>
        <v>1474562.4543756528</v>
      </c>
      <c r="DU58">
        <f>DJ58*(BM58/10000)^0.72*0.6*((AF58+1)/3)^0.6*('CAPEX+OPEX'!$G$116/'CAPEX+OPEX'!$G$114)</f>
        <v>174095.00690932007</v>
      </c>
      <c r="DV58">
        <f t="shared" si="101"/>
        <v>3601939.7627642704</v>
      </c>
      <c r="DW58">
        <f t="shared" si="102"/>
        <v>7051698.9570083749</v>
      </c>
      <c r="DX58">
        <f t="shared" si="103"/>
        <v>470113.26380055834</v>
      </c>
      <c r="DY58">
        <f>BO58*'Reagent cost'!$C$35*60*7200</f>
        <v>1026119.9463134165</v>
      </c>
      <c r="DZ58">
        <f>BP58*'Reagent cost'!$C$34*60*7200</f>
        <v>244161.87621115142</v>
      </c>
      <c r="EA58">
        <f>BQ58*'Reagent cost'!$C$14*'Reagent cost'!$C$36/1000*60*7200</f>
        <v>4047183.9318139763</v>
      </c>
      <c r="EB58">
        <f t="shared" si="104"/>
        <v>39.6</v>
      </c>
      <c r="EC58">
        <f t="shared" si="105"/>
        <v>95.688271612230423</v>
      </c>
      <c r="ED58">
        <f>0.1*BK58*60*7200*'Reagent cost'!$H$17*'Reagent cost'!$C$17/1000</f>
        <v>504921.59999999998</v>
      </c>
      <c r="EE58">
        <f>BV58*0.1*'Reagent cost'!$C$16/1000*'Reagent cost'!$H$16*60*7200</f>
        <v>1004001.6839176399</v>
      </c>
      <c r="EF58">
        <f>BZ58/1000*'Reagent cost'!$H$19*'Reagent cost'!$C$19*60*7200</f>
        <v>84358.104505876181</v>
      </c>
      <c r="EG58">
        <f>0.33*('Costing 100 Lmin Feed Orig'!BO58*'Reagent cost'!$C$13+'Costing 100 Lmin Feed Orig'!BP58*'Reagent cost'!$C$12+'Costing 100 Lmin Feed Orig'!BQ58*'Reagent cost'!$C$14+'Costing 100 Lmin Feed Orig'!BV58*0.1*'Reagent cost'!$C$16+'Costing 100 Lmin Feed Orig'!BZ58*'Reagent cost'!$C$19)/1000*60*7200</f>
        <v>172594.54198977497</v>
      </c>
      <c r="EH58">
        <f>CG58*'Reagent cost'!$C$35*60*7200</f>
        <v>1835960.456935198</v>
      </c>
      <c r="EI58">
        <f>CH58*'Reagent cost'!$C$34*60*7200</f>
        <v>436860.76995706459</v>
      </c>
      <c r="EJ58">
        <f>CI58*'Reagent cost'!$C$14*'Reagent cost'!$C$36/1000*60*7200</f>
        <v>7241326.5987565443</v>
      </c>
      <c r="EK58">
        <f t="shared" si="106"/>
        <v>39.6</v>
      </c>
      <c r="EL58">
        <f t="shared" si="107"/>
        <v>610.87663916145755</v>
      </c>
      <c r="EM58">
        <f>0.1*BM58*60*7200*'Reagent cost'!$H$17*'Reagent cost'!$C$17/1000</f>
        <v>466340.4694164375</v>
      </c>
      <c r="EN58">
        <f>CN58*0.1*'Reagent cost'!$C$16/1000*'Reagent cost'!$H$16*60*7200</f>
        <v>1796385.8874312551</v>
      </c>
      <c r="EO58">
        <f>CR58/1000*'Reagent cost'!$H$19*'Reagent cost'!$C$19*60*7200</f>
        <v>150935.71141583665</v>
      </c>
      <c r="EP58">
        <f>0.33*(CG58*'Reagent cost'!$C$13+CH58*'Reagent cost'!$C$12+CI58*'Reagent cost'!$C$14+CN58*0.1*'Reagent cost'!$C$16+CR58*'Reagent cost'!$C$19)/1000*60*7200</f>
        <v>308810.63691873907</v>
      </c>
      <c r="EQ58">
        <f t="shared" si="108"/>
        <v>22607211.3619022</v>
      </c>
      <c r="ER58">
        <f t="shared" si="109"/>
        <v>481405.17890851403</v>
      </c>
      <c r="ES58">
        <f t="shared" si="110"/>
        <v>41280.414286181804</v>
      </c>
      <c r="ET58">
        <f t="shared" si="111"/>
        <v>37373.489075065132</v>
      </c>
      <c r="EU58">
        <f t="shared" si="112"/>
        <v>15823.453035813865</v>
      </c>
      <c r="EV58">
        <f t="shared" si="113"/>
        <v>8382.1245272768647</v>
      </c>
      <c r="EW58">
        <f t="shared" si="114"/>
        <v>8439.174952434063</v>
      </c>
      <c r="EX58">
        <f t="shared" si="115"/>
        <v>111298.65587677172</v>
      </c>
      <c r="EY58">
        <f t="shared" si="56"/>
        <v>43714.036297381164</v>
      </c>
      <c r="EZ58">
        <f t="shared" si="57"/>
        <v>42674.061348668067</v>
      </c>
      <c r="FA58">
        <f t="shared" si="58"/>
        <v>18067.6469419764</v>
      </c>
      <c r="FB58">
        <f t="shared" si="59"/>
        <v>9576.263498780494</v>
      </c>
      <c r="FC58">
        <f t="shared" si="60"/>
        <v>9636.0783690540829</v>
      </c>
      <c r="FD58">
        <f t="shared" si="116"/>
        <v>123668.0864558602</v>
      </c>
      <c r="FE58">
        <f t="shared" si="117"/>
        <v>23323583.283143345</v>
      </c>
      <c r="FF58">
        <f t="shared" si="118"/>
        <v>23793696.546943903</v>
      </c>
      <c r="FG58">
        <f>BM58*AM58*195.08/1000*'PGM market prices'!$C$2*60*7200</f>
        <v>423419133.32850713</v>
      </c>
      <c r="FH58">
        <f>BN58*AQ58*BA58*106.42/1000*'PGM market prices'!$C$3*60*7200</f>
        <v>222234885.21197489</v>
      </c>
      <c r="FI58">
        <f>BK58*J58*102.91/1000*'PGM market prices'!$C$4*60*7200</f>
        <v>247541804.54056302</v>
      </c>
      <c r="FJ58">
        <f t="shared" si="119"/>
        <v>893195823.08104503</v>
      </c>
      <c r="FK58">
        <f t="shared" si="120"/>
        <v>643357573.63523483</v>
      </c>
      <c r="FL58">
        <f t="shared" si="64"/>
        <v>0.5507800126607385</v>
      </c>
      <c r="FM58">
        <f t="shared" si="65"/>
        <v>1895.4482609356546</v>
      </c>
      <c r="FN58">
        <f t="shared" si="66"/>
        <v>3525.6334807990852</v>
      </c>
      <c r="FO58">
        <f t="shared" si="67"/>
        <v>15854.607459417997</v>
      </c>
    </row>
    <row r="59" spans="1:171">
      <c r="A59">
        <v>8</v>
      </c>
      <c r="B59">
        <v>1.54143585092054E-3</v>
      </c>
      <c r="C59">
        <v>1.54143585092054E-3</v>
      </c>
      <c r="D59">
        <v>3.4254130020456501E-4</v>
      </c>
      <c r="E59">
        <v>0</v>
      </c>
      <c r="F59">
        <v>0</v>
      </c>
      <c r="G59">
        <v>0</v>
      </c>
      <c r="H59" s="53">
        <v>1.7762434284205799E-5</v>
      </c>
      <c r="I59" s="53">
        <v>4.4591984978445998E-9</v>
      </c>
      <c r="J59">
        <v>3.37570976171142E-4</v>
      </c>
      <c r="K59">
        <v>0.13846015972746001</v>
      </c>
      <c r="L59">
        <v>0.14007387303476199</v>
      </c>
      <c r="M59">
        <v>4.5166625081916902E-4</v>
      </c>
      <c r="N59" s="53">
        <v>-2.6107588313450902E-16</v>
      </c>
      <c r="O59" s="53">
        <v>-1.18524981496115E-14</v>
      </c>
      <c r="P59" s="53">
        <v>-2.5241581828178102E-19</v>
      </c>
      <c r="Q59">
        <v>0.110044175857931</v>
      </c>
      <c r="R59">
        <v>98.548985471108097</v>
      </c>
      <c r="S59">
        <v>500</v>
      </c>
      <c r="T59">
        <v>95</v>
      </c>
      <c r="U59">
        <v>1</v>
      </c>
      <c r="V59">
        <v>0.1</v>
      </c>
      <c r="W59">
        <v>90.872596591664205</v>
      </c>
      <c r="X59" t="s">
        <v>323</v>
      </c>
      <c r="Y59">
        <v>1</v>
      </c>
      <c r="Z59">
        <v>0.28318429382522198</v>
      </c>
      <c r="AA59">
        <v>0.56945642916197003</v>
      </c>
      <c r="AB59">
        <v>3.7698628972227502E-3</v>
      </c>
      <c r="AC59">
        <v>1822.2107908876901</v>
      </c>
      <c r="AD59">
        <v>2662.6059073104898</v>
      </c>
      <c r="AE59">
        <v>2401.5030938442701</v>
      </c>
      <c r="AF59">
        <v>11</v>
      </c>
      <c r="AG59">
        <v>1.6497294784823999E-3</v>
      </c>
      <c r="AH59">
        <v>1.66895660069658E-3</v>
      </c>
      <c r="AI59" s="53">
        <v>5.38152729188446E-6</v>
      </c>
      <c r="AJ59">
        <v>0</v>
      </c>
      <c r="AK59">
        <v>0</v>
      </c>
      <c r="AL59">
        <v>0</v>
      </c>
      <c r="AM59">
        <v>1.6127801705222199E-3</v>
      </c>
      <c r="AN59" s="53">
        <v>7.9537033492425895E-5</v>
      </c>
      <c r="AO59" s="53">
        <v>5.3461333771461197E-6</v>
      </c>
      <c r="AP59">
        <v>1.73325890938514E-3</v>
      </c>
      <c r="AQ59">
        <v>7.4558246913040901E-2</v>
      </c>
      <c r="AR59" s="53">
        <v>1.6602968079419499E-6</v>
      </c>
      <c r="AS59" s="53">
        <v>2.06541869111204E-15</v>
      </c>
      <c r="AT59" s="53">
        <v>-2.05823422541606E-13</v>
      </c>
      <c r="AU59" s="53">
        <v>1.5676726969104899E-20</v>
      </c>
      <c r="AV59">
        <v>0.19688925842004401</v>
      </c>
      <c r="AW59">
        <v>99.342307251851594</v>
      </c>
      <c r="AX59">
        <v>499.99999999999898</v>
      </c>
      <c r="AY59">
        <v>95</v>
      </c>
      <c r="AZ59">
        <v>0.92358985913147196</v>
      </c>
      <c r="BA59">
        <v>0.1</v>
      </c>
      <c r="BB59">
        <v>46.909103449467104</v>
      </c>
      <c r="BC59" t="s">
        <v>251</v>
      </c>
      <c r="BD59">
        <v>1</v>
      </c>
      <c r="BE59">
        <v>1.8775014999999999E-2</v>
      </c>
      <c r="BF59">
        <v>0.10492961100000001</v>
      </c>
      <c r="BG59">
        <v>1.814625E-3</v>
      </c>
      <c r="BH59">
        <v>285.1951444</v>
      </c>
      <c r="BI59">
        <v>2169.8944889999998</v>
      </c>
      <c r="BJ59">
        <v>866.49409060000005</v>
      </c>
      <c r="BK59">
        <f t="shared" si="68"/>
        <v>100</v>
      </c>
      <c r="BL59">
        <f t="shared" si="69"/>
        <v>11.004417585793099</v>
      </c>
      <c r="BM59">
        <f t="shared" si="70"/>
        <v>92.358985913147194</v>
      </c>
      <c r="BN59">
        <f t="shared" si="71"/>
        <v>19.688925842004402</v>
      </c>
      <c r="BO59">
        <f t="shared" si="72"/>
        <v>3.9615903308855156</v>
      </c>
      <c r="BP59">
        <f t="shared" si="73"/>
        <v>0.26410602205903438</v>
      </c>
      <c r="BQ59">
        <f t="shared" si="74"/>
        <v>1.3205301102951719</v>
      </c>
      <c r="BR59">
        <f t="shared" si="75"/>
        <v>0.66026505514758593</v>
      </c>
      <c r="BS59">
        <f t="shared" si="76"/>
        <v>1.10044175857931</v>
      </c>
      <c r="BT59">
        <f t="shared" si="77"/>
        <v>6.6026505514758593</v>
      </c>
      <c r="BU59">
        <f t="shared" si="78"/>
        <v>17.607068137268961</v>
      </c>
      <c r="BV59">
        <f t="shared" si="31"/>
        <v>5.5022087928965497</v>
      </c>
      <c r="BW59">
        <f t="shared" si="79"/>
        <v>86.856777120250641</v>
      </c>
      <c r="BX59">
        <f t="shared" si="80"/>
        <v>103.3634034989403</v>
      </c>
      <c r="BY59">
        <f t="shared" si="33"/>
        <v>92.358985913147194</v>
      </c>
      <c r="BZ59">
        <f t="shared" si="34"/>
        <v>1.5406184620110339</v>
      </c>
      <c r="CA59">
        <f>7963.6*(BT59/1000)^0.6*1.7*('CAPEX+OPEX'!$G$116/'CAPEX+OPEX'!$G$115)</f>
        <v>785.36567366618647</v>
      </c>
      <c r="CB59">
        <f>7963.6*(BU59/1000)^0.6*1.7*('CAPEX+OPEX'!$G$116/'CAPEX+OPEX'!$G$115)</f>
        <v>1414.663520998452</v>
      </c>
      <c r="CC59">
        <f>7963.6*(BX59/1000)^0.6*1.7*('CAPEX+OPEX'!$G$116/'CAPEX+OPEX'!$G$115)</f>
        <v>4091.2970103918128</v>
      </c>
      <c r="CD59">
        <f>7963.6*(BY59/1000)^0.6*1.7*('CAPEX+OPEX'!$G$116/'CAPEX+OPEX'!$G$115)</f>
        <v>3824.0927867582022</v>
      </c>
      <c r="CE59">
        <v>300</v>
      </c>
      <c r="CF59">
        <v>30</v>
      </c>
      <c r="CG59">
        <f t="shared" si="81"/>
        <v>7.088013303121584</v>
      </c>
      <c r="CH59">
        <f t="shared" si="82"/>
        <v>0.47253422020810565</v>
      </c>
      <c r="CI59">
        <f t="shared" si="83"/>
        <v>2.3626711010405281</v>
      </c>
      <c r="CJ59">
        <f t="shared" si="84"/>
        <v>1.1813355505202641</v>
      </c>
      <c r="CK59">
        <f t="shared" si="85"/>
        <v>1.9688925842004403</v>
      </c>
      <c r="CL59">
        <f t="shared" si="86"/>
        <v>11.81335550520264</v>
      </c>
      <c r="CM59">
        <f t="shared" si="87"/>
        <v>31.502281347207045</v>
      </c>
      <c r="CN59">
        <f t="shared" si="36"/>
        <v>9.8444629210022008</v>
      </c>
      <c r="CO59">
        <v>0</v>
      </c>
      <c r="CP59">
        <f t="shared" si="88"/>
        <v>29.533388763006602</v>
      </c>
      <c r="CQ59">
        <f t="shared" si="38"/>
        <v>9.8444629210022008</v>
      </c>
      <c r="CR59">
        <f t="shared" si="39"/>
        <v>2.7564496178806164</v>
      </c>
      <c r="CS59">
        <f>7963.6*(CL59/1000)^0.6*1.7*('CAPEX+OPEX'!$G$116/'CAPEX+OPEX'!$G$115)</f>
        <v>1113.4350592621122</v>
      </c>
      <c r="CT59">
        <f>7963.6*(CM59/1000)^0.6*1.7*('CAPEX+OPEX'!$G$116/'CAPEX+OPEX'!$G$115)</f>
        <v>2005.6083607345931</v>
      </c>
      <c r="CU59">
        <f>7963.6*(CP59/1000)^0.6*1.7*('CAPEX+OPEX'!$G$116/'CAPEX+OPEX'!$G$115)</f>
        <v>1929.4294237891945</v>
      </c>
      <c r="CV59">
        <f>7963.6*(CQ59/1000)^0.6*1.7*('CAPEX+OPEX'!$G$116/'CAPEX+OPEX'!$G$115)</f>
        <v>998.05883716310802</v>
      </c>
      <c r="CW59">
        <v>300</v>
      </c>
      <c r="CX59">
        <f t="shared" si="89"/>
        <v>30</v>
      </c>
      <c r="CY59">
        <f t="shared" si="90"/>
        <v>10</v>
      </c>
      <c r="CZ59">
        <f t="shared" si="91"/>
        <v>9.2358985913147205</v>
      </c>
      <c r="DA59">
        <f t="shared" si="92"/>
        <v>3960</v>
      </c>
      <c r="DB59">
        <f t="shared" si="93"/>
        <v>3960</v>
      </c>
      <c r="DC59">
        <f>CF59*'Reagent cost'!$C$18/1000*'Reagent cost'!$H$18</f>
        <v>4784.413580611521</v>
      </c>
      <c r="DD59">
        <f>CX59*'Ligand cost'!$B$56*'Ligand cost'!$J$56</f>
        <v>30543.831958072875</v>
      </c>
      <c r="DE59">
        <f t="shared" si="94"/>
        <v>39625.826528698344</v>
      </c>
      <c r="DF59">
        <f t="shared" si="95"/>
        <v>4586243.4239371875</v>
      </c>
      <c r="DG59">
        <f t="shared" si="96"/>
        <v>11794834.586807497</v>
      </c>
      <c r="DH59">
        <f t="shared" si="97"/>
        <v>2275209.1661185985</v>
      </c>
      <c r="DI59">
        <f t="shared" si="98"/>
        <v>14083914.336508472</v>
      </c>
      <c r="DJ59">
        <f t="shared" si="99"/>
        <v>1662824.8986326549</v>
      </c>
      <c r="DK59" s="55">
        <f>DF59*($BK$2/10000)^0.72*0.6*((A59+1)/3)^0.6*('CAPEX+OPEX'!$G$116/'CAPEX+OPEX'!$G$114)</f>
        <v>450777.05424166139</v>
      </c>
      <c r="DL59" s="55">
        <f>DG59*($BK$2/10000)^0.72*0.6*((A59+1)/3)^0.6*('CAPEX+OPEX'!$G$116/'CAPEX+OPEX'!$G$114)</f>
        <v>1159301.9163697939</v>
      </c>
      <c r="DM59" s="55">
        <f>DH59*($BK$2/10000)^0.72*0.6*((A59+1)/3)^0.6*('CAPEX+OPEX'!$G$116/'CAPEX+OPEX'!$G$114)</f>
        <v>223627.92178311889</v>
      </c>
      <c r="DN59" s="55">
        <f>DI59*($BK$2/10000)^0.72*0.6*((A59+1)/3)^0.6*('CAPEX+OPEX'!$G$116/'CAPEX+OPEX'!$G$114)</f>
        <v>1384293.1632601768</v>
      </c>
      <c r="DO59" s="55">
        <f>DJ59*($BK$2/10000)^0.72*0.6*((A59+1)/3)^0.6*('CAPEX+OPEX'!$G$116/'CAPEX+OPEX'!$G$114)</f>
        <v>163437.31464690424</v>
      </c>
      <c r="DP59">
        <f t="shared" si="100"/>
        <v>3381437.3703016555</v>
      </c>
      <c r="DQ59">
        <f>DF59*(BM59/10000)^0.72*0.6*((AF59+1)/3)^0.6*('CAPEX+OPEX'!$G$116/'CAPEX+OPEX'!$G$114)</f>
        <v>505906.23901778273</v>
      </c>
      <c r="DR59">
        <f>DG59*(BM59/10000)^0.72*0.6*((AF59+1)/3)^0.6*('CAPEX+OPEX'!$G$116/'CAPEX+OPEX'!$G$114)</f>
        <v>1301082.3574048404</v>
      </c>
      <c r="DS59">
        <f>DH59*(BM59/10000)^0.72*0.6*((AF59+1)/3)^0.6*('CAPEX+OPEX'!$G$116/'CAPEX+OPEX'!$G$114)</f>
        <v>250977.19545416138</v>
      </c>
      <c r="DT59">
        <f>DI59*(BM59/10000)^0.72*0.6*((AF59+1)/3)^0.6*('CAPEX+OPEX'!$G$116/'CAPEX+OPEX'!$G$114)</f>
        <v>1553589.610059306</v>
      </c>
      <c r="DU59">
        <f>DJ59*(BM59/10000)^0.72*0.6*((AF59+1)/3)^0.6*('CAPEX+OPEX'!$G$116/'CAPEX+OPEX'!$G$114)</f>
        <v>183425.39042338755</v>
      </c>
      <c r="DV59">
        <f t="shared" si="101"/>
        <v>3794980.7923594783</v>
      </c>
      <c r="DW59">
        <f t="shared" si="102"/>
        <v>7244739.8883042987</v>
      </c>
      <c r="DX59">
        <f t="shared" si="103"/>
        <v>482982.65922028659</v>
      </c>
      <c r="DY59">
        <f>BO59*'Reagent cost'!$C$35*60*7200</f>
        <v>1026119.9463134165</v>
      </c>
      <c r="DZ59">
        <f>BP59*'Reagent cost'!$C$34*60*7200</f>
        <v>244161.87621115142</v>
      </c>
      <c r="EA59">
        <f>BQ59*'Reagent cost'!$C$14*'Reagent cost'!$C$36/1000*60*7200</f>
        <v>4047183.9318139763</v>
      </c>
      <c r="EB59">
        <f t="shared" si="104"/>
        <v>39.6</v>
      </c>
      <c r="EC59">
        <f t="shared" si="105"/>
        <v>95.688271612230423</v>
      </c>
      <c r="ED59">
        <f>0.1*BK59*60*7200*'Reagent cost'!$H$17*'Reagent cost'!$C$17/1000</f>
        <v>504921.59999999998</v>
      </c>
      <c r="EE59">
        <f>BV59*0.1*'Reagent cost'!$C$16/1000*'Reagent cost'!$H$16*60*7200</f>
        <v>1004001.6839176399</v>
      </c>
      <c r="EF59">
        <f>BZ59/1000*'Reagent cost'!$H$19*'Reagent cost'!$C$19*60*7200</f>
        <v>84358.104505876181</v>
      </c>
      <c r="EG59">
        <f>0.33*('Costing 100 Lmin Feed Orig'!BO59*'Reagent cost'!$C$13+'Costing 100 Lmin Feed Orig'!BP59*'Reagent cost'!$C$12+'Costing 100 Lmin Feed Orig'!BQ59*'Reagent cost'!$C$14+'Costing 100 Lmin Feed Orig'!BV59*0.1*'Reagent cost'!$C$16+'Costing 100 Lmin Feed Orig'!BZ59*'Reagent cost'!$C$19)/1000*60*7200</f>
        <v>172594.54198977497</v>
      </c>
      <c r="EH59">
        <f>CG59*'Reagent cost'!$C$35*60*7200</f>
        <v>1835917.2005658059</v>
      </c>
      <c r="EI59">
        <f>CH59*'Reagent cost'!$C$34*60*7200</f>
        <v>436850.4772458208</v>
      </c>
      <c r="EJ59">
        <f>CI59*'Reagent cost'!$C$14*'Reagent cost'!$C$36/1000*60*7200</f>
        <v>7241155.9886014853</v>
      </c>
      <c r="EK59">
        <f t="shared" si="106"/>
        <v>39.6</v>
      </c>
      <c r="EL59">
        <f t="shared" si="107"/>
        <v>610.87663916145755</v>
      </c>
      <c r="EM59">
        <f>0.1*BM59*60*7200*'Reagent cost'!$H$17*'Reagent cost'!$C$17/1000</f>
        <v>466340.4694164375</v>
      </c>
      <c r="EN59">
        <f>CN59*0.1*'Reagent cost'!$C$16/1000*'Reagent cost'!$H$16*60*7200</f>
        <v>1796343.5634633158</v>
      </c>
      <c r="EO59">
        <f>CR59/1000*'Reagent cost'!$H$19*'Reagent cost'!$C$19*60*7200</f>
        <v>150932.15527667102</v>
      </c>
      <c r="EP59">
        <f>0.33*(CG59*'Reagent cost'!$C$13+CH59*'Reagent cost'!$C$12+CI59*'Reagent cost'!$C$14+CN59*0.1*'Reagent cost'!$C$16+CR59*'Reagent cost'!$C$19)/1000*60*7200</f>
        <v>308803.36114821135</v>
      </c>
      <c r="EQ59">
        <f t="shared" si="108"/>
        <v>22606887.314690843</v>
      </c>
      <c r="ER59">
        <f t="shared" si="109"/>
        <v>481397.90313798632</v>
      </c>
      <c r="ES59">
        <f t="shared" si="110"/>
        <v>41280.414286181804</v>
      </c>
      <c r="ET59">
        <f t="shared" si="111"/>
        <v>37373.489075065132</v>
      </c>
      <c r="EU59">
        <f t="shared" si="112"/>
        <v>15823.453035813865</v>
      </c>
      <c r="EV59">
        <f t="shared" si="113"/>
        <v>8382.1245272768647</v>
      </c>
      <c r="EW59">
        <f t="shared" si="114"/>
        <v>8439.174952434063</v>
      </c>
      <c r="EX59">
        <f t="shared" si="115"/>
        <v>111298.65587677172</v>
      </c>
      <c r="EY59">
        <f t="shared" si="56"/>
        <v>46285.450197227117</v>
      </c>
      <c r="EZ59">
        <f t="shared" si="57"/>
        <v>46553.52147127426</v>
      </c>
      <c r="FA59">
        <f t="shared" si="58"/>
        <v>19710.160300337891</v>
      </c>
      <c r="FB59">
        <f t="shared" si="59"/>
        <v>10446.832907760539</v>
      </c>
      <c r="FC59">
        <f t="shared" si="60"/>
        <v>10512.085493513545</v>
      </c>
      <c r="FD59">
        <f t="shared" si="116"/>
        <v>133508.05037011337</v>
      </c>
      <c r="FE59">
        <f t="shared" si="117"/>
        <v>23333091.924075712</v>
      </c>
      <c r="FF59">
        <f t="shared" si="118"/>
        <v>23816074.583295997</v>
      </c>
      <c r="FG59">
        <f>BM59*AM59*195.08/1000*'PGM market prices'!$C$2*60*7200</f>
        <v>423419952.57029897</v>
      </c>
      <c r="FH59">
        <f>BN59*AQ59*BA59*106.42/1000*'PGM market prices'!$C$3*60*7200</f>
        <v>222234862.57967743</v>
      </c>
      <c r="FI59">
        <f>BK59*J59*102.91/1000*'PGM market prices'!$C$4*60*7200</f>
        <v>247541804.54056302</v>
      </c>
      <c r="FJ59">
        <f t="shared" si="119"/>
        <v>893196619.69053936</v>
      </c>
      <c r="FK59">
        <f t="shared" si="120"/>
        <v>643341603.37936008</v>
      </c>
      <c r="FL59">
        <f t="shared" si="64"/>
        <v>0.55129802276148143</v>
      </c>
      <c r="FM59">
        <f t="shared" si="65"/>
        <v>1897.2272643809936</v>
      </c>
      <c r="FN59">
        <f t="shared" si="66"/>
        <v>3528.9497080686665</v>
      </c>
      <c r="FO59">
        <f t="shared" si="67"/>
        <v>15869.518760878662</v>
      </c>
    </row>
    <row r="60" spans="1:171">
      <c r="A60">
        <v>8</v>
      </c>
      <c r="B60">
        <v>1.54143585092054E-3</v>
      </c>
      <c r="C60">
        <v>1.54143585092054E-3</v>
      </c>
      <c r="D60">
        <v>3.4254130020456501E-4</v>
      </c>
      <c r="E60">
        <v>0</v>
      </c>
      <c r="F60">
        <v>0</v>
      </c>
      <c r="G60">
        <v>0</v>
      </c>
      <c r="H60" s="53">
        <v>1.7762434284205799E-5</v>
      </c>
      <c r="I60" s="53">
        <v>4.4591984978445998E-9</v>
      </c>
      <c r="J60">
        <v>3.37570976171142E-4</v>
      </c>
      <c r="K60">
        <v>0.13846015972746001</v>
      </c>
      <c r="L60">
        <v>0.14007387303476199</v>
      </c>
      <c r="M60">
        <v>4.5166625081916902E-4</v>
      </c>
      <c r="N60" s="53">
        <v>-2.6107588313450902E-16</v>
      </c>
      <c r="O60" s="53">
        <v>-1.18524981496115E-14</v>
      </c>
      <c r="P60" s="53">
        <v>-2.5241581828178102E-19</v>
      </c>
      <c r="Q60">
        <v>0.110044175857931</v>
      </c>
      <c r="R60">
        <v>98.548985471108097</v>
      </c>
      <c r="S60">
        <v>500</v>
      </c>
      <c r="T60">
        <v>95</v>
      </c>
      <c r="U60">
        <v>1</v>
      </c>
      <c r="V60">
        <v>0.1</v>
      </c>
      <c r="W60">
        <v>90.872596591664205</v>
      </c>
      <c r="X60" t="s">
        <v>323</v>
      </c>
      <c r="Y60">
        <v>1</v>
      </c>
      <c r="Z60">
        <v>0.28318429382522198</v>
      </c>
      <c r="AA60">
        <v>0.56945642916197003</v>
      </c>
      <c r="AB60">
        <v>3.7698628972227502E-3</v>
      </c>
      <c r="AC60">
        <v>1822.2107908876901</v>
      </c>
      <c r="AD60">
        <v>2662.6059073104898</v>
      </c>
      <c r="AE60">
        <v>2401.5030938442701</v>
      </c>
      <c r="AF60">
        <v>12</v>
      </c>
      <c r="AG60">
        <v>1.6497294784823999E-3</v>
      </c>
      <c r="AH60">
        <v>1.66895660069658E-3</v>
      </c>
      <c r="AI60" s="53">
        <v>5.38152729188446E-6</v>
      </c>
      <c r="AJ60">
        <v>0</v>
      </c>
      <c r="AK60">
        <v>0</v>
      </c>
      <c r="AL60">
        <v>0</v>
      </c>
      <c r="AM60">
        <v>1.61278104761876E-3</v>
      </c>
      <c r="AN60" s="53">
        <v>7.9537078850164199E-5</v>
      </c>
      <c r="AO60" s="53">
        <v>5.3461341824022602E-6</v>
      </c>
      <c r="AP60">
        <v>1.7332292441623099E-3</v>
      </c>
      <c r="AQ60">
        <v>7.4558738550610695E-2</v>
      </c>
      <c r="AR60" s="53">
        <v>1.6602700294237901E-6</v>
      </c>
      <c r="AS60" s="53">
        <v>4.1856302495160702E-16</v>
      </c>
      <c r="AT60" s="53">
        <v>-4.1007778769919203E-14</v>
      </c>
      <c r="AU60" s="53">
        <v>-1.18452263717593E-21</v>
      </c>
      <c r="AV60">
        <v>0.19688795449878599</v>
      </c>
      <c r="AW60">
        <v>99.342322215190194</v>
      </c>
      <c r="AX60">
        <v>499.99999999999898</v>
      </c>
      <c r="AY60">
        <v>95</v>
      </c>
      <c r="AZ60">
        <v>0.92358985913147196</v>
      </c>
      <c r="BA60">
        <v>0.1</v>
      </c>
      <c r="BB60">
        <v>46.909414112337899</v>
      </c>
      <c r="BC60" t="s">
        <v>251</v>
      </c>
      <c r="BD60">
        <v>1</v>
      </c>
      <c r="BE60">
        <v>1.8775014999999999E-2</v>
      </c>
      <c r="BF60">
        <v>0.10492961100000001</v>
      </c>
      <c r="BG60">
        <v>1.814625E-3</v>
      </c>
      <c r="BH60">
        <v>285.1951444</v>
      </c>
      <c r="BI60">
        <v>2169.8944889999998</v>
      </c>
      <c r="BJ60">
        <v>866.49409060000005</v>
      </c>
      <c r="BK60">
        <f t="shared" si="68"/>
        <v>100</v>
      </c>
      <c r="BL60">
        <f t="shared" si="69"/>
        <v>11.004417585793099</v>
      </c>
      <c r="BM60">
        <f t="shared" si="70"/>
        <v>92.358985913147194</v>
      </c>
      <c r="BN60">
        <f t="shared" si="71"/>
        <v>19.688795449878597</v>
      </c>
      <c r="BO60">
        <f t="shared" si="72"/>
        <v>3.9615903308855156</v>
      </c>
      <c r="BP60">
        <f t="shared" si="73"/>
        <v>0.26410602205903438</v>
      </c>
      <c r="BQ60">
        <f t="shared" si="74"/>
        <v>1.3205301102951719</v>
      </c>
      <c r="BR60">
        <f t="shared" si="75"/>
        <v>0.66026505514758593</v>
      </c>
      <c r="BS60">
        <f t="shared" si="76"/>
        <v>1.10044175857931</v>
      </c>
      <c r="BT60">
        <f t="shared" si="77"/>
        <v>6.6026505514758593</v>
      </c>
      <c r="BU60">
        <f t="shared" si="78"/>
        <v>17.607068137268961</v>
      </c>
      <c r="BV60">
        <f t="shared" si="31"/>
        <v>5.5022087928965497</v>
      </c>
      <c r="BW60">
        <f t="shared" si="79"/>
        <v>86.856777120250641</v>
      </c>
      <c r="BX60">
        <f t="shared" si="80"/>
        <v>103.3634034989403</v>
      </c>
      <c r="BY60">
        <f t="shared" si="33"/>
        <v>92.358985913147194</v>
      </c>
      <c r="BZ60">
        <f t="shared" si="34"/>
        <v>1.5406184620110339</v>
      </c>
      <c r="CA60">
        <f>7963.6*(BT60/1000)^0.6*1.7*('CAPEX+OPEX'!$G$116/'CAPEX+OPEX'!$G$115)</f>
        <v>785.36567366618647</v>
      </c>
      <c r="CB60">
        <f>7963.6*(BU60/1000)^0.6*1.7*('CAPEX+OPEX'!$G$116/'CAPEX+OPEX'!$G$115)</f>
        <v>1414.663520998452</v>
      </c>
      <c r="CC60">
        <f>7963.6*(BX60/1000)^0.6*1.7*('CAPEX+OPEX'!$G$116/'CAPEX+OPEX'!$G$115)</f>
        <v>4091.2970103918128</v>
      </c>
      <c r="CD60">
        <f>7963.6*(BY60/1000)^0.6*1.7*('CAPEX+OPEX'!$G$116/'CAPEX+OPEX'!$G$115)</f>
        <v>3824.0927867582022</v>
      </c>
      <c r="CE60">
        <v>300</v>
      </c>
      <c r="CF60">
        <v>30</v>
      </c>
      <c r="CG60">
        <f t="shared" si="81"/>
        <v>7.0879663619562949</v>
      </c>
      <c r="CH60">
        <f t="shared" si="82"/>
        <v>0.47253109079708633</v>
      </c>
      <c r="CI60">
        <f t="shared" si="83"/>
        <v>2.3626554539854316</v>
      </c>
      <c r="CJ60">
        <f t="shared" si="84"/>
        <v>1.1813277269927158</v>
      </c>
      <c r="CK60">
        <f t="shared" si="85"/>
        <v>1.9688795449878598</v>
      </c>
      <c r="CL60">
        <f t="shared" si="86"/>
        <v>11.813277269927157</v>
      </c>
      <c r="CM60">
        <f t="shared" si="87"/>
        <v>31.502072719805756</v>
      </c>
      <c r="CN60">
        <f t="shared" si="36"/>
        <v>9.8443977249392987</v>
      </c>
      <c r="CO60">
        <v>0</v>
      </c>
      <c r="CP60">
        <f t="shared" si="88"/>
        <v>29.533193174817896</v>
      </c>
      <c r="CQ60">
        <f t="shared" si="38"/>
        <v>9.8443977249392987</v>
      </c>
      <c r="CR60">
        <f t="shared" si="39"/>
        <v>2.7564313629830037</v>
      </c>
      <c r="CS60">
        <f>7963.6*(CL60/1000)^0.6*1.7*('CAPEX+OPEX'!$G$116/'CAPEX+OPEX'!$G$115)</f>
        <v>1113.430634946907</v>
      </c>
      <c r="CT60">
        <f>7963.6*(CM60/1000)^0.6*1.7*('CAPEX+OPEX'!$G$116/'CAPEX+OPEX'!$G$115)</f>
        <v>2005.6003913038726</v>
      </c>
      <c r="CU60">
        <f>7963.6*(CP60/1000)^0.6*1.7*('CAPEX+OPEX'!$G$116/'CAPEX+OPEX'!$G$115)</f>
        <v>1929.4217570610228</v>
      </c>
      <c r="CV60">
        <f>7963.6*(CQ60/1000)^0.6*1.7*('CAPEX+OPEX'!$G$116/'CAPEX+OPEX'!$G$115)</f>
        <v>998.05487130371432</v>
      </c>
      <c r="CW60">
        <v>300</v>
      </c>
      <c r="CX60">
        <f t="shared" si="89"/>
        <v>30</v>
      </c>
      <c r="CY60">
        <f t="shared" si="90"/>
        <v>10</v>
      </c>
      <c r="CZ60">
        <f t="shared" si="91"/>
        <v>9.2358985913147205</v>
      </c>
      <c r="DA60">
        <f t="shared" si="92"/>
        <v>3960</v>
      </c>
      <c r="DB60">
        <f t="shared" si="93"/>
        <v>3960</v>
      </c>
      <c r="DC60">
        <f>CF60*'Reagent cost'!$C$18/1000*'Reagent cost'!$H$18</f>
        <v>4784.413580611521</v>
      </c>
      <c r="DD60">
        <f>CX60*'Ligand cost'!$B$56*'Ligand cost'!$J$56</f>
        <v>30543.831958072875</v>
      </c>
      <c r="DE60">
        <f t="shared" si="94"/>
        <v>39625.826528698344</v>
      </c>
      <c r="DF60">
        <f t="shared" si="95"/>
        <v>4586243.4239371875</v>
      </c>
      <c r="DG60">
        <f t="shared" si="96"/>
        <v>11794834.586807497</v>
      </c>
      <c r="DH60">
        <f t="shared" si="97"/>
        <v>2275209.1661185985</v>
      </c>
      <c r="DI60">
        <f t="shared" si="98"/>
        <v>14083914.336508472</v>
      </c>
      <c r="DJ60">
        <f t="shared" si="99"/>
        <v>1662824.8986326549</v>
      </c>
      <c r="DK60" s="55">
        <f>DF60*($BK$2/10000)^0.72*0.6*((A60+1)/3)^0.6*('CAPEX+OPEX'!$G$116/'CAPEX+OPEX'!$G$114)</f>
        <v>450777.05424166139</v>
      </c>
      <c r="DL60" s="55">
        <f>DG60*($BK$2/10000)^0.72*0.6*((A60+1)/3)^0.6*('CAPEX+OPEX'!$G$116/'CAPEX+OPEX'!$G$114)</f>
        <v>1159301.9163697939</v>
      </c>
      <c r="DM60" s="55">
        <f>DH60*($BK$2/10000)^0.72*0.6*((A60+1)/3)^0.6*('CAPEX+OPEX'!$G$116/'CAPEX+OPEX'!$G$114)</f>
        <v>223627.92178311889</v>
      </c>
      <c r="DN60" s="55">
        <f>DI60*($BK$2/10000)^0.72*0.6*((A60+1)/3)^0.6*('CAPEX+OPEX'!$G$116/'CAPEX+OPEX'!$G$114)</f>
        <v>1384293.1632601768</v>
      </c>
      <c r="DO60" s="55">
        <f>DJ60*($BK$2/10000)^0.72*0.6*((A60+1)/3)^0.6*('CAPEX+OPEX'!$G$116/'CAPEX+OPEX'!$G$114)</f>
        <v>163437.31464690424</v>
      </c>
      <c r="DP60">
        <f t="shared" si="100"/>
        <v>3381437.3703016555</v>
      </c>
      <c r="DQ60">
        <f>DF60*(BM60/10000)^0.72*0.6*((AF60+1)/3)^0.6*('CAPEX+OPEX'!$G$116/'CAPEX+OPEX'!$G$114)</f>
        <v>530795.58157540858</v>
      </c>
      <c r="DR60">
        <f>DG60*(BM60/10000)^0.72*0.6*((AF60+1)/3)^0.6*('CAPEX+OPEX'!$G$116/'CAPEX+OPEX'!$G$114)</f>
        <v>1365092.409053945</v>
      </c>
      <c r="DS60">
        <f>DH60*(BM60/10000)^0.72*0.6*((AF60+1)/3)^0.6*('CAPEX+OPEX'!$G$116/'CAPEX+OPEX'!$G$114)</f>
        <v>263324.65612975758</v>
      </c>
      <c r="DT60">
        <f>DI60*(BM60/10000)^0.72*0.6*((AF60+1)/3)^0.6*('CAPEX+OPEX'!$G$116/'CAPEX+OPEX'!$G$114)</f>
        <v>1630022.3974347056</v>
      </c>
      <c r="DU60">
        <f>DJ60*(BM60/10000)^0.72*0.6*((AF60+1)/3)^0.6*('CAPEX+OPEX'!$G$116/'CAPEX+OPEX'!$G$114)</f>
        <v>192449.46845191228</v>
      </c>
      <c r="DV60">
        <f t="shared" si="101"/>
        <v>3981684.5126457289</v>
      </c>
      <c r="DW60">
        <f t="shared" si="102"/>
        <v>7431443.5809602663</v>
      </c>
      <c r="DX60">
        <f t="shared" si="103"/>
        <v>495429.57206401776</v>
      </c>
      <c r="DY60">
        <f>BO60*'Reagent cost'!$C$35*60*7200</f>
        <v>1026119.9463134165</v>
      </c>
      <c r="DZ60">
        <f>BP60*'Reagent cost'!$C$34*60*7200</f>
        <v>244161.87621115142</v>
      </c>
      <c r="EA60">
        <f>BQ60*'Reagent cost'!$C$14*'Reagent cost'!$C$36/1000*60*7200</f>
        <v>4047183.9318139763</v>
      </c>
      <c r="EB60">
        <f t="shared" si="104"/>
        <v>39.6</v>
      </c>
      <c r="EC60">
        <f t="shared" si="105"/>
        <v>95.688271612230423</v>
      </c>
      <c r="ED60">
        <f>0.1*BK60*60*7200*'Reagent cost'!$H$17*'Reagent cost'!$C$17/1000</f>
        <v>504921.59999999998</v>
      </c>
      <c r="EE60">
        <f>BV60*0.1*'Reagent cost'!$C$16/1000*'Reagent cost'!$H$16*60*7200</f>
        <v>1004001.6839176399</v>
      </c>
      <c r="EF60">
        <f>BZ60/1000*'Reagent cost'!$H$19*'Reagent cost'!$C$19*60*7200</f>
        <v>84358.104505876181</v>
      </c>
      <c r="EG60">
        <f>0.33*('Costing 100 Lmin Feed Orig'!BO60*'Reagent cost'!$C$13+'Costing 100 Lmin Feed Orig'!BP60*'Reagent cost'!$C$12+'Costing 100 Lmin Feed Orig'!BQ60*'Reagent cost'!$C$14+'Costing 100 Lmin Feed Orig'!BV60*0.1*'Reagent cost'!$C$16+'Costing 100 Lmin Feed Orig'!BZ60*'Reagent cost'!$C$19)/1000*60*7200</f>
        <v>172594.54198977497</v>
      </c>
      <c r="EH60">
        <f>CG60*'Reagent cost'!$C$35*60*7200</f>
        <v>1835905.0419976595</v>
      </c>
      <c r="EI60">
        <f>CH60*'Reagent cost'!$C$34*60*7200</f>
        <v>436847.58415440266</v>
      </c>
      <c r="EJ60">
        <f>CI60*'Reagent cost'!$C$14*'Reagent cost'!$C$36/1000*60*7200</f>
        <v>7241108.0332315359</v>
      </c>
      <c r="EK60">
        <f t="shared" si="106"/>
        <v>39.6</v>
      </c>
      <c r="EL60">
        <f t="shared" si="107"/>
        <v>610.87663916145755</v>
      </c>
      <c r="EM60">
        <f>0.1*BM60*60*7200*'Reagent cost'!$H$17*'Reagent cost'!$C$17/1000</f>
        <v>466340.4694164375</v>
      </c>
      <c r="EN60">
        <f>CN60*0.1*'Reagent cost'!$C$16/1000*'Reagent cost'!$H$16*60*7200</f>
        <v>1796331.6669760316</v>
      </c>
      <c r="EO60">
        <f>CR60/1000*'Reagent cost'!$H$19*'Reagent cost'!$C$19*60*7200</f>
        <v>150931.15571149735</v>
      </c>
      <c r="EP60">
        <f>0.33*(CG60*'Reagent cost'!$C$13+CH60*'Reagent cost'!$C$12+CI60*'Reagent cost'!$C$14+CN60*0.1*'Reagent cost'!$C$16+CR60*'Reagent cost'!$C$19)/1000*60*7200</f>
        <v>308801.31606322102</v>
      </c>
      <c r="EQ60">
        <f t="shared" si="108"/>
        <v>22606796.230992477</v>
      </c>
      <c r="ER60">
        <f t="shared" si="109"/>
        <v>481395.85805299599</v>
      </c>
      <c r="ES60">
        <f t="shared" si="110"/>
        <v>41280.414286181804</v>
      </c>
      <c r="ET60">
        <f t="shared" si="111"/>
        <v>37373.489075065132</v>
      </c>
      <c r="EU60">
        <f t="shared" si="112"/>
        <v>15823.453035813865</v>
      </c>
      <c r="EV60">
        <f t="shared" si="113"/>
        <v>8382.1245272768647</v>
      </c>
      <c r="EW60">
        <f t="shared" si="114"/>
        <v>8439.174952434063</v>
      </c>
      <c r="EX60">
        <f t="shared" si="115"/>
        <v>111298.65587677172</v>
      </c>
      <c r="EY60">
        <f t="shared" si="56"/>
        <v>48856.86409707307</v>
      </c>
      <c r="EZ60">
        <f t="shared" si="57"/>
        <v>50432.981593880453</v>
      </c>
      <c r="FA60">
        <f t="shared" si="58"/>
        <v>21352.673658699387</v>
      </c>
      <c r="FB60">
        <f t="shared" si="59"/>
        <v>11317.402316740587</v>
      </c>
      <c r="FC60">
        <f t="shared" si="60"/>
        <v>11388.092617973009</v>
      </c>
      <c r="FD60">
        <f t="shared" si="116"/>
        <v>143348.01428436651</v>
      </c>
      <c r="FE60">
        <f t="shared" si="117"/>
        <v>23342838.759206608</v>
      </c>
      <c r="FF60">
        <f t="shared" si="118"/>
        <v>23838268.331270624</v>
      </c>
      <c r="FG60">
        <f>BM60*AM60*195.08/1000*'PGM market prices'!$C$2*60*7200</f>
        <v>423420182.84357625</v>
      </c>
      <c r="FH60">
        <f>BN60*AQ60*BA60*106.42/1000*'PGM market prices'!$C$3*60*7200</f>
        <v>222234856.21274364</v>
      </c>
      <c r="FI60">
        <f>BK60*J60*102.91/1000*'PGM market prices'!$C$4*60*7200</f>
        <v>247541804.54056302</v>
      </c>
      <c r="FJ60">
        <f t="shared" si="119"/>
        <v>893196843.59688294</v>
      </c>
      <c r="FK60">
        <f t="shared" si="120"/>
        <v>643325345.69655311</v>
      </c>
      <c r="FL60">
        <f t="shared" si="64"/>
        <v>0.55181176692756073</v>
      </c>
      <c r="FM60">
        <f t="shared" si="65"/>
        <v>1898.9942217156517</v>
      </c>
      <c r="FN60">
        <f t="shared" si="66"/>
        <v>3532.2383705340194</v>
      </c>
      <c r="FO60">
        <f t="shared" si="67"/>
        <v>15884.30726427479</v>
      </c>
    </row>
    <row r="61" spans="1:171">
      <c r="A61">
        <v>8</v>
      </c>
      <c r="B61">
        <v>1.54143585092054E-3</v>
      </c>
      <c r="C61">
        <v>1.54143585092054E-3</v>
      </c>
      <c r="D61">
        <v>3.4254130020456501E-4</v>
      </c>
      <c r="E61">
        <v>0</v>
      </c>
      <c r="F61">
        <v>0</v>
      </c>
      <c r="G61">
        <v>0</v>
      </c>
      <c r="H61" s="53">
        <v>1.7762434284205799E-5</v>
      </c>
      <c r="I61" s="53">
        <v>4.4591984978445998E-9</v>
      </c>
      <c r="J61">
        <v>3.37570976171142E-4</v>
      </c>
      <c r="K61">
        <v>0.13846015972746001</v>
      </c>
      <c r="L61">
        <v>0.14007387303476199</v>
      </c>
      <c r="M61">
        <v>4.5166625081916902E-4</v>
      </c>
      <c r="N61" s="53">
        <v>-2.6107588313450902E-16</v>
      </c>
      <c r="O61" s="53">
        <v>-1.18524981496115E-14</v>
      </c>
      <c r="P61" s="53">
        <v>-2.5241581828178102E-19</v>
      </c>
      <c r="Q61">
        <v>0.110044175857931</v>
      </c>
      <c r="R61">
        <v>98.548985471108097</v>
      </c>
      <c r="S61">
        <v>500</v>
      </c>
      <c r="T61">
        <v>95</v>
      </c>
      <c r="U61">
        <v>1</v>
      </c>
      <c r="V61">
        <v>0.1</v>
      </c>
      <c r="W61">
        <v>90.872596591664205</v>
      </c>
      <c r="X61" t="s">
        <v>323</v>
      </c>
      <c r="Y61">
        <v>1</v>
      </c>
      <c r="Z61">
        <v>0.28318429382522198</v>
      </c>
      <c r="AA61">
        <v>0.56945642916197003</v>
      </c>
      <c r="AB61">
        <v>3.7698628972227502E-3</v>
      </c>
      <c r="AC61">
        <v>1822.2107908876901</v>
      </c>
      <c r="AD61">
        <v>2662.6059073104898</v>
      </c>
      <c r="AE61">
        <v>2401.5030938442701</v>
      </c>
      <c r="AF61">
        <v>13</v>
      </c>
      <c r="AG61">
        <v>1.6497294784823999E-3</v>
      </c>
      <c r="AH61">
        <v>1.66895660069658E-3</v>
      </c>
      <c r="AI61" s="53">
        <v>5.38152729188446E-6</v>
      </c>
      <c r="AJ61">
        <v>0</v>
      </c>
      <c r="AK61">
        <v>0</v>
      </c>
      <c r="AL61">
        <v>0</v>
      </c>
      <c r="AM61">
        <v>1.6127812941209201E-3</v>
      </c>
      <c r="AN61" s="53">
        <v>7.9537091597651401E-5</v>
      </c>
      <c r="AO61" s="53">
        <v>5.34613440871419E-6</v>
      </c>
      <c r="AP61">
        <v>1.73322090687147E-3</v>
      </c>
      <c r="AQ61">
        <v>7.4558876723361894E-2</v>
      </c>
      <c r="AR61" s="53">
        <v>1.6602625034295099E-6</v>
      </c>
      <c r="AS61" s="53">
        <v>-3.2526065174565099E-19</v>
      </c>
      <c r="AT61" s="53">
        <v>-1.5178830414797E-17</v>
      </c>
      <c r="AU61" s="53">
        <v>5.3601303693436099E-22</v>
      </c>
      <c r="AV61">
        <v>0.19688758804081399</v>
      </c>
      <c r="AW61">
        <v>99.342326420537802</v>
      </c>
      <c r="AX61">
        <v>499.99999999999898</v>
      </c>
      <c r="AY61">
        <v>95</v>
      </c>
      <c r="AZ61">
        <v>0.92358985913147196</v>
      </c>
      <c r="BA61">
        <v>0.1</v>
      </c>
      <c r="BB61">
        <v>46.909501422711003</v>
      </c>
      <c r="BC61" t="s">
        <v>251</v>
      </c>
      <c r="BD61">
        <v>1</v>
      </c>
      <c r="BE61">
        <v>1.8775014999999999E-2</v>
      </c>
      <c r="BF61">
        <v>0.10492961100000001</v>
      </c>
      <c r="BG61">
        <v>1.814625E-3</v>
      </c>
      <c r="BH61">
        <v>285.1951444</v>
      </c>
      <c r="BI61">
        <v>2169.8944889999998</v>
      </c>
      <c r="BJ61">
        <v>866.49409060000005</v>
      </c>
      <c r="BK61">
        <f t="shared" si="68"/>
        <v>100</v>
      </c>
      <c r="BL61">
        <f t="shared" si="69"/>
        <v>11.004417585793099</v>
      </c>
      <c r="BM61">
        <f t="shared" si="70"/>
        <v>92.358985913147194</v>
      </c>
      <c r="BN61">
        <f t="shared" si="71"/>
        <v>19.688758804081399</v>
      </c>
      <c r="BO61">
        <f t="shared" si="72"/>
        <v>3.9615903308855156</v>
      </c>
      <c r="BP61">
        <f t="shared" si="73"/>
        <v>0.26410602205903438</v>
      </c>
      <c r="BQ61">
        <f t="shared" si="74"/>
        <v>1.3205301102951719</v>
      </c>
      <c r="BR61">
        <f t="shared" si="75"/>
        <v>0.66026505514758593</v>
      </c>
      <c r="BS61">
        <f t="shared" si="76"/>
        <v>1.10044175857931</v>
      </c>
      <c r="BT61">
        <f t="shared" si="77"/>
        <v>6.6026505514758593</v>
      </c>
      <c r="BU61">
        <f t="shared" si="78"/>
        <v>17.607068137268961</v>
      </c>
      <c r="BV61">
        <f t="shared" si="31"/>
        <v>5.5022087928965497</v>
      </c>
      <c r="BW61">
        <f t="shared" si="79"/>
        <v>86.856777120250641</v>
      </c>
      <c r="BX61">
        <f t="shared" si="80"/>
        <v>103.3634034989403</v>
      </c>
      <c r="BY61">
        <f t="shared" si="33"/>
        <v>92.358985913147194</v>
      </c>
      <c r="BZ61">
        <f t="shared" si="34"/>
        <v>1.5406184620110339</v>
      </c>
      <c r="CA61">
        <f>7963.6*(BT61/1000)^0.6*1.7*('CAPEX+OPEX'!$G$116/'CAPEX+OPEX'!$G$115)</f>
        <v>785.36567366618647</v>
      </c>
      <c r="CB61">
        <f>7963.6*(BU61/1000)^0.6*1.7*('CAPEX+OPEX'!$G$116/'CAPEX+OPEX'!$G$115)</f>
        <v>1414.663520998452</v>
      </c>
      <c r="CC61">
        <f>7963.6*(BX61/1000)^0.6*1.7*('CAPEX+OPEX'!$G$116/'CAPEX+OPEX'!$G$115)</f>
        <v>4091.2970103918128</v>
      </c>
      <c r="CD61">
        <f>7963.6*(BY61/1000)^0.6*1.7*('CAPEX+OPEX'!$G$116/'CAPEX+OPEX'!$G$115)</f>
        <v>3824.0927867582022</v>
      </c>
      <c r="CE61">
        <v>300</v>
      </c>
      <c r="CF61">
        <v>30</v>
      </c>
      <c r="CG61">
        <f t="shared" si="81"/>
        <v>7.0879531694693032</v>
      </c>
      <c r="CH61">
        <f t="shared" si="82"/>
        <v>0.47253021129795358</v>
      </c>
      <c r="CI61">
        <f t="shared" si="83"/>
        <v>2.3626510564897676</v>
      </c>
      <c r="CJ61">
        <f t="shared" si="84"/>
        <v>1.1813255282448838</v>
      </c>
      <c r="CK61">
        <f t="shared" si="85"/>
        <v>1.9688758804081399</v>
      </c>
      <c r="CL61">
        <f t="shared" si="86"/>
        <v>11.813255282448839</v>
      </c>
      <c r="CM61">
        <f t="shared" si="87"/>
        <v>31.502014086530238</v>
      </c>
      <c r="CN61">
        <f t="shared" si="36"/>
        <v>9.8443794020406994</v>
      </c>
      <c r="CO61">
        <v>0</v>
      </c>
      <c r="CP61">
        <f t="shared" si="88"/>
        <v>29.533138206122096</v>
      </c>
      <c r="CQ61">
        <f t="shared" si="38"/>
        <v>9.8443794020406994</v>
      </c>
      <c r="CR61">
        <f t="shared" si="39"/>
        <v>2.7564262325713957</v>
      </c>
      <c r="CS61">
        <f>7963.6*(CL61/1000)^0.6*1.7*('CAPEX+OPEX'!$G$116/'CAPEX+OPEX'!$G$115)</f>
        <v>1113.4293915218777</v>
      </c>
      <c r="CT61">
        <f>7963.6*(CM61/1000)^0.6*1.7*('CAPEX+OPEX'!$G$116/'CAPEX+OPEX'!$G$115)</f>
        <v>2005.5981515471722</v>
      </c>
      <c r="CU61">
        <f>7963.6*(CP61/1000)^0.6*1.7*('CAPEX+OPEX'!$G$116/'CAPEX+OPEX'!$G$115)</f>
        <v>1929.419602376905</v>
      </c>
      <c r="CV61">
        <f>7963.6*(CQ61/1000)^0.6*1.7*('CAPEX+OPEX'!$G$116/'CAPEX+OPEX'!$G$115)</f>
        <v>998.05375672471155</v>
      </c>
      <c r="CW61">
        <v>300</v>
      </c>
      <c r="CX61">
        <f t="shared" si="89"/>
        <v>30</v>
      </c>
      <c r="CY61">
        <f t="shared" si="90"/>
        <v>10</v>
      </c>
      <c r="CZ61">
        <f t="shared" si="91"/>
        <v>9.2358985913147205</v>
      </c>
      <c r="DA61">
        <f t="shared" si="92"/>
        <v>3960</v>
      </c>
      <c r="DB61">
        <f t="shared" si="93"/>
        <v>3960</v>
      </c>
      <c r="DC61">
        <f>CF61*'Reagent cost'!$C$18/1000*'Reagent cost'!$H$18</f>
        <v>4784.413580611521</v>
      </c>
      <c r="DD61">
        <f>CX61*'Ligand cost'!$B$56*'Ligand cost'!$J$56</f>
        <v>30543.831958072875</v>
      </c>
      <c r="DE61">
        <f t="shared" si="94"/>
        <v>39625.826528698344</v>
      </c>
      <c r="DF61">
        <f t="shared" si="95"/>
        <v>4586243.4239371875</v>
      </c>
      <c r="DG61">
        <f t="shared" si="96"/>
        <v>11794834.586807497</v>
      </c>
      <c r="DH61">
        <f t="shared" si="97"/>
        <v>2275209.1661185985</v>
      </c>
      <c r="DI61">
        <f t="shared" si="98"/>
        <v>14083914.336508472</v>
      </c>
      <c r="DJ61">
        <f t="shared" si="99"/>
        <v>1662824.8986326549</v>
      </c>
      <c r="DK61" s="55">
        <f>DF61*($BK$2/10000)^0.72*0.6*((A61+1)/3)^0.6*('CAPEX+OPEX'!$G$116/'CAPEX+OPEX'!$G$114)</f>
        <v>450777.05424166139</v>
      </c>
      <c r="DL61" s="55">
        <f>DG61*($BK$2/10000)^0.72*0.6*((A61+1)/3)^0.6*('CAPEX+OPEX'!$G$116/'CAPEX+OPEX'!$G$114)</f>
        <v>1159301.9163697939</v>
      </c>
      <c r="DM61" s="55">
        <f>DH61*($BK$2/10000)^0.72*0.6*((A61+1)/3)^0.6*('CAPEX+OPEX'!$G$116/'CAPEX+OPEX'!$G$114)</f>
        <v>223627.92178311889</v>
      </c>
      <c r="DN61" s="55">
        <f>DI61*($BK$2/10000)^0.72*0.6*((A61+1)/3)^0.6*('CAPEX+OPEX'!$G$116/'CAPEX+OPEX'!$G$114)</f>
        <v>1384293.1632601768</v>
      </c>
      <c r="DO61" s="55">
        <f>DJ61*($BK$2/10000)^0.72*0.6*((A61+1)/3)^0.6*('CAPEX+OPEX'!$G$116/'CAPEX+OPEX'!$G$114)</f>
        <v>163437.31464690424</v>
      </c>
      <c r="DP61">
        <f t="shared" si="100"/>
        <v>3381437.3703016555</v>
      </c>
      <c r="DQ61">
        <f>DF61*(BM61/10000)^0.72*0.6*((AF61+1)/3)^0.6*('CAPEX+OPEX'!$G$116/'CAPEX+OPEX'!$G$114)</f>
        <v>554929.87900550966</v>
      </c>
      <c r="DR61">
        <f>DG61*(BM61/10000)^0.72*0.6*((AF61+1)/3)^0.6*('CAPEX+OPEX'!$G$116/'CAPEX+OPEX'!$G$114)</f>
        <v>1427160.6465511343</v>
      </c>
      <c r="DS61">
        <f>DH61*(BM61/10000)^0.72*0.6*((AF61+1)/3)^0.6*('CAPEX+OPEX'!$G$116/'CAPEX+OPEX'!$G$114)</f>
        <v>275297.54323038581</v>
      </c>
      <c r="DT61">
        <f>DI61*(BM61/10000)^0.72*0.6*((AF61+1)/3)^0.6*('CAPEX+OPEX'!$G$116/'CAPEX+OPEX'!$G$114)</f>
        <v>1704136.5135331398</v>
      </c>
      <c r="DU61">
        <f>DJ61*(BM61/10000)^0.72*0.6*((AF61+1)/3)^0.6*('CAPEX+OPEX'!$G$116/'CAPEX+OPEX'!$G$114)</f>
        <v>201199.79131273562</v>
      </c>
      <c r="DV61">
        <f t="shared" si="101"/>
        <v>4162724.3736329051</v>
      </c>
      <c r="DW61">
        <f t="shared" si="102"/>
        <v>7612483.4341821317</v>
      </c>
      <c r="DX61">
        <f t="shared" si="103"/>
        <v>507498.89561214211</v>
      </c>
      <c r="DY61">
        <f>BO61*'Reagent cost'!$C$35*60*7200</f>
        <v>1026119.9463134165</v>
      </c>
      <c r="DZ61">
        <f>BP61*'Reagent cost'!$C$34*60*7200</f>
        <v>244161.87621115142</v>
      </c>
      <c r="EA61">
        <f>BQ61*'Reagent cost'!$C$14*'Reagent cost'!$C$36/1000*60*7200</f>
        <v>4047183.9318139763</v>
      </c>
      <c r="EB61">
        <f t="shared" si="104"/>
        <v>39.6</v>
      </c>
      <c r="EC61">
        <f t="shared" si="105"/>
        <v>95.688271612230423</v>
      </c>
      <c r="ED61">
        <f>0.1*BK61*60*7200*'Reagent cost'!$H$17*'Reagent cost'!$C$17/1000</f>
        <v>504921.59999999998</v>
      </c>
      <c r="EE61">
        <f>BV61*0.1*'Reagent cost'!$C$16/1000*'Reagent cost'!$H$16*60*7200</f>
        <v>1004001.6839176399</v>
      </c>
      <c r="EF61">
        <f>BZ61/1000*'Reagent cost'!$H$19*'Reagent cost'!$C$19*60*7200</f>
        <v>84358.104505876181</v>
      </c>
      <c r="EG61">
        <f>0.33*('Costing 100 Lmin Feed Orig'!BO61*'Reagent cost'!$C$13+'Costing 100 Lmin Feed Orig'!BP61*'Reagent cost'!$C$12+'Costing 100 Lmin Feed Orig'!BQ61*'Reagent cost'!$C$14+'Costing 100 Lmin Feed Orig'!BV61*0.1*'Reagent cost'!$C$16+'Costing 100 Lmin Feed Orig'!BZ61*'Reagent cost'!$C$19)/1000*60*7200</f>
        <v>172594.54198977497</v>
      </c>
      <c r="EH61">
        <f>CG61*'Reagent cost'!$C$35*60*7200</f>
        <v>1835901.6249169137</v>
      </c>
      <c r="EI61">
        <f>CH61*'Reagent cost'!$C$34*60*7200</f>
        <v>436846.77107124502</v>
      </c>
      <c r="EJ61">
        <f>CI61*'Reagent cost'!$C$14*'Reagent cost'!$C$36/1000*60*7200</f>
        <v>7241094.5557094011</v>
      </c>
      <c r="EK61">
        <f t="shared" si="106"/>
        <v>39.6</v>
      </c>
      <c r="EL61">
        <f t="shared" si="107"/>
        <v>610.87663916145755</v>
      </c>
      <c r="EM61">
        <f>0.1*BM61*60*7200*'Reagent cost'!$H$17*'Reagent cost'!$C$17/1000</f>
        <v>466340.4694164375</v>
      </c>
      <c r="EN61">
        <f>CN61*0.1*'Reagent cost'!$C$16/1000*'Reagent cost'!$H$16*60*7200</f>
        <v>1796328.3235512835</v>
      </c>
      <c r="EO61">
        <f>CR61/1000*'Reagent cost'!$H$19*'Reagent cost'!$C$19*60*7200</f>
        <v>150930.87479067937</v>
      </c>
      <c r="EP61">
        <f>0.33*(CG61*'Reagent cost'!$C$13+CH61*'Reagent cost'!$C$12+CI61*'Reagent cost'!$C$14+CN61*0.1*'Reagent cost'!$C$16+CR61*'Reagent cost'!$C$19)/1000*60*7200</f>
        <v>308800.74130635324</v>
      </c>
      <c r="EQ61">
        <f t="shared" si="108"/>
        <v>22606770.63255455</v>
      </c>
      <c r="ER61">
        <f t="shared" si="109"/>
        <v>481395.28329612821</v>
      </c>
      <c r="ES61">
        <f t="shared" si="110"/>
        <v>41280.414286181804</v>
      </c>
      <c r="ET61">
        <f t="shared" si="111"/>
        <v>37373.489075065132</v>
      </c>
      <c r="EU61">
        <f t="shared" si="112"/>
        <v>15823.453035813865</v>
      </c>
      <c r="EV61">
        <f t="shared" si="113"/>
        <v>8382.1245272768647</v>
      </c>
      <c r="EW61">
        <f t="shared" si="114"/>
        <v>8439.174952434063</v>
      </c>
      <c r="EX61">
        <f t="shared" si="115"/>
        <v>111298.65587677172</v>
      </c>
      <c r="EY61">
        <f t="shared" si="56"/>
        <v>51428.277996919023</v>
      </c>
      <c r="EZ61">
        <f t="shared" si="57"/>
        <v>54312.441716486632</v>
      </c>
      <c r="FA61">
        <f t="shared" si="58"/>
        <v>22995.187017060871</v>
      </c>
      <c r="FB61">
        <f t="shared" si="59"/>
        <v>12187.971725720628</v>
      </c>
      <c r="FC61">
        <f t="shared" si="60"/>
        <v>12264.099742432467</v>
      </c>
      <c r="FD61">
        <f t="shared" si="116"/>
        <v>153187.97819861962</v>
      </c>
      <c r="FE61">
        <f t="shared" si="117"/>
        <v>23352652.549926069</v>
      </c>
      <c r="FF61">
        <f t="shared" si="118"/>
        <v>23860151.445538212</v>
      </c>
      <c r="FG61">
        <f>BM61*AM61*195.08/1000*'PGM market prices'!$C$2*60*7200</f>
        <v>423420247.56035215</v>
      </c>
      <c r="FH61">
        <f>BN61*AQ61*BA61*106.42/1000*'PGM market prices'!$C$3*60*7200</f>
        <v>222234854.42416671</v>
      </c>
      <c r="FI61">
        <f>BK61*J61*102.91/1000*'PGM market prices'!$C$4*60*7200</f>
        <v>247541804.54056302</v>
      </c>
      <c r="FJ61">
        <f t="shared" si="119"/>
        <v>893196906.52508187</v>
      </c>
      <c r="FK61">
        <f t="shared" si="120"/>
        <v>643309198.75886238</v>
      </c>
      <c r="FL61">
        <f t="shared" si="64"/>
        <v>0.55231832049856966</v>
      </c>
      <c r="FM61">
        <f t="shared" si="65"/>
        <v>1900.7371747529321</v>
      </c>
      <c r="FN61">
        <f t="shared" si="66"/>
        <v>3535.4809321623929</v>
      </c>
      <c r="FO61">
        <f t="shared" si="67"/>
        <v>15898.888781107104</v>
      </c>
    </row>
    <row r="62" spans="1:171">
      <c r="A62">
        <v>9</v>
      </c>
      <c r="B62">
        <v>1.54143585092054E-3</v>
      </c>
      <c r="C62">
        <v>1.54143585092054E-3</v>
      </c>
      <c r="D62">
        <v>3.4254130020456501E-4</v>
      </c>
      <c r="E62">
        <v>0</v>
      </c>
      <c r="F62">
        <v>0</v>
      </c>
      <c r="G62">
        <v>0</v>
      </c>
      <c r="H62" s="53">
        <v>1.7768596981705501E-5</v>
      </c>
      <c r="I62" s="53">
        <v>1.5331283704498101E-9</v>
      </c>
      <c r="J62">
        <v>3.3763247208936601E-4</v>
      </c>
      <c r="K62">
        <v>0.13890601070001499</v>
      </c>
      <c r="L62">
        <v>0.14052575540227799</v>
      </c>
      <c r="M62">
        <v>4.4751616793740602E-4</v>
      </c>
      <c r="N62" s="53">
        <v>-5.0090140368830299E-17</v>
      </c>
      <c r="O62" s="53">
        <v>-6.2343793322261397E-15</v>
      </c>
      <c r="P62" s="53">
        <v>1.7787691892340301E-20</v>
      </c>
      <c r="Q62">
        <v>0.10969051996097</v>
      </c>
      <c r="R62">
        <v>98.566938318892298</v>
      </c>
      <c r="S62">
        <v>500</v>
      </c>
      <c r="T62">
        <v>95</v>
      </c>
      <c r="U62">
        <v>1</v>
      </c>
      <c r="V62">
        <v>0.1</v>
      </c>
      <c r="W62">
        <v>91.165581160141301</v>
      </c>
      <c r="X62" t="s">
        <v>323</v>
      </c>
      <c r="Y62">
        <v>1</v>
      </c>
      <c r="Z62">
        <v>0.28318429382522198</v>
      </c>
      <c r="AA62">
        <v>0.56945642916197003</v>
      </c>
      <c r="AB62">
        <v>3.7698628972227502E-3</v>
      </c>
      <c r="AC62">
        <v>1822.2107908876901</v>
      </c>
      <c r="AD62">
        <v>2662.6059073104898</v>
      </c>
      <c r="AE62">
        <v>2401.5030938442701</v>
      </c>
      <c r="AF62">
        <v>4</v>
      </c>
      <c r="AG62">
        <v>1.6497485970141401E-3</v>
      </c>
      <c r="AH62">
        <v>1.6689858606617799E-3</v>
      </c>
      <c r="AI62" s="53">
        <v>5.3150268046377499E-6</v>
      </c>
      <c r="AJ62">
        <v>0</v>
      </c>
      <c r="AK62">
        <v>0</v>
      </c>
      <c r="AL62">
        <v>0</v>
      </c>
      <c r="AM62">
        <v>1.6048321319618701E-3</v>
      </c>
      <c r="AN62" s="53">
        <v>7.9192002642469804E-5</v>
      </c>
      <c r="AO62" s="53">
        <v>5.2728464102818699E-6</v>
      </c>
      <c r="AP62">
        <v>1.9874961185591101E-3</v>
      </c>
      <c r="AQ62">
        <v>7.0346344441502298E-2</v>
      </c>
      <c r="AR62" s="53">
        <v>1.86642849011818E-6</v>
      </c>
      <c r="AS62" s="53">
        <v>-9.5194915860664904E-15</v>
      </c>
      <c r="AT62" s="53">
        <v>-1.2276442883096799E-13</v>
      </c>
      <c r="AU62" s="53">
        <v>-3.0580668722738401E-18</v>
      </c>
      <c r="AV62">
        <v>0.20872364334642199</v>
      </c>
      <c r="AW62">
        <v>99.206393572294303</v>
      </c>
      <c r="AX62">
        <v>500</v>
      </c>
      <c r="AY62">
        <v>95</v>
      </c>
      <c r="AZ62">
        <v>0.92357542033771201</v>
      </c>
      <c r="BA62">
        <v>0.1</v>
      </c>
      <c r="BB62">
        <v>44.248720726134401</v>
      </c>
      <c r="BC62" t="s">
        <v>251</v>
      </c>
      <c r="BD62">
        <v>1</v>
      </c>
      <c r="BE62">
        <v>1.8775014999999999E-2</v>
      </c>
      <c r="BF62">
        <v>0.10492961100000001</v>
      </c>
      <c r="BG62">
        <v>1.814625E-3</v>
      </c>
      <c r="BH62">
        <v>285.1951444</v>
      </c>
      <c r="BI62">
        <v>2169.8944889999998</v>
      </c>
      <c r="BJ62">
        <v>866.49409060000005</v>
      </c>
      <c r="BK62">
        <f t="shared" si="68"/>
        <v>100</v>
      </c>
      <c r="BL62">
        <f t="shared" si="69"/>
        <v>10.969051996096999</v>
      </c>
      <c r="BM62">
        <f t="shared" si="70"/>
        <v>92.357542033771196</v>
      </c>
      <c r="BN62">
        <f t="shared" si="71"/>
        <v>20.872364334642199</v>
      </c>
      <c r="BO62">
        <f t="shared" si="72"/>
        <v>3.9488587185949195</v>
      </c>
      <c r="BP62">
        <f t="shared" si="73"/>
        <v>0.26325724790632798</v>
      </c>
      <c r="BQ62">
        <f t="shared" si="74"/>
        <v>1.3162862395316399</v>
      </c>
      <c r="BR62">
        <f t="shared" si="75"/>
        <v>0.65814311976581996</v>
      </c>
      <c r="BS62">
        <f t="shared" si="76"/>
        <v>1.0969051996096999</v>
      </c>
      <c r="BT62">
        <f t="shared" si="77"/>
        <v>6.5814311976581994</v>
      </c>
      <c r="BU62">
        <f t="shared" si="78"/>
        <v>17.550483193755198</v>
      </c>
      <c r="BV62">
        <f t="shared" si="31"/>
        <v>5.4845259980484995</v>
      </c>
      <c r="BW62">
        <f t="shared" si="79"/>
        <v>86.873016035722699</v>
      </c>
      <c r="BX62">
        <f t="shared" si="80"/>
        <v>103.32659402986819</v>
      </c>
      <c r="BY62">
        <f t="shared" si="33"/>
        <v>92.357542033771196</v>
      </c>
      <c r="BZ62">
        <f t="shared" si="34"/>
        <v>1.5356672794535797</v>
      </c>
      <c r="CA62">
        <f>7963.6*(BT62/1000)^0.6*1.7*('CAPEX+OPEX'!$G$116/'CAPEX+OPEX'!$G$115)</f>
        <v>783.85031135713814</v>
      </c>
      <c r="CB62">
        <f>7963.6*(BU62/1000)^0.6*1.7*('CAPEX+OPEX'!$G$116/'CAPEX+OPEX'!$G$115)</f>
        <v>1411.9339291005786</v>
      </c>
      <c r="CC62">
        <f>7963.6*(BX62/1000)^0.6*1.7*('CAPEX+OPEX'!$G$116/'CAPEX+OPEX'!$G$115)</f>
        <v>4090.4227597755034</v>
      </c>
      <c r="CD62">
        <f>7963.6*(BY62/1000)^0.6*1.7*('CAPEX+OPEX'!$G$116/'CAPEX+OPEX'!$G$115)</f>
        <v>3824.0569166417245</v>
      </c>
      <c r="CE62">
        <v>300</v>
      </c>
      <c r="CF62">
        <v>30</v>
      </c>
      <c r="CG62">
        <f t="shared" si="81"/>
        <v>7.5140511604711913</v>
      </c>
      <c r="CH62">
        <f t="shared" si="82"/>
        <v>0.50093674403141275</v>
      </c>
      <c r="CI62">
        <f t="shared" si="83"/>
        <v>2.5046837201570638</v>
      </c>
      <c r="CJ62">
        <f t="shared" si="84"/>
        <v>1.2523418600785319</v>
      </c>
      <c r="CK62">
        <f t="shared" si="85"/>
        <v>2.0872364334642199</v>
      </c>
      <c r="CL62">
        <f t="shared" si="86"/>
        <v>12.52341860078532</v>
      </c>
      <c r="CM62">
        <f t="shared" si="87"/>
        <v>33.395782935427519</v>
      </c>
      <c r="CN62">
        <f t="shared" si="36"/>
        <v>10.4361821673211</v>
      </c>
      <c r="CO62">
        <v>0</v>
      </c>
      <c r="CP62">
        <f t="shared" si="88"/>
        <v>31.308546501963299</v>
      </c>
      <c r="CQ62">
        <f t="shared" si="38"/>
        <v>10.4361821673211</v>
      </c>
      <c r="CR62">
        <f t="shared" si="39"/>
        <v>2.9221310068499076</v>
      </c>
      <c r="CS62">
        <f>7963.6*(CL62/1000)^0.6*1.7*('CAPEX+OPEX'!$G$116/'CAPEX+OPEX'!$G$115)</f>
        <v>1153.120428897239</v>
      </c>
      <c r="CT62">
        <f>7963.6*(CM62/1000)^0.6*1.7*('CAPEX+OPEX'!$G$116/'CAPEX+OPEX'!$G$115)</f>
        <v>2077.092825389228</v>
      </c>
      <c r="CU62">
        <f>7963.6*(CP62/1000)^0.6*1.7*('CAPEX+OPEX'!$G$116/'CAPEX+OPEX'!$G$115)</f>
        <v>1998.19869706743</v>
      </c>
      <c r="CV62">
        <f>7963.6*(CQ62/1000)^0.6*1.7*('CAPEX+OPEX'!$G$116/'CAPEX+OPEX'!$G$115)</f>
        <v>1033.6319346158434</v>
      </c>
      <c r="CW62">
        <v>300</v>
      </c>
      <c r="CX62">
        <f t="shared" si="89"/>
        <v>30</v>
      </c>
      <c r="CY62">
        <f t="shared" si="90"/>
        <v>10</v>
      </c>
      <c r="CZ62">
        <f t="shared" si="91"/>
        <v>9.2357542033771196</v>
      </c>
      <c r="DA62">
        <f t="shared" si="92"/>
        <v>3960</v>
      </c>
      <c r="DB62">
        <f t="shared" si="93"/>
        <v>3960</v>
      </c>
      <c r="DC62">
        <f>CF62*'Reagent cost'!$C$18/1000*'Reagent cost'!$H$18</f>
        <v>4784.413580611521</v>
      </c>
      <c r="DD62">
        <f>CX62*'Ligand cost'!$B$56*'Ligand cost'!$J$56</f>
        <v>30543.831958072875</v>
      </c>
      <c r="DE62">
        <f t="shared" si="94"/>
        <v>39625.826528698344</v>
      </c>
      <c r="DF62">
        <f t="shared" si="95"/>
        <v>4586243.4239371875</v>
      </c>
      <c r="DG62">
        <f t="shared" si="96"/>
        <v>11794834.586807497</v>
      </c>
      <c r="DH62">
        <f t="shared" si="97"/>
        <v>2275209.1661185985</v>
      </c>
      <c r="DI62">
        <f t="shared" si="98"/>
        <v>14083914.336508472</v>
      </c>
      <c r="DJ62">
        <f t="shared" si="99"/>
        <v>1662824.8986326549</v>
      </c>
      <c r="DK62" s="55">
        <f>DF62*($BK$2/10000)^0.72*0.6*((A62+1)/3)^0.6*('CAPEX+OPEX'!$G$116/'CAPEX+OPEX'!$G$114)</f>
        <v>480193.52041347441</v>
      </c>
      <c r="DL62" s="55">
        <f>DG62*($BK$2/10000)^0.72*0.6*((A62+1)/3)^0.6*('CAPEX+OPEX'!$G$116/'CAPEX+OPEX'!$G$114)</f>
        <v>1234954.7591330099</v>
      </c>
      <c r="DM62" s="55">
        <f>DH62*($BK$2/10000)^0.72*0.6*((A62+1)/3)^0.6*('CAPEX+OPEX'!$G$116/'CAPEX+OPEX'!$G$114)</f>
        <v>238221.26262490739</v>
      </c>
      <c r="DN62" s="55">
        <f>DI62*($BK$2/10000)^0.72*0.6*((A62+1)/3)^0.6*('CAPEX+OPEX'!$G$116/'CAPEX+OPEX'!$G$114)</f>
        <v>1474628.3136981681</v>
      </c>
      <c r="DO62" s="55">
        <f>DJ62*($BK$2/10000)^0.72*0.6*((A62+1)/3)^0.6*('CAPEX+OPEX'!$G$116/'CAPEX+OPEX'!$G$114)</f>
        <v>174102.78262554979</v>
      </c>
      <c r="DP62">
        <f t="shared" si="100"/>
        <v>3602100.6384951095</v>
      </c>
      <c r="DQ62">
        <f>DF62*(BM62/10000)^0.72*0.6*((AF62+1)/3)^0.6*('CAPEX+OPEX'!$G$116/'CAPEX+OPEX'!$G$114)</f>
        <v>299184.02587775758</v>
      </c>
      <c r="DR62">
        <f>DG62*(BM62/10000)^0.72*0.6*((AF62+1)/3)^0.6*('CAPEX+OPEX'!$G$116/'CAPEX+OPEX'!$G$114)</f>
        <v>769437.155870341</v>
      </c>
      <c r="DS62">
        <f>DH62*(BM62/10000)^0.72*0.6*((AF62+1)/3)^0.6*('CAPEX+OPEX'!$G$116/'CAPEX+OPEX'!$G$114)</f>
        <v>148423.48630700613</v>
      </c>
      <c r="DT62">
        <f>DI62*(BM62/10000)^0.72*0.6*((AF62+1)/3)^0.6*('CAPEX+OPEX'!$G$116/'CAPEX+OPEX'!$G$114)</f>
        <v>918765.49101633136</v>
      </c>
      <c r="DU62">
        <f>DJ62*(BM62/10000)^0.72*0.6*((AF62+1)/3)^0.6*('CAPEX+OPEX'!$G$116/'CAPEX+OPEX'!$G$114)</f>
        <v>108474.54038442801</v>
      </c>
      <c r="DV62">
        <f t="shared" si="101"/>
        <v>2244284.6994558643</v>
      </c>
      <c r="DW62">
        <f t="shared" si="102"/>
        <v>5914948.974293733</v>
      </c>
      <c r="DX62">
        <f t="shared" si="103"/>
        <v>394329.93161958217</v>
      </c>
      <c r="DY62">
        <f>BO62*'Reagent cost'!$C$35*60*7200</f>
        <v>1022822.2400316087</v>
      </c>
      <c r="DZ62">
        <f>BP62*'Reagent cost'!$C$34*60*7200</f>
        <v>243377.19781575311</v>
      </c>
      <c r="EA62">
        <f>BQ62*'Reagent cost'!$C$14*'Reagent cost'!$C$36/1000*60*7200</f>
        <v>4034177.2419786179</v>
      </c>
      <c r="EB62">
        <f t="shared" si="104"/>
        <v>39.6</v>
      </c>
      <c r="EC62">
        <f t="shared" si="105"/>
        <v>95.688271612230423</v>
      </c>
      <c r="ED62">
        <f>0.1*BK62*60*7200*'Reagent cost'!$H$17*'Reagent cost'!$C$17/1000</f>
        <v>504921.59999999998</v>
      </c>
      <c r="EE62">
        <f>BV62*0.1*'Reagent cost'!$C$16/1000*'Reagent cost'!$H$16*60*7200</f>
        <v>1000775.0604883848</v>
      </c>
      <c r="EF62">
        <f>BZ62/1000*'Reagent cost'!$H$19*'Reagent cost'!$C$19*60*7200</f>
        <v>84086.997553760215</v>
      </c>
      <c r="EG62">
        <f>0.33*('Costing 100 Lmin Feed Orig'!BO62*'Reagent cost'!$C$13+'Costing 100 Lmin Feed Orig'!BP62*'Reagent cost'!$C$12+'Costing 100 Lmin Feed Orig'!BQ62*'Reagent cost'!$C$14+'Costing 100 Lmin Feed Orig'!BV62*0.1*'Reagent cost'!$C$16+'Costing 100 Lmin Feed Orig'!BZ62*'Reagent cost'!$C$19)/1000*60*7200</f>
        <v>172039.86404264971</v>
      </c>
      <c r="EH62">
        <f>CG62*'Reagent cost'!$C$35*60*7200</f>
        <v>1946268.3239272526</v>
      </c>
      <c r="EI62">
        <f>CH62*'Reagent cost'!$C$34*60*7200</f>
        <v>463108.16516889463</v>
      </c>
      <c r="EJ62">
        <f>CI62*'Reagent cost'!$C$14*'Reagent cost'!$C$36/1000*60*7200</f>
        <v>7676398.76400082</v>
      </c>
      <c r="EK62">
        <f t="shared" si="106"/>
        <v>39.6</v>
      </c>
      <c r="EL62">
        <f t="shared" si="107"/>
        <v>610.87663916145755</v>
      </c>
      <c r="EM62">
        <f>0.1*BM62*60*7200*'Reagent cost'!$H$17*'Reagent cost'!$C$17/1000</f>
        <v>466333.17895759002</v>
      </c>
      <c r="EN62">
        <f>CN62*0.1*'Reagent cost'!$C$16/1000*'Reagent cost'!$H$16*60*7200</f>
        <v>1904316.0418028559</v>
      </c>
      <c r="EO62">
        <f>CR62/1000*'Reagent cost'!$H$19*'Reagent cost'!$C$19*60*7200</f>
        <v>160004.20541107352</v>
      </c>
      <c r="EP62">
        <f>0.33*(CG62*'Reagent cost'!$C$13+CH62*'Reagent cost'!$C$12+CI62*'Reagent cost'!$C$14+CN62*0.1*'Reagent cost'!$C$16+CR62*'Reagent cost'!$C$19)/1000*60*7200</f>
        <v>327364.54560140648</v>
      </c>
      <c r="EQ62">
        <f t="shared" si="108"/>
        <v>23408849.73845686</v>
      </c>
      <c r="ER62">
        <f t="shared" si="109"/>
        <v>499404.40964405623</v>
      </c>
      <c r="ES62">
        <f t="shared" si="110"/>
        <v>44032.441905260595</v>
      </c>
      <c r="ET62">
        <f t="shared" si="111"/>
        <v>41526.098972294596</v>
      </c>
      <c r="EU62">
        <f t="shared" si="112"/>
        <v>17581.614484237631</v>
      </c>
      <c r="EV62">
        <f t="shared" si="113"/>
        <v>9313.4716969742931</v>
      </c>
      <c r="EW62">
        <f t="shared" si="114"/>
        <v>9376.8610582600722</v>
      </c>
      <c r="EX62">
        <f t="shared" si="115"/>
        <v>121830.48811702718</v>
      </c>
      <c r="EY62">
        <f t="shared" si="56"/>
        <v>28285.175261081924</v>
      </c>
      <c r="EZ62">
        <f t="shared" si="57"/>
        <v>19397.041035374452</v>
      </c>
      <c r="FA62">
        <f t="shared" si="58"/>
        <v>8212.4568899770857</v>
      </c>
      <c r="FB62">
        <f t="shared" si="59"/>
        <v>4352.7892707765368</v>
      </c>
      <c r="FC62">
        <f t="shared" si="60"/>
        <v>4379.977007987779</v>
      </c>
      <c r="FD62">
        <f t="shared" si="116"/>
        <v>64627.439465197771</v>
      </c>
      <c r="FE62">
        <f t="shared" si="117"/>
        <v>24094712.075683143</v>
      </c>
      <c r="FF62">
        <f t="shared" si="118"/>
        <v>24489042.007302724</v>
      </c>
      <c r="FG62">
        <f>BM62*AM62*195.08/1000*'PGM market prices'!$C$2*60*7200</f>
        <v>421326684.4940666</v>
      </c>
      <c r="FH62">
        <f>BN62*AQ62*BA62*106.42/1000*'PGM market prices'!$C$3*60*7200</f>
        <v>222283721.34015742</v>
      </c>
      <c r="FI62">
        <f>BK62*J62*102.91/1000*'PGM market prices'!$C$4*60*7200</f>
        <v>247586899.68097383</v>
      </c>
      <c r="FJ62">
        <f t="shared" si="119"/>
        <v>891197305.51519775</v>
      </c>
      <c r="FK62">
        <f t="shared" si="120"/>
        <v>641364114.99584234</v>
      </c>
      <c r="FL62">
        <f t="shared" si="64"/>
        <v>0.56687597239126675</v>
      </c>
      <c r="FM62">
        <f t="shared" si="65"/>
        <v>1960.5292448760717</v>
      </c>
      <c r="FN62">
        <f t="shared" si="66"/>
        <v>3627.8691428575739</v>
      </c>
      <c r="FO62">
        <f t="shared" si="67"/>
        <v>16314.969362344476</v>
      </c>
    </row>
    <row r="63" spans="1:171">
      <c r="A63">
        <v>9</v>
      </c>
      <c r="B63">
        <v>1.54143585092054E-3</v>
      </c>
      <c r="C63">
        <v>1.54143585092054E-3</v>
      </c>
      <c r="D63">
        <v>3.4254130020456501E-4</v>
      </c>
      <c r="E63">
        <v>0</v>
      </c>
      <c r="F63">
        <v>0</v>
      </c>
      <c r="G63">
        <v>0</v>
      </c>
      <c r="H63" s="53">
        <v>1.7768596981705501E-5</v>
      </c>
      <c r="I63" s="53">
        <v>1.5331283704498101E-9</v>
      </c>
      <c r="J63">
        <v>3.3763247208936601E-4</v>
      </c>
      <c r="K63">
        <v>0.13890601070001499</v>
      </c>
      <c r="L63">
        <v>0.14052575540227799</v>
      </c>
      <c r="M63">
        <v>4.4751616793740602E-4</v>
      </c>
      <c r="N63" s="53">
        <v>-5.0090140368830299E-17</v>
      </c>
      <c r="O63" s="53">
        <v>-6.2343793322261397E-15</v>
      </c>
      <c r="P63" s="53">
        <v>1.7787691892340301E-20</v>
      </c>
      <c r="Q63">
        <v>0.10969051996097</v>
      </c>
      <c r="R63">
        <v>98.566938318892298</v>
      </c>
      <c r="S63">
        <v>500</v>
      </c>
      <c r="T63">
        <v>95</v>
      </c>
      <c r="U63">
        <v>1</v>
      </c>
      <c r="V63">
        <v>0.1</v>
      </c>
      <c r="W63">
        <v>91.165581160141301</v>
      </c>
      <c r="X63" t="s">
        <v>323</v>
      </c>
      <c r="Y63">
        <v>1</v>
      </c>
      <c r="Z63">
        <v>0.28318429382522198</v>
      </c>
      <c r="AA63">
        <v>0.56945642916197003</v>
      </c>
      <c r="AB63">
        <v>3.7698628972227502E-3</v>
      </c>
      <c r="AC63">
        <v>1822.2107908876901</v>
      </c>
      <c r="AD63">
        <v>2662.6059073104898</v>
      </c>
      <c r="AE63">
        <v>2401.5030938442701</v>
      </c>
      <c r="AF63">
        <v>5</v>
      </c>
      <c r="AG63">
        <v>1.6497485970141401E-3</v>
      </c>
      <c r="AH63">
        <v>1.6689858606617799E-3</v>
      </c>
      <c r="AI63" s="53">
        <v>5.3150268046377499E-6</v>
      </c>
      <c r="AJ63">
        <v>0</v>
      </c>
      <c r="AK63">
        <v>0</v>
      </c>
      <c r="AL63">
        <v>0</v>
      </c>
      <c r="AM63">
        <v>1.6104360946851499E-3</v>
      </c>
      <c r="AN63" s="53">
        <v>7.9481866578997695E-5</v>
      </c>
      <c r="AO63" s="53">
        <v>5.2779279086813702E-6</v>
      </c>
      <c r="AP63">
        <v>1.8118422491867001E-3</v>
      </c>
      <c r="AQ63">
        <v>7.32573690584577E-2</v>
      </c>
      <c r="AR63" s="53">
        <v>1.7098211283888001E-6</v>
      </c>
      <c r="AS63" s="53">
        <v>-4.5211230592645498E-17</v>
      </c>
      <c r="AT63" s="53">
        <v>1.8735013540549499E-16</v>
      </c>
      <c r="AU63" s="53">
        <v>-3.54430348866721E-20</v>
      </c>
      <c r="AV63">
        <v>0.20039305783583899</v>
      </c>
      <c r="AW63">
        <v>99.301999833302602</v>
      </c>
      <c r="AX63">
        <v>500</v>
      </c>
      <c r="AY63">
        <v>95</v>
      </c>
      <c r="AZ63">
        <v>0.92357542033771201</v>
      </c>
      <c r="BA63">
        <v>0.1</v>
      </c>
      <c r="BB63">
        <v>46.088194387167597</v>
      </c>
      <c r="BC63" t="s">
        <v>251</v>
      </c>
      <c r="BD63">
        <v>1</v>
      </c>
      <c r="BE63">
        <v>1.8775014999999999E-2</v>
      </c>
      <c r="BF63">
        <v>0.10492961100000001</v>
      </c>
      <c r="BG63">
        <v>1.814625E-3</v>
      </c>
      <c r="BH63">
        <v>285.1951444</v>
      </c>
      <c r="BI63">
        <v>2169.8944889999998</v>
      </c>
      <c r="BJ63">
        <v>866.49409060000005</v>
      </c>
      <c r="BK63">
        <f t="shared" si="68"/>
        <v>100</v>
      </c>
      <c r="BL63">
        <f t="shared" si="69"/>
        <v>10.969051996096999</v>
      </c>
      <c r="BM63">
        <f t="shared" si="70"/>
        <v>92.357542033771196</v>
      </c>
      <c r="BN63">
        <f t="shared" si="71"/>
        <v>20.039305783583899</v>
      </c>
      <c r="BO63">
        <f t="shared" si="72"/>
        <v>3.9488587185949195</v>
      </c>
      <c r="BP63">
        <f t="shared" si="73"/>
        <v>0.26325724790632798</v>
      </c>
      <c r="BQ63">
        <f t="shared" si="74"/>
        <v>1.3162862395316399</v>
      </c>
      <c r="BR63">
        <f t="shared" si="75"/>
        <v>0.65814311976581996</v>
      </c>
      <c r="BS63">
        <f t="shared" si="76"/>
        <v>1.0969051996096999</v>
      </c>
      <c r="BT63">
        <f t="shared" si="77"/>
        <v>6.5814311976581994</v>
      </c>
      <c r="BU63">
        <f t="shared" si="78"/>
        <v>17.550483193755198</v>
      </c>
      <c r="BV63">
        <f t="shared" si="31"/>
        <v>5.4845259980484995</v>
      </c>
      <c r="BW63">
        <f t="shared" si="79"/>
        <v>86.873016035722699</v>
      </c>
      <c r="BX63">
        <f t="shared" si="80"/>
        <v>103.32659402986819</v>
      </c>
      <c r="BY63">
        <f t="shared" si="33"/>
        <v>92.357542033771196</v>
      </c>
      <c r="BZ63">
        <f t="shared" si="34"/>
        <v>1.5356672794535797</v>
      </c>
      <c r="CA63">
        <f>7963.6*(BT63/1000)^0.6*1.7*('CAPEX+OPEX'!$G$116/'CAPEX+OPEX'!$G$115)</f>
        <v>783.85031135713814</v>
      </c>
      <c r="CB63">
        <f>7963.6*(BU63/1000)^0.6*1.7*('CAPEX+OPEX'!$G$116/'CAPEX+OPEX'!$G$115)</f>
        <v>1411.9339291005786</v>
      </c>
      <c r="CC63">
        <f>7963.6*(BX63/1000)^0.6*1.7*('CAPEX+OPEX'!$G$116/'CAPEX+OPEX'!$G$115)</f>
        <v>4090.4227597755034</v>
      </c>
      <c r="CD63">
        <f>7963.6*(BY63/1000)^0.6*1.7*('CAPEX+OPEX'!$G$116/'CAPEX+OPEX'!$G$115)</f>
        <v>3824.0569166417245</v>
      </c>
      <c r="CE63">
        <v>300</v>
      </c>
      <c r="CF63">
        <v>30</v>
      </c>
      <c r="CG63">
        <f t="shared" si="81"/>
        <v>7.2141500820902031</v>
      </c>
      <c r="CH63">
        <f t="shared" si="82"/>
        <v>0.48094333880601359</v>
      </c>
      <c r="CI63">
        <f t="shared" si="83"/>
        <v>2.4047166940300677</v>
      </c>
      <c r="CJ63">
        <f t="shared" si="84"/>
        <v>1.2023583470150339</v>
      </c>
      <c r="CK63">
        <f t="shared" si="85"/>
        <v>2.0039305783583901</v>
      </c>
      <c r="CL63">
        <f t="shared" si="86"/>
        <v>12.023583470150339</v>
      </c>
      <c r="CM63">
        <f t="shared" si="87"/>
        <v>32.062889253734241</v>
      </c>
      <c r="CN63">
        <f t="shared" si="36"/>
        <v>10.019652891791949</v>
      </c>
      <c r="CO63">
        <v>0</v>
      </c>
      <c r="CP63">
        <f t="shared" si="88"/>
        <v>30.058958675375848</v>
      </c>
      <c r="CQ63">
        <f t="shared" si="38"/>
        <v>10.019652891791949</v>
      </c>
      <c r="CR63">
        <f t="shared" si="39"/>
        <v>2.8055028097017458</v>
      </c>
      <c r="CS63">
        <f>7963.6*(CL63/1000)^0.6*1.7*('CAPEX+OPEX'!$G$116/'CAPEX+OPEX'!$G$115)</f>
        <v>1125.2817655661538</v>
      </c>
      <c r="CT63">
        <f>7963.6*(CM63/1000)^0.6*1.7*('CAPEX+OPEX'!$G$116/'CAPEX+OPEX'!$G$115)</f>
        <v>2026.9475964743935</v>
      </c>
      <c r="CU63">
        <f>7963.6*(CP63/1000)^0.6*1.7*('CAPEX+OPEX'!$G$116/'CAPEX+OPEX'!$G$115)</f>
        <v>1949.9581322467457</v>
      </c>
      <c r="CV63">
        <f>7963.6*(CQ63/1000)^0.6*1.7*('CAPEX+OPEX'!$G$116/'CAPEX+OPEX'!$G$115)</f>
        <v>1008.6779656157913</v>
      </c>
      <c r="CW63">
        <v>300</v>
      </c>
      <c r="CX63">
        <f t="shared" si="89"/>
        <v>30</v>
      </c>
      <c r="CY63">
        <f t="shared" si="90"/>
        <v>10</v>
      </c>
      <c r="CZ63">
        <f t="shared" si="91"/>
        <v>9.2357542033771196</v>
      </c>
      <c r="DA63">
        <f t="shared" si="92"/>
        <v>3960</v>
      </c>
      <c r="DB63">
        <f t="shared" si="93"/>
        <v>3960</v>
      </c>
      <c r="DC63">
        <f>CF63*'Reagent cost'!$C$18/1000*'Reagent cost'!$H$18</f>
        <v>4784.413580611521</v>
      </c>
      <c r="DD63">
        <f>CX63*'Ligand cost'!$B$56*'Ligand cost'!$J$56</f>
        <v>30543.831958072875</v>
      </c>
      <c r="DE63">
        <f t="shared" si="94"/>
        <v>39625.826528698344</v>
      </c>
      <c r="DF63">
        <f t="shared" si="95"/>
        <v>4586243.4239371875</v>
      </c>
      <c r="DG63">
        <f t="shared" si="96"/>
        <v>11794834.586807497</v>
      </c>
      <c r="DH63">
        <f t="shared" si="97"/>
        <v>2275209.1661185985</v>
      </c>
      <c r="DI63">
        <f t="shared" si="98"/>
        <v>14083914.336508472</v>
      </c>
      <c r="DJ63">
        <f t="shared" si="99"/>
        <v>1662824.8986326549</v>
      </c>
      <c r="DK63" s="55">
        <f>DF63*($BK$2/10000)^0.72*0.6*((A63+1)/3)^0.6*('CAPEX+OPEX'!$G$116/'CAPEX+OPEX'!$G$114)</f>
        <v>480193.52041347441</v>
      </c>
      <c r="DL63" s="55">
        <f>DG63*($BK$2/10000)^0.72*0.6*((A63+1)/3)^0.6*('CAPEX+OPEX'!$G$116/'CAPEX+OPEX'!$G$114)</f>
        <v>1234954.7591330099</v>
      </c>
      <c r="DM63" s="55">
        <f>DH63*($BK$2/10000)^0.72*0.6*((A63+1)/3)^0.6*('CAPEX+OPEX'!$G$116/'CAPEX+OPEX'!$G$114)</f>
        <v>238221.26262490739</v>
      </c>
      <c r="DN63" s="55">
        <f>DI63*($BK$2/10000)^0.72*0.6*((A63+1)/3)^0.6*('CAPEX+OPEX'!$G$116/'CAPEX+OPEX'!$G$114)</f>
        <v>1474628.3136981681</v>
      </c>
      <c r="DO63" s="55">
        <f>DJ63*($BK$2/10000)^0.72*0.6*((A63+1)/3)^0.6*('CAPEX+OPEX'!$G$116/'CAPEX+OPEX'!$G$114)</f>
        <v>174102.78262554979</v>
      </c>
      <c r="DP63">
        <f t="shared" si="100"/>
        <v>3602100.6384951095</v>
      </c>
      <c r="DQ63">
        <f>DF63*(BM63/10000)^0.72*0.6*((AF63+1)/3)^0.6*('CAPEX+OPEX'!$G$116/'CAPEX+OPEX'!$G$114)</f>
        <v>333769.88528085913</v>
      </c>
      <c r="DR63">
        <f>DG63*(BM63/10000)^0.72*0.6*((AF63+1)/3)^0.6*('CAPEX+OPEX'!$G$116/'CAPEX+OPEX'!$G$114)</f>
        <v>858384.56947098242</v>
      </c>
      <c r="DS63">
        <f>DH63*(BM63/10000)^0.72*0.6*((AF63+1)/3)^0.6*('CAPEX+OPEX'!$G$116/'CAPEX+OPEX'!$G$114)</f>
        <v>165581.33360340452</v>
      </c>
      <c r="DT63">
        <f>DI63*(BM63/10000)^0.72*0.6*((AF63+1)/3)^0.6*('CAPEX+OPEX'!$G$116/'CAPEX+OPEX'!$G$114)</f>
        <v>1024975.3530017295</v>
      </c>
      <c r="DU63">
        <f>DJ63*(BM63/10000)^0.72*0.6*((AF63+1)/3)^0.6*('CAPEX+OPEX'!$G$116/'CAPEX+OPEX'!$G$114)</f>
        <v>121014.26469472513</v>
      </c>
      <c r="DV63">
        <f t="shared" si="101"/>
        <v>2503725.4060517005</v>
      </c>
      <c r="DW63">
        <f t="shared" si="102"/>
        <v>6174215.825699592</v>
      </c>
      <c r="DX63">
        <f t="shared" si="103"/>
        <v>411614.38837997278</v>
      </c>
      <c r="DY63">
        <f>BO63*'Reagent cost'!$C$35*60*7200</f>
        <v>1022822.2400316087</v>
      </c>
      <c r="DZ63">
        <f>BP63*'Reagent cost'!$C$34*60*7200</f>
        <v>243377.19781575311</v>
      </c>
      <c r="EA63">
        <f>BQ63*'Reagent cost'!$C$14*'Reagent cost'!$C$36/1000*60*7200</f>
        <v>4034177.2419786179</v>
      </c>
      <c r="EB63">
        <f t="shared" si="104"/>
        <v>39.6</v>
      </c>
      <c r="EC63">
        <f t="shared" si="105"/>
        <v>95.688271612230423</v>
      </c>
      <c r="ED63">
        <f>0.1*BK63*60*7200*'Reagent cost'!$H$17*'Reagent cost'!$C$17/1000</f>
        <v>504921.59999999998</v>
      </c>
      <c r="EE63">
        <f>BV63*0.1*'Reagent cost'!$C$16/1000*'Reagent cost'!$H$16*60*7200</f>
        <v>1000775.0604883848</v>
      </c>
      <c r="EF63">
        <f>BZ63/1000*'Reagent cost'!$H$19*'Reagent cost'!$C$19*60*7200</f>
        <v>84086.997553760215</v>
      </c>
      <c r="EG63">
        <f>0.33*('Costing 100 Lmin Feed Orig'!BO63*'Reagent cost'!$C$13+'Costing 100 Lmin Feed Orig'!BP63*'Reagent cost'!$C$12+'Costing 100 Lmin Feed Orig'!BQ63*'Reagent cost'!$C$14+'Costing 100 Lmin Feed Orig'!BV63*0.1*'Reagent cost'!$C$16+'Costing 100 Lmin Feed Orig'!BZ63*'Reagent cost'!$C$19)/1000*60*7200</f>
        <v>172039.86404264971</v>
      </c>
      <c r="EH63">
        <f>CG63*'Reagent cost'!$C$35*60*7200</f>
        <v>1868588.793045813</v>
      </c>
      <c r="EI63">
        <f>CH63*'Reagent cost'!$C$34*60*7200</f>
        <v>444624.57553460717</v>
      </c>
      <c r="EJ63">
        <f>CI63*'Reagent cost'!$C$14*'Reagent cost'!$C$36/1000*60*7200</f>
        <v>7370018.0622673528</v>
      </c>
      <c r="EK63">
        <f t="shared" si="106"/>
        <v>39.6</v>
      </c>
      <c r="EL63">
        <f t="shared" si="107"/>
        <v>610.87663916145755</v>
      </c>
      <c r="EM63">
        <f>0.1*BM63*60*7200*'Reagent cost'!$H$17*'Reagent cost'!$C$17/1000</f>
        <v>466333.17895759002</v>
      </c>
      <c r="EN63">
        <f>CN63*0.1*'Reagent cost'!$C$16/1000*'Reagent cost'!$H$16*60*7200</f>
        <v>1828310.9119044486</v>
      </c>
      <c r="EO63">
        <f>CR63/1000*'Reagent cost'!$H$19*'Reagent cost'!$C$19*60*7200</f>
        <v>153618.11184802878</v>
      </c>
      <c r="EP63">
        <f>0.33*(CG63*'Reagent cost'!$C$13+CH63*'Reagent cost'!$C$12+CI63*'Reagent cost'!$C$14+CN63*0.1*'Reagent cost'!$C$16+CR63*'Reagent cost'!$C$19)/1000*60*7200</f>
        <v>314298.76016118506</v>
      </c>
      <c r="EQ63">
        <f t="shared" si="108"/>
        <v>22826927.683604084</v>
      </c>
      <c r="ER63">
        <f t="shared" si="109"/>
        <v>486338.6242038348</v>
      </c>
      <c r="ES63">
        <f t="shared" si="110"/>
        <v>44032.441905260595</v>
      </c>
      <c r="ET63">
        <f t="shared" si="111"/>
        <v>41526.098972294596</v>
      </c>
      <c r="EU63">
        <f t="shared" si="112"/>
        <v>17581.614484237631</v>
      </c>
      <c r="EV63">
        <f t="shared" si="113"/>
        <v>9313.4716969742931</v>
      </c>
      <c r="EW63">
        <f t="shared" si="114"/>
        <v>9376.8610582600722</v>
      </c>
      <c r="EX63">
        <f t="shared" si="115"/>
        <v>121830.48811702718</v>
      </c>
      <c r="EY63">
        <f t="shared" si="56"/>
        <v>30856.554830271187</v>
      </c>
      <c r="EZ63">
        <f t="shared" si="57"/>
        <v>23276.449242449344</v>
      </c>
      <c r="FA63">
        <f t="shared" si="58"/>
        <v>9854.9482679725043</v>
      </c>
      <c r="FB63">
        <f t="shared" si="59"/>
        <v>5223.3471249318445</v>
      </c>
      <c r="FC63">
        <f t="shared" si="60"/>
        <v>5255.9724095853353</v>
      </c>
      <c r="FD63">
        <f t="shared" si="116"/>
        <v>74467.271875210208</v>
      </c>
      <c r="FE63">
        <f t="shared" si="117"/>
        <v>23509564.067800157</v>
      </c>
      <c r="FF63">
        <f t="shared" si="118"/>
        <v>23921178.456180129</v>
      </c>
      <c r="FG63">
        <f>BM63*AM63*195.08/1000*'PGM market prices'!$C$2*60*7200</f>
        <v>422797928.11338598</v>
      </c>
      <c r="FH63">
        <f>BN63*AQ63*BA63*106.42/1000*'PGM market prices'!$C$3*60*7200</f>
        <v>222243192.77492467</v>
      </c>
      <c r="FI63">
        <f>BK63*J63*102.91/1000*'PGM market prices'!$C$4*60*7200</f>
        <v>247586899.68097383</v>
      </c>
      <c r="FJ63">
        <f t="shared" si="119"/>
        <v>892628020.56928444</v>
      </c>
      <c r="FK63">
        <f t="shared" si="120"/>
        <v>642843063.16369724</v>
      </c>
      <c r="FL63">
        <f t="shared" si="64"/>
        <v>0.55373098278194743</v>
      </c>
      <c r="FM63">
        <f t="shared" si="65"/>
        <v>1908.4035473791373</v>
      </c>
      <c r="FN63">
        <f t="shared" si="66"/>
        <v>3544.3906300004746</v>
      </c>
      <c r="FO63">
        <f t="shared" si="67"/>
        <v>15936.650094657545</v>
      </c>
    </row>
    <row r="64" spans="1:171">
      <c r="A64">
        <v>9</v>
      </c>
      <c r="B64">
        <v>1.54143585092054E-3</v>
      </c>
      <c r="C64">
        <v>1.54143585092054E-3</v>
      </c>
      <c r="D64">
        <v>3.4254130020456501E-4</v>
      </c>
      <c r="E64">
        <v>0</v>
      </c>
      <c r="F64">
        <v>0</v>
      </c>
      <c r="G64">
        <v>0</v>
      </c>
      <c r="H64" s="53">
        <v>1.7768596981705501E-5</v>
      </c>
      <c r="I64" s="53">
        <v>1.5331283704498101E-9</v>
      </c>
      <c r="J64">
        <v>3.3763247208936601E-4</v>
      </c>
      <c r="K64">
        <v>0.13890601070001499</v>
      </c>
      <c r="L64">
        <v>0.14052575540227799</v>
      </c>
      <c r="M64">
        <v>4.4751616793740602E-4</v>
      </c>
      <c r="N64" s="53">
        <v>-5.0090140368830299E-17</v>
      </c>
      <c r="O64" s="53">
        <v>-6.2343793322261397E-15</v>
      </c>
      <c r="P64" s="53">
        <v>1.7787691892340301E-20</v>
      </c>
      <c r="Q64">
        <v>0.10969051996097</v>
      </c>
      <c r="R64">
        <v>98.566938318892298</v>
      </c>
      <c r="S64">
        <v>500</v>
      </c>
      <c r="T64">
        <v>95</v>
      </c>
      <c r="U64">
        <v>1</v>
      </c>
      <c r="V64">
        <v>0.1</v>
      </c>
      <c r="W64">
        <v>91.165581160141301</v>
      </c>
      <c r="X64" t="s">
        <v>323</v>
      </c>
      <c r="Y64">
        <v>1</v>
      </c>
      <c r="Z64">
        <v>0.28318429382522198</v>
      </c>
      <c r="AA64">
        <v>0.56945642916197003</v>
      </c>
      <c r="AB64">
        <v>3.7698628972227502E-3</v>
      </c>
      <c r="AC64">
        <v>1822.2107908876901</v>
      </c>
      <c r="AD64">
        <v>2662.6059073104898</v>
      </c>
      <c r="AE64">
        <v>2401.5030938442701</v>
      </c>
      <c r="AF64">
        <v>6</v>
      </c>
      <c r="AG64">
        <v>1.6497485970141401E-3</v>
      </c>
      <c r="AH64">
        <v>1.6689858606617799E-3</v>
      </c>
      <c r="AI64" s="53">
        <v>5.3150268046377499E-6</v>
      </c>
      <c r="AJ64">
        <v>0</v>
      </c>
      <c r="AK64">
        <v>0</v>
      </c>
      <c r="AL64">
        <v>0</v>
      </c>
      <c r="AM64">
        <v>1.6121184009261799E-3</v>
      </c>
      <c r="AN64" s="53">
        <v>7.9568883775184404E-5</v>
      </c>
      <c r="AO64" s="53">
        <v>5.27945332060777E-6</v>
      </c>
      <c r="AP64">
        <v>1.7562244702796299E-3</v>
      </c>
      <c r="AQ64">
        <v>7.4179071024813498E-2</v>
      </c>
      <c r="AR64" s="53">
        <v>1.6602364494864499E-6</v>
      </c>
      <c r="AS64" s="53">
        <v>-2.22939071717331E-18</v>
      </c>
      <c r="AT64" s="53">
        <v>-1.51137782844479E-16</v>
      </c>
      <c r="AU64" s="53">
        <v>-1.53524721689841E-21</v>
      </c>
      <c r="AV64">
        <v>0.19789226694805201</v>
      </c>
      <c r="AW64">
        <v>99.330699818880703</v>
      </c>
      <c r="AX64">
        <v>500</v>
      </c>
      <c r="AY64">
        <v>95</v>
      </c>
      <c r="AZ64">
        <v>0.92357542033771201</v>
      </c>
      <c r="BA64">
        <v>0.1</v>
      </c>
      <c r="BB64">
        <v>46.670617027200798</v>
      </c>
      <c r="BC64" t="s">
        <v>251</v>
      </c>
      <c r="BD64">
        <v>1</v>
      </c>
      <c r="BE64">
        <v>1.8775014999999999E-2</v>
      </c>
      <c r="BF64">
        <v>0.10492961100000001</v>
      </c>
      <c r="BG64">
        <v>1.814625E-3</v>
      </c>
      <c r="BH64">
        <v>285.1951444</v>
      </c>
      <c r="BI64">
        <v>2169.8944889999998</v>
      </c>
      <c r="BJ64">
        <v>866.49409060000005</v>
      </c>
      <c r="BK64">
        <f t="shared" si="68"/>
        <v>100</v>
      </c>
      <c r="BL64">
        <f t="shared" si="69"/>
        <v>10.969051996096999</v>
      </c>
      <c r="BM64">
        <f t="shared" si="70"/>
        <v>92.357542033771196</v>
      </c>
      <c r="BN64">
        <f t="shared" si="71"/>
        <v>19.789226694805201</v>
      </c>
      <c r="BO64">
        <f t="shared" si="72"/>
        <v>3.9488587185949195</v>
      </c>
      <c r="BP64">
        <f t="shared" si="73"/>
        <v>0.26325724790632798</v>
      </c>
      <c r="BQ64">
        <f t="shared" si="74"/>
        <v>1.3162862395316399</v>
      </c>
      <c r="BR64">
        <f t="shared" si="75"/>
        <v>0.65814311976581996</v>
      </c>
      <c r="BS64">
        <f t="shared" si="76"/>
        <v>1.0969051996096999</v>
      </c>
      <c r="BT64">
        <f t="shared" si="77"/>
        <v>6.5814311976581994</v>
      </c>
      <c r="BU64">
        <f t="shared" si="78"/>
        <v>17.550483193755198</v>
      </c>
      <c r="BV64">
        <f t="shared" si="31"/>
        <v>5.4845259980484995</v>
      </c>
      <c r="BW64">
        <f t="shared" si="79"/>
        <v>86.873016035722699</v>
      </c>
      <c r="BX64">
        <f t="shared" si="80"/>
        <v>103.32659402986819</v>
      </c>
      <c r="BY64">
        <f t="shared" si="33"/>
        <v>92.357542033771196</v>
      </c>
      <c r="BZ64">
        <f t="shared" si="34"/>
        <v>1.5356672794535797</v>
      </c>
      <c r="CA64">
        <f>7963.6*(BT64/1000)^0.6*1.7*('CAPEX+OPEX'!$G$116/'CAPEX+OPEX'!$G$115)</f>
        <v>783.85031135713814</v>
      </c>
      <c r="CB64">
        <f>7963.6*(BU64/1000)^0.6*1.7*('CAPEX+OPEX'!$G$116/'CAPEX+OPEX'!$G$115)</f>
        <v>1411.9339291005786</v>
      </c>
      <c r="CC64">
        <f>7963.6*(BX64/1000)^0.6*1.7*('CAPEX+OPEX'!$G$116/'CAPEX+OPEX'!$G$115)</f>
        <v>4090.4227597755034</v>
      </c>
      <c r="CD64">
        <f>7963.6*(BY64/1000)^0.6*1.7*('CAPEX+OPEX'!$G$116/'CAPEX+OPEX'!$G$115)</f>
        <v>3824.0569166417245</v>
      </c>
      <c r="CE64">
        <v>300</v>
      </c>
      <c r="CF64">
        <v>30</v>
      </c>
      <c r="CG64">
        <f t="shared" si="81"/>
        <v>7.1241216101298726</v>
      </c>
      <c r="CH64">
        <f t="shared" si="82"/>
        <v>0.47494144067532484</v>
      </c>
      <c r="CI64">
        <f t="shared" si="83"/>
        <v>2.3747072033766239</v>
      </c>
      <c r="CJ64">
        <f t="shared" si="84"/>
        <v>1.1873536016883119</v>
      </c>
      <c r="CK64">
        <f t="shared" si="85"/>
        <v>1.9789226694805202</v>
      </c>
      <c r="CL64">
        <f t="shared" si="86"/>
        <v>11.87353601688312</v>
      </c>
      <c r="CM64">
        <f t="shared" si="87"/>
        <v>31.662762711688323</v>
      </c>
      <c r="CN64">
        <f t="shared" si="36"/>
        <v>9.8946133474026006</v>
      </c>
      <c r="CO64">
        <v>0</v>
      </c>
      <c r="CP64">
        <f t="shared" si="88"/>
        <v>29.683840042207802</v>
      </c>
      <c r="CQ64">
        <f t="shared" si="38"/>
        <v>9.8946133474026006</v>
      </c>
      <c r="CR64">
        <f t="shared" si="39"/>
        <v>2.770491737272728</v>
      </c>
      <c r="CS64">
        <f>7963.6*(CL64/1000)^0.6*1.7*('CAPEX+OPEX'!$G$116/'CAPEX+OPEX'!$G$115)</f>
        <v>1116.8348883533147</v>
      </c>
      <c r="CT64">
        <f>7963.6*(CM64/1000)^0.6*1.7*('CAPEX+OPEX'!$G$116/'CAPEX+OPEX'!$G$115)</f>
        <v>2011.7324050546119</v>
      </c>
      <c r="CU64">
        <f>7963.6*(CP64/1000)^0.6*1.7*('CAPEX+OPEX'!$G$116/'CAPEX+OPEX'!$G$115)</f>
        <v>1935.3208587946351</v>
      </c>
      <c r="CV64">
        <f>7963.6*(CQ64/1000)^0.6*1.7*('CAPEX+OPEX'!$G$116/'CAPEX+OPEX'!$G$115)</f>
        <v>1001.1063696088419</v>
      </c>
      <c r="CW64">
        <v>300</v>
      </c>
      <c r="CX64">
        <f t="shared" si="89"/>
        <v>30</v>
      </c>
      <c r="CY64">
        <f t="shared" si="90"/>
        <v>10</v>
      </c>
      <c r="CZ64">
        <f t="shared" si="91"/>
        <v>9.2357542033771196</v>
      </c>
      <c r="DA64">
        <f t="shared" si="92"/>
        <v>3960</v>
      </c>
      <c r="DB64">
        <f t="shared" si="93"/>
        <v>3960</v>
      </c>
      <c r="DC64">
        <f>CF64*'Reagent cost'!$C$18/1000*'Reagent cost'!$H$18</f>
        <v>4784.413580611521</v>
      </c>
      <c r="DD64">
        <f>CX64*'Ligand cost'!$B$56*'Ligand cost'!$J$56</f>
        <v>30543.831958072875</v>
      </c>
      <c r="DE64">
        <f t="shared" si="94"/>
        <v>39625.826528698344</v>
      </c>
      <c r="DF64">
        <f t="shared" si="95"/>
        <v>4586243.4239371875</v>
      </c>
      <c r="DG64">
        <f t="shared" si="96"/>
        <v>11794834.586807497</v>
      </c>
      <c r="DH64">
        <f t="shared" si="97"/>
        <v>2275209.1661185985</v>
      </c>
      <c r="DI64">
        <f t="shared" si="98"/>
        <v>14083914.336508472</v>
      </c>
      <c r="DJ64">
        <f t="shared" si="99"/>
        <v>1662824.8986326549</v>
      </c>
      <c r="DK64" s="55">
        <f>DF64*($BK$2/10000)^0.72*0.6*((A64+1)/3)^0.6*('CAPEX+OPEX'!$G$116/'CAPEX+OPEX'!$G$114)</f>
        <v>480193.52041347441</v>
      </c>
      <c r="DL64" s="55">
        <f>DG64*($BK$2/10000)^0.72*0.6*((A64+1)/3)^0.6*('CAPEX+OPEX'!$G$116/'CAPEX+OPEX'!$G$114)</f>
        <v>1234954.7591330099</v>
      </c>
      <c r="DM64" s="55">
        <f>DH64*($BK$2/10000)^0.72*0.6*((A64+1)/3)^0.6*('CAPEX+OPEX'!$G$116/'CAPEX+OPEX'!$G$114)</f>
        <v>238221.26262490739</v>
      </c>
      <c r="DN64" s="55">
        <f>DI64*($BK$2/10000)^0.72*0.6*((A64+1)/3)^0.6*('CAPEX+OPEX'!$G$116/'CAPEX+OPEX'!$G$114)</f>
        <v>1474628.3136981681</v>
      </c>
      <c r="DO64" s="55">
        <f>DJ64*($BK$2/10000)^0.72*0.6*((A64+1)/3)^0.6*('CAPEX+OPEX'!$G$116/'CAPEX+OPEX'!$G$114)</f>
        <v>174102.78262554979</v>
      </c>
      <c r="DP64">
        <f t="shared" si="100"/>
        <v>3602100.6384951095</v>
      </c>
      <c r="DQ64">
        <f>DF64*(BM64/10000)^0.72*0.6*((AF64+1)/3)^0.6*('CAPEX+OPEX'!$G$116/'CAPEX+OPEX'!$G$114)</f>
        <v>366113.0616103739</v>
      </c>
      <c r="DR64">
        <f>DG64*(BM64/10000)^0.72*0.6*((AF64+1)/3)^0.6*('CAPEX+OPEX'!$G$116/'CAPEX+OPEX'!$G$114)</f>
        <v>941564.283139796</v>
      </c>
      <c r="DS64">
        <f>DH64*(BM64/10000)^0.72*0.6*((AF64+1)/3)^0.6*('CAPEX+OPEX'!$G$116/'CAPEX+OPEX'!$G$114)</f>
        <v>181626.59863714079</v>
      </c>
      <c r="DT64">
        <f>DI64*(BM64/10000)^0.72*0.6*((AF64+1)/3)^0.6*('CAPEX+OPEX'!$G$116/'CAPEX+OPEX'!$G$114)</f>
        <v>1124298.1500469029</v>
      </c>
      <c r="DU64">
        <f>DJ64*(BM64/10000)^0.72*0.6*((AF64+1)/3)^0.6*('CAPEX+OPEX'!$G$116/'CAPEX+OPEX'!$G$114)</f>
        <v>132740.86398966916</v>
      </c>
      <c r="DV64">
        <f t="shared" si="101"/>
        <v>2746342.957423883</v>
      </c>
      <c r="DW64">
        <f t="shared" si="102"/>
        <v>6416780.6254929695</v>
      </c>
      <c r="DX64">
        <f t="shared" si="103"/>
        <v>427785.37503286463</v>
      </c>
      <c r="DY64">
        <f>BO64*'Reagent cost'!$C$35*60*7200</f>
        <v>1022822.2400316087</v>
      </c>
      <c r="DZ64">
        <f>BP64*'Reagent cost'!$C$34*60*7200</f>
        <v>243377.19781575311</v>
      </c>
      <c r="EA64">
        <f>BQ64*'Reagent cost'!$C$14*'Reagent cost'!$C$36/1000*60*7200</f>
        <v>4034177.2419786179</v>
      </c>
      <c r="EB64">
        <f t="shared" si="104"/>
        <v>39.6</v>
      </c>
      <c r="EC64">
        <f t="shared" si="105"/>
        <v>95.688271612230423</v>
      </c>
      <c r="ED64">
        <f>0.1*BK64*60*7200*'Reagent cost'!$H$17*'Reagent cost'!$C$17/1000</f>
        <v>504921.59999999998</v>
      </c>
      <c r="EE64">
        <f>BV64*0.1*'Reagent cost'!$C$16/1000*'Reagent cost'!$H$16*60*7200</f>
        <v>1000775.0604883848</v>
      </c>
      <c r="EF64">
        <f>BZ64/1000*'Reagent cost'!$H$19*'Reagent cost'!$C$19*60*7200</f>
        <v>84086.997553760215</v>
      </c>
      <c r="EG64">
        <f>0.33*('Costing 100 Lmin Feed Orig'!BO64*'Reagent cost'!$C$13+'Costing 100 Lmin Feed Orig'!BP64*'Reagent cost'!$C$12+'Costing 100 Lmin Feed Orig'!BQ64*'Reagent cost'!$C$14+'Costing 100 Lmin Feed Orig'!BV64*0.1*'Reagent cost'!$C$16+'Costing 100 Lmin Feed Orig'!BZ64*'Reagent cost'!$C$19)/1000*60*7200</f>
        <v>172039.86404264971</v>
      </c>
      <c r="EH64">
        <f>CG64*'Reagent cost'!$C$35*60*7200</f>
        <v>1845269.8723350069</v>
      </c>
      <c r="EI64">
        <f>CH64*'Reagent cost'!$C$34*60*7200</f>
        <v>439075.9148225481</v>
      </c>
      <c r="EJ64">
        <f>CI64*'Reagent cost'!$C$14*'Reagent cost'!$C$36/1000*60*7200</f>
        <v>7278044.4469535835</v>
      </c>
      <c r="EK64">
        <f t="shared" si="106"/>
        <v>39.6</v>
      </c>
      <c r="EL64">
        <f t="shared" si="107"/>
        <v>610.87663916145755</v>
      </c>
      <c r="EM64">
        <f>0.1*BM64*60*7200*'Reagent cost'!$H$17*'Reagent cost'!$C$17/1000</f>
        <v>466333.17895759002</v>
      </c>
      <c r="EN64">
        <f>CN64*0.1*'Reagent cost'!$C$16/1000*'Reagent cost'!$H$16*60*7200</f>
        <v>1805494.6361416541</v>
      </c>
      <c r="EO64">
        <f>CR64/1000*'Reagent cost'!$H$19*'Reagent cost'!$C$19*60*7200</f>
        <v>151701.04556610552</v>
      </c>
      <c r="EP64">
        <f>0.33*(CG64*'Reagent cost'!$C$13+CH64*'Reagent cost'!$C$12+CI64*'Reagent cost'!$C$14+CN64*0.1*'Reagent cost'!$C$16+CR64*'Reagent cost'!$C$19)/1000*60*7200</f>
        <v>310376.49117670895</v>
      </c>
      <c r="EQ64">
        <f t="shared" si="108"/>
        <v>22652238.237066463</v>
      </c>
      <c r="ER64">
        <f t="shared" si="109"/>
        <v>482416.35521935869</v>
      </c>
      <c r="ES64">
        <f t="shared" si="110"/>
        <v>44032.441905260595</v>
      </c>
      <c r="ET64">
        <f t="shared" si="111"/>
        <v>41526.098972294596</v>
      </c>
      <c r="EU64">
        <f t="shared" si="112"/>
        <v>17581.614484237631</v>
      </c>
      <c r="EV64">
        <f t="shared" si="113"/>
        <v>9313.4716969742931</v>
      </c>
      <c r="EW64">
        <f t="shared" si="114"/>
        <v>9376.8610582600722</v>
      </c>
      <c r="EX64">
        <f t="shared" si="115"/>
        <v>121830.48811702718</v>
      </c>
      <c r="EY64">
        <f t="shared" si="56"/>
        <v>33427.93439946045</v>
      </c>
      <c r="EZ64">
        <f t="shared" si="57"/>
        <v>27155.857449524232</v>
      </c>
      <c r="FA64">
        <f t="shared" si="58"/>
        <v>11497.439645967921</v>
      </c>
      <c r="FB64">
        <f t="shared" si="59"/>
        <v>6093.9049790871513</v>
      </c>
      <c r="FC64">
        <f t="shared" si="60"/>
        <v>6131.9678111828907</v>
      </c>
      <c r="FD64">
        <f t="shared" si="116"/>
        <v>84307.104285222653</v>
      </c>
      <c r="FE64">
        <f t="shared" si="117"/>
        <v>23340792.184688073</v>
      </c>
      <c r="FF64">
        <f t="shared" si="118"/>
        <v>23768577.559720937</v>
      </c>
      <c r="FG64">
        <f>BM64*AM64*195.08/1000*'PGM market prices'!$C$2*60*7200</f>
        <v>423239594.56355256</v>
      </c>
      <c r="FH64">
        <f>BN64*AQ64*BA64*106.42/1000*'PGM market prices'!$C$3*60*7200</f>
        <v>222231026.09934777</v>
      </c>
      <c r="FI64">
        <f>BK64*J64*102.91/1000*'PGM market prices'!$C$4*60*7200</f>
        <v>247586899.68097383</v>
      </c>
      <c r="FJ64">
        <f t="shared" si="119"/>
        <v>893057520.34387422</v>
      </c>
      <c r="FK64">
        <f t="shared" si="120"/>
        <v>643273817.66027343</v>
      </c>
      <c r="FL64">
        <f t="shared" si="64"/>
        <v>0.5501985546231698</v>
      </c>
      <c r="FM64">
        <f t="shared" si="65"/>
        <v>1894.2504403426901</v>
      </c>
      <c r="FN64">
        <f t="shared" si="66"/>
        <v>3521.9726313490837</v>
      </c>
      <c r="FO64">
        <f t="shared" si="67"/>
        <v>15834.98507445563</v>
      </c>
    </row>
    <row r="65" spans="1:171">
      <c r="A65" s="8">
        <v>9</v>
      </c>
      <c r="B65" s="8">
        <v>1.54143585092054E-3</v>
      </c>
      <c r="C65" s="8">
        <v>1.54143585092054E-3</v>
      </c>
      <c r="D65" s="8">
        <v>3.4254130020456501E-4</v>
      </c>
      <c r="E65" s="8">
        <v>0</v>
      </c>
      <c r="F65" s="8">
        <v>0</v>
      </c>
      <c r="G65" s="8">
        <v>0</v>
      </c>
      <c r="H65" s="58">
        <v>1.7768596981705501E-5</v>
      </c>
      <c r="I65" s="58">
        <v>1.5331283704498101E-9</v>
      </c>
      <c r="J65" s="8">
        <v>3.3763247208936601E-4</v>
      </c>
      <c r="K65" s="8">
        <v>0.13890601070001499</v>
      </c>
      <c r="L65" s="8">
        <v>0.14052575540227799</v>
      </c>
      <c r="M65" s="8">
        <v>4.4751616793740602E-4</v>
      </c>
      <c r="N65" s="58">
        <v>-5.0090140368830299E-17</v>
      </c>
      <c r="O65" s="58">
        <v>-6.2343793322261397E-15</v>
      </c>
      <c r="P65" s="58">
        <v>1.7787691892340301E-20</v>
      </c>
      <c r="Q65" s="8">
        <v>0.10969051996097</v>
      </c>
      <c r="R65" s="8">
        <v>98.566938318892298</v>
      </c>
      <c r="S65" s="8">
        <v>500</v>
      </c>
      <c r="T65" s="8">
        <v>95</v>
      </c>
      <c r="U65" s="8">
        <v>1</v>
      </c>
      <c r="V65" s="8">
        <v>0.1</v>
      </c>
      <c r="W65" s="8">
        <v>91.165581160141301</v>
      </c>
      <c r="X65" s="8" t="s">
        <v>323</v>
      </c>
      <c r="Y65" s="8">
        <v>1</v>
      </c>
      <c r="Z65" s="8">
        <v>0.28318429382522198</v>
      </c>
      <c r="AA65" s="8">
        <v>0.56945642916197003</v>
      </c>
      <c r="AB65" s="8">
        <v>3.7698628972227502E-3</v>
      </c>
      <c r="AC65" s="8">
        <v>1822.2107908876901</v>
      </c>
      <c r="AD65" s="8">
        <v>2662.6059073104898</v>
      </c>
      <c r="AE65" s="8">
        <v>2401.5030938442701</v>
      </c>
      <c r="AF65" s="8">
        <v>7</v>
      </c>
      <c r="AG65" s="8">
        <v>1.6497485970141401E-3</v>
      </c>
      <c r="AH65" s="8">
        <v>1.6689858606617799E-3</v>
      </c>
      <c r="AI65" s="58">
        <v>5.3150268046377499E-6</v>
      </c>
      <c r="AJ65" s="8">
        <v>0</v>
      </c>
      <c r="AK65" s="8">
        <v>0</v>
      </c>
      <c r="AL65" s="8">
        <v>0</v>
      </c>
      <c r="AM65" s="8">
        <v>1.6126074648206801E-3</v>
      </c>
      <c r="AN65" s="58">
        <v>7.9594180322832604E-5</v>
      </c>
      <c r="AO65" s="58">
        <v>5.2798967729928503E-6</v>
      </c>
      <c r="AP65" s="8">
        <v>1.73979110112154E-3</v>
      </c>
      <c r="AQ65" s="8">
        <v>7.4451405715099297E-2</v>
      </c>
      <c r="AR65" s="58">
        <v>1.64558571126931E-6</v>
      </c>
      <c r="AS65" s="58">
        <v>-4.4791102250807402E-18</v>
      </c>
      <c r="AT65" s="58">
        <v>-1.7100036664441299E-15</v>
      </c>
      <c r="AU65" s="58">
        <v>-4.5064799771888903E-21</v>
      </c>
      <c r="AV65" s="8">
        <v>0.19716526171033899</v>
      </c>
      <c r="AW65" s="8">
        <v>99.339043189504693</v>
      </c>
      <c r="AX65" s="8">
        <v>500</v>
      </c>
      <c r="AY65" s="8">
        <v>95</v>
      </c>
      <c r="AZ65" s="8">
        <v>0.92357542033771201</v>
      </c>
      <c r="BA65" s="8">
        <v>0.1</v>
      </c>
      <c r="BB65" s="8">
        <v>46.842705065081802</v>
      </c>
      <c r="BC65" s="8" t="s">
        <v>251</v>
      </c>
      <c r="BD65" s="8">
        <v>1</v>
      </c>
      <c r="BE65" s="8">
        <v>1.8775014999999999E-2</v>
      </c>
      <c r="BF65" s="8">
        <v>0.10492961100000001</v>
      </c>
      <c r="BG65" s="8">
        <v>1.814625E-3</v>
      </c>
      <c r="BH65" s="8">
        <v>285.1951444</v>
      </c>
      <c r="BI65" s="8">
        <v>2169.8944889999998</v>
      </c>
      <c r="BJ65" s="8">
        <v>866.49409060000005</v>
      </c>
      <c r="BK65" s="8">
        <f t="shared" si="68"/>
        <v>100</v>
      </c>
      <c r="BL65" s="8">
        <f t="shared" si="69"/>
        <v>10.969051996096999</v>
      </c>
      <c r="BM65" s="8">
        <f t="shared" si="70"/>
        <v>92.357542033771196</v>
      </c>
      <c r="BN65" s="8">
        <f t="shared" si="71"/>
        <v>19.716526171033898</v>
      </c>
      <c r="BO65" s="8">
        <f t="shared" si="72"/>
        <v>3.9488587185949195</v>
      </c>
      <c r="BP65" s="8">
        <f t="shared" si="73"/>
        <v>0.26325724790632798</v>
      </c>
      <c r="BQ65" s="8">
        <f t="shared" si="74"/>
        <v>1.3162862395316399</v>
      </c>
      <c r="BR65" s="8">
        <f t="shared" si="75"/>
        <v>0.65814311976581996</v>
      </c>
      <c r="BS65" s="8">
        <f t="shared" si="76"/>
        <v>1.0969051996096999</v>
      </c>
      <c r="BT65" s="8">
        <f t="shared" si="77"/>
        <v>6.5814311976581994</v>
      </c>
      <c r="BU65" s="8">
        <f t="shared" si="78"/>
        <v>17.550483193755198</v>
      </c>
      <c r="BV65">
        <f t="shared" si="31"/>
        <v>5.4845259980484995</v>
      </c>
      <c r="BW65" s="8">
        <f t="shared" si="79"/>
        <v>86.873016035722699</v>
      </c>
      <c r="BX65" s="8">
        <f t="shared" si="80"/>
        <v>103.32659402986819</v>
      </c>
      <c r="BY65">
        <f t="shared" si="33"/>
        <v>92.357542033771196</v>
      </c>
      <c r="BZ65">
        <f t="shared" si="34"/>
        <v>1.5356672794535797</v>
      </c>
      <c r="CA65">
        <f>7963.6*(BT65/1000)^0.6*1.7*('CAPEX+OPEX'!$G$116/'CAPEX+OPEX'!$G$115)</f>
        <v>783.85031135713814</v>
      </c>
      <c r="CB65">
        <f>7963.6*(BU65/1000)^0.6*1.7*('CAPEX+OPEX'!$G$116/'CAPEX+OPEX'!$G$115)</f>
        <v>1411.9339291005786</v>
      </c>
      <c r="CC65">
        <f>7963.6*(BX65/1000)^0.6*1.7*('CAPEX+OPEX'!$G$116/'CAPEX+OPEX'!$G$115)</f>
        <v>4090.4227597755034</v>
      </c>
      <c r="CD65">
        <f>7963.6*(BY65/1000)^0.6*1.7*('CAPEX+OPEX'!$G$116/'CAPEX+OPEX'!$G$115)</f>
        <v>3824.0569166417245</v>
      </c>
      <c r="CE65" s="8">
        <v>300</v>
      </c>
      <c r="CF65" s="8">
        <v>30</v>
      </c>
      <c r="CG65" s="8">
        <f t="shared" si="81"/>
        <v>7.0979494215722028</v>
      </c>
      <c r="CH65" s="8">
        <f t="shared" si="82"/>
        <v>0.47319662810481355</v>
      </c>
      <c r="CI65" s="8">
        <f t="shared" si="83"/>
        <v>2.3659831405240679</v>
      </c>
      <c r="CJ65" s="8">
        <f t="shared" si="84"/>
        <v>1.1829915702620339</v>
      </c>
      <c r="CK65" s="8">
        <f t="shared" si="85"/>
        <v>1.9716526171033899</v>
      </c>
      <c r="CL65" s="8">
        <f t="shared" si="86"/>
        <v>11.829915702620339</v>
      </c>
      <c r="CM65" s="8">
        <f t="shared" si="87"/>
        <v>31.546441873654238</v>
      </c>
      <c r="CN65">
        <f t="shared" si="36"/>
        <v>9.8582630855169491</v>
      </c>
      <c r="CO65" s="8">
        <v>0</v>
      </c>
      <c r="CP65" s="8">
        <f t="shared" si="88"/>
        <v>29.574789256550847</v>
      </c>
      <c r="CQ65">
        <f t="shared" si="38"/>
        <v>9.8582630855169491</v>
      </c>
      <c r="CR65">
        <f t="shared" si="39"/>
        <v>2.7603136639447459</v>
      </c>
      <c r="CS65" s="8">
        <f>7963.6*(CL65/1000)^0.6*1.7*('CAPEX+OPEX'!$G$116/'CAPEX+OPEX'!$G$115)</f>
        <v>1114.3712981596193</v>
      </c>
      <c r="CT65" s="8">
        <f>7963.6*(CM65/1000)^0.6*1.7*('CAPEX+OPEX'!$G$116/'CAPEX+OPEX'!$G$115)</f>
        <v>2007.2947891839813</v>
      </c>
      <c r="CU65" s="8">
        <f>7963.6*(CP65/1000)^0.6*1.7*('CAPEX+OPEX'!$G$116/'CAPEX+OPEX'!$G$115)</f>
        <v>1931.0517966986163</v>
      </c>
      <c r="CV65" s="8">
        <f>7963.6*(CQ65/1000)^0.6*1.7*('CAPEX+OPEX'!$G$116/'CAPEX+OPEX'!$G$115)</f>
        <v>998.89806123601636</v>
      </c>
      <c r="CW65" s="8">
        <v>300</v>
      </c>
      <c r="CX65" s="8">
        <f t="shared" si="89"/>
        <v>30</v>
      </c>
      <c r="CY65" s="8">
        <f t="shared" si="90"/>
        <v>10</v>
      </c>
      <c r="CZ65" s="8">
        <f t="shared" si="91"/>
        <v>9.2357542033771196</v>
      </c>
      <c r="DA65" s="8">
        <f t="shared" si="92"/>
        <v>3960</v>
      </c>
      <c r="DB65" s="8">
        <f t="shared" si="93"/>
        <v>3960</v>
      </c>
      <c r="DC65" s="8">
        <f>CF65*'Reagent cost'!$C$18/1000*'Reagent cost'!$H$18</f>
        <v>4784.413580611521</v>
      </c>
      <c r="DD65" s="8">
        <f>CX65*'Ligand cost'!$B$56*'Ligand cost'!$J$56</f>
        <v>30543.831958072875</v>
      </c>
      <c r="DE65" s="8">
        <f t="shared" si="94"/>
        <v>39625.826528698344</v>
      </c>
      <c r="DF65" s="8">
        <f t="shared" si="95"/>
        <v>4586243.4239371875</v>
      </c>
      <c r="DG65" s="8">
        <f t="shared" si="96"/>
        <v>11794834.586807497</v>
      </c>
      <c r="DH65" s="8">
        <f t="shared" si="97"/>
        <v>2275209.1661185985</v>
      </c>
      <c r="DI65" s="8">
        <f t="shared" si="98"/>
        <v>14083914.336508472</v>
      </c>
      <c r="DJ65" s="8">
        <f t="shared" si="99"/>
        <v>1662824.8986326549</v>
      </c>
      <c r="DK65" s="59">
        <f>DF65*($BK$2/10000)^0.72*0.6*((A65+1)/3)^0.6*('CAPEX+OPEX'!$G$116/'CAPEX+OPEX'!$G$114)</f>
        <v>480193.52041347441</v>
      </c>
      <c r="DL65" s="59">
        <f>DG65*($BK$2/10000)^0.72*0.6*((A65+1)/3)^0.6*('CAPEX+OPEX'!$G$116/'CAPEX+OPEX'!$G$114)</f>
        <v>1234954.7591330099</v>
      </c>
      <c r="DM65" s="59">
        <f>DH65*($BK$2/10000)^0.72*0.6*((A65+1)/3)^0.6*('CAPEX+OPEX'!$G$116/'CAPEX+OPEX'!$G$114)</f>
        <v>238221.26262490739</v>
      </c>
      <c r="DN65" s="59">
        <f>DI65*($BK$2/10000)^0.72*0.6*((A65+1)/3)^0.6*('CAPEX+OPEX'!$G$116/'CAPEX+OPEX'!$G$114)</f>
        <v>1474628.3136981681</v>
      </c>
      <c r="DO65" s="59">
        <f>DJ65*($BK$2/10000)^0.72*0.6*((A65+1)/3)^0.6*('CAPEX+OPEX'!$G$116/'CAPEX+OPEX'!$G$114)</f>
        <v>174102.78262554979</v>
      </c>
      <c r="DP65" s="8">
        <f t="shared" si="100"/>
        <v>3602100.6384951095</v>
      </c>
      <c r="DQ65" s="8">
        <f>DF65*(BM65/10000)^0.72*0.6*((AF65+1)/3)^0.6*('CAPEX+OPEX'!$G$116/'CAPEX+OPEX'!$G$114)</f>
        <v>396652.67859779362</v>
      </c>
      <c r="DR65" s="8">
        <f>DG65*(BM65/10000)^0.72*0.6*((AF65+1)/3)^0.6*('CAPEX+OPEX'!$G$116/'CAPEX+OPEX'!$G$114)</f>
        <v>1020105.6289460419</v>
      </c>
      <c r="DS65" s="8">
        <f>DH65*(BM65/10000)^0.72*0.6*((AF65+1)/3)^0.6*('CAPEX+OPEX'!$G$116/'CAPEX+OPEX'!$G$114)</f>
        <v>196777.12818314513</v>
      </c>
      <c r="DT65" s="8">
        <f>DI65*(BM65/10000)^0.72*0.6*((AF65+1)/3)^0.6*('CAPEX+OPEX'!$G$116/'CAPEX+OPEX'!$G$114)</f>
        <v>1218082.3890769698</v>
      </c>
      <c r="DU65" s="8">
        <f>DJ65*(BM65/10000)^0.72*0.6*((AF65+1)/3)^0.6*('CAPEX+OPEX'!$G$116/'CAPEX+OPEX'!$G$114)</f>
        <v>143813.55046251038</v>
      </c>
      <c r="DV65" s="8">
        <f t="shared" si="101"/>
        <v>2975431.3752664607</v>
      </c>
      <c r="DW65">
        <f t="shared" si="102"/>
        <v>6645853.6579725342</v>
      </c>
      <c r="DX65" s="8">
        <f t="shared" si="103"/>
        <v>443056.91053150228</v>
      </c>
      <c r="DY65" s="8">
        <f>BO65*'Reagent cost'!$C$35*60*7200</f>
        <v>1022822.2400316087</v>
      </c>
      <c r="DZ65" s="8">
        <f>BP65*'Reagent cost'!$C$34*60*7200</f>
        <v>243377.19781575311</v>
      </c>
      <c r="EA65" s="8">
        <f>BQ65*'Reagent cost'!$C$14*'Reagent cost'!$C$36/1000*60*7200</f>
        <v>4034177.2419786179</v>
      </c>
      <c r="EB65" s="8">
        <f t="shared" si="104"/>
        <v>39.6</v>
      </c>
      <c r="EC65" s="8">
        <f t="shared" si="105"/>
        <v>95.688271612230423</v>
      </c>
      <c r="ED65" s="8">
        <f>0.1*BK65*60*7200*'Reagent cost'!$H$17*'Reagent cost'!$C$17/1000</f>
        <v>504921.59999999998</v>
      </c>
      <c r="EE65" s="8">
        <f>BV65*0.1*'Reagent cost'!$C$16/1000*'Reagent cost'!$H$16*60*7200</f>
        <v>1000775.0604883848</v>
      </c>
      <c r="EF65" s="8">
        <f>BZ65/1000*'Reagent cost'!$H$19*'Reagent cost'!$C$19*60*7200</f>
        <v>84086.997553760215</v>
      </c>
      <c r="EG65" s="8">
        <f>0.33*('Costing 100 Lmin Feed Orig'!BO65*'Reagent cost'!$C$13+'Costing 100 Lmin Feed Orig'!BP65*'Reagent cost'!$C$12+'Costing 100 Lmin Feed Orig'!BQ65*'Reagent cost'!$C$14+'Costing 100 Lmin Feed Orig'!BV65*0.1*'Reagent cost'!$C$16+'Costing 100 Lmin Feed Orig'!BZ65*'Reagent cost'!$C$19)/1000*60*7200</f>
        <v>172039.86404264971</v>
      </c>
      <c r="EH65" s="8">
        <f>CG65*'Reagent cost'!$C$35*60*7200</f>
        <v>1838490.8259231846</v>
      </c>
      <c r="EI65" s="8">
        <f>CH65*'Reagent cost'!$C$34*60*7200</f>
        <v>437462.86295977142</v>
      </c>
      <c r="EJ65" s="8">
        <f>CI65*'Reagent cost'!$C$14*'Reagent cost'!$C$36/1000*60*7200</f>
        <v>7251306.7855237294</v>
      </c>
      <c r="EK65" s="8">
        <f t="shared" si="106"/>
        <v>39.6</v>
      </c>
      <c r="EL65" s="8">
        <f t="shared" si="107"/>
        <v>610.87663916145755</v>
      </c>
      <c r="EM65" s="8">
        <f>0.1*BM65*60*7200*'Reagent cost'!$H$17*'Reagent cost'!$C$17/1000</f>
        <v>466333.17895759002</v>
      </c>
      <c r="EN65" s="8">
        <f>CN65*0.1*'Reagent cost'!$C$16/1000*'Reagent cost'!$H$16*60*7200</f>
        <v>1798861.7137067299</v>
      </c>
      <c r="EO65" s="8">
        <f>CR65/1000*'Reagent cost'!$H$19*'Reagent cost'!$C$19*60*7200</f>
        <v>151143.7349829585</v>
      </c>
      <c r="EP65" s="8">
        <f>0.33*(CG65*'Reagent cost'!$C$13+CH65*'Reagent cost'!$C$12+CI65*'Reagent cost'!$C$14+CN65*0.1*'Reagent cost'!$C$16+CR65*'Reagent cost'!$C$19)/1000*60*7200</f>
        <v>309236.24786034069</v>
      </c>
      <c r="EQ65" s="8">
        <f t="shared" si="108"/>
        <v>22601454.245799433</v>
      </c>
      <c r="ER65" s="8">
        <f t="shared" si="109"/>
        <v>481276.11190299038</v>
      </c>
      <c r="ES65">
        <f t="shared" si="110"/>
        <v>44032.441905260595</v>
      </c>
      <c r="ET65">
        <f t="shared" si="111"/>
        <v>41526.098972294596</v>
      </c>
      <c r="EU65">
        <f t="shared" si="112"/>
        <v>17581.614484237631</v>
      </c>
      <c r="EV65">
        <f t="shared" si="113"/>
        <v>9313.4716969742931</v>
      </c>
      <c r="EW65">
        <f t="shared" si="114"/>
        <v>9376.8610582600722</v>
      </c>
      <c r="EX65" s="8">
        <f t="shared" si="115"/>
        <v>121830.48811702718</v>
      </c>
      <c r="EY65">
        <f t="shared" si="56"/>
        <v>35999.313968649723</v>
      </c>
      <c r="EZ65">
        <f t="shared" si="57"/>
        <v>31035.265656599127</v>
      </c>
      <c r="FA65">
        <f t="shared" si="58"/>
        <v>13139.93102396334</v>
      </c>
      <c r="FB65">
        <f t="shared" si="59"/>
        <v>6964.46283324246</v>
      </c>
      <c r="FC65">
        <f t="shared" si="60"/>
        <v>7007.963212780448</v>
      </c>
      <c r="FD65" s="8">
        <f t="shared" si="116"/>
        <v>94146.936695235097</v>
      </c>
      <c r="FE65" s="8">
        <f t="shared" si="117"/>
        <v>23298707.782514688</v>
      </c>
      <c r="FF65" s="8">
        <f t="shared" si="118"/>
        <v>23741764.69304619</v>
      </c>
      <c r="FG65" s="8">
        <f>BM65*AM65*195.08/1000*'PGM market prices'!$C$2*60*7200</f>
        <v>423367991.58718622</v>
      </c>
      <c r="FH65" s="8">
        <f>BN65*AQ65*BA65*106.42/1000*'PGM market prices'!$C$3*60*7200</f>
        <v>222227489.15627483</v>
      </c>
      <c r="FI65" s="8">
        <f>BK65*J65*102.91/1000*'PGM market prices'!$C$4*60*7200</f>
        <v>247586899.68097383</v>
      </c>
      <c r="FJ65" s="8">
        <f t="shared" si="119"/>
        <v>893182380.4244349</v>
      </c>
      <c r="FK65" s="8">
        <f t="shared" si="120"/>
        <v>643386055.6412276</v>
      </c>
      <c r="FL65" s="8">
        <f t="shared" si="64"/>
        <v>0.54957788641310623</v>
      </c>
      <c r="FM65" s="8">
        <f t="shared" si="65"/>
        <v>1891.5397423598185</v>
      </c>
      <c r="FN65" s="8">
        <f t="shared" si="66"/>
        <v>3518.0555550373683</v>
      </c>
      <c r="FO65" s="8">
        <f t="shared" si="67"/>
        <v>15817.121938029766</v>
      </c>
    </row>
    <row r="66" spans="1:171">
      <c r="A66">
        <v>9</v>
      </c>
      <c r="B66">
        <v>1.54143585092054E-3</v>
      </c>
      <c r="C66">
        <v>1.54143585092054E-3</v>
      </c>
      <c r="D66">
        <v>3.4254130020456501E-4</v>
      </c>
      <c r="E66">
        <v>0</v>
      </c>
      <c r="F66">
        <v>0</v>
      </c>
      <c r="G66">
        <v>0</v>
      </c>
      <c r="H66" s="53">
        <v>1.7768596981705501E-5</v>
      </c>
      <c r="I66" s="53">
        <v>1.5331283704498101E-9</v>
      </c>
      <c r="J66">
        <v>3.3763247208936601E-4</v>
      </c>
      <c r="K66">
        <v>0.13890601070001499</v>
      </c>
      <c r="L66">
        <v>0.14052575540227799</v>
      </c>
      <c r="M66">
        <v>4.4751616793740602E-4</v>
      </c>
      <c r="N66" s="53">
        <v>-5.0090140368830299E-17</v>
      </c>
      <c r="O66" s="53">
        <v>-6.2343793322261397E-15</v>
      </c>
      <c r="P66" s="53">
        <v>1.7787691892340301E-20</v>
      </c>
      <c r="Q66">
        <v>0.10969051996097</v>
      </c>
      <c r="R66">
        <v>98.566938318892298</v>
      </c>
      <c r="S66">
        <v>500</v>
      </c>
      <c r="T66">
        <v>95</v>
      </c>
      <c r="U66">
        <v>1</v>
      </c>
      <c r="V66">
        <v>0.1</v>
      </c>
      <c r="W66">
        <v>91.165581160141301</v>
      </c>
      <c r="X66" t="s">
        <v>323</v>
      </c>
      <c r="Y66">
        <v>1</v>
      </c>
      <c r="Z66">
        <v>0.28318429382522198</v>
      </c>
      <c r="AA66">
        <v>0.56945642916197003</v>
      </c>
      <c r="AB66">
        <v>3.7698628972227502E-3</v>
      </c>
      <c r="AC66">
        <v>1822.2107908876901</v>
      </c>
      <c r="AD66">
        <v>2662.6059073104898</v>
      </c>
      <c r="AE66">
        <v>2401.5030938442701</v>
      </c>
      <c r="AF66">
        <v>8</v>
      </c>
      <c r="AG66">
        <v>1.6497485970141401E-3</v>
      </c>
      <c r="AH66">
        <v>1.6689858606617799E-3</v>
      </c>
      <c r="AI66" s="53">
        <v>5.3150268046377499E-6</v>
      </c>
      <c r="AJ66">
        <v>0</v>
      </c>
      <c r="AK66">
        <v>0</v>
      </c>
      <c r="AL66">
        <v>0</v>
      </c>
      <c r="AM66">
        <v>1.6127468294673999E-3</v>
      </c>
      <c r="AN66" s="53">
        <v>7.9601388937146201E-5</v>
      </c>
      <c r="AO66" s="53">
        <v>5.2800231400846897E-6</v>
      </c>
      <c r="AP66">
        <v>1.73508600246416E-3</v>
      </c>
      <c r="AQ66">
        <v>7.4529378862327897E-2</v>
      </c>
      <c r="AR66" s="53">
        <v>1.6413910047206701E-6</v>
      </c>
      <c r="AS66" s="53">
        <v>5.1001480057440096E-15</v>
      </c>
      <c r="AT66" s="53">
        <v>-1.1878935335385401E-12</v>
      </c>
      <c r="AU66" s="53">
        <v>2.3339728163796199E-20</v>
      </c>
      <c r="AV66">
        <v>0.19695809292209099</v>
      </c>
      <c r="AW66">
        <v>99.341420733334502</v>
      </c>
      <c r="AX66">
        <v>500</v>
      </c>
      <c r="AY66">
        <v>95</v>
      </c>
      <c r="AZ66">
        <v>0.92357542033771201</v>
      </c>
      <c r="BA66">
        <v>0.1</v>
      </c>
      <c r="BB66">
        <v>46.891976188205703</v>
      </c>
      <c r="BC66" t="s">
        <v>251</v>
      </c>
      <c r="BD66">
        <v>1</v>
      </c>
      <c r="BE66">
        <v>1.8775014999999999E-2</v>
      </c>
      <c r="BF66">
        <v>0.10492961100000001</v>
      </c>
      <c r="BG66">
        <v>1.814625E-3</v>
      </c>
      <c r="BH66">
        <v>285.1951444</v>
      </c>
      <c r="BI66">
        <v>2169.8944889999998</v>
      </c>
      <c r="BJ66">
        <v>866.49409060000005</v>
      </c>
      <c r="BK66">
        <f t="shared" ref="BK66:BK101" si="121">U66*100</f>
        <v>100</v>
      </c>
      <c r="BL66">
        <f t="shared" ref="BL66:BL101" si="122">Q66*100</f>
        <v>10.969051996096999</v>
      </c>
      <c r="BM66">
        <f t="shared" ref="BM66:BM101" si="123">AZ66*100</f>
        <v>92.357542033771196</v>
      </c>
      <c r="BN66">
        <f t="shared" ref="BN66:BN101" si="124">AV66*100</f>
        <v>19.695809292209098</v>
      </c>
      <c r="BO66">
        <f t="shared" ref="BO66:BO101" si="125">0.6*1.2*BL66/2</f>
        <v>3.9488587185949195</v>
      </c>
      <c r="BP66">
        <f t="shared" ref="BP66:BP101" si="126">0.04*1.2*BL66/2</f>
        <v>0.26325724790632798</v>
      </c>
      <c r="BQ66">
        <f t="shared" ref="BQ66:BQ101" si="127">0.2*1.2*BL66/2</f>
        <v>1.3162862395316399</v>
      </c>
      <c r="BR66">
        <f t="shared" ref="BR66:BR101" si="128">0.1*1.2*BL66/2</f>
        <v>0.65814311976581996</v>
      </c>
      <c r="BS66">
        <f t="shared" ref="BS66:BS101" si="129">V66*BL66</f>
        <v>1.0969051996096999</v>
      </c>
      <c r="BT66">
        <f t="shared" ref="BT66:BT101" si="130">0.6*BL66*1</f>
        <v>6.5814311976581994</v>
      </c>
      <c r="BU66">
        <f t="shared" ref="BU66:BU101" si="131">1.6*BL66*1</f>
        <v>17.550483193755198</v>
      </c>
      <c r="BV66">
        <f t="shared" si="31"/>
        <v>5.4845259980484995</v>
      </c>
      <c r="BW66">
        <f t="shared" ref="BW66:BW97" si="132">BM66-BV66</f>
        <v>86.873016035722699</v>
      </c>
      <c r="BX66">
        <f t="shared" ref="BX66:BX97" si="133">(SUM(BV66:BW66)+BL66)*1</f>
        <v>103.32659402986819</v>
      </c>
      <c r="BY66">
        <f t="shared" si="33"/>
        <v>92.357542033771196</v>
      </c>
      <c r="BZ66">
        <f t="shared" si="34"/>
        <v>1.5356672794535797</v>
      </c>
      <c r="CA66">
        <f>7963.6*(BT66/1000)^0.6*1.7*('CAPEX+OPEX'!$G$116/'CAPEX+OPEX'!$G$115)</f>
        <v>783.85031135713814</v>
      </c>
      <c r="CB66">
        <f>7963.6*(BU66/1000)^0.6*1.7*('CAPEX+OPEX'!$G$116/'CAPEX+OPEX'!$G$115)</f>
        <v>1411.9339291005786</v>
      </c>
      <c r="CC66">
        <f>7963.6*(BX66/1000)^0.6*1.7*('CAPEX+OPEX'!$G$116/'CAPEX+OPEX'!$G$115)</f>
        <v>4090.4227597755034</v>
      </c>
      <c r="CD66">
        <f>7963.6*(BY66/1000)^0.6*1.7*('CAPEX+OPEX'!$G$116/'CAPEX+OPEX'!$G$115)</f>
        <v>3824.0569166417245</v>
      </c>
      <c r="CE66">
        <v>300</v>
      </c>
      <c r="CF66">
        <v>30</v>
      </c>
      <c r="CG66">
        <f t="shared" ref="CG66:CG101" si="134">0.6*1.2*BN66/2</f>
        <v>7.0904913451952751</v>
      </c>
      <c r="CH66">
        <f t="shared" ref="CH66:CH101" si="135">0.04*1.2*BN66/2</f>
        <v>0.47269942301301837</v>
      </c>
      <c r="CI66">
        <f t="shared" ref="CI66:CI101" si="136">0.2*1.2*BN66/2</f>
        <v>2.3634971150650919</v>
      </c>
      <c r="CJ66">
        <f t="shared" ref="CJ66:CJ101" si="137">0.1*1.2*BN66/2</f>
        <v>1.1817485575325459</v>
      </c>
      <c r="CK66">
        <f t="shared" ref="CK66:CK101" si="138">0.1*BN66</f>
        <v>1.9695809292209099</v>
      </c>
      <c r="CL66">
        <f t="shared" ref="CL66:CL101" si="139">0.6*BN66*1</f>
        <v>11.817485575325458</v>
      </c>
      <c r="CM66">
        <f t="shared" ref="CM66:CM101" si="140">1.6*BN66*1</f>
        <v>31.513294867534558</v>
      </c>
      <c r="CN66">
        <f t="shared" si="36"/>
        <v>9.8479046461045492</v>
      </c>
      <c r="CO66">
        <v>0</v>
      </c>
      <c r="CP66">
        <f t="shared" ref="CP66:CP97" si="141">(SUM(CN66:CO66)+BN66)*1</f>
        <v>29.543713938313648</v>
      </c>
      <c r="CQ66">
        <f t="shared" si="38"/>
        <v>9.8479046461045492</v>
      </c>
      <c r="CR66">
        <f t="shared" si="39"/>
        <v>2.7574133009092736</v>
      </c>
      <c r="CS66">
        <f>7963.6*(CL66/1000)^0.6*1.7*('CAPEX+OPEX'!$G$116/'CAPEX+OPEX'!$G$115)</f>
        <v>1113.6686039166166</v>
      </c>
      <c r="CT66">
        <f>7963.6*(CM66/1000)^0.6*1.7*('CAPEX+OPEX'!$G$116/'CAPEX+OPEX'!$G$115)</f>
        <v>2006.0290400618528</v>
      </c>
      <c r="CU66">
        <f>7963.6*(CP66/1000)^0.6*1.7*('CAPEX+OPEX'!$G$116/'CAPEX+OPEX'!$G$115)</f>
        <v>1929.8341244714838</v>
      </c>
      <c r="CV66">
        <f>7963.6*(CQ66/1000)^0.6*1.7*('CAPEX+OPEX'!$G$116/'CAPEX+OPEX'!$G$115)</f>
        <v>998.26818148396524</v>
      </c>
      <c r="CW66">
        <v>300</v>
      </c>
      <c r="CX66">
        <f t="shared" ref="CX66:CX97" si="142">0.1*CW66</f>
        <v>30</v>
      </c>
      <c r="CY66">
        <f t="shared" ref="CY66:CY101" si="143">0.1*BK66</f>
        <v>10</v>
      </c>
      <c r="CZ66">
        <f t="shared" ref="CZ66:CZ101" si="144">0.1*BM66</f>
        <v>9.2357542033771196</v>
      </c>
      <c r="DA66">
        <f t="shared" ref="DA66:DA101" si="145">CE66*1.32*10</f>
        <v>3960</v>
      </c>
      <c r="DB66">
        <f t="shared" ref="DB66:DB101" si="146">CW66*1.32*10</f>
        <v>3960</v>
      </c>
      <c r="DC66">
        <f>CF66*'Reagent cost'!$C$18/1000*'Reagent cost'!$H$18</f>
        <v>4784.413580611521</v>
      </c>
      <c r="DD66">
        <f>CX66*'Ligand cost'!$B$56*'Ligand cost'!$J$56</f>
        <v>30543.831958072875</v>
      </c>
      <c r="DE66">
        <f t="shared" ref="DE66:DE101" si="147">10000*1/3.78541*15</f>
        <v>39625.826528698344</v>
      </c>
      <c r="DF66">
        <f t="shared" ref="DF66:DF97" si="148">2510*(DE66^0.571)+89*DE66</f>
        <v>4586243.4239371875</v>
      </c>
      <c r="DG66">
        <f t="shared" ref="DG66:DG101" si="149">4810*(DE66^0.6)+228*DE66</f>
        <v>11794834.586807497</v>
      </c>
      <c r="DH66">
        <f t="shared" ref="DH66:DH101" si="150">1030*(DE66^0.59)+44*DE66</f>
        <v>2275209.1661185985</v>
      </c>
      <c r="DI66">
        <f t="shared" ref="DI66:DI101" si="151">5640*(DE66^0.602)+272*DE66</f>
        <v>14083914.336508472</v>
      </c>
      <c r="DJ66">
        <f t="shared" ref="DJ66:DJ101" si="152">688*(DE66^0.6)+32*DE66</f>
        <v>1662824.8986326549</v>
      </c>
      <c r="DK66" s="55">
        <f>DF66*($BK$2/10000)^0.72*0.6*((A66+1)/3)^0.6*('CAPEX+OPEX'!$G$116/'CAPEX+OPEX'!$G$114)</f>
        <v>480193.52041347441</v>
      </c>
      <c r="DL66" s="55">
        <f>DG66*($BK$2/10000)^0.72*0.6*((A66+1)/3)^0.6*('CAPEX+OPEX'!$G$116/'CAPEX+OPEX'!$G$114)</f>
        <v>1234954.7591330099</v>
      </c>
      <c r="DM66" s="55">
        <f>DH66*($BK$2/10000)^0.72*0.6*((A66+1)/3)^0.6*('CAPEX+OPEX'!$G$116/'CAPEX+OPEX'!$G$114)</f>
        <v>238221.26262490739</v>
      </c>
      <c r="DN66" s="55">
        <f>DI66*($BK$2/10000)^0.72*0.6*((A66+1)/3)^0.6*('CAPEX+OPEX'!$G$116/'CAPEX+OPEX'!$G$114)</f>
        <v>1474628.3136981681</v>
      </c>
      <c r="DO66" s="55">
        <f>DJ66*($BK$2/10000)^0.72*0.6*((A66+1)/3)^0.6*('CAPEX+OPEX'!$G$116/'CAPEX+OPEX'!$G$114)</f>
        <v>174102.78262554979</v>
      </c>
      <c r="DP66">
        <f t="shared" ref="DP66:DP97" si="153">SUM(DK66:DO66)</f>
        <v>3602100.6384951095</v>
      </c>
      <c r="DQ66">
        <f>DF66*(BM66/10000)^0.72*0.6*((AF66+1)/3)^0.6*('CAPEX+OPEX'!$G$116/'CAPEX+OPEX'!$G$114)</f>
        <v>425698.28925826726</v>
      </c>
      <c r="DR66">
        <f>DG66*(BM66/10000)^0.72*0.6*((AF66+1)/3)^0.6*('CAPEX+OPEX'!$G$116/'CAPEX+OPEX'!$G$114)</f>
        <v>1094804.7108624121</v>
      </c>
      <c r="DS66">
        <f>DH66*(BM66/10000)^0.72*0.6*((AF66+1)/3)^0.6*('CAPEX+OPEX'!$G$116/'CAPEX+OPEX'!$G$114)</f>
        <v>211186.48972407472</v>
      </c>
      <c r="DT66">
        <f>DI66*(BM66/10000)^0.72*0.6*((AF66+1)/3)^0.6*('CAPEX+OPEX'!$G$116/'CAPEX+OPEX'!$G$114)</f>
        <v>1307278.6777559745</v>
      </c>
      <c r="DU66">
        <f>DJ66*(BM66/10000)^0.72*0.6*((AF66+1)/3)^0.6*('CAPEX+OPEX'!$G$116/'CAPEX+OPEX'!$G$114)</f>
        <v>154344.55811686709</v>
      </c>
      <c r="DV66">
        <f t="shared" ref="DV66:DV97" si="154">SUM(DQ66:DU66)</f>
        <v>3193312.7257175958</v>
      </c>
      <c r="DW66">
        <f t="shared" ref="DW66:DW97" si="155">DV66+DP66+SUM(DA66:DD66)*1.15+SUM(CS66:CV66)*1.15+SUM(CA66:CD66)*1.15</f>
        <v>6863730.6200290229</v>
      </c>
      <c r="DX66">
        <f t="shared" ref="DX66:DX97" si="156">DW66/15</f>
        <v>457582.04133526818</v>
      </c>
      <c r="DY66">
        <f>BO66*'Reagent cost'!$C$35*60*7200</f>
        <v>1022822.2400316087</v>
      </c>
      <c r="DZ66">
        <f>BP66*'Reagent cost'!$C$34*60*7200</f>
        <v>243377.19781575311</v>
      </c>
      <c r="EA66">
        <f>BQ66*'Reagent cost'!$C$14*'Reagent cost'!$C$36/1000*60*7200</f>
        <v>4034177.2419786179</v>
      </c>
      <c r="EB66">
        <f t="shared" ref="EB66:EB101" si="157">DA66*0.01</f>
        <v>39.6</v>
      </c>
      <c r="EC66">
        <f t="shared" ref="EC66:EC101" si="158">DC66*0.02</f>
        <v>95.688271612230423</v>
      </c>
      <c r="ED66">
        <f>0.1*BK66*60*7200*'Reagent cost'!$H$17*'Reagent cost'!$C$17/1000</f>
        <v>504921.59999999998</v>
      </c>
      <c r="EE66">
        <f>BV66*0.1*'Reagent cost'!$C$16/1000*'Reagent cost'!$H$16*60*7200</f>
        <v>1000775.0604883848</v>
      </c>
      <c r="EF66">
        <f>BZ66/1000*'Reagent cost'!$H$19*'Reagent cost'!$C$19*60*7200</f>
        <v>84086.997553760215</v>
      </c>
      <c r="EG66">
        <f>0.33*('Costing 100 Lmin Feed Orig'!BO66*'Reagent cost'!$C$13+'Costing 100 Lmin Feed Orig'!BP66*'Reagent cost'!$C$12+'Costing 100 Lmin Feed Orig'!BQ66*'Reagent cost'!$C$14+'Costing 100 Lmin Feed Orig'!BV66*0.1*'Reagent cost'!$C$16+'Costing 100 Lmin Feed Orig'!BZ66*'Reagent cost'!$C$19)/1000*60*7200</f>
        <v>172039.86404264971</v>
      </c>
      <c r="EH66">
        <f>CG66*'Reagent cost'!$C$35*60*7200</f>
        <v>1836559.0560297074</v>
      </c>
      <c r="EI66">
        <f>CH66*'Reagent cost'!$C$34*60*7200</f>
        <v>437003.20464858267</v>
      </c>
      <c r="EJ66">
        <f>CI66*'Reagent cost'!$C$14*'Reagent cost'!$C$36/1000*60*7200</f>
        <v>7243687.5709271012</v>
      </c>
      <c r="EK66">
        <f t="shared" ref="EK66:EK101" si="159">DB66*0.01</f>
        <v>39.6</v>
      </c>
      <c r="EL66">
        <f t="shared" ref="EL66:EL101" si="160">DD66*0.02</f>
        <v>610.87663916145755</v>
      </c>
      <c r="EM66">
        <f>0.1*BM66*60*7200*'Reagent cost'!$H$17*'Reagent cost'!$C$17/1000</f>
        <v>466333.17895759002</v>
      </c>
      <c r="EN66">
        <f>CN66*0.1*'Reagent cost'!$C$16/1000*'Reagent cost'!$H$16*60*7200</f>
        <v>1796971.5835782194</v>
      </c>
      <c r="EO66">
        <f>CR66/1000*'Reagent cost'!$H$19*'Reagent cost'!$C$19*60*7200</f>
        <v>150984.92270458819</v>
      </c>
      <c r="EP66">
        <f>0.33*(CG66*'Reagent cost'!$C$13+CH66*'Reagent cost'!$C$12+CI66*'Reagent cost'!$C$14+CN66*0.1*'Reagent cost'!$C$16+CR66*'Reagent cost'!$C$19)/1000*60*7200</f>
        <v>308911.32196723029</v>
      </c>
      <c r="EQ66">
        <f t="shared" ref="EQ66:EQ101" si="161">(SUM(DY66:EF66)+SUM(EH66:EO66))*1.2</f>
        <v>22586982.743549626</v>
      </c>
      <c r="ER66">
        <f t="shared" ref="ER66:ER101" si="162">EG66+EP66</f>
        <v>480951.18600988004</v>
      </c>
      <c r="ES66">
        <f t="shared" ref="ES66:ES101" si="163">0.499*((BK66/3.78541*15)^(-0.146))*BK66/3.78541*15*300*(1+(A66-2)/9)</f>
        <v>44032.441905260595</v>
      </c>
      <c r="ET66">
        <f t="shared" ref="ET66:ET101" si="164">0.248*((BK66/3.78541*15)^(-0.144))*BK66/3.78541*15*300*(1+(A66-2)/3)</f>
        <v>41526.098972294596</v>
      </c>
      <c r="EU66">
        <f t="shared" ref="EU66:EU101" si="165">0.105*((BK66/3.78541*15)^(-0.144))*BK66/3.78541*15*300*(1+(A66-2)/3)</f>
        <v>17581.614484237631</v>
      </c>
      <c r="EV66">
        <f t="shared" ref="EV66:EV101" si="166">0.058*((BK66/3.78541*15)^(-0.151))*BK66/3.78541*15*300*(1+(A66-2)/3)</f>
        <v>9313.4716969742931</v>
      </c>
      <c r="EW66">
        <f t="shared" ref="EW66:EW101" si="167">0.056*((BK66/3.78541*15)^(-0.144))*BK66/3.78541*15*300*(1+(A66-2)/3)</f>
        <v>9376.8610582600722</v>
      </c>
      <c r="EX66">
        <f t="shared" ref="EX66:EX97" si="168">SUM(ES66:EW66)</f>
        <v>121830.48811702718</v>
      </c>
      <c r="EY66">
        <f t="shared" si="56"/>
        <v>38570.693537838983</v>
      </c>
      <c r="EZ66">
        <f t="shared" si="57"/>
        <v>34914.673863674019</v>
      </c>
      <c r="FA66">
        <f t="shared" si="58"/>
        <v>14782.422401958756</v>
      </c>
      <c r="FB66">
        <f t="shared" si="59"/>
        <v>7835.0206873977668</v>
      </c>
      <c r="FC66">
        <f t="shared" si="60"/>
        <v>7883.9586143780034</v>
      </c>
      <c r="FD66">
        <f t="shared" ref="FD66:FD97" si="169">SUM(EY66:FC66)</f>
        <v>103986.76910524754</v>
      </c>
      <c r="FE66">
        <f t="shared" ref="FE66:FE97" si="170">EQ66+ER66+EX66+FD66</f>
        <v>23293751.186781783</v>
      </c>
      <c r="FF66">
        <f t="shared" ref="FF66:FF97" si="171">FE66+DX66</f>
        <v>23751333.228117052</v>
      </c>
      <c r="FG66">
        <f>BM66*AM66*195.08/1000*'PGM market prices'!$C$2*60*7200</f>
        <v>423404579.86540467</v>
      </c>
      <c r="FH66">
        <f>BN66*AQ66*BA66*106.42/1000*'PGM market prices'!$C$3*60*7200</f>
        <v>222226481.43309185</v>
      </c>
      <c r="FI66">
        <f>BK66*J66*102.91/1000*'PGM market prices'!$C$4*60*7200</f>
        <v>247586899.68097383</v>
      </c>
      <c r="FJ66">
        <f t="shared" ref="FJ66:FJ97" si="172">SUM(FG66:FI66)</f>
        <v>893217960.97947025</v>
      </c>
      <c r="FK66">
        <f t="shared" ref="FK66:FK97" si="173">(1-0.26)*(FJ66-FF66)</f>
        <v>643405304.53600132</v>
      </c>
      <c r="FL66">
        <f t="shared" si="64"/>
        <v>0.54979938028048736</v>
      </c>
      <c r="FM66">
        <f t="shared" si="65"/>
        <v>1892.1385587266384</v>
      </c>
      <c r="FN66">
        <f t="shared" si="66"/>
        <v>3519.4893805533293</v>
      </c>
      <c r="FO66">
        <f t="shared" si="67"/>
        <v>15823.496640497797</v>
      </c>
    </row>
    <row r="67" spans="1:171">
      <c r="A67">
        <v>9</v>
      </c>
      <c r="B67">
        <v>1.54143585092054E-3</v>
      </c>
      <c r="C67">
        <v>1.54143585092054E-3</v>
      </c>
      <c r="D67">
        <v>3.4254130020456501E-4</v>
      </c>
      <c r="E67">
        <v>0</v>
      </c>
      <c r="F67">
        <v>0</v>
      </c>
      <c r="G67">
        <v>0</v>
      </c>
      <c r="H67" s="53">
        <v>1.7768596981705501E-5</v>
      </c>
      <c r="I67" s="53">
        <v>1.5331283704498101E-9</v>
      </c>
      <c r="J67">
        <v>3.3763247208936601E-4</v>
      </c>
      <c r="K67">
        <v>0.13890601070001499</v>
      </c>
      <c r="L67">
        <v>0.14052575540227799</v>
      </c>
      <c r="M67">
        <v>4.4751616793740602E-4</v>
      </c>
      <c r="N67" s="53">
        <v>-5.0090140368830299E-17</v>
      </c>
      <c r="O67" s="53">
        <v>-6.2343793322261397E-15</v>
      </c>
      <c r="P67" s="53">
        <v>1.7787691892340301E-20</v>
      </c>
      <c r="Q67">
        <v>0.10969051996097</v>
      </c>
      <c r="R67">
        <v>98.566938318892298</v>
      </c>
      <c r="S67">
        <v>500</v>
      </c>
      <c r="T67">
        <v>95</v>
      </c>
      <c r="U67">
        <v>1</v>
      </c>
      <c r="V67">
        <v>0.1</v>
      </c>
      <c r="W67">
        <v>91.165581160141301</v>
      </c>
      <c r="X67" t="s">
        <v>323</v>
      </c>
      <c r="Y67">
        <v>1</v>
      </c>
      <c r="Z67">
        <v>0.28318429382522198</v>
      </c>
      <c r="AA67">
        <v>0.56945642916197003</v>
      </c>
      <c r="AB67">
        <v>3.7698628972227502E-3</v>
      </c>
      <c r="AC67">
        <v>1822.2107908876901</v>
      </c>
      <c r="AD67">
        <v>2662.6059073104898</v>
      </c>
      <c r="AE67">
        <v>2401.5030938442701</v>
      </c>
      <c r="AF67">
        <v>9</v>
      </c>
      <c r="AG67">
        <v>1.6497485970141401E-3</v>
      </c>
      <c r="AH67">
        <v>1.6689858606617799E-3</v>
      </c>
      <c r="AI67" s="53">
        <v>5.3150268046377499E-6</v>
      </c>
      <c r="AJ67">
        <v>0</v>
      </c>
      <c r="AK67">
        <v>0</v>
      </c>
      <c r="AL67">
        <v>0</v>
      </c>
      <c r="AM67">
        <v>1.6127861938138701E-3</v>
      </c>
      <c r="AN67" s="53">
        <v>7.9603425019377403E-5</v>
      </c>
      <c r="AO67" s="53">
        <v>5.2800588331914901E-6</v>
      </c>
      <c r="AP67">
        <v>1.7337552285219199E-3</v>
      </c>
      <c r="AQ67">
        <v>7.4551432519081903E-2</v>
      </c>
      <c r="AR67" s="53">
        <v>1.64020458835788E-6</v>
      </c>
      <c r="AS67" s="53">
        <v>3.7486290113686297E-17</v>
      </c>
      <c r="AT67" s="53">
        <v>-4.9181578948287397E-15</v>
      </c>
      <c r="AU67" s="53">
        <v>-2.56756862136459E-21</v>
      </c>
      <c r="AV67">
        <v>0.19689957677272099</v>
      </c>
      <c r="AW67">
        <v>99.342092284167904</v>
      </c>
      <c r="AX67">
        <v>500</v>
      </c>
      <c r="AY67">
        <v>95</v>
      </c>
      <c r="AZ67">
        <v>0.92357542033771201</v>
      </c>
      <c r="BA67">
        <v>0.1</v>
      </c>
      <c r="BB67">
        <v>46.905911910810303</v>
      </c>
      <c r="BC67" t="s">
        <v>251</v>
      </c>
      <c r="BD67">
        <v>1</v>
      </c>
      <c r="BE67">
        <v>1.8775014999999999E-2</v>
      </c>
      <c r="BF67">
        <v>0.10492961100000001</v>
      </c>
      <c r="BG67">
        <v>1.814625E-3</v>
      </c>
      <c r="BH67">
        <v>285.1951444</v>
      </c>
      <c r="BI67">
        <v>2169.8944889999998</v>
      </c>
      <c r="BJ67">
        <v>866.49409060000005</v>
      </c>
      <c r="BK67">
        <f t="shared" si="121"/>
        <v>100</v>
      </c>
      <c r="BL67">
        <f t="shared" si="122"/>
        <v>10.969051996096999</v>
      </c>
      <c r="BM67">
        <f t="shared" si="123"/>
        <v>92.357542033771196</v>
      </c>
      <c r="BN67">
        <f t="shared" si="124"/>
        <v>19.689957677272098</v>
      </c>
      <c r="BO67">
        <f t="shared" si="125"/>
        <v>3.9488587185949195</v>
      </c>
      <c r="BP67">
        <f t="shared" si="126"/>
        <v>0.26325724790632798</v>
      </c>
      <c r="BQ67">
        <f t="shared" si="127"/>
        <v>1.3162862395316399</v>
      </c>
      <c r="BR67">
        <f t="shared" si="128"/>
        <v>0.65814311976581996</v>
      </c>
      <c r="BS67">
        <f t="shared" si="129"/>
        <v>1.0969051996096999</v>
      </c>
      <c r="BT67">
        <f t="shared" si="130"/>
        <v>6.5814311976581994</v>
      </c>
      <c r="BU67">
        <f t="shared" si="131"/>
        <v>17.550483193755198</v>
      </c>
      <c r="BV67">
        <f t="shared" ref="BV67:BV101" si="174">1*V67*BL67/0.2</f>
        <v>5.4845259980484995</v>
      </c>
      <c r="BW67">
        <f t="shared" si="132"/>
        <v>86.873016035722699</v>
      </c>
      <c r="BX67">
        <f t="shared" si="133"/>
        <v>103.32659402986819</v>
      </c>
      <c r="BY67">
        <f t="shared" ref="BY67:BY101" si="175">BM67</f>
        <v>92.357542033771196</v>
      </c>
      <c r="BZ67">
        <f t="shared" ref="BZ67:BZ101" si="176">BL67*0.1*1.4</f>
        <v>1.5356672794535797</v>
      </c>
      <c r="CA67">
        <f>7963.6*(BT67/1000)^0.6*1.7*('CAPEX+OPEX'!$G$116/'CAPEX+OPEX'!$G$115)</f>
        <v>783.85031135713814</v>
      </c>
      <c r="CB67">
        <f>7963.6*(BU67/1000)^0.6*1.7*('CAPEX+OPEX'!$G$116/'CAPEX+OPEX'!$G$115)</f>
        <v>1411.9339291005786</v>
      </c>
      <c r="CC67">
        <f>7963.6*(BX67/1000)^0.6*1.7*('CAPEX+OPEX'!$G$116/'CAPEX+OPEX'!$G$115)</f>
        <v>4090.4227597755034</v>
      </c>
      <c r="CD67">
        <f>7963.6*(BY67/1000)^0.6*1.7*('CAPEX+OPEX'!$G$116/'CAPEX+OPEX'!$G$115)</f>
        <v>3824.0569166417245</v>
      </c>
      <c r="CE67">
        <v>300</v>
      </c>
      <c r="CF67">
        <v>30</v>
      </c>
      <c r="CG67">
        <f t="shared" si="134"/>
        <v>7.0883847638179551</v>
      </c>
      <c r="CH67">
        <f t="shared" si="135"/>
        <v>0.47255898425453036</v>
      </c>
      <c r="CI67">
        <f t="shared" si="136"/>
        <v>2.3627949212726516</v>
      </c>
      <c r="CJ67">
        <f t="shared" si="137"/>
        <v>1.1813974606363258</v>
      </c>
      <c r="CK67">
        <f t="shared" si="138"/>
        <v>1.9689957677272099</v>
      </c>
      <c r="CL67">
        <f t="shared" si="139"/>
        <v>11.813974606363258</v>
      </c>
      <c r="CM67">
        <f t="shared" si="140"/>
        <v>31.503932283635358</v>
      </c>
      <c r="CN67">
        <f t="shared" ref="CN67:CN101" si="177">1*BA67*BN67/0.2</f>
        <v>9.8449788386360488</v>
      </c>
      <c r="CO67">
        <v>0</v>
      </c>
      <c r="CP67">
        <f t="shared" si="141"/>
        <v>29.534936515908147</v>
      </c>
      <c r="CQ67">
        <f t="shared" ref="CQ67:CQ101" si="178">CN67</f>
        <v>9.8449788386360488</v>
      </c>
      <c r="CR67">
        <f t="shared" ref="CR67:CR101" si="179">BN67*0.1*1.4</f>
        <v>2.7565940748180937</v>
      </c>
      <c r="CS67">
        <f>7963.6*(CL67/1000)^0.6*1.7*('CAPEX+OPEX'!$G$116/'CAPEX+OPEX'!$G$115)</f>
        <v>1113.4700698928623</v>
      </c>
      <c r="CT67">
        <f>7963.6*(CM67/1000)^0.6*1.7*('CAPEX+OPEX'!$G$116/'CAPEX+OPEX'!$G$115)</f>
        <v>2005.6714246853489</v>
      </c>
      <c r="CU67">
        <f>7963.6*(CP67/1000)^0.6*1.7*('CAPEX+OPEX'!$G$116/'CAPEX+OPEX'!$G$115)</f>
        <v>1929.4900923845946</v>
      </c>
      <c r="CV67">
        <f>7963.6*(CQ67/1000)^0.6*1.7*('CAPEX+OPEX'!$G$116/'CAPEX+OPEX'!$G$115)</f>
        <v>998.09021992685723</v>
      </c>
      <c r="CW67">
        <v>300</v>
      </c>
      <c r="CX67">
        <f t="shared" si="142"/>
        <v>30</v>
      </c>
      <c r="CY67">
        <f t="shared" si="143"/>
        <v>10</v>
      </c>
      <c r="CZ67">
        <f t="shared" si="144"/>
        <v>9.2357542033771196</v>
      </c>
      <c r="DA67">
        <f t="shared" si="145"/>
        <v>3960</v>
      </c>
      <c r="DB67">
        <f t="shared" si="146"/>
        <v>3960</v>
      </c>
      <c r="DC67">
        <f>CF67*'Reagent cost'!$C$18/1000*'Reagent cost'!$H$18</f>
        <v>4784.413580611521</v>
      </c>
      <c r="DD67">
        <f>CX67*'Ligand cost'!$B$56*'Ligand cost'!$J$56</f>
        <v>30543.831958072875</v>
      </c>
      <c r="DE67">
        <f t="shared" si="147"/>
        <v>39625.826528698344</v>
      </c>
      <c r="DF67">
        <f t="shared" si="148"/>
        <v>4586243.4239371875</v>
      </c>
      <c r="DG67">
        <f t="shared" si="149"/>
        <v>11794834.586807497</v>
      </c>
      <c r="DH67">
        <f t="shared" si="150"/>
        <v>2275209.1661185985</v>
      </c>
      <c r="DI67">
        <f t="shared" si="151"/>
        <v>14083914.336508472</v>
      </c>
      <c r="DJ67">
        <f t="shared" si="152"/>
        <v>1662824.8986326549</v>
      </c>
      <c r="DK67" s="55">
        <f>DF67*($BK$2/10000)^0.72*0.6*((A67+1)/3)^0.6*('CAPEX+OPEX'!$G$116/'CAPEX+OPEX'!$G$114)</f>
        <v>480193.52041347441</v>
      </c>
      <c r="DL67" s="55">
        <f>DG67*($BK$2/10000)^0.72*0.6*((A67+1)/3)^0.6*('CAPEX+OPEX'!$G$116/'CAPEX+OPEX'!$G$114)</f>
        <v>1234954.7591330099</v>
      </c>
      <c r="DM67" s="55">
        <f>DH67*($BK$2/10000)^0.72*0.6*((A67+1)/3)^0.6*('CAPEX+OPEX'!$G$116/'CAPEX+OPEX'!$G$114)</f>
        <v>238221.26262490739</v>
      </c>
      <c r="DN67" s="55">
        <f>DI67*($BK$2/10000)^0.72*0.6*((A67+1)/3)^0.6*('CAPEX+OPEX'!$G$116/'CAPEX+OPEX'!$G$114)</f>
        <v>1474628.3136981681</v>
      </c>
      <c r="DO67" s="55">
        <f>DJ67*($BK$2/10000)^0.72*0.6*((A67+1)/3)^0.6*('CAPEX+OPEX'!$G$116/'CAPEX+OPEX'!$G$114)</f>
        <v>174102.78262554979</v>
      </c>
      <c r="DP67">
        <f t="shared" si="153"/>
        <v>3602100.6384951095</v>
      </c>
      <c r="DQ67">
        <f>DF67*(BM67/10000)^0.72*0.6*((AF67+1)/3)^0.6*('CAPEX+OPEX'!$G$116/'CAPEX+OPEX'!$G$114)</f>
        <v>453478.18445819279</v>
      </c>
      <c r="DR67">
        <f>DG67*(BM67/10000)^0.72*0.6*((AF67+1)/3)^0.6*('CAPEX+OPEX'!$G$116/'CAPEX+OPEX'!$G$114)</f>
        <v>1166248.6440413189</v>
      </c>
      <c r="DS67">
        <f>DH67*(BM67/10000)^0.72*0.6*((AF67+1)/3)^0.6*('CAPEX+OPEX'!$G$116/'CAPEX+OPEX'!$G$114)</f>
        <v>224967.93705475834</v>
      </c>
      <c r="DT67">
        <f>DI67*(BM67/10000)^0.72*0.6*((AF67+1)/3)^0.6*('CAPEX+OPEX'!$G$116/'CAPEX+OPEX'!$G$114)</f>
        <v>1392588.0754715134</v>
      </c>
      <c r="DU67">
        <f>DJ67*(BM67/10000)^0.72*0.6*((AF67+1)/3)^0.6*('CAPEX+OPEX'!$G$116/'CAPEX+OPEX'!$G$114)</f>
        <v>164416.6579052787</v>
      </c>
      <c r="DV67">
        <f t="shared" si="154"/>
        <v>3401699.4989310624</v>
      </c>
      <c r="DW67">
        <f t="shared" si="155"/>
        <v>7072116.1533779884</v>
      </c>
      <c r="DX67">
        <f t="shared" si="156"/>
        <v>471474.41022519924</v>
      </c>
      <c r="DY67">
        <f>BO67*'Reagent cost'!$C$35*60*7200</f>
        <v>1022822.2400316087</v>
      </c>
      <c r="DZ67">
        <f>BP67*'Reagent cost'!$C$34*60*7200</f>
        <v>243377.19781575311</v>
      </c>
      <c r="EA67">
        <f>BQ67*'Reagent cost'!$C$14*'Reagent cost'!$C$36/1000*60*7200</f>
        <v>4034177.2419786179</v>
      </c>
      <c r="EB67">
        <f t="shared" si="157"/>
        <v>39.6</v>
      </c>
      <c r="EC67">
        <f t="shared" si="158"/>
        <v>95.688271612230423</v>
      </c>
      <c r="ED67">
        <f>0.1*BK67*60*7200*'Reagent cost'!$H$17*'Reagent cost'!$C$17/1000</f>
        <v>504921.59999999998</v>
      </c>
      <c r="EE67">
        <f>BV67*0.1*'Reagent cost'!$C$16/1000*'Reagent cost'!$H$16*60*7200</f>
        <v>1000775.0604883848</v>
      </c>
      <c r="EF67">
        <f>BZ67/1000*'Reagent cost'!$H$19*'Reagent cost'!$C$19*60*7200</f>
        <v>84086.997553760215</v>
      </c>
      <c r="EG67">
        <f>0.33*('Costing 100 Lmin Feed Orig'!BO67*'Reagent cost'!$C$13+'Costing 100 Lmin Feed Orig'!BP67*'Reagent cost'!$C$12+'Costing 100 Lmin Feed Orig'!BQ67*'Reagent cost'!$C$14+'Costing 100 Lmin Feed Orig'!BV67*0.1*'Reagent cost'!$C$16+'Costing 100 Lmin Feed Orig'!BZ67*'Reagent cost'!$C$19)/1000*60*7200</f>
        <v>172039.86404264971</v>
      </c>
      <c r="EH67">
        <f>CG67*'Reagent cost'!$C$35*60*7200</f>
        <v>1836013.4152669692</v>
      </c>
      <c r="EI67">
        <f>CH67*'Reagent cost'!$C$34*60*7200</f>
        <v>436873.37121844024</v>
      </c>
      <c r="EJ67">
        <f>CI67*'Reagent cost'!$C$14*'Reagent cost'!$C$36/1000*60*7200</f>
        <v>7241535.4750289256</v>
      </c>
      <c r="EK67">
        <f t="shared" si="159"/>
        <v>39.6</v>
      </c>
      <c r="EL67">
        <f t="shared" si="160"/>
        <v>610.87663916145755</v>
      </c>
      <c r="EM67">
        <f>0.1*BM67*60*7200*'Reagent cost'!$H$17*'Reagent cost'!$C$17/1000</f>
        <v>466333.17895759002</v>
      </c>
      <c r="EN67">
        <f>CN67*0.1*'Reagent cost'!$C$16/1000*'Reagent cost'!$H$16*60*7200</f>
        <v>1796437.7042334399</v>
      </c>
      <c r="EO67">
        <f>CR67/1000*'Reagent cost'!$H$19*'Reagent cost'!$C$19*60*7200</f>
        <v>150940.06516073956</v>
      </c>
      <c r="EP67">
        <f>0.33*(CG67*'Reagent cost'!$C$13+CH67*'Reagent cost'!$C$12+CI67*'Reagent cost'!$C$14+CN67*0.1*'Reagent cost'!$C$16+CR67*'Reagent cost'!$C$19)/1000*60*7200</f>
        <v>308819.54457037325</v>
      </c>
      <c r="EQ67">
        <f t="shared" si="161"/>
        <v>22582895.175174002</v>
      </c>
      <c r="ER67">
        <f t="shared" si="162"/>
        <v>480859.408613023</v>
      </c>
      <c r="ES67">
        <f t="shared" si="163"/>
        <v>44032.441905260595</v>
      </c>
      <c r="ET67">
        <f t="shared" si="164"/>
        <v>41526.098972294596</v>
      </c>
      <c r="EU67">
        <f t="shared" si="165"/>
        <v>17581.614484237631</v>
      </c>
      <c r="EV67">
        <f t="shared" si="166"/>
        <v>9313.4716969742931</v>
      </c>
      <c r="EW67">
        <f t="shared" si="167"/>
        <v>9376.8610582600722</v>
      </c>
      <c r="EX67">
        <f t="shared" si="168"/>
        <v>121830.48811702718</v>
      </c>
      <c r="EY67">
        <f t="shared" ref="EY67:EY101" si="180">0.499*((BM67/3.78541*15)^(-0.146))*BM67/3.78541*15*300*(1+(AF67-2)/9)</f>
        <v>41142.073107028249</v>
      </c>
      <c r="EZ67">
        <f t="shared" ref="EZ67:EZ101" si="181">0.248*((BM67/3.78541*15)^(-0.144))*BM67/3.78541*15*300*(1+(AF67-2)/3)</f>
        <v>38794.082070748911</v>
      </c>
      <c r="FA67">
        <f t="shared" ref="FA67:FA101" si="182">0.105*((BM67/3.78541*15)^(-0.144))*BM67/3.78541*15*300*(1+(AF67-2)/3)</f>
        <v>16424.913779954175</v>
      </c>
      <c r="FB67">
        <f t="shared" ref="FB67:FB101" si="183">0.058*((BM67/3.78541*15)^(-0.151))*BM67/3.78541*15*300*(1+(AF67-2)/3)</f>
        <v>8705.5785415530754</v>
      </c>
      <c r="FC67">
        <f t="shared" ref="FC67:FC101" si="184">0.056*((BM67/3.78541*15)^(-0.144))*BM67/3.78541*15*300*(1+(AF67-2)/3)</f>
        <v>8759.9540159755597</v>
      </c>
      <c r="FD67">
        <f t="shared" si="169"/>
        <v>113826.60151525997</v>
      </c>
      <c r="FE67">
        <f t="shared" si="170"/>
        <v>23299411.673419312</v>
      </c>
      <c r="FF67">
        <f t="shared" si="171"/>
        <v>23770886.083644509</v>
      </c>
      <c r="FG67">
        <f>BM67*AM67*195.08/1000*'PGM market prices'!$C$2*60*7200</f>
        <v>423414914.43514264</v>
      </c>
      <c r="FH67">
        <f>BN67*AQ67*BA67*106.42/1000*'PGM market prices'!$C$3*60*7200</f>
        <v>222226196.57059282</v>
      </c>
      <c r="FI67">
        <f>BK67*J67*102.91/1000*'PGM market prices'!$C$4*60*7200</f>
        <v>247586899.68097383</v>
      </c>
      <c r="FJ67">
        <f t="shared" si="172"/>
        <v>893228010.68670917</v>
      </c>
      <c r="FK67">
        <f t="shared" si="173"/>
        <v>643398272.20626783</v>
      </c>
      <c r="FL67">
        <f t="shared" ref="FL67:FL101" si="185">FF67/(BK67*60*7200)</f>
        <v>0.55025199267695624</v>
      </c>
      <c r="FM67">
        <f t="shared" ref="FM67:FM101" si="186">FF67/7200/60/(BM67*AM67*195.08/1000)</f>
        <v>1893.6500068703067</v>
      </c>
      <c r="FN67">
        <f t="shared" ref="FN67:FN101" si="187">FF67/7200/60/(BN67*BA67*AQ67*106.42/1000)</f>
        <v>3522.3912517352078</v>
      </c>
      <c r="FO67">
        <f t="shared" ref="FO67:FO101" si="188">FF67/(J67*BK67*102.91/1000*60*7200)</f>
        <v>15836.523047932667</v>
      </c>
    </row>
    <row r="68" spans="1:171">
      <c r="A68">
        <v>9</v>
      </c>
      <c r="B68">
        <v>1.54143585092054E-3</v>
      </c>
      <c r="C68">
        <v>1.54143585092054E-3</v>
      </c>
      <c r="D68">
        <v>3.4254130020456501E-4</v>
      </c>
      <c r="E68">
        <v>0</v>
      </c>
      <c r="F68">
        <v>0</v>
      </c>
      <c r="G68">
        <v>0</v>
      </c>
      <c r="H68" s="53">
        <v>1.7768596981705501E-5</v>
      </c>
      <c r="I68" s="53">
        <v>1.5331283704498101E-9</v>
      </c>
      <c r="J68">
        <v>3.3763247208936601E-4</v>
      </c>
      <c r="K68">
        <v>0.13890601070001499</v>
      </c>
      <c r="L68">
        <v>0.14052575540227799</v>
      </c>
      <c r="M68">
        <v>4.4751616793740602E-4</v>
      </c>
      <c r="N68" s="53">
        <v>-5.0090140368830299E-17</v>
      </c>
      <c r="O68" s="53">
        <v>-6.2343793322261397E-15</v>
      </c>
      <c r="P68" s="53">
        <v>1.7787691892340301E-20</v>
      </c>
      <c r="Q68">
        <v>0.10969051996097</v>
      </c>
      <c r="R68">
        <v>98.566938318892298</v>
      </c>
      <c r="S68">
        <v>500</v>
      </c>
      <c r="T68">
        <v>95</v>
      </c>
      <c r="U68">
        <v>1</v>
      </c>
      <c r="V68">
        <v>0.1</v>
      </c>
      <c r="W68">
        <v>91.165581160141301</v>
      </c>
      <c r="X68" t="s">
        <v>323</v>
      </c>
      <c r="Y68">
        <v>1</v>
      </c>
      <c r="Z68">
        <v>0.28318429382522198</v>
      </c>
      <c r="AA68">
        <v>0.56945642916197003</v>
      </c>
      <c r="AB68">
        <v>3.7698628972227502E-3</v>
      </c>
      <c r="AC68">
        <v>1822.2107908876901</v>
      </c>
      <c r="AD68">
        <v>2662.6059073104898</v>
      </c>
      <c r="AE68">
        <v>2401.5030938442701</v>
      </c>
      <c r="AF68">
        <v>10</v>
      </c>
      <c r="AG68">
        <v>1.6497485970141401E-3</v>
      </c>
      <c r="AH68">
        <v>1.6689858606617799E-3</v>
      </c>
      <c r="AI68" s="53">
        <v>5.3150268046377499E-6</v>
      </c>
      <c r="AJ68">
        <v>0</v>
      </c>
      <c r="AK68">
        <v>0</v>
      </c>
      <c r="AL68">
        <v>0</v>
      </c>
      <c r="AM68">
        <v>1.61279727507717E-3</v>
      </c>
      <c r="AN68" s="53">
        <v>7.9603998227522496E-5</v>
      </c>
      <c r="AO68" s="53">
        <v>5.28006888098894E-6</v>
      </c>
      <c r="AP68">
        <v>1.7333804651433E-3</v>
      </c>
      <c r="AQ68">
        <v>7.4557643117945299E-2</v>
      </c>
      <c r="AR68" s="53">
        <v>1.6398704779534299E-6</v>
      </c>
      <c r="AS68" s="53">
        <v>6.2399223158329797E-15</v>
      </c>
      <c r="AT68" s="53">
        <v>-6.4600451724072805E-13</v>
      </c>
      <c r="AU68" s="53">
        <v>5.9854789124336998E-20</v>
      </c>
      <c r="AV68">
        <v>0.19688310425783201</v>
      </c>
      <c r="AW68">
        <v>99.342281329262306</v>
      </c>
      <c r="AX68">
        <v>500</v>
      </c>
      <c r="AY68">
        <v>95</v>
      </c>
      <c r="AZ68">
        <v>0.92357542033771201</v>
      </c>
      <c r="BA68">
        <v>0.1</v>
      </c>
      <c r="BB68">
        <v>46.909836363013902</v>
      </c>
      <c r="BC68" t="s">
        <v>251</v>
      </c>
      <c r="BD68">
        <v>1</v>
      </c>
      <c r="BE68">
        <v>1.8775014999999999E-2</v>
      </c>
      <c r="BF68">
        <v>0.10492961100000001</v>
      </c>
      <c r="BG68">
        <v>1.814625E-3</v>
      </c>
      <c r="BH68">
        <v>285.1951444</v>
      </c>
      <c r="BI68">
        <v>2169.8944889999998</v>
      </c>
      <c r="BJ68">
        <v>866.49409060000005</v>
      </c>
      <c r="BK68">
        <f t="shared" si="121"/>
        <v>100</v>
      </c>
      <c r="BL68">
        <f t="shared" si="122"/>
        <v>10.969051996096999</v>
      </c>
      <c r="BM68">
        <f t="shared" si="123"/>
        <v>92.357542033771196</v>
      </c>
      <c r="BN68">
        <f t="shared" si="124"/>
        <v>19.6883104257832</v>
      </c>
      <c r="BO68">
        <f t="shared" si="125"/>
        <v>3.9488587185949195</v>
      </c>
      <c r="BP68">
        <f t="shared" si="126"/>
        <v>0.26325724790632798</v>
      </c>
      <c r="BQ68">
        <f t="shared" si="127"/>
        <v>1.3162862395316399</v>
      </c>
      <c r="BR68">
        <f t="shared" si="128"/>
        <v>0.65814311976581996</v>
      </c>
      <c r="BS68">
        <f t="shared" si="129"/>
        <v>1.0969051996096999</v>
      </c>
      <c r="BT68">
        <f t="shared" si="130"/>
        <v>6.5814311976581994</v>
      </c>
      <c r="BU68">
        <f t="shared" si="131"/>
        <v>17.550483193755198</v>
      </c>
      <c r="BV68">
        <f t="shared" si="174"/>
        <v>5.4845259980484995</v>
      </c>
      <c r="BW68">
        <f t="shared" si="132"/>
        <v>86.873016035722699</v>
      </c>
      <c r="BX68">
        <f t="shared" si="133"/>
        <v>103.32659402986819</v>
      </c>
      <c r="BY68">
        <f t="shared" si="175"/>
        <v>92.357542033771196</v>
      </c>
      <c r="BZ68">
        <f t="shared" si="176"/>
        <v>1.5356672794535797</v>
      </c>
      <c r="CA68">
        <f>7963.6*(BT68/1000)^0.6*1.7*('CAPEX+OPEX'!$G$116/'CAPEX+OPEX'!$G$115)</f>
        <v>783.85031135713814</v>
      </c>
      <c r="CB68">
        <f>7963.6*(BU68/1000)^0.6*1.7*('CAPEX+OPEX'!$G$116/'CAPEX+OPEX'!$G$115)</f>
        <v>1411.9339291005786</v>
      </c>
      <c r="CC68">
        <f>7963.6*(BX68/1000)^0.6*1.7*('CAPEX+OPEX'!$G$116/'CAPEX+OPEX'!$G$115)</f>
        <v>4090.4227597755034</v>
      </c>
      <c r="CD68">
        <f>7963.6*(BY68/1000)^0.6*1.7*('CAPEX+OPEX'!$G$116/'CAPEX+OPEX'!$G$115)</f>
        <v>3824.0569166417245</v>
      </c>
      <c r="CE68">
        <v>300</v>
      </c>
      <c r="CF68">
        <v>30</v>
      </c>
      <c r="CG68">
        <f t="shared" si="134"/>
        <v>7.0877917532819517</v>
      </c>
      <c r="CH68">
        <f t="shared" si="135"/>
        <v>0.47251945021879682</v>
      </c>
      <c r="CI68">
        <f t="shared" si="136"/>
        <v>2.3625972510939839</v>
      </c>
      <c r="CJ68">
        <f t="shared" si="137"/>
        <v>1.1812986255469919</v>
      </c>
      <c r="CK68">
        <f t="shared" si="138"/>
        <v>1.9688310425783202</v>
      </c>
      <c r="CL68">
        <f t="shared" si="139"/>
        <v>11.812986255469919</v>
      </c>
      <c r="CM68">
        <f t="shared" si="140"/>
        <v>31.501296681253123</v>
      </c>
      <c r="CN68">
        <f t="shared" si="177"/>
        <v>9.8441552128916001</v>
      </c>
      <c r="CO68">
        <v>0</v>
      </c>
      <c r="CP68">
        <f t="shared" si="141"/>
        <v>29.5324656386748</v>
      </c>
      <c r="CQ68">
        <f t="shared" si="178"/>
        <v>9.8441552128916001</v>
      </c>
      <c r="CR68">
        <f t="shared" si="179"/>
        <v>2.756363459609648</v>
      </c>
      <c r="CS68">
        <f>7963.6*(CL68/1000)^0.6*1.7*('CAPEX+OPEX'!$G$116/'CAPEX+OPEX'!$G$115)</f>
        <v>1113.4141775658964</v>
      </c>
      <c r="CT68">
        <f>7963.6*(CM68/1000)^0.6*1.7*('CAPEX+OPEX'!$G$116/'CAPEX+OPEX'!$G$115)</f>
        <v>2005.5707469517615</v>
      </c>
      <c r="CU68">
        <f>7963.6*(CP68/1000)^0.6*1.7*('CAPEX+OPEX'!$G$116/'CAPEX+OPEX'!$G$115)</f>
        <v>1929.3932386890745</v>
      </c>
      <c r="CV68">
        <f>7963.6*(CQ68/1000)^0.6*1.7*('CAPEX+OPEX'!$G$116/'CAPEX+OPEX'!$G$115)</f>
        <v>998.04011926728697</v>
      </c>
      <c r="CW68">
        <v>300</v>
      </c>
      <c r="CX68">
        <f t="shared" si="142"/>
        <v>30</v>
      </c>
      <c r="CY68">
        <f t="shared" si="143"/>
        <v>10</v>
      </c>
      <c r="CZ68">
        <f t="shared" si="144"/>
        <v>9.2357542033771196</v>
      </c>
      <c r="DA68">
        <f t="shared" si="145"/>
        <v>3960</v>
      </c>
      <c r="DB68">
        <f t="shared" si="146"/>
        <v>3960</v>
      </c>
      <c r="DC68">
        <f>CF68*'Reagent cost'!$C$18/1000*'Reagent cost'!$H$18</f>
        <v>4784.413580611521</v>
      </c>
      <c r="DD68">
        <f>CX68*'Ligand cost'!$B$56*'Ligand cost'!$J$56</f>
        <v>30543.831958072875</v>
      </c>
      <c r="DE68">
        <f t="shared" si="147"/>
        <v>39625.826528698344</v>
      </c>
      <c r="DF68">
        <f t="shared" si="148"/>
        <v>4586243.4239371875</v>
      </c>
      <c r="DG68">
        <f t="shared" si="149"/>
        <v>11794834.586807497</v>
      </c>
      <c r="DH68">
        <f t="shared" si="150"/>
        <v>2275209.1661185985</v>
      </c>
      <c r="DI68">
        <f t="shared" si="151"/>
        <v>14083914.336508472</v>
      </c>
      <c r="DJ68">
        <f t="shared" si="152"/>
        <v>1662824.8986326549</v>
      </c>
      <c r="DK68" s="55">
        <f>DF68*($BK$2/10000)^0.72*0.6*((A68+1)/3)^0.6*('CAPEX+OPEX'!$G$116/'CAPEX+OPEX'!$G$114)</f>
        <v>480193.52041347441</v>
      </c>
      <c r="DL68" s="55">
        <f>DG68*($BK$2/10000)^0.72*0.6*((A68+1)/3)^0.6*('CAPEX+OPEX'!$G$116/'CAPEX+OPEX'!$G$114)</f>
        <v>1234954.7591330099</v>
      </c>
      <c r="DM68" s="55">
        <f>DH68*($BK$2/10000)^0.72*0.6*((A68+1)/3)^0.6*('CAPEX+OPEX'!$G$116/'CAPEX+OPEX'!$G$114)</f>
        <v>238221.26262490739</v>
      </c>
      <c r="DN68" s="55">
        <f>DI68*($BK$2/10000)^0.72*0.6*((A68+1)/3)^0.6*('CAPEX+OPEX'!$G$116/'CAPEX+OPEX'!$G$114)</f>
        <v>1474628.3136981681</v>
      </c>
      <c r="DO68" s="55">
        <f>DJ68*($BK$2/10000)^0.72*0.6*((A68+1)/3)^0.6*('CAPEX+OPEX'!$G$116/'CAPEX+OPEX'!$G$114)</f>
        <v>174102.78262554979</v>
      </c>
      <c r="DP68">
        <f t="shared" si="153"/>
        <v>3602100.6384951095</v>
      </c>
      <c r="DQ68">
        <f>DF68*(BM68/10000)^0.72*0.6*((AF68+1)/3)^0.6*('CAPEX+OPEX'!$G$116/'CAPEX+OPEX'!$G$114)</f>
        <v>480166.66935134871</v>
      </c>
      <c r="DR68">
        <f>DG68*(BM68/10000)^0.72*0.6*((AF68+1)/3)^0.6*('CAPEX+OPEX'!$G$116/'CAPEX+OPEX'!$G$114)</f>
        <v>1234885.7039593135</v>
      </c>
      <c r="DS68">
        <f>DH68*(BM68/10000)^0.72*0.6*((AF68+1)/3)^0.6*('CAPEX+OPEX'!$G$116/'CAPEX+OPEX'!$G$114)</f>
        <v>238207.94196635939</v>
      </c>
      <c r="DT68">
        <f>DI68*(BM68/10000)^0.72*0.6*((AF68+1)/3)^0.6*('CAPEX+OPEX'!$G$116/'CAPEX+OPEX'!$G$114)</f>
        <v>1474545.8566578699</v>
      </c>
      <c r="DU68">
        <f>DJ68*(BM68/10000)^0.72*0.6*((AF68+1)/3)^0.6*('CAPEX+OPEX'!$G$116/'CAPEX+OPEX'!$G$114)</f>
        <v>174093.04729086946</v>
      </c>
      <c r="DV68">
        <f t="shared" si="154"/>
        <v>3601899.219225761</v>
      </c>
      <c r="DW68">
        <f t="shared" si="155"/>
        <v>7272315.5246196091</v>
      </c>
      <c r="DX68">
        <f t="shared" si="156"/>
        <v>484821.03497464058</v>
      </c>
      <c r="DY68">
        <f>BO68*'Reagent cost'!$C$35*60*7200</f>
        <v>1022822.2400316087</v>
      </c>
      <c r="DZ68">
        <f>BP68*'Reagent cost'!$C$34*60*7200</f>
        <v>243377.19781575311</v>
      </c>
      <c r="EA68">
        <f>BQ68*'Reagent cost'!$C$14*'Reagent cost'!$C$36/1000*60*7200</f>
        <v>4034177.2419786179</v>
      </c>
      <c r="EB68">
        <f t="shared" si="157"/>
        <v>39.6</v>
      </c>
      <c r="EC68">
        <f t="shared" si="158"/>
        <v>95.688271612230423</v>
      </c>
      <c r="ED68">
        <f>0.1*BK68*60*7200*'Reagent cost'!$H$17*'Reagent cost'!$C$17/1000</f>
        <v>504921.59999999998</v>
      </c>
      <c r="EE68">
        <f>BV68*0.1*'Reagent cost'!$C$16/1000*'Reagent cost'!$H$16*60*7200</f>
        <v>1000775.0604883848</v>
      </c>
      <c r="EF68">
        <f>BZ68/1000*'Reagent cost'!$H$19*'Reagent cost'!$C$19*60*7200</f>
        <v>84086.997553760215</v>
      </c>
      <c r="EG68">
        <f>0.33*('Costing 100 Lmin Feed Orig'!BO68*'Reagent cost'!$C$13+'Costing 100 Lmin Feed Orig'!BP68*'Reagent cost'!$C$12+'Costing 100 Lmin Feed Orig'!BQ68*'Reagent cost'!$C$14+'Costing 100 Lmin Feed Orig'!BV68*0.1*'Reagent cost'!$C$16+'Costing 100 Lmin Feed Orig'!BZ68*'Reagent cost'!$C$19)/1000*60*7200</f>
        <v>172039.86404264971</v>
      </c>
      <c r="EH68">
        <f>CG68*'Reagent cost'!$C$35*60*7200</f>
        <v>1835859.8153516469</v>
      </c>
      <c r="EI68">
        <f>CH68*'Reagent cost'!$C$34*60*7200</f>
        <v>436836.82262229832</v>
      </c>
      <c r="EJ68">
        <f>CI68*'Reagent cost'!$C$14*'Reagent cost'!$C$36/1000*60*7200</f>
        <v>7240929.6519850837</v>
      </c>
      <c r="EK68">
        <f t="shared" si="159"/>
        <v>39.6</v>
      </c>
      <c r="EL68">
        <f t="shared" si="160"/>
        <v>610.87663916145755</v>
      </c>
      <c r="EM68">
        <f>0.1*BM68*60*7200*'Reagent cost'!$H$17*'Reagent cost'!$C$17/1000</f>
        <v>466333.17895759002</v>
      </c>
      <c r="EN68">
        <f>CN68*0.1*'Reagent cost'!$C$16/1000*'Reagent cost'!$H$16*60*7200</f>
        <v>1796287.4152012584</v>
      </c>
      <c r="EO68">
        <f>CR68/1000*'Reagent cost'!$H$19*'Reagent cost'!$C$19*60*7200</f>
        <v>150927.43759438588</v>
      </c>
      <c r="EP68">
        <f>0.33*(CG68*'Reagent cost'!$C$13+CH68*'Reagent cost'!$C$12+CI68*'Reagent cost'!$C$14+CN68*0.1*'Reagent cost'!$C$16+CR68*'Reagent cost'!$C$19)/1000*60*7200</f>
        <v>308793.70888992475</v>
      </c>
      <c r="EQ68">
        <f t="shared" si="161"/>
        <v>22581744.509389389</v>
      </c>
      <c r="ER68">
        <f t="shared" si="162"/>
        <v>480833.57293257443</v>
      </c>
      <c r="ES68">
        <f t="shared" si="163"/>
        <v>44032.441905260595</v>
      </c>
      <c r="ET68">
        <f t="shared" si="164"/>
        <v>41526.098972294596</v>
      </c>
      <c r="EU68">
        <f t="shared" si="165"/>
        <v>17581.614484237631</v>
      </c>
      <c r="EV68">
        <f t="shared" si="166"/>
        <v>9313.4716969742931</v>
      </c>
      <c r="EW68">
        <f t="shared" si="167"/>
        <v>9376.8610582600722</v>
      </c>
      <c r="EX68">
        <f t="shared" si="168"/>
        <v>121830.48811702718</v>
      </c>
      <c r="EY68">
        <f t="shared" si="180"/>
        <v>43713.452676217516</v>
      </c>
      <c r="EZ68">
        <f t="shared" si="181"/>
        <v>42673.490277823796</v>
      </c>
      <c r="FA68">
        <f t="shared" si="182"/>
        <v>18067.40515794959</v>
      </c>
      <c r="FB68">
        <f t="shared" si="183"/>
        <v>9576.1363957083813</v>
      </c>
      <c r="FC68">
        <f t="shared" si="184"/>
        <v>9635.9494175731143</v>
      </c>
      <c r="FD68">
        <f t="shared" si="169"/>
        <v>123666.43392527239</v>
      </c>
      <c r="FE68">
        <f t="shared" si="170"/>
        <v>23308075.004364263</v>
      </c>
      <c r="FF68">
        <f t="shared" si="171"/>
        <v>23792896.039338905</v>
      </c>
      <c r="FG68">
        <f>BM68*AM68*195.08/1000*'PGM market prices'!$C$2*60*7200</f>
        <v>423417823.66897041</v>
      </c>
      <c r="FH68">
        <f>BN68*AQ68*BA68*106.42/1000*'PGM market prices'!$C$3*60*7200</f>
        <v>222226116.52213672</v>
      </c>
      <c r="FI68">
        <f>BK68*J68*102.91/1000*'PGM market prices'!$C$4*60*7200</f>
        <v>247586899.68097383</v>
      </c>
      <c r="FJ68">
        <f t="shared" si="172"/>
        <v>893230839.87208104</v>
      </c>
      <c r="FK68">
        <f t="shared" si="173"/>
        <v>643384078.43622911</v>
      </c>
      <c r="FL68">
        <f t="shared" si="185"/>
        <v>0.55076148239210432</v>
      </c>
      <c r="FM68">
        <f t="shared" si="186"/>
        <v>1895.3903536240509</v>
      </c>
      <c r="FN68">
        <f t="shared" si="187"/>
        <v>3525.6539767216291</v>
      </c>
      <c r="FO68">
        <f t="shared" si="188"/>
        <v>15851.186412580151</v>
      </c>
    </row>
    <row r="69" spans="1:171">
      <c r="A69">
        <v>9</v>
      </c>
      <c r="B69">
        <v>1.54143585092054E-3</v>
      </c>
      <c r="C69">
        <v>1.54143585092054E-3</v>
      </c>
      <c r="D69">
        <v>3.4254130020456501E-4</v>
      </c>
      <c r="E69">
        <v>0</v>
      </c>
      <c r="F69">
        <v>0</v>
      </c>
      <c r="G69">
        <v>0</v>
      </c>
      <c r="H69" s="53">
        <v>1.7768596981705501E-5</v>
      </c>
      <c r="I69" s="53">
        <v>1.5331283704498101E-9</v>
      </c>
      <c r="J69">
        <v>3.3763247208936601E-4</v>
      </c>
      <c r="K69">
        <v>0.13890601070001499</v>
      </c>
      <c r="L69">
        <v>0.14052575540227799</v>
      </c>
      <c r="M69">
        <v>4.4751616793740602E-4</v>
      </c>
      <c r="N69" s="53">
        <v>-5.0090140368830299E-17</v>
      </c>
      <c r="O69" s="53">
        <v>-6.2343793322261397E-15</v>
      </c>
      <c r="P69" s="53">
        <v>1.7787691892340301E-20</v>
      </c>
      <c r="Q69">
        <v>0.10969051996097</v>
      </c>
      <c r="R69">
        <v>98.566938318892298</v>
      </c>
      <c r="S69">
        <v>500</v>
      </c>
      <c r="T69">
        <v>95</v>
      </c>
      <c r="U69">
        <v>1</v>
      </c>
      <c r="V69">
        <v>0.1</v>
      </c>
      <c r="W69">
        <v>91.165581160141301</v>
      </c>
      <c r="X69" t="s">
        <v>323</v>
      </c>
      <c r="Y69">
        <v>1</v>
      </c>
      <c r="Z69">
        <v>0.28318429382522198</v>
      </c>
      <c r="AA69">
        <v>0.56945642916197003</v>
      </c>
      <c r="AB69">
        <v>3.7698628972227502E-3</v>
      </c>
      <c r="AC69">
        <v>1822.2107908876901</v>
      </c>
      <c r="AD69">
        <v>2662.6059073104898</v>
      </c>
      <c r="AE69">
        <v>2401.5030938442701</v>
      </c>
      <c r="AF69">
        <v>11</v>
      </c>
      <c r="AG69">
        <v>1.6497485970141401E-3</v>
      </c>
      <c r="AH69">
        <v>1.6689858606617799E-3</v>
      </c>
      <c r="AI69" s="53">
        <v>5.3150268046377499E-6</v>
      </c>
      <c r="AJ69">
        <v>0</v>
      </c>
      <c r="AK69">
        <v>0</v>
      </c>
      <c r="AL69">
        <v>0</v>
      </c>
      <c r="AM69">
        <v>1.6128003908315799E-3</v>
      </c>
      <c r="AN69" s="53">
        <v>7.9604159390225403E-5</v>
      </c>
      <c r="AO69" s="53">
        <v>5.2800717061551003E-6</v>
      </c>
      <c r="AP69">
        <v>1.7332750811688499E-3</v>
      </c>
      <c r="AQ69">
        <v>7.4559389546738394E-2</v>
      </c>
      <c r="AR69" s="53">
        <v>1.63977652565795E-6</v>
      </c>
      <c r="AS69" s="53">
        <v>2.01441375516017E-15</v>
      </c>
      <c r="AT69" s="53">
        <v>-2.0058065451633499E-13</v>
      </c>
      <c r="AU69" s="53">
        <v>1.2288595180087699E-20</v>
      </c>
      <c r="AV69">
        <v>0.196878472577803</v>
      </c>
      <c r="AW69">
        <v>99.342334483578696</v>
      </c>
      <c r="AX69">
        <v>500</v>
      </c>
      <c r="AY69">
        <v>95</v>
      </c>
      <c r="AZ69">
        <v>0.92357542033771201</v>
      </c>
      <c r="BA69">
        <v>0.1</v>
      </c>
      <c r="BB69">
        <v>46.9109399440677</v>
      </c>
      <c r="BC69" t="s">
        <v>251</v>
      </c>
      <c r="BD69">
        <v>1</v>
      </c>
      <c r="BE69">
        <v>1.8775014999999999E-2</v>
      </c>
      <c r="BF69">
        <v>0.10492961100000001</v>
      </c>
      <c r="BG69">
        <v>1.814625E-3</v>
      </c>
      <c r="BH69">
        <v>285.1951444</v>
      </c>
      <c r="BI69">
        <v>2169.8944889999998</v>
      </c>
      <c r="BJ69">
        <v>866.49409060000005</v>
      </c>
      <c r="BK69">
        <f t="shared" si="121"/>
        <v>100</v>
      </c>
      <c r="BL69">
        <f t="shared" si="122"/>
        <v>10.969051996096999</v>
      </c>
      <c r="BM69">
        <f t="shared" si="123"/>
        <v>92.357542033771196</v>
      </c>
      <c r="BN69">
        <f t="shared" si="124"/>
        <v>19.687847257780298</v>
      </c>
      <c r="BO69">
        <f t="shared" si="125"/>
        <v>3.9488587185949195</v>
      </c>
      <c r="BP69">
        <f t="shared" si="126"/>
        <v>0.26325724790632798</v>
      </c>
      <c r="BQ69">
        <f t="shared" si="127"/>
        <v>1.3162862395316399</v>
      </c>
      <c r="BR69">
        <f t="shared" si="128"/>
        <v>0.65814311976581996</v>
      </c>
      <c r="BS69">
        <f t="shared" si="129"/>
        <v>1.0969051996096999</v>
      </c>
      <c r="BT69">
        <f t="shared" si="130"/>
        <v>6.5814311976581994</v>
      </c>
      <c r="BU69">
        <f t="shared" si="131"/>
        <v>17.550483193755198</v>
      </c>
      <c r="BV69">
        <f t="shared" si="174"/>
        <v>5.4845259980484995</v>
      </c>
      <c r="BW69">
        <f t="shared" si="132"/>
        <v>86.873016035722699</v>
      </c>
      <c r="BX69">
        <f t="shared" si="133"/>
        <v>103.32659402986819</v>
      </c>
      <c r="BY69">
        <f t="shared" si="175"/>
        <v>92.357542033771196</v>
      </c>
      <c r="BZ69">
        <f t="shared" si="176"/>
        <v>1.5356672794535797</v>
      </c>
      <c r="CA69">
        <f>7963.6*(BT69/1000)^0.6*1.7*('CAPEX+OPEX'!$G$116/'CAPEX+OPEX'!$G$115)</f>
        <v>783.85031135713814</v>
      </c>
      <c r="CB69">
        <f>7963.6*(BU69/1000)^0.6*1.7*('CAPEX+OPEX'!$G$116/'CAPEX+OPEX'!$G$115)</f>
        <v>1411.9339291005786</v>
      </c>
      <c r="CC69">
        <f>7963.6*(BX69/1000)^0.6*1.7*('CAPEX+OPEX'!$G$116/'CAPEX+OPEX'!$G$115)</f>
        <v>4090.4227597755034</v>
      </c>
      <c r="CD69">
        <f>7963.6*(BY69/1000)^0.6*1.7*('CAPEX+OPEX'!$G$116/'CAPEX+OPEX'!$G$115)</f>
        <v>3824.0569166417245</v>
      </c>
      <c r="CE69">
        <v>300</v>
      </c>
      <c r="CF69">
        <v>30</v>
      </c>
      <c r="CG69">
        <f t="shared" si="134"/>
        <v>7.0876250128009071</v>
      </c>
      <c r="CH69">
        <f t="shared" si="135"/>
        <v>0.47250833418672716</v>
      </c>
      <c r="CI69">
        <f t="shared" si="136"/>
        <v>2.3625416709336355</v>
      </c>
      <c r="CJ69">
        <f t="shared" si="137"/>
        <v>1.1812708354668178</v>
      </c>
      <c r="CK69">
        <f t="shared" si="138"/>
        <v>1.96878472577803</v>
      </c>
      <c r="CL69">
        <f t="shared" si="139"/>
        <v>11.812708354668178</v>
      </c>
      <c r="CM69">
        <f t="shared" si="140"/>
        <v>31.50055561244848</v>
      </c>
      <c r="CN69">
        <f t="shared" si="177"/>
        <v>9.843923628890149</v>
      </c>
      <c r="CO69">
        <v>0</v>
      </c>
      <c r="CP69">
        <f t="shared" si="141"/>
        <v>29.531770886670447</v>
      </c>
      <c r="CQ69">
        <f t="shared" si="178"/>
        <v>9.843923628890149</v>
      </c>
      <c r="CR69">
        <f t="shared" si="179"/>
        <v>2.756298616089242</v>
      </c>
      <c r="CS69">
        <f>7963.6*(CL69/1000)^0.6*1.7*('CAPEX+OPEX'!$G$116/'CAPEX+OPEX'!$G$115)</f>
        <v>1113.3984616338662</v>
      </c>
      <c r="CT69">
        <f>7963.6*(CM69/1000)^0.6*1.7*('CAPEX+OPEX'!$G$116/'CAPEX+OPEX'!$G$115)</f>
        <v>2005.542438156906</v>
      </c>
      <c r="CU69">
        <f>7963.6*(CP69/1000)^0.6*1.7*('CAPEX+OPEX'!$G$116/'CAPEX+OPEX'!$G$115)</f>
        <v>1929.3660051459685</v>
      </c>
      <c r="CV69">
        <f>7963.6*(CQ69/1000)^0.6*1.7*('CAPEX+OPEX'!$G$116/'CAPEX+OPEX'!$G$115)</f>
        <v>998.02603184950999</v>
      </c>
      <c r="CW69">
        <v>300</v>
      </c>
      <c r="CX69">
        <f t="shared" si="142"/>
        <v>30</v>
      </c>
      <c r="CY69">
        <f t="shared" si="143"/>
        <v>10</v>
      </c>
      <c r="CZ69">
        <f t="shared" si="144"/>
        <v>9.2357542033771196</v>
      </c>
      <c r="DA69">
        <f t="shared" si="145"/>
        <v>3960</v>
      </c>
      <c r="DB69">
        <f t="shared" si="146"/>
        <v>3960</v>
      </c>
      <c r="DC69">
        <f>CF69*'Reagent cost'!$C$18/1000*'Reagent cost'!$H$18</f>
        <v>4784.413580611521</v>
      </c>
      <c r="DD69">
        <f>CX69*'Ligand cost'!$B$56*'Ligand cost'!$J$56</f>
        <v>30543.831958072875</v>
      </c>
      <c r="DE69">
        <f t="shared" si="147"/>
        <v>39625.826528698344</v>
      </c>
      <c r="DF69">
        <f t="shared" si="148"/>
        <v>4586243.4239371875</v>
      </c>
      <c r="DG69">
        <f t="shared" si="149"/>
        <v>11794834.586807497</v>
      </c>
      <c r="DH69">
        <f t="shared" si="150"/>
        <v>2275209.1661185985</v>
      </c>
      <c r="DI69">
        <f t="shared" si="151"/>
        <v>14083914.336508472</v>
      </c>
      <c r="DJ69">
        <f t="shared" si="152"/>
        <v>1662824.8986326549</v>
      </c>
      <c r="DK69" s="55">
        <f>DF69*($BK$2/10000)^0.72*0.6*((A69+1)/3)^0.6*('CAPEX+OPEX'!$G$116/'CAPEX+OPEX'!$G$114)</f>
        <v>480193.52041347441</v>
      </c>
      <c r="DL69" s="55">
        <f>DG69*($BK$2/10000)^0.72*0.6*((A69+1)/3)^0.6*('CAPEX+OPEX'!$G$116/'CAPEX+OPEX'!$G$114)</f>
        <v>1234954.7591330099</v>
      </c>
      <c r="DM69" s="55">
        <f>DH69*($BK$2/10000)^0.72*0.6*((A69+1)/3)^0.6*('CAPEX+OPEX'!$G$116/'CAPEX+OPEX'!$G$114)</f>
        <v>238221.26262490739</v>
      </c>
      <c r="DN69" s="55">
        <f>DI69*($BK$2/10000)^0.72*0.6*((A69+1)/3)^0.6*('CAPEX+OPEX'!$G$116/'CAPEX+OPEX'!$G$114)</f>
        <v>1474628.3136981681</v>
      </c>
      <c r="DO69" s="55">
        <f>DJ69*($BK$2/10000)^0.72*0.6*((A69+1)/3)^0.6*('CAPEX+OPEX'!$G$116/'CAPEX+OPEX'!$G$114)</f>
        <v>174102.78262554979</v>
      </c>
      <c r="DP69">
        <f t="shared" si="153"/>
        <v>3602100.6384951095</v>
      </c>
      <c r="DQ69">
        <f>DF69*(BM69/10000)^0.72*0.6*((AF69+1)/3)^0.6*('CAPEX+OPEX'!$G$116/'CAPEX+OPEX'!$G$114)</f>
        <v>505900.54452247324</v>
      </c>
      <c r="DR69">
        <f>DG69*(BM69/10000)^0.72*0.6*((AF69+1)/3)^0.6*('CAPEX+OPEX'!$G$116/'CAPEX+OPEX'!$G$114)</f>
        <v>1301067.712384064</v>
      </c>
      <c r="DS69">
        <f>DH69*(BM69/10000)^0.72*0.6*((AF69+1)/3)^0.6*('CAPEX+OPEX'!$G$116/'CAPEX+OPEX'!$G$114)</f>
        <v>250974.37044756519</v>
      </c>
      <c r="DT69">
        <f>DI69*(BM69/10000)^0.72*0.6*((AF69+1)/3)^0.6*('CAPEX+OPEX'!$G$116/'CAPEX+OPEX'!$G$114)</f>
        <v>1553572.1228095647</v>
      </c>
      <c r="DU69">
        <f>DJ69*(BM69/10000)^0.72*0.6*((AF69+1)/3)^0.6*('CAPEX+OPEX'!$G$116/'CAPEX+OPEX'!$G$114)</f>
        <v>183423.32578186932</v>
      </c>
      <c r="DV69">
        <f t="shared" si="154"/>
        <v>3794938.0759455361</v>
      </c>
      <c r="DW69">
        <f t="shared" si="155"/>
        <v>7465354.2831918439</v>
      </c>
      <c r="DX69">
        <f t="shared" si="156"/>
        <v>497690.28554612293</v>
      </c>
      <c r="DY69">
        <f>BO69*'Reagent cost'!$C$35*60*7200</f>
        <v>1022822.2400316087</v>
      </c>
      <c r="DZ69">
        <f>BP69*'Reagent cost'!$C$34*60*7200</f>
        <v>243377.19781575311</v>
      </c>
      <c r="EA69">
        <f>BQ69*'Reagent cost'!$C$14*'Reagent cost'!$C$36/1000*60*7200</f>
        <v>4034177.2419786179</v>
      </c>
      <c r="EB69">
        <f t="shared" si="157"/>
        <v>39.6</v>
      </c>
      <c r="EC69">
        <f t="shared" si="158"/>
        <v>95.688271612230423</v>
      </c>
      <c r="ED69">
        <f>0.1*BK69*60*7200*'Reagent cost'!$H$17*'Reagent cost'!$C$17/1000</f>
        <v>504921.59999999998</v>
      </c>
      <c r="EE69">
        <f>BV69*0.1*'Reagent cost'!$C$16/1000*'Reagent cost'!$H$16*60*7200</f>
        <v>1000775.0604883848</v>
      </c>
      <c r="EF69">
        <f>BZ69/1000*'Reagent cost'!$H$19*'Reagent cost'!$C$19*60*7200</f>
        <v>84086.997553760215</v>
      </c>
      <c r="EG69">
        <f>0.33*('Costing 100 Lmin Feed Orig'!BO69*'Reagent cost'!$C$13+'Costing 100 Lmin Feed Orig'!BP69*'Reagent cost'!$C$12+'Costing 100 Lmin Feed Orig'!BQ69*'Reagent cost'!$C$14+'Costing 100 Lmin Feed Orig'!BV69*0.1*'Reagent cost'!$C$16+'Costing 100 Lmin Feed Orig'!BZ69*'Reagent cost'!$C$19)/1000*60*7200</f>
        <v>172039.86404264971</v>
      </c>
      <c r="EH69">
        <f>CG69*'Reagent cost'!$C$35*60*7200</f>
        <v>1835816.6267028551</v>
      </c>
      <c r="EI69">
        <f>CH69*'Reagent cost'!$C$34*60*7200</f>
        <v>436826.54602494923</v>
      </c>
      <c r="EJ69">
        <f>CI69*'Reagent cost'!$C$14*'Reagent cost'!$C$36/1000*60*7200</f>
        <v>7240759.3089310816</v>
      </c>
      <c r="EK69">
        <f t="shared" si="159"/>
        <v>39.6</v>
      </c>
      <c r="EL69">
        <f t="shared" si="160"/>
        <v>610.87663916145755</v>
      </c>
      <c r="EM69">
        <f>0.1*BM69*60*7200*'Reagent cost'!$H$17*'Reagent cost'!$C$17/1000</f>
        <v>466333.17895759002</v>
      </c>
      <c r="EN69">
        <f>CN69*0.1*'Reagent cost'!$C$16/1000*'Reagent cost'!$H$16*60*7200</f>
        <v>1796245.1574941853</v>
      </c>
      <c r="EO69">
        <f>CR69/1000*'Reagent cost'!$H$19*'Reagent cost'!$C$19*60*7200</f>
        <v>150923.88702258252</v>
      </c>
      <c r="EP69">
        <f>0.33*(CG69*'Reagent cost'!$C$13+CH69*'Reagent cost'!$C$12+CI69*'Reagent cost'!$C$14+CN69*0.1*'Reagent cost'!$C$16+CR69*'Reagent cost'!$C$19)/1000*60*7200</f>
        <v>308786.44451007899</v>
      </c>
      <c r="EQ69">
        <f t="shared" si="161"/>
        <v>22581420.96949457</v>
      </c>
      <c r="ER69">
        <f t="shared" si="162"/>
        <v>480826.30855272873</v>
      </c>
      <c r="ES69">
        <f t="shared" si="163"/>
        <v>44032.441905260595</v>
      </c>
      <c r="ET69">
        <f t="shared" si="164"/>
        <v>41526.098972294596</v>
      </c>
      <c r="EU69">
        <f t="shared" si="165"/>
        <v>17581.614484237631</v>
      </c>
      <c r="EV69">
        <f t="shared" si="166"/>
        <v>9313.4716969742931</v>
      </c>
      <c r="EW69">
        <f t="shared" si="167"/>
        <v>9376.8610582600722</v>
      </c>
      <c r="EX69">
        <f t="shared" si="168"/>
        <v>121830.48811702718</v>
      </c>
      <c r="EY69">
        <f t="shared" si="180"/>
        <v>46284.832245406782</v>
      </c>
      <c r="EZ69">
        <f t="shared" si="181"/>
        <v>46552.898484898687</v>
      </c>
      <c r="FA69">
        <f t="shared" si="182"/>
        <v>19709.896535945009</v>
      </c>
      <c r="FB69">
        <f t="shared" si="183"/>
        <v>10446.694249863689</v>
      </c>
      <c r="FC69">
        <f t="shared" si="184"/>
        <v>10511.944819170671</v>
      </c>
      <c r="FD69">
        <f t="shared" si="169"/>
        <v>133506.26633528483</v>
      </c>
      <c r="FE69">
        <f t="shared" si="170"/>
        <v>23317584.032499611</v>
      </c>
      <c r="FF69">
        <f t="shared" si="171"/>
        <v>23815274.318045735</v>
      </c>
      <c r="FG69">
        <f>BM69*AM69*195.08/1000*'PGM market prices'!$C$2*60*7200</f>
        <v>423418641.66759413</v>
      </c>
      <c r="FH69">
        <f>BN69*AQ69*BA69*106.42/1000*'PGM market prices'!$C$3*60*7200</f>
        <v>222226093.92106202</v>
      </c>
      <c r="FI69">
        <f>BK69*J69*102.91/1000*'PGM market prices'!$C$4*60*7200</f>
        <v>247586899.68097383</v>
      </c>
      <c r="FJ69">
        <f t="shared" si="172"/>
        <v>893231635.26962996</v>
      </c>
      <c r="FK69">
        <f t="shared" si="173"/>
        <v>643368107.10417235</v>
      </c>
      <c r="FL69">
        <f t="shared" si="185"/>
        <v>0.55127949810291055</v>
      </c>
      <c r="FM69">
        <f t="shared" si="186"/>
        <v>1897.1693875605677</v>
      </c>
      <c r="FN69">
        <f t="shared" si="187"/>
        <v>3528.9703702629163</v>
      </c>
      <c r="FO69">
        <f t="shared" si="188"/>
        <v>15866.095159577077</v>
      </c>
    </row>
    <row r="70" spans="1:171">
      <c r="A70">
        <v>9</v>
      </c>
      <c r="B70">
        <v>1.54143585092054E-3</v>
      </c>
      <c r="C70">
        <v>1.54143585092054E-3</v>
      </c>
      <c r="D70">
        <v>3.4254130020456501E-4</v>
      </c>
      <c r="E70">
        <v>0</v>
      </c>
      <c r="F70">
        <v>0</v>
      </c>
      <c r="G70">
        <v>0</v>
      </c>
      <c r="H70" s="53">
        <v>1.7768596981705501E-5</v>
      </c>
      <c r="I70" s="53">
        <v>1.5331283704498101E-9</v>
      </c>
      <c r="J70">
        <v>3.3763247208936601E-4</v>
      </c>
      <c r="K70">
        <v>0.13890601070001499</v>
      </c>
      <c r="L70">
        <v>0.14052575540227799</v>
      </c>
      <c r="M70">
        <v>4.4751616793740602E-4</v>
      </c>
      <c r="N70" s="53">
        <v>-5.0090140368830299E-17</v>
      </c>
      <c r="O70" s="53">
        <v>-6.2343793322261397E-15</v>
      </c>
      <c r="P70" s="53">
        <v>1.7787691892340301E-20</v>
      </c>
      <c r="Q70">
        <v>0.10969051996097</v>
      </c>
      <c r="R70">
        <v>98.566938318892298</v>
      </c>
      <c r="S70">
        <v>500</v>
      </c>
      <c r="T70">
        <v>95</v>
      </c>
      <c r="U70">
        <v>1</v>
      </c>
      <c r="V70">
        <v>0.1</v>
      </c>
      <c r="W70">
        <v>91.165581160141301</v>
      </c>
      <c r="X70" t="s">
        <v>323</v>
      </c>
      <c r="Y70">
        <v>1</v>
      </c>
      <c r="Z70">
        <v>0.28318429382522198</v>
      </c>
      <c r="AA70">
        <v>0.56945642916197003</v>
      </c>
      <c r="AB70">
        <v>3.7698628972227502E-3</v>
      </c>
      <c r="AC70">
        <v>1822.2107908876901</v>
      </c>
      <c r="AD70">
        <v>2662.6059073104898</v>
      </c>
      <c r="AE70">
        <v>2401.5030938442701</v>
      </c>
      <c r="AF70">
        <v>12</v>
      </c>
      <c r="AG70">
        <v>1.6497485970141401E-3</v>
      </c>
      <c r="AH70">
        <v>1.6689858606617799E-3</v>
      </c>
      <c r="AI70" s="53">
        <v>5.3150268046377499E-6</v>
      </c>
      <c r="AJ70">
        <v>0</v>
      </c>
      <c r="AK70">
        <v>0</v>
      </c>
      <c r="AL70">
        <v>0</v>
      </c>
      <c r="AM70">
        <v>1.61280126654258E-3</v>
      </c>
      <c r="AN70" s="53">
        <v>7.9604204686258806E-5</v>
      </c>
      <c r="AO70" s="53">
        <v>5.2800725001932601E-6</v>
      </c>
      <c r="AP70">
        <v>1.7332454612020299E-3</v>
      </c>
      <c r="AQ70">
        <v>7.4559880410390605E-2</v>
      </c>
      <c r="AR70" s="53">
        <v>1.63975011876007E-6</v>
      </c>
      <c r="AS70" s="53">
        <v>3.97766672030619E-16</v>
      </c>
      <c r="AT70" s="53">
        <v>-3.8874068894467698E-14</v>
      </c>
      <c r="AU70" s="53">
        <v>-3.3087224502121099E-21</v>
      </c>
      <c r="AV70">
        <v>0.196877170799345</v>
      </c>
      <c r="AW70">
        <v>99.3423494230736</v>
      </c>
      <c r="AX70">
        <v>500</v>
      </c>
      <c r="AY70">
        <v>95</v>
      </c>
      <c r="AZ70">
        <v>0.92357542033771201</v>
      </c>
      <c r="BA70">
        <v>0.1</v>
      </c>
      <c r="BB70">
        <v>46.911250125541898</v>
      </c>
      <c r="BC70" t="s">
        <v>251</v>
      </c>
      <c r="BD70">
        <v>1</v>
      </c>
      <c r="BE70">
        <v>1.8775014999999999E-2</v>
      </c>
      <c r="BF70">
        <v>0.10492961100000001</v>
      </c>
      <c r="BG70">
        <v>1.814625E-3</v>
      </c>
      <c r="BH70">
        <v>285.1951444</v>
      </c>
      <c r="BI70">
        <v>2169.8944889999998</v>
      </c>
      <c r="BJ70">
        <v>866.49409060000005</v>
      </c>
      <c r="BK70">
        <f t="shared" si="121"/>
        <v>100</v>
      </c>
      <c r="BL70">
        <f t="shared" si="122"/>
        <v>10.969051996096999</v>
      </c>
      <c r="BM70">
        <f t="shared" si="123"/>
        <v>92.357542033771196</v>
      </c>
      <c r="BN70">
        <f t="shared" si="124"/>
        <v>19.687717079934501</v>
      </c>
      <c r="BO70">
        <f t="shared" si="125"/>
        <v>3.9488587185949195</v>
      </c>
      <c r="BP70">
        <f t="shared" si="126"/>
        <v>0.26325724790632798</v>
      </c>
      <c r="BQ70">
        <f t="shared" si="127"/>
        <v>1.3162862395316399</v>
      </c>
      <c r="BR70">
        <f t="shared" si="128"/>
        <v>0.65814311976581996</v>
      </c>
      <c r="BS70">
        <f t="shared" si="129"/>
        <v>1.0969051996096999</v>
      </c>
      <c r="BT70">
        <f t="shared" si="130"/>
        <v>6.5814311976581994</v>
      </c>
      <c r="BU70">
        <f t="shared" si="131"/>
        <v>17.550483193755198</v>
      </c>
      <c r="BV70">
        <f t="shared" si="174"/>
        <v>5.4845259980484995</v>
      </c>
      <c r="BW70">
        <f t="shared" si="132"/>
        <v>86.873016035722699</v>
      </c>
      <c r="BX70">
        <f t="shared" si="133"/>
        <v>103.32659402986819</v>
      </c>
      <c r="BY70">
        <f t="shared" si="175"/>
        <v>92.357542033771196</v>
      </c>
      <c r="BZ70">
        <f t="shared" si="176"/>
        <v>1.5356672794535797</v>
      </c>
      <c r="CA70">
        <f>7963.6*(BT70/1000)^0.6*1.7*('CAPEX+OPEX'!$G$116/'CAPEX+OPEX'!$G$115)</f>
        <v>783.85031135713814</v>
      </c>
      <c r="CB70">
        <f>7963.6*(BU70/1000)^0.6*1.7*('CAPEX+OPEX'!$G$116/'CAPEX+OPEX'!$G$115)</f>
        <v>1411.9339291005786</v>
      </c>
      <c r="CC70">
        <f>7963.6*(BX70/1000)^0.6*1.7*('CAPEX+OPEX'!$G$116/'CAPEX+OPEX'!$G$115)</f>
        <v>4090.4227597755034</v>
      </c>
      <c r="CD70">
        <f>7963.6*(BY70/1000)^0.6*1.7*('CAPEX+OPEX'!$G$116/'CAPEX+OPEX'!$G$115)</f>
        <v>3824.0569166417245</v>
      </c>
      <c r="CE70">
        <v>300</v>
      </c>
      <c r="CF70">
        <v>30</v>
      </c>
      <c r="CG70">
        <f t="shared" si="134"/>
        <v>7.0875781487764202</v>
      </c>
      <c r="CH70">
        <f t="shared" si="135"/>
        <v>0.47250520991842804</v>
      </c>
      <c r="CI70">
        <f t="shared" si="136"/>
        <v>2.3625260495921401</v>
      </c>
      <c r="CJ70">
        <f t="shared" si="137"/>
        <v>1.18126302479607</v>
      </c>
      <c r="CK70">
        <f t="shared" si="138"/>
        <v>1.9687717079934501</v>
      </c>
      <c r="CL70">
        <f t="shared" si="139"/>
        <v>11.812630247960699</v>
      </c>
      <c r="CM70">
        <f t="shared" si="140"/>
        <v>31.500347327895202</v>
      </c>
      <c r="CN70">
        <f t="shared" si="177"/>
        <v>9.8438585399672505</v>
      </c>
      <c r="CO70">
        <v>0</v>
      </c>
      <c r="CP70">
        <f t="shared" si="141"/>
        <v>29.531575619901751</v>
      </c>
      <c r="CQ70">
        <f t="shared" si="178"/>
        <v>9.8438585399672505</v>
      </c>
      <c r="CR70">
        <f t="shared" si="179"/>
        <v>2.7562803911908302</v>
      </c>
      <c r="CS70">
        <f>7963.6*(CL70/1000)^0.6*1.7*('CAPEX+OPEX'!$G$116/'CAPEX+OPEX'!$G$115)</f>
        <v>1113.3940444925802</v>
      </c>
      <c r="CT70">
        <f>7963.6*(CM70/1000)^0.6*1.7*('CAPEX+OPEX'!$G$116/'CAPEX+OPEX'!$G$115)</f>
        <v>2005.5344816484239</v>
      </c>
      <c r="CU70">
        <f>7963.6*(CP70/1000)^0.6*1.7*('CAPEX+OPEX'!$G$116/'CAPEX+OPEX'!$G$115)</f>
        <v>1929.3583508492088</v>
      </c>
      <c r="CV70">
        <f>7963.6*(CQ70/1000)^0.6*1.7*('CAPEX+OPEX'!$G$116/'CAPEX+OPEX'!$G$115)</f>
        <v>998.02207242066106</v>
      </c>
      <c r="CW70">
        <v>300</v>
      </c>
      <c r="CX70">
        <f t="shared" si="142"/>
        <v>30</v>
      </c>
      <c r="CY70">
        <f t="shared" si="143"/>
        <v>10</v>
      </c>
      <c r="CZ70">
        <f t="shared" si="144"/>
        <v>9.2357542033771196</v>
      </c>
      <c r="DA70">
        <f t="shared" si="145"/>
        <v>3960</v>
      </c>
      <c r="DB70">
        <f t="shared" si="146"/>
        <v>3960</v>
      </c>
      <c r="DC70">
        <f>CF70*'Reagent cost'!$C$18/1000*'Reagent cost'!$H$18</f>
        <v>4784.413580611521</v>
      </c>
      <c r="DD70">
        <f>CX70*'Ligand cost'!$B$56*'Ligand cost'!$J$56</f>
        <v>30543.831958072875</v>
      </c>
      <c r="DE70">
        <f t="shared" si="147"/>
        <v>39625.826528698344</v>
      </c>
      <c r="DF70">
        <f t="shared" si="148"/>
        <v>4586243.4239371875</v>
      </c>
      <c r="DG70">
        <f t="shared" si="149"/>
        <v>11794834.586807497</v>
      </c>
      <c r="DH70">
        <f t="shared" si="150"/>
        <v>2275209.1661185985</v>
      </c>
      <c r="DI70">
        <f t="shared" si="151"/>
        <v>14083914.336508472</v>
      </c>
      <c r="DJ70">
        <f t="shared" si="152"/>
        <v>1662824.8986326549</v>
      </c>
      <c r="DK70" s="55">
        <f>DF70*($BK$2/10000)^0.72*0.6*((A70+1)/3)^0.6*('CAPEX+OPEX'!$G$116/'CAPEX+OPEX'!$G$114)</f>
        <v>480193.52041347441</v>
      </c>
      <c r="DL70" s="55">
        <f>DG70*($BK$2/10000)^0.72*0.6*((A70+1)/3)^0.6*('CAPEX+OPEX'!$G$116/'CAPEX+OPEX'!$G$114)</f>
        <v>1234954.7591330099</v>
      </c>
      <c r="DM70" s="55">
        <f>DH70*($BK$2/10000)^0.72*0.6*((A70+1)/3)^0.6*('CAPEX+OPEX'!$G$116/'CAPEX+OPEX'!$G$114)</f>
        <v>238221.26262490739</v>
      </c>
      <c r="DN70" s="55">
        <f>DI70*($BK$2/10000)^0.72*0.6*((A70+1)/3)^0.6*('CAPEX+OPEX'!$G$116/'CAPEX+OPEX'!$G$114)</f>
        <v>1474628.3136981681</v>
      </c>
      <c r="DO70" s="55">
        <f>DJ70*($BK$2/10000)^0.72*0.6*((A70+1)/3)^0.6*('CAPEX+OPEX'!$G$116/'CAPEX+OPEX'!$G$114)</f>
        <v>174102.78262554979</v>
      </c>
      <c r="DP70">
        <f t="shared" si="153"/>
        <v>3602100.6384951095</v>
      </c>
      <c r="DQ70">
        <f>DF70*(BM70/10000)^0.72*0.6*((AF70+1)/3)^0.6*('CAPEX+OPEX'!$G$116/'CAPEX+OPEX'!$G$114)</f>
        <v>530789.60692493687</v>
      </c>
      <c r="DR70">
        <f>DG70*(BM70/10000)^0.72*0.6*((AF70+1)/3)^0.6*('CAPEX+OPEX'!$G$116/'CAPEX+OPEX'!$G$114)</f>
        <v>1365077.0435341692</v>
      </c>
      <c r="DS70">
        <f>DH70*(BM70/10000)^0.72*0.6*((AF70+1)/3)^0.6*('CAPEX+OPEX'!$G$116/'CAPEX+OPEX'!$G$114)</f>
        <v>263321.69213978562</v>
      </c>
      <c r="DT70">
        <f>DI70*(BM70/10000)^0.72*0.6*((AF70+1)/3)^0.6*('CAPEX+OPEX'!$G$116/'CAPEX+OPEX'!$G$114)</f>
        <v>1630004.0498552916</v>
      </c>
      <c r="DU70">
        <f>DJ70*(BM70/10000)^0.72*0.6*((AF70+1)/3)^0.6*('CAPEX+OPEX'!$G$116/'CAPEX+OPEX'!$G$114)</f>
        <v>192447.30223510985</v>
      </c>
      <c r="DV70">
        <f t="shared" si="154"/>
        <v>3981639.6946892934</v>
      </c>
      <c r="DW70">
        <f t="shared" si="155"/>
        <v>7652055.8743501185</v>
      </c>
      <c r="DX70">
        <f t="shared" si="156"/>
        <v>510137.05829000787</v>
      </c>
      <c r="DY70">
        <f>BO70*'Reagent cost'!$C$35*60*7200</f>
        <v>1022822.2400316087</v>
      </c>
      <c r="DZ70">
        <f>BP70*'Reagent cost'!$C$34*60*7200</f>
        <v>243377.19781575311</v>
      </c>
      <c r="EA70">
        <f>BQ70*'Reagent cost'!$C$14*'Reagent cost'!$C$36/1000*60*7200</f>
        <v>4034177.2419786179</v>
      </c>
      <c r="EB70">
        <f t="shared" si="157"/>
        <v>39.6</v>
      </c>
      <c r="EC70">
        <f t="shared" si="158"/>
        <v>95.688271612230423</v>
      </c>
      <c r="ED70">
        <f>0.1*BK70*60*7200*'Reagent cost'!$H$17*'Reagent cost'!$C$17/1000</f>
        <v>504921.59999999998</v>
      </c>
      <c r="EE70">
        <f>BV70*0.1*'Reagent cost'!$C$16/1000*'Reagent cost'!$H$16*60*7200</f>
        <v>1000775.0604883848</v>
      </c>
      <c r="EF70">
        <f>BZ70/1000*'Reagent cost'!$H$19*'Reagent cost'!$C$19*60*7200</f>
        <v>84086.997553760215</v>
      </c>
      <c r="EG70">
        <f>0.33*('Costing 100 Lmin Feed Orig'!BO70*'Reagent cost'!$C$13+'Costing 100 Lmin Feed Orig'!BP70*'Reagent cost'!$C$12+'Costing 100 Lmin Feed Orig'!BQ70*'Reagent cost'!$C$14+'Costing 100 Lmin Feed Orig'!BV70*0.1*'Reagent cost'!$C$16+'Costing 100 Lmin Feed Orig'!BZ70*'Reagent cost'!$C$19)/1000*60*7200</f>
        <v>172039.86404264971</v>
      </c>
      <c r="EH70">
        <f>CG70*'Reagent cost'!$C$35*60*7200</f>
        <v>1835804.4881155014</v>
      </c>
      <c r="EI70">
        <f>CH70*'Reagent cost'!$C$34*60*7200</f>
        <v>436823.65768789523</v>
      </c>
      <c r="EJ70">
        <f>CI70*'Reagent cost'!$C$14*'Reagent cost'!$C$36/1000*60*7200</f>
        <v>7240711.4323686305</v>
      </c>
      <c r="EK70">
        <f t="shared" si="159"/>
        <v>39.6</v>
      </c>
      <c r="EL70">
        <f t="shared" si="160"/>
        <v>610.87663916145755</v>
      </c>
      <c r="EM70">
        <f>0.1*BM70*60*7200*'Reagent cost'!$H$17*'Reagent cost'!$C$17/1000</f>
        <v>466333.17895759002</v>
      </c>
      <c r="EN70">
        <f>CN70*0.1*'Reagent cost'!$C$16/1000*'Reagent cost'!$H$16*60*7200</f>
        <v>1796233.2805570031</v>
      </c>
      <c r="EO70">
        <f>CR70/1000*'Reagent cost'!$H$19*'Reagent cost'!$C$19*60*7200</f>
        <v>150922.88910004511</v>
      </c>
      <c r="EP70">
        <f>0.33*(CG70*'Reagent cost'!$C$13+CH70*'Reagent cost'!$C$12+CI70*'Reagent cost'!$C$14+CN70*0.1*'Reagent cost'!$C$16+CR70*'Reagent cost'!$C$19)/1000*60*7200</f>
        <v>308784.40278588067</v>
      </c>
      <c r="EQ70">
        <f t="shared" si="161"/>
        <v>22581330.035478678</v>
      </c>
      <c r="ER70">
        <f t="shared" si="162"/>
        <v>480824.26682853035</v>
      </c>
      <c r="ES70">
        <f t="shared" si="163"/>
        <v>44032.441905260595</v>
      </c>
      <c r="ET70">
        <f t="shared" si="164"/>
        <v>41526.098972294596</v>
      </c>
      <c r="EU70">
        <f t="shared" si="165"/>
        <v>17581.614484237631</v>
      </c>
      <c r="EV70">
        <f t="shared" si="166"/>
        <v>9313.4716969742931</v>
      </c>
      <c r="EW70">
        <f t="shared" si="167"/>
        <v>9376.8610582600722</v>
      </c>
      <c r="EX70">
        <f t="shared" si="168"/>
        <v>121830.48811702718</v>
      </c>
      <c r="EY70">
        <f t="shared" si="180"/>
        <v>48856.211814596048</v>
      </c>
      <c r="EZ70">
        <f t="shared" si="181"/>
        <v>50432.306691973587</v>
      </c>
      <c r="FA70">
        <f t="shared" si="182"/>
        <v>21352.387913940427</v>
      </c>
      <c r="FB70">
        <f t="shared" si="183"/>
        <v>11317.252104018999</v>
      </c>
      <c r="FC70">
        <f t="shared" si="184"/>
        <v>11387.940220768229</v>
      </c>
      <c r="FD70">
        <f t="shared" si="169"/>
        <v>143346.09874529729</v>
      </c>
      <c r="FE70">
        <f t="shared" si="170"/>
        <v>23327330.889169533</v>
      </c>
      <c r="FF70">
        <f t="shared" si="171"/>
        <v>23837467.947459541</v>
      </c>
      <c r="FG70">
        <f>BM70*AM70*195.08/1000*'PGM market prices'!$C$2*60*7200</f>
        <v>423418871.57351685</v>
      </c>
      <c r="FH70">
        <f>BN70*AQ70*BA70*106.42/1000*'PGM market prices'!$C$3*60*7200</f>
        <v>222226087.56332642</v>
      </c>
      <c r="FI70">
        <f>BK70*J70*102.91/1000*'PGM market prices'!$C$4*60*7200</f>
        <v>247586899.68097383</v>
      </c>
      <c r="FJ70">
        <f t="shared" si="172"/>
        <v>893231858.81781697</v>
      </c>
      <c r="FK70">
        <f t="shared" si="173"/>
        <v>643351849.24406445</v>
      </c>
      <c r="FL70">
        <f t="shared" si="185"/>
        <v>0.55179323952452641</v>
      </c>
      <c r="FM70">
        <f t="shared" si="186"/>
        <v>1898.9363425999213</v>
      </c>
      <c r="FN70">
        <f t="shared" si="187"/>
        <v>3532.259144779156</v>
      </c>
      <c r="FO70">
        <f t="shared" si="188"/>
        <v>15880.880890428349</v>
      </c>
    </row>
    <row r="71" spans="1:171">
      <c r="A71">
        <v>9</v>
      </c>
      <c r="B71">
        <v>1.54143585092054E-3</v>
      </c>
      <c r="C71">
        <v>1.54143585092054E-3</v>
      </c>
      <c r="D71">
        <v>3.4254130020456501E-4</v>
      </c>
      <c r="E71">
        <v>0</v>
      </c>
      <c r="F71">
        <v>0</v>
      </c>
      <c r="G71">
        <v>0</v>
      </c>
      <c r="H71" s="53">
        <v>1.7768596981705501E-5</v>
      </c>
      <c r="I71" s="53">
        <v>1.5331283704498101E-9</v>
      </c>
      <c r="J71">
        <v>3.3763247208936601E-4</v>
      </c>
      <c r="K71">
        <v>0.13890601070001499</v>
      </c>
      <c r="L71">
        <v>0.14052575540227799</v>
      </c>
      <c r="M71">
        <v>4.4751616793740602E-4</v>
      </c>
      <c r="N71" s="53">
        <v>-5.0090140368830299E-17</v>
      </c>
      <c r="O71" s="53">
        <v>-6.2343793322261397E-15</v>
      </c>
      <c r="P71" s="53">
        <v>1.7787691892340301E-20</v>
      </c>
      <c r="Q71">
        <v>0.10969051996097</v>
      </c>
      <c r="R71">
        <v>98.566938318892298</v>
      </c>
      <c r="S71">
        <v>500</v>
      </c>
      <c r="T71">
        <v>95</v>
      </c>
      <c r="U71">
        <v>1</v>
      </c>
      <c r="V71">
        <v>0.1</v>
      </c>
      <c r="W71">
        <v>91.165581160141301</v>
      </c>
      <c r="X71" t="s">
        <v>323</v>
      </c>
      <c r="Y71">
        <v>1</v>
      </c>
      <c r="Z71">
        <v>0.28318429382522198</v>
      </c>
      <c r="AA71">
        <v>0.56945642916197003</v>
      </c>
      <c r="AB71">
        <v>3.7698628972227502E-3</v>
      </c>
      <c r="AC71">
        <v>1822.2107908876901</v>
      </c>
      <c r="AD71">
        <v>2662.6059073104898</v>
      </c>
      <c r="AE71">
        <v>2401.5030938442701</v>
      </c>
      <c r="AF71">
        <v>13</v>
      </c>
      <c r="AG71">
        <v>1.6497485970141401E-3</v>
      </c>
      <c r="AH71">
        <v>1.6689858606617799E-3</v>
      </c>
      <c r="AI71" s="53">
        <v>5.3150268046377499E-6</v>
      </c>
      <c r="AJ71">
        <v>0</v>
      </c>
      <c r="AK71">
        <v>0</v>
      </c>
      <c r="AL71">
        <v>0</v>
      </c>
      <c r="AM71">
        <v>1.6128015126361699E-3</v>
      </c>
      <c r="AN71" s="53">
        <v>7.9604217415409805E-5</v>
      </c>
      <c r="AO71" s="53">
        <v>5.2800727233350599E-6</v>
      </c>
      <c r="AP71">
        <v>1.7332371372774599E-3</v>
      </c>
      <c r="AQ71">
        <v>7.4560018354909094E-2</v>
      </c>
      <c r="AR71" s="53">
        <v>1.6397426977852001E-6</v>
      </c>
      <c r="AS71" s="53">
        <v>2.84603070277444E-19</v>
      </c>
      <c r="AT71" s="53">
        <v>-1.2576745200831801E-17</v>
      </c>
      <c r="AU71" s="53">
        <v>8.8673761665684492E-22</v>
      </c>
      <c r="AV71">
        <v>0.196876804972202</v>
      </c>
      <c r="AW71">
        <v>99.342353621393102</v>
      </c>
      <c r="AX71">
        <v>500</v>
      </c>
      <c r="AY71">
        <v>95</v>
      </c>
      <c r="AZ71">
        <v>0.92357542033771201</v>
      </c>
      <c r="BA71">
        <v>0.1</v>
      </c>
      <c r="BB71">
        <v>46.911337293802198</v>
      </c>
      <c r="BC71" t="s">
        <v>251</v>
      </c>
      <c r="BD71">
        <v>1</v>
      </c>
      <c r="BE71">
        <v>1.8775014999999999E-2</v>
      </c>
      <c r="BF71">
        <v>0.10492961100000001</v>
      </c>
      <c r="BG71">
        <v>1.814625E-3</v>
      </c>
      <c r="BH71">
        <v>285.1951444</v>
      </c>
      <c r="BI71">
        <v>2169.8944889999998</v>
      </c>
      <c r="BJ71">
        <v>866.49409060000005</v>
      </c>
      <c r="BK71">
        <f t="shared" si="121"/>
        <v>100</v>
      </c>
      <c r="BL71">
        <f t="shared" si="122"/>
        <v>10.969051996096999</v>
      </c>
      <c r="BM71">
        <f t="shared" si="123"/>
        <v>92.357542033771196</v>
      </c>
      <c r="BN71">
        <f t="shared" si="124"/>
        <v>19.6876804972202</v>
      </c>
      <c r="BO71">
        <f t="shared" si="125"/>
        <v>3.9488587185949195</v>
      </c>
      <c r="BP71">
        <f t="shared" si="126"/>
        <v>0.26325724790632798</v>
      </c>
      <c r="BQ71">
        <f t="shared" si="127"/>
        <v>1.3162862395316399</v>
      </c>
      <c r="BR71">
        <f t="shared" si="128"/>
        <v>0.65814311976581996</v>
      </c>
      <c r="BS71">
        <f t="shared" si="129"/>
        <v>1.0969051996096999</v>
      </c>
      <c r="BT71">
        <f t="shared" si="130"/>
        <v>6.5814311976581994</v>
      </c>
      <c r="BU71">
        <f t="shared" si="131"/>
        <v>17.550483193755198</v>
      </c>
      <c r="BV71">
        <f t="shared" si="174"/>
        <v>5.4845259980484995</v>
      </c>
      <c r="BW71">
        <f t="shared" si="132"/>
        <v>86.873016035722699</v>
      </c>
      <c r="BX71">
        <f t="shared" si="133"/>
        <v>103.32659402986819</v>
      </c>
      <c r="BY71">
        <f t="shared" si="175"/>
        <v>92.357542033771196</v>
      </c>
      <c r="BZ71">
        <f t="shared" si="176"/>
        <v>1.5356672794535797</v>
      </c>
      <c r="CA71">
        <f>7963.6*(BT71/1000)^0.6*1.7*('CAPEX+OPEX'!$G$116/'CAPEX+OPEX'!$G$115)</f>
        <v>783.85031135713814</v>
      </c>
      <c r="CB71">
        <f>7963.6*(BU71/1000)^0.6*1.7*('CAPEX+OPEX'!$G$116/'CAPEX+OPEX'!$G$115)</f>
        <v>1411.9339291005786</v>
      </c>
      <c r="CC71">
        <f>7963.6*(BX71/1000)^0.6*1.7*('CAPEX+OPEX'!$G$116/'CAPEX+OPEX'!$G$115)</f>
        <v>4090.4227597755034</v>
      </c>
      <c r="CD71">
        <f>7963.6*(BY71/1000)^0.6*1.7*('CAPEX+OPEX'!$G$116/'CAPEX+OPEX'!$G$115)</f>
        <v>3824.0569166417245</v>
      </c>
      <c r="CE71">
        <v>300</v>
      </c>
      <c r="CF71">
        <v>30</v>
      </c>
      <c r="CG71">
        <f t="shared" si="134"/>
        <v>7.0875649789992714</v>
      </c>
      <c r="CH71">
        <f t="shared" si="135"/>
        <v>0.47250433193328478</v>
      </c>
      <c r="CI71">
        <f t="shared" si="136"/>
        <v>2.3625216596664238</v>
      </c>
      <c r="CJ71">
        <f t="shared" si="137"/>
        <v>1.1812608298332119</v>
      </c>
      <c r="CK71">
        <f t="shared" si="138"/>
        <v>1.9687680497220201</v>
      </c>
      <c r="CL71">
        <f t="shared" si="139"/>
        <v>11.812608298332119</v>
      </c>
      <c r="CM71">
        <f t="shared" si="140"/>
        <v>31.500288795552322</v>
      </c>
      <c r="CN71">
        <f t="shared" si="177"/>
        <v>9.8438402486100998</v>
      </c>
      <c r="CO71">
        <v>0</v>
      </c>
      <c r="CP71">
        <f t="shared" si="141"/>
        <v>29.531520745830299</v>
      </c>
      <c r="CQ71">
        <f t="shared" si="178"/>
        <v>9.8438402486100998</v>
      </c>
      <c r="CR71">
        <f t="shared" si="179"/>
        <v>2.7562752696108279</v>
      </c>
      <c r="CS71">
        <f>7963.6*(CL71/1000)^0.6*1.7*('CAPEX+OPEX'!$G$116/'CAPEX+OPEX'!$G$115)</f>
        <v>1113.3928031808161</v>
      </c>
      <c r="CT71">
        <f>7963.6*(CM71/1000)^0.6*1.7*('CAPEX+OPEX'!$G$116/'CAPEX+OPEX'!$G$115)</f>
        <v>2005.5322456983054</v>
      </c>
      <c r="CU71">
        <f>7963.6*(CP71/1000)^0.6*1.7*('CAPEX+OPEX'!$G$116/'CAPEX+OPEX'!$G$115)</f>
        <v>1929.3561998270884</v>
      </c>
      <c r="CV71">
        <f>7963.6*(CQ71/1000)^0.6*1.7*('CAPEX+OPEX'!$G$116/'CAPEX+OPEX'!$G$115)</f>
        <v>998.02095973594191</v>
      </c>
      <c r="CW71">
        <v>300</v>
      </c>
      <c r="CX71">
        <f t="shared" si="142"/>
        <v>30</v>
      </c>
      <c r="CY71">
        <f t="shared" si="143"/>
        <v>10</v>
      </c>
      <c r="CZ71">
        <f t="shared" si="144"/>
        <v>9.2357542033771196</v>
      </c>
      <c r="DA71">
        <f t="shared" si="145"/>
        <v>3960</v>
      </c>
      <c r="DB71">
        <f t="shared" si="146"/>
        <v>3960</v>
      </c>
      <c r="DC71">
        <f>CF71*'Reagent cost'!$C$18/1000*'Reagent cost'!$H$18</f>
        <v>4784.413580611521</v>
      </c>
      <c r="DD71">
        <f>CX71*'Ligand cost'!$B$56*'Ligand cost'!$J$56</f>
        <v>30543.831958072875</v>
      </c>
      <c r="DE71">
        <f t="shared" si="147"/>
        <v>39625.826528698344</v>
      </c>
      <c r="DF71">
        <f t="shared" si="148"/>
        <v>4586243.4239371875</v>
      </c>
      <c r="DG71">
        <f t="shared" si="149"/>
        <v>11794834.586807497</v>
      </c>
      <c r="DH71">
        <f t="shared" si="150"/>
        <v>2275209.1661185985</v>
      </c>
      <c r="DI71">
        <f t="shared" si="151"/>
        <v>14083914.336508472</v>
      </c>
      <c r="DJ71">
        <f t="shared" si="152"/>
        <v>1662824.8986326549</v>
      </c>
      <c r="DK71" s="55">
        <f>DF71*($BK$2/10000)^0.72*0.6*((A71+1)/3)^0.6*('CAPEX+OPEX'!$G$116/'CAPEX+OPEX'!$G$114)</f>
        <v>480193.52041347441</v>
      </c>
      <c r="DL71" s="55">
        <f>DG71*($BK$2/10000)^0.72*0.6*((A71+1)/3)^0.6*('CAPEX+OPEX'!$G$116/'CAPEX+OPEX'!$G$114)</f>
        <v>1234954.7591330099</v>
      </c>
      <c r="DM71" s="55">
        <f>DH71*($BK$2/10000)^0.72*0.6*((A71+1)/3)^0.6*('CAPEX+OPEX'!$G$116/'CAPEX+OPEX'!$G$114)</f>
        <v>238221.26262490739</v>
      </c>
      <c r="DN71" s="55">
        <f>DI71*($BK$2/10000)^0.72*0.6*((A71+1)/3)^0.6*('CAPEX+OPEX'!$G$116/'CAPEX+OPEX'!$G$114)</f>
        <v>1474628.3136981681</v>
      </c>
      <c r="DO71" s="55">
        <f>DJ71*($BK$2/10000)^0.72*0.6*((A71+1)/3)^0.6*('CAPEX+OPEX'!$G$116/'CAPEX+OPEX'!$G$114)</f>
        <v>174102.78262554979</v>
      </c>
      <c r="DP71">
        <f t="shared" si="153"/>
        <v>3602100.6384951095</v>
      </c>
      <c r="DQ71">
        <f>DF71*(BM71/10000)^0.72*0.6*((AF71+1)/3)^0.6*('CAPEX+OPEX'!$G$116/'CAPEX+OPEX'!$G$114)</f>
        <v>554923.63269868575</v>
      </c>
      <c r="DR71">
        <f>DG71*(BM71/10000)^0.72*0.6*((AF71+1)/3)^0.6*('CAPEX+OPEX'!$G$116/'CAPEX+OPEX'!$G$114)</f>
        <v>1427144.5823894758</v>
      </c>
      <c r="DS71">
        <f>DH71*(BM71/10000)^0.72*0.6*((AF71+1)/3)^0.6*('CAPEX+OPEX'!$G$116/'CAPEX+OPEX'!$G$114)</f>
        <v>275294.44447324914</v>
      </c>
      <c r="DT71">
        <f>DI71*(BM71/10000)^0.72*0.6*((AF71+1)/3)^0.6*('CAPEX+OPEX'!$G$116/'CAPEX+OPEX'!$G$114)</f>
        <v>1704117.331723084</v>
      </c>
      <c r="DU71">
        <f>DJ71*(BM71/10000)^0.72*0.6*((AF71+1)/3)^0.6*('CAPEX+OPEX'!$G$116/'CAPEX+OPEX'!$G$114)</f>
        <v>201197.52660204508</v>
      </c>
      <c r="DV71">
        <f t="shared" si="154"/>
        <v>4162677.5178865395</v>
      </c>
      <c r="DW71">
        <f t="shared" si="155"/>
        <v>7833093.689795251</v>
      </c>
      <c r="DX71">
        <f t="shared" si="156"/>
        <v>522206.24598635006</v>
      </c>
      <c r="DY71">
        <f>BO71*'Reagent cost'!$C$35*60*7200</f>
        <v>1022822.2400316087</v>
      </c>
      <c r="DZ71">
        <f>BP71*'Reagent cost'!$C$34*60*7200</f>
        <v>243377.19781575311</v>
      </c>
      <c r="EA71">
        <f>BQ71*'Reagent cost'!$C$14*'Reagent cost'!$C$36/1000*60*7200</f>
        <v>4034177.2419786179</v>
      </c>
      <c r="EB71">
        <f t="shared" si="157"/>
        <v>39.6</v>
      </c>
      <c r="EC71">
        <f t="shared" si="158"/>
        <v>95.688271612230423</v>
      </c>
      <c r="ED71">
        <f>0.1*BK71*60*7200*'Reagent cost'!$H$17*'Reagent cost'!$C$17/1000</f>
        <v>504921.59999999998</v>
      </c>
      <c r="EE71">
        <f>BV71*0.1*'Reagent cost'!$C$16/1000*'Reagent cost'!$H$16*60*7200</f>
        <v>1000775.0604883848</v>
      </c>
      <c r="EF71">
        <f>BZ71/1000*'Reagent cost'!$H$19*'Reagent cost'!$C$19*60*7200</f>
        <v>84086.997553760215</v>
      </c>
      <c r="EG71">
        <f>0.33*('Costing 100 Lmin Feed Orig'!BO71*'Reagent cost'!$C$13+'Costing 100 Lmin Feed Orig'!BP71*'Reagent cost'!$C$12+'Costing 100 Lmin Feed Orig'!BQ71*'Reagent cost'!$C$14+'Costing 100 Lmin Feed Orig'!BV71*0.1*'Reagent cost'!$C$16+'Costing 100 Lmin Feed Orig'!BZ71*'Reagent cost'!$C$19)/1000*60*7200</f>
        <v>172039.86404264971</v>
      </c>
      <c r="EH71">
        <f>CG71*'Reagent cost'!$C$35*60*7200</f>
        <v>1835801.0769169943</v>
      </c>
      <c r="EI71">
        <f>CH71*'Reagent cost'!$C$34*60*7200</f>
        <v>436822.84600439714</v>
      </c>
      <c r="EJ71">
        <f>CI71*'Reagent cost'!$C$14*'Reagent cost'!$C$36/1000*60*7200</f>
        <v>7240697.978047004</v>
      </c>
      <c r="EK71">
        <f t="shared" si="159"/>
        <v>39.6</v>
      </c>
      <c r="EL71">
        <f t="shared" si="160"/>
        <v>610.87663916145755</v>
      </c>
      <c r="EM71">
        <f>0.1*BM71*60*7200*'Reagent cost'!$H$17*'Reagent cost'!$C$17/1000</f>
        <v>466333.17895759002</v>
      </c>
      <c r="EN71">
        <f>CN71*0.1*'Reagent cost'!$C$16/1000*'Reagent cost'!$H$16*60*7200</f>
        <v>1796229.9428877018</v>
      </c>
      <c r="EO71">
        <f>CR71/1000*'Reagent cost'!$H$19*'Reagent cost'!$C$19*60*7200</f>
        <v>150922.6086628105</v>
      </c>
      <c r="EP71">
        <f>0.33*(CG71*'Reagent cost'!$C$13+CH71*'Reagent cost'!$C$12+CI71*'Reagent cost'!$C$14+CN71*0.1*'Reagent cost'!$C$16+CR71*'Reagent cost'!$C$19)/1000*60*7200</f>
        <v>308783.82901841227</v>
      </c>
      <c r="EQ71">
        <f t="shared" si="161"/>
        <v>22581304.481106475</v>
      </c>
      <c r="ER71">
        <f t="shared" si="162"/>
        <v>480823.69306106202</v>
      </c>
      <c r="ES71">
        <f t="shared" si="163"/>
        <v>44032.441905260595</v>
      </c>
      <c r="ET71">
        <f t="shared" si="164"/>
        <v>41526.098972294596</v>
      </c>
      <c r="EU71">
        <f t="shared" si="165"/>
        <v>17581.614484237631</v>
      </c>
      <c r="EV71">
        <f t="shared" si="166"/>
        <v>9313.4716969742931</v>
      </c>
      <c r="EW71">
        <f t="shared" si="167"/>
        <v>9376.8610582600722</v>
      </c>
      <c r="EX71">
        <f t="shared" si="168"/>
        <v>121830.48811702718</v>
      </c>
      <c r="EY71">
        <f t="shared" si="180"/>
        <v>51427.591383785315</v>
      </c>
      <c r="EZ71">
        <f t="shared" si="181"/>
        <v>54311.714899048464</v>
      </c>
      <c r="FA71">
        <f t="shared" si="182"/>
        <v>22994.879291935842</v>
      </c>
      <c r="FB71">
        <f t="shared" si="183"/>
        <v>12187.809958174303</v>
      </c>
      <c r="FC71">
        <f t="shared" si="184"/>
        <v>12263.935622365781</v>
      </c>
      <c r="FD71">
        <f t="shared" si="169"/>
        <v>153185.93115530972</v>
      </c>
      <c r="FE71">
        <f t="shared" si="170"/>
        <v>23337144.593439873</v>
      </c>
      <c r="FF71">
        <f t="shared" si="171"/>
        <v>23859350.839426223</v>
      </c>
      <c r="FG71">
        <f>BM71*AM71*195.08/1000*'PGM market prices'!$C$2*60*7200</f>
        <v>423418936.18201667</v>
      </c>
      <c r="FH71">
        <f>BN71*AQ71*BA71*106.42/1000*'PGM market prices'!$C$3*60*7200</f>
        <v>222226085.77766269</v>
      </c>
      <c r="FI71">
        <f>BK71*J71*102.91/1000*'PGM market prices'!$C$4*60*7200</f>
        <v>247586899.68097383</v>
      </c>
      <c r="FJ71">
        <f t="shared" si="172"/>
        <v>893231921.64065313</v>
      </c>
      <c r="FK71">
        <f t="shared" si="173"/>
        <v>643335702.39290786</v>
      </c>
      <c r="FL71">
        <f t="shared" si="185"/>
        <v>0.55229978794968104</v>
      </c>
      <c r="FM71">
        <f t="shared" si="186"/>
        <v>1900.6792838208783</v>
      </c>
      <c r="FN71">
        <f t="shared" si="187"/>
        <v>3535.5018013663466</v>
      </c>
      <c r="FO71">
        <f t="shared" si="188"/>
        <v>15895.459603302843</v>
      </c>
    </row>
    <row r="72" spans="1:171">
      <c r="A72">
        <v>10</v>
      </c>
      <c r="B72">
        <v>1.54143585092054E-3</v>
      </c>
      <c r="C72">
        <v>1.54143585092054E-3</v>
      </c>
      <c r="D72">
        <v>3.4254130020456501E-4</v>
      </c>
      <c r="E72">
        <v>0</v>
      </c>
      <c r="F72">
        <v>0</v>
      </c>
      <c r="G72">
        <v>0</v>
      </c>
      <c r="H72" s="53">
        <v>1.7770671970930099E-5</v>
      </c>
      <c r="I72" s="53">
        <v>5.2649488631162003E-10</v>
      </c>
      <c r="J72">
        <v>3.3765279177869602E-4</v>
      </c>
      <c r="K72">
        <v>0.139053960209192</v>
      </c>
      <c r="L72">
        <v>0.14067571356050099</v>
      </c>
      <c r="M72">
        <v>4.4613899794023002E-4</v>
      </c>
      <c r="N72" s="53">
        <v>-1.6046192152785399E-16</v>
      </c>
      <c r="O72" s="53">
        <v>-5.9831913729046996E-14</v>
      </c>
      <c r="P72" s="53">
        <v>-6.6915602833089703E-20</v>
      </c>
      <c r="Q72">
        <v>0.10957366310586</v>
      </c>
      <c r="R72">
        <v>98.572870359588904</v>
      </c>
      <c r="S72">
        <v>500</v>
      </c>
      <c r="T72">
        <v>95</v>
      </c>
      <c r="U72">
        <v>1</v>
      </c>
      <c r="V72">
        <v>0.1</v>
      </c>
      <c r="W72">
        <v>91.262806376555005</v>
      </c>
      <c r="X72" t="s">
        <v>323</v>
      </c>
      <c r="Y72">
        <v>1</v>
      </c>
      <c r="Z72">
        <v>0.28318429382522198</v>
      </c>
      <c r="AA72">
        <v>0.56945642916197003</v>
      </c>
      <c r="AB72">
        <v>3.7698628972227502E-3</v>
      </c>
      <c r="AC72">
        <v>1822.2107908876901</v>
      </c>
      <c r="AD72">
        <v>2662.6059073104898</v>
      </c>
      <c r="AE72">
        <v>2401.5030938442701</v>
      </c>
      <c r="AF72">
        <v>4</v>
      </c>
      <c r="AG72">
        <v>1.6497548842793E-3</v>
      </c>
      <c r="AH72">
        <v>1.66899558413707E-3</v>
      </c>
      <c r="AI72" s="53">
        <v>5.2930530695573503E-6</v>
      </c>
      <c r="AJ72">
        <v>0</v>
      </c>
      <c r="AK72">
        <v>0</v>
      </c>
      <c r="AL72">
        <v>0</v>
      </c>
      <c r="AM72">
        <v>1.6048413033404E-3</v>
      </c>
      <c r="AN72" s="53">
        <v>7.9214281912587002E-5</v>
      </c>
      <c r="AO72" s="53">
        <v>5.2510498442721197E-6</v>
      </c>
      <c r="AP72">
        <v>1.9874301532163399E-3</v>
      </c>
      <c r="AQ72">
        <v>7.0347971160411499E-2</v>
      </c>
      <c r="AR72" s="53">
        <v>1.8586466433211301E-6</v>
      </c>
      <c r="AS72" s="53">
        <v>-9.4990475988515606E-15</v>
      </c>
      <c r="AT72" s="53">
        <v>-1.2249511301132201E-13</v>
      </c>
      <c r="AU72" s="53">
        <v>-3.0412916494512601E-18</v>
      </c>
      <c r="AV72">
        <v>0.20871608876883399</v>
      </c>
      <c r="AW72">
        <v>99.206446171363694</v>
      </c>
      <c r="AX72">
        <v>500</v>
      </c>
      <c r="AY72">
        <v>95</v>
      </c>
      <c r="AZ72">
        <v>0.92357064280818002</v>
      </c>
      <c r="BA72">
        <v>0.1</v>
      </c>
      <c r="BB72">
        <v>44.250093428642501</v>
      </c>
      <c r="BC72" t="s">
        <v>251</v>
      </c>
      <c r="BD72">
        <v>1</v>
      </c>
      <c r="BE72">
        <v>1.8775014999999999E-2</v>
      </c>
      <c r="BF72">
        <v>0.10492961100000001</v>
      </c>
      <c r="BG72">
        <v>1.814625E-3</v>
      </c>
      <c r="BH72">
        <v>285.1951444</v>
      </c>
      <c r="BI72">
        <v>2169.8944889999998</v>
      </c>
      <c r="BJ72">
        <v>866.49409060000005</v>
      </c>
      <c r="BK72">
        <f t="shared" si="121"/>
        <v>100</v>
      </c>
      <c r="BL72">
        <f t="shared" si="122"/>
        <v>10.957366310586</v>
      </c>
      <c r="BM72">
        <f t="shared" si="123"/>
        <v>92.357064280818008</v>
      </c>
      <c r="BN72">
        <f t="shared" si="124"/>
        <v>20.8716088768834</v>
      </c>
      <c r="BO72">
        <f t="shared" si="125"/>
        <v>3.9446518718109598</v>
      </c>
      <c r="BP72">
        <f t="shared" si="126"/>
        <v>0.262976791454064</v>
      </c>
      <c r="BQ72">
        <f t="shared" si="127"/>
        <v>1.3148839572703199</v>
      </c>
      <c r="BR72">
        <f t="shared" si="128"/>
        <v>0.65744197863515996</v>
      </c>
      <c r="BS72">
        <f t="shared" si="129"/>
        <v>1.0957366310586001</v>
      </c>
      <c r="BT72">
        <f t="shared" si="130"/>
        <v>6.5744197863515996</v>
      </c>
      <c r="BU72">
        <f t="shared" si="131"/>
        <v>17.531786096937601</v>
      </c>
      <c r="BV72">
        <f t="shared" si="174"/>
        <v>5.478683155293</v>
      </c>
      <c r="BW72">
        <f t="shared" si="132"/>
        <v>86.87838112552501</v>
      </c>
      <c r="BX72">
        <f t="shared" si="133"/>
        <v>103.314430591404</v>
      </c>
      <c r="BY72">
        <f t="shared" si="175"/>
        <v>92.357064280818008</v>
      </c>
      <c r="BZ72">
        <f t="shared" si="176"/>
        <v>1.53403128348204</v>
      </c>
      <c r="CA72">
        <f>7963.6*(BT72/1000)^0.6*1.7*('CAPEX+OPEX'!$G$116/'CAPEX+OPEX'!$G$115)</f>
        <v>783.34916791178432</v>
      </c>
      <c r="CB72">
        <f>7963.6*(BU72/1000)^0.6*1.7*('CAPEX+OPEX'!$G$116/'CAPEX+OPEX'!$G$115)</f>
        <v>1411.0312294095941</v>
      </c>
      <c r="CC72">
        <f>7963.6*(BX72/1000)^0.6*1.7*('CAPEX+OPEX'!$G$116/'CAPEX+OPEX'!$G$115)</f>
        <v>4090.1338422275376</v>
      </c>
      <c r="CD72">
        <f>7963.6*(BY72/1000)^0.6*1.7*('CAPEX+OPEX'!$G$116/'CAPEX+OPEX'!$G$115)</f>
        <v>3824.0450478349017</v>
      </c>
      <c r="CE72">
        <v>300</v>
      </c>
      <c r="CF72">
        <v>30</v>
      </c>
      <c r="CG72">
        <f t="shared" si="134"/>
        <v>7.5137791956780235</v>
      </c>
      <c r="CH72">
        <f t="shared" si="135"/>
        <v>0.50091861304520158</v>
      </c>
      <c r="CI72">
        <f t="shared" si="136"/>
        <v>2.504593065226008</v>
      </c>
      <c r="CJ72">
        <f t="shared" si="137"/>
        <v>1.252296532613004</v>
      </c>
      <c r="CK72">
        <f t="shared" si="138"/>
        <v>2.0871608876883401</v>
      </c>
      <c r="CL72">
        <f t="shared" si="139"/>
        <v>12.52296532613004</v>
      </c>
      <c r="CM72">
        <f t="shared" si="140"/>
        <v>33.394574203013441</v>
      </c>
      <c r="CN72">
        <f t="shared" si="177"/>
        <v>10.4358044384417</v>
      </c>
      <c r="CO72">
        <v>0</v>
      </c>
      <c r="CP72">
        <f t="shared" si="141"/>
        <v>31.3074133153251</v>
      </c>
      <c r="CQ72">
        <f t="shared" si="178"/>
        <v>10.4358044384417</v>
      </c>
      <c r="CR72">
        <f t="shared" si="179"/>
        <v>2.9220252427636759</v>
      </c>
      <c r="CS72">
        <f>7963.6*(CL72/1000)^0.6*1.7*('CAPEX+OPEX'!$G$116/'CAPEX+OPEX'!$G$115)</f>
        <v>1153.0953869786438</v>
      </c>
      <c r="CT72">
        <f>7963.6*(CM72/1000)^0.6*1.7*('CAPEX+OPEX'!$G$116/'CAPEX+OPEX'!$G$115)</f>
        <v>2077.0477178808133</v>
      </c>
      <c r="CU72">
        <f>7963.6*(CP72/1000)^0.6*1.7*('CAPEX+OPEX'!$G$116/'CAPEX+OPEX'!$G$115)</f>
        <v>1998.1553028755873</v>
      </c>
      <c r="CV72">
        <f>7963.6*(CQ72/1000)^0.6*1.7*('CAPEX+OPEX'!$G$116/'CAPEX+OPEX'!$G$115)</f>
        <v>1033.6094875876618</v>
      </c>
      <c r="CW72">
        <v>300</v>
      </c>
      <c r="CX72">
        <f t="shared" si="142"/>
        <v>30</v>
      </c>
      <c r="CY72">
        <f t="shared" si="143"/>
        <v>10</v>
      </c>
      <c r="CZ72">
        <f t="shared" si="144"/>
        <v>9.2357064280818015</v>
      </c>
      <c r="DA72">
        <f t="shared" si="145"/>
        <v>3960</v>
      </c>
      <c r="DB72">
        <f t="shared" si="146"/>
        <v>3960</v>
      </c>
      <c r="DC72">
        <f>CF72*'Reagent cost'!$C$18/1000*'Reagent cost'!$H$18</f>
        <v>4784.413580611521</v>
      </c>
      <c r="DD72">
        <f>CX72*'Ligand cost'!$B$56*'Ligand cost'!$J$56</f>
        <v>30543.831958072875</v>
      </c>
      <c r="DE72">
        <f t="shared" si="147"/>
        <v>39625.826528698344</v>
      </c>
      <c r="DF72">
        <f t="shared" si="148"/>
        <v>4586243.4239371875</v>
      </c>
      <c r="DG72">
        <f t="shared" si="149"/>
        <v>11794834.586807497</v>
      </c>
      <c r="DH72">
        <f t="shared" si="150"/>
        <v>2275209.1661185985</v>
      </c>
      <c r="DI72">
        <f t="shared" si="151"/>
        <v>14083914.336508472</v>
      </c>
      <c r="DJ72">
        <f t="shared" si="152"/>
        <v>1662824.8986326549</v>
      </c>
      <c r="DK72" s="55">
        <f>DF72*($BK$2/10000)^0.72*0.6*((A72+1)/3)^0.6*('CAPEX+OPEX'!$G$116/'CAPEX+OPEX'!$G$114)</f>
        <v>508454.27904436266</v>
      </c>
      <c r="DL72" s="55">
        <f>DG72*($BK$2/10000)^0.72*0.6*((A72+1)/3)^0.6*('CAPEX+OPEX'!$G$116/'CAPEX+OPEX'!$G$114)</f>
        <v>1307635.369937323</v>
      </c>
      <c r="DM72" s="55">
        <f>DH72*($BK$2/10000)^0.72*0.6*((A72+1)/3)^0.6*('CAPEX+OPEX'!$G$116/'CAPEX+OPEX'!$G$114)</f>
        <v>252241.26355701292</v>
      </c>
      <c r="DN72" s="55">
        <f>DI72*($BK$2/10000)^0.72*0.6*((A72+1)/3)^0.6*('CAPEX+OPEX'!$G$116/'CAPEX+OPEX'!$G$114)</f>
        <v>1561414.3969585455</v>
      </c>
      <c r="DO72" s="55">
        <f>DJ72*($BK$2/10000)^0.72*0.6*((A72+1)/3)^0.6*('CAPEX+OPEX'!$G$116/'CAPEX+OPEX'!$G$114)</f>
        <v>184349.22808468476</v>
      </c>
      <c r="DP72">
        <f t="shared" si="153"/>
        <v>3814094.537581929</v>
      </c>
      <c r="DQ72">
        <f>DF72*(BM72/10000)^0.72*0.6*((AF72+1)/3)^0.6*('CAPEX+OPEX'!$G$116/'CAPEX+OPEX'!$G$114)</f>
        <v>299182.91157751053</v>
      </c>
      <c r="DR72">
        <f>DG72*(BM72/10000)^0.72*0.6*((AF72+1)/3)^0.6*('CAPEX+OPEX'!$G$116/'CAPEX+OPEX'!$G$114)</f>
        <v>769434.29012906237</v>
      </c>
      <c r="DS72">
        <f>DH72*(BM72/10000)^0.72*0.6*((AF72+1)/3)^0.6*('CAPEX+OPEX'!$G$116/'CAPEX+OPEX'!$G$114)</f>
        <v>148422.93350901842</v>
      </c>
      <c r="DT72">
        <f>DI72*(BM72/10000)^0.72*0.6*((AF72+1)/3)^0.6*('CAPEX+OPEX'!$G$116/'CAPEX+OPEX'!$G$114)</f>
        <v>918762.06910698779</v>
      </c>
      <c r="DU72">
        <f>DJ72*(BM72/10000)^0.72*0.6*((AF72+1)/3)^0.6*('CAPEX+OPEX'!$G$116/'CAPEX+OPEX'!$G$114)</f>
        <v>108474.13637486634</v>
      </c>
      <c r="DV72">
        <f t="shared" si="154"/>
        <v>2244276.3406974454</v>
      </c>
      <c r="DW72">
        <f t="shared" si="155"/>
        <v>6126932.3979089744</v>
      </c>
      <c r="DX72">
        <f t="shared" si="156"/>
        <v>408462.15986059827</v>
      </c>
      <c r="DY72">
        <f>BO72*'Reagent cost'!$C$35*60*7200</f>
        <v>1021732.5944510319</v>
      </c>
      <c r="DZ72">
        <f>BP72*'Reagent cost'!$C$34*60*7200</f>
        <v>243117.9202231922</v>
      </c>
      <c r="EA72">
        <f>BQ72*'Reagent cost'!$C$14*'Reagent cost'!$C$36/1000*60*7200</f>
        <v>4029879.502614982</v>
      </c>
      <c r="EB72">
        <f t="shared" si="157"/>
        <v>39.6</v>
      </c>
      <c r="EC72">
        <f t="shared" si="158"/>
        <v>95.688271612230423</v>
      </c>
      <c r="ED72">
        <f>0.1*BK72*60*7200*'Reagent cost'!$H$17*'Reagent cost'!$C$17/1000</f>
        <v>504921.59999999998</v>
      </c>
      <c r="EE72">
        <f>BV72*0.1*'Reagent cost'!$C$16/1000*'Reagent cost'!$H$16*60*7200</f>
        <v>999708.90248053882</v>
      </c>
      <c r="EF72">
        <f>BZ72/1000*'Reagent cost'!$H$19*'Reagent cost'!$C$19*60*7200</f>
        <v>83997.416958342597</v>
      </c>
      <c r="EG72">
        <f>0.33*('Costing 100 Lmin Feed Orig'!BO72*'Reagent cost'!$C$13+'Costing 100 Lmin Feed Orig'!BP72*'Reagent cost'!$C$12+'Costing 100 Lmin Feed Orig'!BQ72*'Reagent cost'!$C$14+'Costing 100 Lmin Feed Orig'!BV72*0.1*'Reagent cost'!$C$16+'Costing 100 Lmin Feed Orig'!BZ72*'Reagent cost'!$C$19)/1000*60*7200</f>
        <v>171856.58441672826</v>
      </c>
      <c r="EH72">
        <f>CG72*'Reagent cost'!$C$35*60*7200</f>
        <v>1946197.8803741198</v>
      </c>
      <c r="EI72">
        <f>CH72*'Reagent cost'!$C$34*60*7200</f>
        <v>463091.40335643635</v>
      </c>
      <c r="EJ72">
        <f>CI72*'Reagent cost'!$C$14*'Reagent cost'!$C$36/1000*60*7200</f>
        <v>7676120.923172012</v>
      </c>
      <c r="EK72">
        <f t="shared" si="159"/>
        <v>39.6</v>
      </c>
      <c r="EL72">
        <f t="shared" si="160"/>
        <v>610.87663916145755</v>
      </c>
      <c r="EM72">
        <f>0.1*BM72*60*7200*'Reagent cost'!$H$17*'Reagent cost'!$C$17/1000</f>
        <v>466330.76667973475</v>
      </c>
      <c r="EN72">
        <f>CN72*0.1*'Reagent cost'!$C$16/1000*'Reagent cost'!$H$16*60*7200</f>
        <v>1904247.1166774645</v>
      </c>
      <c r="EO72">
        <f>CR72/1000*'Reagent cost'!$H$19*'Reagent cost'!$C$19*60*7200</f>
        <v>159998.41419276784</v>
      </c>
      <c r="EP72">
        <f>0.33*(CG72*'Reagent cost'!$C$13+CH72*'Reagent cost'!$C$12+CI72*'Reagent cost'!$C$14+CN72*0.1*'Reagent cost'!$C$16+CR72*'Reagent cost'!$C$19)/1000*60*7200</f>
        <v>327352.69691565318</v>
      </c>
      <c r="EQ72">
        <f t="shared" si="161"/>
        <v>23400156.24730967</v>
      </c>
      <c r="ER72">
        <f t="shared" si="162"/>
        <v>499209.28133238142</v>
      </c>
      <c r="ES72">
        <f t="shared" si="163"/>
        <v>46784.46952433938</v>
      </c>
      <c r="ET72">
        <f t="shared" si="164"/>
        <v>45678.708869524045</v>
      </c>
      <c r="EU72">
        <f t="shared" si="165"/>
        <v>19339.775932661389</v>
      </c>
      <c r="EV72">
        <f t="shared" si="166"/>
        <v>10244.818866671721</v>
      </c>
      <c r="EW72">
        <f t="shared" si="167"/>
        <v>10314.547164086078</v>
      </c>
      <c r="EX72">
        <f t="shared" si="168"/>
        <v>132362.32035728262</v>
      </c>
      <c r="EY72">
        <f t="shared" si="180"/>
        <v>28285.050307726531</v>
      </c>
      <c r="EZ72">
        <f t="shared" si="181"/>
        <v>19396.955145805132</v>
      </c>
      <c r="FA72">
        <f t="shared" si="182"/>
        <v>8212.4205254416884</v>
      </c>
      <c r="FB72">
        <f t="shared" si="183"/>
        <v>4352.7701543586227</v>
      </c>
      <c r="FC72">
        <f t="shared" si="184"/>
        <v>4379.9576135689013</v>
      </c>
      <c r="FD72">
        <f t="shared" si="169"/>
        <v>64627.153746900869</v>
      </c>
      <c r="FE72">
        <f t="shared" si="170"/>
        <v>24096355.002746232</v>
      </c>
      <c r="FF72">
        <f t="shared" si="171"/>
        <v>24504817.162606832</v>
      </c>
      <c r="FG72">
        <f>BM72*AM72*195.08/1000*'PGM market prices'!$C$2*60*7200</f>
        <v>421326912.83595932</v>
      </c>
      <c r="FH72">
        <f>BN72*AQ72*BA72*106.42/1000*'PGM market prices'!$C$3*60*7200</f>
        <v>222280815.96454549</v>
      </c>
      <c r="FI72">
        <f>BK72*J72*102.91/1000*'PGM market prices'!$C$4*60*7200</f>
        <v>247601800.16981775</v>
      </c>
      <c r="FJ72">
        <f t="shared" si="172"/>
        <v>891209528.97032261</v>
      </c>
      <c r="FK72">
        <f t="shared" si="173"/>
        <v>641361486.73770964</v>
      </c>
      <c r="FL72">
        <f t="shared" si="185"/>
        <v>0.56724113802330633</v>
      </c>
      <c r="FM72">
        <f t="shared" si="186"/>
        <v>1961.7910997208762</v>
      </c>
      <c r="FN72">
        <f t="shared" si="187"/>
        <v>3630.2535640935475</v>
      </c>
      <c r="FO72">
        <f t="shared" si="188"/>
        <v>16324.496553914589</v>
      </c>
    </row>
    <row r="73" spans="1:171">
      <c r="A73">
        <v>10</v>
      </c>
      <c r="B73">
        <v>1.54143585092054E-3</v>
      </c>
      <c r="C73">
        <v>1.54143585092054E-3</v>
      </c>
      <c r="D73">
        <v>3.4254130020456501E-4</v>
      </c>
      <c r="E73">
        <v>0</v>
      </c>
      <c r="F73">
        <v>0</v>
      </c>
      <c r="G73">
        <v>0</v>
      </c>
      <c r="H73" s="53">
        <v>1.7770671970930099E-5</v>
      </c>
      <c r="I73" s="53">
        <v>5.2649488631162003E-10</v>
      </c>
      <c r="J73">
        <v>3.3765279177869602E-4</v>
      </c>
      <c r="K73">
        <v>0.139053960209192</v>
      </c>
      <c r="L73">
        <v>0.14067571356050099</v>
      </c>
      <c r="M73">
        <v>4.4613899794023002E-4</v>
      </c>
      <c r="N73" s="53">
        <v>-1.6046192152785399E-16</v>
      </c>
      <c r="O73" s="53">
        <v>-5.9831913729046996E-14</v>
      </c>
      <c r="P73" s="53">
        <v>-6.6915602833089703E-20</v>
      </c>
      <c r="Q73">
        <v>0.10957366310586</v>
      </c>
      <c r="R73">
        <v>98.572870359588904</v>
      </c>
      <c r="S73">
        <v>500</v>
      </c>
      <c r="T73">
        <v>95</v>
      </c>
      <c r="U73">
        <v>1</v>
      </c>
      <c r="V73">
        <v>0.1</v>
      </c>
      <c r="W73">
        <v>91.262806376555005</v>
      </c>
      <c r="X73" t="s">
        <v>323</v>
      </c>
      <c r="Y73">
        <v>1</v>
      </c>
      <c r="Z73">
        <v>0.28318429382522198</v>
      </c>
      <c r="AA73">
        <v>0.56945642916197003</v>
      </c>
      <c r="AB73">
        <v>3.7698628972227502E-3</v>
      </c>
      <c r="AC73">
        <v>1822.2107908876901</v>
      </c>
      <c r="AD73">
        <v>2662.6059073104898</v>
      </c>
      <c r="AE73">
        <v>2401.5030938442701</v>
      </c>
      <c r="AF73">
        <v>5</v>
      </c>
      <c r="AG73">
        <v>1.6497548842793E-3</v>
      </c>
      <c r="AH73">
        <v>1.66899558413707E-3</v>
      </c>
      <c r="AI73" s="53">
        <v>5.2930530695573503E-6</v>
      </c>
      <c r="AJ73">
        <v>0</v>
      </c>
      <c r="AK73">
        <v>0</v>
      </c>
      <c r="AL73">
        <v>0</v>
      </c>
      <c r="AM73">
        <v>1.6104435974931999E-3</v>
      </c>
      <c r="AN73" s="53">
        <v>7.9504080567360702E-5</v>
      </c>
      <c r="AO73" s="53">
        <v>5.2561088045772501E-6</v>
      </c>
      <c r="AP73">
        <v>1.81182114984423E-3</v>
      </c>
      <c r="AQ73">
        <v>7.3258205444439506E-2</v>
      </c>
      <c r="AR73" s="53">
        <v>1.7027272859467399E-6</v>
      </c>
      <c r="AS73" s="53">
        <v>-4.4743668405761099E-17</v>
      </c>
      <c r="AT73" s="53">
        <v>1.8843433757798001E-16</v>
      </c>
      <c r="AU73" s="53">
        <v>-3.54364174417717E-20</v>
      </c>
      <c r="AV73">
        <v>0.200388158675712</v>
      </c>
      <c r="AW73">
        <v>99.302023529811606</v>
      </c>
      <c r="AX73">
        <v>500</v>
      </c>
      <c r="AY73">
        <v>95</v>
      </c>
      <c r="AZ73">
        <v>0.92357064280818002</v>
      </c>
      <c r="BA73">
        <v>0.1</v>
      </c>
      <c r="BB73">
        <v>46.089082753776403</v>
      </c>
      <c r="BC73" t="s">
        <v>251</v>
      </c>
      <c r="BD73">
        <v>1</v>
      </c>
      <c r="BE73">
        <v>1.8775014999999999E-2</v>
      </c>
      <c r="BF73">
        <v>0.10492961100000001</v>
      </c>
      <c r="BG73">
        <v>1.814625E-3</v>
      </c>
      <c r="BH73">
        <v>285.1951444</v>
      </c>
      <c r="BI73">
        <v>2169.8944889999998</v>
      </c>
      <c r="BJ73">
        <v>866.49409060000005</v>
      </c>
      <c r="BK73">
        <f t="shared" si="121"/>
        <v>100</v>
      </c>
      <c r="BL73">
        <f t="shared" si="122"/>
        <v>10.957366310586</v>
      </c>
      <c r="BM73">
        <f t="shared" si="123"/>
        <v>92.357064280818008</v>
      </c>
      <c r="BN73">
        <f t="shared" si="124"/>
        <v>20.038815867571198</v>
      </c>
      <c r="BO73">
        <f t="shared" si="125"/>
        <v>3.9446518718109598</v>
      </c>
      <c r="BP73">
        <f t="shared" si="126"/>
        <v>0.262976791454064</v>
      </c>
      <c r="BQ73">
        <f t="shared" si="127"/>
        <v>1.3148839572703199</v>
      </c>
      <c r="BR73">
        <f t="shared" si="128"/>
        <v>0.65744197863515996</v>
      </c>
      <c r="BS73">
        <f t="shared" si="129"/>
        <v>1.0957366310586001</v>
      </c>
      <c r="BT73">
        <f t="shared" si="130"/>
        <v>6.5744197863515996</v>
      </c>
      <c r="BU73">
        <f t="shared" si="131"/>
        <v>17.531786096937601</v>
      </c>
      <c r="BV73">
        <f t="shared" si="174"/>
        <v>5.478683155293</v>
      </c>
      <c r="BW73">
        <f t="shared" si="132"/>
        <v>86.87838112552501</v>
      </c>
      <c r="BX73">
        <f t="shared" si="133"/>
        <v>103.314430591404</v>
      </c>
      <c r="BY73">
        <f t="shared" si="175"/>
        <v>92.357064280818008</v>
      </c>
      <c r="BZ73">
        <f t="shared" si="176"/>
        <v>1.53403128348204</v>
      </c>
      <c r="CA73">
        <f>7963.6*(BT73/1000)^0.6*1.7*('CAPEX+OPEX'!$G$116/'CAPEX+OPEX'!$G$115)</f>
        <v>783.34916791178432</v>
      </c>
      <c r="CB73">
        <f>7963.6*(BU73/1000)^0.6*1.7*('CAPEX+OPEX'!$G$116/'CAPEX+OPEX'!$G$115)</f>
        <v>1411.0312294095941</v>
      </c>
      <c r="CC73">
        <f>7963.6*(BX73/1000)^0.6*1.7*('CAPEX+OPEX'!$G$116/'CAPEX+OPEX'!$G$115)</f>
        <v>4090.1338422275376</v>
      </c>
      <c r="CD73">
        <f>7963.6*(BY73/1000)^0.6*1.7*('CAPEX+OPEX'!$G$116/'CAPEX+OPEX'!$G$115)</f>
        <v>3824.0450478349017</v>
      </c>
      <c r="CE73">
        <v>300</v>
      </c>
      <c r="CF73">
        <v>30</v>
      </c>
      <c r="CG73">
        <f t="shared" si="134"/>
        <v>7.2139737123256316</v>
      </c>
      <c r="CH73">
        <f t="shared" si="135"/>
        <v>0.48093158082170878</v>
      </c>
      <c r="CI73">
        <f t="shared" si="136"/>
        <v>2.4046579041085439</v>
      </c>
      <c r="CJ73">
        <f t="shared" si="137"/>
        <v>1.2023289520542719</v>
      </c>
      <c r="CK73">
        <f t="shared" si="138"/>
        <v>2.00388158675712</v>
      </c>
      <c r="CL73">
        <f t="shared" si="139"/>
        <v>12.023289520542718</v>
      </c>
      <c r="CM73">
        <f t="shared" si="140"/>
        <v>32.06210538811392</v>
      </c>
      <c r="CN73">
        <f t="shared" si="177"/>
        <v>10.019407933785599</v>
      </c>
      <c r="CO73">
        <v>0</v>
      </c>
      <c r="CP73">
        <f t="shared" si="141"/>
        <v>30.058223801356796</v>
      </c>
      <c r="CQ73">
        <f t="shared" si="178"/>
        <v>10.019407933785599</v>
      </c>
      <c r="CR73">
        <f t="shared" si="179"/>
        <v>2.8054342214599677</v>
      </c>
      <c r="CS73">
        <f>7963.6*(CL73/1000)^0.6*1.7*('CAPEX+OPEX'!$G$116/'CAPEX+OPEX'!$G$115)</f>
        <v>1125.2652591185565</v>
      </c>
      <c r="CT73">
        <f>7963.6*(CM73/1000)^0.6*1.7*('CAPEX+OPEX'!$G$116/'CAPEX+OPEX'!$G$115)</f>
        <v>2026.9178637396169</v>
      </c>
      <c r="CU73">
        <f>7963.6*(CP73/1000)^0.6*1.7*('CAPEX+OPEX'!$G$116/'CAPEX+OPEX'!$G$115)</f>
        <v>1949.9295288491669</v>
      </c>
      <c r="CV73">
        <f>7963.6*(CQ73/1000)^0.6*1.7*('CAPEX+OPEX'!$G$116/'CAPEX+OPEX'!$G$115)</f>
        <v>1008.6631695971478</v>
      </c>
      <c r="CW73">
        <v>300</v>
      </c>
      <c r="CX73">
        <f t="shared" si="142"/>
        <v>30</v>
      </c>
      <c r="CY73">
        <f t="shared" si="143"/>
        <v>10</v>
      </c>
      <c r="CZ73">
        <f t="shared" si="144"/>
        <v>9.2357064280818015</v>
      </c>
      <c r="DA73">
        <f t="shared" si="145"/>
        <v>3960</v>
      </c>
      <c r="DB73">
        <f t="shared" si="146"/>
        <v>3960</v>
      </c>
      <c r="DC73">
        <f>CF73*'Reagent cost'!$C$18/1000*'Reagent cost'!$H$18</f>
        <v>4784.413580611521</v>
      </c>
      <c r="DD73">
        <f>CX73*'Ligand cost'!$B$56*'Ligand cost'!$J$56</f>
        <v>30543.831958072875</v>
      </c>
      <c r="DE73">
        <f t="shared" si="147"/>
        <v>39625.826528698344</v>
      </c>
      <c r="DF73">
        <f t="shared" si="148"/>
        <v>4586243.4239371875</v>
      </c>
      <c r="DG73">
        <f t="shared" si="149"/>
        <v>11794834.586807497</v>
      </c>
      <c r="DH73">
        <f t="shared" si="150"/>
        <v>2275209.1661185985</v>
      </c>
      <c r="DI73">
        <f t="shared" si="151"/>
        <v>14083914.336508472</v>
      </c>
      <c r="DJ73">
        <f t="shared" si="152"/>
        <v>1662824.8986326549</v>
      </c>
      <c r="DK73" s="55">
        <f>DF73*($BK$2/10000)^0.72*0.6*((A73+1)/3)^0.6*('CAPEX+OPEX'!$G$116/'CAPEX+OPEX'!$G$114)</f>
        <v>508454.27904436266</v>
      </c>
      <c r="DL73" s="55">
        <f>DG73*($BK$2/10000)^0.72*0.6*((A73+1)/3)^0.6*('CAPEX+OPEX'!$G$116/'CAPEX+OPEX'!$G$114)</f>
        <v>1307635.369937323</v>
      </c>
      <c r="DM73" s="55">
        <f>DH73*($BK$2/10000)^0.72*0.6*((A73+1)/3)^0.6*('CAPEX+OPEX'!$G$116/'CAPEX+OPEX'!$G$114)</f>
        <v>252241.26355701292</v>
      </c>
      <c r="DN73" s="55">
        <f>DI73*($BK$2/10000)^0.72*0.6*((A73+1)/3)^0.6*('CAPEX+OPEX'!$G$116/'CAPEX+OPEX'!$G$114)</f>
        <v>1561414.3969585455</v>
      </c>
      <c r="DO73" s="55">
        <f>DJ73*($BK$2/10000)^0.72*0.6*((A73+1)/3)^0.6*('CAPEX+OPEX'!$G$116/'CAPEX+OPEX'!$G$114)</f>
        <v>184349.22808468476</v>
      </c>
      <c r="DP73">
        <f t="shared" si="153"/>
        <v>3814094.537581929</v>
      </c>
      <c r="DQ73">
        <f>DF73*(BM73/10000)^0.72*0.6*((AF73+1)/3)^0.6*('CAPEX+OPEX'!$G$116/'CAPEX+OPEX'!$G$114)</f>
        <v>333768.64216681069</v>
      </c>
      <c r="DR73">
        <f>DG73*(BM73/10000)^0.72*0.6*((AF73+1)/3)^0.6*('CAPEX+OPEX'!$G$116/'CAPEX+OPEX'!$G$114)</f>
        <v>858381.37244823028</v>
      </c>
      <c r="DS73">
        <f>DH73*(BM73/10000)^0.72*0.6*((AF73+1)/3)^0.6*('CAPEX+OPEX'!$G$116/'CAPEX+OPEX'!$G$114)</f>
        <v>165580.71690162577</v>
      </c>
      <c r="DT73">
        <f>DI73*(BM73/10000)^0.72*0.6*((AF73+1)/3)^0.6*('CAPEX+OPEX'!$G$116/'CAPEX+OPEX'!$G$114)</f>
        <v>1024971.5355175382</v>
      </c>
      <c r="DU73">
        <f>DJ73*(BM73/10000)^0.72*0.6*((AF73+1)/3)^0.6*('CAPEX+OPEX'!$G$116/'CAPEX+OPEX'!$G$114)</f>
        <v>121013.81398140697</v>
      </c>
      <c r="DV73">
        <f t="shared" si="154"/>
        <v>2503716.0810156115</v>
      </c>
      <c r="DW73">
        <f t="shared" si="155"/>
        <v>6386198.33634202</v>
      </c>
      <c r="DX73">
        <f t="shared" si="156"/>
        <v>425746.55575613468</v>
      </c>
      <c r="DY73">
        <f>BO73*'Reagent cost'!$C$35*60*7200</f>
        <v>1021732.5944510319</v>
      </c>
      <c r="DZ73">
        <f>BP73*'Reagent cost'!$C$34*60*7200</f>
        <v>243117.9202231922</v>
      </c>
      <c r="EA73">
        <f>BQ73*'Reagent cost'!$C$14*'Reagent cost'!$C$36/1000*60*7200</f>
        <v>4029879.502614982</v>
      </c>
      <c r="EB73">
        <f t="shared" si="157"/>
        <v>39.6</v>
      </c>
      <c r="EC73">
        <f t="shared" si="158"/>
        <v>95.688271612230423</v>
      </c>
      <c r="ED73">
        <f>0.1*BK73*60*7200*'Reagent cost'!$H$17*'Reagent cost'!$C$17/1000</f>
        <v>504921.59999999998</v>
      </c>
      <c r="EE73">
        <f>BV73*0.1*'Reagent cost'!$C$16/1000*'Reagent cost'!$H$16*60*7200</f>
        <v>999708.90248053882</v>
      </c>
      <c r="EF73">
        <f>BZ73/1000*'Reagent cost'!$H$19*'Reagent cost'!$C$19*60*7200</f>
        <v>83997.416958342597</v>
      </c>
      <c r="EG73">
        <f>0.33*('Costing 100 Lmin Feed Orig'!BO73*'Reagent cost'!$C$13+'Costing 100 Lmin Feed Orig'!BP73*'Reagent cost'!$C$12+'Costing 100 Lmin Feed Orig'!BQ73*'Reagent cost'!$C$14+'Costing 100 Lmin Feed Orig'!BV73*0.1*'Reagent cost'!$C$16+'Costing 100 Lmin Feed Orig'!BZ73*'Reagent cost'!$C$19)/1000*60*7200</f>
        <v>171856.58441672826</v>
      </c>
      <c r="EH73">
        <f>CG73*'Reagent cost'!$C$35*60*7200</f>
        <v>1868543.1102471796</v>
      </c>
      <c r="EI73">
        <f>CH73*'Reagent cost'!$C$34*60*7200</f>
        <v>444613.70546248253</v>
      </c>
      <c r="EJ73">
        <f>CI73*'Reagent cost'!$C$14*'Reagent cost'!$C$36/1000*60*7200</f>
        <v>7369837.8818807872</v>
      </c>
      <c r="EK73">
        <f t="shared" si="159"/>
        <v>39.6</v>
      </c>
      <c r="EL73">
        <f t="shared" si="160"/>
        <v>610.87663916145755</v>
      </c>
      <c r="EM73">
        <f>0.1*BM73*60*7200*'Reagent cost'!$H$17*'Reagent cost'!$C$17/1000</f>
        <v>466330.76667973475</v>
      </c>
      <c r="EN73">
        <f>CN73*0.1*'Reagent cost'!$C$16/1000*'Reagent cost'!$H$16*60*7200</f>
        <v>1828266.213809534</v>
      </c>
      <c r="EO73">
        <f>CR73/1000*'Reagent cost'!$H$19*'Reagent cost'!$C$19*60*7200</f>
        <v>153614.356230262</v>
      </c>
      <c r="EP73">
        <f>0.33*(CG73*'Reagent cost'!$C$13+CH73*'Reagent cost'!$C$12+CI73*'Reagent cost'!$C$14+CN73*0.1*'Reagent cost'!$C$16+CR73*'Reagent cost'!$C$19)/1000*60*7200</f>
        <v>314291.07626249921</v>
      </c>
      <c r="EQ73">
        <f t="shared" si="161"/>
        <v>22818419.683138609</v>
      </c>
      <c r="ER73">
        <f t="shared" si="162"/>
        <v>486147.66067922744</v>
      </c>
      <c r="ES73">
        <f t="shared" si="163"/>
        <v>46784.46952433938</v>
      </c>
      <c r="ET73">
        <f t="shared" si="164"/>
        <v>45678.708869524045</v>
      </c>
      <c r="EU73">
        <f t="shared" si="165"/>
        <v>19339.775932661389</v>
      </c>
      <c r="EV73">
        <f t="shared" si="166"/>
        <v>10244.818866671721</v>
      </c>
      <c r="EW73">
        <f t="shared" si="167"/>
        <v>10314.547164086078</v>
      </c>
      <c r="EX73">
        <f t="shared" si="168"/>
        <v>132362.32035728262</v>
      </c>
      <c r="EY73">
        <f t="shared" si="180"/>
        <v>30856.418517519851</v>
      </c>
      <c r="EZ73">
        <f t="shared" si="181"/>
        <v>23276.346174966162</v>
      </c>
      <c r="FA73">
        <f t="shared" si="182"/>
        <v>9854.9046305300271</v>
      </c>
      <c r="FB73">
        <f t="shared" si="183"/>
        <v>5223.3241852303481</v>
      </c>
      <c r="FC73">
        <f t="shared" si="184"/>
        <v>5255.949136282682</v>
      </c>
      <c r="FD73">
        <f t="shared" si="169"/>
        <v>74466.942644529074</v>
      </c>
      <c r="FE73">
        <f t="shared" si="170"/>
        <v>23511396.606819648</v>
      </c>
      <c r="FF73">
        <f t="shared" si="171"/>
        <v>23937143.162575781</v>
      </c>
      <c r="FG73">
        <f>BM73*AM73*195.08/1000*'PGM market prices'!$C$2*60*7200</f>
        <v>422797710.78668827</v>
      </c>
      <c r="FH73">
        <f>BN73*AQ73*BA73*106.42/1000*'PGM market prices'!$C$3*60*7200</f>
        <v>222240296.736599</v>
      </c>
      <c r="FI73">
        <f>BK73*J73*102.91/1000*'PGM market prices'!$C$4*60*7200</f>
        <v>247601800.16981775</v>
      </c>
      <c r="FJ73">
        <f t="shared" si="172"/>
        <v>892639807.69310498</v>
      </c>
      <c r="FK73">
        <f t="shared" si="173"/>
        <v>642839971.75259161</v>
      </c>
      <c r="FL73">
        <f t="shared" si="185"/>
        <v>0.55410053617073562</v>
      </c>
      <c r="FM73">
        <f t="shared" si="186"/>
        <v>1909.6781745351564</v>
      </c>
      <c r="FN73">
        <f t="shared" si="187"/>
        <v>3546.8023317965908</v>
      </c>
      <c r="FO73">
        <f t="shared" si="188"/>
        <v>15946.326327392973</v>
      </c>
    </row>
    <row r="74" spans="1:171">
      <c r="A74">
        <v>10</v>
      </c>
      <c r="B74">
        <v>1.54143585092054E-3</v>
      </c>
      <c r="C74">
        <v>1.54143585092054E-3</v>
      </c>
      <c r="D74">
        <v>3.4254130020456501E-4</v>
      </c>
      <c r="E74">
        <v>0</v>
      </c>
      <c r="F74">
        <v>0</v>
      </c>
      <c r="G74">
        <v>0</v>
      </c>
      <c r="H74" s="53">
        <v>1.7770671970930099E-5</v>
      </c>
      <c r="I74" s="53">
        <v>5.2649488631162003E-10</v>
      </c>
      <c r="J74">
        <v>3.3765279177869602E-4</v>
      </c>
      <c r="K74">
        <v>0.139053960209192</v>
      </c>
      <c r="L74">
        <v>0.14067571356050099</v>
      </c>
      <c r="M74">
        <v>4.4613899794023002E-4</v>
      </c>
      <c r="N74" s="53">
        <v>-1.6046192152785399E-16</v>
      </c>
      <c r="O74" s="53">
        <v>-5.9831913729046996E-14</v>
      </c>
      <c r="P74" s="53">
        <v>-6.6915602833089703E-20</v>
      </c>
      <c r="Q74">
        <v>0.10957366310586</v>
      </c>
      <c r="R74">
        <v>98.572870359588904</v>
      </c>
      <c r="S74">
        <v>500</v>
      </c>
      <c r="T74">
        <v>95</v>
      </c>
      <c r="U74">
        <v>1</v>
      </c>
      <c r="V74">
        <v>0.1</v>
      </c>
      <c r="W74">
        <v>91.262806376555005</v>
      </c>
      <c r="X74" t="s">
        <v>323</v>
      </c>
      <c r="Y74">
        <v>1</v>
      </c>
      <c r="Z74">
        <v>0.28318429382522198</v>
      </c>
      <c r="AA74">
        <v>0.56945642916197003</v>
      </c>
      <c r="AB74">
        <v>3.7698628972227502E-3</v>
      </c>
      <c r="AC74">
        <v>1822.2107908876901</v>
      </c>
      <c r="AD74">
        <v>2662.6059073104898</v>
      </c>
      <c r="AE74">
        <v>2401.5030938442701</v>
      </c>
      <c r="AF74">
        <v>6</v>
      </c>
      <c r="AG74">
        <v>1.6497548842793E-3</v>
      </c>
      <c r="AH74">
        <v>1.66899558413707E-3</v>
      </c>
      <c r="AI74" s="53">
        <v>5.2930530695573503E-6</v>
      </c>
      <c r="AJ74">
        <v>0</v>
      </c>
      <c r="AK74">
        <v>0</v>
      </c>
      <c r="AL74">
        <v>0</v>
      </c>
      <c r="AM74">
        <v>1.6121253228941501E-3</v>
      </c>
      <c r="AN74" s="53">
        <v>7.9591074029532495E-5</v>
      </c>
      <c r="AO74" s="53">
        <v>5.2576273786285902E-6</v>
      </c>
      <c r="AP74">
        <v>1.75622111317691E-3</v>
      </c>
      <c r="AQ74">
        <v>7.4179598573032607E-2</v>
      </c>
      <c r="AR74" s="53">
        <v>1.65336358086057E-6</v>
      </c>
      <c r="AS74" s="53">
        <v>-1.84991995680339E-18</v>
      </c>
      <c r="AT74" s="53">
        <v>-1.4875253806501101E-16</v>
      </c>
      <c r="AU74" s="53">
        <v>-2.54771628666332E-21</v>
      </c>
      <c r="AV74">
        <v>0.19788828374922501</v>
      </c>
      <c r="AW74">
        <v>99.330713475508006</v>
      </c>
      <c r="AX74">
        <v>500</v>
      </c>
      <c r="AY74">
        <v>95</v>
      </c>
      <c r="AZ74">
        <v>0.92357064280818002</v>
      </c>
      <c r="BA74">
        <v>0.1</v>
      </c>
      <c r="BB74">
        <v>46.671315012190298</v>
      </c>
      <c r="BC74" t="s">
        <v>251</v>
      </c>
      <c r="BD74">
        <v>1</v>
      </c>
      <c r="BE74">
        <v>1.8775014999999999E-2</v>
      </c>
      <c r="BF74">
        <v>0.10492961100000001</v>
      </c>
      <c r="BG74">
        <v>1.814625E-3</v>
      </c>
      <c r="BH74">
        <v>285.1951444</v>
      </c>
      <c r="BI74">
        <v>2169.8944889999998</v>
      </c>
      <c r="BJ74">
        <v>866.49409060000005</v>
      </c>
      <c r="BK74">
        <f t="shared" si="121"/>
        <v>100</v>
      </c>
      <c r="BL74">
        <f t="shared" si="122"/>
        <v>10.957366310586</v>
      </c>
      <c r="BM74">
        <f t="shared" si="123"/>
        <v>92.357064280818008</v>
      </c>
      <c r="BN74">
        <f t="shared" si="124"/>
        <v>19.788828374922502</v>
      </c>
      <c r="BO74">
        <f t="shared" si="125"/>
        <v>3.9446518718109598</v>
      </c>
      <c r="BP74">
        <f t="shared" si="126"/>
        <v>0.262976791454064</v>
      </c>
      <c r="BQ74">
        <f t="shared" si="127"/>
        <v>1.3148839572703199</v>
      </c>
      <c r="BR74">
        <f t="shared" si="128"/>
        <v>0.65744197863515996</v>
      </c>
      <c r="BS74">
        <f t="shared" si="129"/>
        <v>1.0957366310586001</v>
      </c>
      <c r="BT74">
        <f t="shared" si="130"/>
        <v>6.5744197863515996</v>
      </c>
      <c r="BU74">
        <f t="shared" si="131"/>
        <v>17.531786096937601</v>
      </c>
      <c r="BV74">
        <f t="shared" si="174"/>
        <v>5.478683155293</v>
      </c>
      <c r="BW74">
        <f t="shared" si="132"/>
        <v>86.87838112552501</v>
      </c>
      <c r="BX74">
        <f t="shared" si="133"/>
        <v>103.314430591404</v>
      </c>
      <c r="BY74">
        <f t="shared" si="175"/>
        <v>92.357064280818008</v>
      </c>
      <c r="BZ74">
        <f t="shared" si="176"/>
        <v>1.53403128348204</v>
      </c>
      <c r="CA74">
        <f>7963.6*(BT74/1000)^0.6*1.7*('CAPEX+OPEX'!$G$116/'CAPEX+OPEX'!$G$115)</f>
        <v>783.34916791178432</v>
      </c>
      <c r="CB74">
        <f>7963.6*(BU74/1000)^0.6*1.7*('CAPEX+OPEX'!$G$116/'CAPEX+OPEX'!$G$115)</f>
        <v>1411.0312294095941</v>
      </c>
      <c r="CC74">
        <f>7963.6*(BX74/1000)^0.6*1.7*('CAPEX+OPEX'!$G$116/'CAPEX+OPEX'!$G$115)</f>
        <v>4090.1338422275376</v>
      </c>
      <c r="CD74">
        <f>7963.6*(BY74/1000)^0.6*1.7*('CAPEX+OPEX'!$G$116/'CAPEX+OPEX'!$G$115)</f>
        <v>3824.0450478349017</v>
      </c>
      <c r="CE74">
        <v>300</v>
      </c>
      <c r="CF74">
        <v>30</v>
      </c>
      <c r="CG74">
        <f t="shared" si="134"/>
        <v>7.1239782149721007</v>
      </c>
      <c r="CH74">
        <f t="shared" si="135"/>
        <v>0.47493188099814004</v>
      </c>
      <c r="CI74">
        <f t="shared" si="136"/>
        <v>2.3746594049907004</v>
      </c>
      <c r="CJ74">
        <f t="shared" si="137"/>
        <v>1.1873297024953502</v>
      </c>
      <c r="CK74">
        <f t="shared" si="138"/>
        <v>1.9788828374922502</v>
      </c>
      <c r="CL74">
        <f t="shared" si="139"/>
        <v>11.873297024953501</v>
      </c>
      <c r="CM74">
        <f t="shared" si="140"/>
        <v>31.662125399876004</v>
      </c>
      <c r="CN74">
        <f t="shared" si="177"/>
        <v>9.8944141874612512</v>
      </c>
      <c r="CO74">
        <v>0</v>
      </c>
      <c r="CP74">
        <f t="shared" si="141"/>
        <v>29.683242562383754</v>
      </c>
      <c r="CQ74">
        <f t="shared" si="178"/>
        <v>9.8944141874612512</v>
      </c>
      <c r="CR74">
        <f t="shared" si="179"/>
        <v>2.7704359724891501</v>
      </c>
      <c r="CS74">
        <f>7963.6*(CL74/1000)^0.6*1.7*('CAPEX+OPEX'!$G$116/'CAPEX+OPEX'!$G$115)</f>
        <v>1116.821400428614</v>
      </c>
      <c r="CT74">
        <f>7963.6*(CM74/1000)^0.6*1.7*('CAPEX+OPEX'!$G$116/'CAPEX+OPEX'!$G$115)</f>
        <v>2011.7081095249146</v>
      </c>
      <c r="CU74">
        <f>7963.6*(CP74/1000)^0.6*1.7*('CAPEX+OPEX'!$G$116/'CAPEX+OPEX'!$G$115)</f>
        <v>1935.2974860810073</v>
      </c>
      <c r="CV74">
        <f>7963.6*(CQ74/1000)^0.6*1.7*('CAPEX+OPEX'!$G$116/'CAPEX+OPEX'!$G$115)</f>
        <v>1001.094279328111</v>
      </c>
      <c r="CW74">
        <v>300</v>
      </c>
      <c r="CX74">
        <f t="shared" si="142"/>
        <v>30</v>
      </c>
      <c r="CY74">
        <f t="shared" si="143"/>
        <v>10</v>
      </c>
      <c r="CZ74">
        <f t="shared" si="144"/>
        <v>9.2357064280818015</v>
      </c>
      <c r="DA74">
        <f t="shared" si="145"/>
        <v>3960</v>
      </c>
      <c r="DB74">
        <f t="shared" si="146"/>
        <v>3960</v>
      </c>
      <c r="DC74">
        <f>CF74*'Reagent cost'!$C$18/1000*'Reagent cost'!$H$18</f>
        <v>4784.413580611521</v>
      </c>
      <c r="DD74">
        <f>CX74*'Ligand cost'!$B$56*'Ligand cost'!$J$56</f>
        <v>30543.831958072875</v>
      </c>
      <c r="DE74">
        <f t="shared" si="147"/>
        <v>39625.826528698344</v>
      </c>
      <c r="DF74">
        <f t="shared" si="148"/>
        <v>4586243.4239371875</v>
      </c>
      <c r="DG74">
        <f t="shared" si="149"/>
        <v>11794834.586807497</v>
      </c>
      <c r="DH74">
        <f t="shared" si="150"/>
        <v>2275209.1661185985</v>
      </c>
      <c r="DI74">
        <f t="shared" si="151"/>
        <v>14083914.336508472</v>
      </c>
      <c r="DJ74">
        <f t="shared" si="152"/>
        <v>1662824.8986326549</v>
      </c>
      <c r="DK74" s="55">
        <f>DF74*($BK$2/10000)^0.72*0.6*((A74+1)/3)^0.6*('CAPEX+OPEX'!$G$116/'CAPEX+OPEX'!$G$114)</f>
        <v>508454.27904436266</v>
      </c>
      <c r="DL74" s="55">
        <f>DG74*($BK$2/10000)^0.72*0.6*((A74+1)/3)^0.6*('CAPEX+OPEX'!$G$116/'CAPEX+OPEX'!$G$114)</f>
        <v>1307635.369937323</v>
      </c>
      <c r="DM74" s="55">
        <f>DH74*($BK$2/10000)^0.72*0.6*((A74+1)/3)^0.6*('CAPEX+OPEX'!$G$116/'CAPEX+OPEX'!$G$114)</f>
        <v>252241.26355701292</v>
      </c>
      <c r="DN74" s="55">
        <f>DI74*($BK$2/10000)^0.72*0.6*((A74+1)/3)^0.6*('CAPEX+OPEX'!$G$116/'CAPEX+OPEX'!$G$114)</f>
        <v>1561414.3969585455</v>
      </c>
      <c r="DO74" s="55">
        <f>DJ74*($BK$2/10000)^0.72*0.6*((A74+1)/3)^0.6*('CAPEX+OPEX'!$G$116/'CAPEX+OPEX'!$G$114)</f>
        <v>184349.22808468476</v>
      </c>
      <c r="DP74">
        <f t="shared" si="153"/>
        <v>3814094.537581929</v>
      </c>
      <c r="DQ74">
        <f>DF74*(BM74/10000)^0.72*0.6*((AF74+1)/3)^0.6*('CAPEX+OPEX'!$G$116/'CAPEX+OPEX'!$G$114)</f>
        <v>366111.69803531736</v>
      </c>
      <c r="DR74">
        <f>DG74*(BM74/10000)^0.72*0.6*((AF74+1)/3)^0.6*('CAPEX+OPEX'!$G$116/'CAPEX+OPEX'!$G$114)</f>
        <v>941560.77631716337</v>
      </c>
      <c r="DS74">
        <f>DH74*(BM74/10000)^0.72*0.6*((AF74+1)/3)^0.6*('CAPEX+OPEX'!$G$116/'CAPEX+OPEX'!$G$114)</f>
        <v>181625.92217534396</v>
      </c>
      <c r="DT74">
        <f>DI74*(BM74/10000)^0.72*0.6*((AF74+1)/3)^0.6*('CAPEX+OPEX'!$G$116/'CAPEX+OPEX'!$G$114)</f>
        <v>1124293.9626384922</v>
      </c>
      <c r="DU74">
        <f>DJ74*(BM74/10000)^0.72*0.6*((AF74+1)/3)^0.6*('CAPEX+OPEX'!$G$116/'CAPEX+OPEX'!$G$114)</f>
        <v>132740.36960104966</v>
      </c>
      <c r="DV74">
        <f t="shared" si="154"/>
        <v>2746332.7287673666</v>
      </c>
      <c r="DW74">
        <f t="shared" si="155"/>
        <v>6628762.251365941</v>
      </c>
      <c r="DX74">
        <f t="shared" si="156"/>
        <v>441917.48342439608</v>
      </c>
      <c r="DY74">
        <f>BO74*'Reagent cost'!$C$35*60*7200</f>
        <v>1021732.5944510319</v>
      </c>
      <c r="DZ74">
        <f>BP74*'Reagent cost'!$C$34*60*7200</f>
        <v>243117.9202231922</v>
      </c>
      <c r="EA74">
        <f>BQ74*'Reagent cost'!$C$14*'Reagent cost'!$C$36/1000*60*7200</f>
        <v>4029879.502614982</v>
      </c>
      <c r="EB74">
        <f t="shared" si="157"/>
        <v>39.6</v>
      </c>
      <c r="EC74">
        <f t="shared" si="158"/>
        <v>95.688271612230423</v>
      </c>
      <c r="ED74">
        <f>0.1*BK74*60*7200*'Reagent cost'!$H$17*'Reagent cost'!$C$17/1000</f>
        <v>504921.59999999998</v>
      </c>
      <c r="EE74">
        <f>BV74*0.1*'Reagent cost'!$C$16/1000*'Reagent cost'!$H$16*60*7200</f>
        <v>999708.90248053882</v>
      </c>
      <c r="EF74">
        <f>BZ74/1000*'Reagent cost'!$H$19*'Reagent cost'!$C$19*60*7200</f>
        <v>83997.416958342597</v>
      </c>
      <c r="EG74">
        <f>0.33*('Costing 100 Lmin Feed Orig'!BO74*'Reagent cost'!$C$13+'Costing 100 Lmin Feed Orig'!BP74*'Reagent cost'!$C$12+'Costing 100 Lmin Feed Orig'!BQ74*'Reagent cost'!$C$14+'Costing 100 Lmin Feed Orig'!BV74*0.1*'Reagent cost'!$C$16+'Costing 100 Lmin Feed Orig'!BZ74*'Reagent cost'!$C$19)/1000*60*7200</f>
        <v>171856.58441672826</v>
      </c>
      <c r="EH74">
        <f>CG74*'Reagent cost'!$C$35*60*7200</f>
        <v>1845232.7305259595</v>
      </c>
      <c r="EI74">
        <f>CH74*'Reagent cost'!$C$34*60*7200</f>
        <v>439067.07705088647</v>
      </c>
      <c r="EJ74">
        <f>CI74*'Reagent cost'!$C$14*'Reagent cost'!$C$36/1000*60*7200</f>
        <v>7277897.9536188459</v>
      </c>
      <c r="EK74">
        <f t="shared" si="159"/>
        <v>39.6</v>
      </c>
      <c r="EL74">
        <f t="shared" si="160"/>
        <v>610.87663916145755</v>
      </c>
      <c r="EM74">
        <f>0.1*BM74*60*7200*'Reagent cost'!$H$17*'Reagent cost'!$C$17/1000</f>
        <v>466330.76667973475</v>
      </c>
      <c r="EN74">
        <f>CN74*0.1*'Reagent cost'!$C$16/1000*'Reagent cost'!$H$16*60*7200</f>
        <v>1805458.2949332395</v>
      </c>
      <c r="EO74">
        <f>CR74/1000*'Reagent cost'!$H$19*'Reagent cost'!$C$19*60*7200</f>
        <v>151697.99210961588</v>
      </c>
      <c r="EP74">
        <f>0.33*(CG74*'Reagent cost'!$C$13+CH74*'Reagent cost'!$C$12+CI74*'Reagent cost'!$C$14+CN74*0.1*'Reagent cost'!$C$16+CR74*'Reagent cost'!$C$19)/1000*60*7200</f>
        <v>310370.24388218526</v>
      </c>
      <c r="EQ74">
        <f t="shared" si="161"/>
        <v>22643794.219868567</v>
      </c>
      <c r="ER74">
        <f t="shared" si="162"/>
        <v>482226.82829891355</v>
      </c>
      <c r="ES74">
        <f t="shared" si="163"/>
        <v>46784.46952433938</v>
      </c>
      <c r="ET74">
        <f t="shared" si="164"/>
        <v>45678.708869524045</v>
      </c>
      <c r="EU74">
        <f t="shared" si="165"/>
        <v>19339.775932661389</v>
      </c>
      <c r="EV74">
        <f t="shared" si="166"/>
        <v>10244.818866671721</v>
      </c>
      <c r="EW74">
        <f t="shared" si="167"/>
        <v>10314.547164086078</v>
      </c>
      <c r="EX74">
        <f t="shared" si="168"/>
        <v>132362.32035728262</v>
      </c>
      <c r="EY74">
        <f t="shared" si="180"/>
        <v>33427.786727313171</v>
      </c>
      <c r="EZ74">
        <f t="shared" si="181"/>
        <v>27155.737204127185</v>
      </c>
      <c r="FA74">
        <f t="shared" si="182"/>
        <v>11497.388735618364</v>
      </c>
      <c r="FB74">
        <f t="shared" si="183"/>
        <v>6093.8782161020717</v>
      </c>
      <c r="FC74">
        <f t="shared" si="184"/>
        <v>6131.9406589964619</v>
      </c>
      <c r="FD74">
        <f t="shared" si="169"/>
        <v>84306.731542157271</v>
      </c>
      <c r="FE74">
        <f t="shared" si="170"/>
        <v>23342690.100066923</v>
      </c>
      <c r="FF74">
        <f t="shared" si="171"/>
        <v>23784607.583491318</v>
      </c>
      <c r="FG74">
        <f>BM74*AM74*195.08/1000*'PGM market prices'!$C$2*60*7200</f>
        <v>423239222.46135998</v>
      </c>
      <c r="FH74">
        <f>BN74*AQ74*BA74*106.42/1000*'PGM market prices'!$C$3*60*7200</f>
        <v>222228133.44241244</v>
      </c>
      <c r="FI74">
        <f>BK74*J74*102.91/1000*'PGM market prices'!$C$4*60*7200</f>
        <v>247601800.16981775</v>
      </c>
      <c r="FJ74">
        <f t="shared" si="172"/>
        <v>893069156.07359004</v>
      </c>
      <c r="FK74">
        <f t="shared" si="173"/>
        <v>643270565.88267303</v>
      </c>
      <c r="FL74">
        <f t="shared" si="185"/>
        <v>0.55056961998822496</v>
      </c>
      <c r="FM74">
        <f t="shared" si="186"/>
        <v>1895.529628798675</v>
      </c>
      <c r="FN74">
        <f t="shared" si="187"/>
        <v>3524.3937981113959</v>
      </c>
      <c r="FO74">
        <f t="shared" si="188"/>
        <v>15844.710938117047</v>
      </c>
    </row>
    <row r="75" spans="1:171">
      <c r="A75">
        <v>10</v>
      </c>
      <c r="B75">
        <v>1.54143585092054E-3</v>
      </c>
      <c r="C75">
        <v>1.54143585092054E-3</v>
      </c>
      <c r="D75">
        <v>3.4254130020456501E-4</v>
      </c>
      <c r="E75">
        <v>0</v>
      </c>
      <c r="F75">
        <v>0</v>
      </c>
      <c r="G75">
        <v>0</v>
      </c>
      <c r="H75" s="53">
        <v>1.7770671970930099E-5</v>
      </c>
      <c r="I75" s="53">
        <v>5.2649488631162003E-10</v>
      </c>
      <c r="J75">
        <v>3.3765279177869602E-4</v>
      </c>
      <c r="K75">
        <v>0.139053960209192</v>
      </c>
      <c r="L75">
        <v>0.14067571356050099</v>
      </c>
      <c r="M75">
        <v>4.4613899794023002E-4</v>
      </c>
      <c r="N75" s="53">
        <v>-1.6046192152785399E-16</v>
      </c>
      <c r="O75" s="53">
        <v>-5.9831913729046996E-14</v>
      </c>
      <c r="P75" s="53">
        <v>-6.6915602833089703E-20</v>
      </c>
      <c r="Q75">
        <v>0.10957366310586</v>
      </c>
      <c r="R75">
        <v>98.572870359588904</v>
      </c>
      <c r="S75">
        <v>500</v>
      </c>
      <c r="T75">
        <v>95</v>
      </c>
      <c r="U75">
        <v>1</v>
      </c>
      <c r="V75">
        <v>0.1</v>
      </c>
      <c r="W75">
        <v>91.262806376555005</v>
      </c>
      <c r="X75" t="s">
        <v>323</v>
      </c>
      <c r="Y75">
        <v>1</v>
      </c>
      <c r="Z75">
        <v>0.28318429382522198</v>
      </c>
      <c r="AA75">
        <v>0.56945642916197003</v>
      </c>
      <c r="AB75">
        <v>3.7698628972227502E-3</v>
      </c>
      <c r="AC75">
        <v>1822.2107908876901</v>
      </c>
      <c r="AD75">
        <v>2662.6059073104898</v>
      </c>
      <c r="AE75">
        <v>2401.5030938442701</v>
      </c>
      <c r="AF75">
        <v>7</v>
      </c>
      <c r="AG75">
        <v>1.6497548842793E-3</v>
      </c>
      <c r="AH75">
        <v>1.66899558413707E-3</v>
      </c>
      <c r="AI75" s="53">
        <v>5.2930530695573503E-6</v>
      </c>
      <c r="AJ75">
        <v>0</v>
      </c>
      <c r="AK75">
        <v>0</v>
      </c>
      <c r="AL75">
        <v>0</v>
      </c>
      <c r="AM75">
        <v>1.6126141989109301E-3</v>
      </c>
      <c r="AN75" s="53">
        <v>7.9616362695628595E-5</v>
      </c>
      <c r="AO75" s="53">
        <v>5.2580688259994502E-6</v>
      </c>
      <c r="AP75">
        <v>1.7397937197708099E-3</v>
      </c>
      <c r="AQ75">
        <v>7.4451829856534701E-2</v>
      </c>
      <c r="AR75" s="53">
        <v>1.63877878475564E-6</v>
      </c>
      <c r="AS75" s="53">
        <v>-4.3300324263639803E-18</v>
      </c>
      <c r="AT75" s="53">
        <v>-1.6727071117106299E-15</v>
      </c>
      <c r="AU75" s="53">
        <v>-5.3336605897419202E-21</v>
      </c>
      <c r="AV75">
        <v>0.197161573065819</v>
      </c>
      <c r="AW75">
        <v>99.339053602936502</v>
      </c>
      <c r="AX75">
        <v>500</v>
      </c>
      <c r="AY75">
        <v>95</v>
      </c>
      <c r="AZ75">
        <v>0.92357064280818002</v>
      </c>
      <c r="BA75">
        <v>0.1</v>
      </c>
      <c r="BB75">
        <v>46.843339117600799</v>
      </c>
      <c r="BC75" t="s">
        <v>251</v>
      </c>
      <c r="BD75">
        <v>1</v>
      </c>
      <c r="BE75">
        <v>1.8775014999999999E-2</v>
      </c>
      <c r="BF75">
        <v>0.10492961100000001</v>
      </c>
      <c r="BG75">
        <v>1.814625E-3</v>
      </c>
      <c r="BH75">
        <v>285.1951444</v>
      </c>
      <c r="BI75">
        <v>2169.8944889999998</v>
      </c>
      <c r="BJ75">
        <v>866.49409060000005</v>
      </c>
      <c r="BK75">
        <f t="shared" si="121"/>
        <v>100</v>
      </c>
      <c r="BL75">
        <f t="shared" si="122"/>
        <v>10.957366310586</v>
      </c>
      <c r="BM75">
        <f t="shared" si="123"/>
        <v>92.357064280818008</v>
      </c>
      <c r="BN75">
        <f t="shared" si="124"/>
        <v>19.716157306581898</v>
      </c>
      <c r="BO75">
        <f t="shared" si="125"/>
        <v>3.9446518718109598</v>
      </c>
      <c r="BP75">
        <f t="shared" si="126"/>
        <v>0.262976791454064</v>
      </c>
      <c r="BQ75">
        <f t="shared" si="127"/>
        <v>1.3148839572703199</v>
      </c>
      <c r="BR75">
        <f t="shared" si="128"/>
        <v>0.65744197863515996</v>
      </c>
      <c r="BS75">
        <f t="shared" si="129"/>
        <v>1.0957366310586001</v>
      </c>
      <c r="BT75">
        <f t="shared" si="130"/>
        <v>6.5744197863515996</v>
      </c>
      <c r="BU75">
        <f t="shared" si="131"/>
        <v>17.531786096937601</v>
      </c>
      <c r="BV75">
        <f t="shared" si="174"/>
        <v>5.478683155293</v>
      </c>
      <c r="BW75">
        <f t="shared" si="132"/>
        <v>86.87838112552501</v>
      </c>
      <c r="BX75">
        <f t="shared" si="133"/>
        <v>103.314430591404</v>
      </c>
      <c r="BY75">
        <f t="shared" si="175"/>
        <v>92.357064280818008</v>
      </c>
      <c r="BZ75">
        <f t="shared" si="176"/>
        <v>1.53403128348204</v>
      </c>
      <c r="CA75">
        <f>7963.6*(BT75/1000)^0.6*1.7*('CAPEX+OPEX'!$G$116/'CAPEX+OPEX'!$G$115)</f>
        <v>783.34916791178432</v>
      </c>
      <c r="CB75">
        <f>7963.6*(BU75/1000)^0.6*1.7*('CAPEX+OPEX'!$G$116/'CAPEX+OPEX'!$G$115)</f>
        <v>1411.0312294095941</v>
      </c>
      <c r="CC75">
        <f>7963.6*(BX75/1000)^0.6*1.7*('CAPEX+OPEX'!$G$116/'CAPEX+OPEX'!$G$115)</f>
        <v>4090.1338422275376</v>
      </c>
      <c r="CD75">
        <f>7963.6*(BY75/1000)^0.6*1.7*('CAPEX+OPEX'!$G$116/'CAPEX+OPEX'!$G$115)</f>
        <v>3824.0450478349017</v>
      </c>
      <c r="CE75">
        <v>300</v>
      </c>
      <c r="CF75">
        <v>30</v>
      </c>
      <c r="CG75">
        <f t="shared" si="134"/>
        <v>7.0978166303694836</v>
      </c>
      <c r="CH75">
        <f t="shared" si="135"/>
        <v>0.47318777535796558</v>
      </c>
      <c r="CI75">
        <f t="shared" si="136"/>
        <v>2.3659388767898277</v>
      </c>
      <c r="CJ75">
        <f t="shared" si="137"/>
        <v>1.1829694383949139</v>
      </c>
      <c r="CK75">
        <f t="shared" si="138"/>
        <v>1.9716157306581898</v>
      </c>
      <c r="CL75">
        <f t="shared" si="139"/>
        <v>11.829694383949139</v>
      </c>
      <c r="CM75">
        <f t="shared" si="140"/>
        <v>31.545851690531038</v>
      </c>
      <c r="CN75">
        <f t="shared" si="177"/>
        <v>9.8580786532909492</v>
      </c>
      <c r="CO75">
        <v>0</v>
      </c>
      <c r="CP75">
        <f t="shared" si="141"/>
        <v>29.574235959872848</v>
      </c>
      <c r="CQ75">
        <f t="shared" si="178"/>
        <v>9.8580786532909492</v>
      </c>
      <c r="CR75">
        <f t="shared" si="179"/>
        <v>2.7602620229214656</v>
      </c>
      <c r="CS75">
        <f>7963.6*(CL75/1000)^0.6*1.7*('CAPEX+OPEX'!$G$116/'CAPEX+OPEX'!$G$115)</f>
        <v>1114.3587892574117</v>
      </c>
      <c r="CT75">
        <f>7963.6*(CM75/1000)^0.6*1.7*('CAPEX+OPEX'!$G$116/'CAPEX+OPEX'!$G$115)</f>
        <v>2007.2722571479685</v>
      </c>
      <c r="CU75">
        <f>7963.6*(CP75/1000)^0.6*1.7*('CAPEX+OPEX'!$G$116/'CAPEX+OPEX'!$G$115)</f>
        <v>1931.0301204959683</v>
      </c>
      <c r="CV75">
        <f>7963.6*(CQ75/1000)^0.6*1.7*('CAPEX+OPEX'!$G$116/'CAPEX+OPEX'!$G$115)</f>
        <v>998.88684852963763</v>
      </c>
      <c r="CW75">
        <v>300</v>
      </c>
      <c r="CX75">
        <f t="shared" si="142"/>
        <v>30</v>
      </c>
      <c r="CY75">
        <f t="shared" si="143"/>
        <v>10</v>
      </c>
      <c r="CZ75">
        <f t="shared" si="144"/>
        <v>9.2357064280818015</v>
      </c>
      <c r="DA75">
        <f t="shared" si="145"/>
        <v>3960</v>
      </c>
      <c r="DB75">
        <f t="shared" si="146"/>
        <v>3960</v>
      </c>
      <c r="DC75">
        <f>CF75*'Reagent cost'!$C$18/1000*'Reagent cost'!$H$18</f>
        <v>4784.413580611521</v>
      </c>
      <c r="DD75">
        <f>CX75*'Ligand cost'!$B$56*'Ligand cost'!$J$56</f>
        <v>30543.831958072875</v>
      </c>
      <c r="DE75">
        <f t="shared" si="147"/>
        <v>39625.826528698344</v>
      </c>
      <c r="DF75">
        <f t="shared" si="148"/>
        <v>4586243.4239371875</v>
      </c>
      <c r="DG75">
        <f t="shared" si="149"/>
        <v>11794834.586807497</v>
      </c>
      <c r="DH75">
        <f t="shared" si="150"/>
        <v>2275209.1661185985</v>
      </c>
      <c r="DI75">
        <f t="shared" si="151"/>
        <v>14083914.336508472</v>
      </c>
      <c r="DJ75">
        <f t="shared" si="152"/>
        <v>1662824.8986326549</v>
      </c>
      <c r="DK75" s="55">
        <f>DF75*($BK$2/10000)^0.72*0.6*((A75+1)/3)^0.6*('CAPEX+OPEX'!$G$116/'CAPEX+OPEX'!$G$114)</f>
        <v>508454.27904436266</v>
      </c>
      <c r="DL75" s="55">
        <f>DG75*($BK$2/10000)^0.72*0.6*((A75+1)/3)^0.6*('CAPEX+OPEX'!$G$116/'CAPEX+OPEX'!$G$114)</f>
        <v>1307635.369937323</v>
      </c>
      <c r="DM75" s="55">
        <f>DH75*($BK$2/10000)^0.72*0.6*((A75+1)/3)^0.6*('CAPEX+OPEX'!$G$116/'CAPEX+OPEX'!$G$114)</f>
        <v>252241.26355701292</v>
      </c>
      <c r="DN75" s="55">
        <f>DI75*($BK$2/10000)^0.72*0.6*((A75+1)/3)^0.6*('CAPEX+OPEX'!$G$116/'CAPEX+OPEX'!$G$114)</f>
        <v>1561414.3969585455</v>
      </c>
      <c r="DO75" s="55">
        <f>DJ75*($BK$2/10000)^0.72*0.6*((A75+1)/3)^0.6*('CAPEX+OPEX'!$G$116/'CAPEX+OPEX'!$G$114)</f>
        <v>184349.22808468476</v>
      </c>
      <c r="DP75">
        <f t="shared" si="153"/>
        <v>3814094.537581929</v>
      </c>
      <c r="DQ75">
        <f>DF75*(BM75/10000)^0.72*0.6*((AF75+1)/3)^0.6*('CAPEX+OPEX'!$G$116/'CAPEX+OPEX'!$G$114)</f>
        <v>396651.20127902145</v>
      </c>
      <c r="DR75">
        <f>DG75*(BM75/10000)^0.72*0.6*((AF75+1)/3)^0.6*('CAPEX+OPEX'!$G$116/'CAPEX+OPEX'!$G$114)</f>
        <v>1020101.8295989644</v>
      </c>
      <c r="DS75">
        <f>DH75*(BM75/10000)^0.72*0.6*((AF75+1)/3)^0.6*('CAPEX+OPEX'!$G$116/'CAPEX+OPEX'!$G$114)</f>
        <v>196776.3952937407</v>
      </c>
      <c r="DT75">
        <f>DI75*(BM75/10000)^0.72*0.6*((AF75+1)/3)^0.6*('CAPEX+OPEX'!$G$116/'CAPEX+OPEX'!$G$114)</f>
        <v>1218077.8523725015</v>
      </c>
      <c r="DU75">
        <f>DJ75*(BM75/10000)^0.72*0.6*((AF75+1)/3)^0.6*('CAPEX+OPEX'!$G$116/'CAPEX+OPEX'!$G$114)</f>
        <v>143813.01483406452</v>
      </c>
      <c r="DV75">
        <f t="shared" si="154"/>
        <v>2975420.293378293</v>
      </c>
      <c r="DW75">
        <f t="shared" si="155"/>
        <v>6857834.4367279457</v>
      </c>
      <c r="DX75">
        <f t="shared" si="156"/>
        <v>457188.96244852972</v>
      </c>
      <c r="DY75">
        <f>BO75*'Reagent cost'!$C$35*60*7200</f>
        <v>1021732.5944510319</v>
      </c>
      <c r="DZ75">
        <f>BP75*'Reagent cost'!$C$34*60*7200</f>
        <v>243117.9202231922</v>
      </c>
      <c r="EA75">
        <f>BQ75*'Reagent cost'!$C$14*'Reagent cost'!$C$36/1000*60*7200</f>
        <v>4029879.502614982</v>
      </c>
      <c r="EB75">
        <f t="shared" si="157"/>
        <v>39.6</v>
      </c>
      <c r="EC75">
        <f t="shared" si="158"/>
        <v>95.688271612230423</v>
      </c>
      <c r="ED75">
        <f>0.1*BK75*60*7200*'Reagent cost'!$H$17*'Reagent cost'!$C$17/1000</f>
        <v>504921.59999999998</v>
      </c>
      <c r="EE75">
        <f>BV75*0.1*'Reagent cost'!$C$16/1000*'Reagent cost'!$H$16*60*7200</f>
        <v>999708.90248053882</v>
      </c>
      <c r="EF75">
        <f>BZ75/1000*'Reagent cost'!$H$19*'Reagent cost'!$C$19*60*7200</f>
        <v>83997.416958342597</v>
      </c>
      <c r="EG75">
        <f>0.33*('Costing 100 Lmin Feed Orig'!BO75*'Reagent cost'!$C$13+'Costing 100 Lmin Feed Orig'!BP75*'Reagent cost'!$C$12+'Costing 100 Lmin Feed Orig'!BQ75*'Reagent cost'!$C$14+'Costing 100 Lmin Feed Orig'!BV75*0.1*'Reagent cost'!$C$16+'Costing 100 Lmin Feed Orig'!BZ75*'Reagent cost'!$C$19)/1000*60*7200</f>
        <v>171856.58441672826</v>
      </c>
      <c r="EH75">
        <f>CG75*'Reagent cost'!$C$35*60*7200</f>
        <v>1838456.4307206459</v>
      </c>
      <c r="EI75">
        <f>CH75*'Reagent cost'!$C$34*60*7200</f>
        <v>437454.67873412161</v>
      </c>
      <c r="EJ75">
        <f>CI75*'Reagent cost'!$C$14*'Reagent cost'!$C$36/1000*60*7200</f>
        <v>7251171.1252517039</v>
      </c>
      <c r="EK75">
        <f t="shared" si="159"/>
        <v>39.6</v>
      </c>
      <c r="EL75">
        <f t="shared" si="160"/>
        <v>610.87663916145755</v>
      </c>
      <c r="EM75">
        <f>0.1*BM75*60*7200*'Reagent cost'!$H$17*'Reagent cost'!$C$17/1000</f>
        <v>466330.76667973475</v>
      </c>
      <c r="EN75">
        <f>CN75*0.1*'Reagent cost'!$C$16/1000*'Reagent cost'!$H$16*60*7200</f>
        <v>1798828.0599010598</v>
      </c>
      <c r="EO75">
        <f>CR75/1000*'Reagent cost'!$H$19*'Reagent cost'!$C$19*60*7200</f>
        <v>151140.90732708777</v>
      </c>
      <c r="EP75">
        <f>0.33*(CG75*'Reagent cost'!$C$13+CH75*'Reagent cost'!$C$12+CI75*'Reagent cost'!$C$14+CN75*0.1*'Reagent cost'!$C$16+CR75*'Reagent cost'!$C$19)/1000*60*7200</f>
        <v>309230.46254815569</v>
      </c>
      <c r="EQ75">
        <f t="shared" si="161"/>
        <v>22593030.804303855</v>
      </c>
      <c r="ER75">
        <f t="shared" si="162"/>
        <v>481087.04696488392</v>
      </c>
      <c r="ES75">
        <f t="shared" si="163"/>
        <v>46784.46952433938</v>
      </c>
      <c r="ET75">
        <f t="shared" si="164"/>
        <v>45678.708869524045</v>
      </c>
      <c r="EU75">
        <f t="shared" si="165"/>
        <v>19339.775932661389</v>
      </c>
      <c r="EV75">
        <f t="shared" si="166"/>
        <v>10244.818866671721</v>
      </c>
      <c r="EW75">
        <f t="shared" si="167"/>
        <v>10314.547164086078</v>
      </c>
      <c r="EX75">
        <f t="shared" si="168"/>
        <v>132362.32035728262</v>
      </c>
      <c r="EY75">
        <f t="shared" si="180"/>
        <v>35999.15493710649</v>
      </c>
      <c r="EZ75">
        <f t="shared" si="181"/>
        <v>31035.128233288218</v>
      </c>
      <c r="FA75">
        <f t="shared" si="182"/>
        <v>13139.872840706705</v>
      </c>
      <c r="FB75">
        <f t="shared" si="183"/>
        <v>6964.4322469737981</v>
      </c>
      <c r="FC75">
        <f t="shared" si="184"/>
        <v>7007.9321817102436</v>
      </c>
      <c r="FD75">
        <f t="shared" si="169"/>
        <v>94146.520439785469</v>
      </c>
      <c r="FE75">
        <f t="shared" si="170"/>
        <v>23300626.692065805</v>
      </c>
      <c r="FF75">
        <f t="shared" si="171"/>
        <v>23757815.654514335</v>
      </c>
      <c r="FG75">
        <f>BM75*AM75*195.08/1000*'PGM market prices'!$C$2*60*7200</f>
        <v>423367569.49634761</v>
      </c>
      <c r="FH75">
        <f>BN75*AQ75*BA75*106.42/1000*'PGM market prices'!$C$3*60*7200</f>
        <v>222224597.6196174</v>
      </c>
      <c r="FI75">
        <f>BK75*J75*102.91/1000*'PGM market prices'!$C$4*60*7200</f>
        <v>247601800.16981775</v>
      </c>
      <c r="FJ75">
        <f t="shared" si="172"/>
        <v>893193967.28578281</v>
      </c>
      <c r="FK75">
        <f t="shared" si="173"/>
        <v>643382752.20713866</v>
      </c>
      <c r="FL75">
        <f t="shared" si="185"/>
        <v>0.54994943644709104</v>
      </c>
      <c r="FM75">
        <f t="shared" si="186"/>
        <v>1892.8204321166916</v>
      </c>
      <c r="FN75">
        <f t="shared" si="187"/>
        <v>3520.4797941890533</v>
      </c>
      <c r="FO75">
        <f t="shared" si="188"/>
        <v>15826.862824852</v>
      </c>
    </row>
    <row r="76" spans="1:171">
      <c r="A76">
        <v>10</v>
      </c>
      <c r="B76">
        <v>1.54143585092054E-3</v>
      </c>
      <c r="C76">
        <v>1.54143585092054E-3</v>
      </c>
      <c r="D76">
        <v>3.4254130020456501E-4</v>
      </c>
      <c r="E76">
        <v>0</v>
      </c>
      <c r="F76">
        <v>0</v>
      </c>
      <c r="G76">
        <v>0</v>
      </c>
      <c r="H76" s="53">
        <v>1.7770671970930099E-5</v>
      </c>
      <c r="I76" s="53">
        <v>5.2649488631162003E-10</v>
      </c>
      <c r="J76">
        <v>3.3765279177869602E-4</v>
      </c>
      <c r="K76">
        <v>0.139053960209192</v>
      </c>
      <c r="L76">
        <v>0.14067571356050099</v>
      </c>
      <c r="M76">
        <v>4.4613899794023002E-4</v>
      </c>
      <c r="N76" s="53">
        <v>-1.6046192152785399E-16</v>
      </c>
      <c r="O76" s="53">
        <v>-5.9831913729046996E-14</v>
      </c>
      <c r="P76" s="53">
        <v>-6.6915602833089703E-20</v>
      </c>
      <c r="Q76">
        <v>0.10957366310586</v>
      </c>
      <c r="R76">
        <v>98.572870359588904</v>
      </c>
      <c r="S76">
        <v>500</v>
      </c>
      <c r="T76">
        <v>95</v>
      </c>
      <c r="U76">
        <v>1</v>
      </c>
      <c r="V76">
        <v>0.1</v>
      </c>
      <c r="W76">
        <v>91.262806376555005</v>
      </c>
      <c r="X76" t="s">
        <v>323</v>
      </c>
      <c r="Y76">
        <v>1</v>
      </c>
      <c r="Z76">
        <v>0.28318429382522198</v>
      </c>
      <c r="AA76">
        <v>0.56945642916197003</v>
      </c>
      <c r="AB76">
        <v>3.7698628972227502E-3</v>
      </c>
      <c r="AC76">
        <v>1822.2107908876901</v>
      </c>
      <c r="AD76">
        <v>2662.6059073104898</v>
      </c>
      <c r="AE76">
        <v>2401.5030938442701</v>
      </c>
      <c r="AF76">
        <v>8</v>
      </c>
      <c r="AG76">
        <v>1.6497548842793E-3</v>
      </c>
      <c r="AH76">
        <v>1.66899558413707E-3</v>
      </c>
      <c r="AI76" s="53">
        <v>5.2930530695573503E-6</v>
      </c>
      <c r="AJ76">
        <v>0</v>
      </c>
      <c r="AK76">
        <v>0</v>
      </c>
      <c r="AL76">
        <v>0</v>
      </c>
      <c r="AM76">
        <v>1.61275350560018E-3</v>
      </c>
      <c r="AN76" s="53">
        <v>7.9623568834895101E-5</v>
      </c>
      <c r="AO76" s="53">
        <v>5.2581946177476304E-6</v>
      </c>
      <c r="AP76">
        <v>1.7350904900191701E-3</v>
      </c>
      <c r="AQ76">
        <v>7.4529770779203794E-2</v>
      </c>
      <c r="AR76" s="53">
        <v>1.63460309858261E-6</v>
      </c>
      <c r="AS76" s="53">
        <v>5.0504644411898598E-15</v>
      </c>
      <c r="AT76" s="53">
        <v>-1.17550023534529E-12</v>
      </c>
      <c r="AU76" s="53">
        <v>2.20162391837113E-20</v>
      </c>
      <c r="AV76">
        <v>0.19695449478278201</v>
      </c>
      <c r="AW76">
        <v>99.341430147182905</v>
      </c>
      <c r="AX76">
        <v>500</v>
      </c>
      <c r="AY76">
        <v>95</v>
      </c>
      <c r="AZ76">
        <v>0.92357064280818002</v>
      </c>
      <c r="BA76">
        <v>0.1</v>
      </c>
      <c r="BB76">
        <v>46.8925902821751</v>
      </c>
      <c r="BC76" t="s">
        <v>251</v>
      </c>
      <c r="BD76">
        <v>1</v>
      </c>
      <c r="BE76">
        <v>1.8775014999999999E-2</v>
      </c>
      <c r="BF76">
        <v>0.10492961100000001</v>
      </c>
      <c r="BG76">
        <v>1.814625E-3</v>
      </c>
      <c r="BH76">
        <v>285.1951444</v>
      </c>
      <c r="BI76">
        <v>2169.8944889999998</v>
      </c>
      <c r="BJ76">
        <v>866.49409060000005</v>
      </c>
      <c r="BK76">
        <f t="shared" si="121"/>
        <v>100</v>
      </c>
      <c r="BL76">
        <f t="shared" si="122"/>
        <v>10.957366310586</v>
      </c>
      <c r="BM76">
        <f t="shared" si="123"/>
        <v>92.357064280818008</v>
      </c>
      <c r="BN76">
        <f t="shared" si="124"/>
        <v>19.695449478278203</v>
      </c>
      <c r="BO76">
        <f t="shared" si="125"/>
        <v>3.9446518718109598</v>
      </c>
      <c r="BP76">
        <f t="shared" si="126"/>
        <v>0.262976791454064</v>
      </c>
      <c r="BQ76">
        <f t="shared" si="127"/>
        <v>1.3148839572703199</v>
      </c>
      <c r="BR76">
        <f t="shared" si="128"/>
        <v>0.65744197863515996</v>
      </c>
      <c r="BS76">
        <f t="shared" si="129"/>
        <v>1.0957366310586001</v>
      </c>
      <c r="BT76">
        <f t="shared" si="130"/>
        <v>6.5744197863515996</v>
      </c>
      <c r="BU76">
        <f t="shared" si="131"/>
        <v>17.531786096937601</v>
      </c>
      <c r="BV76">
        <f t="shared" si="174"/>
        <v>5.478683155293</v>
      </c>
      <c r="BW76">
        <f t="shared" si="132"/>
        <v>86.87838112552501</v>
      </c>
      <c r="BX76">
        <f t="shared" si="133"/>
        <v>103.314430591404</v>
      </c>
      <c r="BY76">
        <f t="shared" si="175"/>
        <v>92.357064280818008</v>
      </c>
      <c r="BZ76">
        <f t="shared" si="176"/>
        <v>1.53403128348204</v>
      </c>
      <c r="CA76">
        <f>7963.6*(BT76/1000)^0.6*1.7*('CAPEX+OPEX'!$G$116/'CAPEX+OPEX'!$G$115)</f>
        <v>783.34916791178432</v>
      </c>
      <c r="CB76">
        <f>7963.6*(BU76/1000)^0.6*1.7*('CAPEX+OPEX'!$G$116/'CAPEX+OPEX'!$G$115)</f>
        <v>1411.0312294095941</v>
      </c>
      <c r="CC76">
        <f>7963.6*(BX76/1000)^0.6*1.7*('CAPEX+OPEX'!$G$116/'CAPEX+OPEX'!$G$115)</f>
        <v>4090.1338422275376</v>
      </c>
      <c r="CD76">
        <f>7963.6*(BY76/1000)^0.6*1.7*('CAPEX+OPEX'!$G$116/'CAPEX+OPEX'!$G$115)</f>
        <v>3824.0450478349017</v>
      </c>
      <c r="CE76">
        <v>300</v>
      </c>
      <c r="CF76">
        <v>30</v>
      </c>
      <c r="CG76">
        <f t="shared" si="134"/>
        <v>7.090361812180153</v>
      </c>
      <c r="CH76">
        <f t="shared" si="135"/>
        <v>0.47269078747867688</v>
      </c>
      <c r="CI76">
        <f t="shared" si="136"/>
        <v>2.3634539373933841</v>
      </c>
      <c r="CJ76">
        <f t="shared" si="137"/>
        <v>1.181726968696692</v>
      </c>
      <c r="CK76">
        <f t="shared" si="138"/>
        <v>1.9695449478278204</v>
      </c>
      <c r="CL76">
        <f t="shared" si="139"/>
        <v>11.817269686966922</v>
      </c>
      <c r="CM76">
        <f t="shared" si="140"/>
        <v>31.512719165245127</v>
      </c>
      <c r="CN76">
        <f t="shared" si="177"/>
        <v>9.8477247391391014</v>
      </c>
      <c r="CO76">
        <v>0</v>
      </c>
      <c r="CP76">
        <f t="shared" si="141"/>
        <v>29.543174217417302</v>
      </c>
      <c r="CQ76">
        <f t="shared" si="178"/>
        <v>9.8477247391391014</v>
      </c>
      <c r="CR76">
        <f t="shared" si="179"/>
        <v>2.7573629269589484</v>
      </c>
      <c r="CS76">
        <f>7963.6*(CL76/1000)^0.6*1.7*('CAPEX+OPEX'!$G$116/'CAPEX+OPEX'!$G$115)</f>
        <v>1113.6563968038367</v>
      </c>
      <c r="CT76">
        <f>7963.6*(CM76/1000)^0.6*1.7*('CAPEX+OPEX'!$G$116/'CAPEX+OPEX'!$G$115)</f>
        <v>2006.007051633118</v>
      </c>
      <c r="CU76">
        <f>7963.6*(CP76/1000)^0.6*1.7*('CAPEX+OPEX'!$G$116/'CAPEX+OPEX'!$G$115)</f>
        <v>1929.8129712283014</v>
      </c>
      <c r="CV76">
        <f>7963.6*(CQ76/1000)^0.6*1.7*('CAPEX+OPEX'!$G$116/'CAPEX+OPEX'!$G$115)</f>
        <v>998.25723929502999</v>
      </c>
      <c r="CW76">
        <v>300</v>
      </c>
      <c r="CX76">
        <f t="shared" si="142"/>
        <v>30</v>
      </c>
      <c r="CY76">
        <f t="shared" si="143"/>
        <v>10</v>
      </c>
      <c r="CZ76">
        <f t="shared" si="144"/>
        <v>9.2357064280818015</v>
      </c>
      <c r="DA76">
        <f t="shared" si="145"/>
        <v>3960</v>
      </c>
      <c r="DB76">
        <f t="shared" si="146"/>
        <v>3960</v>
      </c>
      <c r="DC76">
        <f>CF76*'Reagent cost'!$C$18/1000*'Reagent cost'!$H$18</f>
        <v>4784.413580611521</v>
      </c>
      <c r="DD76">
        <f>CX76*'Ligand cost'!$B$56*'Ligand cost'!$J$56</f>
        <v>30543.831958072875</v>
      </c>
      <c r="DE76">
        <f t="shared" si="147"/>
        <v>39625.826528698344</v>
      </c>
      <c r="DF76">
        <f t="shared" si="148"/>
        <v>4586243.4239371875</v>
      </c>
      <c r="DG76">
        <f t="shared" si="149"/>
        <v>11794834.586807497</v>
      </c>
      <c r="DH76">
        <f t="shared" si="150"/>
        <v>2275209.1661185985</v>
      </c>
      <c r="DI76">
        <f t="shared" si="151"/>
        <v>14083914.336508472</v>
      </c>
      <c r="DJ76">
        <f t="shared" si="152"/>
        <v>1662824.8986326549</v>
      </c>
      <c r="DK76" s="55">
        <f>DF76*($BK$2/10000)^0.72*0.6*((A76+1)/3)^0.6*('CAPEX+OPEX'!$G$116/'CAPEX+OPEX'!$G$114)</f>
        <v>508454.27904436266</v>
      </c>
      <c r="DL76" s="55">
        <f>DG76*($BK$2/10000)^0.72*0.6*((A76+1)/3)^0.6*('CAPEX+OPEX'!$G$116/'CAPEX+OPEX'!$G$114)</f>
        <v>1307635.369937323</v>
      </c>
      <c r="DM76" s="55">
        <f>DH76*($BK$2/10000)^0.72*0.6*((A76+1)/3)^0.6*('CAPEX+OPEX'!$G$116/'CAPEX+OPEX'!$G$114)</f>
        <v>252241.26355701292</v>
      </c>
      <c r="DN76" s="55">
        <f>DI76*($BK$2/10000)^0.72*0.6*((A76+1)/3)^0.6*('CAPEX+OPEX'!$G$116/'CAPEX+OPEX'!$G$114)</f>
        <v>1561414.3969585455</v>
      </c>
      <c r="DO76" s="55">
        <f>DJ76*($BK$2/10000)^0.72*0.6*((A76+1)/3)^0.6*('CAPEX+OPEX'!$G$116/'CAPEX+OPEX'!$G$114)</f>
        <v>184349.22808468476</v>
      </c>
      <c r="DP76">
        <f t="shared" si="153"/>
        <v>3814094.537581929</v>
      </c>
      <c r="DQ76">
        <f>DF76*(BM76/10000)^0.72*0.6*((AF76+1)/3)^0.6*('CAPEX+OPEX'!$G$116/'CAPEX+OPEX'!$G$114)</f>
        <v>425696.7037601528</v>
      </c>
      <c r="DR76">
        <f>DG76*(BM76/10000)^0.72*0.6*((AF76+1)/3)^0.6*('CAPEX+OPEX'!$G$116/'CAPEX+OPEX'!$G$114)</f>
        <v>1094800.6333012651</v>
      </c>
      <c r="DS76">
        <f>DH76*(BM76/10000)^0.72*0.6*((AF76+1)/3)^0.6*('CAPEX+OPEX'!$G$116/'CAPEX+OPEX'!$G$114)</f>
        <v>211185.70316751648</v>
      </c>
      <c r="DT76">
        <f>DI76*(BM76/10000)^0.72*0.6*((AF76+1)/3)^0.6*('CAPEX+OPEX'!$G$116/'CAPEX+OPEX'!$G$114)</f>
        <v>1307273.8088431063</v>
      </c>
      <c r="DU76">
        <f>DJ76*(BM76/10000)^0.72*0.6*((AF76+1)/3)^0.6*('CAPEX+OPEX'!$G$116/'CAPEX+OPEX'!$G$114)</f>
        <v>154343.98326605832</v>
      </c>
      <c r="DV76">
        <f t="shared" si="154"/>
        <v>3193300.8323380989</v>
      </c>
      <c r="DW76">
        <f t="shared" si="155"/>
        <v>7075710.5891778115</v>
      </c>
      <c r="DX76">
        <f t="shared" si="156"/>
        <v>471714.0392785208</v>
      </c>
      <c r="DY76">
        <f>BO76*'Reagent cost'!$C$35*60*7200</f>
        <v>1021732.5944510319</v>
      </c>
      <c r="DZ76">
        <f>BP76*'Reagent cost'!$C$34*60*7200</f>
        <v>243117.9202231922</v>
      </c>
      <c r="EA76">
        <f>BQ76*'Reagent cost'!$C$14*'Reagent cost'!$C$36/1000*60*7200</f>
        <v>4029879.502614982</v>
      </c>
      <c r="EB76">
        <f t="shared" si="157"/>
        <v>39.6</v>
      </c>
      <c r="EC76">
        <f t="shared" si="158"/>
        <v>95.688271612230423</v>
      </c>
      <c r="ED76">
        <f>0.1*BK76*60*7200*'Reagent cost'!$H$17*'Reagent cost'!$C$17/1000</f>
        <v>504921.59999999998</v>
      </c>
      <c r="EE76">
        <f>BV76*0.1*'Reagent cost'!$C$16/1000*'Reagent cost'!$H$16*60*7200</f>
        <v>999708.90248053882</v>
      </c>
      <c r="EF76">
        <f>BZ76/1000*'Reagent cost'!$H$19*'Reagent cost'!$C$19*60*7200</f>
        <v>83997.416958342597</v>
      </c>
      <c r="EG76">
        <f>0.33*('Costing 100 Lmin Feed Orig'!BO76*'Reagent cost'!$C$13+'Costing 100 Lmin Feed Orig'!BP76*'Reagent cost'!$C$12+'Costing 100 Lmin Feed Orig'!BQ76*'Reagent cost'!$C$14+'Costing 100 Lmin Feed Orig'!BV76*0.1*'Reagent cost'!$C$16+'Costing 100 Lmin Feed Orig'!BZ76*'Reagent cost'!$C$19)/1000*60*7200</f>
        <v>171856.58441672826</v>
      </c>
      <c r="EH76">
        <f>CG76*'Reagent cost'!$C$35*60*7200</f>
        <v>1836525.5047537247</v>
      </c>
      <c r="EI76">
        <f>CH76*'Reagent cost'!$C$34*60*7200</f>
        <v>436995.22123248916</v>
      </c>
      <c r="EJ76">
        <f>CI76*'Reagent cost'!$C$14*'Reagent cost'!$C$36/1000*60*7200</f>
        <v>7243555.2392386459</v>
      </c>
      <c r="EK76">
        <f t="shared" si="159"/>
        <v>39.6</v>
      </c>
      <c r="EL76">
        <f t="shared" si="160"/>
        <v>610.87663916145755</v>
      </c>
      <c r="EM76">
        <f>0.1*BM76*60*7200*'Reagent cost'!$H$17*'Reagent cost'!$C$17/1000</f>
        <v>466330.76667973475</v>
      </c>
      <c r="EN76">
        <f>CN76*0.1*'Reagent cost'!$C$16/1000*'Reagent cost'!$H$16*60*7200</f>
        <v>1796938.755508065</v>
      </c>
      <c r="EO76">
        <f>CR76/1000*'Reagent cost'!$H$19*'Reagent cost'!$C$19*60*7200</f>
        <v>150982.16442856417</v>
      </c>
      <c r="EP76">
        <f>0.33*(CG76*'Reagent cost'!$C$13+CH76*'Reagent cost'!$C$12+CI76*'Reagent cost'!$C$14+CN76*0.1*'Reagent cost'!$C$16+CR76*'Reagent cost'!$C$19)/1000*60*7200</f>
        <v>308905.67860445165</v>
      </c>
      <c r="EQ76">
        <f t="shared" si="161"/>
        <v>22578565.624176096</v>
      </c>
      <c r="ER76">
        <f t="shared" si="162"/>
        <v>480762.26302117994</v>
      </c>
      <c r="ES76">
        <f t="shared" si="163"/>
        <v>46784.46952433938</v>
      </c>
      <c r="ET76">
        <f t="shared" si="164"/>
        <v>45678.708869524045</v>
      </c>
      <c r="EU76">
        <f t="shared" si="165"/>
        <v>19339.775932661389</v>
      </c>
      <c r="EV76">
        <f t="shared" si="166"/>
        <v>10244.818866671721</v>
      </c>
      <c r="EW76">
        <f t="shared" si="167"/>
        <v>10314.547164086078</v>
      </c>
      <c r="EX76">
        <f t="shared" si="168"/>
        <v>132362.32035728262</v>
      </c>
      <c r="EY76">
        <f t="shared" si="180"/>
        <v>38570.52314689981</v>
      </c>
      <c r="EZ76">
        <f t="shared" si="181"/>
        <v>34914.519262449241</v>
      </c>
      <c r="FA76">
        <f t="shared" si="182"/>
        <v>14782.35694579504</v>
      </c>
      <c r="FB76">
        <f t="shared" si="183"/>
        <v>7834.9862778455226</v>
      </c>
      <c r="FC76">
        <f t="shared" si="184"/>
        <v>7883.9237044240235</v>
      </c>
      <c r="FD76">
        <f t="shared" si="169"/>
        <v>103986.30933741365</v>
      </c>
      <c r="FE76">
        <f t="shared" si="170"/>
        <v>23295676.516891971</v>
      </c>
      <c r="FF76">
        <f t="shared" si="171"/>
        <v>23767390.556170493</v>
      </c>
      <c r="FG76">
        <f>BM76*AM76*195.08/1000*'PGM market prices'!$C$2*60*7200</f>
        <v>423404142.36943907</v>
      </c>
      <c r="FH76">
        <f>BN76*AQ76*BA76*106.42/1000*'PGM market prices'!$C$3*60*7200</f>
        <v>222223590.24583465</v>
      </c>
      <c r="FI76">
        <f>BK76*J76*102.91/1000*'PGM market prices'!$C$4*60*7200</f>
        <v>247601800.16981775</v>
      </c>
      <c r="FJ76">
        <f t="shared" si="172"/>
        <v>893229532.7850914</v>
      </c>
      <c r="FK76">
        <f t="shared" si="173"/>
        <v>643401985.24940145</v>
      </c>
      <c r="FL76">
        <f t="shared" si="185"/>
        <v>0.55017107768913176</v>
      </c>
      <c r="FM76">
        <f t="shared" si="186"/>
        <v>1893.4197144918508</v>
      </c>
      <c r="FN76">
        <f t="shared" si="187"/>
        <v>3521.914587234894</v>
      </c>
      <c r="FO76">
        <f t="shared" si="188"/>
        <v>15833.241384955216</v>
      </c>
    </row>
    <row r="77" spans="1:171">
      <c r="A77">
        <v>10</v>
      </c>
      <c r="B77">
        <v>1.54143585092054E-3</v>
      </c>
      <c r="C77">
        <v>1.54143585092054E-3</v>
      </c>
      <c r="D77">
        <v>3.4254130020456501E-4</v>
      </c>
      <c r="E77">
        <v>0</v>
      </c>
      <c r="F77">
        <v>0</v>
      </c>
      <c r="G77">
        <v>0</v>
      </c>
      <c r="H77" s="53">
        <v>1.7770671970930099E-5</v>
      </c>
      <c r="I77" s="53">
        <v>5.2649488631162003E-10</v>
      </c>
      <c r="J77">
        <v>3.3765279177869602E-4</v>
      </c>
      <c r="K77">
        <v>0.139053960209192</v>
      </c>
      <c r="L77">
        <v>0.14067571356050099</v>
      </c>
      <c r="M77">
        <v>4.4613899794023002E-4</v>
      </c>
      <c r="N77" s="53">
        <v>-1.6046192152785399E-16</v>
      </c>
      <c r="O77" s="53">
        <v>-5.9831913729046996E-14</v>
      </c>
      <c r="P77" s="53">
        <v>-6.6915602833089703E-20</v>
      </c>
      <c r="Q77">
        <v>0.10957366310586</v>
      </c>
      <c r="R77">
        <v>98.572870359588904</v>
      </c>
      <c r="S77">
        <v>500</v>
      </c>
      <c r="T77">
        <v>95</v>
      </c>
      <c r="U77">
        <v>1</v>
      </c>
      <c r="V77">
        <v>0.1</v>
      </c>
      <c r="W77">
        <v>91.262806376555005</v>
      </c>
      <c r="X77" t="s">
        <v>323</v>
      </c>
      <c r="Y77">
        <v>1</v>
      </c>
      <c r="Z77">
        <v>0.28318429382522198</v>
      </c>
      <c r="AA77">
        <v>0.56945642916197003</v>
      </c>
      <c r="AB77">
        <v>3.7698628972227502E-3</v>
      </c>
      <c r="AC77">
        <v>1822.2107908876901</v>
      </c>
      <c r="AD77">
        <v>2662.6059073104898</v>
      </c>
      <c r="AE77">
        <v>2401.5030938442701</v>
      </c>
      <c r="AF77">
        <v>9</v>
      </c>
      <c r="AG77">
        <v>1.6497548842793E-3</v>
      </c>
      <c r="AH77">
        <v>1.66899558413707E-3</v>
      </c>
      <c r="AI77" s="53">
        <v>5.2930530695573503E-6</v>
      </c>
      <c r="AJ77">
        <v>0</v>
      </c>
      <c r="AK77">
        <v>0</v>
      </c>
      <c r="AL77">
        <v>0</v>
      </c>
      <c r="AM77">
        <v>1.6127928524710801E-3</v>
      </c>
      <c r="AN77" s="53">
        <v>7.9625604160899597E-5</v>
      </c>
      <c r="AO77" s="53">
        <v>5.2582301473474496E-6</v>
      </c>
      <c r="AP77">
        <v>1.73376028278021E-3</v>
      </c>
      <c r="AQ77">
        <v>7.4551814690152901E-2</v>
      </c>
      <c r="AR77" s="53">
        <v>1.6334220957110999E-6</v>
      </c>
      <c r="AS77" s="53">
        <v>3.7072938035426199E-17</v>
      </c>
      <c r="AT77" s="53">
        <v>-4.8554910092590799E-15</v>
      </c>
      <c r="AU77" s="53">
        <v>-3.3748968992163501E-22</v>
      </c>
      <c r="AV77">
        <v>0.19689600584133801</v>
      </c>
      <c r="AW77">
        <v>99.342101396825598</v>
      </c>
      <c r="AX77">
        <v>500</v>
      </c>
      <c r="AY77">
        <v>95</v>
      </c>
      <c r="AZ77">
        <v>0.92357064280818002</v>
      </c>
      <c r="BA77">
        <v>0.1</v>
      </c>
      <c r="BB77">
        <v>46.906519960207</v>
      </c>
      <c r="BC77" t="s">
        <v>251</v>
      </c>
      <c r="BD77">
        <v>1</v>
      </c>
      <c r="BE77">
        <v>1.8775014999999999E-2</v>
      </c>
      <c r="BF77">
        <v>0.10492961100000001</v>
      </c>
      <c r="BG77">
        <v>1.814625E-3</v>
      </c>
      <c r="BH77">
        <v>285.1951444</v>
      </c>
      <c r="BI77">
        <v>2169.8944889999998</v>
      </c>
      <c r="BJ77">
        <v>866.49409060000005</v>
      </c>
      <c r="BK77">
        <f t="shared" si="121"/>
        <v>100</v>
      </c>
      <c r="BL77">
        <f t="shared" si="122"/>
        <v>10.957366310586</v>
      </c>
      <c r="BM77">
        <f t="shared" si="123"/>
        <v>92.357064280818008</v>
      </c>
      <c r="BN77">
        <f t="shared" si="124"/>
        <v>19.6896005841338</v>
      </c>
      <c r="BO77">
        <f t="shared" si="125"/>
        <v>3.9446518718109598</v>
      </c>
      <c r="BP77">
        <f t="shared" si="126"/>
        <v>0.262976791454064</v>
      </c>
      <c r="BQ77">
        <f t="shared" si="127"/>
        <v>1.3148839572703199</v>
      </c>
      <c r="BR77">
        <f t="shared" si="128"/>
        <v>0.65744197863515996</v>
      </c>
      <c r="BS77">
        <f t="shared" si="129"/>
        <v>1.0957366310586001</v>
      </c>
      <c r="BT77">
        <f t="shared" si="130"/>
        <v>6.5744197863515996</v>
      </c>
      <c r="BU77">
        <f t="shared" si="131"/>
        <v>17.531786096937601</v>
      </c>
      <c r="BV77">
        <f t="shared" si="174"/>
        <v>5.478683155293</v>
      </c>
      <c r="BW77">
        <f t="shared" si="132"/>
        <v>86.87838112552501</v>
      </c>
      <c r="BX77">
        <f t="shared" si="133"/>
        <v>103.314430591404</v>
      </c>
      <c r="BY77">
        <f t="shared" si="175"/>
        <v>92.357064280818008</v>
      </c>
      <c r="BZ77">
        <f t="shared" si="176"/>
        <v>1.53403128348204</v>
      </c>
      <c r="CA77">
        <f>7963.6*(BT77/1000)^0.6*1.7*('CAPEX+OPEX'!$G$116/'CAPEX+OPEX'!$G$115)</f>
        <v>783.34916791178432</v>
      </c>
      <c r="CB77">
        <f>7963.6*(BU77/1000)^0.6*1.7*('CAPEX+OPEX'!$G$116/'CAPEX+OPEX'!$G$115)</f>
        <v>1411.0312294095941</v>
      </c>
      <c r="CC77">
        <f>7963.6*(BX77/1000)^0.6*1.7*('CAPEX+OPEX'!$G$116/'CAPEX+OPEX'!$G$115)</f>
        <v>4090.1338422275376</v>
      </c>
      <c r="CD77">
        <f>7963.6*(BY77/1000)^0.6*1.7*('CAPEX+OPEX'!$G$116/'CAPEX+OPEX'!$G$115)</f>
        <v>3824.0450478349017</v>
      </c>
      <c r="CE77">
        <v>300</v>
      </c>
      <c r="CF77">
        <v>30</v>
      </c>
      <c r="CG77">
        <f t="shared" si="134"/>
        <v>7.0882562102881677</v>
      </c>
      <c r="CH77">
        <f t="shared" si="135"/>
        <v>0.47255041401921122</v>
      </c>
      <c r="CI77">
        <f t="shared" si="136"/>
        <v>2.362752070096056</v>
      </c>
      <c r="CJ77">
        <f t="shared" si="137"/>
        <v>1.181376035048028</v>
      </c>
      <c r="CK77">
        <f t="shared" si="138"/>
        <v>1.96896005841338</v>
      </c>
      <c r="CL77">
        <f t="shared" si="139"/>
        <v>11.81376035048028</v>
      </c>
      <c r="CM77">
        <f t="shared" si="140"/>
        <v>31.503360934614079</v>
      </c>
      <c r="CN77">
        <f t="shared" si="177"/>
        <v>9.8448002920668998</v>
      </c>
      <c r="CO77">
        <v>0</v>
      </c>
      <c r="CP77">
        <f t="shared" si="141"/>
        <v>29.534400876200699</v>
      </c>
      <c r="CQ77">
        <f t="shared" si="178"/>
        <v>9.8448002920668998</v>
      </c>
      <c r="CR77">
        <f t="shared" si="179"/>
        <v>2.7565440817787317</v>
      </c>
      <c r="CS77">
        <f>7963.6*(CL77/1000)^0.6*1.7*('CAPEX+OPEX'!$G$116/'CAPEX+OPEX'!$G$115)</f>
        <v>1113.4579536464876</v>
      </c>
      <c r="CT77">
        <f>7963.6*(CM77/1000)^0.6*1.7*('CAPEX+OPEX'!$G$116/'CAPEX+OPEX'!$G$115)</f>
        <v>2005.6495999324568</v>
      </c>
      <c r="CU77">
        <f>7963.6*(CP77/1000)^0.6*1.7*('CAPEX+OPEX'!$G$116/'CAPEX+OPEX'!$G$115)</f>
        <v>1929.469096600362</v>
      </c>
      <c r="CV77">
        <f>7963.6*(CQ77/1000)^0.6*1.7*('CAPEX+OPEX'!$G$116/'CAPEX+OPEX'!$G$115)</f>
        <v>998.07935918858016</v>
      </c>
      <c r="CW77">
        <v>300</v>
      </c>
      <c r="CX77">
        <f t="shared" si="142"/>
        <v>30</v>
      </c>
      <c r="CY77">
        <f t="shared" si="143"/>
        <v>10</v>
      </c>
      <c r="CZ77">
        <f t="shared" si="144"/>
        <v>9.2357064280818015</v>
      </c>
      <c r="DA77">
        <f t="shared" si="145"/>
        <v>3960</v>
      </c>
      <c r="DB77">
        <f t="shared" si="146"/>
        <v>3960</v>
      </c>
      <c r="DC77">
        <f>CF77*'Reagent cost'!$C$18/1000*'Reagent cost'!$H$18</f>
        <v>4784.413580611521</v>
      </c>
      <c r="DD77">
        <f>CX77*'Ligand cost'!$B$56*'Ligand cost'!$J$56</f>
        <v>30543.831958072875</v>
      </c>
      <c r="DE77">
        <f t="shared" si="147"/>
        <v>39625.826528698344</v>
      </c>
      <c r="DF77">
        <f t="shared" si="148"/>
        <v>4586243.4239371875</v>
      </c>
      <c r="DG77">
        <f t="shared" si="149"/>
        <v>11794834.586807497</v>
      </c>
      <c r="DH77">
        <f t="shared" si="150"/>
        <v>2275209.1661185985</v>
      </c>
      <c r="DI77">
        <f t="shared" si="151"/>
        <v>14083914.336508472</v>
      </c>
      <c r="DJ77">
        <f t="shared" si="152"/>
        <v>1662824.8986326549</v>
      </c>
      <c r="DK77" s="55">
        <f>DF77*($BK$2/10000)^0.72*0.6*((A77+1)/3)^0.6*('CAPEX+OPEX'!$G$116/'CAPEX+OPEX'!$G$114)</f>
        <v>508454.27904436266</v>
      </c>
      <c r="DL77" s="55">
        <f>DG77*($BK$2/10000)^0.72*0.6*((A77+1)/3)^0.6*('CAPEX+OPEX'!$G$116/'CAPEX+OPEX'!$G$114)</f>
        <v>1307635.369937323</v>
      </c>
      <c r="DM77" s="55">
        <f>DH77*($BK$2/10000)^0.72*0.6*((A77+1)/3)^0.6*('CAPEX+OPEX'!$G$116/'CAPEX+OPEX'!$G$114)</f>
        <v>252241.26355701292</v>
      </c>
      <c r="DN77" s="55">
        <f>DI77*($BK$2/10000)^0.72*0.6*((A77+1)/3)^0.6*('CAPEX+OPEX'!$G$116/'CAPEX+OPEX'!$G$114)</f>
        <v>1561414.3969585455</v>
      </c>
      <c r="DO77" s="55">
        <f>DJ77*($BK$2/10000)^0.72*0.6*((A77+1)/3)^0.6*('CAPEX+OPEX'!$G$116/'CAPEX+OPEX'!$G$114)</f>
        <v>184349.22808468476</v>
      </c>
      <c r="DP77">
        <f t="shared" si="153"/>
        <v>3814094.537581929</v>
      </c>
      <c r="DQ77">
        <f>DF77*(BM77/10000)^0.72*0.6*((AF77+1)/3)^0.6*('CAPEX+OPEX'!$G$116/'CAPEX+OPEX'!$G$114)</f>
        <v>453476.49549484823</v>
      </c>
      <c r="DR77">
        <f>DG77*(BM77/10000)^0.72*0.6*((AF77+1)/3)^0.6*('CAPEX+OPEX'!$G$116/'CAPEX+OPEX'!$G$114)</f>
        <v>1166244.3003897874</v>
      </c>
      <c r="DS77">
        <f>DH77*(BM77/10000)^0.72*0.6*((AF77+1)/3)^0.6*('CAPEX+OPEX'!$G$116/'CAPEX+OPEX'!$G$114)</f>
        <v>224967.09916969045</v>
      </c>
      <c r="DT77">
        <f>DI77*(BM77/10000)^0.72*0.6*((AF77+1)/3)^0.6*('CAPEX+OPEX'!$G$116/'CAPEX+OPEX'!$G$114)</f>
        <v>1392582.8888268326</v>
      </c>
      <c r="DU77">
        <f>DJ77*(BM77/10000)^0.72*0.6*((AF77+1)/3)^0.6*('CAPEX+OPEX'!$G$116/'CAPEX+OPEX'!$G$114)</f>
        <v>164416.04554129308</v>
      </c>
      <c r="DV77">
        <f t="shared" si="154"/>
        <v>3401686.8294224516</v>
      </c>
      <c r="DW77">
        <f t="shared" si="155"/>
        <v>7284095.3469651323</v>
      </c>
      <c r="DX77">
        <f t="shared" si="156"/>
        <v>485606.35646434216</v>
      </c>
      <c r="DY77">
        <f>BO77*'Reagent cost'!$C$35*60*7200</f>
        <v>1021732.5944510319</v>
      </c>
      <c r="DZ77">
        <f>BP77*'Reagent cost'!$C$34*60*7200</f>
        <v>243117.9202231922</v>
      </c>
      <c r="EA77">
        <f>BQ77*'Reagent cost'!$C$14*'Reagent cost'!$C$36/1000*60*7200</f>
        <v>4029879.502614982</v>
      </c>
      <c r="EB77">
        <f t="shared" si="157"/>
        <v>39.6</v>
      </c>
      <c r="EC77">
        <f t="shared" si="158"/>
        <v>95.688271612230423</v>
      </c>
      <c r="ED77">
        <f>0.1*BK77*60*7200*'Reagent cost'!$H$17*'Reagent cost'!$C$17/1000</f>
        <v>504921.59999999998</v>
      </c>
      <c r="EE77">
        <f>BV77*0.1*'Reagent cost'!$C$16/1000*'Reagent cost'!$H$16*60*7200</f>
        <v>999708.90248053882</v>
      </c>
      <c r="EF77">
        <f>BZ77/1000*'Reagent cost'!$H$19*'Reagent cost'!$C$19*60*7200</f>
        <v>83997.416958342597</v>
      </c>
      <c r="EG77">
        <f>0.33*('Costing 100 Lmin Feed Orig'!BO77*'Reagent cost'!$C$13+'Costing 100 Lmin Feed Orig'!BP77*'Reagent cost'!$C$12+'Costing 100 Lmin Feed Orig'!BQ77*'Reagent cost'!$C$14+'Costing 100 Lmin Feed Orig'!BV77*0.1*'Reagent cost'!$C$16+'Costing 100 Lmin Feed Orig'!BZ77*'Reagent cost'!$C$19)/1000*60*7200</f>
        <v>171856.58441672826</v>
      </c>
      <c r="EH77">
        <f>CG77*'Reagent cost'!$C$35*60*7200</f>
        <v>1835980.1176945134</v>
      </c>
      <c r="EI77">
        <f>CH77*'Reagent cost'!$C$34*60*7200</f>
        <v>436865.44817026902</v>
      </c>
      <c r="EJ77">
        <f>CI77*'Reagent cost'!$C$14*'Reagent cost'!$C$36/1000*60*7200</f>
        <v>7241404.1439884389</v>
      </c>
      <c r="EK77">
        <f t="shared" si="159"/>
        <v>39.6</v>
      </c>
      <c r="EL77">
        <f t="shared" si="160"/>
        <v>610.87663916145755</v>
      </c>
      <c r="EM77">
        <f>0.1*BM77*60*7200*'Reagent cost'!$H$17*'Reagent cost'!$C$17/1000</f>
        <v>466330.76667973475</v>
      </c>
      <c r="EN77">
        <f>CN77*0.1*'Reagent cost'!$C$16/1000*'Reagent cost'!$H$16*60*7200</f>
        <v>1796405.1243981717</v>
      </c>
      <c r="EO77">
        <f>CR77/1000*'Reagent cost'!$H$19*'Reagent cost'!$C$19*60*7200</f>
        <v>150937.32774187624</v>
      </c>
      <c r="EP77">
        <f>0.33*(CG77*'Reagent cost'!$C$13+CH77*'Reagent cost'!$C$12+CI77*'Reagent cost'!$C$14+CN77*0.1*'Reagent cost'!$C$16+CR77*'Reagent cost'!$C$19)/1000*60*7200</f>
        <v>308813.94388081634</v>
      </c>
      <c r="EQ77">
        <f t="shared" si="161"/>
        <v>22574479.956374232</v>
      </c>
      <c r="ER77">
        <f t="shared" si="162"/>
        <v>480670.52829754457</v>
      </c>
      <c r="ES77">
        <f t="shared" si="163"/>
        <v>46784.46952433938</v>
      </c>
      <c r="ET77">
        <f t="shared" si="164"/>
        <v>45678.708869524045</v>
      </c>
      <c r="EU77">
        <f t="shared" si="165"/>
        <v>19339.775932661389</v>
      </c>
      <c r="EV77">
        <f t="shared" si="166"/>
        <v>10244.818866671721</v>
      </c>
      <c r="EW77">
        <f t="shared" si="167"/>
        <v>10314.547164086078</v>
      </c>
      <c r="EX77">
        <f t="shared" si="168"/>
        <v>132362.32035728262</v>
      </c>
      <c r="EY77">
        <f t="shared" si="180"/>
        <v>41141.89135669313</v>
      </c>
      <c r="EZ77">
        <f t="shared" si="181"/>
        <v>38793.910291610271</v>
      </c>
      <c r="FA77">
        <f t="shared" si="182"/>
        <v>16424.84105088338</v>
      </c>
      <c r="FB77">
        <f t="shared" si="183"/>
        <v>8705.5403087172472</v>
      </c>
      <c r="FC77">
        <f t="shared" si="184"/>
        <v>8759.9152271378043</v>
      </c>
      <c r="FD77">
        <f t="shared" si="169"/>
        <v>113826.09823504183</v>
      </c>
      <c r="FE77">
        <f t="shared" si="170"/>
        <v>23301338.903264098</v>
      </c>
      <c r="FF77">
        <f t="shared" si="171"/>
        <v>23786945.259728439</v>
      </c>
      <c r="FG77">
        <f>BM77*AM77*195.08/1000*'PGM market prices'!$C$2*60*7200</f>
        <v>423414472.29777002</v>
      </c>
      <c r="FH77">
        <f>BN77*AQ77*BA77*106.42/1000*'PGM market prices'!$C$3*60*7200</f>
        <v>222223305.49240935</v>
      </c>
      <c r="FI77">
        <f>BK77*J77*102.91/1000*'PGM market prices'!$C$4*60*7200</f>
        <v>247601800.16981775</v>
      </c>
      <c r="FJ77">
        <f t="shared" si="172"/>
        <v>893239577.95999718</v>
      </c>
      <c r="FK77">
        <f t="shared" si="173"/>
        <v>643394948.19819891</v>
      </c>
      <c r="FL77">
        <f t="shared" si="185"/>
        <v>0.55062373286408428</v>
      </c>
      <c r="FM77">
        <f t="shared" si="186"/>
        <v>1894.9313009181576</v>
      </c>
      <c r="FN77">
        <f t="shared" si="187"/>
        <v>3524.8167713960356</v>
      </c>
      <c r="FO77">
        <f t="shared" si="188"/>
        <v>15846.268239582461</v>
      </c>
    </row>
    <row r="78" spans="1:171">
      <c r="A78">
        <v>10</v>
      </c>
      <c r="B78">
        <v>1.54143585092054E-3</v>
      </c>
      <c r="C78">
        <v>1.54143585092054E-3</v>
      </c>
      <c r="D78">
        <v>3.4254130020456501E-4</v>
      </c>
      <c r="E78">
        <v>0</v>
      </c>
      <c r="F78">
        <v>0</v>
      </c>
      <c r="G78">
        <v>0</v>
      </c>
      <c r="H78" s="53">
        <v>1.7770671970930099E-5</v>
      </c>
      <c r="I78" s="53">
        <v>5.2649488631162003E-10</v>
      </c>
      <c r="J78">
        <v>3.3765279177869602E-4</v>
      </c>
      <c r="K78">
        <v>0.139053960209192</v>
      </c>
      <c r="L78">
        <v>0.14067571356050099</v>
      </c>
      <c r="M78">
        <v>4.4613899794023002E-4</v>
      </c>
      <c r="N78" s="53">
        <v>-1.6046192152785399E-16</v>
      </c>
      <c r="O78" s="53">
        <v>-5.9831913729046996E-14</v>
      </c>
      <c r="P78" s="53">
        <v>-6.6915602833089703E-20</v>
      </c>
      <c r="Q78">
        <v>0.10957366310586</v>
      </c>
      <c r="R78">
        <v>98.572870359588904</v>
      </c>
      <c r="S78">
        <v>500</v>
      </c>
      <c r="T78">
        <v>95</v>
      </c>
      <c r="U78">
        <v>1</v>
      </c>
      <c r="V78">
        <v>0.1</v>
      </c>
      <c r="W78">
        <v>91.262806376555005</v>
      </c>
      <c r="X78" t="s">
        <v>323</v>
      </c>
      <c r="Y78">
        <v>1</v>
      </c>
      <c r="Z78">
        <v>0.28318429382522198</v>
      </c>
      <c r="AA78">
        <v>0.56945642916197003</v>
      </c>
      <c r="AB78">
        <v>3.7698628972227502E-3</v>
      </c>
      <c r="AC78">
        <v>1822.2107908876901</v>
      </c>
      <c r="AD78">
        <v>2662.6059073104898</v>
      </c>
      <c r="AE78">
        <v>2401.5030938442701</v>
      </c>
      <c r="AF78">
        <v>10</v>
      </c>
      <c r="AG78">
        <v>1.6497548842793E-3</v>
      </c>
      <c r="AH78">
        <v>1.66899558413707E-3</v>
      </c>
      <c r="AI78" s="53">
        <v>5.2930530695573503E-6</v>
      </c>
      <c r="AJ78">
        <v>0</v>
      </c>
      <c r="AK78">
        <v>0</v>
      </c>
      <c r="AL78">
        <v>0</v>
      </c>
      <c r="AM78">
        <v>1.612803928521E-3</v>
      </c>
      <c r="AN78" s="53">
        <v>7.96261771409158E-5</v>
      </c>
      <c r="AO78" s="53">
        <v>5.2582401488513497E-6</v>
      </c>
      <c r="AP78">
        <v>1.7333856890078599E-3</v>
      </c>
      <c r="AQ78">
        <v>7.4558022378498803E-2</v>
      </c>
      <c r="AR78" s="53">
        <v>1.6330895187087101E-6</v>
      </c>
      <c r="AS78" s="53">
        <v>6.1817751980698602E-15</v>
      </c>
      <c r="AT78" s="53">
        <v>-6.4017497899970799E-13</v>
      </c>
      <c r="AU78" s="53">
        <v>5.9603326218120902E-20</v>
      </c>
      <c r="AV78">
        <v>0.196879541421767</v>
      </c>
      <c r="AW78">
        <v>99.342290352117899</v>
      </c>
      <c r="AX78">
        <v>500</v>
      </c>
      <c r="AY78">
        <v>95</v>
      </c>
      <c r="AZ78">
        <v>0.92357064280818002</v>
      </c>
      <c r="BA78">
        <v>0.1</v>
      </c>
      <c r="BB78">
        <v>46.910442605595598</v>
      </c>
      <c r="BC78" t="s">
        <v>251</v>
      </c>
      <c r="BD78">
        <v>1</v>
      </c>
      <c r="BE78">
        <v>1.8775014999999999E-2</v>
      </c>
      <c r="BF78">
        <v>0.10492961100000001</v>
      </c>
      <c r="BG78">
        <v>1.814625E-3</v>
      </c>
      <c r="BH78">
        <v>285.1951444</v>
      </c>
      <c r="BI78">
        <v>2169.8944889999998</v>
      </c>
      <c r="BJ78">
        <v>866.49409060000005</v>
      </c>
      <c r="BK78">
        <f t="shared" si="121"/>
        <v>100</v>
      </c>
      <c r="BL78">
        <f t="shared" si="122"/>
        <v>10.957366310586</v>
      </c>
      <c r="BM78">
        <f t="shared" si="123"/>
        <v>92.357064280818008</v>
      </c>
      <c r="BN78">
        <f t="shared" si="124"/>
        <v>19.6879541421767</v>
      </c>
      <c r="BO78">
        <f t="shared" si="125"/>
        <v>3.9446518718109598</v>
      </c>
      <c r="BP78">
        <f t="shared" si="126"/>
        <v>0.262976791454064</v>
      </c>
      <c r="BQ78">
        <f t="shared" si="127"/>
        <v>1.3148839572703199</v>
      </c>
      <c r="BR78">
        <f t="shared" si="128"/>
        <v>0.65744197863515996</v>
      </c>
      <c r="BS78">
        <f t="shared" si="129"/>
        <v>1.0957366310586001</v>
      </c>
      <c r="BT78">
        <f t="shared" si="130"/>
        <v>6.5744197863515996</v>
      </c>
      <c r="BU78">
        <f t="shared" si="131"/>
        <v>17.531786096937601</v>
      </c>
      <c r="BV78">
        <f t="shared" si="174"/>
        <v>5.478683155293</v>
      </c>
      <c r="BW78">
        <f t="shared" si="132"/>
        <v>86.87838112552501</v>
      </c>
      <c r="BX78">
        <f t="shared" si="133"/>
        <v>103.314430591404</v>
      </c>
      <c r="BY78">
        <f t="shared" si="175"/>
        <v>92.357064280818008</v>
      </c>
      <c r="BZ78">
        <f t="shared" si="176"/>
        <v>1.53403128348204</v>
      </c>
      <c r="CA78">
        <f>7963.6*(BT78/1000)^0.6*1.7*('CAPEX+OPEX'!$G$116/'CAPEX+OPEX'!$G$115)</f>
        <v>783.34916791178432</v>
      </c>
      <c r="CB78">
        <f>7963.6*(BU78/1000)^0.6*1.7*('CAPEX+OPEX'!$G$116/'CAPEX+OPEX'!$G$115)</f>
        <v>1411.0312294095941</v>
      </c>
      <c r="CC78">
        <f>7963.6*(BX78/1000)^0.6*1.7*('CAPEX+OPEX'!$G$116/'CAPEX+OPEX'!$G$115)</f>
        <v>4090.1338422275376</v>
      </c>
      <c r="CD78">
        <f>7963.6*(BY78/1000)^0.6*1.7*('CAPEX+OPEX'!$G$116/'CAPEX+OPEX'!$G$115)</f>
        <v>3824.0450478349017</v>
      </c>
      <c r="CE78">
        <v>300</v>
      </c>
      <c r="CF78">
        <v>30</v>
      </c>
      <c r="CG78">
        <f t="shared" si="134"/>
        <v>7.0876634911836121</v>
      </c>
      <c r="CH78">
        <f t="shared" si="135"/>
        <v>0.47251089941224084</v>
      </c>
      <c r="CI78">
        <f t="shared" si="136"/>
        <v>2.362554497061204</v>
      </c>
      <c r="CJ78">
        <f t="shared" si="137"/>
        <v>1.181277248530602</v>
      </c>
      <c r="CK78">
        <f t="shared" si="138"/>
        <v>1.96879541421767</v>
      </c>
      <c r="CL78">
        <f t="shared" si="139"/>
        <v>11.81277248530602</v>
      </c>
      <c r="CM78">
        <f t="shared" si="140"/>
        <v>31.50072662748272</v>
      </c>
      <c r="CN78">
        <f t="shared" si="177"/>
        <v>9.8439770710883501</v>
      </c>
      <c r="CO78">
        <v>0</v>
      </c>
      <c r="CP78">
        <f t="shared" si="141"/>
        <v>29.53193121326505</v>
      </c>
      <c r="CQ78">
        <f t="shared" si="178"/>
        <v>9.8439770710883501</v>
      </c>
      <c r="CR78">
        <f t="shared" si="179"/>
        <v>2.756313579904738</v>
      </c>
      <c r="CS78">
        <f>7963.6*(CL78/1000)^0.6*1.7*('CAPEX+OPEX'!$G$116/'CAPEX+OPEX'!$G$115)</f>
        <v>1113.4020883826438</v>
      </c>
      <c r="CT78">
        <f>7963.6*(CM78/1000)^0.6*1.7*('CAPEX+OPEX'!$G$116/'CAPEX+OPEX'!$G$115)</f>
        <v>2005.5489709471315</v>
      </c>
      <c r="CU78">
        <f>7963.6*(CP78/1000)^0.6*1.7*('CAPEX+OPEX'!$G$116/'CAPEX+OPEX'!$G$115)</f>
        <v>1929.372289801501</v>
      </c>
      <c r="CV78">
        <f>7963.6*(CQ78/1000)^0.6*1.7*('CAPEX+OPEX'!$G$116/'CAPEX+OPEX'!$G$115)</f>
        <v>998.02928278780053</v>
      </c>
      <c r="CW78">
        <v>300</v>
      </c>
      <c r="CX78">
        <f t="shared" si="142"/>
        <v>30</v>
      </c>
      <c r="CY78">
        <f t="shared" si="143"/>
        <v>10</v>
      </c>
      <c r="CZ78">
        <f t="shared" si="144"/>
        <v>9.2357064280818015</v>
      </c>
      <c r="DA78">
        <f t="shared" si="145"/>
        <v>3960</v>
      </c>
      <c r="DB78">
        <f t="shared" si="146"/>
        <v>3960</v>
      </c>
      <c r="DC78">
        <f>CF78*'Reagent cost'!$C$18/1000*'Reagent cost'!$H$18</f>
        <v>4784.413580611521</v>
      </c>
      <c r="DD78">
        <f>CX78*'Ligand cost'!$B$56*'Ligand cost'!$J$56</f>
        <v>30543.831958072875</v>
      </c>
      <c r="DE78">
        <f t="shared" si="147"/>
        <v>39625.826528698344</v>
      </c>
      <c r="DF78">
        <f t="shared" si="148"/>
        <v>4586243.4239371875</v>
      </c>
      <c r="DG78">
        <f t="shared" si="149"/>
        <v>11794834.586807497</v>
      </c>
      <c r="DH78">
        <f t="shared" si="150"/>
        <v>2275209.1661185985</v>
      </c>
      <c r="DI78">
        <f t="shared" si="151"/>
        <v>14083914.336508472</v>
      </c>
      <c r="DJ78">
        <f t="shared" si="152"/>
        <v>1662824.8986326549</v>
      </c>
      <c r="DK78" s="55">
        <f>DF78*($BK$2/10000)^0.72*0.6*((A78+1)/3)^0.6*('CAPEX+OPEX'!$G$116/'CAPEX+OPEX'!$G$114)</f>
        <v>508454.27904436266</v>
      </c>
      <c r="DL78" s="55">
        <f>DG78*($BK$2/10000)^0.72*0.6*((A78+1)/3)^0.6*('CAPEX+OPEX'!$G$116/'CAPEX+OPEX'!$G$114)</f>
        <v>1307635.369937323</v>
      </c>
      <c r="DM78" s="55">
        <f>DH78*($BK$2/10000)^0.72*0.6*((A78+1)/3)^0.6*('CAPEX+OPEX'!$G$116/'CAPEX+OPEX'!$G$114)</f>
        <v>252241.26355701292</v>
      </c>
      <c r="DN78" s="55">
        <f>DI78*($BK$2/10000)^0.72*0.6*((A78+1)/3)^0.6*('CAPEX+OPEX'!$G$116/'CAPEX+OPEX'!$G$114)</f>
        <v>1561414.3969585455</v>
      </c>
      <c r="DO78" s="55">
        <f>DJ78*($BK$2/10000)^0.72*0.6*((A78+1)/3)^0.6*('CAPEX+OPEX'!$G$116/'CAPEX+OPEX'!$G$114)</f>
        <v>184349.22808468476</v>
      </c>
      <c r="DP78">
        <f t="shared" si="153"/>
        <v>3814094.537581929</v>
      </c>
      <c r="DQ78">
        <f>DF78*(BM78/10000)^0.72*0.6*((AF78+1)/3)^0.6*('CAPEX+OPEX'!$G$116/'CAPEX+OPEX'!$G$114)</f>
        <v>480164.88098769292</v>
      </c>
      <c r="DR78">
        <f>DG78*(BM78/10000)^0.72*0.6*((AF78+1)/3)^0.6*('CAPEX+OPEX'!$G$116/'CAPEX+OPEX'!$G$114)</f>
        <v>1234881.1046714974</v>
      </c>
      <c r="DS78">
        <f>DH78*(BM78/10000)^0.72*0.6*((AF78+1)/3)^0.6*('CAPEX+OPEX'!$G$116/'CAPEX+OPEX'!$G$114)</f>
        <v>238207.05476936483</v>
      </c>
      <c r="DT78">
        <f>DI78*(BM78/10000)^0.72*0.6*((AF78+1)/3)^0.6*('CAPEX+OPEX'!$G$116/'CAPEX+OPEX'!$G$114)</f>
        <v>1474540.3647643521</v>
      </c>
      <c r="DU78">
        <f>DJ78*(BM78/10000)^0.72*0.6*((AF78+1)/3)^0.6*('CAPEX+OPEX'!$G$116/'CAPEX+OPEX'!$G$114)</f>
        <v>174092.39888751626</v>
      </c>
      <c r="DV78">
        <f t="shared" si="154"/>
        <v>3601885.8040804234</v>
      </c>
      <c r="DW78">
        <f t="shared" si="155"/>
        <v>7484293.972739039</v>
      </c>
      <c r="DX78">
        <f t="shared" si="156"/>
        <v>498952.93151593592</v>
      </c>
      <c r="DY78">
        <f>BO78*'Reagent cost'!$C$35*60*7200</f>
        <v>1021732.5944510319</v>
      </c>
      <c r="DZ78">
        <f>BP78*'Reagent cost'!$C$34*60*7200</f>
        <v>243117.9202231922</v>
      </c>
      <c r="EA78">
        <f>BQ78*'Reagent cost'!$C$14*'Reagent cost'!$C$36/1000*60*7200</f>
        <v>4029879.502614982</v>
      </c>
      <c r="EB78">
        <f t="shared" si="157"/>
        <v>39.6</v>
      </c>
      <c r="EC78">
        <f t="shared" si="158"/>
        <v>95.688271612230423</v>
      </c>
      <c r="ED78">
        <f>0.1*BK78*60*7200*'Reagent cost'!$H$17*'Reagent cost'!$C$17/1000</f>
        <v>504921.59999999998</v>
      </c>
      <c r="EE78">
        <f>BV78*0.1*'Reagent cost'!$C$16/1000*'Reagent cost'!$H$16*60*7200</f>
        <v>999708.90248053882</v>
      </c>
      <c r="EF78">
        <f>BZ78/1000*'Reagent cost'!$H$19*'Reagent cost'!$C$19*60*7200</f>
        <v>83997.416958342597</v>
      </c>
      <c r="EG78">
        <f>0.33*('Costing 100 Lmin Feed Orig'!BO78*'Reagent cost'!$C$13+'Costing 100 Lmin Feed Orig'!BP78*'Reagent cost'!$C$12+'Costing 100 Lmin Feed Orig'!BQ78*'Reagent cost'!$C$14+'Costing 100 Lmin Feed Orig'!BV78*0.1*'Reagent cost'!$C$16+'Costing 100 Lmin Feed Orig'!BZ78*'Reagent cost'!$C$19)/1000*60*7200</f>
        <v>171856.58441672826</v>
      </c>
      <c r="EH78">
        <f>CG78*'Reagent cost'!$C$35*60*7200</f>
        <v>1835826.5932649418</v>
      </c>
      <c r="EI78">
        <f>CH78*'Reagent cost'!$C$34*60*7200</f>
        <v>436828.91753571387</v>
      </c>
      <c r="EJ78">
        <f>CI78*'Reagent cost'!$C$14*'Reagent cost'!$C$36/1000*60*7200</f>
        <v>7240798.6186726755</v>
      </c>
      <c r="EK78">
        <f t="shared" si="159"/>
        <v>39.6</v>
      </c>
      <c r="EL78">
        <f t="shared" si="160"/>
        <v>610.87663916145755</v>
      </c>
      <c r="EM78">
        <f>0.1*BM78*60*7200*'Reagent cost'!$H$17*'Reagent cost'!$C$17/1000</f>
        <v>466330.76667973475</v>
      </c>
      <c r="EN78">
        <f>CN78*0.1*'Reagent cost'!$C$16/1000*'Reagent cost'!$H$16*60*7200</f>
        <v>1796254.9092246273</v>
      </c>
      <c r="EO78">
        <f>CR78/1000*'Reagent cost'!$H$19*'Reagent cost'!$C$19*60*7200</f>
        <v>150924.70638126385</v>
      </c>
      <c r="EP78">
        <f>0.33*(CG78*'Reagent cost'!$C$13+CH78*'Reagent cost'!$C$12+CI78*'Reagent cost'!$C$14+CN78*0.1*'Reagent cost'!$C$16+CR78*'Reagent cost'!$C$19)/1000*60*7200</f>
        <v>308788.12089715712</v>
      </c>
      <c r="EQ78">
        <f t="shared" si="161"/>
        <v>22573329.856077377</v>
      </c>
      <c r="ER78">
        <f t="shared" si="162"/>
        <v>480644.70531388535</v>
      </c>
      <c r="ES78">
        <f t="shared" si="163"/>
        <v>46784.46952433938</v>
      </c>
      <c r="ET78">
        <f t="shared" si="164"/>
        <v>45678.708869524045</v>
      </c>
      <c r="EU78">
        <f t="shared" si="165"/>
        <v>19339.775932661389</v>
      </c>
      <c r="EV78">
        <f t="shared" si="166"/>
        <v>10244.818866671721</v>
      </c>
      <c r="EW78">
        <f t="shared" si="167"/>
        <v>10314.547164086078</v>
      </c>
      <c r="EX78">
        <f t="shared" si="168"/>
        <v>132362.32035728262</v>
      </c>
      <c r="EY78">
        <f t="shared" si="180"/>
        <v>43713.259566486457</v>
      </c>
      <c r="EZ78">
        <f t="shared" si="181"/>
        <v>42673.301320771294</v>
      </c>
      <c r="FA78">
        <f t="shared" si="182"/>
        <v>18067.325155971717</v>
      </c>
      <c r="FB78">
        <f t="shared" si="183"/>
        <v>9576.0943395889717</v>
      </c>
      <c r="FC78">
        <f t="shared" si="184"/>
        <v>9635.9067498515833</v>
      </c>
      <c r="FD78">
        <f t="shared" si="169"/>
        <v>123665.88713267002</v>
      </c>
      <c r="FE78">
        <f t="shared" si="170"/>
        <v>23310002.768881213</v>
      </c>
      <c r="FF78">
        <f t="shared" si="171"/>
        <v>23808955.700397149</v>
      </c>
      <c r="FG78">
        <f>BM78*AM78*195.08/1000*'PGM market prices'!$C$2*60*7200</f>
        <v>423417380.14785439</v>
      </c>
      <c r="FH78">
        <f>BN78*AQ78*BA78*106.42/1000*'PGM market prices'!$C$3*60*7200</f>
        <v>222223225.47539124</v>
      </c>
      <c r="FI78">
        <f>BK78*J78*102.91/1000*'PGM market prices'!$C$4*60*7200</f>
        <v>247601800.16981775</v>
      </c>
      <c r="FJ78">
        <f t="shared" si="172"/>
        <v>893242405.7930634</v>
      </c>
      <c r="FK78">
        <f t="shared" si="173"/>
        <v>643380753.068573</v>
      </c>
      <c r="FL78">
        <f t="shared" si="185"/>
        <v>0.55113323380548951</v>
      </c>
      <c r="FM78">
        <f t="shared" si="186"/>
        <v>1896.6716855180939</v>
      </c>
      <c r="FN78">
        <f t="shared" si="187"/>
        <v>3528.0796110693182</v>
      </c>
      <c r="FO78">
        <f t="shared" si="188"/>
        <v>15860.931044877527</v>
      </c>
    </row>
    <row r="79" spans="1:171">
      <c r="A79">
        <v>10</v>
      </c>
      <c r="B79">
        <v>1.54143585092054E-3</v>
      </c>
      <c r="C79">
        <v>1.54143585092054E-3</v>
      </c>
      <c r="D79">
        <v>3.4254130020456501E-4</v>
      </c>
      <c r="E79">
        <v>0</v>
      </c>
      <c r="F79">
        <v>0</v>
      </c>
      <c r="G79">
        <v>0</v>
      </c>
      <c r="H79" s="53">
        <v>1.7770671970930099E-5</v>
      </c>
      <c r="I79" s="53">
        <v>5.2649488631162003E-10</v>
      </c>
      <c r="J79">
        <v>3.3765279177869602E-4</v>
      </c>
      <c r="K79">
        <v>0.139053960209192</v>
      </c>
      <c r="L79">
        <v>0.14067571356050099</v>
      </c>
      <c r="M79">
        <v>4.4613899794023002E-4</v>
      </c>
      <c r="N79" s="53">
        <v>-1.6046192152785399E-16</v>
      </c>
      <c r="O79" s="53">
        <v>-5.9831913729046996E-14</v>
      </c>
      <c r="P79" s="53">
        <v>-6.6915602833089703E-20</v>
      </c>
      <c r="Q79">
        <v>0.10957366310586</v>
      </c>
      <c r="R79">
        <v>98.572870359588904</v>
      </c>
      <c r="S79">
        <v>500</v>
      </c>
      <c r="T79">
        <v>95</v>
      </c>
      <c r="U79">
        <v>1</v>
      </c>
      <c r="V79">
        <v>0.1</v>
      </c>
      <c r="W79">
        <v>91.262806376555005</v>
      </c>
      <c r="X79" t="s">
        <v>323</v>
      </c>
      <c r="Y79">
        <v>1</v>
      </c>
      <c r="Z79">
        <v>0.28318429382522198</v>
      </c>
      <c r="AA79">
        <v>0.56945642916197003</v>
      </c>
      <c r="AB79">
        <v>3.7698628972227502E-3</v>
      </c>
      <c r="AC79">
        <v>1822.2107908876901</v>
      </c>
      <c r="AD79">
        <v>2662.6059073104898</v>
      </c>
      <c r="AE79">
        <v>2401.5030938442701</v>
      </c>
      <c r="AF79">
        <v>11</v>
      </c>
      <c r="AG79">
        <v>1.6497548842793E-3</v>
      </c>
      <c r="AH79">
        <v>1.66899558413707E-3</v>
      </c>
      <c r="AI79" s="53">
        <v>5.2930530695573503E-6</v>
      </c>
      <c r="AJ79">
        <v>0</v>
      </c>
      <c r="AK79">
        <v>0</v>
      </c>
      <c r="AL79">
        <v>0</v>
      </c>
      <c r="AM79">
        <v>1.6128070427284199E-3</v>
      </c>
      <c r="AN79" s="53">
        <v>7.9626338235286499E-5</v>
      </c>
      <c r="AO79" s="53">
        <v>5.2582429609278296E-6</v>
      </c>
      <c r="AP79">
        <v>1.73328035546949E-3</v>
      </c>
      <c r="AQ79">
        <v>7.4559767943401897E-2</v>
      </c>
      <c r="AR79" s="53">
        <v>1.6329960000428399E-6</v>
      </c>
      <c r="AS79" s="53">
        <v>1.9974730962150899E-15</v>
      </c>
      <c r="AT79" s="53">
        <v>-1.98872819254236E-13</v>
      </c>
      <c r="AU79" s="53">
        <v>1.25797627557064E-20</v>
      </c>
      <c r="AV79">
        <v>0.19687491213897099</v>
      </c>
      <c r="AW79">
        <v>99.342343479801301</v>
      </c>
      <c r="AX79">
        <v>500</v>
      </c>
      <c r="AY79">
        <v>95</v>
      </c>
      <c r="AZ79">
        <v>0.92357064280818002</v>
      </c>
      <c r="BA79">
        <v>0.1</v>
      </c>
      <c r="BB79">
        <v>46.911545649668199</v>
      </c>
      <c r="BC79" t="s">
        <v>251</v>
      </c>
      <c r="BD79">
        <v>1</v>
      </c>
      <c r="BE79">
        <v>1.8775014999999999E-2</v>
      </c>
      <c r="BF79">
        <v>0.10492961100000001</v>
      </c>
      <c r="BG79">
        <v>1.814625E-3</v>
      </c>
      <c r="BH79">
        <v>285.1951444</v>
      </c>
      <c r="BI79">
        <v>2169.8944889999998</v>
      </c>
      <c r="BJ79">
        <v>866.49409060000005</v>
      </c>
      <c r="BK79">
        <f t="shared" si="121"/>
        <v>100</v>
      </c>
      <c r="BL79">
        <f t="shared" si="122"/>
        <v>10.957366310586</v>
      </c>
      <c r="BM79">
        <f t="shared" si="123"/>
        <v>92.357064280818008</v>
      </c>
      <c r="BN79">
        <f t="shared" si="124"/>
        <v>19.687491213897097</v>
      </c>
      <c r="BO79">
        <f t="shared" si="125"/>
        <v>3.9446518718109598</v>
      </c>
      <c r="BP79">
        <f t="shared" si="126"/>
        <v>0.262976791454064</v>
      </c>
      <c r="BQ79">
        <f t="shared" si="127"/>
        <v>1.3148839572703199</v>
      </c>
      <c r="BR79">
        <f t="shared" si="128"/>
        <v>0.65744197863515996</v>
      </c>
      <c r="BS79">
        <f t="shared" si="129"/>
        <v>1.0957366310586001</v>
      </c>
      <c r="BT79">
        <f t="shared" si="130"/>
        <v>6.5744197863515996</v>
      </c>
      <c r="BU79">
        <f t="shared" si="131"/>
        <v>17.531786096937601</v>
      </c>
      <c r="BV79">
        <f t="shared" si="174"/>
        <v>5.478683155293</v>
      </c>
      <c r="BW79">
        <f t="shared" si="132"/>
        <v>86.87838112552501</v>
      </c>
      <c r="BX79">
        <f t="shared" si="133"/>
        <v>103.314430591404</v>
      </c>
      <c r="BY79">
        <f t="shared" si="175"/>
        <v>92.357064280818008</v>
      </c>
      <c r="BZ79">
        <f t="shared" si="176"/>
        <v>1.53403128348204</v>
      </c>
      <c r="CA79">
        <f>7963.6*(BT79/1000)^0.6*1.7*('CAPEX+OPEX'!$G$116/'CAPEX+OPEX'!$G$115)</f>
        <v>783.34916791178432</v>
      </c>
      <c r="CB79">
        <f>7963.6*(BU79/1000)^0.6*1.7*('CAPEX+OPEX'!$G$116/'CAPEX+OPEX'!$G$115)</f>
        <v>1411.0312294095941</v>
      </c>
      <c r="CC79">
        <f>7963.6*(BX79/1000)^0.6*1.7*('CAPEX+OPEX'!$G$116/'CAPEX+OPEX'!$G$115)</f>
        <v>4090.1338422275376</v>
      </c>
      <c r="CD79">
        <f>7963.6*(BY79/1000)^0.6*1.7*('CAPEX+OPEX'!$G$116/'CAPEX+OPEX'!$G$115)</f>
        <v>3824.0450478349017</v>
      </c>
      <c r="CE79">
        <v>300</v>
      </c>
      <c r="CF79">
        <v>30</v>
      </c>
      <c r="CG79">
        <f t="shared" si="134"/>
        <v>7.0874968370029547</v>
      </c>
      <c r="CH79">
        <f t="shared" si="135"/>
        <v>0.47249978913353036</v>
      </c>
      <c r="CI79">
        <f t="shared" si="136"/>
        <v>2.3624989456676517</v>
      </c>
      <c r="CJ79">
        <f t="shared" si="137"/>
        <v>1.1812494728338259</v>
      </c>
      <c r="CK79">
        <f t="shared" si="138"/>
        <v>1.9687491213897097</v>
      </c>
      <c r="CL79">
        <f t="shared" si="139"/>
        <v>11.812494728338258</v>
      </c>
      <c r="CM79">
        <f t="shared" si="140"/>
        <v>31.499985942235355</v>
      </c>
      <c r="CN79">
        <f t="shared" si="177"/>
        <v>9.8437456069485485</v>
      </c>
      <c r="CO79">
        <v>0</v>
      </c>
      <c r="CP79">
        <f t="shared" si="141"/>
        <v>29.531236820845645</v>
      </c>
      <c r="CQ79">
        <f t="shared" si="178"/>
        <v>9.8437456069485485</v>
      </c>
      <c r="CR79">
        <f t="shared" si="179"/>
        <v>2.7562487699455933</v>
      </c>
      <c r="CS79">
        <f>7963.6*(CL79/1000)^0.6*1.7*('CAPEX+OPEX'!$G$116/'CAPEX+OPEX'!$G$115)</f>
        <v>1113.3863804710925</v>
      </c>
      <c r="CT79">
        <f>7963.6*(CM79/1000)^0.6*1.7*('CAPEX+OPEX'!$G$116/'CAPEX+OPEX'!$G$115)</f>
        <v>2005.5206765994042</v>
      </c>
      <c r="CU79">
        <f>7963.6*(CP79/1000)^0.6*1.7*('CAPEX+OPEX'!$G$116/'CAPEX+OPEX'!$G$115)</f>
        <v>1929.3450701567785</v>
      </c>
      <c r="CV79">
        <f>7963.6*(CQ79/1000)^0.6*1.7*('CAPEX+OPEX'!$G$116/'CAPEX+OPEX'!$G$115)</f>
        <v>998.01520255940534</v>
      </c>
      <c r="CW79">
        <v>300</v>
      </c>
      <c r="CX79">
        <f t="shared" si="142"/>
        <v>30</v>
      </c>
      <c r="CY79">
        <f t="shared" si="143"/>
        <v>10</v>
      </c>
      <c r="CZ79">
        <f t="shared" si="144"/>
        <v>9.2357064280818015</v>
      </c>
      <c r="DA79">
        <f t="shared" si="145"/>
        <v>3960</v>
      </c>
      <c r="DB79">
        <f t="shared" si="146"/>
        <v>3960</v>
      </c>
      <c r="DC79">
        <f>CF79*'Reagent cost'!$C$18/1000*'Reagent cost'!$H$18</f>
        <v>4784.413580611521</v>
      </c>
      <c r="DD79">
        <f>CX79*'Ligand cost'!$B$56*'Ligand cost'!$J$56</f>
        <v>30543.831958072875</v>
      </c>
      <c r="DE79">
        <f t="shared" si="147"/>
        <v>39625.826528698344</v>
      </c>
      <c r="DF79">
        <f t="shared" si="148"/>
        <v>4586243.4239371875</v>
      </c>
      <c r="DG79">
        <f t="shared" si="149"/>
        <v>11794834.586807497</v>
      </c>
      <c r="DH79">
        <f t="shared" si="150"/>
        <v>2275209.1661185985</v>
      </c>
      <c r="DI79">
        <f t="shared" si="151"/>
        <v>14083914.336508472</v>
      </c>
      <c r="DJ79">
        <f t="shared" si="152"/>
        <v>1662824.8986326549</v>
      </c>
      <c r="DK79" s="55">
        <f>DF79*($BK$2/10000)^0.72*0.6*((A79+1)/3)^0.6*('CAPEX+OPEX'!$G$116/'CAPEX+OPEX'!$G$114)</f>
        <v>508454.27904436266</v>
      </c>
      <c r="DL79" s="55">
        <f>DG79*($BK$2/10000)^0.72*0.6*((A79+1)/3)^0.6*('CAPEX+OPEX'!$G$116/'CAPEX+OPEX'!$G$114)</f>
        <v>1307635.369937323</v>
      </c>
      <c r="DM79" s="55">
        <f>DH79*($BK$2/10000)^0.72*0.6*((A79+1)/3)^0.6*('CAPEX+OPEX'!$G$116/'CAPEX+OPEX'!$G$114)</f>
        <v>252241.26355701292</v>
      </c>
      <c r="DN79" s="55">
        <f>DI79*($BK$2/10000)^0.72*0.6*((A79+1)/3)^0.6*('CAPEX+OPEX'!$G$116/'CAPEX+OPEX'!$G$114)</f>
        <v>1561414.3969585455</v>
      </c>
      <c r="DO79" s="55">
        <f>DJ79*($BK$2/10000)^0.72*0.6*((A79+1)/3)^0.6*('CAPEX+OPEX'!$G$116/'CAPEX+OPEX'!$G$114)</f>
        <v>184349.22808468476</v>
      </c>
      <c r="DP79">
        <f t="shared" si="153"/>
        <v>3814094.537581929</v>
      </c>
      <c r="DQ79">
        <f>DF79*(BM79/10000)^0.72*0.6*((AF79+1)/3)^0.6*('CAPEX+OPEX'!$G$116/'CAPEX+OPEX'!$G$114)</f>
        <v>505898.6603139161</v>
      </c>
      <c r="DR79">
        <f>DG79*(BM79/10000)^0.72*0.6*((AF79+1)/3)^0.6*('CAPEX+OPEX'!$G$116/'CAPEX+OPEX'!$G$114)</f>
        <v>1301062.8666037149</v>
      </c>
      <c r="DS79">
        <f>DH79*(BM79/10000)^0.72*0.6*((AF79+1)/3)^0.6*('CAPEX+OPEX'!$G$116/'CAPEX+OPEX'!$G$114)</f>
        <v>250973.43570246248</v>
      </c>
      <c r="DT79">
        <f>DI79*(BM79/10000)^0.72*0.6*((AF79+1)/3)^0.6*('CAPEX+OPEX'!$G$116/'CAPEX+OPEX'!$G$114)</f>
        <v>1553566.3365855338</v>
      </c>
      <c r="DU79">
        <f>DJ79*(BM79/10000)^0.72*0.6*((AF79+1)/3)^0.6*('CAPEX+OPEX'!$G$116/'CAPEX+OPEX'!$G$114)</f>
        <v>183422.64262822623</v>
      </c>
      <c r="DV79">
        <f t="shared" si="154"/>
        <v>3794923.9418338537</v>
      </c>
      <c r="DW79">
        <f t="shared" si="155"/>
        <v>7677332.0123950159</v>
      </c>
      <c r="DX79">
        <f t="shared" si="156"/>
        <v>511822.13415966771</v>
      </c>
      <c r="DY79">
        <f>BO79*'Reagent cost'!$C$35*60*7200</f>
        <v>1021732.5944510319</v>
      </c>
      <c r="DZ79">
        <f>BP79*'Reagent cost'!$C$34*60*7200</f>
        <v>243117.9202231922</v>
      </c>
      <c r="EA79">
        <f>BQ79*'Reagent cost'!$C$14*'Reagent cost'!$C$36/1000*60*7200</f>
        <v>4029879.502614982</v>
      </c>
      <c r="EB79">
        <f t="shared" si="157"/>
        <v>39.6</v>
      </c>
      <c r="EC79">
        <f t="shared" si="158"/>
        <v>95.688271612230423</v>
      </c>
      <c r="ED79">
        <f>0.1*BK79*60*7200*'Reagent cost'!$H$17*'Reagent cost'!$C$17/1000</f>
        <v>504921.59999999998</v>
      </c>
      <c r="EE79">
        <f>BV79*0.1*'Reagent cost'!$C$16/1000*'Reagent cost'!$H$16*60*7200</f>
        <v>999708.90248053882</v>
      </c>
      <c r="EF79">
        <f>BZ79/1000*'Reagent cost'!$H$19*'Reagent cost'!$C$19*60*7200</f>
        <v>83997.416958342597</v>
      </c>
      <c r="EG79">
        <f>0.33*('Costing 100 Lmin Feed Orig'!BO79*'Reagent cost'!$C$13+'Costing 100 Lmin Feed Orig'!BP79*'Reagent cost'!$C$12+'Costing 100 Lmin Feed Orig'!BQ79*'Reagent cost'!$C$14+'Costing 100 Lmin Feed Orig'!BV79*0.1*'Reagent cost'!$C$16+'Costing 100 Lmin Feed Orig'!BZ79*'Reagent cost'!$C$19)/1000*60*7200</f>
        <v>171856.58441672826</v>
      </c>
      <c r="EH79">
        <f>CG79*'Reagent cost'!$C$35*60*7200</f>
        <v>1835783.4269694327</v>
      </c>
      <c r="EI79">
        <f>CH79*'Reagent cost'!$C$34*60*7200</f>
        <v>436818.64625725523</v>
      </c>
      <c r="EJ79">
        <f>CI79*'Reagent cost'!$C$14*'Reagent cost'!$C$36/1000*60*7200</f>
        <v>7240628.3637836557</v>
      </c>
      <c r="EK79">
        <f t="shared" si="159"/>
        <v>39.6</v>
      </c>
      <c r="EL79">
        <f t="shared" si="160"/>
        <v>610.87663916145755</v>
      </c>
      <c r="EM79">
        <f>0.1*BM79*60*7200*'Reagent cost'!$H$17*'Reagent cost'!$C$17/1000</f>
        <v>466330.76667973475</v>
      </c>
      <c r="EN79">
        <f>CN79*0.1*'Reagent cost'!$C$16/1000*'Reagent cost'!$H$16*60*7200</f>
        <v>1796212.6733890066</v>
      </c>
      <c r="EO79">
        <f>CR79/1000*'Reagent cost'!$H$19*'Reagent cost'!$C$19*60*7200</f>
        <v>150921.15764714088</v>
      </c>
      <c r="EP79">
        <f>0.33*(CG79*'Reagent cost'!$C$13+CH79*'Reagent cost'!$C$12+CI79*'Reagent cost'!$C$14+CN79*0.1*'Reagent cost'!$C$16+CR79*'Reagent cost'!$C$19)/1000*60*7200</f>
        <v>308780.86027715873</v>
      </c>
      <c r="EQ79">
        <f t="shared" si="161"/>
        <v>22573006.4836381</v>
      </c>
      <c r="ER79">
        <f t="shared" si="162"/>
        <v>480637.44469388702</v>
      </c>
      <c r="ES79">
        <f t="shared" si="163"/>
        <v>46784.46952433938</v>
      </c>
      <c r="ET79">
        <f t="shared" si="164"/>
        <v>45678.708869524045</v>
      </c>
      <c r="EU79">
        <f t="shared" si="165"/>
        <v>19339.775932661389</v>
      </c>
      <c r="EV79">
        <f t="shared" si="166"/>
        <v>10244.818866671721</v>
      </c>
      <c r="EW79">
        <f t="shared" si="167"/>
        <v>10314.547164086078</v>
      </c>
      <c r="EX79">
        <f t="shared" si="168"/>
        <v>132362.32035728262</v>
      </c>
      <c r="EY79">
        <f t="shared" si="180"/>
        <v>46284.627776279776</v>
      </c>
      <c r="EZ79">
        <f t="shared" si="181"/>
        <v>46552.692349932324</v>
      </c>
      <c r="FA79">
        <f t="shared" si="182"/>
        <v>19709.809261060054</v>
      </c>
      <c r="FB79">
        <f t="shared" si="183"/>
        <v>10446.648370460696</v>
      </c>
      <c r="FC79">
        <f t="shared" si="184"/>
        <v>10511.898272565364</v>
      </c>
      <c r="FD79">
        <f t="shared" si="169"/>
        <v>133505.67603029823</v>
      </c>
      <c r="FE79">
        <f t="shared" si="170"/>
        <v>23319511.924719565</v>
      </c>
      <c r="FF79">
        <f t="shared" si="171"/>
        <v>23831334.058879234</v>
      </c>
      <c r="FG79">
        <f>BM79*AM79*195.08/1000*'PGM market prices'!$C$2*60*7200</f>
        <v>423418197.73610783</v>
      </c>
      <c r="FH79">
        <f>BN79*AQ79*BA79*106.42/1000*'PGM market prices'!$C$3*60*7200</f>
        <v>222223202.88461125</v>
      </c>
      <c r="FI79">
        <f>BK79*J79*102.91/1000*'PGM market prices'!$C$4*60*7200</f>
        <v>247601800.16981775</v>
      </c>
      <c r="FJ79">
        <f t="shared" si="172"/>
        <v>893243200.79053688</v>
      </c>
      <c r="FK79">
        <f t="shared" si="173"/>
        <v>643364781.38142669</v>
      </c>
      <c r="FL79">
        <f t="shared" si="185"/>
        <v>0.55165125136294524</v>
      </c>
      <c r="FM79">
        <f t="shared" si="186"/>
        <v>1898.4507270377139</v>
      </c>
      <c r="FN79">
        <f t="shared" si="187"/>
        <v>3531.3960596601646</v>
      </c>
      <c r="FO79">
        <f t="shared" si="188"/>
        <v>15875.838947821629</v>
      </c>
    </row>
    <row r="80" spans="1:171">
      <c r="A80">
        <v>10</v>
      </c>
      <c r="B80">
        <v>1.54143585092054E-3</v>
      </c>
      <c r="C80">
        <v>1.54143585092054E-3</v>
      </c>
      <c r="D80">
        <v>3.4254130020456501E-4</v>
      </c>
      <c r="E80">
        <v>0</v>
      </c>
      <c r="F80">
        <v>0</v>
      </c>
      <c r="G80">
        <v>0</v>
      </c>
      <c r="H80" s="53">
        <v>1.7770671970930099E-5</v>
      </c>
      <c r="I80" s="53">
        <v>5.2649488631162003E-10</v>
      </c>
      <c r="J80">
        <v>3.3765279177869602E-4</v>
      </c>
      <c r="K80">
        <v>0.139053960209192</v>
      </c>
      <c r="L80">
        <v>0.14067571356050099</v>
      </c>
      <c r="M80">
        <v>4.4613899794023002E-4</v>
      </c>
      <c r="N80" s="53">
        <v>-1.6046192152785399E-16</v>
      </c>
      <c r="O80" s="53">
        <v>-5.9831913729046996E-14</v>
      </c>
      <c r="P80" s="53">
        <v>-6.6915602833089703E-20</v>
      </c>
      <c r="Q80">
        <v>0.10957366310586</v>
      </c>
      <c r="R80">
        <v>98.572870359588904</v>
      </c>
      <c r="S80">
        <v>500</v>
      </c>
      <c r="T80">
        <v>95</v>
      </c>
      <c r="U80">
        <v>1</v>
      </c>
      <c r="V80">
        <v>0.1</v>
      </c>
      <c r="W80">
        <v>91.262806376555005</v>
      </c>
      <c r="X80" t="s">
        <v>323</v>
      </c>
      <c r="Y80">
        <v>1</v>
      </c>
      <c r="Z80">
        <v>0.28318429382522198</v>
      </c>
      <c r="AA80">
        <v>0.56945642916197003</v>
      </c>
      <c r="AB80">
        <v>3.7698628972227502E-3</v>
      </c>
      <c r="AC80">
        <v>1822.2107908876901</v>
      </c>
      <c r="AD80">
        <v>2662.6059073104898</v>
      </c>
      <c r="AE80">
        <v>2401.5030938442701</v>
      </c>
      <c r="AF80">
        <v>12</v>
      </c>
      <c r="AG80">
        <v>1.6497548842793E-3</v>
      </c>
      <c r="AH80">
        <v>1.66899558413707E-3</v>
      </c>
      <c r="AI80" s="53">
        <v>5.2930530695573503E-6</v>
      </c>
      <c r="AJ80">
        <v>0</v>
      </c>
      <c r="AK80">
        <v>0</v>
      </c>
      <c r="AL80">
        <v>0</v>
      </c>
      <c r="AM80">
        <v>1.6128079179820701E-3</v>
      </c>
      <c r="AN80" s="53">
        <v>7.9626383510946294E-5</v>
      </c>
      <c r="AO80" s="53">
        <v>5.2582437512666399E-6</v>
      </c>
      <c r="AP80">
        <v>1.7332507504425E-3</v>
      </c>
      <c r="AQ80">
        <v>7.4560258551583894E-2</v>
      </c>
      <c r="AR80" s="53">
        <v>1.6329697157021899E-6</v>
      </c>
      <c r="AS80" s="53">
        <v>3.9110560493341098E-16</v>
      </c>
      <c r="AT80" s="53">
        <v>-3.8191238366236302E-14</v>
      </c>
      <c r="AU80" s="53">
        <v>-3.3021050053116801E-21</v>
      </c>
      <c r="AV80">
        <v>0.19687361106780901</v>
      </c>
      <c r="AW80">
        <v>99.342358411425806</v>
      </c>
      <c r="AX80">
        <v>500</v>
      </c>
      <c r="AY80">
        <v>95</v>
      </c>
      <c r="AZ80">
        <v>0.92357064280818002</v>
      </c>
      <c r="BA80">
        <v>0.1</v>
      </c>
      <c r="BB80">
        <v>46.911855672219602</v>
      </c>
      <c r="BC80" t="s">
        <v>251</v>
      </c>
      <c r="BD80">
        <v>1</v>
      </c>
      <c r="BE80">
        <v>1.8775014999999999E-2</v>
      </c>
      <c r="BF80">
        <v>0.10492961100000001</v>
      </c>
      <c r="BG80">
        <v>1.814625E-3</v>
      </c>
      <c r="BH80">
        <v>285.1951444</v>
      </c>
      <c r="BI80">
        <v>2169.8944889999998</v>
      </c>
      <c r="BJ80">
        <v>866.49409060000005</v>
      </c>
      <c r="BK80">
        <f t="shared" si="121"/>
        <v>100</v>
      </c>
      <c r="BL80">
        <f t="shared" si="122"/>
        <v>10.957366310586</v>
      </c>
      <c r="BM80">
        <f t="shared" si="123"/>
        <v>92.357064280818008</v>
      </c>
      <c r="BN80">
        <f t="shared" si="124"/>
        <v>19.687361106780902</v>
      </c>
      <c r="BO80">
        <f t="shared" si="125"/>
        <v>3.9446518718109598</v>
      </c>
      <c r="BP80">
        <f t="shared" si="126"/>
        <v>0.262976791454064</v>
      </c>
      <c r="BQ80">
        <f t="shared" si="127"/>
        <v>1.3148839572703199</v>
      </c>
      <c r="BR80">
        <f t="shared" si="128"/>
        <v>0.65744197863515996</v>
      </c>
      <c r="BS80">
        <f t="shared" si="129"/>
        <v>1.0957366310586001</v>
      </c>
      <c r="BT80">
        <f t="shared" si="130"/>
        <v>6.5744197863515996</v>
      </c>
      <c r="BU80">
        <f t="shared" si="131"/>
        <v>17.531786096937601</v>
      </c>
      <c r="BV80">
        <f t="shared" si="174"/>
        <v>5.478683155293</v>
      </c>
      <c r="BW80">
        <f t="shared" si="132"/>
        <v>86.87838112552501</v>
      </c>
      <c r="BX80">
        <f t="shared" si="133"/>
        <v>103.314430591404</v>
      </c>
      <c r="BY80">
        <f t="shared" si="175"/>
        <v>92.357064280818008</v>
      </c>
      <c r="BZ80">
        <f t="shared" si="176"/>
        <v>1.53403128348204</v>
      </c>
      <c r="CA80">
        <f>7963.6*(BT80/1000)^0.6*1.7*('CAPEX+OPEX'!$G$116/'CAPEX+OPEX'!$G$115)</f>
        <v>783.34916791178432</v>
      </c>
      <c r="CB80">
        <f>7963.6*(BU80/1000)^0.6*1.7*('CAPEX+OPEX'!$G$116/'CAPEX+OPEX'!$G$115)</f>
        <v>1411.0312294095941</v>
      </c>
      <c r="CC80">
        <f>7963.6*(BX80/1000)^0.6*1.7*('CAPEX+OPEX'!$G$116/'CAPEX+OPEX'!$G$115)</f>
        <v>4090.1338422275376</v>
      </c>
      <c r="CD80">
        <f>7963.6*(BY80/1000)^0.6*1.7*('CAPEX+OPEX'!$G$116/'CAPEX+OPEX'!$G$115)</f>
        <v>3824.0450478349017</v>
      </c>
      <c r="CE80">
        <v>300</v>
      </c>
      <c r="CF80">
        <v>30</v>
      </c>
      <c r="CG80">
        <f t="shared" si="134"/>
        <v>7.0874499984411239</v>
      </c>
      <c r="CH80">
        <f t="shared" si="135"/>
        <v>0.47249666656274164</v>
      </c>
      <c r="CI80">
        <f t="shared" si="136"/>
        <v>2.3624833328137083</v>
      </c>
      <c r="CJ80">
        <f t="shared" si="137"/>
        <v>1.1812416664068541</v>
      </c>
      <c r="CK80">
        <f t="shared" si="138"/>
        <v>1.9687361106780903</v>
      </c>
      <c r="CL80">
        <f t="shared" si="139"/>
        <v>11.812416664068541</v>
      </c>
      <c r="CM80">
        <f t="shared" si="140"/>
        <v>31.499777770849445</v>
      </c>
      <c r="CN80">
        <f t="shared" si="177"/>
        <v>9.8436805533904508</v>
      </c>
      <c r="CO80">
        <v>0</v>
      </c>
      <c r="CP80">
        <f t="shared" si="141"/>
        <v>29.531041660171354</v>
      </c>
      <c r="CQ80">
        <f t="shared" si="178"/>
        <v>9.8436805533904508</v>
      </c>
      <c r="CR80">
        <f t="shared" si="179"/>
        <v>2.7562305549493265</v>
      </c>
      <c r="CS80">
        <f>7963.6*(CL80/1000)^0.6*1.7*('CAPEX+OPEX'!$G$116/'CAPEX+OPEX'!$G$115)</f>
        <v>1113.3819656978417</v>
      </c>
      <c r="CT80">
        <f>7963.6*(CM80/1000)^0.6*1.7*('CAPEX+OPEX'!$G$116/'CAPEX+OPEX'!$G$115)</f>
        <v>2005.512724356417</v>
      </c>
      <c r="CU80">
        <f>7963.6*(CP80/1000)^0.6*1.7*('CAPEX+OPEX'!$G$116/'CAPEX+OPEX'!$G$115)</f>
        <v>1929.3374199634975</v>
      </c>
      <c r="CV80">
        <f>7963.6*(CQ80/1000)^0.6*1.7*('CAPEX+OPEX'!$G$116/'CAPEX+OPEX'!$G$115)</f>
        <v>998.01124525321109</v>
      </c>
      <c r="CW80">
        <v>300</v>
      </c>
      <c r="CX80">
        <f t="shared" si="142"/>
        <v>30</v>
      </c>
      <c r="CY80">
        <f t="shared" si="143"/>
        <v>10</v>
      </c>
      <c r="CZ80">
        <f t="shared" si="144"/>
        <v>9.2357064280818015</v>
      </c>
      <c r="DA80">
        <f t="shared" si="145"/>
        <v>3960</v>
      </c>
      <c r="DB80">
        <f t="shared" si="146"/>
        <v>3960</v>
      </c>
      <c r="DC80">
        <f>CF80*'Reagent cost'!$C$18/1000*'Reagent cost'!$H$18</f>
        <v>4784.413580611521</v>
      </c>
      <c r="DD80">
        <f>CX80*'Ligand cost'!$B$56*'Ligand cost'!$J$56</f>
        <v>30543.831958072875</v>
      </c>
      <c r="DE80">
        <f t="shared" si="147"/>
        <v>39625.826528698344</v>
      </c>
      <c r="DF80">
        <f t="shared" si="148"/>
        <v>4586243.4239371875</v>
      </c>
      <c r="DG80">
        <f t="shared" si="149"/>
        <v>11794834.586807497</v>
      </c>
      <c r="DH80">
        <f t="shared" si="150"/>
        <v>2275209.1661185985</v>
      </c>
      <c r="DI80">
        <f t="shared" si="151"/>
        <v>14083914.336508472</v>
      </c>
      <c r="DJ80">
        <f t="shared" si="152"/>
        <v>1662824.8986326549</v>
      </c>
      <c r="DK80" s="55">
        <f>DF80*($BK$2/10000)^0.72*0.6*((A80+1)/3)^0.6*('CAPEX+OPEX'!$G$116/'CAPEX+OPEX'!$G$114)</f>
        <v>508454.27904436266</v>
      </c>
      <c r="DL80" s="55">
        <f>DG80*($BK$2/10000)^0.72*0.6*((A80+1)/3)^0.6*('CAPEX+OPEX'!$G$116/'CAPEX+OPEX'!$G$114)</f>
        <v>1307635.369937323</v>
      </c>
      <c r="DM80" s="55">
        <f>DH80*($BK$2/10000)^0.72*0.6*((A80+1)/3)^0.6*('CAPEX+OPEX'!$G$116/'CAPEX+OPEX'!$G$114)</f>
        <v>252241.26355701292</v>
      </c>
      <c r="DN80" s="55">
        <f>DI80*($BK$2/10000)^0.72*0.6*((A80+1)/3)^0.6*('CAPEX+OPEX'!$G$116/'CAPEX+OPEX'!$G$114)</f>
        <v>1561414.3969585455</v>
      </c>
      <c r="DO80" s="55">
        <f>DJ80*($BK$2/10000)^0.72*0.6*((A80+1)/3)^0.6*('CAPEX+OPEX'!$G$116/'CAPEX+OPEX'!$G$114)</f>
        <v>184349.22808468476</v>
      </c>
      <c r="DP80">
        <f t="shared" si="153"/>
        <v>3814094.537581929</v>
      </c>
      <c r="DQ80">
        <f>DF80*(BM80/10000)^0.72*0.6*((AF80+1)/3)^0.6*('CAPEX+OPEX'!$G$116/'CAPEX+OPEX'!$G$114)</f>
        <v>530787.63001795346</v>
      </c>
      <c r="DR80">
        <f>DG80*(BM80/10000)^0.72*0.6*((AF80+1)/3)^0.6*('CAPEX+OPEX'!$G$116/'CAPEX+OPEX'!$G$114)</f>
        <v>1365071.9593533464</v>
      </c>
      <c r="DS80">
        <f>DH80*(BM80/10000)^0.72*0.6*((AF80+1)/3)^0.6*('CAPEX+OPEX'!$G$116/'CAPEX+OPEX'!$G$114)</f>
        <v>263320.71140752314</v>
      </c>
      <c r="DT80">
        <f>DI80*(BM80/10000)^0.72*0.6*((AF80+1)/3)^0.6*('CAPEX+OPEX'!$G$116/'CAPEX+OPEX'!$G$114)</f>
        <v>1629997.978963271</v>
      </c>
      <c r="DU80">
        <f>DJ80*(BM80/10000)^0.72*0.6*((AF80+1)/3)^0.6*('CAPEX+OPEX'!$G$116/'CAPEX+OPEX'!$G$114)</f>
        <v>192446.58547198787</v>
      </c>
      <c r="DV80">
        <f t="shared" si="154"/>
        <v>3981624.8652140815</v>
      </c>
      <c r="DW80">
        <f t="shared" si="155"/>
        <v>7864032.9082045509</v>
      </c>
      <c r="DX80">
        <f t="shared" si="156"/>
        <v>524268.86054697004</v>
      </c>
      <c r="DY80">
        <f>BO80*'Reagent cost'!$C$35*60*7200</f>
        <v>1021732.5944510319</v>
      </c>
      <c r="DZ80">
        <f>BP80*'Reagent cost'!$C$34*60*7200</f>
        <v>243117.9202231922</v>
      </c>
      <c r="EA80">
        <f>BQ80*'Reagent cost'!$C$14*'Reagent cost'!$C$36/1000*60*7200</f>
        <v>4029879.502614982</v>
      </c>
      <c r="EB80">
        <f t="shared" si="157"/>
        <v>39.6</v>
      </c>
      <c r="EC80">
        <f t="shared" si="158"/>
        <v>95.688271612230423</v>
      </c>
      <c r="ED80">
        <f>0.1*BK80*60*7200*'Reagent cost'!$H$17*'Reagent cost'!$C$17/1000</f>
        <v>504921.59999999998</v>
      </c>
      <c r="EE80">
        <f>BV80*0.1*'Reagent cost'!$C$16/1000*'Reagent cost'!$H$16*60*7200</f>
        <v>999708.90248053882</v>
      </c>
      <c r="EF80">
        <f>BZ80/1000*'Reagent cost'!$H$19*'Reagent cost'!$C$19*60*7200</f>
        <v>83997.416958342597</v>
      </c>
      <c r="EG80">
        <f>0.33*('Costing 100 Lmin Feed Orig'!BO80*'Reagent cost'!$C$13+'Costing 100 Lmin Feed Orig'!BP80*'Reagent cost'!$C$12+'Costing 100 Lmin Feed Orig'!BQ80*'Reagent cost'!$C$14+'Costing 100 Lmin Feed Orig'!BV80*0.1*'Reagent cost'!$C$16+'Costing 100 Lmin Feed Orig'!BZ80*'Reagent cost'!$C$19)/1000*60*7200</f>
        <v>171856.58441672826</v>
      </c>
      <c r="EH80">
        <f>CG80*'Reagent cost'!$C$35*60*7200</f>
        <v>1835771.2949773443</v>
      </c>
      <c r="EI80">
        <f>CH80*'Reagent cost'!$C$34*60*7200</f>
        <v>436815.75948952301</v>
      </c>
      <c r="EJ80">
        <f>CI80*'Reagent cost'!$C$14*'Reagent cost'!$C$36/1000*60*7200</f>
        <v>7240580.5132340034</v>
      </c>
      <c r="EK80">
        <f t="shared" si="159"/>
        <v>39.6</v>
      </c>
      <c r="EL80">
        <f t="shared" si="160"/>
        <v>610.87663916145755</v>
      </c>
      <c r="EM80">
        <f>0.1*BM80*60*7200*'Reagent cost'!$H$17*'Reagent cost'!$C$17/1000</f>
        <v>466330.76667973475</v>
      </c>
      <c r="EN80">
        <f>CN80*0.1*'Reagent cost'!$C$16/1000*'Reagent cost'!$H$16*60*7200</f>
        <v>1796200.8029049279</v>
      </c>
      <c r="EO80">
        <f>CR80/1000*'Reagent cost'!$H$19*'Reagent cost'!$C$19*60*7200</f>
        <v>150920.16026680532</v>
      </c>
      <c r="EP80">
        <f>0.33*(CG80*'Reagent cost'!$C$13+CH80*'Reagent cost'!$C$12+CI80*'Reagent cost'!$C$14+CN80*0.1*'Reagent cost'!$C$16+CR80*'Reagent cost'!$C$19)/1000*60*7200</f>
        <v>308778.81966229173</v>
      </c>
      <c r="EQ80">
        <f t="shared" si="161"/>
        <v>22572915.599029437</v>
      </c>
      <c r="ER80">
        <f t="shared" si="162"/>
        <v>480635.40407902002</v>
      </c>
      <c r="ES80">
        <f t="shared" si="163"/>
        <v>46784.46952433938</v>
      </c>
      <c r="ET80">
        <f t="shared" si="164"/>
        <v>45678.708869524045</v>
      </c>
      <c r="EU80">
        <f t="shared" si="165"/>
        <v>19339.775932661389</v>
      </c>
      <c r="EV80">
        <f t="shared" si="166"/>
        <v>10244.818866671721</v>
      </c>
      <c r="EW80">
        <f t="shared" si="167"/>
        <v>10314.547164086078</v>
      </c>
      <c r="EX80">
        <f t="shared" si="168"/>
        <v>132362.32035728262</v>
      </c>
      <c r="EY80">
        <f t="shared" si="180"/>
        <v>48855.995986073096</v>
      </c>
      <c r="EZ80">
        <f t="shared" si="181"/>
        <v>50432.083379093361</v>
      </c>
      <c r="FA80">
        <f t="shared" si="182"/>
        <v>21352.293366148395</v>
      </c>
      <c r="FB80">
        <f t="shared" si="183"/>
        <v>11317.202401332423</v>
      </c>
      <c r="FC80">
        <f t="shared" si="184"/>
        <v>11387.889795279147</v>
      </c>
      <c r="FD80">
        <f t="shared" si="169"/>
        <v>143345.46492792643</v>
      </c>
      <c r="FE80">
        <f t="shared" si="170"/>
        <v>23329258.788393665</v>
      </c>
      <c r="FF80">
        <f t="shared" si="171"/>
        <v>23853527.648940634</v>
      </c>
      <c r="FG80">
        <f>BM80*AM80*195.08/1000*'PGM market prices'!$C$2*60*7200</f>
        <v>423418427.52077091</v>
      </c>
      <c r="FH80">
        <f>BN80*AQ80*BA80*106.42/1000*'PGM market prices'!$C$3*60*7200</f>
        <v>222223196.52991179</v>
      </c>
      <c r="FI80">
        <f>BK80*J80*102.91/1000*'PGM market prices'!$C$4*60*7200</f>
        <v>247601800.16981775</v>
      </c>
      <c r="FJ80">
        <f t="shared" si="172"/>
        <v>893243424.22050047</v>
      </c>
      <c r="FK80">
        <f t="shared" si="173"/>
        <v>643348523.46295428</v>
      </c>
      <c r="FL80">
        <f t="shared" si="185"/>
        <v>0.55216499187362578</v>
      </c>
      <c r="FM80">
        <f t="shared" si="186"/>
        <v>1900.2176806431901</v>
      </c>
      <c r="FN80">
        <f t="shared" si="187"/>
        <v>3534.6848711518196</v>
      </c>
      <c r="FO80">
        <f t="shared" si="188"/>
        <v>15890.623762663225</v>
      </c>
    </row>
    <row r="81" spans="1:171">
      <c r="A81">
        <v>10</v>
      </c>
      <c r="B81">
        <v>1.54143585092054E-3</v>
      </c>
      <c r="C81">
        <v>1.54143585092054E-3</v>
      </c>
      <c r="D81">
        <v>3.4254130020456501E-4</v>
      </c>
      <c r="E81">
        <v>0</v>
      </c>
      <c r="F81">
        <v>0</v>
      </c>
      <c r="G81">
        <v>0</v>
      </c>
      <c r="H81" s="53">
        <v>1.7770671970930099E-5</v>
      </c>
      <c r="I81" s="53">
        <v>5.2649488631162003E-10</v>
      </c>
      <c r="J81">
        <v>3.3765279177869602E-4</v>
      </c>
      <c r="K81">
        <v>0.139053960209192</v>
      </c>
      <c r="L81">
        <v>0.14067571356050099</v>
      </c>
      <c r="M81">
        <v>4.4613899794023002E-4</v>
      </c>
      <c r="N81" s="53">
        <v>-1.6046192152785399E-16</v>
      </c>
      <c r="O81" s="53">
        <v>-5.9831913729046996E-14</v>
      </c>
      <c r="P81" s="53">
        <v>-6.6915602833089703E-20</v>
      </c>
      <c r="Q81">
        <v>0.10957366310586</v>
      </c>
      <c r="R81">
        <v>98.572870359588904</v>
      </c>
      <c r="S81">
        <v>500</v>
      </c>
      <c r="T81">
        <v>95</v>
      </c>
      <c r="U81">
        <v>1</v>
      </c>
      <c r="V81">
        <v>0.1</v>
      </c>
      <c r="W81">
        <v>91.262806376555005</v>
      </c>
      <c r="X81" t="s">
        <v>323</v>
      </c>
      <c r="Y81">
        <v>1</v>
      </c>
      <c r="Z81">
        <v>0.28318429382522198</v>
      </c>
      <c r="AA81">
        <v>0.56945642916197003</v>
      </c>
      <c r="AB81">
        <v>3.7698628972227502E-3</v>
      </c>
      <c r="AC81">
        <v>1822.2107908876901</v>
      </c>
      <c r="AD81">
        <v>2662.6059073104898</v>
      </c>
      <c r="AE81">
        <v>2401.5030938442701</v>
      </c>
      <c r="AF81">
        <v>13</v>
      </c>
      <c r="AG81">
        <v>1.6497548842793E-3</v>
      </c>
      <c r="AH81">
        <v>1.66899558413707E-3</v>
      </c>
      <c r="AI81" s="53">
        <v>5.2930530695573503E-6</v>
      </c>
      <c r="AJ81">
        <v>0</v>
      </c>
      <c r="AK81">
        <v>0</v>
      </c>
      <c r="AL81">
        <v>0</v>
      </c>
      <c r="AM81">
        <v>1.6128081639407901E-3</v>
      </c>
      <c r="AN81" s="53">
        <v>7.96263962340472E-5</v>
      </c>
      <c r="AO81" s="53">
        <v>5.2582439733631299E-6</v>
      </c>
      <c r="AP81">
        <v>1.7332424309303299E-3</v>
      </c>
      <c r="AQ81">
        <v>7.4560396420763494E-2</v>
      </c>
      <c r="AR81" s="53">
        <v>1.63296232935881E-6</v>
      </c>
      <c r="AS81" s="53">
        <v>5.2177229550864901E-19</v>
      </c>
      <c r="AT81" s="53">
        <v>-1.32272665043231E-17</v>
      </c>
      <c r="AU81" s="53">
        <v>8.0732827785175501E-22</v>
      </c>
      <c r="AV81">
        <v>0.19687324544888599</v>
      </c>
      <c r="AW81">
        <v>99.3423626074255</v>
      </c>
      <c r="AX81">
        <v>500</v>
      </c>
      <c r="AY81">
        <v>95</v>
      </c>
      <c r="AZ81">
        <v>0.92357064280818002</v>
      </c>
      <c r="BA81">
        <v>0.1</v>
      </c>
      <c r="BB81">
        <v>46.9119427935657</v>
      </c>
      <c r="BC81" t="s">
        <v>251</v>
      </c>
      <c r="BD81">
        <v>1</v>
      </c>
      <c r="BE81">
        <v>1.8775014999999999E-2</v>
      </c>
      <c r="BF81">
        <v>0.10492961100000001</v>
      </c>
      <c r="BG81">
        <v>1.814625E-3</v>
      </c>
      <c r="BH81">
        <v>285.1951444</v>
      </c>
      <c r="BI81">
        <v>2169.8944889999998</v>
      </c>
      <c r="BJ81">
        <v>866.49409060000005</v>
      </c>
      <c r="BK81">
        <f t="shared" si="121"/>
        <v>100</v>
      </c>
      <c r="BL81">
        <f t="shared" si="122"/>
        <v>10.957366310586</v>
      </c>
      <c r="BM81">
        <f t="shared" si="123"/>
        <v>92.357064280818008</v>
      </c>
      <c r="BN81">
        <f t="shared" si="124"/>
        <v>19.6873245448886</v>
      </c>
      <c r="BO81">
        <f t="shared" si="125"/>
        <v>3.9446518718109598</v>
      </c>
      <c r="BP81">
        <f t="shared" si="126"/>
        <v>0.262976791454064</v>
      </c>
      <c r="BQ81">
        <f t="shared" si="127"/>
        <v>1.3148839572703199</v>
      </c>
      <c r="BR81">
        <f t="shared" si="128"/>
        <v>0.65744197863515996</v>
      </c>
      <c r="BS81">
        <f t="shared" si="129"/>
        <v>1.0957366310586001</v>
      </c>
      <c r="BT81">
        <f t="shared" si="130"/>
        <v>6.5744197863515996</v>
      </c>
      <c r="BU81">
        <f t="shared" si="131"/>
        <v>17.531786096937601</v>
      </c>
      <c r="BV81">
        <f t="shared" si="174"/>
        <v>5.478683155293</v>
      </c>
      <c r="BW81">
        <f t="shared" si="132"/>
        <v>86.87838112552501</v>
      </c>
      <c r="BX81">
        <f t="shared" si="133"/>
        <v>103.314430591404</v>
      </c>
      <c r="BY81">
        <f t="shared" si="175"/>
        <v>92.357064280818008</v>
      </c>
      <c r="BZ81">
        <f t="shared" si="176"/>
        <v>1.53403128348204</v>
      </c>
      <c r="CA81">
        <f>7963.6*(BT81/1000)^0.6*1.7*('CAPEX+OPEX'!$G$116/'CAPEX+OPEX'!$G$115)</f>
        <v>783.34916791178432</v>
      </c>
      <c r="CB81">
        <f>7963.6*(BU81/1000)^0.6*1.7*('CAPEX+OPEX'!$G$116/'CAPEX+OPEX'!$G$115)</f>
        <v>1411.0312294095941</v>
      </c>
      <c r="CC81">
        <f>7963.6*(BX81/1000)^0.6*1.7*('CAPEX+OPEX'!$G$116/'CAPEX+OPEX'!$G$115)</f>
        <v>4090.1338422275376</v>
      </c>
      <c r="CD81">
        <f>7963.6*(BY81/1000)^0.6*1.7*('CAPEX+OPEX'!$G$116/'CAPEX+OPEX'!$G$115)</f>
        <v>3824.0450478349017</v>
      </c>
      <c r="CE81">
        <v>300</v>
      </c>
      <c r="CF81">
        <v>30</v>
      </c>
      <c r="CG81">
        <f t="shared" si="134"/>
        <v>7.0874368361598963</v>
      </c>
      <c r="CH81">
        <f t="shared" si="135"/>
        <v>0.47249578907732642</v>
      </c>
      <c r="CI81">
        <f t="shared" si="136"/>
        <v>2.3624789453866319</v>
      </c>
      <c r="CJ81">
        <f t="shared" si="137"/>
        <v>1.181239472693316</v>
      </c>
      <c r="CK81">
        <f t="shared" si="138"/>
        <v>1.96873245448886</v>
      </c>
      <c r="CL81">
        <f t="shared" si="139"/>
        <v>11.81239472693316</v>
      </c>
      <c r="CM81">
        <f t="shared" si="140"/>
        <v>31.49971927182176</v>
      </c>
      <c r="CN81">
        <f t="shared" si="177"/>
        <v>9.8436622724443001</v>
      </c>
      <c r="CO81">
        <v>0</v>
      </c>
      <c r="CP81">
        <f t="shared" si="141"/>
        <v>29.530986817332902</v>
      </c>
      <c r="CQ81">
        <f t="shared" si="178"/>
        <v>9.8436622724443001</v>
      </c>
      <c r="CR81">
        <f t="shared" si="179"/>
        <v>2.7562254362844039</v>
      </c>
      <c r="CS81">
        <f>7963.6*(CL81/1000)^0.6*1.7*('CAPEX+OPEX'!$G$116/'CAPEX+OPEX'!$G$115)</f>
        <v>1113.3807250836294</v>
      </c>
      <c r="CT81">
        <f>7963.6*(CM81/1000)^0.6*1.7*('CAPEX+OPEX'!$G$116/'CAPEX+OPEX'!$G$115)</f>
        <v>2005.5104896627849</v>
      </c>
      <c r="CU81">
        <f>7963.6*(CP81/1000)^0.6*1.7*('CAPEX+OPEX'!$G$116/'CAPEX+OPEX'!$G$115)</f>
        <v>1929.3352701501396</v>
      </c>
      <c r="CV81">
        <f>7963.6*(CQ81/1000)^0.6*1.7*('CAPEX+OPEX'!$G$116/'CAPEX+OPEX'!$G$115)</f>
        <v>998.01013319376307</v>
      </c>
      <c r="CW81">
        <v>300</v>
      </c>
      <c r="CX81">
        <f t="shared" si="142"/>
        <v>30</v>
      </c>
      <c r="CY81">
        <f t="shared" si="143"/>
        <v>10</v>
      </c>
      <c r="CZ81">
        <f t="shared" si="144"/>
        <v>9.2357064280818015</v>
      </c>
      <c r="DA81">
        <f t="shared" si="145"/>
        <v>3960</v>
      </c>
      <c r="DB81">
        <f t="shared" si="146"/>
        <v>3960</v>
      </c>
      <c r="DC81">
        <f>CF81*'Reagent cost'!$C$18/1000*'Reagent cost'!$H$18</f>
        <v>4784.413580611521</v>
      </c>
      <c r="DD81">
        <f>CX81*'Ligand cost'!$B$56*'Ligand cost'!$J$56</f>
        <v>30543.831958072875</v>
      </c>
      <c r="DE81">
        <f t="shared" si="147"/>
        <v>39625.826528698344</v>
      </c>
      <c r="DF81">
        <f t="shared" si="148"/>
        <v>4586243.4239371875</v>
      </c>
      <c r="DG81">
        <f t="shared" si="149"/>
        <v>11794834.586807497</v>
      </c>
      <c r="DH81">
        <f t="shared" si="150"/>
        <v>2275209.1661185985</v>
      </c>
      <c r="DI81">
        <f t="shared" si="151"/>
        <v>14083914.336508472</v>
      </c>
      <c r="DJ81">
        <f t="shared" si="152"/>
        <v>1662824.8986326549</v>
      </c>
      <c r="DK81" s="55">
        <f>DF81*($BK$2/10000)^0.72*0.6*((A81+1)/3)^0.6*('CAPEX+OPEX'!$G$116/'CAPEX+OPEX'!$G$114)</f>
        <v>508454.27904436266</v>
      </c>
      <c r="DL81" s="55">
        <f>DG81*($BK$2/10000)^0.72*0.6*((A81+1)/3)^0.6*('CAPEX+OPEX'!$G$116/'CAPEX+OPEX'!$G$114)</f>
        <v>1307635.369937323</v>
      </c>
      <c r="DM81" s="55">
        <f>DH81*($BK$2/10000)^0.72*0.6*((A81+1)/3)^0.6*('CAPEX+OPEX'!$G$116/'CAPEX+OPEX'!$G$114)</f>
        <v>252241.26355701292</v>
      </c>
      <c r="DN81" s="55">
        <f>DI81*($BK$2/10000)^0.72*0.6*((A81+1)/3)^0.6*('CAPEX+OPEX'!$G$116/'CAPEX+OPEX'!$G$114)</f>
        <v>1561414.3969585455</v>
      </c>
      <c r="DO81" s="55">
        <f>DJ81*($BK$2/10000)^0.72*0.6*((A81+1)/3)^0.6*('CAPEX+OPEX'!$G$116/'CAPEX+OPEX'!$G$114)</f>
        <v>184349.22808468476</v>
      </c>
      <c r="DP81">
        <f t="shared" si="153"/>
        <v>3814094.537581929</v>
      </c>
      <c r="DQ81">
        <f>DF81*(BM81/10000)^0.72*0.6*((AF81+1)/3)^0.6*('CAPEX+OPEX'!$G$116/'CAPEX+OPEX'!$G$114)</f>
        <v>554921.56590538286</v>
      </c>
      <c r="DR81">
        <f>DG81*(BM81/10000)^0.72*0.6*((AF81+1)/3)^0.6*('CAPEX+OPEX'!$G$116/'CAPEX+OPEX'!$G$114)</f>
        <v>1427139.2670403155</v>
      </c>
      <c r="DS81">
        <f>DH81*(BM81/10000)^0.72*0.6*((AF81+1)/3)^0.6*('CAPEX+OPEX'!$G$116/'CAPEX+OPEX'!$G$114)</f>
        <v>275293.41914889711</v>
      </c>
      <c r="DT81">
        <f>DI81*(BM81/10000)^0.72*0.6*((AF81+1)/3)^0.6*('CAPEX+OPEX'!$G$116/'CAPEX+OPEX'!$G$114)</f>
        <v>1704110.9847987848</v>
      </c>
      <c r="DU81">
        <f>DJ81*(BM81/10000)^0.72*0.6*((AF81+1)/3)^0.6*('CAPEX+OPEX'!$G$116/'CAPEX+OPEX'!$G$114)</f>
        <v>201196.77724902416</v>
      </c>
      <c r="DV81">
        <f t="shared" si="154"/>
        <v>4162662.0141424048</v>
      </c>
      <c r="DW81">
        <f t="shared" si="155"/>
        <v>8045070.0493851155</v>
      </c>
      <c r="DX81">
        <f t="shared" si="156"/>
        <v>536338.00329234102</v>
      </c>
      <c r="DY81">
        <f>BO81*'Reagent cost'!$C$35*60*7200</f>
        <v>1021732.5944510319</v>
      </c>
      <c r="DZ81">
        <f>BP81*'Reagent cost'!$C$34*60*7200</f>
        <v>243117.9202231922</v>
      </c>
      <c r="EA81">
        <f>BQ81*'Reagent cost'!$C$14*'Reagent cost'!$C$36/1000*60*7200</f>
        <v>4029879.502614982</v>
      </c>
      <c r="EB81">
        <f t="shared" si="157"/>
        <v>39.6</v>
      </c>
      <c r="EC81">
        <f t="shared" si="158"/>
        <v>95.688271612230423</v>
      </c>
      <c r="ED81">
        <f>0.1*BK81*60*7200*'Reagent cost'!$H$17*'Reagent cost'!$C$17/1000</f>
        <v>504921.59999999998</v>
      </c>
      <c r="EE81">
        <f>BV81*0.1*'Reagent cost'!$C$16/1000*'Reagent cost'!$H$16*60*7200</f>
        <v>999708.90248053882</v>
      </c>
      <c r="EF81">
        <f>BZ81/1000*'Reagent cost'!$H$19*'Reagent cost'!$C$19*60*7200</f>
        <v>83997.416958342597</v>
      </c>
      <c r="EG81">
        <f>0.33*('Costing 100 Lmin Feed Orig'!BO81*'Reagent cost'!$C$13+'Costing 100 Lmin Feed Orig'!BP81*'Reagent cost'!$C$12+'Costing 100 Lmin Feed Orig'!BQ81*'Reagent cost'!$C$14+'Costing 100 Lmin Feed Orig'!BV81*0.1*'Reagent cost'!$C$16+'Costing 100 Lmin Feed Orig'!BZ81*'Reagent cost'!$C$19)/1000*60*7200</f>
        <v>171856.58441672826</v>
      </c>
      <c r="EH81">
        <f>CG81*'Reagent cost'!$C$35*60*7200</f>
        <v>1835767.8857204099</v>
      </c>
      <c r="EI81">
        <f>CH81*'Reagent cost'!$C$34*60*7200</f>
        <v>436814.94826801564</v>
      </c>
      <c r="EJ81">
        <f>CI81*'Reagent cost'!$C$14*'Reagent cost'!$C$36/1000*60*7200</f>
        <v>7240567.066570254</v>
      </c>
      <c r="EK81">
        <f t="shared" si="159"/>
        <v>39.6</v>
      </c>
      <c r="EL81">
        <f t="shared" si="160"/>
        <v>610.87663916145755</v>
      </c>
      <c r="EM81">
        <f>0.1*BM81*60*7200*'Reagent cost'!$H$17*'Reagent cost'!$C$17/1000</f>
        <v>466330.76667973475</v>
      </c>
      <c r="EN81">
        <f>CN81*0.1*'Reagent cost'!$C$16/1000*'Reagent cost'!$H$16*60*7200</f>
        <v>1796197.467135347</v>
      </c>
      <c r="EO81">
        <f>CR81/1000*'Reagent cost'!$H$19*'Reagent cost'!$C$19*60*7200</f>
        <v>150919.8799891888</v>
      </c>
      <c r="EP81">
        <f>0.33*(CG81*'Reagent cost'!$C$13+CH81*'Reagent cost'!$C$12+CI81*'Reagent cost'!$C$14+CN81*0.1*'Reagent cost'!$C$16+CR81*'Reagent cost'!$C$19)/1000*60*7200</f>
        <v>308778.246221398</v>
      </c>
      <c r="EQ81">
        <f t="shared" si="161"/>
        <v>22572890.059202168</v>
      </c>
      <c r="ER81">
        <f t="shared" si="162"/>
        <v>480634.83063812624</v>
      </c>
      <c r="ES81">
        <f t="shared" si="163"/>
        <v>46784.46952433938</v>
      </c>
      <c r="ET81">
        <f t="shared" si="164"/>
        <v>45678.708869524045</v>
      </c>
      <c r="EU81">
        <f t="shared" si="165"/>
        <v>19339.775932661389</v>
      </c>
      <c r="EV81">
        <f t="shared" si="166"/>
        <v>10244.818866671721</v>
      </c>
      <c r="EW81">
        <f t="shared" si="167"/>
        <v>10314.547164086078</v>
      </c>
      <c r="EX81">
        <f t="shared" si="168"/>
        <v>132362.32035728262</v>
      </c>
      <c r="EY81">
        <f t="shared" si="180"/>
        <v>51427.364195866423</v>
      </c>
      <c r="EZ81">
        <f t="shared" si="181"/>
        <v>54311.474408254369</v>
      </c>
      <c r="FA81">
        <f t="shared" si="182"/>
        <v>22994.777471236728</v>
      </c>
      <c r="FB81">
        <f t="shared" si="183"/>
        <v>12187.756432204143</v>
      </c>
      <c r="FC81">
        <f t="shared" si="184"/>
        <v>12263.881317992924</v>
      </c>
      <c r="FD81">
        <f t="shared" si="169"/>
        <v>153185.2538255546</v>
      </c>
      <c r="FE81">
        <f t="shared" si="170"/>
        <v>23339072.464023128</v>
      </c>
      <c r="FF81">
        <f t="shared" si="171"/>
        <v>23875410.467315469</v>
      </c>
      <c r="FG81">
        <f>BM81*AM81*195.08/1000*'PGM market prices'!$C$2*60*7200</f>
        <v>423418492.09352839</v>
      </c>
      <c r="FH81">
        <f>BN81*AQ81*BA81*106.42/1000*'PGM market prices'!$C$3*60*7200</f>
        <v>222223194.74520743</v>
      </c>
      <c r="FI81">
        <f>BK81*J81*102.91/1000*'PGM market prices'!$C$4*60*7200</f>
        <v>247601800.16981775</v>
      </c>
      <c r="FJ81">
        <f t="shared" si="172"/>
        <v>893243487.0085535</v>
      </c>
      <c r="FK81">
        <f t="shared" si="173"/>
        <v>643332376.64051616</v>
      </c>
      <c r="FL81">
        <f t="shared" si="185"/>
        <v>0.55267153859526552</v>
      </c>
      <c r="FM81">
        <f t="shared" si="186"/>
        <v>1901.9606177945943</v>
      </c>
      <c r="FN81">
        <f t="shared" si="187"/>
        <v>3537.9275590238185</v>
      </c>
      <c r="FO81">
        <f t="shared" si="188"/>
        <v>15905.201549176769</v>
      </c>
    </row>
    <row r="82" spans="1:171">
      <c r="A82">
        <v>11</v>
      </c>
      <c r="B82">
        <v>1.54143585092054E-3</v>
      </c>
      <c r="C82">
        <v>1.54143585092054E-3</v>
      </c>
      <c r="D82">
        <v>3.4254130020456501E-4</v>
      </c>
      <c r="E82">
        <v>0</v>
      </c>
      <c r="F82">
        <v>0</v>
      </c>
      <c r="G82">
        <v>0</v>
      </c>
      <c r="H82" s="53">
        <v>1.7771367359861701E-5</v>
      </c>
      <c r="I82" s="53">
        <v>1.8081057367328801E-10</v>
      </c>
      <c r="J82">
        <v>3.3765941525589702E-4</v>
      </c>
      <c r="K82">
        <v>0.139102253285185</v>
      </c>
      <c r="L82">
        <v>0.14072466572308701</v>
      </c>
      <c r="M82">
        <v>4.4568945720355099E-4</v>
      </c>
      <c r="N82" s="53">
        <v>-8.03393809811758E-16</v>
      </c>
      <c r="O82" s="53">
        <v>-8.4019770307808202E-13</v>
      </c>
      <c r="P82" s="53">
        <v>-2.26157796916898E-19</v>
      </c>
      <c r="Q82">
        <v>0.10953557168033</v>
      </c>
      <c r="R82">
        <v>98.5748039883795</v>
      </c>
      <c r="S82">
        <v>500</v>
      </c>
      <c r="T82">
        <v>95</v>
      </c>
      <c r="U82">
        <v>1</v>
      </c>
      <c r="V82">
        <v>0.1</v>
      </c>
      <c r="W82">
        <v>91.294543376138293</v>
      </c>
      <c r="X82" t="s">
        <v>323</v>
      </c>
      <c r="Y82">
        <v>1</v>
      </c>
      <c r="Z82">
        <v>0.28318429382522198</v>
      </c>
      <c r="AA82">
        <v>0.56945642916197003</v>
      </c>
      <c r="AB82">
        <v>3.7698628972227502E-3</v>
      </c>
      <c r="AC82">
        <v>1822.2107908876901</v>
      </c>
      <c r="AD82">
        <v>2662.6059073104898</v>
      </c>
      <c r="AE82">
        <v>2401.5030938442701</v>
      </c>
      <c r="AF82">
        <v>4</v>
      </c>
      <c r="AG82">
        <v>1.6497569194096201E-3</v>
      </c>
      <c r="AH82">
        <v>1.6689987798565299E-3</v>
      </c>
      <c r="AI82" s="53">
        <v>5.28589040482341E-6</v>
      </c>
      <c r="AJ82">
        <v>0</v>
      </c>
      <c r="AK82">
        <v>0</v>
      </c>
      <c r="AL82">
        <v>0</v>
      </c>
      <c r="AM82">
        <v>1.6048442786411501E-3</v>
      </c>
      <c r="AN82" s="53">
        <v>7.9221543426505204E-5</v>
      </c>
      <c r="AO82" s="53">
        <v>5.2439449251215197E-6</v>
      </c>
      <c r="AP82">
        <v>1.9874086219128402E-3</v>
      </c>
      <c r="AQ82">
        <v>7.0348501715363707E-2</v>
      </c>
      <c r="AR82" s="53">
        <v>1.8561101411739801E-6</v>
      </c>
      <c r="AS82" s="53">
        <v>-9.4923594267000406E-15</v>
      </c>
      <c r="AT82" s="53">
        <v>-1.2240620843317799E-13</v>
      </c>
      <c r="AU82" s="53">
        <v>-3.0355146200531901E-18</v>
      </c>
      <c r="AV82">
        <v>0.20871362817040201</v>
      </c>
      <c r="AW82">
        <v>99.206463311013493</v>
      </c>
      <c r="AX82">
        <v>500</v>
      </c>
      <c r="AY82">
        <v>95</v>
      </c>
      <c r="AZ82">
        <v>0.92356908198738696</v>
      </c>
      <c r="BA82">
        <v>0.1</v>
      </c>
      <c r="BB82">
        <v>44.250540325682302</v>
      </c>
      <c r="BC82" t="s">
        <v>251</v>
      </c>
      <c r="BD82">
        <v>1</v>
      </c>
      <c r="BE82">
        <v>1.8775014999999999E-2</v>
      </c>
      <c r="BF82">
        <v>0.10492961100000001</v>
      </c>
      <c r="BG82">
        <v>1.814625E-3</v>
      </c>
      <c r="BH82">
        <v>285.1951444</v>
      </c>
      <c r="BI82">
        <v>2169.8944889999998</v>
      </c>
      <c r="BJ82">
        <v>866.49409060000005</v>
      </c>
      <c r="BK82">
        <f t="shared" si="121"/>
        <v>100</v>
      </c>
      <c r="BL82">
        <f t="shared" si="122"/>
        <v>10.953557168032999</v>
      </c>
      <c r="BM82">
        <f t="shared" si="123"/>
        <v>92.356908198738694</v>
      </c>
      <c r="BN82">
        <f t="shared" si="124"/>
        <v>20.8713628170402</v>
      </c>
      <c r="BO82">
        <f t="shared" si="125"/>
        <v>3.9432805804918796</v>
      </c>
      <c r="BP82">
        <f t="shared" si="126"/>
        <v>0.262885372032792</v>
      </c>
      <c r="BQ82">
        <f t="shared" si="127"/>
        <v>1.3144268601639599</v>
      </c>
      <c r="BR82">
        <f t="shared" si="128"/>
        <v>0.65721343008197997</v>
      </c>
      <c r="BS82">
        <f t="shared" si="129"/>
        <v>1.0953557168032999</v>
      </c>
      <c r="BT82">
        <f t="shared" si="130"/>
        <v>6.5721343008197994</v>
      </c>
      <c r="BU82">
        <f t="shared" si="131"/>
        <v>17.525691468852798</v>
      </c>
      <c r="BV82">
        <f t="shared" si="174"/>
        <v>5.4767785840164995</v>
      </c>
      <c r="BW82">
        <f t="shared" si="132"/>
        <v>86.880129614722193</v>
      </c>
      <c r="BX82">
        <f t="shared" si="133"/>
        <v>103.31046536677169</v>
      </c>
      <c r="BY82">
        <f t="shared" si="175"/>
        <v>92.356908198738694</v>
      </c>
      <c r="BZ82">
        <f t="shared" si="176"/>
        <v>1.5334980035246197</v>
      </c>
      <c r="CA82">
        <f>7963.6*(BT82/1000)^0.6*1.7*('CAPEX+OPEX'!$G$116/'CAPEX+OPEX'!$G$115)</f>
        <v>783.18576571869824</v>
      </c>
      <c r="CB82">
        <f>7963.6*(BU82/1000)^0.6*1.7*('CAPEX+OPEX'!$G$116/'CAPEX+OPEX'!$G$115)</f>
        <v>1410.7368962988378</v>
      </c>
      <c r="CC82">
        <f>7963.6*(BX82/1000)^0.6*1.7*('CAPEX+OPEX'!$G$116/'CAPEX+OPEX'!$G$115)</f>
        <v>4090.0396535036848</v>
      </c>
      <c r="CD82">
        <f>7963.6*(BY82/1000)^0.6*1.7*('CAPEX+OPEX'!$G$116/'CAPEX+OPEX'!$G$115)</f>
        <v>3824.0411702856813</v>
      </c>
      <c r="CE82">
        <v>300</v>
      </c>
      <c r="CF82">
        <v>30</v>
      </c>
      <c r="CG82">
        <f t="shared" si="134"/>
        <v>7.5136906141344717</v>
      </c>
      <c r="CH82">
        <f t="shared" si="135"/>
        <v>0.50091270760896478</v>
      </c>
      <c r="CI82">
        <f t="shared" si="136"/>
        <v>2.5045635380448239</v>
      </c>
      <c r="CJ82">
        <f t="shared" si="137"/>
        <v>1.252281769022412</v>
      </c>
      <c r="CK82">
        <f t="shared" si="138"/>
        <v>2.0871362817040202</v>
      </c>
      <c r="CL82">
        <f t="shared" si="139"/>
        <v>12.52281769022412</v>
      </c>
      <c r="CM82">
        <f t="shared" si="140"/>
        <v>33.394180507264323</v>
      </c>
      <c r="CN82">
        <f t="shared" si="177"/>
        <v>10.4356814085201</v>
      </c>
      <c r="CO82">
        <v>0</v>
      </c>
      <c r="CP82">
        <f t="shared" si="141"/>
        <v>31.307044225560301</v>
      </c>
      <c r="CQ82">
        <f t="shared" si="178"/>
        <v>10.4356814085201</v>
      </c>
      <c r="CR82">
        <f t="shared" si="179"/>
        <v>2.921990794385628</v>
      </c>
      <c r="CS82">
        <f>7963.6*(CL82/1000)^0.6*1.7*('CAPEX+OPEX'!$G$116/'CAPEX+OPEX'!$G$115)</f>
        <v>1153.0872305071196</v>
      </c>
      <c r="CT82">
        <f>7963.6*(CM82/1000)^0.6*1.7*('CAPEX+OPEX'!$G$116/'CAPEX+OPEX'!$G$115)</f>
        <v>2077.0330257913679</v>
      </c>
      <c r="CU82">
        <f>7963.6*(CP82/1000)^0.6*1.7*('CAPEX+OPEX'!$G$116/'CAPEX+OPEX'!$G$115)</f>
        <v>1998.1411688351488</v>
      </c>
      <c r="CV82">
        <f>7963.6*(CQ82/1000)^0.6*1.7*('CAPEX+OPEX'!$G$116/'CAPEX+OPEX'!$G$115)</f>
        <v>1033.6021763049632</v>
      </c>
      <c r="CW82">
        <v>300</v>
      </c>
      <c r="CX82">
        <f t="shared" si="142"/>
        <v>30</v>
      </c>
      <c r="CY82">
        <f t="shared" si="143"/>
        <v>10</v>
      </c>
      <c r="CZ82">
        <f t="shared" si="144"/>
        <v>9.2356908198738701</v>
      </c>
      <c r="DA82">
        <f t="shared" si="145"/>
        <v>3960</v>
      </c>
      <c r="DB82">
        <f t="shared" si="146"/>
        <v>3960</v>
      </c>
      <c r="DC82">
        <f>CF82*'Reagent cost'!$C$18/1000*'Reagent cost'!$H$18</f>
        <v>4784.413580611521</v>
      </c>
      <c r="DD82">
        <f>CX82*'Ligand cost'!$B$56*'Ligand cost'!$J$56</f>
        <v>30543.831958072875</v>
      </c>
      <c r="DE82">
        <f t="shared" si="147"/>
        <v>39625.826528698344</v>
      </c>
      <c r="DF82">
        <f t="shared" si="148"/>
        <v>4586243.4239371875</v>
      </c>
      <c r="DG82">
        <f t="shared" si="149"/>
        <v>11794834.586807497</v>
      </c>
      <c r="DH82">
        <f t="shared" si="150"/>
        <v>2275209.1661185985</v>
      </c>
      <c r="DI82">
        <f t="shared" si="151"/>
        <v>14083914.336508472</v>
      </c>
      <c r="DJ82">
        <f t="shared" si="152"/>
        <v>1662824.8986326549</v>
      </c>
      <c r="DK82" s="55">
        <f>DF82*($BK$2/10000)^0.72*0.6*((A82+1)/3)^0.6*('CAPEX+OPEX'!$G$116/'CAPEX+OPEX'!$G$114)</f>
        <v>535704.1899239067</v>
      </c>
      <c r="DL82" s="55">
        <f>DG82*($BK$2/10000)^0.72*0.6*((A82+1)/3)^0.6*('CAPEX+OPEX'!$G$116/'CAPEX+OPEX'!$G$114)</f>
        <v>1377716.2970969954</v>
      </c>
      <c r="DM82" s="55">
        <f>DH82*($BK$2/10000)^0.72*0.6*((A82+1)/3)^0.6*('CAPEX+OPEX'!$G$116/'CAPEX+OPEX'!$G$114)</f>
        <v>265759.78869361128</v>
      </c>
      <c r="DN82" s="55">
        <f>DI82*($BK$2/10000)^0.72*0.6*((A82+1)/3)^0.6*('CAPEX+OPEX'!$G$116/'CAPEX+OPEX'!$G$114)</f>
        <v>1645096.2635820836</v>
      </c>
      <c r="DO82" s="55">
        <f>DJ82*($BK$2/10000)^0.72*0.6*((A82+1)/3)^0.6*('CAPEX+OPEX'!$G$116/'CAPEX+OPEX'!$G$114)</f>
        <v>194229.17254195639</v>
      </c>
      <c r="DP82">
        <f t="shared" si="153"/>
        <v>4018505.7118385537</v>
      </c>
      <c r="DQ82">
        <f>DF82*(BM82/10000)^0.72*0.6*((AF82+1)/3)^0.6*('CAPEX+OPEX'!$G$116/'CAPEX+OPEX'!$G$114)</f>
        <v>299182.54753482796</v>
      </c>
      <c r="DR82">
        <f>DG82*(BM82/10000)^0.72*0.6*((AF82+1)/3)^0.6*('CAPEX+OPEX'!$G$116/'CAPEX+OPEX'!$G$114)</f>
        <v>769433.35388935008</v>
      </c>
      <c r="DS82">
        <f>DH82*(BM82/10000)^0.72*0.6*((AF82+1)/3)^0.6*('CAPEX+OPEX'!$G$116/'CAPEX+OPEX'!$G$114)</f>
        <v>148422.752909523</v>
      </c>
      <c r="DT82">
        <f>DI82*(BM82/10000)^0.72*0.6*((AF82+1)/3)^0.6*('CAPEX+OPEX'!$G$116/'CAPEX+OPEX'!$G$114)</f>
        <v>918760.95116677356</v>
      </c>
      <c r="DU82">
        <f>DJ82*(BM82/10000)^0.72*0.6*((AF82+1)/3)^0.6*('CAPEX+OPEX'!$G$116/'CAPEX+OPEX'!$G$114)</f>
        <v>108474.00438465546</v>
      </c>
      <c r="DV82">
        <f t="shared" si="154"/>
        <v>2244273.6098851301</v>
      </c>
      <c r="DW82">
        <f t="shared" si="155"/>
        <v>6331340.1512435032</v>
      </c>
      <c r="DX82">
        <f t="shared" si="156"/>
        <v>422089.34341623355</v>
      </c>
      <c r="DY82">
        <f>BO82*'Reagent cost'!$C$35*60*7200</f>
        <v>1021377.4064438964</v>
      </c>
      <c r="DZ82">
        <f>BP82*'Reagent cost'!$C$34*60*7200</f>
        <v>243033.40440168275</v>
      </c>
      <c r="EA82">
        <f>BQ82*'Reagent cost'!$C$14*'Reagent cost'!$C$36/1000*60*7200</f>
        <v>4028478.5833555758</v>
      </c>
      <c r="EB82">
        <f t="shared" si="157"/>
        <v>39.6</v>
      </c>
      <c r="EC82">
        <f t="shared" si="158"/>
        <v>95.688271612230423</v>
      </c>
      <c r="ED82">
        <f>0.1*BK82*60*7200*'Reagent cost'!$H$17*'Reagent cost'!$C$17/1000</f>
        <v>504921.59999999998</v>
      </c>
      <c r="EE82">
        <f>BV82*0.1*'Reagent cost'!$C$16/1000*'Reagent cost'!$H$16*60*7200</f>
        <v>999361.370636379</v>
      </c>
      <c r="EF82">
        <f>BZ82/1000*'Reagent cost'!$H$19*'Reagent cost'!$C$19*60*7200</f>
        <v>83968.216680994068</v>
      </c>
      <c r="EG82">
        <f>0.33*('Costing 100 Lmin Feed Orig'!BO82*'Reagent cost'!$C$13+'Costing 100 Lmin Feed Orig'!BP82*'Reagent cost'!$C$12+'Costing 100 Lmin Feed Orig'!BQ82*'Reagent cost'!$C$14+'Costing 100 Lmin Feed Orig'!BV82*0.1*'Reagent cost'!$C$16+'Costing 100 Lmin Feed Orig'!BZ82*'Reagent cost'!$C$19)/1000*60*7200</f>
        <v>171796.84138996803</v>
      </c>
      <c r="EH82">
        <f>CG82*'Reagent cost'!$C$35*60*7200</f>
        <v>1946174.9362327217</v>
      </c>
      <c r="EI82">
        <f>CH82*'Reagent cost'!$C$34*60*7200</f>
        <v>463085.94387323264</v>
      </c>
      <c r="EJ82">
        <f>CI82*'Reagent cost'!$C$14*'Reagent cost'!$C$36/1000*60*7200</f>
        <v>7676030.4277472533</v>
      </c>
      <c r="EK82">
        <f t="shared" si="159"/>
        <v>39.6</v>
      </c>
      <c r="EL82">
        <f t="shared" si="160"/>
        <v>610.87663916145755</v>
      </c>
      <c r="EM82">
        <f>0.1*BM82*60*7200*'Reagent cost'!$H$17*'Reagent cost'!$C$17/1000</f>
        <v>466329.97858760261</v>
      </c>
      <c r="EN82">
        <f>CN82*0.1*'Reagent cost'!$C$16/1000*'Reagent cost'!$H$16*60*7200</f>
        <v>1904224.6671025557</v>
      </c>
      <c r="EO82">
        <f>CR82/1000*'Reagent cost'!$H$19*'Reagent cost'!$C$19*60*7200</f>
        <v>159996.52793737946</v>
      </c>
      <c r="EP82">
        <f>0.33*(CG82*'Reagent cost'!$C$13+CH82*'Reagent cost'!$C$12+CI82*'Reagent cost'!$C$14+CN82*0.1*'Reagent cost'!$C$16+CR82*'Reagent cost'!$C$19)/1000*60*7200</f>
        <v>327348.8376849753</v>
      </c>
      <c r="EQ82">
        <f t="shared" si="161"/>
        <v>23397322.593492057</v>
      </c>
      <c r="ER82">
        <f t="shared" si="162"/>
        <v>499145.6790749433</v>
      </c>
      <c r="ES82">
        <f t="shared" si="163"/>
        <v>49536.497143418172</v>
      </c>
      <c r="ET82">
        <f t="shared" si="164"/>
        <v>49831.318766753509</v>
      </c>
      <c r="EU82">
        <f t="shared" si="165"/>
        <v>21097.937381085154</v>
      </c>
      <c r="EV82">
        <f t="shared" si="166"/>
        <v>11176.166036369152</v>
      </c>
      <c r="EW82">
        <f t="shared" si="167"/>
        <v>11252.233269912085</v>
      </c>
      <c r="EX82">
        <f t="shared" si="168"/>
        <v>142894.15259753808</v>
      </c>
      <c r="EY82">
        <f t="shared" si="180"/>
        <v>28285.00948539532</v>
      </c>
      <c r="EZ82">
        <f t="shared" si="181"/>
        <v>19396.927085634903</v>
      </c>
      <c r="FA82">
        <f t="shared" si="182"/>
        <v>8212.4086451276798</v>
      </c>
      <c r="FB82">
        <f t="shared" si="183"/>
        <v>4352.763909014071</v>
      </c>
      <c r="FC82">
        <f t="shared" si="184"/>
        <v>4379.9512774014302</v>
      </c>
      <c r="FD82">
        <f t="shared" si="169"/>
        <v>64627.060402573406</v>
      </c>
      <c r="FE82">
        <f t="shared" si="170"/>
        <v>24103989.485567112</v>
      </c>
      <c r="FF82">
        <f t="shared" si="171"/>
        <v>24526078.828983344</v>
      </c>
      <c r="FG82">
        <f>BM82*AM82*195.08/1000*'PGM market prices'!$C$2*60*7200</f>
        <v>421326981.91875714</v>
      </c>
      <c r="FH82">
        <f>BN82*AQ82*BA82*106.42/1000*'PGM market prices'!$C$3*60*7200</f>
        <v>222279871.8409577</v>
      </c>
      <c r="FI82">
        <f>BK82*J82*102.91/1000*'PGM market prices'!$C$4*60*7200</f>
        <v>247606657.18542153</v>
      </c>
      <c r="FJ82">
        <f t="shared" si="172"/>
        <v>891213510.94513631</v>
      </c>
      <c r="FK82">
        <f t="shared" si="173"/>
        <v>641348699.76595318</v>
      </c>
      <c r="FL82">
        <f t="shared" si="185"/>
        <v>0.56773330622646634</v>
      </c>
      <c r="FM82">
        <f t="shared" si="186"/>
        <v>1963.4929307695279</v>
      </c>
      <c r="FN82">
        <f t="shared" si="187"/>
        <v>3633.4187954632121</v>
      </c>
      <c r="FO82">
        <f t="shared" si="188"/>
        <v>16338.340047744914</v>
      </c>
    </row>
    <row r="83" spans="1:171">
      <c r="A83">
        <v>11</v>
      </c>
      <c r="B83">
        <v>1.54143585092054E-3</v>
      </c>
      <c r="C83">
        <v>1.54143585092054E-3</v>
      </c>
      <c r="D83">
        <v>3.4254130020456501E-4</v>
      </c>
      <c r="E83">
        <v>0</v>
      </c>
      <c r="F83">
        <v>0</v>
      </c>
      <c r="G83">
        <v>0</v>
      </c>
      <c r="H83" s="53">
        <v>1.7771367359861701E-5</v>
      </c>
      <c r="I83" s="53">
        <v>1.8081057367328801E-10</v>
      </c>
      <c r="J83">
        <v>3.3765941525589702E-4</v>
      </c>
      <c r="K83">
        <v>0.139102253285185</v>
      </c>
      <c r="L83">
        <v>0.14072466572308701</v>
      </c>
      <c r="M83">
        <v>4.4568945720355099E-4</v>
      </c>
      <c r="N83" s="53">
        <v>-8.03393809811758E-16</v>
      </c>
      <c r="O83" s="53">
        <v>-8.4019770307808202E-13</v>
      </c>
      <c r="P83" s="53">
        <v>-2.26157796916898E-19</v>
      </c>
      <c r="Q83">
        <v>0.10953557168033</v>
      </c>
      <c r="R83">
        <v>98.5748039883795</v>
      </c>
      <c r="S83">
        <v>500</v>
      </c>
      <c r="T83">
        <v>95</v>
      </c>
      <c r="U83">
        <v>1</v>
      </c>
      <c r="V83">
        <v>0.1</v>
      </c>
      <c r="W83">
        <v>91.294543376138293</v>
      </c>
      <c r="X83" t="s">
        <v>323</v>
      </c>
      <c r="Y83">
        <v>1</v>
      </c>
      <c r="Z83">
        <v>0.28318429382522198</v>
      </c>
      <c r="AA83">
        <v>0.56945642916197003</v>
      </c>
      <c r="AB83">
        <v>3.7698628972227502E-3</v>
      </c>
      <c r="AC83">
        <v>1822.2107908876901</v>
      </c>
      <c r="AD83">
        <v>2662.6059073104898</v>
      </c>
      <c r="AE83">
        <v>2401.5030938442701</v>
      </c>
      <c r="AF83">
        <v>5</v>
      </c>
      <c r="AG83">
        <v>1.6497569194096201E-3</v>
      </c>
      <c r="AH83">
        <v>1.6689987798565299E-3</v>
      </c>
      <c r="AI83" s="53">
        <v>5.28589040482341E-6</v>
      </c>
      <c r="AJ83">
        <v>0</v>
      </c>
      <c r="AK83">
        <v>0</v>
      </c>
      <c r="AL83">
        <v>0</v>
      </c>
      <c r="AM83">
        <v>1.6104460290619601E-3</v>
      </c>
      <c r="AN83" s="53">
        <v>7.9511320807382698E-5</v>
      </c>
      <c r="AO83" s="53">
        <v>5.2489965417355999E-6</v>
      </c>
      <c r="AP83">
        <v>1.8118142403982199E-3</v>
      </c>
      <c r="AQ83">
        <v>7.3258478446211001E-2</v>
      </c>
      <c r="AR83" s="53">
        <v>1.7004149724062101E-6</v>
      </c>
      <c r="AS83" s="53">
        <v>-4.4892746204477899E-17</v>
      </c>
      <c r="AT83" s="53">
        <v>1.89301699315969E-16</v>
      </c>
      <c r="AU83" s="53">
        <v>-3.52775987641615E-20</v>
      </c>
      <c r="AV83">
        <v>0.200386563373979</v>
      </c>
      <c r="AW83">
        <v>99.302031251836993</v>
      </c>
      <c r="AX83">
        <v>500</v>
      </c>
      <c r="AY83">
        <v>95</v>
      </c>
      <c r="AZ83">
        <v>0.92356908198738696</v>
      </c>
      <c r="BA83">
        <v>0.1</v>
      </c>
      <c r="BB83">
        <v>46.089371784062003</v>
      </c>
      <c r="BC83" t="s">
        <v>251</v>
      </c>
      <c r="BD83">
        <v>1</v>
      </c>
      <c r="BE83">
        <v>1.8775014999999999E-2</v>
      </c>
      <c r="BF83">
        <v>0.10492961100000001</v>
      </c>
      <c r="BG83">
        <v>1.814625E-3</v>
      </c>
      <c r="BH83">
        <v>285.1951444</v>
      </c>
      <c r="BI83">
        <v>2169.8944889999998</v>
      </c>
      <c r="BJ83">
        <v>866.49409060000005</v>
      </c>
      <c r="BK83">
        <f t="shared" si="121"/>
        <v>100</v>
      </c>
      <c r="BL83">
        <f t="shared" si="122"/>
        <v>10.953557168032999</v>
      </c>
      <c r="BM83">
        <f t="shared" si="123"/>
        <v>92.356908198738694</v>
      </c>
      <c r="BN83">
        <f t="shared" si="124"/>
        <v>20.038656337397899</v>
      </c>
      <c r="BO83">
        <f t="shared" si="125"/>
        <v>3.9432805804918796</v>
      </c>
      <c r="BP83">
        <f t="shared" si="126"/>
        <v>0.262885372032792</v>
      </c>
      <c r="BQ83">
        <f t="shared" si="127"/>
        <v>1.3144268601639599</v>
      </c>
      <c r="BR83">
        <f t="shared" si="128"/>
        <v>0.65721343008197997</v>
      </c>
      <c r="BS83">
        <f t="shared" si="129"/>
        <v>1.0953557168032999</v>
      </c>
      <c r="BT83">
        <f t="shared" si="130"/>
        <v>6.5721343008197994</v>
      </c>
      <c r="BU83">
        <f t="shared" si="131"/>
        <v>17.525691468852798</v>
      </c>
      <c r="BV83">
        <f t="shared" si="174"/>
        <v>5.4767785840164995</v>
      </c>
      <c r="BW83">
        <f t="shared" si="132"/>
        <v>86.880129614722193</v>
      </c>
      <c r="BX83">
        <f t="shared" si="133"/>
        <v>103.31046536677169</v>
      </c>
      <c r="BY83">
        <f t="shared" si="175"/>
        <v>92.356908198738694</v>
      </c>
      <c r="BZ83">
        <f t="shared" si="176"/>
        <v>1.5334980035246197</v>
      </c>
      <c r="CA83">
        <f>7963.6*(BT83/1000)^0.6*1.7*('CAPEX+OPEX'!$G$116/'CAPEX+OPEX'!$G$115)</f>
        <v>783.18576571869824</v>
      </c>
      <c r="CB83">
        <f>7963.6*(BU83/1000)^0.6*1.7*('CAPEX+OPEX'!$G$116/'CAPEX+OPEX'!$G$115)</f>
        <v>1410.7368962988378</v>
      </c>
      <c r="CC83">
        <f>7963.6*(BX83/1000)^0.6*1.7*('CAPEX+OPEX'!$G$116/'CAPEX+OPEX'!$G$115)</f>
        <v>4090.0396535036848</v>
      </c>
      <c r="CD83">
        <f>7963.6*(BY83/1000)^0.6*1.7*('CAPEX+OPEX'!$G$116/'CAPEX+OPEX'!$G$115)</f>
        <v>3824.0411702856813</v>
      </c>
      <c r="CE83">
        <v>300</v>
      </c>
      <c r="CF83">
        <v>30</v>
      </c>
      <c r="CG83">
        <f t="shared" si="134"/>
        <v>7.2139162814632432</v>
      </c>
      <c r="CH83">
        <f t="shared" si="135"/>
        <v>0.48092775209754962</v>
      </c>
      <c r="CI83">
        <f t="shared" si="136"/>
        <v>2.4046387604877477</v>
      </c>
      <c r="CJ83">
        <f t="shared" si="137"/>
        <v>1.2023193802438739</v>
      </c>
      <c r="CK83">
        <f t="shared" si="138"/>
        <v>2.0038656337397902</v>
      </c>
      <c r="CL83">
        <f t="shared" si="139"/>
        <v>12.023193802438739</v>
      </c>
      <c r="CM83">
        <f t="shared" si="140"/>
        <v>32.061850139836643</v>
      </c>
      <c r="CN83">
        <f t="shared" si="177"/>
        <v>10.01932816869895</v>
      </c>
      <c r="CO83">
        <v>0</v>
      </c>
      <c r="CP83">
        <f t="shared" si="141"/>
        <v>30.057984506096851</v>
      </c>
      <c r="CQ83">
        <f t="shared" si="178"/>
        <v>10.01932816869895</v>
      </c>
      <c r="CR83">
        <f t="shared" si="179"/>
        <v>2.8054118872357061</v>
      </c>
      <c r="CS83">
        <f>7963.6*(CL83/1000)^0.6*1.7*('CAPEX+OPEX'!$G$116/'CAPEX+OPEX'!$G$115)</f>
        <v>1125.2598841288723</v>
      </c>
      <c r="CT83">
        <f>7963.6*(CM83/1000)^0.6*1.7*('CAPEX+OPEX'!$G$116/'CAPEX+OPEX'!$G$115)</f>
        <v>2026.9081818779234</v>
      </c>
      <c r="CU83">
        <f>7963.6*(CP83/1000)^0.6*1.7*('CAPEX+OPEX'!$G$116/'CAPEX+OPEX'!$G$115)</f>
        <v>1949.920214733213</v>
      </c>
      <c r="CV83">
        <f>7963.6*(CQ83/1000)^0.6*1.7*('CAPEX+OPEX'!$G$116/'CAPEX+OPEX'!$G$115)</f>
        <v>1008.6583515739416</v>
      </c>
      <c r="CW83">
        <v>300</v>
      </c>
      <c r="CX83">
        <f t="shared" si="142"/>
        <v>30</v>
      </c>
      <c r="CY83">
        <f t="shared" si="143"/>
        <v>10</v>
      </c>
      <c r="CZ83">
        <f t="shared" si="144"/>
        <v>9.2356908198738701</v>
      </c>
      <c r="DA83">
        <f t="shared" si="145"/>
        <v>3960</v>
      </c>
      <c r="DB83">
        <f t="shared" si="146"/>
        <v>3960</v>
      </c>
      <c r="DC83">
        <f>CF83*'Reagent cost'!$C$18/1000*'Reagent cost'!$H$18</f>
        <v>4784.413580611521</v>
      </c>
      <c r="DD83">
        <f>CX83*'Ligand cost'!$B$56*'Ligand cost'!$J$56</f>
        <v>30543.831958072875</v>
      </c>
      <c r="DE83">
        <f t="shared" si="147"/>
        <v>39625.826528698344</v>
      </c>
      <c r="DF83">
        <f t="shared" si="148"/>
        <v>4586243.4239371875</v>
      </c>
      <c r="DG83">
        <f t="shared" si="149"/>
        <v>11794834.586807497</v>
      </c>
      <c r="DH83">
        <f t="shared" si="150"/>
        <v>2275209.1661185985</v>
      </c>
      <c r="DI83">
        <f t="shared" si="151"/>
        <v>14083914.336508472</v>
      </c>
      <c r="DJ83">
        <f t="shared" si="152"/>
        <v>1662824.8986326549</v>
      </c>
      <c r="DK83" s="55">
        <f>DF83*($BK$2/10000)^0.72*0.6*((A83+1)/3)^0.6*('CAPEX+OPEX'!$G$116/'CAPEX+OPEX'!$G$114)</f>
        <v>535704.1899239067</v>
      </c>
      <c r="DL83" s="55">
        <f>DG83*($BK$2/10000)^0.72*0.6*((A83+1)/3)^0.6*('CAPEX+OPEX'!$G$116/'CAPEX+OPEX'!$G$114)</f>
        <v>1377716.2970969954</v>
      </c>
      <c r="DM83" s="55">
        <f>DH83*($BK$2/10000)^0.72*0.6*((A83+1)/3)^0.6*('CAPEX+OPEX'!$G$116/'CAPEX+OPEX'!$G$114)</f>
        <v>265759.78869361128</v>
      </c>
      <c r="DN83" s="55">
        <f>DI83*($BK$2/10000)^0.72*0.6*((A83+1)/3)^0.6*('CAPEX+OPEX'!$G$116/'CAPEX+OPEX'!$G$114)</f>
        <v>1645096.2635820836</v>
      </c>
      <c r="DO83" s="55">
        <f>DJ83*($BK$2/10000)^0.72*0.6*((A83+1)/3)^0.6*('CAPEX+OPEX'!$G$116/'CAPEX+OPEX'!$G$114)</f>
        <v>194229.17254195639</v>
      </c>
      <c r="DP83">
        <f t="shared" si="153"/>
        <v>4018505.7118385537</v>
      </c>
      <c r="DQ83">
        <f>DF83*(BM83/10000)^0.72*0.6*((AF83+1)/3)^0.6*('CAPEX+OPEX'!$G$116/'CAPEX+OPEX'!$G$114)</f>
        <v>333768.23604056775</v>
      </c>
      <c r="DR83">
        <f>DG83*(BM83/10000)^0.72*0.6*((AF83+1)/3)^0.6*('CAPEX+OPEX'!$G$116/'CAPEX+OPEX'!$G$114)</f>
        <v>858380.3279786252</v>
      </c>
      <c r="DS83">
        <f>DH83*(BM83/10000)^0.72*0.6*((AF83+1)/3)^0.6*('CAPEX+OPEX'!$G$116/'CAPEX+OPEX'!$G$114)</f>
        <v>165580.51542471637</v>
      </c>
      <c r="DT83">
        <f>DI83*(BM83/10000)^0.72*0.6*((AF83+1)/3)^0.6*('CAPEX+OPEX'!$G$116/'CAPEX+OPEX'!$G$114)</f>
        <v>1024970.28834274</v>
      </c>
      <c r="DU83">
        <f>DJ83*(BM83/10000)^0.72*0.6*((AF83+1)/3)^0.6*('CAPEX+OPEX'!$G$116/'CAPEX+OPEX'!$G$114)</f>
        <v>121013.66673304565</v>
      </c>
      <c r="DV83">
        <f t="shared" si="154"/>
        <v>2503713.0345196947</v>
      </c>
      <c r="DW83">
        <f t="shared" si="155"/>
        <v>6590605.7913635746</v>
      </c>
      <c r="DX83">
        <f t="shared" si="156"/>
        <v>439373.71942423831</v>
      </c>
      <c r="DY83">
        <f>BO83*'Reagent cost'!$C$35*60*7200</f>
        <v>1021377.4064438964</v>
      </c>
      <c r="DZ83">
        <f>BP83*'Reagent cost'!$C$34*60*7200</f>
        <v>243033.40440168275</v>
      </c>
      <c r="EA83">
        <f>BQ83*'Reagent cost'!$C$14*'Reagent cost'!$C$36/1000*60*7200</f>
        <v>4028478.5833555758</v>
      </c>
      <c r="EB83">
        <f t="shared" si="157"/>
        <v>39.6</v>
      </c>
      <c r="EC83">
        <f t="shared" si="158"/>
        <v>95.688271612230423</v>
      </c>
      <c r="ED83">
        <f>0.1*BK83*60*7200*'Reagent cost'!$H$17*'Reagent cost'!$C$17/1000</f>
        <v>504921.59999999998</v>
      </c>
      <c r="EE83">
        <f>BV83*0.1*'Reagent cost'!$C$16/1000*'Reagent cost'!$H$16*60*7200</f>
        <v>999361.370636379</v>
      </c>
      <c r="EF83">
        <f>BZ83/1000*'Reagent cost'!$H$19*'Reagent cost'!$C$19*60*7200</f>
        <v>83968.216680994068</v>
      </c>
      <c r="EG83">
        <f>0.33*('Costing 100 Lmin Feed Orig'!BO83*'Reagent cost'!$C$13+'Costing 100 Lmin Feed Orig'!BP83*'Reagent cost'!$C$12+'Costing 100 Lmin Feed Orig'!BQ83*'Reagent cost'!$C$14+'Costing 100 Lmin Feed Orig'!BV83*0.1*'Reagent cost'!$C$16+'Costing 100 Lmin Feed Orig'!BZ83*'Reagent cost'!$C$19)/1000*60*7200</f>
        <v>171796.84138996803</v>
      </c>
      <c r="EH83">
        <f>CG83*'Reagent cost'!$C$35*60*7200</f>
        <v>1868528.2346672968</v>
      </c>
      <c r="EI83">
        <f>CH83*'Reagent cost'!$C$34*60*7200</f>
        <v>444610.16586703178</v>
      </c>
      <c r="EJ83">
        <f>CI83*'Reagent cost'!$C$14*'Reagent cost'!$C$36/1000*60*7200</f>
        <v>7369779.2101747207</v>
      </c>
      <c r="EK83">
        <f t="shared" si="159"/>
        <v>39.6</v>
      </c>
      <c r="EL83">
        <f t="shared" si="160"/>
        <v>610.87663916145755</v>
      </c>
      <c r="EM83">
        <f>0.1*BM83*60*7200*'Reagent cost'!$H$17*'Reagent cost'!$C$17/1000</f>
        <v>466329.97858760261</v>
      </c>
      <c r="EN83">
        <f>CN83*0.1*'Reagent cost'!$C$16/1000*'Reagent cost'!$H$16*60*7200</f>
        <v>1828251.658876356</v>
      </c>
      <c r="EO83">
        <f>CR83/1000*'Reagent cost'!$H$19*'Reagent cost'!$C$19*60*7200</f>
        <v>153613.13329747834</v>
      </c>
      <c r="EP83">
        <f>0.33*(CG83*'Reagent cost'!$C$13+CH83*'Reagent cost'!$C$12+CI83*'Reagent cost'!$C$14+CN83*0.1*'Reagent cost'!$C$16+CR83*'Reagent cost'!$C$19)/1000*60*7200</f>
        <v>314288.57417304476</v>
      </c>
      <c r="EQ83">
        <f t="shared" si="161"/>
        <v>22815646.473479744</v>
      </c>
      <c r="ER83">
        <f t="shared" si="162"/>
        <v>486085.41556301282</v>
      </c>
      <c r="ES83">
        <f t="shared" si="163"/>
        <v>49536.497143418172</v>
      </c>
      <c r="ET83">
        <f t="shared" si="164"/>
        <v>49831.318766753509</v>
      </c>
      <c r="EU83">
        <f t="shared" si="165"/>
        <v>21097.937381085154</v>
      </c>
      <c r="EV83">
        <f t="shared" si="166"/>
        <v>11176.166036369152</v>
      </c>
      <c r="EW83">
        <f t="shared" si="167"/>
        <v>11252.233269912085</v>
      </c>
      <c r="EX83">
        <f t="shared" si="168"/>
        <v>142894.15259753808</v>
      </c>
      <c r="EY83">
        <f t="shared" si="180"/>
        <v>30856.373984067617</v>
      </c>
      <c r="EZ83">
        <f t="shared" si="181"/>
        <v>23276.312502761884</v>
      </c>
      <c r="FA83">
        <f t="shared" si="182"/>
        <v>9854.8903741532158</v>
      </c>
      <c r="FB83">
        <f t="shared" si="183"/>
        <v>5223.316690816886</v>
      </c>
      <c r="FC83">
        <f t="shared" si="184"/>
        <v>5255.9415328817167</v>
      </c>
      <c r="FD83">
        <f t="shared" si="169"/>
        <v>74466.835084681326</v>
      </c>
      <c r="FE83">
        <f t="shared" si="170"/>
        <v>23519092.876724977</v>
      </c>
      <c r="FF83">
        <f t="shared" si="171"/>
        <v>23958466.596149214</v>
      </c>
      <c r="FG83">
        <f>BM83*AM83*195.08/1000*'PGM market prices'!$C$2*60*7200</f>
        <v>422797634.63545585</v>
      </c>
      <c r="FH83">
        <f>BN83*AQ83*BA83*106.42/1000*'PGM market prices'!$C$3*60*7200</f>
        <v>222239355.6559796</v>
      </c>
      <c r="FI83">
        <f>BK83*J83*102.91/1000*'PGM market prices'!$C$4*60*7200</f>
        <v>247606657.18542153</v>
      </c>
      <c r="FJ83">
        <f t="shared" si="172"/>
        <v>892643647.47685695</v>
      </c>
      <c r="FK83">
        <f t="shared" si="173"/>
        <v>642827033.85172367</v>
      </c>
      <c r="FL83">
        <f t="shared" si="185"/>
        <v>0.55459413417012071</v>
      </c>
      <c r="FM83">
        <f t="shared" si="186"/>
        <v>1911.379678182228</v>
      </c>
      <c r="FN83">
        <f t="shared" si="187"/>
        <v>3549.9768893086894</v>
      </c>
      <c r="FO83">
        <f t="shared" si="188"/>
        <v>15960.2183863098</v>
      </c>
    </row>
    <row r="84" spans="1:171">
      <c r="A84">
        <v>11</v>
      </c>
      <c r="B84">
        <v>1.54143585092054E-3</v>
      </c>
      <c r="C84">
        <v>1.54143585092054E-3</v>
      </c>
      <c r="D84">
        <v>3.4254130020456501E-4</v>
      </c>
      <c r="E84">
        <v>0</v>
      </c>
      <c r="F84">
        <v>0</v>
      </c>
      <c r="G84">
        <v>0</v>
      </c>
      <c r="H84" s="53">
        <v>1.7771367359861701E-5</v>
      </c>
      <c r="I84" s="53">
        <v>1.8081057367328801E-10</v>
      </c>
      <c r="J84">
        <v>3.3765941525589702E-4</v>
      </c>
      <c r="K84">
        <v>0.139102253285185</v>
      </c>
      <c r="L84">
        <v>0.14072466572308701</v>
      </c>
      <c r="M84">
        <v>4.4568945720355099E-4</v>
      </c>
      <c r="N84" s="53">
        <v>-8.03393809811758E-16</v>
      </c>
      <c r="O84" s="53">
        <v>-8.4019770307808202E-13</v>
      </c>
      <c r="P84" s="53">
        <v>-2.26157796916898E-19</v>
      </c>
      <c r="Q84">
        <v>0.10953557168033</v>
      </c>
      <c r="R84">
        <v>98.5748039883795</v>
      </c>
      <c r="S84">
        <v>500</v>
      </c>
      <c r="T84">
        <v>95</v>
      </c>
      <c r="U84">
        <v>1</v>
      </c>
      <c r="V84">
        <v>0.1</v>
      </c>
      <c r="W84">
        <v>91.294543376138293</v>
      </c>
      <c r="X84" t="s">
        <v>323</v>
      </c>
      <c r="Y84">
        <v>1</v>
      </c>
      <c r="Z84">
        <v>0.28318429382522198</v>
      </c>
      <c r="AA84">
        <v>0.56945642916197003</v>
      </c>
      <c r="AB84">
        <v>3.7698628972227502E-3</v>
      </c>
      <c r="AC84">
        <v>1822.2107908876901</v>
      </c>
      <c r="AD84">
        <v>2662.6059073104898</v>
      </c>
      <c r="AE84">
        <v>2401.5030938442701</v>
      </c>
      <c r="AF84">
        <v>6</v>
      </c>
      <c r="AG84">
        <v>1.6497569194096201E-3</v>
      </c>
      <c r="AH84">
        <v>1.6689987798565299E-3</v>
      </c>
      <c r="AI84" s="53">
        <v>5.28589040482341E-6</v>
      </c>
      <c r="AJ84">
        <v>0</v>
      </c>
      <c r="AK84">
        <v>0</v>
      </c>
      <c r="AL84">
        <v>0</v>
      </c>
      <c r="AM84">
        <v>1.61212756517482E-3</v>
      </c>
      <c r="AN84" s="53">
        <v>7.9598306534484298E-5</v>
      </c>
      <c r="AO84" s="53">
        <v>5.2505128878875599E-6</v>
      </c>
      <c r="AP84">
        <v>1.7562199861538999E-3</v>
      </c>
      <c r="AQ84">
        <v>7.4179770926534203E-2</v>
      </c>
      <c r="AR84" s="53">
        <v>1.6511232671055801E-6</v>
      </c>
      <c r="AS84" s="53">
        <v>-1.8702487475374901E-18</v>
      </c>
      <c r="AT84" s="53">
        <v>-1.4853569763051401E-16</v>
      </c>
      <c r="AU84" s="53">
        <v>-1.8925892415213202E-21</v>
      </c>
      <c r="AV84">
        <v>0.197886986940187</v>
      </c>
      <c r="AW84">
        <v>99.330717925903897</v>
      </c>
      <c r="AX84">
        <v>500</v>
      </c>
      <c r="AY84">
        <v>95</v>
      </c>
      <c r="AZ84">
        <v>0.92356908198738696</v>
      </c>
      <c r="BA84">
        <v>0.1</v>
      </c>
      <c r="BB84">
        <v>46.671541988081501</v>
      </c>
      <c r="BC84" t="s">
        <v>251</v>
      </c>
      <c r="BD84">
        <v>1</v>
      </c>
      <c r="BE84">
        <v>1.8775014999999999E-2</v>
      </c>
      <c r="BF84">
        <v>0.10492961100000001</v>
      </c>
      <c r="BG84">
        <v>1.814625E-3</v>
      </c>
      <c r="BH84">
        <v>285.1951444</v>
      </c>
      <c r="BI84">
        <v>2169.8944889999998</v>
      </c>
      <c r="BJ84">
        <v>866.49409060000005</v>
      </c>
      <c r="BK84">
        <f t="shared" si="121"/>
        <v>100</v>
      </c>
      <c r="BL84">
        <f t="shared" si="122"/>
        <v>10.953557168032999</v>
      </c>
      <c r="BM84">
        <f t="shared" si="123"/>
        <v>92.356908198738694</v>
      </c>
      <c r="BN84">
        <f t="shared" si="124"/>
        <v>19.788698694018699</v>
      </c>
      <c r="BO84">
        <f t="shared" si="125"/>
        <v>3.9432805804918796</v>
      </c>
      <c r="BP84">
        <f t="shared" si="126"/>
        <v>0.262885372032792</v>
      </c>
      <c r="BQ84">
        <f t="shared" si="127"/>
        <v>1.3144268601639599</v>
      </c>
      <c r="BR84">
        <f t="shared" si="128"/>
        <v>0.65721343008197997</v>
      </c>
      <c r="BS84">
        <f t="shared" si="129"/>
        <v>1.0953557168032999</v>
      </c>
      <c r="BT84">
        <f t="shared" si="130"/>
        <v>6.5721343008197994</v>
      </c>
      <c r="BU84">
        <f t="shared" si="131"/>
        <v>17.525691468852798</v>
      </c>
      <c r="BV84">
        <f t="shared" si="174"/>
        <v>5.4767785840164995</v>
      </c>
      <c r="BW84">
        <f t="shared" si="132"/>
        <v>86.880129614722193</v>
      </c>
      <c r="BX84">
        <f t="shared" si="133"/>
        <v>103.31046536677169</v>
      </c>
      <c r="BY84">
        <f t="shared" si="175"/>
        <v>92.356908198738694</v>
      </c>
      <c r="BZ84">
        <f t="shared" si="176"/>
        <v>1.5334980035246197</v>
      </c>
      <c r="CA84">
        <f>7963.6*(BT84/1000)^0.6*1.7*('CAPEX+OPEX'!$G$116/'CAPEX+OPEX'!$G$115)</f>
        <v>783.18576571869824</v>
      </c>
      <c r="CB84">
        <f>7963.6*(BU84/1000)^0.6*1.7*('CAPEX+OPEX'!$G$116/'CAPEX+OPEX'!$G$115)</f>
        <v>1410.7368962988378</v>
      </c>
      <c r="CC84">
        <f>7963.6*(BX84/1000)^0.6*1.7*('CAPEX+OPEX'!$G$116/'CAPEX+OPEX'!$G$115)</f>
        <v>4090.0396535036848</v>
      </c>
      <c r="CD84">
        <f>7963.6*(BY84/1000)^0.6*1.7*('CAPEX+OPEX'!$G$116/'CAPEX+OPEX'!$G$115)</f>
        <v>3824.0411702856813</v>
      </c>
      <c r="CE84">
        <v>300</v>
      </c>
      <c r="CF84">
        <v>30</v>
      </c>
      <c r="CG84">
        <f t="shared" si="134"/>
        <v>7.1239315298467316</v>
      </c>
      <c r="CH84">
        <f t="shared" si="135"/>
        <v>0.47492876865644879</v>
      </c>
      <c r="CI84">
        <f t="shared" si="136"/>
        <v>2.3746438432822439</v>
      </c>
      <c r="CJ84">
        <f t="shared" si="137"/>
        <v>1.1873219216411219</v>
      </c>
      <c r="CK84">
        <f t="shared" si="138"/>
        <v>1.97886986940187</v>
      </c>
      <c r="CL84">
        <f t="shared" si="139"/>
        <v>11.873219216411218</v>
      </c>
      <c r="CM84">
        <f t="shared" si="140"/>
        <v>31.661917910429921</v>
      </c>
      <c r="CN84">
        <f t="shared" si="177"/>
        <v>9.8943493470093493</v>
      </c>
      <c r="CO84">
        <v>0</v>
      </c>
      <c r="CP84">
        <f t="shared" si="141"/>
        <v>29.683048041028048</v>
      </c>
      <c r="CQ84">
        <f t="shared" si="178"/>
        <v>9.8943493470093493</v>
      </c>
      <c r="CR84">
        <f t="shared" si="179"/>
        <v>2.7704178171626177</v>
      </c>
      <c r="CS84">
        <f>7963.6*(CL84/1000)^0.6*1.7*('CAPEX+OPEX'!$G$116/'CAPEX+OPEX'!$G$115)</f>
        <v>1116.8170091449367</v>
      </c>
      <c r="CT84">
        <f>7963.6*(CM84/1000)^0.6*1.7*('CAPEX+OPEX'!$G$116/'CAPEX+OPEX'!$G$115)</f>
        <v>2011.7001995932258</v>
      </c>
      <c r="CU84">
        <f>7963.6*(CP84/1000)^0.6*1.7*('CAPEX+OPEX'!$G$116/'CAPEX+OPEX'!$G$115)</f>
        <v>1935.2898765919167</v>
      </c>
      <c r="CV84">
        <f>7963.6*(CQ84/1000)^0.6*1.7*('CAPEX+OPEX'!$G$116/'CAPEX+OPEX'!$G$115)</f>
        <v>1001.0903430774561</v>
      </c>
      <c r="CW84">
        <v>300</v>
      </c>
      <c r="CX84">
        <f t="shared" si="142"/>
        <v>30</v>
      </c>
      <c r="CY84">
        <f t="shared" si="143"/>
        <v>10</v>
      </c>
      <c r="CZ84">
        <f t="shared" si="144"/>
        <v>9.2356908198738701</v>
      </c>
      <c r="DA84">
        <f t="shared" si="145"/>
        <v>3960</v>
      </c>
      <c r="DB84">
        <f t="shared" si="146"/>
        <v>3960</v>
      </c>
      <c r="DC84">
        <f>CF84*'Reagent cost'!$C$18/1000*'Reagent cost'!$H$18</f>
        <v>4784.413580611521</v>
      </c>
      <c r="DD84">
        <f>CX84*'Ligand cost'!$B$56*'Ligand cost'!$J$56</f>
        <v>30543.831958072875</v>
      </c>
      <c r="DE84">
        <f t="shared" si="147"/>
        <v>39625.826528698344</v>
      </c>
      <c r="DF84">
        <f t="shared" si="148"/>
        <v>4586243.4239371875</v>
      </c>
      <c r="DG84">
        <f t="shared" si="149"/>
        <v>11794834.586807497</v>
      </c>
      <c r="DH84">
        <f t="shared" si="150"/>
        <v>2275209.1661185985</v>
      </c>
      <c r="DI84">
        <f t="shared" si="151"/>
        <v>14083914.336508472</v>
      </c>
      <c r="DJ84">
        <f t="shared" si="152"/>
        <v>1662824.8986326549</v>
      </c>
      <c r="DK84" s="55">
        <f>DF84*($BK$2/10000)^0.72*0.6*((A84+1)/3)^0.6*('CAPEX+OPEX'!$G$116/'CAPEX+OPEX'!$G$114)</f>
        <v>535704.1899239067</v>
      </c>
      <c r="DL84" s="55">
        <f>DG84*($BK$2/10000)^0.72*0.6*((A84+1)/3)^0.6*('CAPEX+OPEX'!$G$116/'CAPEX+OPEX'!$G$114)</f>
        <v>1377716.2970969954</v>
      </c>
      <c r="DM84" s="55">
        <f>DH84*($BK$2/10000)^0.72*0.6*((A84+1)/3)^0.6*('CAPEX+OPEX'!$G$116/'CAPEX+OPEX'!$G$114)</f>
        <v>265759.78869361128</v>
      </c>
      <c r="DN84" s="55">
        <f>DI84*($BK$2/10000)^0.72*0.6*((A84+1)/3)^0.6*('CAPEX+OPEX'!$G$116/'CAPEX+OPEX'!$G$114)</f>
        <v>1645096.2635820836</v>
      </c>
      <c r="DO84" s="55">
        <f>DJ84*($BK$2/10000)^0.72*0.6*((A84+1)/3)^0.6*('CAPEX+OPEX'!$G$116/'CAPEX+OPEX'!$G$114)</f>
        <v>194229.17254195639</v>
      </c>
      <c r="DP84">
        <f t="shared" si="153"/>
        <v>4018505.7118385537</v>
      </c>
      <c r="DQ84">
        <f>DF84*(BM84/10000)^0.72*0.6*((AF84+1)/3)^0.6*('CAPEX+OPEX'!$G$116/'CAPEX+OPEX'!$G$114)</f>
        <v>366111.25255437737</v>
      </c>
      <c r="DR84">
        <f>DG84*(BM84/10000)^0.72*0.6*((AF84+1)/3)^0.6*('CAPEX+OPEX'!$G$116/'CAPEX+OPEX'!$G$114)</f>
        <v>941559.63063571707</v>
      </c>
      <c r="DS84">
        <f>DH84*(BM84/10000)^0.72*0.6*((AF84+1)/3)^0.6*('CAPEX+OPEX'!$G$116/'CAPEX+OPEX'!$G$114)</f>
        <v>181625.7011747942</v>
      </c>
      <c r="DT84">
        <f>DI84*(BM84/10000)^0.72*0.6*((AF84+1)/3)^0.6*('CAPEX+OPEX'!$G$116/'CAPEX+OPEX'!$G$114)</f>
        <v>1124292.5946091886</v>
      </c>
      <c r="DU84">
        <f>DJ84*(BM84/10000)^0.72*0.6*((AF84+1)/3)^0.6*('CAPEX+OPEX'!$G$116/'CAPEX+OPEX'!$G$114)</f>
        <v>132740.20808393633</v>
      </c>
      <c r="DV84">
        <f t="shared" si="154"/>
        <v>2746329.3870580136</v>
      </c>
      <c r="DW84">
        <f t="shared" si="155"/>
        <v>6833169.4173174007</v>
      </c>
      <c r="DX84">
        <f t="shared" si="156"/>
        <v>455544.62782116007</v>
      </c>
      <c r="DY84">
        <f>BO84*'Reagent cost'!$C$35*60*7200</f>
        <v>1021377.4064438964</v>
      </c>
      <c r="DZ84">
        <f>BP84*'Reagent cost'!$C$34*60*7200</f>
        <v>243033.40440168275</v>
      </c>
      <c r="EA84">
        <f>BQ84*'Reagent cost'!$C$14*'Reagent cost'!$C$36/1000*60*7200</f>
        <v>4028478.5833555758</v>
      </c>
      <c r="EB84">
        <f t="shared" si="157"/>
        <v>39.6</v>
      </c>
      <c r="EC84">
        <f t="shared" si="158"/>
        <v>95.688271612230423</v>
      </c>
      <c r="ED84">
        <f>0.1*BK84*60*7200*'Reagent cost'!$H$17*'Reagent cost'!$C$17/1000</f>
        <v>504921.59999999998</v>
      </c>
      <c r="EE84">
        <f>BV84*0.1*'Reagent cost'!$C$16/1000*'Reagent cost'!$H$16*60*7200</f>
        <v>999361.370636379</v>
      </c>
      <c r="EF84">
        <f>BZ84/1000*'Reagent cost'!$H$19*'Reagent cost'!$C$19*60*7200</f>
        <v>83968.216680994068</v>
      </c>
      <c r="EG84">
        <f>0.33*('Costing 100 Lmin Feed Orig'!BO84*'Reagent cost'!$C$13+'Costing 100 Lmin Feed Orig'!BP84*'Reagent cost'!$C$12+'Costing 100 Lmin Feed Orig'!BQ84*'Reagent cost'!$C$14+'Costing 100 Lmin Feed Orig'!BV84*0.1*'Reagent cost'!$C$16+'Costing 100 Lmin Feed Orig'!BZ84*'Reagent cost'!$C$19)/1000*60*7200</f>
        <v>171796.84138996803</v>
      </c>
      <c r="EH84">
        <f>CG84*'Reagent cost'!$C$35*60*7200</f>
        <v>1845220.6382765507</v>
      </c>
      <c r="EI84">
        <f>CH84*'Reagent cost'!$C$34*60*7200</f>
        <v>439064.19973979442</v>
      </c>
      <c r="EJ84">
        <f>CI84*'Reagent cost'!$C$14*'Reagent cost'!$C$36/1000*60*7200</f>
        <v>7277850.2598207835</v>
      </c>
      <c r="EK84">
        <f t="shared" si="159"/>
        <v>39.6</v>
      </c>
      <c r="EL84">
        <f t="shared" si="160"/>
        <v>610.87663916145755</v>
      </c>
      <c r="EM84">
        <f>0.1*BM84*60*7200*'Reagent cost'!$H$17*'Reagent cost'!$C$17/1000</f>
        <v>466329.97858760261</v>
      </c>
      <c r="EN84">
        <f>CN84*0.1*'Reagent cost'!$C$16/1000*'Reagent cost'!$H$16*60*7200</f>
        <v>1805446.4633351765</v>
      </c>
      <c r="EO84">
        <f>CR84/1000*'Reagent cost'!$H$19*'Reagent cost'!$C$19*60*7200</f>
        <v>151696.99799655628</v>
      </c>
      <c r="EP84">
        <f>0.33*(CG84*'Reagent cost'!$C$13+CH84*'Reagent cost'!$C$12+CI84*'Reagent cost'!$C$14+CN84*0.1*'Reagent cost'!$C$16+CR84*'Reagent cost'!$C$19)/1000*60*7200</f>
        <v>310368.20995208196</v>
      </c>
      <c r="EQ84">
        <f t="shared" si="161"/>
        <v>22641041.861022916</v>
      </c>
      <c r="ER84">
        <f t="shared" si="162"/>
        <v>482165.05134204996</v>
      </c>
      <c r="ES84">
        <f t="shared" si="163"/>
        <v>49536.497143418172</v>
      </c>
      <c r="ET84">
        <f t="shared" si="164"/>
        <v>49831.318766753509</v>
      </c>
      <c r="EU84">
        <f t="shared" si="165"/>
        <v>21097.937381085154</v>
      </c>
      <c r="EV84">
        <f t="shared" si="166"/>
        <v>11176.166036369152</v>
      </c>
      <c r="EW84">
        <f t="shared" si="167"/>
        <v>11252.233269912085</v>
      </c>
      <c r="EX84">
        <f t="shared" si="168"/>
        <v>142894.15259753808</v>
      </c>
      <c r="EY84">
        <f t="shared" si="180"/>
        <v>33427.738482739922</v>
      </c>
      <c r="EZ84">
        <f t="shared" si="181"/>
        <v>27155.697919888862</v>
      </c>
      <c r="FA84">
        <f t="shared" si="182"/>
        <v>11497.37210317875</v>
      </c>
      <c r="FB84">
        <f t="shared" si="183"/>
        <v>6093.8694726196991</v>
      </c>
      <c r="FC84">
        <f t="shared" si="184"/>
        <v>6131.9317883620024</v>
      </c>
      <c r="FD84">
        <f t="shared" si="169"/>
        <v>84306.609766789246</v>
      </c>
      <c r="FE84">
        <f t="shared" si="170"/>
        <v>23350407.674729295</v>
      </c>
      <c r="FF84">
        <f t="shared" si="171"/>
        <v>23805952.302550454</v>
      </c>
      <c r="FG84">
        <f>BM84*AM84*195.08/1000*'PGM market prices'!$C$2*60*7200</f>
        <v>423239095.86932617</v>
      </c>
      <c r="FH84">
        <f>BN84*AQ84*BA84*106.42/1000*'PGM market prices'!$C$3*60*7200</f>
        <v>222227193.46385333</v>
      </c>
      <c r="FI84">
        <f>BK84*J84*102.91/1000*'PGM market prices'!$C$4*60*7200</f>
        <v>247606657.18542153</v>
      </c>
      <c r="FJ84">
        <f t="shared" si="172"/>
        <v>893072946.51860094</v>
      </c>
      <c r="FK84">
        <f t="shared" si="173"/>
        <v>643257575.71987736</v>
      </c>
      <c r="FL84">
        <f t="shared" si="185"/>
        <v>0.5510637107071864</v>
      </c>
      <c r="FM84">
        <f t="shared" si="186"/>
        <v>1897.2312774063714</v>
      </c>
      <c r="FN84">
        <f t="shared" si="187"/>
        <v>3527.5715710779746</v>
      </c>
      <c r="FO84">
        <f t="shared" si="188"/>
        <v>15858.619169886608</v>
      </c>
    </row>
    <row r="85" spans="1:171">
      <c r="A85">
        <v>11</v>
      </c>
      <c r="B85">
        <v>1.54143585092054E-3</v>
      </c>
      <c r="C85">
        <v>1.54143585092054E-3</v>
      </c>
      <c r="D85">
        <v>3.4254130020456501E-4</v>
      </c>
      <c r="E85">
        <v>0</v>
      </c>
      <c r="F85">
        <v>0</v>
      </c>
      <c r="G85">
        <v>0</v>
      </c>
      <c r="H85" s="53">
        <v>1.7771367359861701E-5</v>
      </c>
      <c r="I85" s="53">
        <v>1.8081057367328801E-10</v>
      </c>
      <c r="J85">
        <v>3.3765941525589702E-4</v>
      </c>
      <c r="K85">
        <v>0.139102253285185</v>
      </c>
      <c r="L85">
        <v>0.14072466572308701</v>
      </c>
      <c r="M85">
        <v>4.4568945720355099E-4</v>
      </c>
      <c r="N85" s="53">
        <v>-8.03393809811758E-16</v>
      </c>
      <c r="O85" s="53">
        <v>-8.4019770307808202E-13</v>
      </c>
      <c r="P85" s="53">
        <v>-2.26157796916898E-19</v>
      </c>
      <c r="Q85">
        <v>0.10953557168033</v>
      </c>
      <c r="R85">
        <v>98.5748039883795</v>
      </c>
      <c r="S85">
        <v>500</v>
      </c>
      <c r="T85">
        <v>95</v>
      </c>
      <c r="U85">
        <v>1</v>
      </c>
      <c r="V85">
        <v>0.1</v>
      </c>
      <c r="W85">
        <v>91.294543376138293</v>
      </c>
      <c r="X85" t="s">
        <v>323</v>
      </c>
      <c r="Y85">
        <v>1</v>
      </c>
      <c r="Z85">
        <v>0.28318429382522198</v>
      </c>
      <c r="AA85">
        <v>0.56945642916197003</v>
      </c>
      <c r="AB85">
        <v>3.7698628972227502E-3</v>
      </c>
      <c r="AC85">
        <v>1822.2107908876901</v>
      </c>
      <c r="AD85">
        <v>2662.6059073104898</v>
      </c>
      <c r="AE85">
        <v>2401.5030938442701</v>
      </c>
      <c r="AF85">
        <v>7</v>
      </c>
      <c r="AG85">
        <v>1.6497569194096201E-3</v>
      </c>
      <c r="AH85">
        <v>1.6689987798565299E-3</v>
      </c>
      <c r="AI85" s="53">
        <v>5.28589040482341E-6</v>
      </c>
      <c r="AJ85">
        <v>0</v>
      </c>
      <c r="AK85">
        <v>0</v>
      </c>
      <c r="AL85">
        <v>0</v>
      </c>
      <c r="AM85">
        <v>1.6126163799612099E-3</v>
      </c>
      <c r="AN85" s="53">
        <v>7.9623592631732702E-5</v>
      </c>
      <c r="AO85" s="53">
        <v>5.2509536820161704E-6</v>
      </c>
      <c r="AP85">
        <v>1.7397945404161699E-3</v>
      </c>
      <c r="AQ85">
        <v>7.4451968508709498E-2</v>
      </c>
      <c r="AR85" s="53">
        <v>1.63655995585356E-6</v>
      </c>
      <c r="AS85" s="53">
        <v>-4.4791102250807402E-18</v>
      </c>
      <c r="AT85" s="53">
        <v>-1.66186508998578E-15</v>
      </c>
      <c r="AU85" s="53">
        <v>-5.8233515123733103E-21</v>
      </c>
      <c r="AV85">
        <v>0.19716037225109501</v>
      </c>
      <c r="AW85">
        <v>99.339056996426606</v>
      </c>
      <c r="AX85">
        <v>500</v>
      </c>
      <c r="AY85">
        <v>95</v>
      </c>
      <c r="AZ85">
        <v>0.92356908198738696</v>
      </c>
      <c r="BA85">
        <v>0.1</v>
      </c>
      <c r="BB85">
        <v>46.8435452541733</v>
      </c>
      <c r="BC85" t="s">
        <v>251</v>
      </c>
      <c r="BD85">
        <v>1</v>
      </c>
      <c r="BE85">
        <v>1.8775014999999999E-2</v>
      </c>
      <c r="BF85">
        <v>0.10492961100000001</v>
      </c>
      <c r="BG85">
        <v>1.814625E-3</v>
      </c>
      <c r="BH85">
        <v>285.1951444</v>
      </c>
      <c r="BI85">
        <v>2169.8944889999998</v>
      </c>
      <c r="BJ85">
        <v>866.49409060000005</v>
      </c>
      <c r="BK85">
        <f t="shared" si="121"/>
        <v>100</v>
      </c>
      <c r="BL85">
        <f t="shared" si="122"/>
        <v>10.953557168032999</v>
      </c>
      <c r="BM85">
        <f t="shared" si="123"/>
        <v>92.356908198738694</v>
      </c>
      <c r="BN85">
        <f t="shared" si="124"/>
        <v>19.716037225109499</v>
      </c>
      <c r="BO85">
        <f t="shared" si="125"/>
        <v>3.9432805804918796</v>
      </c>
      <c r="BP85">
        <f t="shared" si="126"/>
        <v>0.262885372032792</v>
      </c>
      <c r="BQ85">
        <f t="shared" si="127"/>
        <v>1.3144268601639599</v>
      </c>
      <c r="BR85">
        <f t="shared" si="128"/>
        <v>0.65721343008197997</v>
      </c>
      <c r="BS85">
        <f t="shared" si="129"/>
        <v>1.0953557168032999</v>
      </c>
      <c r="BT85">
        <f t="shared" si="130"/>
        <v>6.5721343008197994</v>
      </c>
      <c r="BU85">
        <f t="shared" si="131"/>
        <v>17.525691468852798</v>
      </c>
      <c r="BV85">
        <f t="shared" si="174"/>
        <v>5.4767785840164995</v>
      </c>
      <c r="BW85">
        <f t="shared" si="132"/>
        <v>86.880129614722193</v>
      </c>
      <c r="BX85">
        <f t="shared" si="133"/>
        <v>103.31046536677169</v>
      </c>
      <c r="BY85">
        <f t="shared" si="175"/>
        <v>92.356908198738694</v>
      </c>
      <c r="BZ85">
        <f t="shared" si="176"/>
        <v>1.5334980035246197</v>
      </c>
      <c r="CA85">
        <f>7963.6*(BT85/1000)^0.6*1.7*('CAPEX+OPEX'!$G$116/'CAPEX+OPEX'!$G$115)</f>
        <v>783.18576571869824</v>
      </c>
      <c r="CB85">
        <f>7963.6*(BU85/1000)^0.6*1.7*('CAPEX+OPEX'!$G$116/'CAPEX+OPEX'!$G$115)</f>
        <v>1410.7368962988378</v>
      </c>
      <c r="CC85">
        <f>7963.6*(BX85/1000)^0.6*1.7*('CAPEX+OPEX'!$G$116/'CAPEX+OPEX'!$G$115)</f>
        <v>4090.0396535036848</v>
      </c>
      <c r="CD85">
        <f>7963.6*(BY85/1000)^0.6*1.7*('CAPEX+OPEX'!$G$116/'CAPEX+OPEX'!$G$115)</f>
        <v>3824.0411702856813</v>
      </c>
      <c r="CE85">
        <v>300</v>
      </c>
      <c r="CF85">
        <v>30</v>
      </c>
      <c r="CG85">
        <f t="shared" si="134"/>
        <v>7.0977734010394196</v>
      </c>
      <c r="CH85">
        <f t="shared" si="135"/>
        <v>0.47318489340262798</v>
      </c>
      <c r="CI85">
        <f t="shared" si="136"/>
        <v>2.3659244670131399</v>
      </c>
      <c r="CJ85">
        <f t="shared" si="137"/>
        <v>1.1829622335065699</v>
      </c>
      <c r="CK85">
        <f t="shared" si="138"/>
        <v>1.97160372251095</v>
      </c>
      <c r="CL85">
        <f t="shared" si="139"/>
        <v>11.829622335065698</v>
      </c>
      <c r="CM85">
        <f t="shared" si="140"/>
        <v>31.545659560175199</v>
      </c>
      <c r="CN85">
        <f t="shared" si="177"/>
        <v>9.8580186125547495</v>
      </c>
      <c r="CO85">
        <v>0</v>
      </c>
      <c r="CP85">
        <f t="shared" si="141"/>
        <v>29.574055837664247</v>
      </c>
      <c r="CQ85">
        <f t="shared" si="178"/>
        <v>9.8580186125547495</v>
      </c>
      <c r="CR85">
        <f t="shared" si="179"/>
        <v>2.76024521151533</v>
      </c>
      <c r="CS85">
        <f>7963.6*(CL85/1000)^0.6*1.7*('CAPEX+OPEX'!$G$116/'CAPEX+OPEX'!$G$115)</f>
        <v>1114.3547170437919</v>
      </c>
      <c r="CT85">
        <f>7963.6*(CM85/1000)^0.6*1.7*('CAPEX+OPEX'!$G$116/'CAPEX+OPEX'!$G$115)</f>
        <v>2007.2649219508112</v>
      </c>
      <c r="CU85">
        <f>7963.6*(CP85/1000)^0.6*1.7*('CAPEX+OPEX'!$G$116/'CAPEX+OPEX'!$G$115)</f>
        <v>1931.0230639112913</v>
      </c>
      <c r="CV85">
        <f>7963.6*(CQ85/1000)^0.6*1.7*('CAPEX+OPEX'!$G$116/'CAPEX+OPEX'!$G$115)</f>
        <v>998.88319828640465</v>
      </c>
      <c r="CW85">
        <v>300</v>
      </c>
      <c r="CX85">
        <f t="shared" si="142"/>
        <v>30</v>
      </c>
      <c r="CY85">
        <f t="shared" si="143"/>
        <v>10</v>
      </c>
      <c r="CZ85">
        <f t="shared" si="144"/>
        <v>9.2356908198738701</v>
      </c>
      <c r="DA85">
        <f t="shared" si="145"/>
        <v>3960</v>
      </c>
      <c r="DB85">
        <f t="shared" si="146"/>
        <v>3960</v>
      </c>
      <c r="DC85">
        <f>CF85*'Reagent cost'!$C$18/1000*'Reagent cost'!$H$18</f>
        <v>4784.413580611521</v>
      </c>
      <c r="DD85">
        <f>CX85*'Ligand cost'!$B$56*'Ligand cost'!$J$56</f>
        <v>30543.831958072875</v>
      </c>
      <c r="DE85">
        <f t="shared" si="147"/>
        <v>39625.826528698344</v>
      </c>
      <c r="DF85">
        <f t="shared" si="148"/>
        <v>4586243.4239371875</v>
      </c>
      <c r="DG85">
        <f t="shared" si="149"/>
        <v>11794834.586807497</v>
      </c>
      <c r="DH85">
        <f t="shared" si="150"/>
        <v>2275209.1661185985</v>
      </c>
      <c r="DI85">
        <f t="shared" si="151"/>
        <v>14083914.336508472</v>
      </c>
      <c r="DJ85">
        <f t="shared" si="152"/>
        <v>1662824.8986326549</v>
      </c>
      <c r="DK85" s="55">
        <f>DF85*($BK$2/10000)^0.72*0.6*((A85+1)/3)^0.6*('CAPEX+OPEX'!$G$116/'CAPEX+OPEX'!$G$114)</f>
        <v>535704.1899239067</v>
      </c>
      <c r="DL85" s="55">
        <f>DG85*($BK$2/10000)^0.72*0.6*((A85+1)/3)^0.6*('CAPEX+OPEX'!$G$116/'CAPEX+OPEX'!$G$114)</f>
        <v>1377716.2970969954</v>
      </c>
      <c r="DM85" s="55">
        <f>DH85*($BK$2/10000)^0.72*0.6*((A85+1)/3)^0.6*('CAPEX+OPEX'!$G$116/'CAPEX+OPEX'!$G$114)</f>
        <v>265759.78869361128</v>
      </c>
      <c r="DN85" s="55">
        <f>DI85*($BK$2/10000)^0.72*0.6*((A85+1)/3)^0.6*('CAPEX+OPEX'!$G$116/'CAPEX+OPEX'!$G$114)</f>
        <v>1645096.2635820836</v>
      </c>
      <c r="DO85" s="55">
        <f>DJ85*($BK$2/10000)^0.72*0.6*((A85+1)/3)^0.6*('CAPEX+OPEX'!$G$116/'CAPEX+OPEX'!$G$114)</f>
        <v>194229.17254195639</v>
      </c>
      <c r="DP85">
        <f t="shared" si="153"/>
        <v>4018505.7118385537</v>
      </c>
      <c r="DQ85">
        <f>DF85*(BM85/10000)^0.72*0.6*((AF85+1)/3)^0.6*('CAPEX+OPEX'!$G$116/'CAPEX+OPEX'!$G$114)</f>
        <v>396650.71863792877</v>
      </c>
      <c r="DR85">
        <f>DG85*(BM85/10000)^0.72*0.6*((AF85+1)/3)^0.6*('CAPEX+OPEX'!$G$116/'CAPEX+OPEX'!$G$114)</f>
        <v>1020100.5883495744</v>
      </c>
      <c r="DS85">
        <f>DH85*(BM85/10000)^0.72*0.6*((AF85+1)/3)^0.6*('CAPEX+OPEX'!$G$116/'CAPEX+OPEX'!$G$114)</f>
        <v>196776.15585825141</v>
      </c>
      <c r="DT85">
        <f>DI85*(BM85/10000)^0.72*0.6*((AF85+1)/3)^0.6*('CAPEX+OPEX'!$G$116/'CAPEX+OPEX'!$G$114)</f>
        <v>1218076.3702279278</v>
      </c>
      <c r="DU85">
        <f>DJ85*(BM85/10000)^0.72*0.6*((AF85+1)/3)^0.6*('CAPEX+OPEX'!$G$116/'CAPEX+OPEX'!$G$114)</f>
        <v>143812.83984387064</v>
      </c>
      <c r="DV85">
        <f t="shared" si="154"/>
        <v>2975416.6729175528</v>
      </c>
      <c r="DW85">
        <f t="shared" si="155"/>
        <v>7062241.3259206433</v>
      </c>
      <c r="DX85">
        <f t="shared" si="156"/>
        <v>470816.08839470957</v>
      </c>
      <c r="DY85">
        <f>BO85*'Reagent cost'!$C$35*60*7200</f>
        <v>1021377.4064438964</v>
      </c>
      <c r="DZ85">
        <f>BP85*'Reagent cost'!$C$34*60*7200</f>
        <v>243033.40440168275</v>
      </c>
      <c r="EA85">
        <f>BQ85*'Reagent cost'!$C$14*'Reagent cost'!$C$36/1000*60*7200</f>
        <v>4028478.5833555758</v>
      </c>
      <c r="EB85">
        <f t="shared" si="157"/>
        <v>39.6</v>
      </c>
      <c r="EC85">
        <f t="shared" si="158"/>
        <v>95.688271612230423</v>
      </c>
      <c r="ED85">
        <f>0.1*BK85*60*7200*'Reagent cost'!$H$17*'Reagent cost'!$C$17/1000</f>
        <v>504921.59999999998</v>
      </c>
      <c r="EE85">
        <f>BV85*0.1*'Reagent cost'!$C$16/1000*'Reagent cost'!$H$16*60*7200</f>
        <v>999361.370636379</v>
      </c>
      <c r="EF85">
        <f>BZ85/1000*'Reagent cost'!$H$19*'Reagent cost'!$C$19*60*7200</f>
        <v>83968.216680994068</v>
      </c>
      <c r="EG85">
        <f>0.33*('Costing 100 Lmin Feed Orig'!BO85*'Reagent cost'!$C$13+'Costing 100 Lmin Feed Orig'!BP85*'Reagent cost'!$C$12+'Costing 100 Lmin Feed Orig'!BQ85*'Reagent cost'!$C$14+'Costing 100 Lmin Feed Orig'!BV85*0.1*'Reagent cost'!$C$16+'Costing 100 Lmin Feed Orig'!BZ85*'Reagent cost'!$C$19)/1000*60*7200</f>
        <v>171796.84138996803</v>
      </c>
      <c r="EH85">
        <f>CG85*'Reagent cost'!$C$35*60*7200</f>
        <v>1838445.2335815837</v>
      </c>
      <c r="EI85">
        <f>CH85*'Reagent cost'!$C$34*60*7200</f>
        <v>437452.01441160101</v>
      </c>
      <c r="EJ85">
        <f>CI85*'Reagent cost'!$C$14*'Reagent cost'!$C$36/1000*60*7200</f>
        <v>7251126.9619144062</v>
      </c>
      <c r="EK85">
        <f t="shared" si="159"/>
        <v>39.6</v>
      </c>
      <c r="EL85">
        <f t="shared" si="160"/>
        <v>610.87663916145755</v>
      </c>
      <c r="EM85">
        <f>0.1*BM85*60*7200*'Reagent cost'!$H$17*'Reagent cost'!$C$17/1000</f>
        <v>466329.97858760261</v>
      </c>
      <c r="EN85">
        <f>CN85*0.1*'Reagent cost'!$C$16/1000*'Reagent cost'!$H$16*60*7200</f>
        <v>1798817.1041190245</v>
      </c>
      <c r="EO85">
        <f>CR85/1000*'Reagent cost'!$H$19*'Reagent cost'!$C$19*60*7200</f>
        <v>151139.98680173341</v>
      </c>
      <c r="EP85">
        <f>0.33*(CG85*'Reagent cost'!$C$13+CH85*'Reagent cost'!$C$12+CI85*'Reagent cost'!$C$14+CN85*0.1*'Reagent cost'!$C$16+CR85*'Reagent cost'!$C$19)/1000*60*7200</f>
        <v>309228.57917663053</v>
      </c>
      <c r="EQ85">
        <f t="shared" si="161"/>
        <v>22590285.151014302</v>
      </c>
      <c r="ER85">
        <f t="shared" si="162"/>
        <v>481025.42056659854</v>
      </c>
      <c r="ES85">
        <f t="shared" si="163"/>
        <v>49536.497143418172</v>
      </c>
      <c r="ET85">
        <f t="shared" si="164"/>
        <v>49831.318766753509</v>
      </c>
      <c r="EU85">
        <f t="shared" si="165"/>
        <v>21097.937381085154</v>
      </c>
      <c r="EV85">
        <f t="shared" si="166"/>
        <v>11176.166036369152</v>
      </c>
      <c r="EW85">
        <f t="shared" si="167"/>
        <v>11252.233269912085</v>
      </c>
      <c r="EX85">
        <f t="shared" si="168"/>
        <v>142894.15259753808</v>
      </c>
      <c r="EY85">
        <f t="shared" si="180"/>
        <v>35999.102981412223</v>
      </c>
      <c r="EZ85">
        <f t="shared" si="181"/>
        <v>31035.083337015851</v>
      </c>
      <c r="FA85">
        <f t="shared" si="182"/>
        <v>13139.85383220429</v>
      </c>
      <c r="FB85">
        <f t="shared" si="183"/>
        <v>6964.4222544225158</v>
      </c>
      <c r="FC85">
        <f t="shared" si="184"/>
        <v>7007.9220438422899</v>
      </c>
      <c r="FD85">
        <f t="shared" si="169"/>
        <v>94146.384448897181</v>
      </c>
      <c r="FE85">
        <f t="shared" si="170"/>
        <v>23308351.108627338</v>
      </c>
      <c r="FF85">
        <f t="shared" si="171"/>
        <v>23779167.197022047</v>
      </c>
      <c r="FG85">
        <f>BM85*AM85*195.08/1000*'PGM market prices'!$C$2*60*7200</f>
        <v>423367426.61231971</v>
      </c>
      <c r="FH85">
        <f>BN85*AQ85*BA85*106.42/1000*'PGM market prices'!$C$3*60*7200</f>
        <v>222223658.006203</v>
      </c>
      <c r="FI85">
        <f>BK85*J85*102.91/1000*'PGM market prices'!$C$4*60*7200</f>
        <v>247606657.18542153</v>
      </c>
      <c r="FJ85">
        <f t="shared" si="172"/>
        <v>893197741.80394411</v>
      </c>
      <c r="FK85">
        <f t="shared" si="173"/>
        <v>643369745.2091223</v>
      </c>
      <c r="FL85">
        <f t="shared" si="185"/>
        <v>0.55044368511625108</v>
      </c>
      <c r="FM85">
        <f t="shared" si="186"/>
        <v>1894.5221805859867</v>
      </c>
      <c r="FN85">
        <f t="shared" si="187"/>
        <v>3523.6586064881672</v>
      </c>
      <c r="FO85">
        <f t="shared" si="188"/>
        <v>15840.775952249196</v>
      </c>
    </row>
    <row r="86" spans="1:171">
      <c r="A86">
        <v>11</v>
      </c>
      <c r="B86">
        <v>1.54143585092054E-3</v>
      </c>
      <c r="C86">
        <v>1.54143585092054E-3</v>
      </c>
      <c r="D86">
        <v>3.4254130020456501E-4</v>
      </c>
      <c r="E86">
        <v>0</v>
      </c>
      <c r="F86">
        <v>0</v>
      </c>
      <c r="G86">
        <v>0</v>
      </c>
      <c r="H86" s="53">
        <v>1.7771367359861701E-5</v>
      </c>
      <c r="I86" s="53">
        <v>1.8081057367328801E-10</v>
      </c>
      <c r="J86">
        <v>3.3765941525589702E-4</v>
      </c>
      <c r="K86">
        <v>0.139102253285185</v>
      </c>
      <c r="L86">
        <v>0.14072466572308701</v>
      </c>
      <c r="M86">
        <v>4.4568945720355099E-4</v>
      </c>
      <c r="N86" s="53">
        <v>-8.03393809811758E-16</v>
      </c>
      <c r="O86" s="53">
        <v>-8.4019770307808202E-13</v>
      </c>
      <c r="P86" s="53">
        <v>-2.26157796916898E-19</v>
      </c>
      <c r="Q86">
        <v>0.10953557168033</v>
      </c>
      <c r="R86">
        <v>98.5748039883795</v>
      </c>
      <c r="S86">
        <v>500</v>
      </c>
      <c r="T86">
        <v>95</v>
      </c>
      <c r="U86">
        <v>1</v>
      </c>
      <c r="V86">
        <v>0.1</v>
      </c>
      <c r="W86">
        <v>91.294543376138293</v>
      </c>
      <c r="X86" t="s">
        <v>323</v>
      </c>
      <c r="Y86">
        <v>1</v>
      </c>
      <c r="Z86">
        <v>0.28318429382522198</v>
      </c>
      <c r="AA86">
        <v>0.56945642916197003</v>
      </c>
      <c r="AB86">
        <v>3.7698628972227502E-3</v>
      </c>
      <c r="AC86">
        <v>1822.2107908876901</v>
      </c>
      <c r="AD86">
        <v>2662.6059073104898</v>
      </c>
      <c r="AE86">
        <v>2401.5030938442701</v>
      </c>
      <c r="AF86">
        <v>8</v>
      </c>
      <c r="AG86">
        <v>1.6497569194096201E-3</v>
      </c>
      <c r="AH86">
        <v>1.6689987798565299E-3</v>
      </c>
      <c r="AI86" s="53">
        <v>5.28589040482341E-6</v>
      </c>
      <c r="AJ86">
        <v>0</v>
      </c>
      <c r="AK86">
        <v>0</v>
      </c>
      <c r="AL86">
        <v>0</v>
      </c>
      <c r="AM86">
        <v>1.6127556677607399E-3</v>
      </c>
      <c r="AN86" s="53">
        <v>7.9630797964244996E-5</v>
      </c>
      <c r="AO86" s="53">
        <v>5.2510792863207299E-6</v>
      </c>
      <c r="AP86">
        <v>1.7350919198262601E-3</v>
      </c>
      <c r="AQ86">
        <v>7.4529898928506394E-2</v>
      </c>
      <c r="AR86" s="53">
        <v>1.6323904665746701E-6</v>
      </c>
      <c r="AS86" s="53">
        <v>5.0343369338741403E-15</v>
      </c>
      <c r="AT86" s="53">
        <v>-1.17148695258362E-12</v>
      </c>
      <c r="AU86" s="53">
        <v>2.5583041985040001E-20</v>
      </c>
      <c r="AV86">
        <v>0.19695332346498701</v>
      </c>
      <c r="AW86">
        <v>99.341433214905294</v>
      </c>
      <c r="AX86">
        <v>500</v>
      </c>
      <c r="AY86">
        <v>95</v>
      </c>
      <c r="AZ86">
        <v>0.92356908198738696</v>
      </c>
      <c r="BA86">
        <v>0.1</v>
      </c>
      <c r="BB86">
        <v>46.892789912812503</v>
      </c>
      <c r="BC86" t="s">
        <v>251</v>
      </c>
      <c r="BD86">
        <v>1</v>
      </c>
      <c r="BE86">
        <v>1.8775014999999999E-2</v>
      </c>
      <c r="BF86">
        <v>0.10492961100000001</v>
      </c>
      <c r="BG86">
        <v>1.814625E-3</v>
      </c>
      <c r="BH86">
        <v>285.1951444</v>
      </c>
      <c r="BI86">
        <v>2169.8944889999998</v>
      </c>
      <c r="BJ86">
        <v>866.49409060000005</v>
      </c>
      <c r="BK86">
        <f t="shared" si="121"/>
        <v>100</v>
      </c>
      <c r="BL86">
        <f t="shared" si="122"/>
        <v>10.953557168032999</v>
      </c>
      <c r="BM86">
        <f t="shared" si="123"/>
        <v>92.356908198738694</v>
      </c>
      <c r="BN86">
        <f t="shared" si="124"/>
        <v>19.695332346498702</v>
      </c>
      <c r="BO86">
        <f t="shared" si="125"/>
        <v>3.9432805804918796</v>
      </c>
      <c r="BP86">
        <f t="shared" si="126"/>
        <v>0.262885372032792</v>
      </c>
      <c r="BQ86">
        <f t="shared" si="127"/>
        <v>1.3144268601639599</v>
      </c>
      <c r="BR86">
        <f t="shared" si="128"/>
        <v>0.65721343008197997</v>
      </c>
      <c r="BS86">
        <f t="shared" si="129"/>
        <v>1.0953557168032999</v>
      </c>
      <c r="BT86">
        <f t="shared" si="130"/>
        <v>6.5721343008197994</v>
      </c>
      <c r="BU86">
        <f t="shared" si="131"/>
        <v>17.525691468852798</v>
      </c>
      <c r="BV86">
        <f t="shared" si="174"/>
        <v>5.4767785840164995</v>
      </c>
      <c r="BW86">
        <f t="shared" si="132"/>
        <v>86.880129614722193</v>
      </c>
      <c r="BX86">
        <f t="shared" si="133"/>
        <v>103.31046536677169</v>
      </c>
      <c r="BY86">
        <f t="shared" si="175"/>
        <v>92.356908198738694</v>
      </c>
      <c r="BZ86">
        <f t="shared" si="176"/>
        <v>1.5334980035246197</v>
      </c>
      <c r="CA86">
        <f>7963.6*(BT86/1000)^0.6*1.7*('CAPEX+OPEX'!$G$116/'CAPEX+OPEX'!$G$115)</f>
        <v>783.18576571869824</v>
      </c>
      <c r="CB86">
        <f>7963.6*(BU86/1000)^0.6*1.7*('CAPEX+OPEX'!$G$116/'CAPEX+OPEX'!$G$115)</f>
        <v>1410.7368962988378</v>
      </c>
      <c r="CC86">
        <f>7963.6*(BX86/1000)^0.6*1.7*('CAPEX+OPEX'!$G$116/'CAPEX+OPEX'!$G$115)</f>
        <v>4090.0396535036848</v>
      </c>
      <c r="CD86">
        <f>7963.6*(BY86/1000)^0.6*1.7*('CAPEX+OPEX'!$G$116/'CAPEX+OPEX'!$G$115)</f>
        <v>3824.0411702856813</v>
      </c>
      <c r="CE86">
        <v>300</v>
      </c>
      <c r="CF86">
        <v>30</v>
      </c>
      <c r="CG86">
        <f t="shared" si="134"/>
        <v>7.0903196447395329</v>
      </c>
      <c r="CH86">
        <f t="shared" si="135"/>
        <v>0.47268797631596887</v>
      </c>
      <c r="CI86">
        <f t="shared" si="136"/>
        <v>2.3634398815798443</v>
      </c>
      <c r="CJ86">
        <f t="shared" si="137"/>
        <v>1.1817199407899222</v>
      </c>
      <c r="CK86">
        <f t="shared" si="138"/>
        <v>1.9695332346498704</v>
      </c>
      <c r="CL86">
        <f t="shared" si="139"/>
        <v>11.817199407899221</v>
      </c>
      <c r="CM86">
        <f t="shared" si="140"/>
        <v>31.512531754397926</v>
      </c>
      <c r="CN86">
        <f t="shared" si="177"/>
        <v>9.8476661732493511</v>
      </c>
      <c r="CO86">
        <v>0</v>
      </c>
      <c r="CP86">
        <f t="shared" si="141"/>
        <v>29.542998519748053</v>
      </c>
      <c r="CQ86">
        <f t="shared" si="178"/>
        <v>9.8476661732493511</v>
      </c>
      <c r="CR86">
        <f t="shared" si="179"/>
        <v>2.7573465285098182</v>
      </c>
      <c r="CS86">
        <f>7963.6*(CL86/1000)^0.6*1.7*('CAPEX+OPEX'!$G$116/'CAPEX+OPEX'!$G$115)</f>
        <v>1113.6524229505617</v>
      </c>
      <c r="CT86">
        <f>7963.6*(CM86/1000)^0.6*1.7*('CAPEX+OPEX'!$G$116/'CAPEX+OPEX'!$G$115)</f>
        <v>2005.9998936104885</v>
      </c>
      <c r="CU86">
        <f>7963.6*(CP86/1000)^0.6*1.7*('CAPEX+OPEX'!$G$116/'CAPEX+OPEX'!$G$115)</f>
        <v>1929.8060850885408</v>
      </c>
      <c r="CV86">
        <f>7963.6*(CQ86/1000)^0.6*1.7*('CAPEX+OPEX'!$G$116/'CAPEX+OPEX'!$G$115)</f>
        <v>998.2536772198597</v>
      </c>
      <c r="CW86">
        <v>300</v>
      </c>
      <c r="CX86">
        <f t="shared" si="142"/>
        <v>30</v>
      </c>
      <c r="CY86">
        <f t="shared" si="143"/>
        <v>10</v>
      </c>
      <c r="CZ86">
        <f t="shared" si="144"/>
        <v>9.2356908198738701</v>
      </c>
      <c r="DA86">
        <f t="shared" si="145"/>
        <v>3960</v>
      </c>
      <c r="DB86">
        <f t="shared" si="146"/>
        <v>3960</v>
      </c>
      <c r="DC86">
        <f>CF86*'Reagent cost'!$C$18/1000*'Reagent cost'!$H$18</f>
        <v>4784.413580611521</v>
      </c>
      <c r="DD86">
        <f>CX86*'Ligand cost'!$B$56*'Ligand cost'!$J$56</f>
        <v>30543.831958072875</v>
      </c>
      <c r="DE86">
        <f t="shared" si="147"/>
        <v>39625.826528698344</v>
      </c>
      <c r="DF86">
        <f t="shared" si="148"/>
        <v>4586243.4239371875</v>
      </c>
      <c r="DG86">
        <f t="shared" si="149"/>
        <v>11794834.586807497</v>
      </c>
      <c r="DH86">
        <f t="shared" si="150"/>
        <v>2275209.1661185985</v>
      </c>
      <c r="DI86">
        <f t="shared" si="151"/>
        <v>14083914.336508472</v>
      </c>
      <c r="DJ86">
        <f t="shared" si="152"/>
        <v>1662824.8986326549</v>
      </c>
      <c r="DK86" s="55">
        <f>DF86*($BK$2/10000)^0.72*0.6*((A86+1)/3)^0.6*('CAPEX+OPEX'!$G$116/'CAPEX+OPEX'!$G$114)</f>
        <v>535704.1899239067</v>
      </c>
      <c r="DL86" s="55">
        <f>DG86*($BK$2/10000)^0.72*0.6*((A86+1)/3)^0.6*('CAPEX+OPEX'!$G$116/'CAPEX+OPEX'!$G$114)</f>
        <v>1377716.2970969954</v>
      </c>
      <c r="DM86" s="55">
        <f>DH86*($BK$2/10000)^0.72*0.6*((A86+1)/3)^0.6*('CAPEX+OPEX'!$G$116/'CAPEX+OPEX'!$G$114)</f>
        <v>265759.78869361128</v>
      </c>
      <c r="DN86" s="55">
        <f>DI86*($BK$2/10000)^0.72*0.6*((A86+1)/3)^0.6*('CAPEX+OPEX'!$G$116/'CAPEX+OPEX'!$G$114)</f>
        <v>1645096.2635820836</v>
      </c>
      <c r="DO86" s="55">
        <f>DJ86*($BK$2/10000)^0.72*0.6*((A86+1)/3)^0.6*('CAPEX+OPEX'!$G$116/'CAPEX+OPEX'!$G$114)</f>
        <v>194229.17254195639</v>
      </c>
      <c r="DP86">
        <f t="shared" si="153"/>
        <v>4018505.7118385537</v>
      </c>
      <c r="DQ86">
        <f>DF86*(BM86/10000)^0.72*0.6*((AF86+1)/3)^0.6*('CAPEX+OPEX'!$G$116/'CAPEX+OPEX'!$G$114)</f>
        <v>425696.18577679218</v>
      </c>
      <c r="DR86">
        <f>DG86*(BM86/10000)^0.72*0.6*((AF86+1)/3)^0.6*('CAPEX+OPEX'!$G$116/'CAPEX+OPEX'!$G$114)</f>
        <v>1094799.3011591409</v>
      </c>
      <c r="DS86">
        <f>DH86*(BM86/10000)^0.72*0.6*((AF86+1)/3)^0.6*('CAPEX+OPEX'!$G$116/'CAPEX+OPEX'!$G$114)</f>
        <v>211185.44619892997</v>
      </c>
      <c r="DT86">
        <f>DI86*(BM86/10000)^0.72*0.6*((AF86+1)/3)^0.6*('CAPEX+OPEX'!$G$116/'CAPEX+OPEX'!$G$114)</f>
        <v>1307272.2181658123</v>
      </c>
      <c r="DU86">
        <f>DJ86*(BM86/10000)^0.72*0.6*((AF86+1)/3)^0.6*('CAPEX+OPEX'!$G$116/'CAPEX+OPEX'!$G$114)</f>
        <v>154343.79546189064</v>
      </c>
      <c r="DV86">
        <f t="shared" si="154"/>
        <v>3193296.946762566</v>
      </c>
      <c r="DW86">
        <f t="shared" si="155"/>
        <v>7280117.2138699852</v>
      </c>
      <c r="DX86">
        <f t="shared" si="156"/>
        <v>485341.14759133232</v>
      </c>
      <c r="DY86">
        <f>BO86*'Reagent cost'!$C$35*60*7200</f>
        <v>1021377.4064438964</v>
      </c>
      <c r="DZ86">
        <f>BP86*'Reagent cost'!$C$34*60*7200</f>
        <v>243033.40440168275</v>
      </c>
      <c r="EA86">
        <f>BQ86*'Reagent cost'!$C$14*'Reagent cost'!$C$36/1000*60*7200</f>
        <v>4028478.5833555758</v>
      </c>
      <c r="EB86">
        <f t="shared" si="157"/>
        <v>39.6</v>
      </c>
      <c r="EC86">
        <f t="shared" si="158"/>
        <v>95.688271612230423</v>
      </c>
      <c r="ED86">
        <f>0.1*BK86*60*7200*'Reagent cost'!$H$17*'Reagent cost'!$C$17/1000</f>
        <v>504921.59999999998</v>
      </c>
      <c r="EE86">
        <f>BV86*0.1*'Reagent cost'!$C$16/1000*'Reagent cost'!$H$16*60*7200</f>
        <v>999361.370636379</v>
      </c>
      <c r="EF86">
        <f>BZ86/1000*'Reagent cost'!$H$19*'Reagent cost'!$C$19*60*7200</f>
        <v>83968.216680994068</v>
      </c>
      <c r="EG86">
        <f>0.33*('Costing 100 Lmin Feed Orig'!BO86*'Reagent cost'!$C$13+'Costing 100 Lmin Feed Orig'!BP86*'Reagent cost'!$C$12+'Costing 100 Lmin Feed Orig'!BQ86*'Reagent cost'!$C$14+'Costing 100 Lmin Feed Orig'!BV86*0.1*'Reagent cost'!$C$16+'Costing 100 Lmin Feed Orig'!BZ86*'Reagent cost'!$C$19)/1000*60*7200</f>
        <v>171796.84138996803</v>
      </c>
      <c r="EH86">
        <f>CG86*'Reagent cost'!$C$35*60*7200</f>
        <v>1836514.5826622685</v>
      </c>
      <c r="EI86">
        <f>CH86*'Reagent cost'!$C$34*60*7200</f>
        <v>436992.62235664454</v>
      </c>
      <c r="EJ86">
        <f>CI86*'Reagent cost'!$C$14*'Reagent cost'!$C$36/1000*60*7200</f>
        <v>7243512.1607338367</v>
      </c>
      <c r="EK86">
        <f t="shared" si="159"/>
        <v>39.6</v>
      </c>
      <c r="EL86">
        <f t="shared" si="160"/>
        <v>610.87663916145755</v>
      </c>
      <c r="EM86">
        <f>0.1*BM86*60*7200*'Reagent cost'!$H$17*'Reagent cost'!$C$17/1000</f>
        <v>466329.97858760261</v>
      </c>
      <c r="EN86">
        <f>CN86*0.1*'Reagent cost'!$C$16/1000*'Reagent cost'!$H$16*60*7200</f>
        <v>1796928.0688449189</v>
      </c>
      <c r="EO86">
        <f>CR86/1000*'Reagent cost'!$H$19*'Reagent cost'!$C$19*60*7200</f>
        <v>150981.26651508361</v>
      </c>
      <c r="EP86">
        <f>0.33*(CG86*'Reagent cost'!$C$13+CH86*'Reagent cost'!$C$12+CI86*'Reagent cost'!$C$14+CN86*0.1*'Reagent cost'!$C$16+CR86*'Reagent cost'!$C$19)/1000*60*7200</f>
        <v>308903.84149624687</v>
      </c>
      <c r="EQ86">
        <f t="shared" si="161"/>
        <v>22575822.031355586</v>
      </c>
      <c r="ER86">
        <f t="shared" si="162"/>
        <v>480700.68288621493</v>
      </c>
      <c r="ES86">
        <f t="shared" si="163"/>
        <v>49536.497143418172</v>
      </c>
      <c r="ET86">
        <f t="shared" si="164"/>
        <v>49831.318766753509</v>
      </c>
      <c r="EU86">
        <f t="shared" si="165"/>
        <v>21097.937381085154</v>
      </c>
      <c r="EV86">
        <f t="shared" si="166"/>
        <v>11176.166036369152</v>
      </c>
      <c r="EW86">
        <f t="shared" si="167"/>
        <v>11252.233269912085</v>
      </c>
      <c r="EX86">
        <f t="shared" si="168"/>
        <v>142894.15259753808</v>
      </c>
      <c r="EY86">
        <f t="shared" si="180"/>
        <v>38570.467480084517</v>
      </c>
      <c r="EZ86">
        <f t="shared" si="181"/>
        <v>34914.468754142828</v>
      </c>
      <c r="FA86">
        <f t="shared" si="182"/>
        <v>14782.335561229824</v>
      </c>
      <c r="FB86">
        <f t="shared" si="183"/>
        <v>7834.9750362253289</v>
      </c>
      <c r="FC86">
        <f t="shared" si="184"/>
        <v>7883.9122993225756</v>
      </c>
      <c r="FD86">
        <f t="shared" si="169"/>
        <v>103986.15913100507</v>
      </c>
      <c r="FE86">
        <f t="shared" si="170"/>
        <v>23303403.025970347</v>
      </c>
      <c r="FF86">
        <f t="shared" si="171"/>
        <v>23788744.173561681</v>
      </c>
      <c r="FG86">
        <f>BM86*AM86*195.08/1000*'PGM market prices'!$C$2*60*7200</f>
        <v>423403994.46440047</v>
      </c>
      <c r="FH86">
        <f>BN86*AQ86*BA86*106.42/1000*'PGM market prices'!$C$3*60*7200</f>
        <v>222222650.74631634</v>
      </c>
      <c r="FI86">
        <f>BK86*J86*102.91/1000*'PGM market prices'!$C$4*60*7200</f>
        <v>247606657.18542153</v>
      </c>
      <c r="FJ86">
        <f t="shared" si="172"/>
        <v>893233302.39613843</v>
      </c>
      <c r="FK86">
        <f t="shared" si="173"/>
        <v>643388973.08470678</v>
      </c>
      <c r="FL86">
        <f t="shared" si="185"/>
        <v>0.55066537438800189</v>
      </c>
      <c r="FM86">
        <f t="shared" si="186"/>
        <v>1895.121503937876</v>
      </c>
      <c r="FN86">
        <f t="shared" si="187"/>
        <v>3525.093725667065</v>
      </c>
      <c r="FO86">
        <f t="shared" si="188"/>
        <v>15847.155769439905</v>
      </c>
    </row>
    <row r="87" spans="1:171">
      <c r="A87">
        <v>11</v>
      </c>
      <c r="B87">
        <v>1.54143585092054E-3</v>
      </c>
      <c r="C87">
        <v>1.54143585092054E-3</v>
      </c>
      <c r="D87">
        <v>3.4254130020456501E-4</v>
      </c>
      <c r="E87">
        <v>0</v>
      </c>
      <c r="F87">
        <v>0</v>
      </c>
      <c r="G87">
        <v>0</v>
      </c>
      <c r="H87" s="53">
        <v>1.7771367359861701E-5</v>
      </c>
      <c r="I87" s="53">
        <v>1.8081057367328801E-10</v>
      </c>
      <c r="J87">
        <v>3.3765941525589702E-4</v>
      </c>
      <c r="K87">
        <v>0.139102253285185</v>
      </c>
      <c r="L87">
        <v>0.14072466572308701</v>
      </c>
      <c r="M87">
        <v>4.4568945720355099E-4</v>
      </c>
      <c r="N87" s="53">
        <v>-8.03393809811758E-16</v>
      </c>
      <c r="O87" s="53">
        <v>-8.4019770307808202E-13</v>
      </c>
      <c r="P87" s="53">
        <v>-2.26157796916898E-19</v>
      </c>
      <c r="Q87">
        <v>0.10953557168033</v>
      </c>
      <c r="R87">
        <v>98.5748039883795</v>
      </c>
      <c r="S87">
        <v>500</v>
      </c>
      <c r="T87">
        <v>95</v>
      </c>
      <c r="U87">
        <v>1</v>
      </c>
      <c r="V87">
        <v>0.1</v>
      </c>
      <c r="W87">
        <v>91.294543376138293</v>
      </c>
      <c r="X87" t="s">
        <v>323</v>
      </c>
      <c r="Y87">
        <v>1</v>
      </c>
      <c r="Z87">
        <v>0.28318429382522198</v>
      </c>
      <c r="AA87">
        <v>0.56945642916197003</v>
      </c>
      <c r="AB87">
        <v>3.7698628972227502E-3</v>
      </c>
      <c r="AC87">
        <v>1822.2107908876901</v>
      </c>
      <c r="AD87">
        <v>2662.6059073104898</v>
      </c>
      <c r="AE87">
        <v>2401.5030938442701</v>
      </c>
      <c r="AF87">
        <v>9</v>
      </c>
      <c r="AG87">
        <v>1.6497569194096201E-3</v>
      </c>
      <c r="AH87">
        <v>1.6689987798565299E-3</v>
      </c>
      <c r="AI87" s="53">
        <v>5.28589040482341E-6</v>
      </c>
      <c r="AJ87">
        <v>0</v>
      </c>
      <c r="AK87">
        <v>0</v>
      </c>
      <c r="AL87">
        <v>0</v>
      </c>
      <c r="AM87">
        <v>1.6127950089356499E-3</v>
      </c>
      <c r="AN87" s="53">
        <v>7.9632833043740095E-5</v>
      </c>
      <c r="AO87" s="53">
        <v>5.2511147626523301E-6</v>
      </c>
      <c r="AP87">
        <v>1.7337618973110201E-3</v>
      </c>
      <c r="AQ87">
        <v>7.4551939662868896E-2</v>
      </c>
      <c r="AR87" s="53">
        <v>1.6312112273867399E-6</v>
      </c>
      <c r="AS87" s="53">
        <v>3.6795111228726801E-17</v>
      </c>
      <c r="AT87" s="53">
        <v>-4.8355416892853498E-15</v>
      </c>
      <c r="AU87" s="53">
        <v>-1.38304598418866E-21</v>
      </c>
      <c r="AV87">
        <v>0.19689484339142299</v>
      </c>
      <c r="AW87">
        <v>99.342104366383694</v>
      </c>
      <c r="AX87">
        <v>500</v>
      </c>
      <c r="AY87">
        <v>95</v>
      </c>
      <c r="AZ87">
        <v>0.92356908198738696</v>
      </c>
      <c r="BA87">
        <v>0.1</v>
      </c>
      <c r="BB87">
        <v>46.906717620397401</v>
      </c>
      <c r="BC87" t="s">
        <v>251</v>
      </c>
      <c r="BD87">
        <v>1</v>
      </c>
      <c r="BE87">
        <v>1.8775014999999999E-2</v>
      </c>
      <c r="BF87">
        <v>0.10492961100000001</v>
      </c>
      <c r="BG87">
        <v>1.814625E-3</v>
      </c>
      <c r="BH87">
        <v>285.1951444</v>
      </c>
      <c r="BI87">
        <v>2169.8944889999998</v>
      </c>
      <c r="BJ87">
        <v>866.49409060000005</v>
      </c>
      <c r="BK87">
        <f t="shared" si="121"/>
        <v>100</v>
      </c>
      <c r="BL87">
        <f t="shared" si="122"/>
        <v>10.953557168032999</v>
      </c>
      <c r="BM87">
        <f t="shared" si="123"/>
        <v>92.356908198738694</v>
      </c>
      <c r="BN87">
        <f t="shared" si="124"/>
        <v>19.6894843391423</v>
      </c>
      <c r="BO87">
        <f t="shared" si="125"/>
        <v>3.9432805804918796</v>
      </c>
      <c r="BP87">
        <f t="shared" si="126"/>
        <v>0.262885372032792</v>
      </c>
      <c r="BQ87">
        <f t="shared" si="127"/>
        <v>1.3144268601639599</v>
      </c>
      <c r="BR87">
        <f t="shared" si="128"/>
        <v>0.65721343008197997</v>
      </c>
      <c r="BS87">
        <f t="shared" si="129"/>
        <v>1.0953557168032999</v>
      </c>
      <c r="BT87">
        <f t="shared" si="130"/>
        <v>6.5721343008197994</v>
      </c>
      <c r="BU87">
        <f t="shared" si="131"/>
        <v>17.525691468852798</v>
      </c>
      <c r="BV87">
        <f t="shared" si="174"/>
        <v>5.4767785840164995</v>
      </c>
      <c r="BW87">
        <f t="shared" si="132"/>
        <v>86.880129614722193</v>
      </c>
      <c r="BX87">
        <f t="shared" si="133"/>
        <v>103.31046536677169</v>
      </c>
      <c r="BY87">
        <f t="shared" si="175"/>
        <v>92.356908198738694</v>
      </c>
      <c r="BZ87">
        <f t="shared" si="176"/>
        <v>1.5334980035246197</v>
      </c>
      <c r="CA87">
        <f>7963.6*(BT87/1000)^0.6*1.7*('CAPEX+OPEX'!$G$116/'CAPEX+OPEX'!$G$115)</f>
        <v>783.18576571869824</v>
      </c>
      <c r="CB87">
        <f>7963.6*(BU87/1000)^0.6*1.7*('CAPEX+OPEX'!$G$116/'CAPEX+OPEX'!$G$115)</f>
        <v>1410.7368962988378</v>
      </c>
      <c r="CC87">
        <f>7963.6*(BX87/1000)^0.6*1.7*('CAPEX+OPEX'!$G$116/'CAPEX+OPEX'!$G$115)</f>
        <v>4090.0396535036848</v>
      </c>
      <c r="CD87">
        <f>7963.6*(BY87/1000)^0.6*1.7*('CAPEX+OPEX'!$G$116/'CAPEX+OPEX'!$G$115)</f>
        <v>3824.0411702856813</v>
      </c>
      <c r="CE87">
        <v>300</v>
      </c>
      <c r="CF87">
        <v>30</v>
      </c>
      <c r="CG87">
        <f t="shared" si="134"/>
        <v>7.0882143620912279</v>
      </c>
      <c r="CH87">
        <f t="shared" si="135"/>
        <v>0.4725476241394152</v>
      </c>
      <c r="CI87">
        <f t="shared" si="136"/>
        <v>2.3627381206970761</v>
      </c>
      <c r="CJ87">
        <f t="shared" si="137"/>
        <v>1.1813690603485381</v>
      </c>
      <c r="CK87">
        <f t="shared" si="138"/>
        <v>1.96894843391423</v>
      </c>
      <c r="CL87">
        <f t="shared" si="139"/>
        <v>11.81369060348538</v>
      </c>
      <c r="CM87">
        <f t="shared" si="140"/>
        <v>31.50317494262768</v>
      </c>
      <c r="CN87">
        <f t="shared" si="177"/>
        <v>9.8447421695711501</v>
      </c>
      <c r="CO87">
        <v>0</v>
      </c>
      <c r="CP87">
        <f t="shared" si="141"/>
        <v>29.534226508713452</v>
      </c>
      <c r="CQ87">
        <f t="shared" si="178"/>
        <v>9.8447421695711501</v>
      </c>
      <c r="CR87">
        <f t="shared" si="179"/>
        <v>2.7565278074799218</v>
      </c>
      <c r="CS87">
        <f>7963.6*(CL87/1000)^0.6*1.7*('CAPEX+OPEX'!$G$116/'CAPEX+OPEX'!$G$115)</f>
        <v>1113.4540094101592</v>
      </c>
      <c r="CT87">
        <f>7963.6*(CM87/1000)^0.6*1.7*('CAPEX+OPEX'!$G$116/'CAPEX+OPEX'!$G$115)</f>
        <v>2005.6424952582406</v>
      </c>
      <c r="CU87">
        <f>7963.6*(CP87/1000)^0.6*1.7*('CAPEX+OPEX'!$G$116/'CAPEX+OPEX'!$G$115)</f>
        <v>1929.4622617826842</v>
      </c>
      <c r="CV87">
        <f>7963.6*(CQ87/1000)^0.6*1.7*('CAPEX+OPEX'!$G$116/'CAPEX+OPEX'!$G$115)</f>
        <v>998.07582366139241</v>
      </c>
      <c r="CW87">
        <v>300</v>
      </c>
      <c r="CX87">
        <f t="shared" si="142"/>
        <v>30</v>
      </c>
      <c r="CY87">
        <f t="shared" si="143"/>
        <v>10</v>
      </c>
      <c r="CZ87">
        <f t="shared" si="144"/>
        <v>9.2356908198738701</v>
      </c>
      <c r="DA87">
        <f t="shared" si="145"/>
        <v>3960</v>
      </c>
      <c r="DB87">
        <f t="shared" si="146"/>
        <v>3960</v>
      </c>
      <c r="DC87">
        <f>CF87*'Reagent cost'!$C$18/1000*'Reagent cost'!$H$18</f>
        <v>4784.413580611521</v>
      </c>
      <c r="DD87">
        <f>CX87*'Ligand cost'!$B$56*'Ligand cost'!$J$56</f>
        <v>30543.831958072875</v>
      </c>
      <c r="DE87">
        <f t="shared" si="147"/>
        <v>39625.826528698344</v>
      </c>
      <c r="DF87">
        <f t="shared" si="148"/>
        <v>4586243.4239371875</v>
      </c>
      <c r="DG87">
        <f t="shared" si="149"/>
        <v>11794834.586807497</v>
      </c>
      <c r="DH87">
        <f t="shared" si="150"/>
        <v>2275209.1661185985</v>
      </c>
      <c r="DI87">
        <f t="shared" si="151"/>
        <v>14083914.336508472</v>
      </c>
      <c r="DJ87">
        <f t="shared" si="152"/>
        <v>1662824.8986326549</v>
      </c>
      <c r="DK87" s="55">
        <f>DF87*($BK$2/10000)^0.72*0.6*((A87+1)/3)^0.6*('CAPEX+OPEX'!$G$116/'CAPEX+OPEX'!$G$114)</f>
        <v>535704.1899239067</v>
      </c>
      <c r="DL87" s="55">
        <f>DG87*($BK$2/10000)^0.72*0.6*((A87+1)/3)^0.6*('CAPEX+OPEX'!$G$116/'CAPEX+OPEX'!$G$114)</f>
        <v>1377716.2970969954</v>
      </c>
      <c r="DM87" s="55">
        <f>DH87*($BK$2/10000)^0.72*0.6*((A87+1)/3)^0.6*('CAPEX+OPEX'!$G$116/'CAPEX+OPEX'!$G$114)</f>
        <v>265759.78869361128</v>
      </c>
      <c r="DN87" s="55">
        <f>DI87*($BK$2/10000)^0.72*0.6*((A87+1)/3)^0.6*('CAPEX+OPEX'!$G$116/'CAPEX+OPEX'!$G$114)</f>
        <v>1645096.2635820836</v>
      </c>
      <c r="DO87" s="55">
        <f>DJ87*($BK$2/10000)^0.72*0.6*((A87+1)/3)^0.6*('CAPEX+OPEX'!$G$116/'CAPEX+OPEX'!$G$114)</f>
        <v>194229.17254195639</v>
      </c>
      <c r="DP87">
        <f t="shared" si="153"/>
        <v>4018505.7118385537</v>
      </c>
      <c r="DQ87">
        <f>DF87*(BM87/10000)^0.72*0.6*((AF87+1)/3)^0.6*('CAPEX+OPEX'!$G$116/'CAPEX+OPEX'!$G$114)</f>
        <v>453475.9437093233</v>
      </c>
      <c r="DR87">
        <f>DG87*(BM87/10000)^0.72*0.6*((AF87+1)/3)^0.6*('CAPEX+OPEX'!$G$116/'CAPEX+OPEX'!$G$114)</f>
        <v>1166242.8813157456</v>
      </c>
      <c r="DS87">
        <f>DH87*(BM87/10000)^0.72*0.6*((AF87+1)/3)^0.6*('CAPEX+OPEX'!$G$116/'CAPEX+OPEX'!$G$114)</f>
        <v>224966.82543204332</v>
      </c>
      <c r="DT87">
        <f>DI87*(BM87/10000)^0.72*0.6*((AF87+1)/3)^0.6*('CAPEX+OPEX'!$G$116/'CAPEX+OPEX'!$G$114)</f>
        <v>1392581.1943463292</v>
      </c>
      <c r="DU87">
        <f>DJ87*(BM87/10000)^0.72*0.6*((AF87+1)/3)^0.6*('CAPEX+OPEX'!$G$116/'CAPEX+OPEX'!$G$114)</f>
        <v>164415.84548154383</v>
      </c>
      <c r="DV87">
        <f t="shared" si="154"/>
        <v>3401682.6902849851</v>
      </c>
      <c r="DW87">
        <f t="shared" si="155"/>
        <v>7488501.7182803331</v>
      </c>
      <c r="DX87">
        <f t="shared" si="156"/>
        <v>499233.44788535556</v>
      </c>
      <c r="DY87">
        <f>BO87*'Reagent cost'!$C$35*60*7200</f>
        <v>1021377.4064438964</v>
      </c>
      <c r="DZ87">
        <f>BP87*'Reagent cost'!$C$34*60*7200</f>
        <v>243033.40440168275</v>
      </c>
      <c r="EA87">
        <f>BQ87*'Reagent cost'!$C$14*'Reagent cost'!$C$36/1000*60*7200</f>
        <v>4028478.5833555758</v>
      </c>
      <c r="EB87">
        <f t="shared" si="157"/>
        <v>39.6</v>
      </c>
      <c r="EC87">
        <f t="shared" si="158"/>
        <v>95.688271612230423</v>
      </c>
      <c r="ED87">
        <f>0.1*BK87*60*7200*'Reagent cost'!$H$17*'Reagent cost'!$C$17/1000</f>
        <v>504921.59999999998</v>
      </c>
      <c r="EE87">
        <f>BV87*0.1*'Reagent cost'!$C$16/1000*'Reagent cost'!$H$16*60*7200</f>
        <v>999361.370636379</v>
      </c>
      <c r="EF87">
        <f>BZ87/1000*'Reagent cost'!$H$19*'Reagent cost'!$C$19*60*7200</f>
        <v>83968.216680994068</v>
      </c>
      <c r="EG87">
        <f>0.33*('Costing 100 Lmin Feed Orig'!BO87*'Reagent cost'!$C$13+'Costing 100 Lmin Feed Orig'!BP87*'Reagent cost'!$C$12+'Costing 100 Lmin Feed Orig'!BQ87*'Reagent cost'!$C$14+'Costing 100 Lmin Feed Orig'!BV87*0.1*'Reagent cost'!$C$16+'Costing 100 Lmin Feed Orig'!BZ87*'Reagent cost'!$C$19)/1000*60*7200</f>
        <v>171796.84138996803</v>
      </c>
      <c r="EH87">
        <f>CG87*'Reagent cost'!$C$35*60*7200</f>
        <v>1835969.2782926543</v>
      </c>
      <c r="EI87">
        <f>CH87*'Reagent cost'!$C$34*60*7200</f>
        <v>436862.86897014291</v>
      </c>
      <c r="EJ87">
        <f>CI87*'Reagent cost'!$C$14*'Reagent cost'!$C$36/1000*60*7200</f>
        <v>7241361.3916248474</v>
      </c>
      <c r="EK87">
        <f t="shared" si="159"/>
        <v>39.6</v>
      </c>
      <c r="EL87">
        <f t="shared" si="160"/>
        <v>610.87663916145755</v>
      </c>
      <c r="EM87">
        <f>0.1*BM87*60*7200*'Reagent cost'!$H$17*'Reagent cost'!$C$17/1000</f>
        <v>466329.97858760261</v>
      </c>
      <c r="EN87">
        <f>CN87*0.1*'Reagent cost'!$C$16/1000*'Reagent cost'!$H$16*60*7200</f>
        <v>1796394.5186422283</v>
      </c>
      <c r="EO87">
        <f>CR87/1000*'Reagent cost'!$H$19*'Reagent cost'!$C$19*60*7200</f>
        <v>150936.43662637059</v>
      </c>
      <c r="EP87">
        <f>0.33*(CG87*'Reagent cost'!$C$13+CH87*'Reagent cost'!$C$12+CI87*'Reagent cost'!$C$14+CN87*0.1*'Reagent cost'!$C$16+CR87*'Reagent cost'!$C$19)/1000*60*7200</f>
        <v>308812.12068109581</v>
      </c>
      <c r="EQ87">
        <f t="shared" si="161"/>
        <v>22571736.983007774</v>
      </c>
      <c r="ER87">
        <f t="shared" si="162"/>
        <v>480608.96207106381</v>
      </c>
      <c r="ES87">
        <f t="shared" si="163"/>
        <v>49536.497143418172</v>
      </c>
      <c r="ET87">
        <f t="shared" si="164"/>
        <v>49831.318766753509</v>
      </c>
      <c r="EU87">
        <f t="shared" si="165"/>
        <v>21097.937381085154</v>
      </c>
      <c r="EV87">
        <f t="shared" si="166"/>
        <v>11176.166036369152</v>
      </c>
      <c r="EW87">
        <f t="shared" si="167"/>
        <v>11252.233269912085</v>
      </c>
      <c r="EX87">
        <f t="shared" si="168"/>
        <v>142894.15259753808</v>
      </c>
      <c r="EY87">
        <f t="shared" si="180"/>
        <v>41141.831978756825</v>
      </c>
      <c r="EZ87">
        <f t="shared" si="181"/>
        <v>38793.854171269806</v>
      </c>
      <c r="FA87">
        <f t="shared" si="182"/>
        <v>16424.81729025536</v>
      </c>
      <c r="FB87">
        <f t="shared" si="183"/>
        <v>8705.5278180281439</v>
      </c>
      <c r="FC87">
        <f t="shared" si="184"/>
        <v>8759.9025548028621</v>
      </c>
      <c r="FD87">
        <f t="shared" si="169"/>
        <v>113825.93381311299</v>
      </c>
      <c r="FE87">
        <f t="shared" si="170"/>
        <v>23309066.031489491</v>
      </c>
      <c r="FF87">
        <f t="shared" si="171"/>
        <v>23808299.479374848</v>
      </c>
      <c r="FG87">
        <f>BM87*AM87*195.08/1000*'PGM market prices'!$C$2*60*7200</f>
        <v>423414322.87988019</v>
      </c>
      <c r="FH87">
        <f>BN87*AQ87*BA87*106.42/1000*'PGM market prices'!$C$3*60*7200</f>
        <v>222222366.02844357</v>
      </c>
      <c r="FI87">
        <f>BK87*J87*102.91/1000*'PGM market prices'!$C$4*60*7200</f>
        <v>247606657.18542153</v>
      </c>
      <c r="FJ87">
        <f t="shared" si="172"/>
        <v>893243346.09374523</v>
      </c>
      <c r="FK87">
        <f t="shared" si="173"/>
        <v>643381934.49463403</v>
      </c>
      <c r="FL87">
        <f t="shared" si="185"/>
        <v>0.55111804350404736</v>
      </c>
      <c r="FM87">
        <f t="shared" si="186"/>
        <v>1896.6331041279946</v>
      </c>
      <c r="FN87">
        <f t="shared" si="187"/>
        <v>3527.9960148514429</v>
      </c>
      <c r="FO87">
        <f t="shared" si="188"/>
        <v>15860.182769733798</v>
      </c>
    </row>
    <row r="88" spans="1:171">
      <c r="A88">
        <v>11</v>
      </c>
      <c r="B88">
        <v>1.54143585092054E-3</v>
      </c>
      <c r="C88">
        <v>1.54143585092054E-3</v>
      </c>
      <c r="D88">
        <v>3.4254130020456501E-4</v>
      </c>
      <c r="E88">
        <v>0</v>
      </c>
      <c r="F88">
        <v>0</v>
      </c>
      <c r="G88">
        <v>0</v>
      </c>
      <c r="H88" s="53">
        <v>1.7771367359861701E-5</v>
      </c>
      <c r="I88" s="53">
        <v>1.8081057367328801E-10</v>
      </c>
      <c r="J88">
        <v>3.3765941525589702E-4</v>
      </c>
      <c r="K88">
        <v>0.139102253285185</v>
      </c>
      <c r="L88">
        <v>0.14072466572308701</v>
      </c>
      <c r="M88">
        <v>4.4568945720355099E-4</v>
      </c>
      <c r="N88" s="53">
        <v>-8.03393809811758E-16</v>
      </c>
      <c r="O88" s="53">
        <v>-8.4019770307808202E-13</v>
      </c>
      <c r="P88" s="53">
        <v>-2.26157796916898E-19</v>
      </c>
      <c r="Q88">
        <v>0.10953557168033</v>
      </c>
      <c r="R88">
        <v>98.5748039883795</v>
      </c>
      <c r="S88">
        <v>500</v>
      </c>
      <c r="T88">
        <v>95</v>
      </c>
      <c r="U88">
        <v>1</v>
      </c>
      <c r="V88">
        <v>0.1</v>
      </c>
      <c r="W88">
        <v>91.294543376138293</v>
      </c>
      <c r="X88" t="s">
        <v>323</v>
      </c>
      <c r="Y88">
        <v>1</v>
      </c>
      <c r="Z88">
        <v>0.28318429382522198</v>
      </c>
      <c r="AA88">
        <v>0.56945642916197003</v>
      </c>
      <c r="AB88">
        <v>3.7698628972227502E-3</v>
      </c>
      <c r="AC88">
        <v>1822.2107908876901</v>
      </c>
      <c r="AD88">
        <v>2662.6059073104898</v>
      </c>
      <c r="AE88">
        <v>2401.5030938442701</v>
      </c>
      <c r="AF88">
        <v>10</v>
      </c>
      <c r="AG88">
        <v>1.6497569194096201E-3</v>
      </c>
      <c r="AH88">
        <v>1.6689987798565299E-3</v>
      </c>
      <c r="AI88" s="53">
        <v>5.28589040482341E-6</v>
      </c>
      <c r="AJ88">
        <v>0</v>
      </c>
      <c r="AK88">
        <v>0</v>
      </c>
      <c r="AL88">
        <v>0</v>
      </c>
      <c r="AM88">
        <v>1.61280608328623E-3</v>
      </c>
      <c r="AN88" s="53">
        <v>7.9633405949388404E-5</v>
      </c>
      <c r="AO88" s="53">
        <v>5.2511247490748196E-6</v>
      </c>
      <c r="AP88">
        <v>1.7333873588263201E-3</v>
      </c>
      <c r="AQ88">
        <v>7.4558146402506298E-2</v>
      </c>
      <c r="AR88" s="53">
        <v>1.63087914994542E-6</v>
      </c>
      <c r="AS88" s="53">
        <v>6.1625306095082401E-15</v>
      </c>
      <c r="AT88" s="53">
        <v>-6.3828326304915498E-13</v>
      </c>
      <c r="AU88" s="53">
        <v>5.8087931335923803E-20</v>
      </c>
      <c r="AV88">
        <v>0.19687838161047699</v>
      </c>
      <c r="AW88">
        <v>99.342293292406097</v>
      </c>
      <c r="AX88">
        <v>500</v>
      </c>
      <c r="AY88">
        <v>95</v>
      </c>
      <c r="AZ88">
        <v>0.92356908198738696</v>
      </c>
      <c r="BA88">
        <v>0.1</v>
      </c>
      <c r="BB88">
        <v>46.910639676765697</v>
      </c>
      <c r="BC88" t="s">
        <v>251</v>
      </c>
      <c r="BD88">
        <v>1</v>
      </c>
      <c r="BE88">
        <v>1.8775014999999999E-2</v>
      </c>
      <c r="BF88">
        <v>0.10492961100000001</v>
      </c>
      <c r="BG88">
        <v>1.814625E-3</v>
      </c>
      <c r="BH88">
        <v>285.1951444</v>
      </c>
      <c r="BI88">
        <v>2169.8944889999998</v>
      </c>
      <c r="BJ88">
        <v>866.49409060000005</v>
      </c>
      <c r="BK88">
        <f t="shared" si="121"/>
        <v>100</v>
      </c>
      <c r="BL88">
        <f t="shared" si="122"/>
        <v>10.953557168032999</v>
      </c>
      <c r="BM88">
        <f t="shared" si="123"/>
        <v>92.356908198738694</v>
      </c>
      <c r="BN88">
        <f t="shared" si="124"/>
        <v>19.687838161047701</v>
      </c>
      <c r="BO88">
        <f t="shared" si="125"/>
        <v>3.9432805804918796</v>
      </c>
      <c r="BP88">
        <f t="shared" si="126"/>
        <v>0.262885372032792</v>
      </c>
      <c r="BQ88">
        <f t="shared" si="127"/>
        <v>1.3144268601639599</v>
      </c>
      <c r="BR88">
        <f t="shared" si="128"/>
        <v>0.65721343008197997</v>
      </c>
      <c r="BS88">
        <f t="shared" si="129"/>
        <v>1.0953557168032999</v>
      </c>
      <c r="BT88">
        <f t="shared" si="130"/>
        <v>6.5721343008197994</v>
      </c>
      <c r="BU88">
        <f t="shared" si="131"/>
        <v>17.525691468852798</v>
      </c>
      <c r="BV88">
        <f t="shared" si="174"/>
        <v>5.4767785840164995</v>
      </c>
      <c r="BW88">
        <f t="shared" si="132"/>
        <v>86.880129614722193</v>
      </c>
      <c r="BX88">
        <f t="shared" si="133"/>
        <v>103.31046536677169</v>
      </c>
      <c r="BY88">
        <f t="shared" si="175"/>
        <v>92.356908198738694</v>
      </c>
      <c r="BZ88">
        <f t="shared" si="176"/>
        <v>1.5334980035246197</v>
      </c>
      <c r="CA88">
        <f>7963.6*(BT88/1000)^0.6*1.7*('CAPEX+OPEX'!$G$116/'CAPEX+OPEX'!$G$115)</f>
        <v>783.18576571869824</v>
      </c>
      <c r="CB88">
        <f>7963.6*(BU88/1000)^0.6*1.7*('CAPEX+OPEX'!$G$116/'CAPEX+OPEX'!$G$115)</f>
        <v>1410.7368962988378</v>
      </c>
      <c r="CC88">
        <f>7963.6*(BX88/1000)^0.6*1.7*('CAPEX+OPEX'!$G$116/'CAPEX+OPEX'!$G$115)</f>
        <v>4090.0396535036848</v>
      </c>
      <c r="CD88">
        <f>7963.6*(BY88/1000)^0.6*1.7*('CAPEX+OPEX'!$G$116/'CAPEX+OPEX'!$G$115)</f>
        <v>3824.0411702856813</v>
      </c>
      <c r="CE88">
        <v>300</v>
      </c>
      <c r="CF88">
        <v>30</v>
      </c>
      <c r="CG88">
        <f t="shared" si="134"/>
        <v>7.0876217379771722</v>
      </c>
      <c r="CH88">
        <f t="shared" si="135"/>
        <v>0.47250811586514485</v>
      </c>
      <c r="CI88">
        <f t="shared" si="136"/>
        <v>2.3625405793257239</v>
      </c>
      <c r="CJ88">
        <f t="shared" si="137"/>
        <v>1.181270289662862</v>
      </c>
      <c r="CK88">
        <f t="shared" si="138"/>
        <v>1.9687838161047702</v>
      </c>
      <c r="CL88">
        <f t="shared" si="139"/>
        <v>11.81270289662862</v>
      </c>
      <c r="CM88">
        <f t="shared" si="140"/>
        <v>31.500541057676323</v>
      </c>
      <c r="CN88">
        <f t="shared" si="177"/>
        <v>9.8439190805238503</v>
      </c>
      <c r="CO88">
        <v>0</v>
      </c>
      <c r="CP88">
        <f t="shared" si="141"/>
        <v>29.531757241571551</v>
      </c>
      <c r="CQ88">
        <f t="shared" si="178"/>
        <v>9.8439190805238503</v>
      </c>
      <c r="CR88">
        <f t="shared" si="179"/>
        <v>2.7562973425466781</v>
      </c>
      <c r="CS88">
        <f>7963.6*(CL88/1000)^0.6*1.7*('CAPEX+OPEX'!$G$116/'CAPEX+OPEX'!$G$115)</f>
        <v>1113.3981529676453</v>
      </c>
      <c r="CT88">
        <f>7963.6*(CM88/1000)^0.6*1.7*('CAPEX+OPEX'!$G$116/'CAPEX+OPEX'!$G$115)</f>
        <v>2005.5418821625999</v>
      </c>
      <c r="CU88">
        <f>7963.6*(CP88/1000)^0.6*1.7*('CAPEX+OPEX'!$G$116/'CAPEX+OPEX'!$G$115)</f>
        <v>1929.3654702699698</v>
      </c>
      <c r="CV88">
        <f>7963.6*(CQ88/1000)^0.6*1.7*('CAPEX+OPEX'!$G$116/'CAPEX+OPEX'!$G$115)</f>
        <v>998.02575516786044</v>
      </c>
      <c r="CW88">
        <v>300</v>
      </c>
      <c r="CX88">
        <f t="shared" si="142"/>
        <v>30</v>
      </c>
      <c r="CY88">
        <f t="shared" si="143"/>
        <v>10</v>
      </c>
      <c r="CZ88">
        <f t="shared" si="144"/>
        <v>9.2356908198738701</v>
      </c>
      <c r="DA88">
        <f t="shared" si="145"/>
        <v>3960</v>
      </c>
      <c r="DB88">
        <f t="shared" si="146"/>
        <v>3960</v>
      </c>
      <c r="DC88">
        <f>CF88*'Reagent cost'!$C$18/1000*'Reagent cost'!$H$18</f>
        <v>4784.413580611521</v>
      </c>
      <c r="DD88">
        <f>CX88*'Ligand cost'!$B$56*'Ligand cost'!$J$56</f>
        <v>30543.831958072875</v>
      </c>
      <c r="DE88">
        <f t="shared" si="147"/>
        <v>39625.826528698344</v>
      </c>
      <c r="DF88">
        <f t="shared" si="148"/>
        <v>4586243.4239371875</v>
      </c>
      <c r="DG88">
        <f t="shared" si="149"/>
        <v>11794834.586807497</v>
      </c>
      <c r="DH88">
        <f t="shared" si="150"/>
        <v>2275209.1661185985</v>
      </c>
      <c r="DI88">
        <f t="shared" si="151"/>
        <v>14083914.336508472</v>
      </c>
      <c r="DJ88">
        <f t="shared" si="152"/>
        <v>1662824.8986326549</v>
      </c>
      <c r="DK88" s="55">
        <f>DF88*($BK$2/10000)^0.72*0.6*((A88+1)/3)^0.6*('CAPEX+OPEX'!$G$116/'CAPEX+OPEX'!$G$114)</f>
        <v>535704.1899239067</v>
      </c>
      <c r="DL88" s="55">
        <f>DG88*($BK$2/10000)^0.72*0.6*((A88+1)/3)^0.6*('CAPEX+OPEX'!$G$116/'CAPEX+OPEX'!$G$114)</f>
        <v>1377716.2970969954</v>
      </c>
      <c r="DM88" s="55">
        <f>DH88*($BK$2/10000)^0.72*0.6*((A88+1)/3)^0.6*('CAPEX+OPEX'!$G$116/'CAPEX+OPEX'!$G$114)</f>
        <v>265759.78869361128</v>
      </c>
      <c r="DN88" s="55">
        <f>DI88*($BK$2/10000)^0.72*0.6*((A88+1)/3)^0.6*('CAPEX+OPEX'!$G$116/'CAPEX+OPEX'!$G$114)</f>
        <v>1645096.2635820836</v>
      </c>
      <c r="DO88" s="55">
        <f>DJ88*($BK$2/10000)^0.72*0.6*((A88+1)/3)^0.6*('CAPEX+OPEX'!$G$116/'CAPEX+OPEX'!$G$114)</f>
        <v>194229.17254195639</v>
      </c>
      <c r="DP88">
        <f t="shared" si="153"/>
        <v>4018505.7118385537</v>
      </c>
      <c r="DQ88">
        <f>DF88*(BM88/10000)^0.72*0.6*((AF88+1)/3)^0.6*('CAPEX+OPEX'!$G$116/'CAPEX+OPEX'!$G$114)</f>
        <v>480164.29672801564</v>
      </c>
      <c r="DR88">
        <f>DG88*(BM88/10000)^0.72*0.6*((AF88+1)/3)^0.6*('CAPEX+OPEX'!$G$116/'CAPEX+OPEX'!$G$114)</f>
        <v>1234879.6020808995</v>
      </c>
      <c r="DS88">
        <f>DH88*(BM88/10000)^0.72*0.6*((AF88+1)/3)^0.6*('CAPEX+OPEX'!$G$116/'CAPEX+OPEX'!$G$114)</f>
        <v>238206.76492147619</v>
      </c>
      <c r="DT88">
        <f>DI88*(BM88/10000)^0.72*0.6*((AF88+1)/3)^0.6*('CAPEX+OPEX'!$G$116/'CAPEX+OPEX'!$G$114)</f>
        <v>1474538.5705588371</v>
      </c>
      <c r="DU88">
        <f>DJ88*(BM88/10000)^0.72*0.6*((AF88+1)/3)^0.6*('CAPEX+OPEX'!$G$116/'CAPEX+OPEX'!$G$114)</f>
        <v>174092.18705368001</v>
      </c>
      <c r="DV88">
        <f t="shared" si="154"/>
        <v>3601881.4213429084</v>
      </c>
      <c r="DW88">
        <f t="shared" si="155"/>
        <v>7688700.1005092803</v>
      </c>
      <c r="DX88">
        <f t="shared" si="156"/>
        <v>512580.00670061872</v>
      </c>
      <c r="DY88">
        <f>BO88*'Reagent cost'!$C$35*60*7200</f>
        <v>1021377.4064438964</v>
      </c>
      <c r="DZ88">
        <f>BP88*'Reagent cost'!$C$34*60*7200</f>
        <v>243033.40440168275</v>
      </c>
      <c r="EA88">
        <f>BQ88*'Reagent cost'!$C$14*'Reagent cost'!$C$36/1000*60*7200</f>
        <v>4028478.5833555758</v>
      </c>
      <c r="EB88">
        <f t="shared" si="157"/>
        <v>39.6</v>
      </c>
      <c r="EC88">
        <f t="shared" si="158"/>
        <v>95.688271612230423</v>
      </c>
      <c r="ED88">
        <f>0.1*BK88*60*7200*'Reagent cost'!$H$17*'Reagent cost'!$C$17/1000</f>
        <v>504921.59999999998</v>
      </c>
      <c r="EE88">
        <f>BV88*0.1*'Reagent cost'!$C$16/1000*'Reagent cost'!$H$16*60*7200</f>
        <v>999361.370636379</v>
      </c>
      <c r="EF88">
        <f>BZ88/1000*'Reagent cost'!$H$19*'Reagent cost'!$C$19*60*7200</f>
        <v>83968.216680994068</v>
      </c>
      <c r="EG88">
        <f>0.33*('Costing 100 Lmin Feed Orig'!BO88*'Reagent cost'!$C$13+'Costing 100 Lmin Feed Orig'!BP88*'Reagent cost'!$C$12+'Costing 100 Lmin Feed Orig'!BQ88*'Reagent cost'!$C$14+'Costing 100 Lmin Feed Orig'!BV88*0.1*'Reagent cost'!$C$16+'Costing 100 Lmin Feed Orig'!BZ88*'Reagent cost'!$C$19)/1000*60*7200</f>
        <v>171796.84138996803</v>
      </c>
      <c r="EH88">
        <f>CG88*'Reagent cost'!$C$35*60*7200</f>
        <v>1835815.778467254</v>
      </c>
      <c r="EI88">
        <f>CH88*'Reagent cost'!$C$34*60*7200</f>
        <v>436826.34419006971</v>
      </c>
      <c r="EJ88">
        <f>CI88*'Reagent cost'!$C$14*'Reagent cost'!$C$36/1000*60*7200</f>
        <v>7240755.9633519342</v>
      </c>
      <c r="EK88">
        <f t="shared" si="159"/>
        <v>39.6</v>
      </c>
      <c r="EL88">
        <f t="shared" si="160"/>
        <v>610.87663916145755</v>
      </c>
      <c r="EM88">
        <f>0.1*BM88*60*7200*'Reagent cost'!$H$17*'Reagent cost'!$C$17/1000</f>
        <v>466329.97858760261</v>
      </c>
      <c r="EN88">
        <f>CN88*0.1*'Reagent cost'!$C$16/1000*'Reagent cost'!$H$16*60*7200</f>
        <v>1796244.3275425069</v>
      </c>
      <c r="EO88">
        <f>CR88/1000*'Reagent cost'!$H$19*'Reagent cost'!$C$19*60*7200</f>
        <v>150923.81728848591</v>
      </c>
      <c r="EP88">
        <f>0.33*(CG88*'Reagent cost'!$C$13+CH88*'Reagent cost'!$C$12+CI88*'Reagent cost'!$C$14+CN88*0.1*'Reagent cost'!$C$16+CR88*'Reagent cost'!$C$19)/1000*60*7200</f>
        <v>308786.30183588609</v>
      </c>
      <c r="EQ88">
        <f t="shared" si="161"/>
        <v>22570587.067028586</v>
      </c>
      <c r="ER88">
        <f t="shared" si="162"/>
        <v>480583.14322585415</v>
      </c>
      <c r="ES88">
        <f t="shared" si="163"/>
        <v>49536.497143418172</v>
      </c>
      <c r="ET88">
        <f t="shared" si="164"/>
        <v>49831.318766753509</v>
      </c>
      <c r="EU88">
        <f t="shared" si="165"/>
        <v>21097.937381085154</v>
      </c>
      <c r="EV88">
        <f t="shared" si="166"/>
        <v>11176.166036369152</v>
      </c>
      <c r="EW88">
        <f t="shared" si="167"/>
        <v>11252.233269912085</v>
      </c>
      <c r="EX88">
        <f t="shared" si="168"/>
        <v>142894.15259753808</v>
      </c>
      <c r="EY88">
        <f t="shared" si="180"/>
        <v>43713.196477429126</v>
      </c>
      <c r="EZ88">
        <f t="shared" si="181"/>
        <v>42673.239588396784</v>
      </c>
      <c r="FA88">
        <f t="shared" si="182"/>
        <v>18067.299019280894</v>
      </c>
      <c r="FB88">
        <f t="shared" si="183"/>
        <v>9576.080599830957</v>
      </c>
      <c r="FC88">
        <f t="shared" si="184"/>
        <v>9635.8928102831469</v>
      </c>
      <c r="FD88">
        <f t="shared" si="169"/>
        <v>123665.7084952209</v>
      </c>
      <c r="FE88">
        <f t="shared" si="170"/>
        <v>23317730.071347199</v>
      </c>
      <c r="FF88">
        <f t="shared" si="171"/>
        <v>23830310.078047819</v>
      </c>
      <c r="FG88">
        <f>BM88*AM88*195.08/1000*'PGM market prices'!$C$2*60*7200</f>
        <v>423417230.27891487</v>
      </c>
      <c r="FH88">
        <f>BN88*AQ88*BA88*106.42/1000*'PGM market prices'!$C$3*60*7200</f>
        <v>222222286.02167553</v>
      </c>
      <c r="FI88">
        <f>BK88*J88*102.91/1000*'PGM market prices'!$C$4*60*7200</f>
        <v>247606657.18542153</v>
      </c>
      <c r="FJ88">
        <f t="shared" si="172"/>
        <v>893246173.48601198</v>
      </c>
      <c r="FK88">
        <f t="shared" si="173"/>
        <v>643367738.92189348</v>
      </c>
      <c r="FL88">
        <f t="shared" si="185"/>
        <v>0.55162754810295878</v>
      </c>
      <c r="FM88">
        <f t="shared" si="186"/>
        <v>1898.3734922640438</v>
      </c>
      <c r="FN88">
        <f t="shared" si="187"/>
        <v>3531.2588927141783</v>
      </c>
      <c r="FO88">
        <f t="shared" si="188"/>
        <v>15874.845392661864</v>
      </c>
    </row>
    <row r="89" spans="1:171">
      <c r="A89">
        <v>11</v>
      </c>
      <c r="B89">
        <v>1.54143585092054E-3</v>
      </c>
      <c r="C89">
        <v>1.54143585092054E-3</v>
      </c>
      <c r="D89">
        <v>3.4254130020456501E-4</v>
      </c>
      <c r="E89">
        <v>0</v>
      </c>
      <c r="F89">
        <v>0</v>
      </c>
      <c r="G89">
        <v>0</v>
      </c>
      <c r="H89" s="53">
        <v>1.7771367359861701E-5</v>
      </c>
      <c r="I89" s="53">
        <v>1.8081057367328801E-10</v>
      </c>
      <c r="J89">
        <v>3.3765941525589702E-4</v>
      </c>
      <c r="K89">
        <v>0.139102253285185</v>
      </c>
      <c r="L89">
        <v>0.14072466572308701</v>
      </c>
      <c r="M89">
        <v>4.4568945720355099E-4</v>
      </c>
      <c r="N89" s="53">
        <v>-8.03393809811758E-16</v>
      </c>
      <c r="O89" s="53">
        <v>-8.4019770307808202E-13</v>
      </c>
      <c r="P89" s="53">
        <v>-2.26157796916898E-19</v>
      </c>
      <c r="Q89">
        <v>0.10953557168033</v>
      </c>
      <c r="R89">
        <v>98.5748039883795</v>
      </c>
      <c r="S89">
        <v>500</v>
      </c>
      <c r="T89">
        <v>95</v>
      </c>
      <c r="U89">
        <v>1</v>
      </c>
      <c r="V89">
        <v>0.1</v>
      </c>
      <c r="W89">
        <v>91.294543376138293</v>
      </c>
      <c r="X89" t="s">
        <v>323</v>
      </c>
      <c r="Y89">
        <v>1</v>
      </c>
      <c r="Z89">
        <v>0.28318429382522198</v>
      </c>
      <c r="AA89">
        <v>0.56945642916197003</v>
      </c>
      <c r="AB89">
        <v>3.7698628972227502E-3</v>
      </c>
      <c r="AC89">
        <v>1822.2107908876901</v>
      </c>
      <c r="AD89">
        <v>2662.6059073104898</v>
      </c>
      <c r="AE89">
        <v>2401.5030938442701</v>
      </c>
      <c r="AF89">
        <v>11</v>
      </c>
      <c r="AG89">
        <v>1.6497569194096201E-3</v>
      </c>
      <c r="AH89">
        <v>1.6689987798565299E-3</v>
      </c>
      <c r="AI89" s="53">
        <v>5.28589040482341E-6</v>
      </c>
      <c r="AJ89">
        <v>0</v>
      </c>
      <c r="AK89">
        <v>0</v>
      </c>
      <c r="AL89">
        <v>0</v>
      </c>
      <c r="AM89">
        <v>1.6128091969893901E-3</v>
      </c>
      <c r="AN89" s="53">
        <v>7.9633567021484305E-5</v>
      </c>
      <c r="AO89" s="53">
        <v>5.2511275568870697E-6</v>
      </c>
      <c r="AP89">
        <v>1.7332820417295799E-3</v>
      </c>
      <c r="AQ89">
        <v>7.4559891685805804E-2</v>
      </c>
      <c r="AR89" s="53">
        <v>1.63078577254671E-6</v>
      </c>
      <c r="AS89" s="53">
        <v>1.9922621495235798E-15</v>
      </c>
      <c r="AT89" s="53">
        <v>-1.9831944246540001E-13</v>
      </c>
      <c r="AU89" s="53">
        <v>1.2917252445628E-20</v>
      </c>
      <c r="AV89">
        <v>0.19687375310907501</v>
      </c>
      <c r="AW89">
        <v>99.3423464114084</v>
      </c>
      <c r="AX89">
        <v>500</v>
      </c>
      <c r="AY89">
        <v>95</v>
      </c>
      <c r="AZ89">
        <v>0.92356908198738696</v>
      </c>
      <c r="BA89">
        <v>0.1</v>
      </c>
      <c r="BB89">
        <v>46.911742545777201</v>
      </c>
      <c r="BC89" t="s">
        <v>251</v>
      </c>
      <c r="BD89">
        <v>1</v>
      </c>
      <c r="BE89">
        <v>1.8775014999999999E-2</v>
      </c>
      <c r="BF89">
        <v>0.10492961100000001</v>
      </c>
      <c r="BG89">
        <v>1.814625E-3</v>
      </c>
      <c r="BH89">
        <v>285.1951444</v>
      </c>
      <c r="BI89">
        <v>2169.8944889999998</v>
      </c>
      <c r="BJ89">
        <v>866.49409060000005</v>
      </c>
      <c r="BK89">
        <f t="shared" si="121"/>
        <v>100</v>
      </c>
      <c r="BL89">
        <f t="shared" si="122"/>
        <v>10.953557168032999</v>
      </c>
      <c r="BM89">
        <f t="shared" si="123"/>
        <v>92.356908198738694</v>
      </c>
      <c r="BN89">
        <f t="shared" si="124"/>
        <v>19.687375310907502</v>
      </c>
      <c r="BO89">
        <f t="shared" si="125"/>
        <v>3.9432805804918796</v>
      </c>
      <c r="BP89">
        <f t="shared" si="126"/>
        <v>0.262885372032792</v>
      </c>
      <c r="BQ89">
        <f t="shared" si="127"/>
        <v>1.3144268601639599</v>
      </c>
      <c r="BR89">
        <f t="shared" si="128"/>
        <v>0.65721343008197997</v>
      </c>
      <c r="BS89">
        <f t="shared" si="129"/>
        <v>1.0953557168032999</v>
      </c>
      <c r="BT89">
        <f t="shared" si="130"/>
        <v>6.5721343008197994</v>
      </c>
      <c r="BU89">
        <f t="shared" si="131"/>
        <v>17.525691468852798</v>
      </c>
      <c r="BV89">
        <f t="shared" si="174"/>
        <v>5.4767785840164995</v>
      </c>
      <c r="BW89">
        <f t="shared" si="132"/>
        <v>86.880129614722193</v>
      </c>
      <c r="BX89">
        <f t="shared" si="133"/>
        <v>103.31046536677169</v>
      </c>
      <c r="BY89">
        <f t="shared" si="175"/>
        <v>92.356908198738694</v>
      </c>
      <c r="BZ89">
        <f t="shared" si="176"/>
        <v>1.5334980035246197</v>
      </c>
      <c r="CA89">
        <f>7963.6*(BT89/1000)^0.6*1.7*('CAPEX+OPEX'!$G$116/'CAPEX+OPEX'!$G$115)</f>
        <v>783.18576571869824</v>
      </c>
      <c r="CB89">
        <f>7963.6*(BU89/1000)^0.6*1.7*('CAPEX+OPEX'!$G$116/'CAPEX+OPEX'!$G$115)</f>
        <v>1410.7368962988378</v>
      </c>
      <c r="CC89">
        <f>7963.6*(BX89/1000)^0.6*1.7*('CAPEX+OPEX'!$G$116/'CAPEX+OPEX'!$G$115)</f>
        <v>4090.0396535036848</v>
      </c>
      <c r="CD89">
        <f>7963.6*(BY89/1000)^0.6*1.7*('CAPEX+OPEX'!$G$116/'CAPEX+OPEX'!$G$115)</f>
        <v>3824.0411702856813</v>
      </c>
      <c r="CE89">
        <v>300</v>
      </c>
      <c r="CF89">
        <v>30</v>
      </c>
      <c r="CG89">
        <f t="shared" si="134"/>
        <v>7.0874551119267002</v>
      </c>
      <c r="CH89">
        <f t="shared" si="135"/>
        <v>0.47249700746178003</v>
      </c>
      <c r="CI89">
        <f t="shared" si="136"/>
        <v>2.3624850373088999</v>
      </c>
      <c r="CJ89">
        <f t="shared" si="137"/>
        <v>1.18124251865445</v>
      </c>
      <c r="CK89">
        <f t="shared" si="138"/>
        <v>1.9687375310907502</v>
      </c>
      <c r="CL89">
        <f t="shared" si="139"/>
        <v>11.8124251865445</v>
      </c>
      <c r="CM89">
        <f t="shared" si="140"/>
        <v>31.499800497452004</v>
      </c>
      <c r="CN89">
        <f t="shared" si="177"/>
        <v>9.8436876554537509</v>
      </c>
      <c r="CO89">
        <v>0</v>
      </c>
      <c r="CP89">
        <f t="shared" si="141"/>
        <v>29.531062966361254</v>
      </c>
      <c r="CQ89">
        <f t="shared" si="178"/>
        <v>9.8436876554537509</v>
      </c>
      <c r="CR89">
        <f t="shared" si="179"/>
        <v>2.7562325435270503</v>
      </c>
      <c r="CS89">
        <f>7963.6*(CL89/1000)^0.6*1.7*('CAPEX+OPEX'!$G$116/'CAPEX+OPEX'!$G$115)</f>
        <v>1113.3824476704949</v>
      </c>
      <c r="CT89">
        <f>7963.6*(CM89/1000)^0.6*1.7*('CAPEX+OPEX'!$G$116/'CAPEX+OPEX'!$G$115)</f>
        <v>2005.5135925241414</v>
      </c>
      <c r="CU89">
        <f>7963.6*(CP89/1000)^0.6*1.7*('CAPEX+OPEX'!$G$116/'CAPEX+OPEX'!$G$115)</f>
        <v>1929.3382551556451</v>
      </c>
      <c r="CV89">
        <f>7963.6*(CQ89/1000)^0.6*1.7*('CAPEX+OPEX'!$G$116/'CAPEX+OPEX'!$G$115)</f>
        <v>998.01167728295695</v>
      </c>
      <c r="CW89">
        <v>300</v>
      </c>
      <c r="CX89">
        <f t="shared" si="142"/>
        <v>30</v>
      </c>
      <c r="CY89">
        <f t="shared" si="143"/>
        <v>10</v>
      </c>
      <c r="CZ89">
        <f t="shared" si="144"/>
        <v>9.2356908198738701</v>
      </c>
      <c r="DA89">
        <f t="shared" si="145"/>
        <v>3960</v>
      </c>
      <c r="DB89">
        <f t="shared" si="146"/>
        <v>3960</v>
      </c>
      <c r="DC89">
        <f>CF89*'Reagent cost'!$C$18/1000*'Reagent cost'!$H$18</f>
        <v>4784.413580611521</v>
      </c>
      <c r="DD89">
        <f>CX89*'Ligand cost'!$B$56*'Ligand cost'!$J$56</f>
        <v>30543.831958072875</v>
      </c>
      <c r="DE89">
        <f t="shared" si="147"/>
        <v>39625.826528698344</v>
      </c>
      <c r="DF89">
        <f t="shared" si="148"/>
        <v>4586243.4239371875</v>
      </c>
      <c r="DG89">
        <f t="shared" si="149"/>
        <v>11794834.586807497</v>
      </c>
      <c r="DH89">
        <f t="shared" si="150"/>
        <v>2275209.1661185985</v>
      </c>
      <c r="DI89">
        <f t="shared" si="151"/>
        <v>14083914.336508472</v>
      </c>
      <c r="DJ89">
        <f t="shared" si="152"/>
        <v>1662824.8986326549</v>
      </c>
      <c r="DK89" s="55">
        <f>DF89*($BK$2/10000)^0.72*0.6*((A89+1)/3)^0.6*('CAPEX+OPEX'!$G$116/'CAPEX+OPEX'!$G$114)</f>
        <v>535704.1899239067</v>
      </c>
      <c r="DL89" s="55">
        <f>DG89*($BK$2/10000)^0.72*0.6*((A89+1)/3)^0.6*('CAPEX+OPEX'!$G$116/'CAPEX+OPEX'!$G$114)</f>
        <v>1377716.2970969954</v>
      </c>
      <c r="DM89" s="55">
        <f>DH89*($BK$2/10000)^0.72*0.6*((A89+1)/3)^0.6*('CAPEX+OPEX'!$G$116/'CAPEX+OPEX'!$G$114)</f>
        <v>265759.78869361128</v>
      </c>
      <c r="DN89" s="55">
        <f>DI89*($BK$2/10000)^0.72*0.6*((A89+1)/3)^0.6*('CAPEX+OPEX'!$G$116/'CAPEX+OPEX'!$G$114)</f>
        <v>1645096.2635820836</v>
      </c>
      <c r="DO89" s="55">
        <f>DJ89*($BK$2/10000)^0.72*0.6*((A89+1)/3)^0.6*('CAPEX+OPEX'!$G$116/'CAPEX+OPEX'!$G$114)</f>
        <v>194229.17254195639</v>
      </c>
      <c r="DP89">
        <f t="shared" si="153"/>
        <v>4018505.7118385537</v>
      </c>
      <c r="DQ89">
        <f>DF89*(BM89/10000)^0.72*0.6*((AF89+1)/3)^0.6*('CAPEX+OPEX'!$G$116/'CAPEX+OPEX'!$G$114)</f>
        <v>505898.0447416415</v>
      </c>
      <c r="DR89">
        <f>DG89*(BM89/10000)^0.72*0.6*((AF89+1)/3)^0.6*('CAPEX+OPEX'!$G$116/'CAPEX+OPEX'!$G$114)</f>
        <v>1301061.2834838314</v>
      </c>
      <c r="DS89">
        <f>DH89*(BM89/10000)^0.72*0.6*((AF89+1)/3)^0.6*('CAPEX+OPEX'!$G$116/'CAPEX+OPEX'!$G$114)</f>
        <v>250973.13032057314</v>
      </c>
      <c r="DT89">
        <f>DI89*(BM89/10000)^0.72*0.6*((AF89+1)/3)^0.6*('CAPEX+OPEX'!$G$116/'CAPEX+OPEX'!$G$114)</f>
        <v>1553564.446222031</v>
      </c>
      <c r="DU89">
        <f>DJ89*(BM89/10000)^0.72*0.6*((AF89+1)/3)^0.6*('CAPEX+OPEX'!$G$116/'CAPEX+OPEX'!$G$114)</f>
        <v>183422.41944144559</v>
      </c>
      <c r="DV89">
        <f t="shared" si="154"/>
        <v>3794919.3242095229</v>
      </c>
      <c r="DW89">
        <f t="shared" si="155"/>
        <v>7881737.9052947704</v>
      </c>
      <c r="DX89">
        <f t="shared" si="156"/>
        <v>525449.193686318</v>
      </c>
      <c r="DY89">
        <f>BO89*'Reagent cost'!$C$35*60*7200</f>
        <v>1021377.4064438964</v>
      </c>
      <c r="DZ89">
        <f>BP89*'Reagent cost'!$C$34*60*7200</f>
        <v>243033.40440168275</v>
      </c>
      <c r="EA89">
        <f>BQ89*'Reagent cost'!$C$14*'Reagent cost'!$C$36/1000*60*7200</f>
        <v>4028478.5833555758</v>
      </c>
      <c r="EB89">
        <f t="shared" si="157"/>
        <v>39.6</v>
      </c>
      <c r="EC89">
        <f t="shared" si="158"/>
        <v>95.688271612230423</v>
      </c>
      <c r="ED89">
        <f>0.1*BK89*60*7200*'Reagent cost'!$H$17*'Reagent cost'!$C$17/1000</f>
        <v>504921.59999999998</v>
      </c>
      <c r="EE89">
        <f>BV89*0.1*'Reagent cost'!$C$16/1000*'Reagent cost'!$H$16*60*7200</f>
        <v>999361.370636379</v>
      </c>
      <c r="EF89">
        <f>BZ89/1000*'Reagent cost'!$H$19*'Reagent cost'!$C$19*60*7200</f>
        <v>83968.216680994068</v>
      </c>
      <c r="EG89">
        <f>0.33*('Costing 100 Lmin Feed Orig'!BO89*'Reagent cost'!$C$13+'Costing 100 Lmin Feed Orig'!BP89*'Reagent cost'!$C$12+'Costing 100 Lmin Feed Orig'!BQ89*'Reagent cost'!$C$14+'Costing 100 Lmin Feed Orig'!BV89*0.1*'Reagent cost'!$C$16+'Costing 100 Lmin Feed Orig'!BZ89*'Reagent cost'!$C$19)/1000*60*7200</f>
        <v>171796.84138996803</v>
      </c>
      <c r="EH89">
        <f>CG89*'Reagent cost'!$C$35*60*7200</f>
        <v>1835772.6194579462</v>
      </c>
      <c r="EI89">
        <f>CH89*'Reagent cost'!$C$34*60*7200</f>
        <v>436816.07464533864</v>
      </c>
      <c r="EJ89">
        <f>CI89*'Reagent cost'!$C$14*'Reagent cost'!$C$36/1000*60*7200</f>
        <v>7240585.7372008767</v>
      </c>
      <c r="EK89">
        <f t="shared" si="159"/>
        <v>39.6</v>
      </c>
      <c r="EL89">
        <f t="shared" si="160"/>
        <v>610.87663916145755</v>
      </c>
      <c r="EM89">
        <f>0.1*BM89*60*7200*'Reagent cost'!$H$17*'Reagent cost'!$C$17/1000</f>
        <v>466329.97858760261</v>
      </c>
      <c r="EN89">
        <f>CN89*0.1*'Reagent cost'!$C$16/1000*'Reagent cost'!$H$16*60*7200</f>
        <v>1796202.0988360315</v>
      </c>
      <c r="EO89">
        <f>CR89/1000*'Reagent cost'!$H$19*'Reagent cost'!$C$19*60*7200</f>
        <v>150920.26915336718</v>
      </c>
      <c r="EP89">
        <f>0.33*(CG89*'Reagent cost'!$C$13+CH89*'Reagent cost'!$C$12+CI89*'Reagent cost'!$C$14+CN89*0.1*'Reagent cost'!$C$16+CR89*'Reagent cost'!$C$19)/1000*60*7200</f>
        <v>308779.04244143527</v>
      </c>
      <c r="EQ89">
        <f t="shared" si="161"/>
        <v>22570263.749172557</v>
      </c>
      <c r="ER89">
        <f t="shared" si="162"/>
        <v>480575.88383140333</v>
      </c>
      <c r="ES89">
        <f t="shared" si="163"/>
        <v>49536.497143418172</v>
      </c>
      <c r="ET89">
        <f t="shared" si="164"/>
        <v>49831.318766753509</v>
      </c>
      <c r="EU89">
        <f t="shared" si="165"/>
        <v>21097.937381085154</v>
      </c>
      <c r="EV89">
        <f t="shared" si="166"/>
        <v>11176.166036369152</v>
      </c>
      <c r="EW89">
        <f t="shared" si="167"/>
        <v>11252.233269912085</v>
      </c>
      <c r="EX89">
        <f t="shared" si="168"/>
        <v>142894.15259753808</v>
      </c>
      <c r="EY89">
        <f t="shared" si="180"/>
        <v>46284.560976101428</v>
      </c>
      <c r="EZ89">
        <f t="shared" si="181"/>
        <v>46552.625005523769</v>
      </c>
      <c r="FA89">
        <f t="shared" si="182"/>
        <v>19709.780748306432</v>
      </c>
      <c r="FB89">
        <f t="shared" si="183"/>
        <v>10446.633381633772</v>
      </c>
      <c r="FC89">
        <f t="shared" si="184"/>
        <v>10511.883065763433</v>
      </c>
      <c r="FD89">
        <f t="shared" si="169"/>
        <v>133505.48317732883</v>
      </c>
      <c r="FE89">
        <f t="shared" si="170"/>
        <v>23327239.268778831</v>
      </c>
      <c r="FF89">
        <f t="shared" si="171"/>
        <v>23852688.462465148</v>
      </c>
      <c r="FG89">
        <f>BM89*AM89*195.08/1000*'PGM market prices'!$C$2*60*7200</f>
        <v>423418047.73340094</v>
      </c>
      <c r="FH89">
        <f>BN89*AQ89*BA89*106.42/1000*'PGM market prices'!$C$3*60*7200</f>
        <v>222222263.43425077</v>
      </c>
      <c r="FI89">
        <f>BK89*J89*102.91/1000*'PGM market prices'!$C$4*60*7200</f>
        <v>247606657.18542153</v>
      </c>
      <c r="FJ89">
        <f t="shared" si="172"/>
        <v>893246968.35307312</v>
      </c>
      <c r="FK89">
        <f t="shared" si="173"/>
        <v>643351767.11904991</v>
      </c>
      <c r="FL89">
        <f t="shared" si="185"/>
        <v>0.55214556626076727</v>
      </c>
      <c r="FM89">
        <f t="shared" si="186"/>
        <v>1900.1525337936505</v>
      </c>
      <c r="FN89">
        <f t="shared" si="187"/>
        <v>3534.5753594384573</v>
      </c>
      <c r="FO89">
        <f t="shared" si="188"/>
        <v>15889.753020451815</v>
      </c>
    </row>
    <row r="90" spans="1:171">
      <c r="A90">
        <v>11</v>
      </c>
      <c r="B90">
        <v>1.54143585092054E-3</v>
      </c>
      <c r="C90">
        <v>1.54143585092054E-3</v>
      </c>
      <c r="D90">
        <v>3.4254130020456501E-4</v>
      </c>
      <c r="E90">
        <v>0</v>
      </c>
      <c r="F90">
        <v>0</v>
      </c>
      <c r="G90">
        <v>0</v>
      </c>
      <c r="H90" s="53">
        <v>1.7771367359861701E-5</v>
      </c>
      <c r="I90" s="53">
        <v>1.8081057367328801E-10</v>
      </c>
      <c r="J90">
        <v>3.3765941525589702E-4</v>
      </c>
      <c r="K90">
        <v>0.139102253285185</v>
      </c>
      <c r="L90">
        <v>0.14072466572308701</v>
      </c>
      <c r="M90">
        <v>4.4568945720355099E-4</v>
      </c>
      <c r="N90" s="53">
        <v>-8.03393809811758E-16</v>
      </c>
      <c r="O90" s="53">
        <v>-8.4019770307808202E-13</v>
      </c>
      <c r="P90" s="53">
        <v>-2.26157796916898E-19</v>
      </c>
      <c r="Q90">
        <v>0.10953557168033</v>
      </c>
      <c r="R90">
        <v>98.5748039883795</v>
      </c>
      <c r="S90">
        <v>500</v>
      </c>
      <c r="T90">
        <v>95</v>
      </c>
      <c r="U90">
        <v>1</v>
      </c>
      <c r="V90">
        <v>0.1</v>
      </c>
      <c r="W90">
        <v>91.294543376138293</v>
      </c>
      <c r="X90" t="s">
        <v>323</v>
      </c>
      <c r="Y90">
        <v>1</v>
      </c>
      <c r="Z90">
        <v>0.28318429382522198</v>
      </c>
      <c r="AA90">
        <v>0.56945642916197003</v>
      </c>
      <c r="AB90">
        <v>3.7698628972227502E-3</v>
      </c>
      <c r="AC90">
        <v>1822.2107908876901</v>
      </c>
      <c r="AD90">
        <v>2662.6059073104898</v>
      </c>
      <c r="AE90">
        <v>2401.5030938442701</v>
      </c>
      <c r="AF90">
        <v>12</v>
      </c>
      <c r="AG90">
        <v>1.6497569194096201E-3</v>
      </c>
      <c r="AH90">
        <v>1.6689987798565299E-3</v>
      </c>
      <c r="AI90" s="53">
        <v>5.28589040482341E-6</v>
      </c>
      <c r="AJ90">
        <v>0</v>
      </c>
      <c r="AK90">
        <v>0</v>
      </c>
      <c r="AL90">
        <v>0</v>
      </c>
      <c r="AM90">
        <v>1.6128100720939401E-3</v>
      </c>
      <c r="AN90" s="53">
        <v>7.9633612290502494E-5</v>
      </c>
      <c r="AO90" s="53">
        <v>5.2511283460207698E-6</v>
      </c>
      <c r="AP90">
        <v>1.73325244157297E-3</v>
      </c>
      <c r="AQ90">
        <v>7.4560382210708806E-2</v>
      </c>
      <c r="AR90" s="53">
        <v>1.63075952813163E-6</v>
      </c>
      <c r="AS90" s="53">
        <v>3.8857128235522602E-16</v>
      </c>
      <c r="AT90" s="53">
        <v>-3.7970928484787298E-14</v>
      </c>
      <c r="AU90" s="53">
        <v>-3.6660644748350096E-21</v>
      </c>
      <c r="AV90">
        <v>0.196872452268469</v>
      </c>
      <c r="AW90">
        <v>99.342361340467505</v>
      </c>
      <c r="AX90">
        <v>500</v>
      </c>
      <c r="AY90">
        <v>95</v>
      </c>
      <c r="AZ90">
        <v>0.92356908198738696</v>
      </c>
      <c r="BA90">
        <v>0.1</v>
      </c>
      <c r="BB90">
        <v>46.912052516516702</v>
      </c>
      <c r="BC90" t="s">
        <v>251</v>
      </c>
      <c r="BD90">
        <v>1</v>
      </c>
      <c r="BE90">
        <v>1.8775014999999999E-2</v>
      </c>
      <c r="BF90">
        <v>0.10492961100000001</v>
      </c>
      <c r="BG90">
        <v>1.814625E-3</v>
      </c>
      <c r="BH90">
        <v>285.1951444</v>
      </c>
      <c r="BI90">
        <v>2169.8944889999998</v>
      </c>
      <c r="BJ90">
        <v>866.49409060000005</v>
      </c>
      <c r="BK90">
        <f t="shared" si="121"/>
        <v>100</v>
      </c>
      <c r="BL90">
        <f t="shared" si="122"/>
        <v>10.953557168032999</v>
      </c>
      <c r="BM90">
        <f t="shared" si="123"/>
        <v>92.356908198738694</v>
      </c>
      <c r="BN90">
        <f t="shared" si="124"/>
        <v>19.687245226846901</v>
      </c>
      <c r="BO90">
        <f t="shared" si="125"/>
        <v>3.9432805804918796</v>
      </c>
      <c r="BP90">
        <f t="shared" si="126"/>
        <v>0.262885372032792</v>
      </c>
      <c r="BQ90">
        <f t="shared" si="127"/>
        <v>1.3144268601639599</v>
      </c>
      <c r="BR90">
        <f t="shared" si="128"/>
        <v>0.65721343008197997</v>
      </c>
      <c r="BS90">
        <f t="shared" si="129"/>
        <v>1.0953557168032999</v>
      </c>
      <c r="BT90">
        <f t="shared" si="130"/>
        <v>6.5721343008197994</v>
      </c>
      <c r="BU90">
        <f t="shared" si="131"/>
        <v>17.525691468852798</v>
      </c>
      <c r="BV90">
        <f t="shared" si="174"/>
        <v>5.4767785840164995</v>
      </c>
      <c r="BW90">
        <f t="shared" si="132"/>
        <v>86.880129614722193</v>
      </c>
      <c r="BX90">
        <f t="shared" si="133"/>
        <v>103.31046536677169</v>
      </c>
      <c r="BY90">
        <f t="shared" si="175"/>
        <v>92.356908198738694</v>
      </c>
      <c r="BZ90">
        <f t="shared" si="176"/>
        <v>1.5334980035246197</v>
      </c>
      <c r="CA90">
        <f>7963.6*(BT90/1000)^0.6*1.7*('CAPEX+OPEX'!$G$116/'CAPEX+OPEX'!$G$115)</f>
        <v>783.18576571869824</v>
      </c>
      <c r="CB90">
        <f>7963.6*(BU90/1000)^0.6*1.7*('CAPEX+OPEX'!$G$116/'CAPEX+OPEX'!$G$115)</f>
        <v>1410.7368962988378</v>
      </c>
      <c r="CC90">
        <f>7963.6*(BX90/1000)^0.6*1.7*('CAPEX+OPEX'!$G$116/'CAPEX+OPEX'!$G$115)</f>
        <v>4090.0396535036848</v>
      </c>
      <c r="CD90">
        <f>7963.6*(BY90/1000)^0.6*1.7*('CAPEX+OPEX'!$G$116/'CAPEX+OPEX'!$G$115)</f>
        <v>3824.0411702856813</v>
      </c>
      <c r="CE90">
        <v>300</v>
      </c>
      <c r="CF90">
        <v>30</v>
      </c>
      <c r="CG90">
        <f t="shared" si="134"/>
        <v>7.0874082816648842</v>
      </c>
      <c r="CH90">
        <f t="shared" si="135"/>
        <v>0.47249388544432563</v>
      </c>
      <c r="CI90">
        <f t="shared" si="136"/>
        <v>2.3624694272216282</v>
      </c>
      <c r="CJ90">
        <f t="shared" si="137"/>
        <v>1.1812347136108141</v>
      </c>
      <c r="CK90">
        <f t="shared" si="138"/>
        <v>1.9687245226846901</v>
      </c>
      <c r="CL90">
        <f t="shared" si="139"/>
        <v>11.812347136108141</v>
      </c>
      <c r="CM90">
        <f t="shared" si="140"/>
        <v>31.499592362955042</v>
      </c>
      <c r="CN90">
        <f t="shared" si="177"/>
        <v>9.8436226134234506</v>
      </c>
      <c r="CO90">
        <v>0</v>
      </c>
      <c r="CP90">
        <f t="shared" si="141"/>
        <v>29.530867840270353</v>
      </c>
      <c r="CQ90">
        <f t="shared" si="178"/>
        <v>9.8436226134234506</v>
      </c>
      <c r="CR90">
        <f t="shared" si="179"/>
        <v>2.7562143317585659</v>
      </c>
      <c r="CS90">
        <f>7963.6*(CL90/1000)^0.6*1.7*('CAPEX+OPEX'!$G$116/'CAPEX+OPEX'!$G$115)</f>
        <v>1113.3780336691698</v>
      </c>
      <c r="CT90">
        <f>7963.6*(CM90/1000)^0.6*1.7*('CAPEX+OPEX'!$G$116/'CAPEX+OPEX'!$G$115)</f>
        <v>2005.5056416716079</v>
      </c>
      <c r="CU90">
        <f>7963.6*(CP90/1000)^0.6*1.7*('CAPEX+OPEX'!$G$116/'CAPEX+OPEX'!$G$115)</f>
        <v>1929.3306063000039</v>
      </c>
      <c r="CV90">
        <f>7963.6*(CQ90/1000)^0.6*1.7*('CAPEX+OPEX'!$G$116/'CAPEX+OPEX'!$G$115)</f>
        <v>998.0077206686999</v>
      </c>
      <c r="CW90">
        <v>300</v>
      </c>
      <c r="CX90">
        <f t="shared" si="142"/>
        <v>30</v>
      </c>
      <c r="CY90">
        <f t="shared" si="143"/>
        <v>10</v>
      </c>
      <c r="CZ90">
        <f t="shared" si="144"/>
        <v>9.2356908198738701</v>
      </c>
      <c r="DA90">
        <f t="shared" si="145"/>
        <v>3960</v>
      </c>
      <c r="DB90">
        <f t="shared" si="146"/>
        <v>3960</v>
      </c>
      <c r="DC90">
        <f>CF90*'Reagent cost'!$C$18/1000*'Reagent cost'!$H$18</f>
        <v>4784.413580611521</v>
      </c>
      <c r="DD90">
        <f>CX90*'Ligand cost'!$B$56*'Ligand cost'!$J$56</f>
        <v>30543.831958072875</v>
      </c>
      <c r="DE90">
        <f t="shared" si="147"/>
        <v>39625.826528698344</v>
      </c>
      <c r="DF90">
        <f t="shared" si="148"/>
        <v>4586243.4239371875</v>
      </c>
      <c r="DG90">
        <f t="shared" si="149"/>
        <v>11794834.586807497</v>
      </c>
      <c r="DH90">
        <f t="shared" si="150"/>
        <v>2275209.1661185985</v>
      </c>
      <c r="DI90">
        <f t="shared" si="151"/>
        <v>14083914.336508472</v>
      </c>
      <c r="DJ90">
        <f t="shared" si="152"/>
        <v>1662824.8986326549</v>
      </c>
      <c r="DK90" s="55">
        <f>DF90*($BK$2/10000)^0.72*0.6*((A90+1)/3)^0.6*('CAPEX+OPEX'!$G$116/'CAPEX+OPEX'!$G$114)</f>
        <v>535704.1899239067</v>
      </c>
      <c r="DL90" s="55">
        <f>DG90*($BK$2/10000)^0.72*0.6*((A90+1)/3)^0.6*('CAPEX+OPEX'!$G$116/'CAPEX+OPEX'!$G$114)</f>
        <v>1377716.2970969954</v>
      </c>
      <c r="DM90" s="55">
        <f>DH90*($BK$2/10000)^0.72*0.6*((A90+1)/3)^0.6*('CAPEX+OPEX'!$G$116/'CAPEX+OPEX'!$G$114)</f>
        <v>265759.78869361128</v>
      </c>
      <c r="DN90" s="55">
        <f>DI90*($BK$2/10000)^0.72*0.6*((A90+1)/3)^0.6*('CAPEX+OPEX'!$G$116/'CAPEX+OPEX'!$G$114)</f>
        <v>1645096.2635820836</v>
      </c>
      <c r="DO90" s="55">
        <f>DJ90*($BK$2/10000)^0.72*0.6*((A90+1)/3)^0.6*('CAPEX+OPEX'!$G$116/'CAPEX+OPEX'!$G$114)</f>
        <v>194229.17254195639</v>
      </c>
      <c r="DP90">
        <f t="shared" si="153"/>
        <v>4018505.7118385537</v>
      </c>
      <c r="DQ90">
        <f>DF90*(BM90/10000)^0.72*0.6*((AF90+1)/3)^0.6*('CAPEX+OPEX'!$G$116/'CAPEX+OPEX'!$G$114)</f>
        <v>530786.98416103702</v>
      </c>
      <c r="DR90">
        <f>DG90*(BM90/10000)^0.72*0.6*((AF90+1)/3)^0.6*('CAPEX+OPEX'!$G$116/'CAPEX+OPEX'!$G$114)</f>
        <v>1365070.2983478587</v>
      </c>
      <c r="DS90">
        <f>DH90*(BM90/10000)^0.72*0.6*((AF90+1)/3)^0.6*('CAPEX+OPEX'!$G$116/'CAPEX+OPEX'!$G$114)</f>
        <v>263320.391001596</v>
      </c>
      <c r="DT90">
        <f>DI90*(BM90/10000)^0.72*0.6*((AF90+1)/3)^0.6*('CAPEX+OPEX'!$G$116/'CAPEX+OPEX'!$G$114)</f>
        <v>1629995.9955985337</v>
      </c>
      <c r="DU90">
        <f>DJ90*(BM90/10000)^0.72*0.6*((AF90+1)/3)^0.6*('CAPEX+OPEX'!$G$116/'CAPEX+OPEX'!$G$114)</f>
        <v>192446.35130496664</v>
      </c>
      <c r="DV90">
        <f t="shared" si="154"/>
        <v>3981620.020413992</v>
      </c>
      <c r="DW90">
        <f t="shared" si="155"/>
        <v>8068438.5739333667</v>
      </c>
      <c r="DX90">
        <f t="shared" si="156"/>
        <v>537895.9049288911</v>
      </c>
      <c r="DY90">
        <f>BO90*'Reagent cost'!$C$35*60*7200</f>
        <v>1021377.4064438964</v>
      </c>
      <c r="DZ90">
        <f>BP90*'Reagent cost'!$C$34*60*7200</f>
        <v>243033.40440168275</v>
      </c>
      <c r="EA90">
        <f>BQ90*'Reagent cost'!$C$14*'Reagent cost'!$C$36/1000*60*7200</f>
        <v>4028478.5833555758</v>
      </c>
      <c r="EB90">
        <f t="shared" si="157"/>
        <v>39.6</v>
      </c>
      <c r="EC90">
        <f t="shared" si="158"/>
        <v>95.688271612230423</v>
      </c>
      <c r="ED90">
        <f>0.1*BK90*60*7200*'Reagent cost'!$H$17*'Reagent cost'!$C$17/1000</f>
        <v>504921.59999999998</v>
      </c>
      <c r="EE90">
        <f>BV90*0.1*'Reagent cost'!$C$16/1000*'Reagent cost'!$H$16*60*7200</f>
        <v>999361.370636379</v>
      </c>
      <c r="EF90">
        <f>BZ90/1000*'Reagent cost'!$H$19*'Reagent cost'!$C$19*60*7200</f>
        <v>83968.216680994068</v>
      </c>
      <c r="EG90">
        <f>0.33*('Costing 100 Lmin Feed Orig'!BO90*'Reagent cost'!$C$13+'Costing 100 Lmin Feed Orig'!BP90*'Reagent cost'!$C$12+'Costing 100 Lmin Feed Orig'!BQ90*'Reagent cost'!$C$14+'Costing 100 Lmin Feed Orig'!BV90*0.1*'Reagent cost'!$C$16+'Costing 100 Lmin Feed Orig'!BZ90*'Reagent cost'!$C$19)/1000*60*7200</f>
        <v>171796.84138996803</v>
      </c>
      <c r="EH90">
        <f>CG90*'Reagent cost'!$C$35*60*7200</f>
        <v>1835760.4896157044</v>
      </c>
      <c r="EI90">
        <f>CH90*'Reagent cost'!$C$34*60*7200</f>
        <v>436813.18838915537</v>
      </c>
      <c r="EJ90">
        <f>CI90*'Reagent cost'!$C$14*'Reagent cost'!$C$36/1000*60*7200</f>
        <v>7240537.89513057</v>
      </c>
      <c r="EK90">
        <f t="shared" si="159"/>
        <v>39.6</v>
      </c>
      <c r="EL90">
        <f t="shared" si="160"/>
        <v>610.87663916145755</v>
      </c>
      <c r="EM90">
        <f>0.1*BM90*60*7200*'Reagent cost'!$H$17*'Reagent cost'!$C$17/1000</f>
        <v>466329.97858760261</v>
      </c>
      <c r="EN90">
        <f>CN90*0.1*'Reagent cost'!$C$16/1000*'Reagent cost'!$H$16*60*7200</f>
        <v>1796190.2304554582</v>
      </c>
      <c r="EO90">
        <f>CR90/1000*'Reagent cost'!$H$19*'Reagent cost'!$C$19*60*7200</f>
        <v>150919.27194977202</v>
      </c>
      <c r="EP90">
        <f>0.33*(CG90*'Reagent cost'!$C$13+CH90*'Reagent cost'!$C$12+CI90*'Reagent cost'!$C$14+CN90*0.1*'Reagent cost'!$C$16+CR90*'Reagent cost'!$C$19)/1000*60*7200</f>
        <v>308777.00218817469</v>
      </c>
      <c r="EQ90">
        <f t="shared" si="161"/>
        <v>22570172.880669076</v>
      </c>
      <c r="ER90">
        <f t="shared" si="162"/>
        <v>480573.8435781427</v>
      </c>
      <c r="ES90">
        <f t="shared" si="163"/>
        <v>49536.497143418172</v>
      </c>
      <c r="ET90">
        <f t="shared" si="164"/>
        <v>49831.318766753509</v>
      </c>
      <c r="EU90">
        <f t="shared" si="165"/>
        <v>21097.937381085154</v>
      </c>
      <c r="EV90">
        <f t="shared" si="166"/>
        <v>11176.166036369152</v>
      </c>
      <c r="EW90">
        <f t="shared" si="167"/>
        <v>11252.233269912085</v>
      </c>
      <c r="EX90">
        <f t="shared" si="168"/>
        <v>142894.15259753808</v>
      </c>
      <c r="EY90">
        <f t="shared" si="180"/>
        <v>48855.925474773729</v>
      </c>
      <c r="EZ90">
        <f t="shared" si="181"/>
        <v>50432.010422650754</v>
      </c>
      <c r="FA90">
        <f t="shared" si="182"/>
        <v>21352.262477331969</v>
      </c>
      <c r="FB90">
        <f t="shared" si="183"/>
        <v>11317.186163436589</v>
      </c>
      <c r="FC90">
        <f t="shared" si="184"/>
        <v>11387.873321243722</v>
      </c>
      <c r="FD90">
        <f t="shared" si="169"/>
        <v>143345.25785943674</v>
      </c>
      <c r="FE90">
        <f t="shared" si="170"/>
        <v>23336986.134704191</v>
      </c>
      <c r="FF90">
        <f t="shared" si="171"/>
        <v>23874882.039633084</v>
      </c>
      <c r="FG90">
        <f>BM90*AM90*195.08/1000*'PGM market prices'!$C$2*60*7200</f>
        <v>423418277.47853184</v>
      </c>
      <c r="FH90">
        <f>BN90*AQ90*BA90*106.42/1000*'PGM market prices'!$C$3*60*7200</f>
        <v>222222257.08054096</v>
      </c>
      <c r="FI90">
        <f>BK90*J90*102.91/1000*'PGM market prices'!$C$4*60*7200</f>
        <v>247606657.18542153</v>
      </c>
      <c r="FJ90">
        <f t="shared" si="172"/>
        <v>893247191.7444942</v>
      </c>
      <c r="FK90">
        <f t="shared" si="173"/>
        <v>643335509.18159723</v>
      </c>
      <c r="FL90">
        <f t="shared" si="185"/>
        <v>0.55265930647298811</v>
      </c>
      <c r="FM90">
        <f t="shared" si="186"/>
        <v>1901.9194862519985</v>
      </c>
      <c r="FN90">
        <f t="shared" si="187"/>
        <v>3537.8641829982093</v>
      </c>
      <c r="FO90">
        <f t="shared" si="188"/>
        <v>15904.537536687532</v>
      </c>
    </row>
    <row r="91" spans="1:171">
      <c r="A91">
        <v>11</v>
      </c>
      <c r="B91">
        <v>1.54143585092054E-3</v>
      </c>
      <c r="C91">
        <v>1.54143585092054E-3</v>
      </c>
      <c r="D91">
        <v>3.4254130020456501E-4</v>
      </c>
      <c r="E91">
        <v>0</v>
      </c>
      <c r="F91">
        <v>0</v>
      </c>
      <c r="G91">
        <v>0</v>
      </c>
      <c r="H91" s="53">
        <v>1.7771367359861701E-5</v>
      </c>
      <c r="I91" s="53">
        <v>1.8081057367328801E-10</v>
      </c>
      <c r="J91">
        <v>3.3765941525589702E-4</v>
      </c>
      <c r="K91">
        <v>0.139102253285185</v>
      </c>
      <c r="L91">
        <v>0.14072466572308701</v>
      </c>
      <c r="M91">
        <v>4.4568945720355099E-4</v>
      </c>
      <c r="N91" s="53">
        <v>-8.03393809811758E-16</v>
      </c>
      <c r="O91" s="53">
        <v>-8.4019770307808202E-13</v>
      </c>
      <c r="P91" s="53">
        <v>-2.26157796916898E-19</v>
      </c>
      <c r="Q91">
        <v>0.10953557168033</v>
      </c>
      <c r="R91">
        <v>98.5748039883795</v>
      </c>
      <c r="S91">
        <v>500</v>
      </c>
      <c r="T91">
        <v>95</v>
      </c>
      <c r="U91">
        <v>1</v>
      </c>
      <c r="V91">
        <v>0.1</v>
      </c>
      <c r="W91">
        <v>91.294543376138293</v>
      </c>
      <c r="X91" t="s">
        <v>323</v>
      </c>
      <c r="Y91">
        <v>1</v>
      </c>
      <c r="Z91">
        <v>0.28318429382522198</v>
      </c>
      <c r="AA91">
        <v>0.56945642916197003</v>
      </c>
      <c r="AB91">
        <v>3.7698628972227502E-3</v>
      </c>
      <c r="AC91">
        <v>1822.2107908876901</v>
      </c>
      <c r="AD91">
        <v>2662.6059073104898</v>
      </c>
      <c r="AE91">
        <v>2401.5030938442701</v>
      </c>
      <c r="AF91">
        <v>13</v>
      </c>
      <c r="AG91">
        <v>1.6497569194096201E-3</v>
      </c>
      <c r="AH91">
        <v>1.6689987798565299E-3</v>
      </c>
      <c r="AI91" s="53">
        <v>5.28589040482341E-6</v>
      </c>
      <c r="AJ91">
        <v>0</v>
      </c>
      <c r="AK91">
        <v>0</v>
      </c>
      <c r="AL91">
        <v>0</v>
      </c>
      <c r="AM91">
        <v>1.6128103180087E-3</v>
      </c>
      <c r="AN91" s="53">
        <v>7.9633625011629096E-5</v>
      </c>
      <c r="AO91" s="53">
        <v>5.2511285677767398E-6</v>
      </c>
      <c r="AP91">
        <v>1.7332441234993001E-3</v>
      </c>
      <c r="AQ91">
        <v>7.4560520055328497E-2</v>
      </c>
      <c r="AR91" s="53">
        <v>1.6307521530699199E-6</v>
      </c>
      <c r="AS91" s="53">
        <v>4.9466724119651101E-19</v>
      </c>
      <c r="AT91" s="53">
        <v>-1.2576745200831801E-17</v>
      </c>
      <c r="AU91" s="53">
        <v>1.39628087398951E-21</v>
      </c>
      <c r="AV91">
        <v>0.19687208671741999</v>
      </c>
      <c r="AW91">
        <v>99.342365535710996</v>
      </c>
      <c r="AX91">
        <v>500</v>
      </c>
      <c r="AY91">
        <v>95</v>
      </c>
      <c r="AZ91">
        <v>0.92356908198738696</v>
      </c>
      <c r="BA91">
        <v>0.1</v>
      </c>
      <c r="BB91">
        <v>46.912139622567501</v>
      </c>
      <c r="BC91" t="s">
        <v>251</v>
      </c>
      <c r="BD91">
        <v>1</v>
      </c>
      <c r="BE91">
        <v>1.8775014999999999E-2</v>
      </c>
      <c r="BF91">
        <v>0.10492961100000001</v>
      </c>
      <c r="BG91">
        <v>1.814625E-3</v>
      </c>
      <c r="BH91">
        <v>285.1951444</v>
      </c>
      <c r="BI91">
        <v>2169.8944889999998</v>
      </c>
      <c r="BJ91">
        <v>866.49409060000005</v>
      </c>
      <c r="BK91">
        <f t="shared" si="121"/>
        <v>100</v>
      </c>
      <c r="BL91">
        <f t="shared" si="122"/>
        <v>10.953557168032999</v>
      </c>
      <c r="BM91">
        <f t="shared" si="123"/>
        <v>92.356908198738694</v>
      </c>
      <c r="BN91">
        <f t="shared" si="124"/>
        <v>19.687208671741999</v>
      </c>
      <c r="BO91">
        <f t="shared" si="125"/>
        <v>3.9432805804918796</v>
      </c>
      <c r="BP91">
        <f t="shared" si="126"/>
        <v>0.262885372032792</v>
      </c>
      <c r="BQ91">
        <f t="shared" si="127"/>
        <v>1.3144268601639599</v>
      </c>
      <c r="BR91">
        <f t="shared" si="128"/>
        <v>0.65721343008197997</v>
      </c>
      <c r="BS91">
        <f t="shared" si="129"/>
        <v>1.0953557168032999</v>
      </c>
      <c r="BT91">
        <f t="shared" si="130"/>
        <v>6.5721343008197994</v>
      </c>
      <c r="BU91">
        <f t="shared" si="131"/>
        <v>17.525691468852798</v>
      </c>
      <c r="BV91">
        <f t="shared" si="174"/>
        <v>5.4767785840164995</v>
      </c>
      <c r="BW91">
        <f t="shared" si="132"/>
        <v>86.880129614722193</v>
      </c>
      <c r="BX91">
        <f t="shared" si="133"/>
        <v>103.31046536677169</v>
      </c>
      <c r="BY91">
        <f t="shared" si="175"/>
        <v>92.356908198738694</v>
      </c>
      <c r="BZ91">
        <f t="shared" si="176"/>
        <v>1.5334980035246197</v>
      </c>
      <c r="CA91">
        <f>7963.6*(BT91/1000)^0.6*1.7*('CAPEX+OPEX'!$G$116/'CAPEX+OPEX'!$G$115)</f>
        <v>783.18576571869824</v>
      </c>
      <c r="CB91">
        <f>7963.6*(BU91/1000)^0.6*1.7*('CAPEX+OPEX'!$G$116/'CAPEX+OPEX'!$G$115)</f>
        <v>1410.7368962988378</v>
      </c>
      <c r="CC91">
        <f>7963.6*(BX91/1000)^0.6*1.7*('CAPEX+OPEX'!$G$116/'CAPEX+OPEX'!$G$115)</f>
        <v>4090.0396535036848</v>
      </c>
      <c r="CD91">
        <f>7963.6*(BY91/1000)^0.6*1.7*('CAPEX+OPEX'!$G$116/'CAPEX+OPEX'!$G$115)</f>
        <v>3824.0411702856813</v>
      </c>
      <c r="CE91">
        <v>300</v>
      </c>
      <c r="CF91">
        <v>30</v>
      </c>
      <c r="CG91">
        <f t="shared" si="134"/>
        <v>7.0873951218271189</v>
      </c>
      <c r="CH91">
        <f t="shared" si="135"/>
        <v>0.472493008121808</v>
      </c>
      <c r="CI91">
        <f t="shared" si="136"/>
        <v>2.3624650406090399</v>
      </c>
      <c r="CJ91">
        <f t="shared" si="137"/>
        <v>1.18123252030452</v>
      </c>
      <c r="CK91">
        <f t="shared" si="138"/>
        <v>1.9687208671742</v>
      </c>
      <c r="CL91">
        <f t="shared" si="139"/>
        <v>11.8123252030452</v>
      </c>
      <c r="CM91">
        <f t="shared" si="140"/>
        <v>31.4995338747872</v>
      </c>
      <c r="CN91">
        <f t="shared" si="177"/>
        <v>9.8436043358709995</v>
      </c>
      <c r="CO91">
        <v>0</v>
      </c>
      <c r="CP91">
        <f t="shared" si="141"/>
        <v>29.530813007612998</v>
      </c>
      <c r="CQ91">
        <f t="shared" si="178"/>
        <v>9.8436043358709995</v>
      </c>
      <c r="CR91">
        <f t="shared" si="179"/>
        <v>2.7562092140438801</v>
      </c>
      <c r="CS91">
        <f>7963.6*(CL91/1000)^0.6*1.7*('CAPEX+OPEX'!$G$116/'CAPEX+OPEX'!$G$115)</f>
        <v>1113.3767932823464</v>
      </c>
      <c r="CT91">
        <f>7963.6*(CM91/1000)^0.6*1.7*('CAPEX+OPEX'!$G$116/'CAPEX+OPEX'!$G$115)</f>
        <v>2005.5034073875679</v>
      </c>
      <c r="CU91">
        <f>7963.6*(CP91/1000)^0.6*1.7*('CAPEX+OPEX'!$G$116/'CAPEX+OPEX'!$G$115)</f>
        <v>1929.3284568806803</v>
      </c>
      <c r="CV91">
        <f>7963.6*(CQ91/1000)^0.6*1.7*('CAPEX+OPEX'!$G$116/'CAPEX+OPEX'!$G$115)</f>
        <v>998.00660881307829</v>
      </c>
      <c r="CW91">
        <v>300</v>
      </c>
      <c r="CX91">
        <f t="shared" si="142"/>
        <v>30</v>
      </c>
      <c r="CY91">
        <f t="shared" si="143"/>
        <v>10</v>
      </c>
      <c r="CZ91">
        <f t="shared" si="144"/>
        <v>9.2356908198738701</v>
      </c>
      <c r="DA91">
        <f t="shared" si="145"/>
        <v>3960</v>
      </c>
      <c r="DB91">
        <f t="shared" si="146"/>
        <v>3960</v>
      </c>
      <c r="DC91">
        <f>CF91*'Reagent cost'!$C$18/1000*'Reagent cost'!$H$18</f>
        <v>4784.413580611521</v>
      </c>
      <c r="DD91">
        <f>CX91*'Ligand cost'!$B$56*'Ligand cost'!$J$56</f>
        <v>30543.831958072875</v>
      </c>
      <c r="DE91">
        <f t="shared" si="147"/>
        <v>39625.826528698344</v>
      </c>
      <c r="DF91">
        <f t="shared" si="148"/>
        <v>4586243.4239371875</v>
      </c>
      <c r="DG91">
        <f t="shared" si="149"/>
        <v>11794834.586807497</v>
      </c>
      <c r="DH91">
        <f t="shared" si="150"/>
        <v>2275209.1661185985</v>
      </c>
      <c r="DI91">
        <f t="shared" si="151"/>
        <v>14083914.336508472</v>
      </c>
      <c r="DJ91">
        <f t="shared" si="152"/>
        <v>1662824.8986326549</v>
      </c>
      <c r="DK91" s="55">
        <f>DF91*($BK$2/10000)^0.72*0.6*((A91+1)/3)^0.6*('CAPEX+OPEX'!$G$116/'CAPEX+OPEX'!$G$114)</f>
        <v>535704.1899239067</v>
      </c>
      <c r="DL91" s="55">
        <f>DG91*($BK$2/10000)^0.72*0.6*((A91+1)/3)^0.6*('CAPEX+OPEX'!$G$116/'CAPEX+OPEX'!$G$114)</f>
        <v>1377716.2970969954</v>
      </c>
      <c r="DM91" s="55">
        <f>DH91*($BK$2/10000)^0.72*0.6*((A91+1)/3)^0.6*('CAPEX+OPEX'!$G$116/'CAPEX+OPEX'!$G$114)</f>
        <v>265759.78869361128</v>
      </c>
      <c r="DN91" s="55">
        <f>DI91*($BK$2/10000)^0.72*0.6*((A91+1)/3)^0.6*('CAPEX+OPEX'!$G$116/'CAPEX+OPEX'!$G$114)</f>
        <v>1645096.2635820836</v>
      </c>
      <c r="DO91" s="55">
        <f>DJ91*($BK$2/10000)^0.72*0.6*((A91+1)/3)^0.6*('CAPEX+OPEX'!$G$116/'CAPEX+OPEX'!$G$114)</f>
        <v>194229.17254195639</v>
      </c>
      <c r="DP91">
        <f t="shared" si="153"/>
        <v>4018505.7118385537</v>
      </c>
      <c r="DQ91">
        <f>DF91*(BM91/10000)^0.72*0.6*((AF91+1)/3)^0.6*('CAPEX+OPEX'!$G$116/'CAPEX+OPEX'!$G$114)</f>
        <v>554920.89068254211</v>
      </c>
      <c r="DR91">
        <f>DG91*(BM91/10000)^0.72*0.6*((AF91+1)/3)^0.6*('CAPEX+OPEX'!$G$116/'CAPEX+OPEX'!$G$114)</f>
        <v>1427137.5305119676</v>
      </c>
      <c r="DS91">
        <f>DH91*(BM91/10000)^0.72*0.6*((AF91+1)/3)^0.6*('CAPEX+OPEX'!$G$116/'CAPEX+OPEX'!$G$114)</f>
        <v>275293.08417470258</v>
      </c>
      <c r="DT91">
        <f>DI91*(BM91/10000)^0.72*0.6*((AF91+1)/3)^0.6*('CAPEX+OPEX'!$G$116/'CAPEX+OPEX'!$G$114)</f>
        <v>1704108.9112541061</v>
      </c>
      <c r="DU91">
        <f>DJ91*(BM91/10000)^0.72*0.6*((AF91+1)/3)^0.6*('CAPEX+OPEX'!$G$116/'CAPEX+OPEX'!$G$114)</f>
        <v>201196.53243485978</v>
      </c>
      <c r="DV91">
        <f t="shared" si="154"/>
        <v>4162656.9490581779</v>
      </c>
      <c r="DW91">
        <f t="shared" si="155"/>
        <v>8249475.4948312147</v>
      </c>
      <c r="DX91">
        <f t="shared" si="156"/>
        <v>549965.0329887477</v>
      </c>
      <c r="DY91">
        <f>BO91*'Reagent cost'!$C$35*60*7200</f>
        <v>1021377.4064438964</v>
      </c>
      <c r="DZ91">
        <f>BP91*'Reagent cost'!$C$34*60*7200</f>
        <v>243033.40440168275</v>
      </c>
      <c r="EA91">
        <f>BQ91*'Reagent cost'!$C$14*'Reagent cost'!$C$36/1000*60*7200</f>
        <v>4028478.5833555758</v>
      </c>
      <c r="EB91">
        <f t="shared" si="157"/>
        <v>39.6</v>
      </c>
      <c r="EC91">
        <f t="shared" si="158"/>
        <v>95.688271612230423</v>
      </c>
      <c r="ED91">
        <f>0.1*BK91*60*7200*'Reagent cost'!$H$17*'Reagent cost'!$C$17/1000</f>
        <v>504921.59999999998</v>
      </c>
      <c r="EE91">
        <f>BV91*0.1*'Reagent cost'!$C$16/1000*'Reagent cost'!$H$16*60*7200</f>
        <v>999361.370636379</v>
      </c>
      <c r="EF91">
        <f>BZ91/1000*'Reagent cost'!$H$19*'Reagent cost'!$C$19*60*7200</f>
        <v>83968.216680994068</v>
      </c>
      <c r="EG91">
        <f>0.33*('Costing 100 Lmin Feed Orig'!BO91*'Reagent cost'!$C$13+'Costing 100 Lmin Feed Orig'!BP91*'Reagent cost'!$C$12+'Costing 100 Lmin Feed Orig'!BQ91*'Reagent cost'!$C$14+'Costing 100 Lmin Feed Orig'!BV91*0.1*'Reagent cost'!$C$16+'Costing 100 Lmin Feed Orig'!BZ91*'Reagent cost'!$C$19)/1000*60*7200</f>
        <v>171796.84138996803</v>
      </c>
      <c r="EH91">
        <f>CG91*'Reagent cost'!$C$35*60*7200</f>
        <v>1835757.0809916686</v>
      </c>
      <c r="EI91">
        <f>CH91*'Reagent cost'!$C$34*60*7200</f>
        <v>436812.37731824419</v>
      </c>
      <c r="EJ91">
        <f>CI91*'Reagent cost'!$C$14*'Reagent cost'!$C$36/1000*60*7200</f>
        <v>7240524.4509630762</v>
      </c>
      <c r="EK91">
        <f t="shared" si="159"/>
        <v>39.6</v>
      </c>
      <c r="EL91">
        <f t="shared" si="160"/>
        <v>610.87663916145755</v>
      </c>
      <c r="EM91">
        <f>0.1*BM91*60*7200*'Reagent cost'!$H$17*'Reagent cost'!$C$17/1000</f>
        <v>466329.97858760261</v>
      </c>
      <c r="EN91">
        <f>CN91*0.1*'Reagent cost'!$C$16/1000*'Reagent cost'!$H$16*60*7200</f>
        <v>1796186.8953051346</v>
      </c>
      <c r="EO91">
        <f>CR91/1000*'Reagent cost'!$H$19*'Reagent cost'!$C$19*60*7200</f>
        <v>150918.99172418669</v>
      </c>
      <c r="EP91">
        <f>0.33*(CG91*'Reagent cost'!$C$13+CH91*'Reagent cost'!$C$12+CI91*'Reagent cost'!$C$14+CN91*0.1*'Reagent cost'!$C$16+CR91*'Reagent cost'!$C$19)/1000*60*7200</f>
        <v>308776.42885373527</v>
      </c>
      <c r="EQ91">
        <f t="shared" si="161"/>
        <v>22570147.345583059</v>
      </c>
      <c r="ER91">
        <f t="shared" si="162"/>
        <v>480573.27024370327</v>
      </c>
      <c r="ES91">
        <f t="shared" si="163"/>
        <v>49536.497143418172</v>
      </c>
      <c r="ET91">
        <f t="shared" si="164"/>
        <v>49831.318766753509</v>
      </c>
      <c r="EU91">
        <f t="shared" si="165"/>
        <v>21097.937381085154</v>
      </c>
      <c r="EV91">
        <f t="shared" si="166"/>
        <v>11176.166036369152</v>
      </c>
      <c r="EW91">
        <f t="shared" si="167"/>
        <v>11252.233269912085</v>
      </c>
      <c r="EX91">
        <f t="shared" si="168"/>
        <v>142894.15259753808</v>
      </c>
      <c r="EY91">
        <f t="shared" si="180"/>
        <v>51427.28997344603</v>
      </c>
      <c r="EZ91">
        <f t="shared" si="181"/>
        <v>54311.395839777724</v>
      </c>
      <c r="FA91">
        <f t="shared" si="182"/>
        <v>22994.7442063575</v>
      </c>
      <c r="FB91">
        <f t="shared" si="183"/>
        <v>12187.738945239398</v>
      </c>
      <c r="FC91">
        <f t="shared" si="184"/>
        <v>12263.863576724005</v>
      </c>
      <c r="FD91">
        <f t="shared" si="169"/>
        <v>153185.03254154464</v>
      </c>
      <c r="FE91">
        <f t="shared" si="170"/>
        <v>23346799.800965846</v>
      </c>
      <c r="FF91">
        <f t="shared" si="171"/>
        <v>23896764.833954595</v>
      </c>
      <c r="FG91">
        <f>BM91*AM91*195.08/1000*'PGM market prices'!$C$2*60*7200</f>
        <v>423418342.03963923</v>
      </c>
      <c r="FH91">
        <f>BN91*AQ91*BA91*106.42/1000*'PGM market prices'!$C$3*60*7200</f>
        <v>222222255.29614824</v>
      </c>
      <c r="FI91">
        <f>BK91*J91*102.91/1000*'PGM market prices'!$C$4*60*7200</f>
        <v>247606657.18542153</v>
      </c>
      <c r="FJ91">
        <f t="shared" si="172"/>
        <v>893247254.521209</v>
      </c>
      <c r="FK91">
        <f t="shared" si="173"/>
        <v>643319362.3685683</v>
      </c>
      <c r="FL91">
        <f t="shared" si="185"/>
        <v>0.5531658526378378</v>
      </c>
      <c r="FM91">
        <f t="shared" si="186"/>
        <v>1903.6624218977415</v>
      </c>
      <c r="FN91">
        <f t="shared" si="187"/>
        <v>3541.1068810350012</v>
      </c>
      <c r="FO91">
        <f t="shared" si="188"/>
        <v>15919.115021221964</v>
      </c>
    </row>
    <row r="92" spans="1:171">
      <c r="A92">
        <v>12</v>
      </c>
      <c r="B92">
        <v>1.54143585092054E-3</v>
      </c>
      <c r="C92">
        <v>1.54143585092054E-3</v>
      </c>
      <c r="D92">
        <v>3.4254130020456501E-4</v>
      </c>
      <c r="E92">
        <v>0</v>
      </c>
      <c r="F92">
        <v>0</v>
      </c>
      <c r="G92">
        <v>0</v>
      </c>
      <c r="H92" s="53">
        <v>1.7771599281349402E-5</v>
      </c>
      <c r="I92" s="53">
        <v>6.3113732322488897E-11</v>
      </c>
      <c r="J92">
        <v>3.37661562480901E-4</v>
      </c>
      <c r="K92">
        <v>0.13911791568267901</v>
      </c>
      <c r="L92">
        <v>0.140740543921716</v>
      </c>
      <c r="M92">
        <v>4.45543656000266E-4</v>
      </c>
      <c r="N92" s="53">
        <v>-4.7646348672047899E-15</v>
      </c>
      <c r="O92" s="53">
        <v>-1.1300289697036E-11</v>
      </c>
      <c r="P92" s="53">
        <v>-4.6756218688437302E-19</v>
      </c>
      <c r="Q92">
        <v>0.10952322309941399</v>
      </c>
      <c r="R92">
        <v>98.575430839799395</v>
      </c>
      <c r="S92">
        <v>500</v>
      </c>
      <c r="T92">
        <v>95</v>
      </c>
      <c r="U92">
        <v>1</v>
      </c>
      <c r="V92">
        <v>0.1</v>
      </c>
      <c r="W92">
        <v>91.304836700459305</v>
      </c>
      <c r="X92" t="s">
        <v>323</v>
      </c>
      <c r="Y92">
        <v>1</v>
      </c>
      <c r="Z92">
        <v>0.28318429382522198</v>
      </c>
      <c r="AA92">
        <v>0.56945642916197003</v>
      </c>
      <c r="AB92">
        <v>3.7698628972227502E-3</v>
      </c>
      <c r="AC92">
        <v>1822.2107908876901</v>
      </c>
      <c r="AD92">
        <v>2662.6059073104898</v>
      </c>
      <c r="AE92">
        <v>2401.5030938442701</v>
      </c>
      <c r="AF92">
        <v>4</v>
      </c>
      <c r="AG92">
        <v>1.6497575706444501E-3</v>
      </c>
      <c r="AH92">
        <v>1.66899983148883E-3</v>
      </c>
      <c r="AI92" s="53">
        <v>5.28356837386519E-6</v>
      </c>
      <c r="AJ92">
        <v>0</v>
      </c>
      <c r="AK92">
        <v>0</v>
      </c>
      <c r="AL92">
        <v>0</v>
      </c>
      <c r="AM92">
        <v>1.6048452348297699E-3</v>
      </c>
      <c r="AN92" s="53">
        <v>7.9223897063492306E-5</v>
      </c>
      <c r="AO92" s="53">
        <v>5.2416416138490404E-6</v>
      </c>
      <c r="AP92">
        <v>1.9874016210830801E-3</v>
      </c>
      <c r="AQ92">
        <v>7.0348673954820695E-2</v>
      </c>
      <c r="AR92" s="53">
        <v>1.85528784684309E-6</v>
      </c>
      <c r="AS92" s="53">
        <v>-9.4900622733470806E-15</v>
      </c>
      <c r="AT92" s="53">
        <v>-1.22378452857563E-13</v>
      </c>
      <c r="AU92" s="53">
        <v>-3.0328014676440201E-18</v>
      </c>
      <c r="AV92">
        <v>0.20871283207273</v>
      </c>
      <c r="AW92">
        <v>99.206468866315106</v>
      </c>
      <c r="AX92">
        <v>500</v>
      </c>
      <c r="AY92">
        <v>95</v>
      </c>
      <c r="AZ92">
        <v>0.92356857683566096</v>
      </c>
      <c r="BA92">
        <v>0.1</v>
      </c>
      <c r="BB92">
        <v>44.250684908239002</v>
      </c>
      <c r="BC92" t="s">
        <v>251</v>
      </c>
      <c r="BD92">
        <v>1</v>
      </c>
      <c r="BE92">
        <v>1.8775014999999999E-2</v>
      </c>
      <c r="BF92">
        <v>0.10492961100000001</v>
      </c>
      <c r="BG92">
        <v>1.814625E-3</v>
      </c>
      <c r="BH92">
        <v>285.1951444</v>
      </c>
      <c r="BI92">
        <v>2169.8944889999998</v>
      </c>
      <c r="BJ92">
        <v>866.49409060000005</v>
      </c>
      <c r="BK92">
        <f t="shared" si="121"/>
        <v>100</v>
      </c>
      <c r="BL92">
        <f t="shared" si="122"/>
        <v>10.952322309941399</v>
      </c>
      <c r="BM92">
        <f t="shared" si="123"/>
        <v>92.356857683566091</v>
      </c>
      <c r="BN92">
        <f t="shared" si="124"/>
        <v>20.871283207272999</v>
      </c>
      <c r="BO92">
        <f t="shared" si="125"/>
        <v>3.9428360315789037</v>
      </c>
      <c r="BP92">
        <f t="shared" si="126"/>
        <v>0.26285573543859359</v>
      </c>
      <c r="BQ92">
        <f t="shared" si="127"/>
        <v>1.314278677192968</v>
      </c>
      <c r="BR92">
        <f t="shared" si="128"/>
        <v>0.65713933859648399</v>
      </c>
      <c r="BS92">
        <f t="shared" si="129"/>
        <v>1.09523223099414</v>
      </c>
      <c r="BT92">
        <f t="shared" si="130"/>
        <v>6.5713933859648392</v>
      </c>
      <c r="BU92">
        <f t="shared" si="131"/>
        <v>17.52371569590624</v>
      </c>
      <c r="BV92">
        <f t="shared" si="174"/>
        <v>5.4761611549706997</v>
      </c>
      <c r="BW92">
        <f t="shared" si="132"/>
        <v>86.880696528595394</v>
      </c>
      <c r="BX92">
        <f t="shared" si="133"/>
        <v>103.30917999350748</v>
      </c>
      <c r="BY92">
        <f t="shared" si="175"/>
        <v>92.356857683566091</v>
      </c>
      <c r="BZ92">
        <f t="shared" si="176"/>
        <v>1.5333251233917959</v>
      </c>
      <c r="CA92">
        <f>7963.6*(BT92/1000)^0.6*1.7*('CAPEX+OPEX'!$G$116/'CAPEX+OPEX'!$G$115)</f>
        <v>783.13278867723739</v>
      </c>
      <c r="CB92">
        <f>7963.6*(BU92/1000)^0.6*1.7*('CAPEX+OPEX'!$G$116/'CAPEX+OPEX'!$G$115)</f>
        <v>1410.6414698108749</v>
      </c>
      <c r="CC92">
        <f>7963.6*(BX92/1000)^0.6*1.7*('CAPEX+OPEX'!$G$116/'CAPEX+OPEX'!$G$115)</f>
        <v>4090.00912083296</v>
      </c>
      <c r="CD92">
        <f>7963.6*(BY92/1000)^0.6*1.7*('CAPEX+OPEX'!$G$116/'CAPEX+OPEX'!$G$115)</f>
        <v>3824.0399153359995</v>
      </c>
      <c r="CE92">
        <v>300</v>
      </c>
      <c r="CF92">
        <v>30</v>
      </c>
      <c r="CG92">
        <f t="shared" si="134"/>
        <v>7.5136619546182795</v>
      </c>
      <c r="CH92">
        <f t="shared" si="135"/>
        <v>0.50091079697455199</v>
      </c>
      <c r="CI92">
        <f t="shared" si="136"/>
        <v>2.5045539848727598</v>
      </c>
      <c r="CJ92">
        <f t="shared" si="137"/>
        <v>1.2522769924363799</v>
      </c>
      <c r="CK92">
        <f t="shared" si="138"/>
        <v>2.0871283207273001</v>
      </c>
      <c r="CL92">
        <f t="shared" si="139"/>
        <v>12.522769924363798</v>
      </c>
      <c r="CM92">
        <f t="shared" si="140"/>
        <v>33.394053131636802</v>
      </c>
      <c r="CN92">
        <f t="shared" si="177"/>
        <v>10.435641603636499</v>
      </c>
      <c r="CO92">
        <v>0</v>
      </c>
      <c r="CP92">
        <f t="shared" si="141"/>
        <v>31.3069248109095</v>
      </c>
      <c r="CQ92">
        <f t="shared" si="178"/>
        <v>10.435641603636499</v>
      </c>
      <c r="CR92">
        <f t="shared" si="179"/>
        <v>2.9219796490182199</v>
      </c>
      <c r="CS92">
        <f>7963.6*(CL92/1000)^0.6*1.7*('CAPEX+OPEX'!$G$116/'CAPEX+OPEX'!$G$115)</f>
        <v>1153.0845915684895</v>
      </c>
      <c r="CT92">
        <f>7963.6*(CM92/1000)^0.6*1.7*('CAPEX+OPEX'!$G$116/'CAPEX+OPEX'!$G$115)</f>
        <v>2077.0282723238565</v>
      </c>
      <c r="CU92">
        <f>7963.6*(CP92/1000)^0.6*1.7*('CAPEX+OPEX'!$G$116/'CAPEX+OPEX'!$G$115)</f>
        <v>1998.1365959183913</v>
      </c>
      <c r="CV92">
        <f>7963.6*(CQ92/1000)^0.6*1.7*('CAPEX+OPEX'!$G$116/'CAPEX+OPEX'!$G$115)</f>
        <v>1033.5998108180863</v>
      </c>
      <c r="CW92">
        <v>300</v>
      </c>
      <c r="CX92">
        <f t="shared" si="142"/>
        <v>30</v>
      </c>
      <c r="CY92">
        <f t="shared" si="143"/>
        <v>10</v>
      </c>
      <c r="CZ92">
        <f t="shared" si="144"/>
        <v>9.2356857683566087</v>
      </c>
      <c r="DA92">
        <f t="shared" si="145"/>
        <v>3960</v>
      </c>
      <c r="DB92">
        <f t="shared" si="146"/>
        <v>3960</v>
      </c>
      <c r="DC92">
        <f>CF92*'Reagent cost'!$C$18/1000*'Reagent cost'!$H$18</f>
        <v>4784.413580611521</v>
      </c>
      <c r="DD92">
        <f>CX92*'Ligand cost'!$B$56*'Ligand cost'!$J$56</f>
        <v>30543.831958072875</v>
      </c>
      <c r="DE92">
        <f t="shared" si="147"/>
        <v>39625.826528698344</v>
      </c>
      <c r="DF92">
        <f t="shared" si="148"/>
        <v>4586243.4239371875</v>
      </c>
      <c r="DG92">
        <f t="shared" si="149"/>
        <v>11794834.586807497</v>
      </c>
      <c r="DH92">
        <f t="shared" si="150"/>
        <v>2275209.1661185985</v>
      </c>
      <c r="DI92">
        <f t="shared" si="151"/>
        <v>14083914.336508472</v>
      </c>
      <c r="DJ92">
        <f t="shared" si="152"/>
        <v>1662824.8986326549</v>
      </c>
      <c r="DK92" s="55">
        <f>DF92*($BK$2/10000)^0.72*0.6*((A92+1)/3)^0.6*('CAPEX+OPEX'!$G$116/'CAPEX+OPEX'!$G$114)</f>
        <v>562059.51837065269</v>
      </c>
      <c r="DL92" s="55">
        <f>DG92*($BK$2/10000)^0.72*0.6*((A92+1)/3)^0.6*('CAPEX+OPEX'!$G$116/'CAPEX+OPEX'!$G$114)</f>
        <v>1445496.5500787452</v>
      </c>
      <c r="DM92" s="55">
        <f>DH92*($BK$2/10000)^0.72*0.6*((A92+1)/3)^0.6*('CAPEX+OPEX'!$G$116/'CAPEX+OPEX'!$G$114)</f>
        <v>278834.51659512869</v>
      </c>
      <c r="DN92" s="55">
        <f>DI92*($BK$2/10000)^0.72*0.6*((A92+1)/3)^0.6*('CAPEX+OPEX'!$G$116/'CAPEX+OPEX'!$G$114)</f>
        <v>1726030.9532274618</v>
      </c>
      <c r="DO92" s="55">
        <f>DJ92*($BK$2/10000)^0.72*0.6*((A92+1)/3)^0.6*('CAPEX+OPEX'!$G$116/'CAPEX+OPEX'!$G$114)</f>
        <v>203784.77007612924</v>
      </c>
      <c r="DP92">
        <f t="shared" si="153"/>
        <v>4216206.3083481174</v>
      </c>
      <c r="DQ92">
        <f>DF92*(BM92/10000)^0.72*0.6*((AF92+1)/3)^0.6*('CAPEX+OPEX'!$G$116/'CAPEX+OPEX'!$G$114)</f>
        <v>299182.429714225</v>
      </c>
      <c r="DR92">
        <f>DG92*(BM92/10000)^0.72*0.6*((AF92+1)/3)^0.6*('CAPEX+OPEX'!$G$116/'CAPEX+OPEX'!$G$114)</f>
        <v>769433.05088002537</v>
      </c>
      <c r="DS92">
        <f>DH92*(BM92/10000)^0.72*0.6*((AF92+1)/3)^0.6*('CAPEX+OPEX'!$G$116/'CAPEX+OPEX'!$G$114)</f>
        <v>148422.69445939484</v>
      </c>
      <c r="DT92">
        <f>DI92*(BM92/10000)^0.72*0.6*((AF92+1)/3)^0.6*('CAPEX+OPEX'!$G$116/'CAPEX+OPEX'!$G$114)</f>
        <v>918760.58935098536</v>
      </c>
      <c r="DU92">
        <f>DJ92*(BM92/10000)^0.72*0.6*((AF92+1)/3)^0.6*('CAPEX+OPEX'!$G$116/'CAPEX+OPEX'!$G$114)</f>
        <v>108473.96166668039</v>
      </c>
      <c r="DV92">
        <f t="shared" si="154"/>
        <v>2244272.7260713107</v>
      </c>
      <c r="DW92">
        <f t="shared" si="155"/>
        <v>6529039.6402389947</v>
      </c>
      <c r="DX92">
        <f t="shared" si="156"/>
        <v>435269.30934926629</v>
      </c>
      <c r="DY92">
        <f>BO92*'Reagent cost'!$C$35*60*7200</f>
        <v>1021262.260639152</v>
      </c>
      <c r="DZ92">
        <f>BP92*'Reagent cost'!$C$34*60*7200</f>
        <v>243006.00583504807</v>
      </c>
      <c r="EA92">
        <f>BQ92*'Reagent cost'!$C$14*'Reagent cost'!$C$36/1000*60*7200</f>
        <v>4028024.4295771108</v>
      </c>
      <c r="EB92">
        <f t="shared" si="157"/>
        <v>39.6</v>
      </c>
      <c r="EC92">
        <f t="shared" si="158"/>
        <v>95.688271612230423</v>
      </c>
      <c r="ED92">
        <f>0.1*BK92*60*7200*'Reagent cost'!$H$17*'Reagent cost'!$C$17/1000</f>
        <v>504921.59999999998</v>
      </c>
      <c r="EE92">
        <f>BV92*0.1*'Reagent cost'!$C$16/1000*'Reagent cost'!$H$16*60*7200</f>
        <v>999248.70682716812</v>
      </c>
      <c r="EF92">
        <f>BZ92/1000*'Reagent cost'!$H$19*'Reagent cost'!$C$19*60*7200</f>
        <v>83958.750456441179</v>
      </c>
      <c r="EG92">
        <f>0.33*('Costing 100 Lmin Feed Orig'!BO92*'Reagent cost'!$C$13+'Costing 100 Lmin Feed Orig'!BP92*'Reagent cost'!$C$12+'Costing 100 Lmin Feed Orig'!BQ92*'Reagent cost'!$C$14+'Costing 100 Lmin Feed Orig'!BV92*0.1*'Reagent cost'!$C$16+'Costing 100 Lmin Feed Orig'!BZ92*'Reagent cost'!$C$19)/1000*60*7200</f>
        <v>171777.47373465321</v>
      </c>
      <c r="EH92">
        <f>CG92*'Reagent cost'!$C$35*60*7200</f>
        <v>1946167.5129257264</v>
      </c>
      <c r="EI92">
        <f>CH92*'Reagent cost'!$C$34*60*7200</f>
        <v>463084.17752167687</v>
      </c>
      <c r="EJ92">
        <f>CI92*'Reagent cost'!$C$14*'Reagent cost'!$C$36/1000*60*7200</f>
        <v>7676001.1490173135</v>
      </c>
      <c r="EK92">
        <f t="shared" si="159"/>
        <v>39.6</v>
      </c>
      <c r="EL92">
        <f t="shared" si="160"/>
        <v>610.87663916145755</v>
      </c>
      <c r="EM92">
        <f>0.1*BM92*60*7200*'Reagent cost'!$H$17*'Reagent cost'!$C$17/1000</f>
        <v>466329.72352558479</v>
      </c>
      <c r="EN92">
        <f>CN92*0.1*'Reagent cost'!$C$16/1000*'Reagent cost'!$H$16*60*7200</f>
        <v>1904217.4038067292</v>
      </c>
      <c r="EO92">
        <f>CR92/1000*'Reagent cost'!$H$19*'Reagent cost'!$C$19*60*7200</f>
        <v>159995.91766164167</v>
      </c>
      <c r="EP92">
        <f>0.33*(CG92*'Reagent cost'!$C$13+CH92*'Reagent cost'!$C$12+CI92*'Reagent cost'!$C$14+CN92*0.1*'Reagent cost'!$C$16+CR92*'Reagent cost'!$C$19)/1000*60*7200</f>
        <v>327347.58907629596</v>
      </c>
      <c r="EQ92">
        <f t="shared" si="161"/>
        <v>23396404.083245236</v>
      </c>
      <c r="ER92">
        <f t="shared" si="162"/>
        <v>499125.06281094917</v>
      </c>
      <c r="ES92">
        <f t="shared" si="163"/>
        <v>52288.524762496963</v>
      </c>
      <c r="ET92">
        <f t="shared" si="164"/>
        <v>53983.928663982973</v>
      </c>
      <c r="EU92">
        <f t="shared" si="165"/>
        <v>22856.098829508919</v>
      </c>
      <c r="EV92">
        <f t="shared" si="166"/>
        <v>12107.513206066582</v>
      </c>
      <c r="EW92">
        <f t="shared" si="167"/>
        <v>12189.919375738094</v>
      </c>
      <c r="EX92">
        <f t="shared" si="168"/>
        <v>153425.98483779354</v>
      </c>
      <c r="EY92">
        <f t="shared" si="180"/>
        <v>28284.996273452896</v>
      </c>
      <c r="EZ92">
        <f t="shared" si="181"/>
        <v>19396.918004101793</v>
      </c>
      <c r="FA92">
        <f t="shared" si="182"/>
        <v>8212.4048001237406</v>
      </c>
      <c r="FB92">
        <f t="shared" si="183"/>
        <v>4352.7618877396708</v>
      </c>
      <c r="FC92">
        <f t="shared" si="184"/>
        <v>4379.9492267326632</v>
      </c>
      <c r="FD92">
        <f t="shared" si="169"/>
        <v>64627.030192150771</v>
      </c>
      <c r="FE92">
        <f t="shared" si="170"/>
        <v>24113582.161086131</v>
      </c>
      <c r="FF92">
        <f t="shared" si="171"/>
        <v>24548851.470435396</v>
      </c>
      <c r="FG92">
        <f>BM92*AM92*195.08/1000*'PGM market prices'!$C$2*60*7200</f>
        <v>421327002.50376099</v>
      </c>
      <c r="FH92">
        <f>BN92*AQ92*BA92*106.42/1000*'PGM market prices'!$C$3*60*7200</f>
        <v>222279568.21970797</v>
      </c>
      <c r="FI92">
        <f>BK92*J92*102.91/1000*'PGM market prices'!$C$4*60*7200</f>
        <v>247608231.7519269</v>
      </c>
      <c r="FJ92">
        <f t="shared" si="172"/>
        <v>891214802.47539592</v>
      </c>
      <c r="FK92">
        <f t="shared" si="173"/>
        <v>641332803.74367082</v>
      </c>
      <c r="FL92">
        <f t="shared" si="185"/>
        <v>0.56826045070452302</v>
      </c>
      <c r="FM92">
        <f t="shared" si="186"/>
        <v>1965.3159521261396</v>
      </c>
      <c r="FN92">
        <f t="shared" si="187"/>
        <v>3636.7974187265786</v>
      </c>
      <c r="FO92">
        <f t="shared" si="188"/>
        <v>16353.406320889264</v>
      </c>
    </row>
    <row r="93" spans="1:171">
      <c r="A93">
        <v>12</v>
      </c>
      <c r="B93">
        <v>1.54143585092054E-3</v>
      </c>
      <c r="C93">
        <v>1.54143585092054E-3</v>
      </c>
      <c r="D93">
        <v>3.4254130020456501E-4</v>
      </c>
      <c r="E93">
        <v>0</v>
      </c>
      <c r="F93">
        <v>0</v>
      </c>
      <c r="G93">
        <v>0</v>
      </c>
      <c r="H93" s="53">
        <v>1.7771599281349402E-5</v>
      </c>
      <c r="I93" s="53">
        <v>6.3113732322488897E-11</v>
      </c>
      <c r="J93">
        <v>3.37661562480901E-4</v>
      </c>
      <c r="K93">
        <v>0.13911791568267901</v>
      </c>
      <c r="L93">
        <v>0.140740543921716</v>
      </c>
      <c r="M93">
        <v>4.45543656000266E-4</v>
      </c>
      <c r="N93" s="53">
        <v>-4.7646348672047899E-15</v>
      </c>
      <c r="O93" s="53">
        <v>-1.1300289697036E-11</v>
      </c>
      <c r="P93" s="53">
        <v>-4.6756218688437302E-19</v>
      </c>
      <c r="Q93">
        <v>0.10952322309941399</v>
      </c>
      <c r="R93">
        <v>98.575430839799395</v>
      </c>
      <c r="S93">
        <v>500</v>
      </c>
      <c r="T93">
        <v>95</v>
      </c>
      <c r="U93">
        <v>1</v>
      </c>
      <c r="V93">
        <v>0.1</v>
      </c>
      <c r="W93">
        <v>91.304836700459305</v>
      </c>
      <c r="X93" t="s">
        <v>323</v>
      </c>
      <c r="Y93">
        <v>1</v>
      </c>
      <c r="Z93">
        <v>0.28318429382522198</v>
      </c>
      <c r="AA93">
        <v>0.56945642916197003</v>
      </c>
      <c r="AB93">
        <v>3.7698628972227502E-3</v>
      </c>
      <c r="AC93">
        <v>1822.2107908876901</v>
      </c>
      <c r="AD93">
        <v>2662.6059073104898</v>
      </c>
      <c r="AE93">
        <v>2401.5030938442701</v>
      </c>
      <c r="AF93">
        <v>5</v>
      </c>
      <c r="AG93">
        <v>1.6497575706444501E-3</v>
      </c>
      <c r="AH93">
        <v>1.66899983148883E-3</v>
      </c>
      <c r="AI93" s="53">
        <v>5.28356837386519E-6</v>
      </c>
      <c r="AJ93">
        <v>0</v>
      </c>
      <c r="AK93">
        <v>0</v>
      </c>
      <c r="AL93">
        <v>0</v>
      </c>
      <c r="AM93">
        <v>1.61044680899333E-3</v>
      </c>
      <c r="AN93" s="53">
        <v>7.9513667548027593E-5</v>
      </c>
      <c r="AO93" s="53">
        <v>5.2466908500710802E-6</v>
      </c>
      <c r="AP93">
        <v>1.8118119800337601E-3</v>
      </c>
      <c r="AQ93">
        <v>7.3258567195411697E-2</v>
      </c>
      <c r="AR93" s="53">
        <v>1.6996653485653601E-6</v>
      </c>
      <c r="AS93" s="53">
        <v>-4.4472617862639699E-17</v>
      </c>
      <c r="AT93" s="53">
        <v>1.89518539750466E-16</v>
      </c>
      <c r="AU93" s="53">
        <v>-3.4807760176231399E-20</v>
      </c>
      <c r="AV93">
        <v>0.20038604773893701</v>
      </c>
      <c r="AW93">
        <v>99.302033754753197</v>
      </c>
      <c r="AX93">
        <v>500</v>
      </c>
      <c r="AY93">
        <v>95</v>
      </c>
      <c r="AZ93">
        <v>0.92356857683566096</v>
      </c>
      <c r="BA93">
        <v>0.1</v>
      </c>
      <c r="BB93">
        <v>46.089465172689103</v>
      </c>
      <c r="BC93" t="s">
        <v>251</v>
      </c>
      <c r="BD93">
        <v>1</v>
      </c>
      <c r="BE93">
        <v>1.8775014999999999E-2</v>
      </c>
      <c r="BF93">
        <v>0.10492961100000001</v>
      </c>
      <c r="BG93">
        <v>1.814625E-3</v>
      </c>
      <c r="BH93">
        <v>285.1951444</v>
      </c>
      <c r="BI93">
        <v>2169.8944889999998</v>
      </c>
      <c r="BJ93">
        <v>866.49409060000005</v>
      </c>
      <c r="BK93">
        <f t="shared" si="121"/>
        <v>100</v>
      </c>
      <c r="BL93">
        <f t="shared" si="122"/>
        <v>10.952322309941399</v>
      </c>
      <c r="BM93">
        <f t="shared" si="123"/>
        <v>92.356857683566091</v>
      </c>
      <c r="BN93">
        <f t="shared" si="124"/>
        <v>20.038604773893702</v>
      </c>
      <c r="BO93">
        <f t="shared" si="125"/>
        <v>3.9428360315789037</v>
      </c>
      <c r="BP93">
        <f t="shared" si="126"/>
        <v>0.26285573543859359</v>
      </c>
      <c r="BQ93">
        <f t="shared" si="127"/>
        <v>1.314278677192968</v>
      </c>
      <c r="BR93">
        <f t="shared" si="128"/>
        <v>0.65713933859648399</v>
      </c>
      <c r="BS93">
        <f t="shared" si="129"/>
        <v>1.09523223099414</v>
      </c>
      <c r="BT93">
        <f t="shared" si="130"/>
        <v>6.5713933859648392</v>
      </c>
      <c r="BU93">
        <f t="shared" si="131"/>
        <v>17.52371569590624</v>
      </c>
      <c r="BV93">
        <f t="shared" si="174"/>
        <v>5.4761611549706997</v>
      </c>
      <c r="BW93">
        <f t="shared" si="132"/>
        <v>86.880696528595394</v>
      </c>
      <c r="BX93">
        <f t="shared" si="133"/>
        <v>103.30917999350748</v>
      </c>
      <c r="BY93">
        <f t="shared" si="175"/>
        <v>92.356857683566091</v>
      </c>
      <c r="BZ93">
        <f t="shared" si="176"/>
        <v>1.5333251233917959</v>
      </c>
      <c r="CA93">
        <f>7963.6*(BT93/1000)^0.6*1.7*('CAPEX+OPEX'!$G$116/'CAPEX+OPEX'!$G$115)</f>
        <v>783.13278867723739</v>
      </c>
      <c r="CB93">
        <f>7963.6*(BU93/1000)^0.6*1.7*('CAPEX+OPEX'!$G$116/'CAPEX+OPEX'!$G$115)</f>
        <v>1410.6414698108749</v>
      </c>
      <c r="CC93">
        <f>7963.6*(BX93/1000)^0.6*1.7*('CAPEX+OPEX'!$G$116/'CAPEX+OPEX'!$G$115)</f>
        <v>4090.00912083296</v>
      </c>
      <c r="CD93">
        <f>7963.6*(BY93/1000)^0.6*1.7*('CAPEX+OPEX'!$G$116/'CAPEX+OPEX'!$G$115)</f>
        <v>3824.0399153359995</v>
      </c>
      <c r="CE93">
        <v>300</v>
      </c>
      <c r="CF93">
        <v>30</v>
      </c>
      <c r="CG93">
        <f t="shared" si="134"/>
        <v>7.2138977186017321</v>
      </c>
      <c r="CH93">
        <f t="shared" si="135"/>
        <v>0.48092651457344887</v>
      </c>
      <c r="CI93">
        <f t="shared" si="136"/>
        <v>2.4046325728672442</v>
      </c>
      <c r="CJ93">
        <f t="shared" si="137"/>
        <v>1.2023162864336221</v>
      </c>
      <c r="CK93">
        <f t="shared" si="138"/>
        <v>2.0038604773893702</v>
      </c>
      <c r="CL93">
        <f t="shared" si="139"/>
        <v>12.023162864336221</v>
      </c>
      <c r="CM93">
        <f t="shared" si="140"/>
        <v>32.061767638229924</v>
      </c>
      <c r="CN93">
        <f t="shared" si="177"/>
        <v>10.019302386946851</v>
      </c>
      <c r="CO93">
        <v>0</v>
      </c>
      <c r="CP93">
        <f t="shared" si="141"/>
        <v>30.057907160840553</v>
      </c>
      <c r="CQ93">
        <f t="shared" si="178"/>
        <v>10.019302386946851</v>
      </c>
      <c r="CR93">
        <f t="shared" si="179"/>
        <v>2.8054046683451181</v>
      </c>
      <c r="CS93">
        <f>7963.6*(CL93/1000)^0.6*1.7*('CAPEX+OPEX'!$G$116/'CAPEX+OPEX'!$G$115)</f>
        <v>1125.2581468156022</v>
      </c>
      <c r="CT93">
        <f>7963.6*(CM93/1000)^0.6*1.7*('CAPEX+OPEX'!$G$116/'CAPEX+OPEX'!$G$115)</f>
        <v>2026.9050524901861</v>
      </c>
      <c r="CU93">
        <f>7963.6*(CP93/1000)^0.6*1.7*('CAPEX+OPEX'!$G$116/'CAPEX+OPEX'!$G$115)</f>
        <v>1949.9172042088783</v>
      </c>
      <c r="CV93">
        <f>7963.6*(CQ93/1000)^0.6*1.7*('CAPEX+OPEX'!$G$116/'CAPEX+OPEX'!$G$115)</f>
        <v>1008.65679428432</v>
      </c>
      <c r="CW93">
        <v>300</v>
      </c>
      <c r="CX93">
        <f t="shared" si="142"/>
        <v>30</v>
      </c>
      <c r="CY93">
        <f t="shared" si="143"/>
        <v>10</v>
      </c>
      <c r="CZ93">
        <f t="shared" si="144"/>
        <v>9.2356857683566087</v>
      </c>
      <c r="DA93">
        <f t="shared" si="145"/>
        <v>3960</v>
      </c>
      <c r="DB93">
        <f t="shared" si="146"/>
        <v>3960</v>
      </c>
      <c r="DC93">
        <f>CF93*'Reagent cost'!$C$18/1000*'Reagent cost'!$H$18</f>
        <v>4784.413580611521</v>
      </c>
      <c r="DD93">
        <f>CX93*'Ligand cost'!$B$56*'Ligand cost'!$J$56</f>
        <v>30543.831958072875</v>
      </c>
      <c r="DE93">
        <f t="shared" si="147"/>
        <v>39625.826528698344</v>
      </c>
      <c r="DF93">
        <f t="shared" si="148"/>
        <v>4586243.4239371875</v>
      </c>
      <c r="DG93">
        <f t="shared" si="149"/>
        <v>11794834.586807497</v>
      </c>
      <c r="DH93">
        <f t="shared" si="150"/>
        <v>2275209.1661185985</v>
      </c>
      <c r="DI93">
        <f t="shared" si="151"/>
        <v>14083914.336508472</v>
      </c>
      <c r="DJ93">
        <f t="shared" si="152"/>
        <v>1662824.8986326549</v>
      </c>
      <c r="DK93" s="55">
        <f>DF93*($BK$2/10000)^0.72*0.6*((A93+1)/3)^0.6*('CAPEX+OPEX'!$G$116/'CAPEX+OPEX'!$G$114)</f>
        <v>562059.51837065269</v>
      </c>
      <c r="DL93" s="55">
        <f>DG93*($BK$2/10000)^0.72*0.6*((A93+1)/3)^0.6*('CAPEX+OPEX'!$G$116/'CAPEX+OPEX'!$G$114)</f>
        <v>1445496.5500787452</v>
      </c>
      <c r="DM93" s="55">
        <f>DH93*($BK$2/10000)^0.72*0.6*((A93+1)/3)^0.6*('CAPEX+OPEX'!$G$116/'CAPEX+OPEX'!$G$114)</f>
        <v>278834.51659512869</v>
      </c>
      <c r="DN93" s="55">
        <f>DI93*($BK$2/10000)^0.72*0.6*((A93+1)/3)^0.6*('CAPEX+OPEX'!$G$116/'CAPEX+OPEX'!$G$114)</f>
        <v>1726030.9532274618</v>
      </c>
      <c r="DO93" s="55">
        <f>DJ93*($BK$2/10000)^0.72*0.6*((A93+1)/3)^0.6*('CAPEX+OPEX'!$G$116/'CAPEX+OPEX'!$G$114)</f>
        <v>203784.77007612924</v>
      </c>
      <c r="DP93">
        <f t="shared" si="153"/>
        <v>4216206.3083481174</v>
      </c>
      <c r="DQ93">
        <f>DF93*(BM93/10000)^0.72*0.6*((AF93+1)/3)^0.6*('CAPEX+OPEX'!$G$116/'CAPEX+OPEX'!$G$114)</f>
        <v>333768.10459982976</v>
      </c>
      <c r="DR93">
        <f>DG93*(BM93/10000)^0.72*0.6*((AF93+1)/3)^0.6*('CAPEX+OPEX'!$G$116/'CAPEX+OPEX'!$G$114)</f>
        <v>858379.98994123412</v>
      </c>
      <c r="DS93">
        <f>DH93*(BM93/10000)^0.72*0.6*((AF93+1)/3)^0.6*('CAPEX+OPEX'!$G$116/'CAPEX+OPEX'!$G$114)</f>
        <v>165580.45021771709</v>
      </c>
      <c r="DT93">
        <f>DI93*(BM93/10000)^0.72*0.6*((AF93+1)/3)^0.6*('CAPEX+OPEX'!$G$116/'CAPEX+OPEX'!$G$114)</f>
        <v>1024969.8847008219</v>
      </c>
      <c r="DU93">
        <f>DJ93*(BM93/10000)^0.72*0.6*((AF93+1)/3)^0.6*('CAPEX+OPEX'!$G$116/'CAPEX+OPEX'!$G$114)</f>
        <v>121013.61907684609</v>
      </c>
      <c r="DV93">
        <f t="shared" si="154"/>
        <v>2503712.0485364492</v>
      </c>
      <c r="DW93">
        <f t="shared" si="155"/>
        <v>6788305.183820379</v>
      </c>
      <c r="DX93">
        <f t="shared" si="156"/>
        <v>452553.6789213586</v>
      </c>
      <c r="DY93">
        <f>BO93*'Reagent cost'!$C$35*60*7200</f>
        <v>1021262.260639152</v>
      </c>
      <c r="DZ93">
        <f>BP93*'Reagent cost'!$C$34*60*7200</f>
        <v>243006.00583504807</v>
      </c>
      <c r="EA93">
        <f>BQ93*'Reagent cost'!$C$14*'Reagent cost'!$C$36/1000*60*7200</f>
        <v>4028024.4295771108</v>
      </c>
      <c r="EB93">
        <f t="shared" si="157"/>
        <v>39.6</v>
      </c>
      <c r="EC93">
        <f t="shared" si="158"/>
        <v>95.688271612230423</v>
      </c>
      <c r="ED93">
        <f>0.1*BK93*60*7200*'Reagent cost'!$H$17*'Reagent cost'!$C$17/1000</f>
        <v>504921.59999999998</v>
      </c>
      <c r="EE93">
        <f>BV93*0.1*'Reagent cost'!$C$16/1000*'Reagent cost'!$H$16*60*7200</f>
        <v>999248.70682716812</v>
      </c>
      <c r="EF93">
        <f>BZ93/1000*'Reagent cost'!$H$19*'Reagent cost'!$C$19*60*7200</f>
        <v>83958.750456441179</v>
      </c>
      <c r="EG93">
        <f>0.33*('Costing 100 Lmin Feed Orig'!BO93*'Reagent cost'!$C$13+'Costing 100 Lmin Feed Orig'!BP93*'Reagent cost'!$C$12+'Costing 100 Lmin Feed Orig'!BQ93*'Reagent cost'!$C$14+'Costing 100 Lmin Feed Orig'!BV93*0.1*'Reagent cost'!$C$16+'Costing 100 Lmin Feed Orig'!BZ93*'Reagent cost'!$C$19)/1000*60*7200</f>
        <v>171777.47373465321</v>
      </c>
      <c r="EH93">
        <f>CG93*'Reagent cost'!$C$35*60*7200</f>
        <v>1868523.4265673</v>
      </c>
      <c r="EI93">
        <f>CH93*'Reagent cost'!$C$34*60*7200</f>
        <v>444609.02179540507</v>
      </c>
      <c r="EJ93">
        <f>CI93*'Reagent cost'!$C$14*'Reagent cost'!$C$36/1000*60*7200</f>
        <v>7369760.2462464618</v>
      </c>
      <c r="EK93">
        <f t="shared" si="159"/>
        <v>39.6</v>
      </c>
      <c r="EL93">
        <f t="shared" si="160"/>
        <v>610.87663916145755</v>
      </c>
      <c r="EM93">
        <f>0.1*BM93*60*7200*'Reagent cost'!$H$17*'Reagent cost'!$C$17/1000</f>
        <v>466329.72352558479</v>
      </c>
      <c r="EN93">
        <f>CN93*0.1*'Reagent cost'!$C$16/1000*'Reagent cost'!$H$16*60*7200</f>
        <v>1828246.9544161118</v>
      </c>
      <c r="EO93">
        <f>CR93/1000*'Reagent cost'!$H$19*'Reagent cost'!$C$19*60*7200</f>
        <v>153612.73801990526</v>
      </c>
      <c r="EP93">
        <f>0.33*(CG93*'Reagent cost'!$C$13+CH93*'Reagent cost'!$C$12+CI93*'Reagent cost'!$C$14+CN93*0.1*'Reagent cost'!$C$16+CR93*'Reagent cost'!$C$19)/1000*60*7200</f>
        <v>314287.76544515695</v>
      </c>
      <c r="EQ93">
        <f t="shared" si="161"/>
        <v>22814747.554579753</v>
      </c>
      <c r="ER93">
        <f t="shared" si="162"/>
        <v>486065.23917981016</v>
      </c>
      <c r="ES93">
        <f t="shared" si="163"/>
        <v>52288.524762496963</v>
      </c>
      <c r="ET93">
        <f t="shared" si="164"/>
        <v>53983.928663982973</v>
      </c>
      <c r="EU93">
        <f t="shared" si="165"/>
        <v>22856.098829508919</v>
      </c>
      <c r="EV93">
        <f t="shared" si="166"/>
        <v>12107.513206066582</v>
      </c>
      <c r="EW93">
        <f t="shared" si="167"/>
        <v>12189.919375738094</v>
      </c>
      <c r="EX93">
        <f t="shared" si="168"/>
        <v>153425.98483779354</v>
      </c>
      <c r="EY93">
        <f t="shared" si="180"/>
        <v>30856.35957103952</v>
      </c>
      <c r="EZ93">
        <f t="shared" si="181"/>
        <v>23276.301604922155</v>
      </c>
      <c r="FA93">
        <f t="shared" si="182"/>
        <v>9854.8857601484906</v>
      </c>
      <c r="FB93">
        <f t="shared" si="183"/>
        <v>5223.3142652876058</v>
      </c>
      <c r="FC93">
        <f t="shared" si="184"/>
        <v>5255.9390720791962</v>
      </c>
      <c r="FD93">
        <f t="shared" si="169"/>
        <v>74466.800273476983</v>
      </c>
      <c r="FE93">
        <f t="shared" si="170"/>
        <v>23528705.578870833</v>
      </c>
      <c r="FF93">
        <f t="shared" si="171"/>
        <v>23981259.25779219</v>
      </c>
      <c r="FG93">
        <f>BM93*AM93*195.08/1000*'PGM market prices'!$C$2*60*7200</f>
        <v>422797608.1424945</v>
      </c>
      <c r="FH93">
        <f>BN93*AQ93*BA93*106.42/1000*'PGM market prices'!$C$3*60*7200</f>
        <v>222239053.02112862</v>
      </c>
      <c r="FI93">
        <f>BK93*J93*102.91/1000*'PGM market prices'!$C$4*60*7200</f>
        <v>247608231.7519269</v>
      </c>
      <c r="FJ93">
        <f t="shared" si="172"/>
        <v>892644892.91554999</v>
      </c>
      <c r="FK93">
        <f t="shared" si="173"/>
        <v>642811088.90674078</v>
      </c>
      <c r="FL93">
        <f t="shared" si="185"/>
        <v>0.55512174207852294</v>
      </c>
      <c r="FM93">
        <f t="shared" si="186"/>
        <v>1913.1981711277649</v>
      </c>
      <c r="FN93">
        <f t="shared" si="187"/>
        <v>3553.3589651947268</v>
      </c>
      <c r="FO93">
        <f t="shared" si="188"/>
        <v>15975.30040057338</v>
      </c>
    </row>
    <row r="94" spans="1:171">
      <c r="A94">
        <v>12</v>
      </c>
      <c r="B94">
        <v>1.54143585092054E-3</v>
      </c>
      <c r="C94">
        <v>1.54143585092054E-3</v>
      </c>
      <c r="D94">
        <v>3.4254130020456501E-4</v>
      </c>
      <c r="E94">
        <v>0</v>
      </c>
      <c r="F94">
        <v>0</v>
      </c>
      <c r="G94">
        <v>0</v>
      </c>
      <c r="H94" s="53">
        <v>1.7771599281349402E-5</v>
      </c>
      <c r="I94" s="53">
        <v>6.3113732322488897E-11</v>
      </c>
      <c r="J94">
        <v>3.37661562480901E-4</v>
      </c>
      <c r="K94">
        <v>0.13911791568267901</v>
      </c>
      <c r="L94">
        <v>0.140740543921716</v>
      </c>
      <c r="M94">
        <v>4.45543656000266E-4</v>
      </c>
      <c r="N94" s="53">
        <v>-4.7646348672047899E-15</v>
      </c>
      <c r="O94" s="53">
        <v>-1.1300289697036E-11</v>
      </c>
      <c r="P94" s="53">
        <v>-4.6756218688437302E-19</v>
      </c>
      <c r="Q94">
        <v>0.10952322309941399</v>
      </c>
      <c r="R94">
        <v>98.575430839799395</v>
      </c>
      <c r="S94">
        <v>500</v>
      </c>
      <c r="T94">
        <v>95</v>
      </c>
      <c r="U94">
        <v>1</v>
      </c>
      <c r="V94">
        <v>0.1</v>
      </c>
      <c r="W94">
        <v>91.304836700459305</v>
      </c>
      <c r="X94" t="s">
        <v>323</v>
      </c>
      <c r="Y94">
        <v>1</v>
      </c>
      <c r="Z94">
        <v>0.28318429382522198</v>
      </c>
      <c r="AA94">
        <v>0.56945642916197003</v>
      </c>
      <c r="AB94">
        <v>3.7698628972227502E-3</v>
      </c>
      <c r="AC94">
        <v>1822.2107908876901</v>
      </c>
      <c r="AD94">
        <v>2662.6059073104898</v>
      </c>
      <c r="AE94">
        <v>2401.5030938442701</v>
      </c>
      <c r="AF94">
        <v>6</v>
      </c>
      <c r="AG94">
        <v>1.6497575706444501E-3</v>
      </c>
      <c r="AH94">
        <v>1.66899983148883E-3</v>
      </c>
      <c r="AI94" s="53">
        <v>5.28356837386519E-6</v>
      </c>
      <c r="AJ94">
        <v>0</v>
      </c>
      <c r="AK94">
        <v>0</v>
      </c>
      <c r="AL94">
        <v>0</v>
      </c>
      <c r="AM94">
        <v>1.6121282837362799E-3</v>
      </c>
      <c r="AN94" s="53">
        <v>7.9600650767137996E-5</v>
      </c>
      <c r="AO94" s="53">
        <v>5.2482064740735796E-6</v>
      </c>
      <c r="AP94">
        <v>1.7562196007610399E-3</v>
      </c>
      <c r="AQ94">
        <v>7.4179827043465804E-2</v>
      </c>
      <c r="AR94" s="53">
        <v>1.6503969816312101E-6</v>
      </c>
      <c r="AS94" s="53">
        <v>-1.9447876468958701E-18</v>
      </c>
      <c r="AT94" s="53">
        <v>-1.4658413372004E-16</v>
      </c>
      <c r="AU94" s="53">
        <v>-2.85211875208283E-21</v>
      </c>
      <c r="AV94">
        <v>0.19788656806963401</v>
      </c>
      <c r="AW94">
        <v>99.330719368248694</v>
      </c>
      <c r="AX94">
        <v>500</v>
      </c>
      <c r="AY94">
        <v>95</v>
      </c>
      <c r="AZ94">
        <v>0.92356857683566096</v>
      </c>
      <c r="BA94">
        <v>0.1</v>
      </c>
      <c r="BB94">
        <v>46.671615251352797</v>
      </c>
      <c r="BC94" t="s">
        <v>251</v>
      </c>
      <c r="BD94">
        <v>1</v>
      </c>
      <c r="BE94">
        <v>1.8775014999999999E-2</v>
      </c>
      <c r="BF94">
        <v>0.10492961100000001</v>
      </c>
      <c r="BG94">
        <v>1.814625E-3</v>
      </c>
      <c r="BH94">
        <v>285.1951444</v>
      </c>
      <c r="BI94">
        <v>2169.8944889999998</v>
      </c>
      <c r="BJ94">
        <v>866.49409060000005</v>
      </c>
      <c r="BK94">
        <f t="shared" si="121"/>
        <v>100</v>
      </c>
      <c r="BL94">
        <f t="shared" si="122"/>
        <v>10.952322309941399</v>
      </c>
      <c r="BM94">
        <f t="shared" si="123"/>
        <v>92.356857683566091</v>
      </c>
      <c r="BN94">
        <f t="shared" si="124"/>
        <v>19.788656806963402</v>
      </c>
      <c r="BO94">
        <f t="shared" si="125"/>
        <v>3.9428360315789037</v>
      </c>
      <c r="BP94">
        <f t="shared" si="126"/>
        <v>0.26285573543859359</v>
      </c>
      <c r="BQ94">
        <f t="shared" si="127"/>
        <v>1.314278677192968</v>
      </c>
      <c r="BR94">
        <f t="shared" si="128"/>
        <v>0.65713933859648399</v>
      </c>
      <c r="BS94">
        <f t="shared" si="129"/>
        <v>1.09523223099414</v>
      </c>
      <c r="BT94">
        <f t="shared" si="130"/>
        <v>6.5713933859648392</v>
      </c>
      <c r="BU94">
        <f t="shared" si="131"/>
        <v>17.52371569590624</v>
      </c>
      <c r="BV94">
        <f t="shared" si="174"/>
        <v>5.4761611549706997</v>
      </c>
      <c r="BW94">
        <f t="shared" si="132"/>
        <v>86.880696528595394</v>
      </c>
      <c r="BX94">
        <f t="shared" si="133"/>
        <v>103.30917999350748</v>
      </c>
      <c r="BY94">
        <f t="shared" si="175"/>
        <v>92.356857683566091</v>
      </c>
      <c r="BZ94">
        <f t="shared" si="176"/>
        <v>1.5333251233917959</v>
      </c>
      <c r="CA94">
        <f>7963.6*(BT94/1000)^0.6*1.7*('CAPEX+OPEX'!$G$116/'CAPEX+OPEX'!$G$115)</f>
        <v>783.13278867723739</v>
      </c>
      <c r="CB94">
        <f>7963.6*(BU94/1000)^0.6*1.7*('CAPEX+OPEX'!$G$116/'CAPEX+OPEX'!$G$115)</f>
        <v>1410.6414698108749</v>
      </c>
      <c r="CC94">
        <f>7963.6*(BX94/1000)^0.6*1.7*('CAPEX+OPEX'!$G$116/'CAPEX+OPEX'!$G$115)</f>
        <v>4090.00912083296</v>
      </c>
      <c r="CD94">
        <f>7963.6*(BY94/1000)^0.6*1.7*('CAPEX+OPEX'!$G$116/'CAPEX+OPEX'!$G$115)</f>
        <v>3824.0399153359995</v>
      </c>
      <c r="CE94">
        <v>300</v>
      </c>
      <c r="CF94">
        <v>30</v>
      </c>
      <c r="CG94">
        <f t="shared" si="134"/>
        <v>7.1239164505068242</v>
      </c>
      <c r="CH94">
        <f t="shared" si="135"/>
        <v>0.47492776336712167</v>
      </c>
      <c r="CI94">
        <f t="shared" si="136"/>
        <v>2.3746388168356081</v>
      </c>
      <c r="CJ94">
        <f t="shared" si="137"/>
        <v>1.187319408417804</v>
      </c>
      <c r="CK94">
        <f t="shared" si="138"/>
        <v>1.9788656806963403</v>
      </c>
      <c r="CL94">
        <f t="shared" si="139"/>
        <v>11.87319408417804</v>
      </c>
      <c r="CM94">
        <f t="shared" si="140"/>
        <v>31.661850891141444</v>
      </c>
      <c r="CN94">
        <f t="shared" si="177"/>
        <v>9.8943284034817012</v>
      </c>
      <c r="CO94">
        <v>0</v>
      </c>
      <c r="CP94">
        <f t="shared" si="141"/>
        <v>29.682985210445104</v>
      </c>
      <c r="CQ94">
        <f t="shared" si="178"/>
        <v>9.8943284034817012</v>
      </c>
      <c r="CR94">
        <f t="shared" si="179"/>
        <v>2.7704119529748761</v>
      </c>
      <c r="CS94">
        <f>7963.6*(CL94/1000)^0.6*1.7*('CAPEX+OPEX'!$G$116/'CAPEX+OPEX'!$G$115)</f>
        <v>1116.8155907536707</v>
      </c>
      <c r="CT94">
        <f>7963.6*(CM94/1000)^0.6*1.7*('CAPEX+OPEX'!$G$116/'CAPEX+OPEX'!$G$115)</f>
        <v>2011.6976446733349</v>
      </c>
      <c r="CU94">
        <f>7963.6*(CP94/1000)^0.6*1.7*('CAPEX+OPEX'!$G$116/'CAPEX+OPEX'!$G$115)</f>
        <v>1935.2874187154391</v>
      </c>
      <c r="CV94">
        <f>7963.6*(CQ94/1000)^0.6*1.7*('CAPEX+OPEX'!$G$116/'CAPEX+OPEX'!$G$115)</f>
        <v>1001.0890716625453</v>
      </c>
      <c r="CW94">
        <v>300</v>
      </c>
      <c r="CX94">
        <f t="shared" si="142"/>
        <v>30</v>
      </c>
      <c r="CY94">
        <f t="shared" si="143"/>
        <v>10</v>
      </c>
      <c r="CZ94">
        <f t="shared" si="144"/>
        <v>9.2356857683566087</v>
      </c>
      <c r="DA94">
        <f t="shared" si="145"/>
        <v>3960</v>
      </c>
      <c r="DB94">
        <f t="shared" si="146"/>
        <v>3960</v>
      </c>
      <c r="DC94">
        <f>CF94*'Reagent cost'!$C$18/1000*'Reagent cost'!$H$18</f>
        <v>4784.413580611521</v>
      </c>
      <c r="DD94">
        <f>CX94*'Ligand cost'!$B$56*'Ligand cost'!$J$56</f>
        <v>30543.831958072875</v>
      </c>
      <c r="DE94">
        <f t="shared" si="147"/>
        <v>39625.826528698344</v>
      </c>
      <c r="DF94">
        <f t="shared" si="148"/>
        <v>4586243.4239371875</v>
      </c>
      <c r="DG94">
        <f t="shared" si="149"/>
        <v>11794834.586807497</v>
      </c>
      <c r="DH94">
        <f t="shared" si="150"/>
        <v>2275209.1661185985</v>
      </c>
      <c r="DI94">
        <f t="shared" si="151"/>
        <v>14083914.336508472</v>
      </c>
      <c r="DJ94">
        <f t="shared" si="152"/>
        <v>1662824.8986326549</v>
      </c>
      <c r="DK94" s="55">
        <f>DF94*($BK$2/10000)^0.72*0.6*((A94+1)/3)^0.6*('CAPEX+OPEX'!$G$116/'CAPEX+OPEX'!$G$114)</f>
        <v>562059.51837065269</v>
      </c>
      <c r="DL94" s="55">
        <f>DG94*($BK$2/10000)^0.72*0.6*((A94+1)/3)^0.6*('CAPEX+OPEX'!$G$116/'CAPEX+OPEX'!$G$114)</f>
        <v>1445496.5500787452</v>
      </c>
      <c r="DM94" s="55">
        <f>DH94*($BK$2/10000)^0.72*0.6*((A94+1)/3)^0.6*('CAPEX+OPEX'!$G$116/'CAPEX+OPEX'!$G$114)</f>
        <v>278834.51659512869</v>
      </c>
      <c r="DN94" s="55">
        <f>DI94*($BK$2/10000)^0.72*0.6*((A94+1)/3)^0.6*('CAPEX+OPEX'!$G$116/'CAPEX+OPEX'!$G$114)</f>
        <v>1726030.9532274618</v>
      </c>
      <c r="DO94" s="55">
        <f>DJ94*($BK$2/10000)^0.72*0.6*((A94+1)/3)^0.6*('CAPEX+OPEX'!$G$116/'CAPEX+OPEX'!$G$114)</f>
        <v>203784.77007612924</v>
      </c>
      <c r="DP94">
        <f t="shared" si="153"/>
        <v>4216206.3083481174</v>
      </c>
      <c r="DQ94">
        <f>DF94*(BM94/10000)^0.72*0.6*((AF94+1)/3)^0.6*('CAPEX+OPEX'!$G$116/'CAPEX+OPEX'!$G$114)</f>
        <v>366111.10837668763</v>
      </c>
      <c r="DR94">
        <f>DG94*(BM94/10000)^0.72*0.6*((AF94+1)/3)^0.6*('CAPEX+OPEX'!$G$116/'CAPEX+OPEX'!$G$114)</f>
        <v>941559.2598416172</v>
      </c>
      <c r="DS94">
        <f>DH94*(BM94/10000)^0.72*0.6*((AF94+1)/3)^0.6*('CAPEX+OPEX'!$G$116/'CAPEX+OPEX'!$G$114)</f>
        <v>181625.62964906584</v>
      </c>
      <c r="DT94">
        <f>DI94*(BM94/10000)^0.72*0.6*((AF94+1)/3)^0.6*('CAPEX+OPEX'!$G$116/'CAPEX+OPEX'!$G$114)</f>
        <v>1124292.1518533111</v>
      </c>
      <c r="DU94">
        <f>DJ94*(BM94/10000)^0.72*0.6*((AF94+1)/3)^0.6*('CAPEX+OPEX'!$G$116/'CAPEX+OPEX'!$G$114)</f>
        <v>132740.15580972619</v>
      </c>
      <c r="DV94">
        <f t="shared" si="154"/>
        <v>2746328.3055304079</v>
      </c>
      <c r="DW94">
        <f t="shared" si="155"/>
        <v>7030868.716221544</v>
      </c>
      <c r="DX94">
        <f t="shared" si="156"/>
        <v>468724.58108143625</v>
      </c>
      <c r="DY94">
        <f>BO94*'Reagent cost'!$C$35*60*7200</f>
        <v>1021262.260639152</v>
      </c>
      <c r="DZ94">
        <f>BP94*'Reagent cost'!$C$34*60*7200</f>
        <v>243006.00583504807</v>
      </c>
      <c r="EA94">
        <f>BQ94*'Reagent cost'!$C$14*'Reagent cost'!$C$36/1000*60*7200</f>
        <v>4028024.4295771108</v>
      </c>
      <c r="EB94">
        <f t="shared" si="157"/>
        <v>39.6</v>
      </c>
      <c r="EC94">
        <f t="shared" si="158"/>
        <v>95.688271612230423</v>
      </c>
      <c r="ED94">
        <f>0.1*BK94*60*7200*'Reagent cost'!$H$17*'Reagent cost'!$C$17/1000</f>
        <v>504921.59999999998</v>
      </c>
      <c r="EE94">
        <f>BV94*0.1*'Reagent cost'!$C$16/1000*'Reagent cost'!$H$16*60*7200</f>
        <v>999248.70682716812</v>
      </c>
      <c r="EF94">
        <f>BZ94/1000*'Reagent cost'!$H$19*'Reagent cost'!$C$19*60*7200</f>
        <v>83958.750456441179</v>
      </c>
      <c r="EG94">
        <f>0.33*('Costing 100 Lmin Feed Orig'!BO94*'Reagent cost'!$C$13+'Costing 100 Lmin Feed Orig'!BP94*'Reagent cost'!$C$12+'Costing 100 Lmin Feed Orig'!BQ94*'Reagent cost'!$C$14+'Costing 100 Lmin Feed Orig'!BV94*0.1*'Reagent cost'!$C$16+'Costing 100 Lmin Feed Orig'!BZ94*'Reagent cost'!$C$19)/1000*60*7200</f>
        <v>171777.47373465321</v>
      </c>
      <c r="EH94">
        <f>CG94*'Reagent cost'!$C$35*60*7200</f>
        <v>1845216.7324684879</v>
      </c>
      <c r="EI94">
        <f>CH94*'Reagent cost'!$C$34*60*7200</f>
        <v>439063.2703655744</v>
      </c>
      <c r="EJ94">
        <f>CI94*'Reagent cost'!$C$14*'Reagent cost'!$C$36/1000*60*7200</f>
        <v>7277834.8546786373</v>
      </c>
      <c r="EK94">
        <f t="shared" si="159"/>
        <v>39.6</v>
      </c>
      <c r="EL94">
        <f t="shared" si="160"/>
        <v>610.87663916145755</v>
      </c>
      <c r="EM94">
        <f>0.1*BM94*60*7200*'Reagent cost'!$H$17*'Reagent cost'!$C$17/1000</f>
        <v>466329.72352558479</v>
      </c>
      <c r="EN94">
        <f>CN94*0.1*'Reagent cost'!$C$16/1000*'Reagent cost'!$H$16*60*7200</f>
        <v>1805442.6417177466</v>
      </c>
      <c r="EO94">
        <f>CR94/1000*'Reagent cost'!$H$19*'Reagent cost'!$C$19*60*7200</f>
        <v>151696.67689709231</v>
      </c>
      <c r="EP94">
        <f>0.33*(CG94*'Reagent cost'!$C$13+CH94*'Reagent cost'!$C$12+CI94*'Reagent cost'!$C$14+CN94*0.1*'Reagent cost'!$C$16+CR94*'Reagent cost'!$C$19)/1000*60*7200</f>
        <v>310367.55299072369</v>
      </c>
      <c r="EQ94">
        <f t="shared" si="161"/>
        <v>22640149.701478578</v>
      </c>
      <c r="ER94">
        <f t="shared" si="162"/>
        <v>482145.0267253769</v>
      </c>
      <c r="ES94">
        <f t="shared" si="163"/>
        <v>52288.524762496963</v>
      </c>
      <c r="ET94">
        <f t="shared" si="164"/>
        <v>53983.928663982973</v>
      </c>
      <c r="EU94">
        <f t="shared" si="165"/>
        <v>22856.098829508919</v>
      </c>
      <c r="EV94">
        <f t="shared" si="166"/>
        <v>12107.513206066582</v>
      </c>
      <c r="EW94">
        <f t="shared" si="167"/>
        <v>12189.919375738094</v>
      </c>
      <c r="EX94">
        <f t="shared" si="168"/>
        <v>153425.98483779354</v>
      </c>
      <c r="EY94">
        <f t="shared" si="180"/>
        <v>33427.722868626144</v>
      </c>
      <c r="EZ94">
        <f t="shared" si="181"/>
        <v>27155.685205742509</v>
      </c>
      <c r="FA94">
        <f t="shared" si="182"/>
        <v>11497.366720173237</v>
      </c>
      <c r="FB94">
        <f t="shared" si="183"/>
        <v>6093.8666428355391</v>
      </c>
      <c r="FC94">
        <f t="shared" si="184"/>
        <v>6131.9289174257283</v>
      </c>
      <c r="FD94">
        <f t="shared" si="169"/>
        <v>84306.570354803145</v>
      </c>
      <c r="FE94">
        <f t="shared" si="170"/>
        <v>23360027.283396553</v>
      </c>
      <c r="FF94">
        <f t="shared" si="171"/>
        <v>23828751.864477988</v>
      </c>
      <c r="FG94">
        <f>BM94*AM94*195.08/1000*'PGM market prices'!$C$2*60*7200</f>
        <v>423239053.02319545</v>
      </c>
      <c r="FH94">
        <f>BN94*AQ94*BA94*106.42/1000*'PGM market prices'!$C$3*60*7200</f>
        <v>222226891.18631658</v>
      </c>
      <c r="FI94">
        <f>BK94*J94*102.91/1000*'PGM market prices'!$C$4*60*7200</f>
        <v>247608231.7519269</v>
      </c>
      <c r="FJ94">
        <f t="shared" si="172"/>
        <v>893074175.96143889</v>
      </c>
      <c r="FK94">
        <f t="shared" si="173"/>
        <v>643241613.83175111</v>
      </c>
      <c r="FL94">
        <f t="shared" si="185"/>
        <v>0.55159147834439792</v>
      </c>
      <c r="FM94">
        <f t="shared" si="186"/>
        <v>1899.0484959783312</v>
      </c>
      <c r="FN94">
        <f t="shared" si="187"/>
        <v>3530.9548183583006</v>
      </c>
      <c r="FO94">
        <f t="shared" si="188"/>
        <v>15873.706426907835</v>
      </c>
    </row>
    <row r="95" spans="1:171">
      <c r="A95">
        <v>12</v>
      </c>
      <c r="B95">
        <v>1.54143585092054E-3</v>
      </c>
      <c r="C95">
        <v>1.54143585092054E-3</v>
      </c>
      <c r="D95">
        <v>3.4254130020456501E-4</v>
      </c>
      <c r="E95">
        <v>0</v>
      </c>
      <c r="F95">
        <v>0</v>
      </c>
      <c r="G95">
        <v>0</v>
      </c>
      <c r="H95" s="53">
        <v>1.7771599281349402E-5</v>
      </c>
      <c r="I95" s="53">
        <v>6.3113732322488897E-11</v>
      </c>
      <c r="J95">
        <v>3.37661562480901E-4</v>
      </c>
      <c r="K95">
        <v>0.13911791568267901</v>
      </c>
      <c r="L95">
        <v>0.140740543921716</v>
      </c>
      <c r="M95">
        <v>4.45543656000266E-4</v>
      </c>
      <c r="N95" s="53">
        <v>-4.7646348672047899E-15</v>
      </c>
      <c r="O95" s="53">
        <v>-1.1300289697036E-11</v>
      </c>
      <c r="P95" s="53">
        <v>-4.6756218688437302E-19</v>
      </c>
      <c r="Q95">
        <v>0.10952322309941399</v>
      </c>
      <c r="R95">
        <v>98.575430839799395</v>
      </c>
      <c r="S95">
        <v>500</v>
      </c>
      <c r="T95">
        <v>95</v>
      </c>
      <c r="U95">
        <v>1</v>
      </c>
      <c r="V95">
        <v>0.1</v>
      </c>
      <c r="W95">
        <v>91.304836700459305</v>
      </c>
      <c r="X95" t="s">
        <v>323</v>
      </c>
      <c r="Y95">
        <v>1</v>
      </c>
      <c r="Z95">
        <v>0.28318429382522198</v>
      </c>
      <c r="AA95">
        <v>0.56945642916197003</v>
      </c>
      <c r="AB95">
        <v>3.7698628972227502E-3</v>
      </c>
      <c r="AC95">
        <v>1822.2107908876901</v>
      </c>
      <c r="AD95">
        <v>2662.6059073104898</v>
      </c>
      <c r="AE95">
        <v>2401.5030938442701</v>
      </c>
      <c r="AF95">
        <v>7</v>
      </c>
      <c r="AG95">
        <v>1.6497575706444501E-3</v>
      </c>
      <c r="AH95">
        <v>1.66899983148883E-3</v>
      </c>
      <c r="AI95" s="53">
        <v>5.28356837386519E-6</v>
      </c>
      <c r="AJ95">
        <v>0</v>
      </c>
      <c r="AK95">
        <v>0</v>
      </c>
      <c r="AL95">
        <v>0</v>
      </c>
      <c r="AM95">
        <v>1.61261707866804E-3</v>
      </c>
      <c r="AN95" s="53">
        <v>7.9625936031329294E-5</v>
      </c>
      <c r="AO95" s="53">
        <v>5.2486470564610397E-6</v>
      </c>
      <c r="AP95">
        <v>1.7397947866492501E-3</v>
      </c>
      <c r="AQ95">
        <v>7.4452013697398206E-2</v>
      </c>
      <c r="AR95" s="53">
        <v>1.6358406345626599E-6</v>
      </c>
      <c r="AS95" s="53">
        <v>-4.2216122091154298E-18</v>
      </c>
      <c r="AT95" s="53">
        <v>-1.65666091955785E-15</v>
      </c>
      <c r="AU95" s="53">
        <v>-4.3344264097778598E-21</v>
      </c>
      <c r="AV95">
        <v>0.19715998450427299</v>
      </c>
      <c r="AW95">
        <v>99.339058096098597</v>
      </c>
      <c r="AX95">
        <v>500</v>
      </c>
      <c r="AY95">
        <v>95</v>
      </c>
      <c r="AZ95">
        <v>0.92356857683566096</v>
      </c>
      <c r="BA95">
        <v>0.1</v>
      </c>
      <c r="BB95">
        <v>46.843611758127501</v>
      </c>
      <c r="BC95" t="s">
        <v>251</v>
      </c>
      <c r="BD95">
        <v>1</v>
      </c>
      <c r="BE95">
        <v>1.8775014999999999E-2</v>
      </c>
      <c r="BF95">
        <v>0.10492961100000001</v>
      </c>
      <c r="BG95">
        <v>1.814625E-3</v>
      </c>
      <c r="BH95">
        <v>285.1951444</v>
      </c>
      <c r="BI95">
        <v>2169.8944889999998</v>
      </c>
      <c r="BJ95">
        <v>866.49409060000005</v>
      </c>
      <c r="BK95">
        <f t="shared" si="121"/>
        <v>100</v>
      </c>
      <c r="BL95">
        <f t="shared" si="122"/>
        <v>10.952322309941399</v>
      </c>
      <c r="BM95">
        <f t="shared" si="123"/>
        <v>92.356857683566091</v>
      </c>
      <c r="BN95">
        <f t="shared" si="124"/>
        <v>19.7159984504273</v>
      </c>
      <c r="BO95">
        <f t="shared" si="125"/>
        <v>3.9428360315789037</v>
      </c>
      <c r="BP95">
        <f t="shared" si="126"/>
        <v>0.26285573543859359</v>
      </c>
      <c r="BQ95">
        <f t="shared" si="127"/>
        <v>1.314278677192968</v>
      </c>
      <c r="BR95">
        <f t="shared" si="128"/>
        <v>0.65713933859648399</v>
      </c>
      <c r="BS95">
        <f t="shared" si="129"/>
        <v>1.09523223099414</v>
      </c>
      <c r="BT95">
        <f t="shared" si="130"/>
        <v>6.5713933859648392</v>
      </c>
      <c r="BU95">
        <f t="shared" si="131"/>
        <v>17.52371569590624</v>
      </c>
      <c r="BV95">
        <f t="shared" si="174"/>
        <v>5.4761611549706997</v>
      </c>
      <c r="BW95">
        <f t="shared" si="132"/>
        <v>86.880696528595394</v>
      </c>
      <c r="BX95">
        <f t="shared" si="133"/>
        <v>103.30917999350748</v>
      </c>
      <c r="BY95">
        <f t="shared" si="175"/>
        <v>92.356857683566091</v>
      </c>
      <c r="BZ95">
        <f t="shared" si="176"/>
        <v>1.5333251233917959</v>
      </c>
      <c r="CA95">
        <f>7963.6*(BT95/1000)^0.6*1.7*('CAPEX+OPEX'!$G$116/'CAPEX+OPEX'!$G$115)</f>
        <v>783.13278867723739</v>
      </c>
      <c r="CB95">
        <f>7963.6*(BU95/1000)^0.6*1.7*('CAPEX+OPEX'!$G$116/'CAPEX+OPEX'!$G$115)</f>
        <v>1410.6414698108749</v>
      </c>
      <c r="CC95">
        <f>7963.6*(BX95/1000)^0.6*1.7*('CAPEX+OPEX'!$G$116/'CAPEX+OPEX'!$G$115)</f>
        <v>4090.00912083296</v>
      </c>
      <c r="CD95">
        <f>7963.6*(BY95/1000)^0.6*1.7*('CAPEX+OPEX'!$G$116/'CAPEX+OPEX'!$G$115)</f>
        <v>3824.0399153359995</v>
      </c>
      <c r="CE95">
        <v>300</v>
      </c>
      <c r="CF95">
        <v>30</v>
      </c>
      <c r="CG95">
        <f t="shared" si="134"/>
        <v>7.0977594421538273</v>
      </c>
      <c r="CH95">
        <f t="shared" si="135"/>
        <v>0.47318396281025521</v>
      </c>
      <c r="CI95">
        <f t="shared" si="136"/>
        <v>2.365919814051276</v>
      </c>
      <c r="CJ95">
        <f t="shared" si="137"/>
        <v>1.182959907025638</v>
      </c>
      <c r="CK95">
        <f t="shared" si="138"/>
        <v>1.9715998450427301</v>
      </c>
      <c r="CL95">
        <f t="shared" si="139"/>
        <v>11.82959907025638</v>
      </c>
      <c r="CM95">
        <f t="shared" si="140"/>
        <v>31.545597520683682</v>
      </c>
      <c r="CN95">
        <f t="shared" si="177"/>
        <v>9.8579992252136499</v>
      </c>
      <c r="CO95">
        <v>0</v>
      </c>
      <c r="CP95">
        <f t="shared" si="141"/>
        <v>29.57399767564095</v>
      </c>
      <c r="CQ95">
        <f t="shared" si="178"/>
        <v>9.8579992252136499</v>
      </c>
      <c r="CR95">
        <f t="shared" si="179"/>
        <v>2.7602397830598222</v>
      </c>
      <c r="CS95">
        <f>7963.6*(CL95/1000)^0.6*1.7*('CAPEX+OPEX'!$G$116/'CAPEX+OPEX'!$G$115)</f>
        <v>1114.3534021111857</v>
      </c>
      <c r="CT95">
        <f>7963.6*(CM95/1000)^0.6*1.7*('CAPEX+OPEX'!$G$116/'CAPEX+OPEX'!$G$115)</f>
        <v>2007.2625533889395</v>
      </c>
      <c r="CU95">
        <f>7963.6*(CP95/1000)^0.6*1.7*('CAPEX+OPEX'!$G$116/'CAPEX+OPEX'!$G$115)</f>
        <v>1931.0207853144045</v>
      </c>
      <c r="CV95">
        <f>7963.6*(CQ95/1000)^0.6*1.7*('CAPEX+OPEX'!$G$116/'CAPEX+OPEX'!$G$115)</f>
        <v>998.88201960957315</v>
      </c>
      <c r="CW95">
        <v>300</v>
      </c>
      <c r="CX95">
        <f t="shared" si="142"/>
        <v>30</v>
      </c>
      <c r="CY95">
        <f t="shared" si="143"/>
        <v>10</v>
      </c>
      <c r="CZ95">
        <f t="shared" si="144"/>
        <v>9.2356857683566087</v>
      </c>
      <c r="DA95">
        <f t="shared" si="145"/>
        <v>3960</v>
      </c>
      <c r="DB95">
        <f t="shared" si="146"/>
        <v>3960</v>
      </c>
      <c r="DC95">
        <f>CF95*'Reagent cost'!$C$18/1000*'Reagent cost'!$H$18</f>
        <v>4784.413580611521</v>
      </c>
      <c r="DD95">
        <f>CX95*'Ligand cost'!$B$56*'Ligand cost'!$J$56</f>
        <v>30543.831958072875</v>
      </c>
      <c r="DE95">
        <f t="shared" si="147"/>
        <v>39625.826528698344</v>
      </c>
      <c r="DF95">
        <f t="shared" si="148"/>
        <v>4586243.4239371875</v>
      </c>
      <c r="DG95">
        <f t="shared" si="149"/>
        <v>11794834.586807497</v>
      </c>
      <c r="DH95">
        <f t="shared" si="150"/>
        <v>2275209.1661185985</v>
      </c>
      <c r="DI95">
        <f t="shared" si="151"/>
        <v>14083914.336508472</v>
      </c>
      <c r="DJ95">
        <f t="shared" si="152"/>
        <v>1662824.8986326549</v>
      </c>
      <c r="DK95" s="55">
        <f>DF95*($BK$2/10000)^0.72*0.6*((A95+1)/3)^0.6*('CAPEX+OPEX'!$G$116/'CAPEX+OPEX'!$G$114)</f>
        <v>562059.51837065269</v>
      </c>
      <c r="DL95" s="55">
        <f>DG95*($BK$2/10000)^0.72*0.6*((A95+1)/3)^0.6*('CAPEX+OPEX'!$G$116/'CAPEX+OPEX'!$G$114)</f>
        <v>1445496.5500787452</v>
      </c>
      <c r="DM95" s="55">
        <f>DH95*($BK$2/10000)^0.72*0.6*((A95+1)/3)^0.6*('CAPEX+OPEX'!$G$116/'CAPEX+OPEX'!$G$114)</f>
        <v>278834.51659512869</v>
      </c>
      <c r="DN95" s="55">
        <f>DI95*($BK$2/10000)^0.72*0.6*((A95+1)/3)^0.6*('CAPEX+OPEX'!$G$116/'CAPEX+OPEX'!$G$114)</f>
        <v>1726030.9532274618</v>
      </c>
      <c r="DO95" s="55">
        <f>DJ95*($BK$2/10000)^0.72*0.6*((A95+1)/3)^0.6*('CAPEX+OPEX'!$G$116/'CAPEX+OPEX'!$G$114)</f>
        <v>203784.77007612924</v>
      </c>
      <c r="DP95">
        <f t="shared" si="153"/>
        <v>4216206.3083481174</v>
      </c>
      <c r="DQ95">
        <f>DF95*(BM95/10000)^0.72*0.6*((AF95+1)/3)^0.6*('CAPEX+OPEX'!$G$116/'CAPEX+OPEX'!$G$114)</f>
        <v>396650.56243354047</v>
      </c>
      <c r="DR95">
        <f>DG95*(BM95/10000)^0.72*0.6*((AF95+1)/3)^0.6*('CAPEX+OPEX'!$G$116/'CAPEX+OPEX'!$G$114)</f>
        <v>1020100.1866253848</v>
      </c>
      <c r="DS95">
        <f>DH95*(BM95/10000)^0.72*0.6*((AF95+1)/3)^0.6*('CAPEX+OPEX'!$G$116/'CAPEX+OPEX'!$G$114)</f>
        <v>196776.07836614663</v>
      </c>
      <c r="DT95">
        <f>DI95*(BM95/10000)^0.72*0.6*((AF95+1)/3)^0.6*('CAPEX+OPEX'!$G$116/'CAPEX+OPEX'!$G$114)</f>
        <v>1218075.8905392108</v>
      </c>
      <c r="DU95">
        <f>DJ95*(BM95/10000)^0.72*0.6*((AF95+1)/3)^0.6*('CAPEX+OPEX'!$G$116/'CAPEX+OPEX'!$G$114)</f>
        <v>143812.78320916498</v>
      </c>
      <c r="DV95">
        <f t="shared" si="154"/>
        <v>2975415.5011734478</v>
      </c>
      <c r="DW95">
        <f t="shared" si="155"/>
        <v>7259940.5352543956</v>
      </c>
      <c r="DX95">
        <f t="shared" si="156"/>
        <v>483996.03568362637</v>
      </c>
      <c r="DY95">
        <f>BO95*'Reagent cost'!$C$35*60*7200</f>
        <v>1021262.260639152</v>
      </c>
      <c r="DZ95">
        <f>BP95*'Reagent cost'!$C$34*60*7200</f>
        <v>243006.00583504807</v>
      </c>
      <c r="EA95">
        <f>BQ95*'Reagent cost'!$C$14*'Reagent cost'!$C$36/1000*60*7200</f>
        <v>4028024.4295771108</v>
      </c>
      <c r="EB95">
        <f t="shared" si="157"/>
        <v>39.6</v>
      </c>
      <c r="EC95">
        <f t="shared" si="158"/>
        <v>95.688271612230423</v>
      </c>
      <c r="ED95">
        <f>0.1*BK95*60*7200*'Reagent cost'!$H$17*'Reagent cost'!$C$17/1000</f>
        <v>504921.59999999998</v>
      </c>
      <c r="EE95">
        <f>BV95*0.1*'Reagent cost'!$C$16/1000*'Reagent cost'!$H$16*60*7200</f>
        <v>999248.70682716812</v>
      </c>
      <c r="EF95">
        <f>BZ95/1000*'Reagent cost'!$H$19*'Reagent cost'!$C$19*60*7200</f>
        <v>83958.750456441179</v>
      </c>
      <c r="EG95">
        <f>0.33*('Costing 100 Lmin Feed Orig'!BO95*'Reagent cost'!$C$13+'Costing 100 Lmin Feed Orig'!BP95*'Reagent cost'!$C$12+'Costing 100 Lmin Feed Orig'!BQ95*'Reagent cost'!$C$14+'Costing 100 Lmin Feed Orig'!BV95*0.1*'Reagent cost'!$C$16+'Costing 100 Lmin Feed Orig'!BZ95*'Reagent cost'!$C$19)/1000*60*7200</f>
        <v>171777.47373465321</v>
      </c>
      <c r="EH95">
        <f>CG95*'Reagent cost'!$C$35*60*7200</f>
        <v>1838441.6179904346</v>
      </c>
      <c r="EI95">
        <f>CH95*'Reagent cost'!$C$34*60*7200</f>
        <v>437451.15409354412</v>
      </c>
      <c r="EJ95">
        <f>CI95*'Reagent cost'!$C$14*'Reagent cost'!$C$36/1000*60*7200</f>
        <v>7251112.7014349652</v>
      </c>
      <c r="EK95">
        <f t="shared" si="159"/>
        <v>39.6</v>
      </c>
      <c r="EL95">
        <f t="shared" si="160"/>
        <v>610.87663916145755</v>
      </c>
      <c r="EM95">
        <f>0.1*BM95*60*7200*'Reagent cost'!$H$17*'Reagent cost'!$C$17/1000</f>
        <v>466329.72352558479</v>
      </c>
      <c r="EN95">
        <f>CN95*0.1*'Reagent cost'!$C$16/1000*'Reagent cost'!$H$16*60*7200</f>
        <v>1798813.5664628134</v>
      </c>
      <c r="EO95">
        <f>CR95/1000*'Reagent cost'!$H$19*'Reagent cost'!$C$19*60*7200</f>
        <v>151139.68956122361</v>
      </c>
      <c r="EP95">
        <f>0.33*(CG95*'Reagent cost'!$C$13+CH95*'Reagent cost'!$C$12+CI95*'Reagent cost'!$C$14+CN95*0.1*'Reagent cost'!$C$16+CR95*'Reagent cost'!$C$19)/1000*60*7200</f>
        <v>309227.97103008733</v>
      </c>
      <c r="EQ95">
        <f t="shared" si="161"/>
        <v>22589395.16557711</v>
      </c>
      <c r="ER95">
        <f t="shared" si="162"/>
        <v>481005.44476474053</v>
      </c>
      <c r="ES95">
        <f t="shared" si="163"/>
        <v>52288.524762496963</v>
      </c>
      <c r="ET95">
        <f t="shared" si="164"/>
        <v>53983.928663982973</v>
      </c>
      <c r="EU95">
        <f t="shared" si="165"/>
        <v>22856.098829508919</v>
      </c>
      <c r="EV95">
        <f t="shared" si="166"/>
        <v>12107.513206066582</v>
      </c>
      <c r="EW95">
        <f t="shared" si="167"/>
        <v>12189.919375738094</v>
      </c>
      <c r="EX95">
        <f t="shared" si="168"/>
        <v>153425.98483779354</v>
      </c>
      <c r="EY95">
        <f t="shared" si="180"/>
        <v>35999.086166212779</v>
      </c>
      <c r="EZ95">
        <f t="shared" si="181"/>
        <v>31035.068806562878</v>
      </c>
      <c r="FA95">
        <f t="shared" si="182"/>
        <v>13139.847680197989</v>
      </c>
      <c r="FB95">
        <f t="shared" si="183"/>
        <v>6964.4190203834751</v>
      </c>
      <c r="FC95">
        <f t="shared" si="184"/>
        <v>7007.9187627722622</v>
      </c>
      <c r="FD95">
        <f t="shared" si="169"/>
        <v>94146.34043612938</v>
      </c>
      <c r="FE95">
        <f t="shared" si="170"/>
        <v>23317972.935615774</v>
      </c>
      <c r="FF95">
        <f t="shared" si="171"/>
        <v>23801968.971299402</v>
      </c>
      <c r="FG95">
        <f>BM95*AM95*195.08/1000*'PGM market prices'!$C$2*60*7200</f>
        <v>423367378.48347533</v>
      </c>
      <c r="FH95">
        <f>BN95*AQ95*BA95*106.42/1000*'PGM market prices'!$C$3*60*7200</f>
        <v>222223355.8470774</v>
      </c>
      <c r="FI95">
        <f>BK95*J95*102.91/1000*'PGM market prices'!$C$4*60*7200</f>
        <v>247608231.7519269</v>
      </c>
      <c r="FJ95">
        <f t="shared" si="172"/>
        <v>893198966.0824796</v>
      </c>
      <c r="FK95">
        <f t="shared" si="173"/>
        <v>643353777.86227334</v>
      </c>
      <c r="FL95">
        <f t="shared" si="185"/>
        <v>0.55097150396526395</v>
      </c>
      <c r="FM95">
        <f t="shared" si="186"/>
        <v>1896.3390479736083</v>
      </c>
      <c r="FN95">
        <f t="shared" si="187"/>
        <v>3527.0422282244131</v>
      </c>
      <c r="FO95">
        <f t="shared" si="188"/>
        <v>15855.86479651116</v>
      </c>
    </row>
    <row r="96" spans="1:171">
      <c r="A96">
        <v>12</v>
      </c>
      <c r="B96">
        <v>1.54143585092054E-3</v>
      </c>
      <c r="C96">
        <v>1.54143585092054E-3</v>
      </c>
      <c r="D96">
        <v>3.4254130020456501E-4</v>
      </c>
      <c r="E96">
        <v>0</v>
      </c>
      <c r="F96">
        <v>0</v>
      </c>
      <c r="G96">
        <v>0</v>
      </c>
      <c r="H96" s="53">
        <v>1.7771599281349402E-5</v>
      </c>
      <c r="I96" s="53">
        <v>6.3113732322488897E-11</v>
      </c>
      <c r="J96">
        <v>3.37661562480901E-4</v>
      </c>
      <c r="K96">
        <v>0.13911791568267901</v>
      </c>
      <c r="L96">
        <v>0.140740543921716</v>
      </c>
      <c r="M96">
        <v>4.45543656000266E-4</v>
      </c>
      <c r="N96" s="53">
        <v>-4.7646348672047899E-15</v>
      </c>
      <c r="O96" s="53">
        <v>-1.1300289697036E-11</v>
      </c>
      <c r="P96" s="53">
        <v>-4.6756218688437302E-19</v>
      </c>
      <c r="Q96">
        <v>0.10952322309941399</v>
      </c>
      <c r="R96">
        <v>98.575430839799395</v>
      </c>
      <c r="S96">
        <v>500</v>
      </c>
      <c r="T96">
        <v>95</v>
      </c>
      <c r="U96">
        <v>1</v>
      </c>
      <c r="V96">
        <v>0.1</v>
      </c>
      <c r="W96">
        <v>91.304836700459305</v>
      </c>
      <c r="X96" t="s">
        <v>323</v>
      </c>
      <c r="Y96">
        <v>1</v>
      </c>
      <c r="Z96">
        <v>0.28318429382522198</v>
      </c>
      <c r="AA96">
        <v>0.56945642916197003</v>
      </c>
      <c r="AB96">
        <v>3.7698628972227502E-3</v>
      </c>
      <c r="AC96">
        <v>1822.2107908876901</v>
      </c>
      <c r="AD96">
        <v>2662.6059073104898</v>
      </c>
      <c r="AE96">
        <v>2401.5030938442701</v>
      </c>
      <c r="AF96">
        <v>8</v>
      </c>
      <c r="AG96">
        <v>1.6497575706444501E-3</v>
      </c>
      <c r="AH96">
        <v>1.66899983148883E-3</v>
      </c>
      <c r="AI96" s="53">
        <v>5.28356837386519E-6</v>
      </c>
      <c r="AJ96">
        <v>0</v>
      </c>
      <c r="AK96">
        <v>0</v>
      </c>
      <c r="AL96">
        <v>0</v>
      </c>
      <c r="AM96">
        <v>1.6127563603415801E-3</v>
      </c>
      <c r="AN96" s="53">
        <v>7.96331411021806E-5</v>
      </c>
      <c r="AO96" s="53">
        <v>5.2487726000077404E-6</v>
      </c>
      <c r="AP96">
        <v>1.73509236363433E-3</v>
      </c>
      <c r="AQ96">
        <v>7.4529940711020898E-2</v>
      </c>
      <c r="AR96" s="53">
        <v>1.63167315397143E-6</v>
      </c>
      <c r="AS96" s="53">
        <v>5.0297494034318102E-15</v>
      </c>
      <c r="AT96" s="53">
        <v>-1.17018894574272E-12</v>
      </c>
      <c r="AU96" s="53">
        <v>2.31875269310864E-20</v>
      </c>
      <c r="AV96">
        <v>0.19695294528304</v>
      </c>
      <c r="AW96">
        <v>99.341434208941706</v>
      </c>
      <c r="AX96">
        <v>500</v>
      </c>
      <c r="AY96">
        <v>95</v>
      </c>
      <c r="AZ96">
        <v>0.92356857683566096</v>
      </c>
      <c r="BA96">
        <v>0.1</v>
      </c>
      <c r="BB96">
        <v>46.892854306311698</v>
      </c>
      <c r="BC96" t="s">
        <v>251</v>
      </c>
      <c r="BD96">
        <v>1</v>
      </c>
      <c r="BE96">
        <v>1.8775014999999999E-2</v>
      </c>
      <c r="BF96">
        <v>0.10492961100000001</v>
      </c>
      <c r="BG96">
        <v>1.814625E-3</v>
      </c>
      <c r="BH96">
        <v>285.1951444</v>
      </c>
      <c r="BI96">
        <v>2169.8944889999998</v>
      </c>
      <c r="BJ96">
        <v>866.49409060000005</v>
      </c>
      <c r="BK96">
        <f t="shared" si="121"/>
        <v>100</v>
      </c>
      <c r="BL96">
        <f t="shared" si="122"/>
        <v>10.952322309941399</v>
      </c>
      <c r="BM96">
        <f t="shared" si="123"/>
        <v>92.356857683566091</v>
      </c>
      <c r="BN96">
        <f t="shared" si="124"/>
        <v>19.695294528304</v>
      </c>
      <c r="BO96">
        <f t="shared" si="125"/>
        <v>3.9428360315789037</v>
      </c>
      <c r="BP96">
        <f t="shared" si="126"/>
        <v>0.26285573543859359</v>
      </c>
      <c r="BQ96">
        <f t="shared" si="127"/>
        <v>1.314278677192968</v>
      </c>
      <c r="BR96">
        <f t="shared" si="128"/>
        <v>0.65713933859648399</v>
      </c>
      <c r="BS96">
        <f t="shared" si="129"/>
        <v>1.09523223099414</v>
      </c>
      <c r="BT96">
        <f t="shared" si="130"/>
        <v>6.5713933859648392</v>
      </c>
      <c r="BU96">
        <f t="shared" si="131"/>
        <v>17.52371569590624</v>
      </c>
      <c r="BV96">
        <f t="shared" si="174"/>
        <v>5.4761611549706997</v>
      </c>
      <c r="BW96">
        <f t="shared" si="132"/>
        <v>86.880696528595394</v>
      </c>
      <c r="BX96">
        <f t="shared" si="133"/>
        <v>103.30917999350748</v>
      </c>
      <c r="BY96">
        <f t="shared" si="175"/>
        <v>92.356857683566091</v>
      </c>
      <c r="BZ96">
        <f t="shared" si="176"/>
        <v>1.5333251233917959</v>
      </c>
      <c r="CA96">
        <f>7963.6*(BT96/1000)^0.6*1.7*('CAPEX+OPEX'!$G$116/'CAPEX+OPEX'!$G$115)</f>
        <v>783.13278867723739</v>
      </c>
      <c r="CB96">
        <f>7963.6*(BU96/1000)^0.6*1.7*('CAPEX+OPEX'!$G$116/'CAPEX+OPEX'!$G$115)</f>
        <v>1410.6414698108749</v>
      </c>
      <c r="CC96">
        <f>7963.6*(BX96/1000)^0.6*1.7*('CAPEX+OPEX'!$G$116/'CAPEX+OPEX'!$G$115)</f>
        <v>4090.00912083296</v>
      </c>
      <c r="CD96">
        <f>7963.6*(BY96/1000)^0.6*1.7*('CAPEX+OPEX'!$G$116/'CAPEX+OPEX'!$G$115)</f>
        <v>3824.0399153359995</v>
      </c>
      <c r="CE96">
        <v>300</v>
      </c>
      <c r="CF96">
        <v>30</v>
      </c>
      <c r="CG96">
        <f t="shared" si="134"/>
        <v>7.0903060301894394</v>
      </c>
      <c r="CH96">
        <f t="shared" si="135"/>
        <v>0.472687068679296</v>
      </c>
      <c r="CI96">
        <f t="shared" si="136"/>
        <v>2.3634353433964801</v>
      </c>
      <c r="CJ96">
        <f t="shared" si="137"/>
        <v>1.18171767169824</v>
      </c>
      <c r="CK96">
        <f t="shared" si="138"/>
        <v>1.9695294528304002</v>
      </c>
      <c r="CL96">
        <f t="shared" si="139"/>
        <v>11.8171767169824</v>
      </c>
      <c r="CM96">
        <f t="shared" si="140"/>
        <v>31.512471245286402</v>
      </c>
      <c r="CN96">
        <f t="shared" si="177"/>
        <v>9.8476472641520001</v>
      </c>
      <c r="CO96">
        <v>0</v>
      </c>
      <c r="CP96">
        <f t="shared" si="141"/>
        <v>29.542941792455998</v>
      </c>
      <c r="CQ96">
        <f t="shared" si="178"/>
        <v>9.8476472641520001</v>
      </c>
      <c r="CR96">
        <f t="shared" si="179"/>
        <v>2.7573412339625603</v>
      </c>
      <c r="CS96">
        <f>7963.6*(CL96/1000)^0.6*1.7*('CAPEX+OPEX'!$G$116/'CAPEX+OPEX'!$G$115)</f>
        <v>1113.6511399153862</v>
      </c>
      <c r="CT96">
        <f>7963.6*(CM96/1000)^0.6*1.7*('CAPEX+OPEX'!$G$116/'CAPEX+OPEX'!$G$115)</f>
        <v>2005.9975825048202</v>
      </c>
      <c r="CU96">
        <f>7963.6*(CP96/1000)^0.6*1.7*('CAPEX+OPEX'!$G$116/'CAPEX+OPEX'!$G$115)</f>
        <v>1929.8038617655009</v>
      </c>
      <c r="CV96">
        <f>7963.6*(CQ96/1000)^0.6*1.7*('CAPEX+OPEX'!$G$116/'CAPEX+OPEX'!$G$115)</f>
        <v>998.25252713518717</v>
      </c>
      <c r="CW96">
        <v>300</v>
      </c>
      <c r="CX96">
        <f t="shared" si="142"/>
        <v>30</v>
      </c>
      <c r="CY96">
        <f t="shared" si="143"/>
        <v>10</v>
      </c>
      <c r="CZ96">
        <f t="shared" si="144"/>
        <v>9.2356857683566087</v>
      </c>
      <c r="DA96">
        <f t="shared" si="145"/>
        <v>3960</v>
      </c>
      <c r="DB96">
        <f t="shared" si="146"/>
        <v>3960</v>
      </c>
      <c r="DC96">
        <f>CF96*'Reagent cost'!$C$18/1000*'Reagent cost'!$H$18</f>
        <v>4784.413580611521</v>
      </c>
      <c r="DD96">
        <f>CX96*'Ligand cost'!$B$56*'Ligand cost'!$J$56</f>
        <v>30543.831958072875</v>
      </c>
      <c r="DE96">
        <f t="shared" si="147"/>
        <v>39625.826528698344</v>
      </c>
      <c r="DF96">
        <f t="shared" si="148"/>
        <v>4586243.4239371875</v>
      </c>
      <c r="DG96">
        <f t="shared" si="149"/>
        <v>11794834.586807497</v>
      </c>
      <c r="DH96">
        <f t="shared" si="150"/>
        <v>2275209.1661185985</v>
      </c>
      <c r="DI96">
        <f t="shared" si="151"/>
        <v>14083914.336508472</v>
      </c>
      <c r="DJ96">
        <f t="shared" si="152"/>
        <v>1662824.8986326549</v>
      </c>
      <c r="DK96" s="55">
        <f>DF96*($BK$2/10000)^0.72*0.6*((A96+1)/3)^0.6*('CAPEX+OPEX'!$G$116/'CAPEX+OPEX'!$G$114)</f>
        <v>562059.51837065269</v>
      </c>
      <c r="DL96" s="55">
        <f>DG96*($BK$2/10000)^0.72*0.6*((A96+1)/3)^0.6*('CAPEX+OPEX'!$G$116/'CAPEX+OPEX'!$G$114)</f>
        <v>1445496.5500787452</v>
      </c>
      <c r="DM96" s="55">
        <f>DH96*($BK$2/10000)^0.72*0.6*((A96+1)/3)^0.6*('CAPEX+OPEX'!$G$116/'CAPEX+OPEX'!$G$114)</f>
        <v>278834.51659512869</v>
      </c>
      <c r="DN96" s="55">
        <f>DI96*($BK$2/10000)^0.72*0.6*((A96+1)/3)^0.6*('CAPEX+OPEX'!$G$116/'CAPEX+OPEX'!$G$114)</f>
        <v>1726030.9532274618</v>
      </c>
      <c r="DO96" s="55">
        <f>DJ96*($BK$2/10000)^0.72*0.6*((A96+1)/3)^0.6*('CAPEX+OPEX'!$G$116/'CAPEX+OPEX'!$G$114)</f>
        <v>203784.77007612924</v>
      </c>
      <c r="DP96">
        <f t="shared" si="153"/>
        <v>4216206.3083481174</v>
      </c>
      <c r="DQ96">
        <f>DF96*(BM96/10000)^0.72*0.6*((AF96+1)/3)^0.6*('CAPEX+OPEX'!$G$116/'CAPEX+OPEX'!$G$114)</f>
        <v>425696.01813405455</v>
      </c>
      <c r="DR96">
        <f>DG96*(BM96/10000)^0.72*0.6*((AF96+1)/3)^0.6*('CAPEX+OPEX'!$G$116/'CAPEX+OPEX'!$G$114)</f>
        <v>1094798.87001797</v>
      </c>
      <c r="DS96">
        <f>DH96*(BM96/10000)^0.72*0.6*((AF96+1)/3)^0.6*('CAPEX+OPEX'!$G$116/'CAPEX+OPEX'!$G$114)</f>
        <v>211185.36303232543</v>
      </c>
      <c r="DT96">
        <f>DI96*(BM96/10000)^0.72*0.6*((AF96+1)/3)^0.6*('CAPEX+OPEX'!$G$116/'CAPEX+OPEX'!$G$114)</f>
        <v>1307271.7033510201</v>
      </c>
      <c r="DU96">
        <f>DJ96*(BM96/10000)^0.72*0.6*((AF96+1)/3)^0.6*('CAPEX+OPEX'!$G$116/'CAPEX+OPEX'!$G$114)</f>
        <v>154343.73468000614</v>
      </c>
      <c r="DV96">
        <f t="shared" si="154"/>
        <v>3193295.689215376</v>
      </c>
      <c r="DW96">
        <f t="shared" si="155"/>
        <v>7477816.3375998549</v>
      </c>
      <c r="DX96">
        <f t="shared" si="156"/>
        <v>498521.08917332365</v>
      </c>
      <c r="DY96">
        <f>BO96*'Reagent cost'!$C$35*60*7200</f>
        <v>1021262.260639152</v>
      </c>
      <c r="DZ96">
        <f>BP96*'Reagent cost'!$C$34*60*7200</f>
        <v>243006.00583504807</v>
      </c>
      <c r="EA96">
        <f>BQ96*'Reagent cost'!$C$14*'Reagent cost'!$C$36/1000*60*7200</f>
        <v>4028024.4295771108</v>
      </c>
      <c r="EB96">
        <f t="shared" si="157"/>
        <v>39.6</v>
      </c>
      <c r="EC96">
        <f t="shared" si="158"/>
        <v>95.688271612230423</v>
      </c>
      <c r="ED96">
        <f>0.1*BK96*60*7200*'Reagent cost'!$H$17*'Reagent cost'!$C$17/1000</f>
        <v>504921.59999999998</v>
      </c>
      <c r="EE96">
        <f>BV96*0.1*'Reagent cost'!$C$16/1000*'Reagent cost'!$H$16*60*7200</f>
        <v>999248.70682716812</v>
      </c>
      <c r="EF96">
        <f>BZ96/1000*'Reagent cost'!$H$19*'Reagent cost'!$C$19*60*7200</f>
        <v>83958.750456441179</v>
      </c>
      <c r="EG96">
        <f>0.33*('Costing 100 Lmin Feed Orig'!BO96*'Reagent cost'!$C$13+'Costing 100 Lmin Feed Orig'!BP96*'Reagent cost'!$C$12+'Costing 100 Lmin Feed Orig'!BQ96*'Reagent cost'!$C$14+'Costing 100 Lmin Feed Orig'!BV96*0.1*'Reagent cost'!$C$16+'Costing 100 Lmin Feed Orig'!BZ96*'Reagent cost'!$C$19)/1000*60*7200</f>
        <v>171777.47373465321</v>
      </c>
      <c r="EH96">
        <f>CG96*'Reagent cost'!$C$35*60*7200</f>
        <v>1836511.0562599292</v>
      </c>
      <c r="EI96">
        <f>CH96*'Reagent cost'!$C$34*60*7200</f>
        <v>436991.78326077224</v>
      </c>
      <c r="EJ96">
        <f>CI96*'Reagent cost'!$C$14*'Reagent cost'!$C$36/1000*60*7200</f>
        <v>7243498.2520295624</v>
      </c>
      <c r="EK96">
        <f t="shared" si="159"/>
        <v>39.6</v>
      </c>
      <c r="EL96">
        <f t="shared" si="160"/>
        <v>610.87663916145755</v>
      </c>
      <c r="EM96">
        <f>0.1*BM96*60*7200*'Reagent cost'!$H$17*'Reagent cost'!$C$17/1000</f>
        <v>466329.72352558479</v>
      </c>
      <c r="EN96">
        <f>CN96*0.1*'Reagent cost'!$C$16/1000*'Reagent cost'!$H$16*60*7200</f>
        <v>1796924.6184550307</v>
      </c>
      <c r="EO96">
        <f>CR96/1000*'Reagent cost'!$H$19*'Reagent cost'!$C$19*60*7200</f>
        <v>150980.97660685398</v>
      </c>
      <c r="EP96">
        <f>0.33*(CG96*'Reagent cost'!$C$13+CH96*'Reagent cost'!$C$12+CI96*'Reagent cost'!$C$14+CN96*0.1*'Reagent cost'!$C$16+CR96*'Reagent cost'!$C$19)/1000*60*7200</f>
        <v>308903.24835136282</v>
      </c>
      <c r="EQ96">
        <f t="shared" si="161"/>
        <v>22574932.714060109</v>
      </c>
      <c r="ER96">
        <f t="shared" si="162"/>
        <v>480680.72208601603</v>
      </c>
      <c r="ES96">
        <f t="shared" si="163"/>
        <v>52288.524762496963</v>
      </c>
      <c r="ET96">
        <f t="shared" si="164"/>
        <v>53983.928663982973</v>
      </c>
      <c r="EU96">
        <f t="shared" si="165"/>
        <v>22856.098829508919</v>
      </c>
      <c r="EV96">
        <f t="shared" si="166"/>
        <v>12107.513206066582</v>
      </c>
      <c r="EW96">
        <f t="shared" si="167"/>
        <v>12189.919375738094</v>
      </c>
      <c r="EX96">
        <f t="shared" si="168"/>
        <v>153425.98483779354</v>
      </c>
      <c r="EY96">
        <f t="shared" si="180"/>
        <v>38570.449463799399</v>
      </c>
      <c r="EZ96">
        <f t="shared" si="181"/>
        <v>34914.452407383229</v>
      </c>
      <c r="FA96">
        <f t="shared" si="182"/>
        <v>14782.328640222735</v>
      </c>
      <c r="FB96">
        <f t="shared" si="183"/>
        <v>7834.9713979314092</v>
      </c>
      <c r="FC96">
        <f t="shared" si="184"/>
        <v>7883.9086081187943</v>
      </c>
      <c r="FD96">
        <f t="shared" si="169"/>
        <v>103986.11051745559</v>
      </c>
      <c r="FE96">
        <f t="shared" si="170"/>
        <v>23313025.531501375</v>
      </c>
      <c r="FF96">
        <f t="shared" si="171"/>
        <v>23811546.6206747</v>
      </c>
      <c r="FG96">
        <f>BM96*AM96*195.08/1000*'PGM market prices'!$C$2*60*7200</f>
        <v>423403944.70727235</v>
      </c>
      <c r="FH96">
        <f>BN96*AQ96*BA96*106.42/1000*'PGM market prices'!$C$3*60*7200</f>
        <v>222222348.62412992</v>
      </c>
      <c r="FI96">
        <f>BK96*J96*102.91/1000*'PGM market prices'!$C$4*60*7200</f>
        <v>247608231.7519269</v>
      </c>
      <c r="FJ96">
        <f t="shared" si="172"/>
        <v>893234525.0833292</v>
      </c>
      <c r="FK96">
        <f t="shared" si="173"/>
        <v>643373004.06236434</v>
      </c>
      <c r="FL96">
        <f t="shared" si="185"/>
        <v>0.55119320881191436</v>
      </c>
      <c r="FM96">
        <f t="shared" si="186"/>
        <v>1896.9382753736866</v>
      </c>
      <c r="FN96">
        <f t="shared" si="187"/>
        <v>3528.4774638080876</v>
      </c>
      <c r="FO96">
        <f t="shared" si="188"/>
        <v>15862.2450213466</v>
      </c>
    </row>
    <row r="97" spans="1:171">
      <c r="A97">
        <v>12</v>
      </c>
      <c r="B97">
        <v>1.54143585092054E-3</v>
      </c>
      <c r="C97">
        <v>1.54143585092054E-3</v>
      </c>
      <c r="D97">
        <v>3.4254130020456501E-4</v>
      </c>
      <c r="E97">
        <v>0</v>
      </c>
      <c r="F97">
        <v>0</v>
      </c>
      <c r="G97">
        <v>0</v>
      </c>
      <c r="H97" s="53">
        <v>1.7771599281349402E-5</v>
      </c>
      <c r="I97" s="53">
        <v>6.3113732322488897E-11</v>
      </c>
      <c r="J97">
        <v>3.37661562480901E-4</v>
      </c>
      <c r="K97">
        <v>0.13911791568267901</v>
      </c>
      <c r="L97">
        <v>0.140740543921716</v>
      </c>
      <c r="M97">
        <v>4.45543656000266E-4</v>
      </c>
      <c r="N97" s="53">
        <v>-4.7646348672047899E-15</v>
      </c>
      <c r="O97" s="53">
        <v>-1.1300289697036E-11</v>
      </c>
      <c r="P97" s="53">
        <v>-4.6756218688437302E-19</v>
      </c>
      <c r="Q97">
        <v>0.10952322309941399</v>
      </c>
      <c r="R97">
        <v>98.575430839799395</v>
      </c>
      <c r="S97">
        <v>500</v>
      </c>
      <c r="T97">
        <v>95</v>
      </c>
      <c r="U97">
        <v>1</v>
      </c>
      <c r="V97">
        <v>0.1</v>
      </c>
      <c r="W97">
        <v>91.304836700459305</v>
      </c>
      <c r="X97" t="s">
        <v>323</v>
      </c>
      <c r="Y97">
        <v>1</v>
      </c>
      <c r="Z97">
        <v>0.28318429382522198</v>
      </c>
      <c r="AA97">
        <v>0.56945642916197003</v>
      </c>
      <c r="AB97">
        <v>3.7698628972227502E-3</v>
      </c>
      <c r="AC97">
        <v>1822.2107908876901</v>
      </c>
      <c r="AD97">
        <v>2662.6059073104898</v>
      </c>
      <c r="AE97">
        <v>2401.5030938442701</v>
      </c>
      <c r="AF97">
        <v>9</v>
      </c>
      <c r="AG97">
        <v>1.6497575706444501E-3</v>
      </c>
      <c r="AH97">
        <v>1.66899983148883E-3</v>
      </c>
      <c r="AI97" s="53">
        <v>5.28356837386519E-6</v>
      </c>
      <c r="AJ97">
        <v>0</v>
      </c>
      <c r="AK97">
        <v>0</v>
      </c>
      <c r="AL97">
        <v>0</v>
      </c>
      <c r="AM97">
        <v>1.6127956996690499E-3</v>
      </c>
      <c r="AN97" s="53">
        <v>7.9635176101710897E-5</v>
      </c>
      <c r="AO97" s="53">
        <v>5.24880805907295E-6</v>
      </c>
      <c r="AP97">
        <v>1.7337624010389399E-3</v>
      </c>
      <c r="AQ97">
        <v>7.4551980415071106E-2</v>
      </c>
      <c r="AR97" s="53">
        <v>1.6304944864730899E-6</v>
      </c>
      <c r="AS97" s="53">
        <v>3.6971294081755701E-17</v>
      </c>
      <c r="AT97" s="53">
        <v>-4.8275185932089499E-15</v>
      </c>
      <c r="AU97" s="53">
        <v>-1.13158307797254E-21</v>
      </c>
      <c r="AV97">
        <v>0.19689446808536701</v>
      </c>
      <c r="AW97">
        <v>99.342105328584793</v>
      </c>
      <c r="AX97">
        <v>500</v>
      </c>
      <c r="AY97">
        <v>95</v>
      </c>
      <c r="AZ97">
        <v>0.92356857683566096</v>
      </c>
      <c r="BA97">
        <v>0.1</v>
      </c>
      <c r="BB97">
        <v>46.906781374641298</v>
      </c>
      <c r="BC97" t="s">
        <v>251</v>
      </c>
      <c r="BD97">
        <v>1</v>
      </c>
      <c r="BE97">
        <v>1.8775014999999999E-2</v>
      </c>
      <c r="BF97">
        <v>0.10492961100000001</v>
      </c>
      <c r="BG97">
        <v>1.814625E-3</v>
      </c>
      <c r="BH97">
        <v>285.1951444</v>
      </c>
      <c r="BI97">
        <v>2169.8944889999998</v>
      </c>
      <c r="BJ97">
        <v>866.49409060000005</v>
      </c>
      <c r="BK97">
        <f t="shared" si="121"/>
        <v>100</v>
      </c>
      <c r="BL97">
        <f t="shared" si="122"/>
        <v>10.952322309941399</v>
      </c>
      <c r="BM97">
        <f t="shared" si="123"/>
        <v>92.356857683566091</v>
      </c>
      <c r="BN97">
        <f t="shared" si="124"/>
        <v>19.689446808536701</v>
      </c>
      <c r="BO97">
        <f t="shared" si="125"/>
        <v>3.9428360315789037</v>
      </c>
      <c r="BP97">
        <f t="shared" si="126"/>
        <v>0.26285573543859359</v>
      </c>
      <c r="BQ97">
        <f t="shared" si="127"/>
        <v>1.314278677192968</v>
      </c>
      <c r="BR97">
        <f t="shared" si="128"/>
        <v>0.65713933859648399</v>
      </c>
      <c r="BS97">
        <f t="shared" si="129"/>
        <v>1.09523223099414</v>
      </c>
      <c r="BT97">
        <f t="shared" si="130"/>
        <v>6.5713933859648392</v>
      </c>
      <c r="BU97">
        <f t="shared" si="131"/>
        <v>17.52371569590624</v>
      </c>
      <c r="BV97">
        <f t="shared" si="174"/>
        <v>5.4761611549706997</v>
      </c>
      <c r="BW97">
        <f t="shared" si="132"/>
        <v>86.880696528595394</v>
      </c>
      <c r="BX97">
        <f t="shared" si="133"/>
        <v>103.30917999350748</v>
      </c>
      <c r="BY97">
        <f t="shared" si="175"/>
        <v>92.356857683566091</v>
      </c>
      <c r="BZ97">
        <f t="shared" si="176"/>
        <v>1.5333251233917959</v>
      </c>
      <c r="CA97">
        <f>7963.6*(BT97/1000)^0.6*1.7*('CAPEX+OPEX'!$G$116/'CAPEX+OPEX'!$G$115)</f>
        <v>783.13278867723739</v>
      </c>
      <c r="CB97">
        <f>7963.6*(BU97/1000)^0.6*1.7*('CAPEX+OPEX'!$G$116/'CAPEX+OPEX'!$G$115)</f>
        <v>1410.6414698108749</v>
      </c>
      <c r="CC97">
        <f>7963.6*(BX97/1000)^0.6*1.7*('CAPEX+OPEX'!$G$116/'CAPEX+OPEX'!$G$115)</f>
        <v>4090.00912083296</v>
      </c>
      <c r="CD97">
        <f>7963.6*(BY97/1000)^0.6*1.7*('CAPEX+OPEX'!$G$116/'CAPEX+OPEX'!$G$115)</f>
        <v>3824.0399153359995</v>
      </c>
      <c r="CE97">
        <v>300</v>
      </c>
      <c r="CF97">
        <v>30</v>
      </c>
      <c r="CG97">
        <f t="shared" si="134"/>
        <v>7.0882008510732124</v>
      </c>
      <c r="CH97">
        <f t="shared" si="135"/>
        <v>0.47254672340488085</v>
      </c>
      <c r="CI97">
        <f t="shared" si="136"/>
        <v>2.362733617024404</v>
      </c>
      <c r="CJ97">
        <f t="shared" si="137"/>
        <v>1.181366808512202</v>
      </c>
      <c r="CK97">
        <f t="shared" si="138"/>
        <v>1.9689446808536701</v>
      </c>
      <c r="CL97">
        <f t="shared" si="139"/>
        <v>11.813668085122019</v>
      </c>
      <c r="CM97">
        <f t="shared" si="140"/>
        <v>31.503114893658722</v>
      </c>
      <c r="CN97">
        <f t="shared" si="177"/>
        <v>9.8447234042683505</v>
      </c>
      <c r="CO97">
        <v>0</v>
      </c>
      <c r="CP97">
        <f t="shared" si="141"/>
        <v>29.534170212805051</v>
      </c>
      <c r="CQ97">
        <f t="shared" si="178"/>
        <v>9.8447234042683505</v>
      </c>
      <c r="CR97">
        <f t="shared" si="179"/>
        <v>2.7565225531951381</v>
      </c>
      <c r="CS97">
        <f>7963.6*(CL97/1000)^0.6*1.7*('CAPEX+OPEX'!$G$116/'CAPEX+OPEX'!$G$115)</f>
        <v>1113.4527359805918</v>
      </c>
      <c r="CT97">
        <f>7963.6*(CM97/1000)^0.6*1.7*('CAPEX+OPEX'!$G$116/'CAPEX+OPEX'!$G$115)</f>
        <v>2005.6402014549633</v>
      </c>
      <c r="CU97">
        <f>7963.6*(CP97/1000)^0.6*1.7*('CAPEX+OPEX'!$G$116/'CAPEX+OPEX'!$G$115)</f>
        <v>1929.4600551048397</v>
      </c>
      <c r="CV97">
        <f>7963.6*(CQ97/1000)^0.6*1.7*('CAPEX+OPEX'!$G$116/'CAPEX+OPEX'!$G$115)</f>
        <v>998.07468218697738</v>
      </c>
      <c r="CW97">
        <v>300</v>
      </c>
      <c r="CX97">
        <f t="shared" si="142"/>
        <v>30</v>
      </c>
      <c r="CY97">
        <f t="shared" si="143"/>
        <v>10</v>
      </c>
      <c r="CZ97">
        <f t="shared" si="144"/>
        <v>9.2356857683566087</v>
      </c>
      <c r="DA97">
        <f t="shared" si="145"/>
        <v>3960</v>
      </c>
      <c r="DB97">
        <f t="shared" si="146"/>
        <v>3960</v>
      </c>
      <c r="DC97">
        <f>CF97*'Reagent cost'!$C$18/1000*'Reagent cost'!$H$18</f>
        <v>4784.413580611521</v>
      </c>
      <c r="DD97">
        <f>CX97*'Ligand cost'!$B$56*'Ligand cost'!$J$56</f>
        <v>30543.831958072875</v>
      </c>
      <c r="DE97">
        <f t="shared" si="147"/>
        <v>39625.826528698344</v>
      </c>
      <c r="DF97">
        <f t="shared" si="148"/>
        <v>4586243.4239371875</v>
      </c>
      <c r="DG97">
        <f t="shared" si="149"/>
        <v>11794834.586807497</v>
      </c>
      <c r="DH97">
        <f t="shared" si="150"/>
        <v>2275209.1661185985</v>
      </c>
      <c r="DI97">
        <f t="shared" si="151"/>
        <v>14083914.336508472</v>
      </c>
      <c r="DJ97">
        <f t="shared" si="152"/>
        <v>1662824.8986326549</v>
      </c>
      <c r="DK97" s="55">
        <f>DF97*($BK$2/10000)^0.72*0.6*((A97+1)/3)^0.6*('CAPEX+OPEX'!$G$116/'CAPEX+OPEX'!$G$114)</f>
        <v>562059.51837065269</v>
      </c>
      <c r="DL97" s="55">
        <f>DG97*($BK$2/10000)^0.72*0.6*((A97+1)/3)^0.6*('CAPEX+OPEX'!$G$116/'CAPEX+OPEX'!$G$114)</f>
        <v>1445496.5500787452</v>
      </c>
      <c r="DM97" s="55">
        <f>DH97*($BK$2/10000)^0.72*0.6*((A97+1)/3)^0.6*('CAPEX+OPEX'!$G$116/'CAPEX+OPEX'!$G$114)</f>
        <v>278834.51659512869</v>
      </c>
      <c r="DN97" s="55">
        <f>DI97*($BK$2/10000)^0.72*0.6*((A97+1)/3)^0.6*('CAPEX+OPEX'!$G$116/'CAPEX+OPEX'!$G$114)</f>
        <v>1726030.9532274618</v>
      </c>
      <c r="DO97" s="55">
        <f>DJ97*($BK$2/10000)^0.72*0.6*((A97+1)/3)^0.6*('CAPEX+OPEX'!$G$116/'CAPEX+OPEX'!$G$114)</f>
        <v>203784.77007612924</v>
      </c>
      <c r="DP97">
        <f t="shared" si="153"/>
        <v>4216206.3083481174</v>
      </c>
      <c r="DQ97">
        <f>DF97*(BM97/10000)^0.72*0.6*((AF97+1)/3)^0.6*('CAPEX+OPEX'!$G$116/'CAPEX+OPEX'!$G$114)</f>
        <v>453475.76512668352</v>
      </c>
      <c r="DR97">
        <f>DG97*(BM97/10000)^0.72*0.6*((AF97+1)/3)^0.6*('CAPEX+OPEX'!$G$116/'CAPEX+OPEX'!$G$114)</f>
        <v>1166242.4220394923</v>
      </c>
      <c r="DS97">
        <f>DH97*(BM97/10000)^0.72*0.6*((AF97+1)/3)^0.6*('CAPEX+OPEX'!$G$116/'CAPEX+OPEX'!$G$114)</f>
        <v>224966.73683821579</v>
      </c>
      <c r="DT97">
        <f>DI97*(BM97/10000)^0.72*0.6*((AF97+1)/3)^0.6*('CAPEX+OPEX'!$G$116/'CAPEX+OPEX'!$G$114)</f>
        <v>1392580.645936145</v>
      </c>
      <c r="DU97">
        <f>DJ97*(BM97/10000)^0.72*0.6*((AF97+1)/3)^0.6*('CAPEX+OPEX'!$G$116/'CAPEX+OPEX'!$G$114)</f>
        <v>164415.7807332013</v>
      </c>
      <c r="DV97">
        <f t="shared" si="154"/>
        <v>3401681.3506737375</v>
      </c>
      <c r="DW97">
        <f t="shared" si="155"/>
        <v>7686200.7600061335</v>
      </c>
      <c r="DX97">
        <f t="shared" si="156"/>
        <v>512413.38400040887</v>
      </c>
      <c r="DY97">
        <f>BO97*'Reagent cost'!$C$35*60*7200</f>
        <v>1021262.260639152</v>
      </c>
      <c r="DZ97">
        <f>BP97*'Reagent cost'!$C$34*60*7200</f>
        <v>243006.00583504807</v>
      </c>
      <c r="EA97">
        <f>BQ97*'Reagent cost'!$C$14*'Reagent cost'!$C$36/1000*60*7200</f>
        <v>4028024.4295771108</v>
      </c>
      <c r="EB97">
        <f t="shared" si="157"/>
        <v>39.6</v>
      </c>
      <c r="EC97">
        <f t="shared" si="158"/>
        <v>95.688271612230423</v>
      </c>
      <c r="ED97">
        <f>0.1*BK97*60*7200*'Reagent cost'!$H$17*'Reagent cost'!$C$17/1000</f>
        <v>504921.59999999998</v>
      </c>
      <c r="EE97">
        <f>BV97*0.1*'Reagent cost'!$C$16/1000*'Reagent cost'!$H$16*60*7200</f>
        <v>999248.70682716812</v>
      </c>
      <c r="EF97">
        <f>BZ97/1000*'Reagent cost'!$H$19*'Reagent cost'!$C$19*60*7200</f>
        <v>83958.750456441179</v>
      </c>
      <c r="EG97">
        <f>0.33*('Costing 100 Lmin Feed Orig'!BO97*'Reagent cost'!$C$13+'Costing 100 Lmin Feed Orig'!BP97*'Reagent cost'!$C$12+'Costing 100 Lmin Feed Orig'!BQ97*'Reagent cost'!$C$14+'Costing 100 Lmin Feed Orig'!BV97*0.1*'Reagent cost'!$C$16+'Costing 100 Lmin Feed Orig'!BZ97*'Reagent cost'!$C$19)/1000*60*7200</f>
        <v>171777.47373465321</v>
      </c>
      <c r="EH97">
        <f>CG97*'Reagent cost'!$C$35*60*7200</f>
        <v>1835965.7787069017</v>
      </c>
      <c r="EI97">
        <f>CH97*'Reagent cost'!$C$34*60*7200</f>
        <v>436862.03625518939</v>
      </c>
      <c r="EJ97">
        <f>CI97*'Reagent cost'!$C$14*'Reagent cost'!$C$36/1000*60*7200</f>
        <v>7241347.588689548</v>
      </c>
      <c r="EK97">
        <f t="shared" si="159"/>
        <v>39.6</v>
      </c>
      <c r="EL97">
        <f t="shared" si="160"/>
        <v>610.87663916145755</v>
      </c>
      <c r="EM97">
        <f>0.1*BM97*60*7200*'Reagent cost'!$H$17*'Reagent cost'!$C$17/1000</f>
        <v>466329.72352558479</v>
      </c>
      <c r="EN97">
        <f>CN97*0.1*'Reagent cost'!$C$16/1000*'Reagent cost'!$H$16*60*7200</f>
        <v>1796391.0944908885</v>
      </c>
      <c r="EO97">
        <f>CR97/1000*'Reagent cost'!$H$19*'Reagent cost'!$C$19*60*7200</f>
        <v>150936.14892275297</v>
      </c>
      <c r="EP97">
        <f>0.33*(CG97*'Reagent cost'!$C$13+CH97*'Reagent cost'!$C$12+CI97*'Reagent cost'!$C$14+CN97*0.1*'Reagent cost'!$C$16+CR97*'Reagent cost'!$C$19)/1000*60*7200</f>
        <v>308811.53204679216</v>
      </c>
      <c r="EQ97">
        <f t="shared" si="161"/>
        <v>22570847.86660387</v>
      </c>
      <c r="ER97">
        <f t="shared" si="162"/>
        <v>480589.00578144536</v>
      </c>
      <c r="ES97">
        <f t="shared" si="163"/>
        <v>52288.524762496963</v>
      </c>
      <c r="ET97">
        <f t="shared" si="164"/>
        <v>53983.928663982973</v>
      </c>
      <c r="EU97">
        <f t="shared" si="165"/>
        <v>22856.098829508919</v>
      </c>
      <c r="EV97">
        <f t="shared" si="166"/>
        <v>12107.513206066582</v>
      </c>
      <c r="EW97">
        <f t="shared" si="167"/>
        <v>12189.919375738094</v>
      </c>
      <c r="EX97">
        <f t="shared" si="168"/>
        <v>153425.98483779354</v>
      </c>
      <c r="EY97">
        <f t="shared" si="180"/>
        <v>41141.812761386027</v>
      </c>
      <c r="EZ97">
        <f t="shared" si="181"/>
        <v>38793.836008203594</v>
      </c>
      <c r="FA97">
        <f t="shared" si="182"/>
        <v>16424.809600247485</v>
      </c>
      <c r="FB97">
        <f t="shared" si="183"/>
        <v>8705.5237754793434</v>
      </c>
      <c r="FC97">
        <f t="shared" si="184"/>
        <v>8759.8984534653282</v>
      </c>
      <c r="FD97">
        <f t="shared" si="169"/>
        <v>113825.88059878179</v>
      </c>
      <c r="FE97">
        <f t="shared" si="170"/>
        <v>23318688.737821892</v>
      </c>
      <c r="FF97">
        <f t="shared" si="171"/>
        <v>23831102.121822301</v>
      </c>
      <c r="FG97">
        <f>BM97*AM97*195.08/1000*'PGM market prices'!$C$2*60*7200</f>
        <v>423414272.63208622</v>
      </c>
      <c r="FH97">
        <f>BN97*AQ97*BA97*106.42/1000*'PGM market prices'!$C$3*60*7200</f>
        <v>222222063.91778898</v>
      </c>
      <c r="FI97">
        <f>BK97*J97*102.91/1000*'PGM market prices'!$C$4*60*7200</f>
        <v>247608231.7519269</v>
      </c>
      <c r="FJ97">
        <f t="shared" si="172"/>
        <v>893244568.30180216</v>
      </c>
      <c r="FK97">
        <f t="shared" si="173"/>
        <v>643365964.97318506</v>
      </c>
      <c r="FL97">
        <f t="shared" si="185"/>
        <v>0.55164588244959034</v>
      </c>
      <c r="FM97">
        <f t="shared" si="186"/>
        <v>1898.4498491854797</v>
      </c>
      <c r="FN97">
        <f t="shared" si="187"/>
        <v>3531.3797900357436</v>
      </c>
      <c r="FO97">
        <f t="shared" si="188"/>
        <v>15875.27206892398</v>
      </c>
    </row>
    <row r="98" spans="1:171">
      <c r="A98">
        <v>12</v>
      </c>
      <c r="B98">
        <v>1.54143585092054E-3</v>
      </c>
      <c r="C98">
        <v>1.54143585092054E-3</v>
      </c>
      <c r="D98">
        <v>3.4254130020456501E-4</v>
      </c>
      <c r="E98">
        <v>0</v>
      </c>
      <c r="F98">
        <v>0</v>
      </c>
      <c r="G98">
        <v>0</v>
      </c>
      <c r="H98" s="53">
        <v>1.7771599281349402E-5</v>
      </c>
      <c r="I98" s="53">
        <v>6.3113732322488897E-11</v>
      </c>
      <c r="J98">
        <v>3.37661562480901E-4</v>
      </c>
      <c r="K98">
        <v>0.13911791568267901</v>
      </c>
      <c r="L98">
        <v>0.140740543921716</v>
      </c>
      <c r="M98">
        <v>4.45543656000266E-4</v>
      </c>
      <c r="N98" s="53">
        <v>-4.7646348672047899E-15</v>
      </c>
      <c r="O98" s="53">
        <v>-1.1300289697036E-11</v>
      </c>
      <c r="P98" s="53">
        <v>-4.6756218688437302E-19</v>
      </c>
      <c r="Q98">
        <v>0.10952322309941399</v>
      </c>
      <c r="R98">
        <v>98.575430839799395</v>
      </c>
      <c r="S98">
        <v>500</v>
      </c>
      <c r="T98">
        <v>95</v>
      </c>
      <c r="U98">
        <v>1</v>
      </c>
      <c r="V98">
        <v>0.1</v>
      </c>
      <c r="W98">
        <v>91.304836700459305</v>
      </c>
      <c r="X98" t="s">
        <v>323</v>
      </c>
      <c r="Y98">
        <v>1</v>
      </c>
      <c r="Z98">
        <v>0.28318429382522198</v>
      </c>
      <c r="AA98">
        <v>0.56945642916197003</v>
      </c>
      <c r="AB98">
        <v>3.7698628972227502E-3</v>
      </c>
      <c r="AC98">
        <v>1822.2107908876901</v>
      </c>
      <c r="AD98">
        <v>2662.6059073104898</v>
      </c>
      <c r="AE98">
        <v>2401.5030938442701</v>
      </c>
      <c r="AF98">
        <v>10</v>
      </c>
      <c r="AG98">
        <v>1.6497575706444501E-3</v>
      </c>
      <c r="AH98">
        <v>1.66899983148883E-3</v>
      </c>
      <c r="AI98" s="53">
        <v>5.28356837386519E-6</v>
      </c>
      <c r="AJ98">
        <v>0</v>
      </c>
      <c r="AK98">
        <v>0</v>
      </c>
      <c r="AL98">
        <v>0</v>
      </c>
      <c r="AM98">
        <v>1.61280677346842E-3</v>
      </c>
      <c r="AN98" s="53">
        <v>7.9635748983234095E-5</v>
      </c>
      <c r="AO98" s="53">
        <v>5.2488180406069303E-6</v>
      </c>
      <c r="AP98">
        <v>1.73338788049E-3</v>
      </c>
      <c r="AQ98">
        <v>7.4558186846967897E-2</v>
      </c>
      <c r="AR98" s="53">
        <v>1.6301625709626699E-6</v>
      </c>
      <c r="AS98" s="53">
        <v>6.15638453844297E-15</v>
      </c>
      <c r="AT98" s="53">
        <v>-6.3767177302387295E-13</v>
      </c>
      <c r="AU98" s="53">
        <v>5.9788614675332804E-20</v>
      </c>
      <c r="AV98">
        <v>0.19687800716022599</v>
      </c>
      <c r="AW98">
        <v>99.342294245113806</v>
      </c>
      <c r="AX98">
        <v>500</v>
      </c>
      <c r="AY98">
        <v>95</v>
      </c>
      <c r="AZ98">
        <v>0.92356857683566096</v>
      </c>
      <c r="BA98">
        <v>0.1</v>
      </c>
      <c r="BB98">
        <v>46.910703239901501</v>
      </c>
      <c r="BC98" t="s">
        <v>251</v>
      </c>
      <c r="BD98">
        <v>1</v>
      </c>
      <c r="BE98">
        <v>1.8775014999999999E-2</v>
      </c>
      <c r="BF98">
        <v>0.10492961100000001</v>
      </c>
      <c r="BG98">
        <v>1.814625E-3</v>
      </c>
      <c r="BH98">
        <v>285.1951444</v>
      </c>
      <c r="BI98">
        <v>2169.8944889999998</v>
      </c>
      <c r="BJ98">
        <v>866.49409060000005</v>
      </c>
      <c r="BK98">
        <f t="shared" si="121"/>
        <v>100</v>
      </c>
      <c r="BL98">
        <f t="shared" si="122"/>
        <v>10.952322309941399</v>
      </c>
      <c r="BM98">
        <f t="shared" si="123"/>
        <v>92.356857683566091</v>
      </c>
      <c r="BN98">
        <f t="shared" si="124"/>
        <v>19.687800716022601</v>
      </c>
      <c r="BO98">
        <f t="shared" si="125"/>
        <v>3.9428360315789037</v>
      </c>
      <c r="BP98">
        <f t="shared" si="126"/>
        <v>0.26285573543859359</v>
      </c>
      <c r="BQ98">
        <f t="shared" si="127"/>
        <v>1.314278677192968</v>
      </c>
      <c r="BR98">
        <f t="shared" si="128"/>
        <v>0.65713933859648399</v>
      </c>
      <c r="BS98">
        <f t="shared" si="129"/>
        <v>1.09523223099414</v>
      </c>
      <c r="BT98">
        <f t="shared" si="130"/>
        <v>6.5713933859648392</v>
      </c>
      <c r="BU98">
        <f t="shared" si="131"/>
        <v>17.52371569590624</v>
      </c>
      <c r="BV98">
        <f t="shared" si="174"/>
        <v>5.4761611549706997</v>
      </c>
      <c r="BW98">
        <f t="shared" ref="BW98:BW101" si="189">BM98-BV98</f>
        <v>86.880696528595394</v>
      </c>
      <c r="BX98">
        <f t="shared" ref="BX98:BX101" si="190">(SUM(BV98:BW98)+BL98)*1</f>
        <v>103.30917999350748</v>
      </c>
      <c r="BY98">
        <f t="shared" si="175"/>
        <v>92.356857683566091</v>
      </c>
      <c r="BZ98">
        <f t="shared" si="176"/>
        <v>1.5333251233917959</v>
      </c>
      <c r="CA98">
        <f>7963.6*(BT98/1000)^0.6*1.7*('CAPEX+OPEX'!$G$116/'CAPEX+OPEX'!$G$115)</f>
        <v>783.13278867723739</v>
      </c>
      <c r="CB98">
        <f>7963.6*(BU98/1000)^0.6*1.7*('CAPEX+OPEX'!$G$116/'CAPEX+OPEX'!$G$115)</f>
        <v>1410.6414698108749</v>
      </c>
      <c r="CC98">
        <f>7963.6*(BX98/1000)^0.6*1.7*('CAPEX+OPEX'!$G$116/'CAPEX+OPEX'!$G$115)</f>
        <v>4090.00912083296</v>
      </c>
      <c r="CD98">
        <f>7963.6*(BY98/1000)^0.6*1.7*('CAPEX+OPEX'!$G$116/'CAPEX+OPEX'!$G$115)</f>
        <v>3824.0399153359995</v>
      </c>
      <c r="CE98">
        <v>300</v>
      </c>
      <c r="CF98">
        <v>30</v>
      </c>
      <c r="CG98">
        <f t="shared" si="134"/>
        <v>7.0876082577681361</v>
      </c>
      <c r="CH98">
        <f t="shared" si="135"/>
        <v>0.47250721718454242</v>
      </c>
      <c r="CI98">
        <f t="shared" si="136"/>
        <v>2.362536085922712</v>
      </c>
      <c r="CJ98">
        <f t="shared" si="137"/>
        <v>1.181268042961356</v>
      </c>
      <c r="CK98">
        <f t="shared" si="138"/>
        <v>1.9687800716022601</v>
      </c>
      <c r="CL98">
        <f t="shared" si="139"/>
        <v>11.812680429613559</v>
      </c>
      <c r="CM98">
        <f t="shared" si="140"/>
        <v>31.500481145636162</v>
      </c>
      <c r="CN98">
        <f t="shared" si="177"/>
        <v>9.8439003580113003</v>
      </c>
      <c r="CO98">
        <v>0</v>
      </c>
      <c r="CP98">
        <f t="shared" ref="CP98:CP101" si="191">(SUM(CN98:CO98)+BN98)*1</f>
        <v>29.531701074033901</v>
      </c>
      <c r="CQ98">
        <f t="shared" si="178"/>
        <v>9.8439003580113003</v>
      </c>
      <c r="CR98">
        <f t="shared" si="179"/>
        <v>2.7562921002431642</v>
      </c>
      <c r="CS98">
        <f>7963.6*(CL98/1000)^0.6*1.7*('CAPEX+OPEX'!$G$116/'CAPEX+OPEX'!$G$115)</f>
        <v>1113.3968823993698</v>
      </c>
      <c r="CT98">
        <f>7963.6*(CM98/1000)^0.6*1.7*('CAPEX+OPEX'!$G$116/'CAPEX+OPEX'!$G$115)</f>
        <v>2005.5395935133108</v>
      </c>
      <c r="CU98">
        <f>7963.6*(CP98/1000)^0.6*1.7*('CAPEX+OPEX'!$G$116/'CAPEX+OPEX'!$G$115)</f>
        <v>1929.3632685503499</v>
      </c>
      <c r="CV98">
        <f>7963.6*(CQ98/1000)^0.6*1.7*('CAPEX+OPEX'!$G$116/'CAPEX+OPEX'!$G$115)</f>
        <v>998.02461625824344</v>
      </c>
      <c r="CW98">
        <v>300</v>
      </c>
      <c r="CX98">
        <f t="shared" ref="CX98:CX101" si="192">0.1*CW98</f>
        <v>30</v>
      </c>
      <c r="CY98">
        <f t="shared" si="143"/>
        <v>10</v>
      </c>
      <c r="CZ98">
        <f t="shared" si="144"/>
        <v>9.2356857683566087</v>
      </c>
      <c r="DA98">
        <f t="shared" si="145"/>
        <v>3960</v>
      </c>
      <c r="DB98">
        <f t="shared" si="146"/>
        <v>3960</v>
      </c>
      <c r="DC98">
        <f>CF98*'Reagent cost'!$C$18/1000*'Reagent cost'!$H$18</f>
        <v>4784.413580611521</v>
      </c>
      <c r="DD98">
        <f>CX98*'Ligand cost'!$B$56*'Ligand cost'!$J$56</f>
        <v>30543.831958072875</v>
      </c>
      <c r="DE98">
        <f t="shared" si="147"/>
        <v>39625.826528698344</v>
      </c>
      <c r="DF98">
        <f t="shared" ref="DF98:DF101" si="193">2510*(DE98^0.571)+89*DE98</f>
        <v>4586243.4239371875</v>
      </c>
      <c r="DG98">
        <f t="shared" si="149"/>
        <v>11794834.586807497</v>
      </c>
      <c r="DH98">
        <f t="shared" si="150"/>
        <v>2275209.1661185985</v>
      </c>
      <c r="DI98">
        <f t="shared" si="151"/>
        <v>14083914.336508472</v>
      </c>
      <c r="DJ98">
        <f t="shared" si="152"/>
        <v>1662824.8986326549</v>
      </c>
      <c r="DK98" s="55">
        <f>DF98*($BK$2/10000)^0.72*0.6*((A98+1)/3)^0.6*('CAPEX+OPEX'!$G$116/'CAPEX+OPEX'!$G$114)</f>
        <v>562059.51837065269</v>
      </c>
      <c r="DL98" s="55">
        <f>DG98*($BK$2/10000)^0.72*0.6*((A98+1)/3)^0.6*('CAPEX+OPEX'!$G$116/'CAPEX+OPEX'!$G$114)</f>
        <v>1445496.5500787452</v>
      </c>
      <c r="DM98" s="55">
        <f>DH98*($BK$2/10000)^0.72*0.6*((A98+1)/3)^0.6*('CAPEX+OPEX'!$G$116/'CAPEX+OPEX'!$G$114)</f>
        <v>278834.51659512869</v>
      </c>
      <c r="DN98" s="55">
        <f>DI98*($BK$2/10000)^0.72*0.6*((A98+1)/3)^0.6*('CAPEX+OPEX'!$G$116/'CAPEX+OPEX'!$G$114)</f>
        <v>1726030.9532274618</v>
      </c>
      <c r="DO98" s="55">
        <f>DJ98*($BK$2/10000)^0.72*0.6*((A98+1)/3)^0.6*('CAPEX+OPEX'!$G$116/'CAPEX+OPEX'!$G$114)</f>
        <v>203784.77007612924</v>
      </c>
      <c r="DP98">
        <f t="shared" ref="DP98:DP101" si="194">SUM(DK98:DO98)</f>
        <v>4216206.3083481174</v>
      </c>
      <c r="DQ98">
        <f>DF98*(BM98/10000)^0.72*0.6*((AF98+1)/3)^0.6*('CAPEX+OPEX'!$G$116/'CAPEX+OPEX'!$G$114)</f>
        <v>480164.10763527802</v>
      </c>
      <c r="DR98">
        <f>DG98*(BM98/10000)^0.72*0.6*((AF98+1)/3)^0.6*('CAPEX+OPEX'!$G$116/'CAPEX+OPEX'!$G$114)</f>
        <v>1234879.1157749284</v>
      </c>
      <c r="DS98">
        <f>DH98*(BM98/10000)^0.72*0.6*((AF98+1)/3)^0.6*('CAPEX+OPEX'!$G$116/'CAPEX+OPEX'!$G$114)</f>
        <v>238206.67111364912</v>
      </c>
      <c r="DT98">
        <f>DI98*(BM98/10000)^0.72*0.6*((AF98+1)/3)^0.6*('CAPEX+OPEX'!$G$116/'CAPEX+OPEX'!$G$114)</f>
        <v>1474537.989873149</v>
      </c>
      <c r="DU98">
        <f>DJ98*(BM98/10000)^0.72*0.6*((AF98+1)/3)^0.6*('CAPEX+OPEX'!$G$116/'CAPEX+OPEX'!$G$114)</f>
        <v>174092.11849471281</v>
      </c>
      <c r="DV98">
        <f t="shared" ref="DV98:DV101" si="195">SUM(DQ98:DU98)</f>
        <v>3601880.0028917175</v>
      </c>
      <c r="DW98">
        <f t="shared" ref="DW98:DW101" si="196">DV98+DP98+SUM(DA98:DD98)*1.15+SUM(CS98:CV98)*1.15+SUM(CA98:CD98)*1.15</f>
        <v>7886399.0634130072</v>
      </c>
      <c r="DX98">
        <f t="shared" ref="DX98:DX101" si="197">DW98/15</f>
        <v>525759.93756086717</v>
      </c>
      <c r="DY98">
        <f>BO98*'Reagent cost'!$C$35*60*7200</f>
        <v>1021262.260639152</v>
      </c>
      <c r="DZ98">
        <f>BP98*'Reagent cost'!$C$34*60*7200</f>
        <v>243006.00583504807</v>
      </c>
      <c r="EA98">
        <f>BQ98*'Reagent cost'!$C$14*'Reagent cost'!$C$36/1000*60*7200</f>
        <v>4028024.4295771108</v>
      </c>
      <c r="EB98">
        <f t="shared" si="157"/>
        <v>39.6</v>
      </c>
      <c r="EC98">
        <f t="shared" si="158"/>
        <v>95.688271612230423</v>
      </c>
      <c r="ED98">
        <f>0.1*BK98*60*7200*'Reagent cost'!$H$17*'Reagent cost'!$C$17/1000</f>
        <v>504921.59999999998</v>
      </c>
      <c r="EE98">
        <f>BV98*0.1*'Reagent cost'!$C$16/1000*'Reagent cost'!$H$16*60*7200</f>
        <v>999248.70682716812</v>
      </c>
      <c r="EF98">
        <f>BZ98/1000*'Reagent cost'!$H$19*'Reagent cost'!$C$19*60*7200</f>
        <v>83958.750456441179</v>
      </c>
      <c r="EG98">
        <f>0.33*('Costing 100 Lmin Feed Orig'!BO98*'Reagent cost'!$C$13+'Costing 100 Lmin Feed Orig'!BP98*'Reagent cost'!$C$12+'Costing 100 Lmin Feed Orig'!BQ98*'Reagent cost'!$C$14+'Costing 100 Lmin Feed Orig'!BV98*0.1*'Reagent cost'!$C$16+'Costing 100 Lmin Feed Orig'!BZ98*'Reagent cost'!$C$19)/1000*60*7200</f>
        <v>171777.47373465321</v>
      </c>
      <c r="EH98">
        <f>CG98*'Reagent cost'!$C$35*60*7200</f>
        <v>1835812.2868615559</v>
      </c>
      <c r="EI98">
        <f>CH98*'Reagent cost'!$C$34*60*7200</f>
        <v>436825.51337394404</v>
      </c>
      <c r="EJ98">
        <f>CI98*'Reagent cost'!$C$14*'Reagent cost'!$C$36/1000*60*7200</f>
        <v>7240742.1918912716</v>
      </c>
      <c r="EK98">
        <f t="shared" si="159"/>
        <v>39.6</v>
      </c>
      <c r="EL98">
        <f t="shared" si="160"/>
        <v>610.87663916145755</v>
      </c>
      <c r="EM98">
        <f>0.1*BM98*60*7200*'Reagent cost'!$H$17*'Reagent cost'!$C$17/1000</f>
        <v>466329.72352558479</v>
      </c>
      <c r="EN98">
        <f>CN98*0.1*'Reagent cost'!$C$16/1000*'Reagent cost'!$H$16*60*7200</f>
        <v>1796240.9111992095</v>
      </c>
      <c r="EO98">
        <f>CR98/1000*'Reagent cost'!$H$19*'Reagent cost'!$C$19*60*7200</f>
        <v>150923.53024091467</v>
      </c>
      <c r="EP98">
        <f>0.33*(CG98*'Reagent cost'!$C$13+CH98*'Reagent cost'!$C$12+CI98*'Reagent cost'!$C$14+CN98*0.1*'Reagent cost'!$C$16+CR98*'Reagent cost'!$C$19)/1000*60*7200</f>
        <v>308785.71454383672</v>
      </c>
      <c r="EQ98">
        <f t="shared" si="161"/>
        <v>22569698.010405809</v>
      </c>
      <c r="ER98">
        <f t="shared" si="162"/>
        <v>480563.18827848992</v>
      </c>
      <c r="ES98">
        <f t="shared" si="163"/>
        <v>52288.524762496963</v>
      </c>
      <c r="ET98">
        <f t="shared" si="164"/>
        <v>53983.928663982973</v>
      </c>
      <c r="EU98">
        <f t="shared" si="165"/>
        <v>22856.098829508919</v>
      </c>
      <c r="EV98">
        <f t="shared" si="166"/>
        <v>12107.513206066582</v>
      </c>
      <c r="EW98">
        <f t="shared" si="167"/>
        <v>12189.919375738094</v>
      </c>
      <c r="EX98">
        <f t="shared" ref="EX98:EX101" si="198">SUM(ES98:EW98)</f>
        <v>153425.98483779354</v>
      </c>
      <c r="EY98">
        <f t="shared" si="180"/>
        <v>43713.176058972655</v>
      </c>
      <c r="EZ98">
        <f t="shared" si="181"/>
        <v>42673.219609023952</v>
      </c>
      <c r="FA98">
        <f t="shared" si="182"/>
        <v>18067.290560272231</v>
      </c>
      <c r="FB98">
        <f t="shared" si="183"/>
        <v>9576.0761530272775</v>
      </c>
      <c r="FC98">
        <f t="shared" si="184"/>
        <v>9635.8882988118585</v>
      </c>
      <c r="FD98">
        <f t="shared" ref="FD98:FD101" si="199">SUM(EY98:FC98)</f>
        <v>123665.65068010797</v>
      </c>
      <c r="FE98">
        <f t="shared" ref="FE98:FE101" si="200">EQ98+ER98+EX98+FD98</f>
        <v>23327352.834202196</v>
      </c>
      <c r="FF98">
        <f t="shared" ref="FF98:FF101" si="201">FE98+DX98</f>
        <v>23853112.771763064</v>
      </c>
      <c r="FG98">
        <f>BM98*AM98*195.08/1000*'PGM market prices'!$C$2*60*7200</f>
        <v>423417179.88481921</v>
      </c>
      <c r="FH98">
        <f>BN98*AQ98*BA98*106.42/1000*'PGM market prices'!$C$3*60*7200</f>
        <v>222221983.91434583</v>
      </c>
      <c r="FI98">
        <f>BK98*J98*102.91/1000*'PGM market prices'!$C$4*60*7200</f>
        <v>247608231.7519269</v>
      </c>
      <c r="FJ98">
        <f t="shared" ref="FJ98:FJ101" si="202">SUM(FG98:FI98)</f>
        <v>893247395.55109191</v>
      </c>
      <c r="FK98">
        <f t="shared" ref="FK98:FK101" si="203">(1-0.26)*(FJ98-FF98)</f>
        <v>643351769.25670338</v>
      </c>
      <c r="FL98">
        <f t="shared" si="185"/>
        <v>0.55215538823525612</v>
      </c>
      <c r="FM98">
        <f t="shared" si="186"/>
        <v>1900.1902297940312</v>
      </c>
      <c r="FN98">
        <f t="shared" si="187"/>
        <v>3534.6426810967887</v>
      </c>
      <c r="FO98">
        <f t="shared" si="188"/>
        <v>15889.934632763336</v>
      </c>
    </row>
    <row r="99" spans="1:171">
      <c r="A99">
        <v>12</v>
      </c>
      <c r="B99">
        <v>1.54143585092054E-3</v>
      </c>
      <c r="C99">
        <v>1.54143585092054E-3</v>
      </c>
      <c r="D99">
        <v>3.4254130020456501E-4</v>
      </c>
      <c r="E99">
        <v>0</v>
      </c>
      <c r="F99">
        <v>0</v>
      </c>
      <c r="G99">
        <v>0</v>
      </c>
      <c r="H99" s="53">
        <v>1.7771599281349402E-5</v>
      </c>
      <c r="I99" s="53">
        <v>6.3113732322488897E-11</v>
      </c>
      <c r="J99">
        <v>3.37661562480901E-4</v>
      </c>
      <c r="K99">
        <v>0.13911791568267901</v>
      </c>
      <c r="L99">
        <v>0.140740543921716</v>
      </c>
      <c r="M99">
        <v>4.45543656000266E-4</v>
      </c>
      <c r="N99" s="53">
        <v>-4.7646348672047899E-15</v>
      </c>
      <c r="O99" s="53">
        <v>-1.1300289697036E-11</v>
      </c>
      <c r="P99" s="53">
        <v>-4.6756218688437302E-19</v>
      </c>
      <c r="Q99">
        <v>0.10952322309941399</v>
      </c>
      <c r="R99">
        <v>98.575430839799395</v>
      </c>
      <c r="S99">
        <v>500</v>
      </c>
      <c r="T99">
        <v>95</v>
      </c>
      <c r="U99">
        <v>1</v>
      </c>
      <c r="V99">
        <v>0.1</v>
      </c>
      <c r="W99">
        <v>91.304836700459305</v>
      </c>
      <c r="X99" t="s">
        <v>323</v>
      </c>
      <c r="Y99">
        <v>1</v>
      </c>
      <c r="Z99">
        <v>0.28318429382522198</v>
      </c>
      <c r="AA99">
        <v>0.56945642916197003</v>
      </c>
      <c r="AB99">
        <v>3.7698628972227502E-3</v>
      </c>
      <c r="AC99">
        <v>1822.2107908876901</v>
      </c>
      <c r="AD99">
        <v>2662.6059073104898</v>
      </c>
      <c r="AE99">
        <v>2401.5030938442701</v>
      </c>
      <c r="AF99">
        <v>11</v>
      </c>
      <c r="AG99">
        <v>1.6497575706444501E-3</v>
      </c>
      <c r="AH99">
        <v>1.66899983148883E-3</v>
      </c>
      <c r="AI99" s="53">
        <v>5.28356837386519E-6</v>
      </c>
      <c r="AJ99">
        <v>0</v>
      </c>
      <c r="AK99">
        <v>0</v>
      </c>
      <c r="AL99">
        <v>0</v>
      </c>
      <c r="AM99">
        <v>1.61280988700799E-3</v>
      </c>
      <c r="AN99" s="53">
        <v>7.9635910048100197E-5</v>
      </c>
      <c r="AO99" s="53">
        <v>5.2488208470369598E-6</v>
      </c>
      <c r="AP99">
        <v>1.73328256872752E-3</v>
      </c>
      <c r="AQ99">
        <v>7.4559932038912993E-2</v>
      </c>
      <c r="AR99" s="53">
        <v>1.6300692393553599E-6</v>
      </c>
      <c r="AS99" s="53">
        <v>1.9909814357073302E-15</v>
      </c>
      <c r="AT99" s="53">
        <v>-1.9813924806433201E-13</v>
      </c>
      <c r="AU99" s="53">
        <v>1.5438498952689699E-20</v>
      </c>
      <c r="AV99">
        <v>0.19687337891228299</v>
      </c>
      <c r="AW99">
        <v>99.342347361300298</v>
      </c>
      <c r="AX99">
        <v>500</v>
      </c>
      <c r="AY99">
        <v>95</v>
      </c>
      <c r="AZ99">
        <v>0.92356857683566096</v>
      </c>
      <c r="BA99">
        <v>0.1</v>
      </c>
      <c r="BB99">
        <v>46.911806052109903</v>
      </c>
      <c r="BC99" t="s">
        <v>251</v>
      </c>
      <c r="BD99">
        <v>1</v>
      </c>
      <c r="BE99">
        <v>1.8775014999999999E-2</v>
      </c>
      <c r="BF99">
        <v>0.10492961100000001</v>
      </c>
      <c r="BG99">
        <v>1.814625E-3</v>
      </c>
      <c r="BH99">
        <v>285.1951444</v>
      </c>
      <c r="BI99">
        <v>2169.8944889999998</v>
      </c>
      <c r="BJ99">
        <v>866.49409060000005</v>
      </c>
      <c r="BK99">
        <f t="shared" si="121"/>
        <v>100</v>
      </c>
      <c r="BL99">
        <f t="shared" si="122"/>
        <v>10.952322309941399</v>
      </c>
      <c r="BM99">
        <f t="shared" si="123"/>
        <v>92.356857683566091</v>
      </c>
      <c r="BN99">
        <f t="shared" si="124"/>
        <v>19.687337891228299</v>
      </c>
      <c r="BO99">
        <f t="shared" si="125"/>
        <v>3.9428360315789037</v>
      </c>
      <c r="BP99">
        <f t="shared" si="126"/>
        <v>0.26285573543859359</v>
      </c>
      <c r="BQ99">
        <f t="shared" si="127"/>
        <v>1.314278677192968</v>
      </c>
      <c r="BR99">
        <f t="shared" si="128"/>
        <v>0.65713933859648399</v>
      </c>
      <c r="BS99">
        <f t="shared" si="129"/>
        <v>1.09523223099414</v>
      </c>
      <c r="BT99">
        <f t="shared" si="130"/>
        <v>6.5713933859648392</v>
      </c>
      <c r="BU99">
        <f t="shared" si="131"/>
        <v>17.52371569590624</v>
      </c>
      <c r="BV99">
        <f t="shared" si="174"/>
        <v>5.4761611549706997</v>
      </c>
      <c r="BW99">
        <f t="shared" si="189"/>
        <v>86.880696528595394</v>
      </c>
      <c r="BX99">
        <f t="shared" si="190"/>
        <v>103.30917999350748</v>
      </c>
      <c r="BY99">
        <f t="shared" si="175"/>
        <v>92.356857683566091</v>
      </c>
      <c r="BZ99">
        <f t="shared" si="176"/>
        <v>1.5333251233917959</v>
      </c>
      <c r="CA99">
        <f>7963.6*(BT99/1000)^0.6*1.7*('CAPEX+OPEX'!$G$116/'CAPEX+OPEX'!$G$115)</f>
        <v>783.13278867723739</v>
      </c>
      <c r="CB99">
        <f>7963.6*(BU99/1000)^0.6*1.7*('CAPEX+OPEX'!$G$116/'CAPEX+OPEX'!$G$115)</f>
        <v>1410.6414698108749</v>
      </c>
      <c r="CC99">
        <f>7963.6*(BX99/1000)^0.6*1.7*('CAPEX+OPEX'!$G$116/'CAPEX+OPEX'!$G$115)</f>
        <v>4090.00912083296</v>
      </c>
      <c r="CD99">
        <f>7963.6*(BY99/1000)^0.6*1.7*('CAPEX+OPEX'!$G$116/'CAPEX+OPEX'!$G$115)</f>
        <v>3824.0399153359995</v>
      </c>
      <c r="CE99">
        <v>300</v>
      </c>
      <c r="CF99">
        <v>30</v>
      </c>
      <c r="CG99">
        <f t="shared" si="134"/>
        <v>7.0874416408421874</v>
      </c>
      <c r="CH99">
        <f t="shared" si="135"/>
        <v>0.47249610938947922</v>
      </c>
      <c r="CI99">
        <f t="shared" si="136"/>
        <v>2.362480546947396</v>
      </c>
      <c r="CJ99">
        <f t="shared" si="137"/>
        <v>1.181240273473698</v>
      </c>
      <c r="CK99">
        <f t="shared" si="138"/>
        <v>1.96873378912283</v>
      </c>
      <c r="CL99">
        <f t="shared" si="139"/>
        <v>11.812402734736979</v>
      </c>
      <c r="CM99">
        <f t="shared" si="140"/>
        <v>31.499740625965281</v>
      </c>
      <c r="CN99">
        <f t="shared" si="177"/>
        <v>9.8436689456141497</v>
      </c>
      <c r="CO99">
        <v>0</v>
      </c>
      <c r="CP99">
        <f t="shared" si="191"/>
        <v>29.531006836842451</v>
      </c>
      <c r="CQ99">
        <f t="shared" si="178"/>
        <v>9.8436689456141497</v>
      </c>
      <c r="CR99">
        <f t="shared" si="179"/>
        <v>2.7562273047719619</v>
      </c>
      <c r="CS99">
        <f>7963.6*(CL99/1000)^0.6*1.7*('CAPEX+OPEX'!$G$116/'CAPEX+OPEX'!$G$115)</f>
        <v>1113.3811779503051</v>
      </c>
      <c r="CT99">
        <f>7963.6*(CM99/1000)^0.6*1.7*('CAPEX+OPEX'!$G$116/'CAPEX+OPEX'!$G$115)</f>
        <v>2005.5113054024935</v>
      </c>
      <c r="CU99">
        <f>7963.6*(CP99/1000)^0.6*1.7*('CAPEX+OPEX'!$G$116/'CAPEX+OPEX'!$G$115)</f>
        <v>1929.3360549056413</v>
      </c>
      <c r="CV99">
        <f>7963.6*(CQ99/1000)^0.6*1.7*('CAPEX+OPEX'!$G$116/'CAPEX+OPEX'!$G$115)</f>
        <v>998.01053913354644</v>
      </c>
      <c r="CW99">
        <v>300</v>
      </c>
      <c r="CX99">
        <f t="shared" si="192"/>
        <v>30</v>
      </c>
      <c r="CY99">
        <f t="shared" si="143"/>
        <v>10</v>
      </c>
      <c r="CZ99">
        <f t="shared" si="144"/>
        <v>9.2356857683566087</v>
      </c>
      <c r="DA99">
        <f t="shared" si="145"/>
        <v>3960</v>
      </c>
      <c r="DB99">
        <f t="shared" si="146"/>
        <v>3960</v>
      </c>
      <c r="DC99">
        <f>CF99*'Reagent cost'!$C$18/1000*'Reagent cost'!$H$18</f>
        <v>4784.413580611521</v>
      </c>
      <c r="DD99">
        <f>CX99*'Ligand cost'!$B$56*'Ligand cost'!$J$56</f>
        <v>30543.831958072875</v>
      </c>
      <c r="DE99">
        <f t="shared" si="147"/>
        <v>39625.826528698344</v>
      </c>
      <c r="DF99">
        <f t="shared" si="193"/>
        <v>4586243.4239371875</v>
      </c>
      <c r="DG99">
        <f t="shared" si="149"/>
        <v>11794834.586807497</v>
      </c>
      <c r="DH99">
        <f t="shared" si="150"/>
        <v>2275209.1661185985</v>
      </c>
      <c r="DI99">
        <f t="shared" si="151"/>
        <v>14083914.336508472</v>
      </c>
      <c r="DJ99">
        <f t="shared" si="152"/>
        <v>1662824.8986326549</v>
      </c>
      <c r="DK99" s="55">
        <f>DF99*($BK$2/10000)^0.72*0.6*((A99+1)/3)^0.6*('CAPEX+OPEX'!$G$116/'CAPEX+OPEX'!$G$114)</f>
        <v>562059.51837065269</v>
      </c>
      <c r="DL99" s="55">
        <f>DG99*($BK$2/10000)^0.72*0.6*((A99+1)/3)^0.6*('CAPEX+OPEX'!$G$116/'CAPEX+OPEX'!$G$114)</f>
        <v>1445496.5500787452</v>
      </c>
      <c r="DM99" s="55">
        <f>DH99*($BK$2/10000)^0.72*0.6*((A99+1)/3)^0.6*('CAPEX+OPEX'!$G$116/'CAPEX+OPEX'!$G$114)</f>
        <v>278834.51659512869</v>
      </c>
      <c r="DN99" s="55">
        <f>DI99*($BK$2/10000)^0.72*0.6*((A99+1)/3)^0.6*('CAPEX+OPEX'!$G$116/'CAPEX+OPEX'!$G$114)</f>
        <v>1726030.9532274618</v>
      </c>
      <c r="DO99" s="55">
        <f>DJ99*($BK$2/10000)^0.72*0.6*((A99+1)/3)^0.6*('CAPEX+OPEX'!$G$116/'CAPEX+OPEX'!$G$114)</f>
        <v>203784.77007612924</v>
      </c>
      <c r="DP99">
        <f t="shared" si="194"/>
        <v>4216206.3083481174</v>
      </c>
      <c r="DQ99">
        <f>DF99*(BM99/10000)^0.72*0.6*((AF99+1)/3)^0.6*('CAPEX+OPEX'!$G$116/'CAPEX+OPEX'!$G$114)</f>
        <v>505897.84551473748</v>
      </c>
      <c r="DR99">
        <f>DG99*(BM99/10000)^0.72*0.6*((AF99+1)/3)^0.6*('CAPEX+OPEX'!$G$116/'CAPEX+OPEX'!$G$114)</f>
        <v>1301060.7711149575</v>
      </c>
      <c r="DS99">
        <f>DH99*(BM99/10000)^0.72*0.6*((AF99+1)/3)^0.6*('CAPEX+OPEX'!$G$116/'CAPEX+OPEX'!$G$114)</f>
        <v>250973.03148524405</v>
      </c>
      <c r="DT99">
        <f>DI99*(BM99/10000)^0.72*0.6*((AF99+1)/3)^0.6*('CAPEX+OPEX'!$G$116/'CAPEX+OPEX'!$G$114)</f>
        <v>1553563.8344152884</v>
      </c>
      <c r="DU99">
        <f>DJ99*(BM99/10000)^0.72*0.6*((AF99+1)/3)^0.6*('CAPEX+OPEX'!$G$116/'CAPEX+OPEX'!$G$114)</f>
        <v>183422.34720815442</v>
      </c>
      <c r="DV99">
        <f t="shared" si="195"/>
        <v>3794917.8297383823</v>
      </c>
      <c r="DW99">
        <f t="shared" si="196"/>
        <v>8079436.7921838434</v>
      </c>
      <c r="DX99">
        <f t="shared" si="197"/>
        <v>538629.11947892292</v>
      </c>
      <c r="DY99">
        <f>BO99*'Reagent cost'!$C$35*60*7200</f>
        <v>1021262.260639152</v>
      </c>
      <c r="DZ99">
        <f>BP99*'Reagent cost'!$C$34*60*7200</f>
        <v>243006.00583504807</v>
      </c>
      <c r="EA99">
        <f>BQ99*'Reagent cost'!$C$14*'Reagent cost'!$C$36/1000*60*7200</f>
        <v>4028024.4295771108</v>
      </c>
      <c r="EB99">
        <f t="shared" si="157"/>
        <v>39.6</v>
      </c>
      <c r="EC99">
        <f t="shared" si="158"/>
        <v>95.688271612230423</v>
      </c>
      <c r="ED99">
        <f>0.1*BK99*60*7200*'Reagent cost'!$H$17*'Reagent cost'!$C$17/1000</f>
        <v>504921.59999999998</v>
      </c>
      <c r="EE99">
        <f>BV99*0.1*'Reagent cost'!$C$16/1000*'Reagent cost'!$H$16*60*7200</f>
        <v>999248.70682716812</v>
      </c>
      <c r="EF99">
        <f>BZ99/1000*'Reagent cost'!$H$19*'Reagent cost'!$C$19*60*7200</f>
        <v>83958.750456441179</v>
      </c>
      <c r="EG99">
        <f>0.33*('Costing 100 Lmin Feed Orig'!BO99*'Reagent cost'!$C$13+'Costing 100 Lmin Feed Orig'!BP99*'Reagent cost'!$C$12+'Costing 100 Lmin Feed Orig'!BQ99*'Reagent cost'!$C$14+'Costing 100 Lmin Feed Orig'!BV99*0.1*'Reagent cost'!$C$16+'Costing 100 Lmin Feed Orig'!BZ99*'Reagent cost'!$C$19)/1000*60*7200</f>
        <v>171777.47373465321</v>
      </c>
      <c r="EH99">
        <f>CG99*'Reagent cost'!$C$35*60*7200</f>
        <v>1835769.1302156567</v>
      </c>
      <c r="EI99">
        <f>CH99*'Reagent cost'!$C$34*60*7200</f>
        <v>436815.24439157831</v>
      </c>
      <c r="EJ99">
        <f>CI99*'Reagent cost'!$C$14*'Reagent cost'!$C$36/1000*60*7200</f>
        <v>7240571.9750618804</v>
      </c>
      <c r="EK99">
        <f t="shared" si="159"/>
        <v>39.6</v>
      </c>
      <c r="EL99">
        <f t="shared" si="160"/>
        <v>610.87663916145755</v>
      </c>
      <c r="EM99">
        <f>0.1*BM99*60*7200*'Reagent cost'!$H$17*'Reagent cost'!$C$17/1000</f>
        <v>466329.72352558479</v>
      </c>
      <c r="EN99">
        <f>CN99*0.1*'Reagent cost'!$C$16/1000*'Reagent cost'!$H$16*60*7200</f>
        <v>1796198.6848051993</v>
      </c>
      <c r="EO99">
        <f>CR99/1000*'Reagent cost'!$H$19*'Reagent cost'!$C$19*60*7200</f>
        <v>150919.98230009354</v>
      </c>
      <c r="EP99">
        <f>0.33*(CG99*'Reagent cost'!$C$13+CH99*'Reagent cost'!$C$12+CI99*'Reagent cost'!$C$14+CN99*0.1*'Reagent cost'!$C$16+CR99*'Reagent cost'!$C$19)/1000*60*7200</f>
        <v>308778.45554691378</v>
      </c>
      <c r="EQ99">
        <f t="shared" si="161"/>
        <v>22569374.710254822</v>
      </c>
      <c r="ER99">
        <f t="shared" si="162"/>
        <v>480555.92928156699</v>
      </c>
      <c r="ES99">
        <f t="shared" si="163"/>
        <v>52288.524762496963</v>
      </c>
      <c r="ET99">
        <f t="shared" si="164"/>
        <v>53983.928663982973</v>
      </c>
      <c r="EU99">
        <f t="shared" si="165"/>
        <v>22856.098829508919</v>
      </c>
      <c r="EV99">
        <f t="shared" si="166"/>
        <v>12107.513206066582</v>
      </c>
      <c r="EW99">
        <f t="shared" si="167"/>
        <v>12189.919375738094</v>
      </c>
      <c r="EX99">
        <f t="shared" si="198"/>
        <v>153425.98483779354</v>
      </c>
      <c r="EY99">
        <f t="shared" si="180"/>
        <v>46284.539356559282</v>
      </c>
      <c r="EZ99">
        <f t="shared" si="181"/>
        <v>46552.60320984431</v>
      </c>
      <c r="FA99">
        <f t="shared" si="182"/>
        <v>19709.771520296981</v>
      </c>
      <c r="FB99">
        <f t="shared" si="183"/>
        <v>10446.628530575212</v>
      </c>
      <c r="FC99">
        <f t="shared" si="184"/>
        <v>10511.878144158392</v>
      </c>
      <c r="FD99">
        <f t="shared" si="199"/>
        <v>133505.42076143419</v>
      </c>
      <c r="FE99">
        <f t="shared" si="200"/>
        <v>23336862.045135614</v>
      </c>
      <c r="FF99">
        <f t="shared" si="201"/>
        <v>23875491.164614536</v>
      </c>
      <c r="FG99">
        <f>BM99*AM99*195.08/1000*'PGM market prices'!$C$2*60*7200</f>
        <v>423417997.29591012</v>
      </c>
      <c r="FH99">
        <f>BN99*AQ99*BA99*106.42/1000*'PGM market prices'!$C$3*60*7200</f>
        <v>222221961.32800981</v>
      </c>
      <c r="FI99">
        <f>BK99*J99*102.91/1000*'PGM market prices'!$C$4*60*7200</f>
        <v>247608231.7519269</v>
      </c>
      <c r="FJ99">
        <f t="shared" si="202"/>
        <v>893248190.37584686</v>
      </c>
      <c r="FK99">
        <f t="shared" si="203"/>
        <v>643335797.41631186</v>
      </c>
      <c r="FL99">
        <f t="shared" si="185"/>
        <v>0.55267340658829944</v>
      </c>
      <c r="FM99">
        <f t="shared" si="186"/>
        <v>1901.9692688947746</v>
      </c>
      <c r="FN99">
        <f t="shared" si="187"/>
        <v>3537.9591539061616</v>
      </c>
      <c r="FO99">
        <f t="shared" si="188"/>
        <v>15904.8421713726</v>
      </c>
    </row>
    <row r="100" spans="1:171">
      <c r="A100">
        <v>12</v>
      </c>
      <c r="B100">
        <v>1.54143585092054E-3</v>
      </c>
      <c r="C100">
        <v>1.54143585092054E-3</v>
      </c>
      <c r="D100">
        <v>3.4254130020456501E-4</v>
      </c>
      <c r="E100">
        <v>0</v>
      </c>
      <c r="F100">
        <v>0</v>
      </c>
      <c r="G100">
        <v>0</v>
      </c>
      <c r="H100" s="53">
        <v>1.7771599281349402E-5</v>
      </c>
      <c r="I100" s="53">
        <v>6.3113732322488897E-11</v>
      </c>
      <c r="J100">
        <v>3.37661562480901E-4</v>
      </c>
      <c r="K100">
        <v>0.13911791568267901</v>
      </c>
      <c r="L100">
        <v>0.140740543921716</v>
      </c>
      <c r="M100">
        <v>4.45543656000266E-4</v>
      </c>
      <c r="N100" s="53">
        <v>-4.7646348672047899E-15</v>
      </c>
      <c r="O100" s="53">
        <v>-1.1300289697036E-11</v>
      </c>
      <c r="P100" s="53">
        <v>-4.6756218688437302E-19</v>
      </c>
      <c r="Q100">
        <v>0.10952322309941399</v>
      </c>
      <c r="R100">
        <v>98.575430839799395</v>
      </c>
      <c r="S100">
        <v>500</v>
      </c>
      <c r="T100">
        <v>95</v>
      </c>
      <c r="U100">
        <v>1</v>
      </c>
      <c r="V100">
        <v>0.1</v>
      </c>
      <c r="W100">
        <v>91.304836700459305</v>
      </c>
      <c r="X100" t="s">
        <v>323</v>
      </c>
      <c r="Y100">
        <v>1</v>
      </c>
      <c r="Z100">
        <v>0.28318429382522198</v>
      </c>
      <c r="AA100">
        <v>0.56945642916197003</v>
      </c>
      <c r="AB100">
        <v>3.7698628972227502E-3</v>
      </c>
      <c r="AC100">
        <v>1822.2107908876901</v>
      </c>
      <c r="AD100">
        <v>2662.6059073104898</v>
      </c>
      <c r="AE100">
        <v>2401.5030938442701</v>
      </c>
      <c r="AF100">
        <v>12</v>
      </c>
      <c r="AG100">
        <v>1.6497575706444501E-3</v>
      </c>
      <c r="AH100">
        <v>1.66899983148883E-3</v>
      </c>
      <c r="AI100" s="53">
        <v>5.28356837386519E-6</v>
      </c>
      <c r="AJ100">
        <v>0</v>
      </c>
      <c r="AK100">
        <v>0</v>
      </c>
      <c r="AL100">
        <v>0</v>
      </c>
      <c r="AM100">
        <v>1.6128107620641699E-3</v>
      </c>
      <c r="AN100" s="53">
        <v>7.9635955314965296E-5</v>
      </c>
      <c r="AO100" s="53">
        <v>5.2488216357800397E-6</v>
      </c>
      <c r="AP100">
        <v>1.7332529701511801E-3</v>
      </c>
      <c r="AQ100">
        <v>7.4560422536797497E-2</v>
      </c>
      <c r="AR100" s="53">
        <v>1.6300430078820901E-6</v>
      </c>
      <c r="AS100" s="53">
        <v>3.8848996719229E-16</v>
      </c>
      <c r="AT100" s="53">
        <v>-3.7900455343575703E-14</v>
      </c>
      <c r="AU100" s="53">
        <v>-2.53448139686247E-21</v>
      </c>
      <c r="AV100">
        <v>0.19687207814646801</v>
      </c>
      <c r="AW100">
        <v>99.342362289527202</v>
      </c>
      <c r="AX100">
        <v>500</v>
      </c>
      <c r="AY100">
        <v>95</v>
      </c>
      <c r="AZ100">
        <v>0.92356857683566096</v>
      </c>
      <c r="BA100">
        <v>0.1</v>
      </c>
      <c r="BB100">
        <v>46.912116006036399</v>
      </c>
      <c r="BC100" t="s">
        <v>251</v>
      </c>
      <c r="BD100">
        <v>1</v>
      </c>
      <c r="BE100">
        <v>1.8775014999999999E-2</v>
      </c>
      <c r="BF100">
        <v>0.10492961100000001</v>
      </c>
      <c r="BG100">
        <v>1.814625E-3</v>
      </c>
      <c r="BH100">
        <v>285.1951444</v>
      </c>
      <c r="BI100">
        <v>2169.8944889999998</v>
      </c>
      <c r="BJ100">
        <v>866.49409060000005</v>
      </c>
      <c r="BK100">
        <f t="shared" si="121"/>
        <v>100</v>
      </c>
      <c r="BL100">
        <f t="shared" si="122"/>
        <v>10.952322309941399</v>
      </c>
      <c r="BM100">
        <f t="shared" si="123"/>
        <v>92.356857683566091</v>
      </c>
      <c r="BN100">
        <f t="shared" si="124"/>
        <v>19.687207814646801</v>
      </c>
      <c r="BO100">
        <f t="shared" si="125"/>
        <v>3.9428360315789037</v>
      </c>
      <c r="BP100">
        <f t="shared" si="126"/>
        <v>0.26285573543859359</v>
      </c>
      <c r="BQ100">
        <f t="shared" si="127"/>
        <v>1.314278677192968</v>
      </c>
      <c r="BR100">
        <f t="shared" si="128"/>
        <v>0.65713933859648399</v>
      </c>
      <c r="BS100">
        <f t="shared" si="129"/>
        <v>1.09523223099414</v>
      </c>
      <c r="BT100">
        <f t="shared" si="130"/>
        <v>6.5713933859648392</v>
      </c>
      <c r="BU100">
        <f t="shared" si="131"/>
        <v>17.52371569590624</v>
      </c>
      <c r="BV100">
        <f t="shared" si="174"/>
        <v>5.4761611549706997</v>
      </c>
      <c r="BW100">
        <f t="shared" si="189"/>
        <v>86.880696528595394</v>
      </c>
      <c r="BX100">
        <f t="shared" si="190"/>
        <v>103.30917999350748</v>
      </c>
      <c r="BY100">
        <f t="shared" si="175"/>
        <v>92.356857683566091</v>
      </c>
      <c r="BZ100">
        <f t="shared" si="176"/>
        <v>1.5333251233917959</v>
      </c>
      <c r="CA100">
        <f>7963.6*(BT100/1000)^0.6*1.7*('CAPEX+OPEX'!$G$116/'CAPEX+OPEX'!$G$115)</f>
        <v>783.13278867723739</v>
      </c>
      <c r="CB100">
        <f>7963.6*(BU100/1000)^0.6*1.7*('CAPEX+OPEX'!$G$116/'CAPEX+OPEX'!$G$115)</f>
        <v>1410.6414698108749</v>
      </c>
      <c r="CC100">
        <f>7963.6*(BX100/1000)^0.6*1.7*('CAPEX+OPEX'!$G$116/'CAPEX+OPEX'!$G$115)</f>
        <v>4090.00912083296</v>
      </c>
      <c r="CD100">
        <f>7963.6*(BY100/1000)^0.6*1.7*('CAPEX+OPEX'!$G$116/'CAPEX+OPEX'!$G$115)</f>
        <v>3824.0399153359995</v>
      </c>
      <c r="CE100">
        <v>300</v>
      </c>
      <c r="CF100">
        <v>30</v>
      </c>
      <c r="CG100">
        <f t="shared" si="134"/>
        <v>7.0873948132728479</v>
      </c>
      <c r="CH100">
        <f t="shared" si="135"/>
        <v>0.47249298755152325</v>
      </c>
      <c r="CI100">
        <f t="shared" si="136"/>
        <v>2.3624649377576161</v>
      </c>
      <c r="CJ100">
        <f t="shared" si="137"/>
        <v>1.1812324688788081</v>
      </c>
      <c r="CK100">
        <f t="shared" si="138"/>
        <v>1.9687207814646801</v>
      </c>
      <c r="CL100">
        <f t="shared" si="139"/>
        <v>11.812324688788079</v>
      </c>
      <c r="CM100">
        <f t="shared" si="140"/>
        <v>31.499532503434882</v>
      </c>
      <c r="CN100">
        <f t="shared" si="177"/>
        <v>9.8436039073234003</v>
      </c>
      <c r="CO100">
        <v>0</v>
      </c>
      <c r="CP100">
        <f t="shared" si="191"/>
        <v>29.530811721970203</v>
      </c>
      <c r="CQ100">
        <f t="shared" si="178"/>
        <v>9.8436039073234003</v>
      </c>
      <c r="CR100">
        <f t="shared" si="179"/>
        <v>2.7562090940505519</v>
      </c>
      <c r="CS100">
        <f>7963.6*(CL100/1000)^0.6*1.7*('CAPEX+OPEX'!$G$116/'CAPEX+OPEX'!$G$115)</f>
        <v>1113.3767641994045</v>
      </c>
      <c r="CT100">
        <f>7963.6*(CM100/1000)^0.6*1.7*('CAPEX+OPEX'!$G$116/'CAPEX+OPEX'!$G$115)</f>
        <v>2005.5033550010446</v>
      </c>
      <c r="CU100">
        <f>7963.6*(CP100/1000)^0.6*1.7*('CAPEX+OPEX'!$G$116/'CAPEX+OPEX'!$G$115)</f>
        <v>1929.328406483952</v>
      </c>
      <c r="CV100">
        <f>7963.6*(CQ100/1000)^0.6*1.7*('CAPEX+OPEX'!$G$116/'CAPEX+OPEX'!$G$115)</f>
        <v>998.00658274376462</v>
      </c>
      <c r="CW100">
        <v>300</v>
      </c>
      <c r="CX100">
        <f t="shared" si="192"/>
        <v>30</v>
      </c>
      <c r="CY100">
        <f t="shared" si="143"/>
        <v>10</v>
      </c>
      <c r="CZ100">
        <f t="shared" si="144"/>
        <v>9.2356857683566087</v>
      </c>
      <c r="DA100">
        <f t="shared" si="145"/>
        <v>3960</v>
      </c>
      <c r="DB100">
        <f t="shared" si="146"/>
        <v>3960</v>
      </c>
      <c r="DC100">
        <f>CF100*'Reagent cost'!$C$18/1000*'Reagent cost'!$H$18</f>
        <v>4784.413580611521</v>
      </c>
      <c r="DD100">
        <f>CX100*'Ligand cost'!$B$56*'Ligand cost'!$J$56</f>
        <v>30543.831958072875</v>
      </c>
      <c r="DE100">
        <f t="shared" si="147"/>
        <v>39625.826528698344</v>
      </c>
      <c r="DF100">
        <f t="shared" si="193"/>
        <v>4586243.4239371875</v>
      </c>
      <c r="DG100">
        <f t="shared" si="149"/>
        <v>11794834.586807497</v>
      </c>
      <c r="DH100">
        <f t="shared" si="150"/>
        <v>2275209.1661185985</v>
      </c>
      <c r="DI100">
        <f t="shared" si="151"/>
        <v>14083914.336508472</v>
      </c>
      <c r="DJ100">
        <f t="shared" si="152"/>
        <v>1662824.8986326549</v>
      </c>
      <c r="DK100" s="55">
        <f>DF100*($BK$2/10000)^0.72*0.6*((A100+1)/3)^0.6*('CAPEX+OPEX'!$G$116/'CAPEX+OPEX'!$G$114)</f>
        <v>562059.51837065269</v>
      </c>
      <c r="DL100" s="55">
        <f>DG100*($BK$2/10000)^0.72*0.6*((A100+1)/3)^0.6*('CAPEX+OPEX'!$G$116/'CAPEX+OPEX'!$G$114)</f>
        <v>1445496.5500787452</v>
      </c>
      <c r="DM100" s="55">
        <f>DH100*($BK$2/10000)^0.72*0.6*((A100+1)/3)^0.6*('CAPEX+OPEX'!$G$116/'CAPEX+OPEX'!$G$114)</f>
        <v>278834.51659512869</v>
      </c>
      <c r="DN100" s="55">
        <f>DI100*($BK$2/10000)^0.72*0.6*((A100+1)/3)^0.6*('CAPEX+OPEX'!$G$116/'CAPEX+OPEX'!$G$114)</f>
        <v>1726030.9532274618</v>
      </c>
      <c r="DO100" s="55">
        <f>DJ100*($BK$2/10000)^0.72*0.6*((A100+1)/3)^0.6*('CAPEX+OPEX'!$G$116/'CAPEX+OPEX'!$G$114)</f>
        <v>203784.77007612924</v>
      </c>
      <c r="DP100">
        <f t="shared" si="194"/>
        <v>4216206.3083481174</v>
      </c>
      <c r="DQ100">
        <f>DF100*(BM100/10000)^0.72*0.6*((AF100+1)/3)^0.6*('CAPEX+OPEX'!$G$116/'CAPEX+OPEX'!$G$114)</f>
        <v>530786.77513265936</v>
      </c>
      <c r="DR100">
        <f>DG100*(BM100/10000)^0.72*0.6*((AF100+1)/3)^0.6*('CAPEX+OPEX'!$G$116/'CAPEX+OPEX'!$G$114)</f>
        <v>1365069.7607716967</v>
      </c>
      <c r="DS100">
        <f>DH100*(BM100/10000)^0.72*0.6*((AF100+1)/3)^0.6*('CAPEX+OPEX'!$G$116/'CAPEX+OPEX'!$G$114)</f>
        <v>263320.28730381181</v>
      </c>
      <c r="DT100">
        <f>DI100*(BM100/10000)^0.72*0.6*((AF100+1)/3)^0.6*('CAPEX+OPEX'!$G$116/'CAPEX+OPEX'!$G$114)</f>
        <v>1629995.3536924045</v>
      </c>
      <c r="DU100">
        <f>DJ100*(BM100/10000)^0.72*0.6*((AF100+1)/3)^0.6*('CAPEX+OPEX'!$G$116/'CAPEX+OPEX'!$G$114)</f>
        <v>192446.27551797521</v>
      </c>
      <c r="DV100">
        <f t="shared" si="195"/>
        <v>3981618.4524185471</v>
      </c>
      <c r="DW100">
        <f t="shared" si="196"/>
        <v>8266137.3872996997</v>
      </c>
      <c r="DX100">
        <f t="shared" si="197"/>
        <v>551075.82581998</v>
      </c>
      <c r="DY100">
        <f>BO100*'Reagent cost'!$C$35*60*7200</f>
        <v>1021262.260639152</v>
      </c>
      <c r="DZ100">
        <f>BP100*'Reagent cost'!$C$34*60*7200</f>
        <v>243006.00583504807</v>
      </c>
      <c r="EA100">
        <f>BQ100*'Reagent cost'!$C$14*'Reagent cost'!$C$36/1000*60*7200</f>
        <v>4028024.4295771108</v>
      </c>
      <c r="EB100">
        <f t="shared" si="157"/>
        <v>39.6</v>
      </c>
      <c r="EC100">
        <f t="shared" si="158"/>
        <v>95.688271612230423</v>
      </c>
      <c r="ED100">
        <f>0.1*BK100*60*7200*'Reagent cost'!$H$17*'Reagent cost'!$C$17/1000</f>
        <v>504921.59999999998</v>
      </c>
      <c r="EE100">
        <f>BV100*0.1*'Reagent cost'!$C$16/1000*'Reagent cost'!$H$16*60*7200</f>
        <v>999248.70682716812</v>
      </c>
      <c r="EF100">
        <f>BZ100/1000*'Reagent cost'!$H$19*'Reagent cost'!$C$19*60*7200</f>
        <v>83958.750456441179</v>
      </c>
      <c r="EG100">
        <f>0.33*('Costing 100 Lmin Feed Orig'!BO100*'Reagent cost'!$C$13+'Costing 100 Lmin Feed Orig'!BP100*'Reagent cost'!$C$12+'Costing 100 Lmin Feed Orig'!BQ100*'Reagent cost'!$C$14+'Costing 100 Lmin Feed Orig'!BV100*0.1*'Reagent cost'!$C$16+'Costing 100 Lmin Feed Orig'!BZ100*'Reagent cost'!$C$19)/1000*60*7200</f>
        <v>171777.47373465321</v>
      </c>
      <c r="EH100">
        <f>CG100*'Reagent cost'!$C$35*60*7200</f>
        <v>1835757.0010708121</v>
      </c>
      <c r="EI100">
        <f>CH100*'Reagent cost'!$C$34*60*7200</f>
        <v>436812.35830133851</v>
      </c>
      <c r="EJ100">
        <f>CI100*'Reagent cost'!$C$14*'Reagent cost'!$C$36/1000*60*7200</f>
        <v>7240524.135742222</v>
      </c>
      <c r="EK100">
        <f t="shared" si="159"/>
        <v>39.6</v>
      </c>
      <c r="EL100">
        <f t="shared" si="160"/>
        <v>610.87663916145755</v>
      </c>
      <c r="EM100">
        <f>0.1*BM100*60*7200*'Reagent cost'!$H$17*'Reagent cost'!$C$17/1000</f>
        <v>466329.72352558479</v>
      </c>
      <c r="EN100">
        <f>CN100*0.1*'Reagent cost'!$C$16/1000*'Reagent cost'!$H$16*60*7200</f>
        <v>1796186.8171069911</v>
      </c>
      <c r="EO100">
        <f>CR100/1000*'Reagent cost'!$H$19*'Reagent cost'!$C$19*60*7200</f>
        <v>150918.98515383204</v>
      </c>
      <c r="EP100">
        <f>0.33*(CG100*'Reagent cost'!$C$13+CH100*'Reagent cost'!$C$12+CI100*'Reagent cost'!$C$14+CN100*0.1*'Reagent cost'!$C$16+CR100*'Reagent cost'!$C$19)/1000*60*7200</f>
        <v>308776.41541095625</v>
      </c>
      <c r="EQ100">
        <f t="shared" si="161"/>
        <v>22569283.846975766</v>
      </c>
      <c r="ER100">
        <f t="shared" si="162"/>
        <v>480553.88914560946</v>
      </c>
      <c r="ES100">
        <f t="shared" si="163"/>
        <v>52288.524762496963</v>
      </c>
      <c r="ET100">
        <f t="shared" si="164"/>
        <v>53983.928663982973</v>
      </c>
      <c r="EU100">
        <f t="shared" si="165"/>
        <v>22856.098829508919</v>
      </c>
      <c r="EV100">
        <f t="shared" si="166"/>
        <v>12107.513206066582</v>
      </c>
      <c r="EW100">
        <f t="shared" si="167"/>
        <v>12189.919375738094</v>
      </c>
      <c r="EX100">
        <f t="shared" si="198"/>
        <v>153425.98483779354</v>
      </c>
      <c r="EY100">
        <f t="shared" si="180"/>
        <v>48855.90265414591</v>
      </c>
      <c r="EZ100">
        <f t="shared" si="181"/>
        <v>50431.986810664675</v>
      </c>
      <c r="FA100">
        <f t="shared" si="182"/>
        <v>21352.252480321731</v>
      </c>
      <c r="FB100">
        <f t="shared" si="183"/>
        <v>11317.180908123148</v>
      </c>
      <c r="FC100">
        <f t="shared" si="184"/>
        <v>11387.867989504926</v>
      </c>
      <c r="FD100">
        <f t="shared" si="199"/>
        <v>143345.19084276038</v>
      </c>
      <c r="FE100">
        <f t="shared" si="200"/>
        <v>23346608.911801927</v>
      </c>
      <c r="FF100">
        <f t="shared" si="201"/>
        <v>23897684.737621907</v>
      </c>
      <c r="FG100">
        <f>BM100*AM100*195.08/1000*'PGM market prices'!$C$2*60*7200</f>
        <v>423418227.0282166</v>
      </c>
      <c r="FH100">
        <f>BN100*AQ100*BA100*106.42/1000*'PGM market prices'!$C$3*60*7200</f>
        <v>222221954.97462118</v>
      </c>
      <c r="FI100">
        <f>BK100*J100*102.91/1000*'PGM market prices'!$C$4*60*7200</f>
        <v>247608231.7519269</v>
      </c>
      <c r="FJ100">
        <f t="shared" si="202"/>
        <v>893248413.75476468</v>
      </c>
      <c r="FK100">
        <f t="shared" si="203"/>
        <v>643319539.47268569</v>
      </c>
      <c r="FL100">
        <f t="shared" si="185"/>
        <v>0.55318714670421076</v>
      </c>
      <c r="FM100">
        <f t="shared" si="186"/>
        <v>1903.7362203040695</v>
      </c>
      <c r="FN100">
        <f t="shared" si="187"/>
        <v>3541.2479814121052</v>
      </c>
      <c r="FO100">
        <f t="shared" si="188"/>
        <v>15919.62659082045</v>
      </c>
    </row>
    <row r="101" spans="1:171">
      <c r="A101">
        <v>12</v>
      </c>
      <c r="B101">
        <v>1.54143585092054E-3</v>
      </c>
      <c r="C101">
        <v>1.54143585092054E-3</v>
      </c>
      <c r="D101">
        <v>3.4254130020456501E-4</v>
      </c>
      <c r="E101">
        <v>0</v>
      </c>
      <c r="F101">
        <v>0</v>
      </c>
      <c r="G101">
        <v>0</v>
      </c>
      <c r="H101" s="53">
        <v>1.7771599281349402E-5</v>
      </c>
      <c r="I101" s="53">
        <v>6.3113732322488897E-11</v>
      </c>
      <c r="J101">
        <v>3.37661562480901E-4</v>
      </c>
      <c r="K101">
        <v>0.13911791568267901</v>
      </c>
      <c r="L101">
        <v>0.140740543921716</v>
      </c>
      <c r="M101">
        <v>4.45543656000266E-4</v>
      </c>
      <c r="N101" s="53">
        <v>-4.7646348672047899E-15</v>
      </c>
      <c r="O101" s="53">
        <v>-1.1300289697036E-11</v>
      </c>
      <c r="P101" s="53">
        <v>-4.6756218688437302E-19</v>
      </c>
      <c r="Q101">
        <v>0.10952322309941399</v>
      </c>
      <c r="R101">
        <v>98.575430839799395</v>
      </c>
      <c r="S101">
        <v>500</v>
      </c>
      <c r="T101">
        <v>95</v>
      </c>
      <c r="U101">
        <v>1</v>
      </c>
      <c r="V101">
        <v>0.1</v>
      </c>
      <c r="W101">
        <v>91.304836700459305</v>
      </c>
      <c r="X101" t="s">
        <v>323</v>
      </c>
      <c r="Y101">
        <v>1</v>
      </c>
      <c r="Z101">
        <v>0.28318429382522198</v>
      </c>
      <c r="AA101">
        <v>0.56945642916197003</v>
      </c>
      <c r="AB101">
        <v>3.7698628972227502E-3</v>
      </c>
      <c r="AC101">
        <v>1822.2107908876901</v>
      </c>
      <c r="AD101">
        <v>2662.6059073104898</v>
      </c>
      <c r="AE101">
        <v>2401.5030938442701</v>
      </c>
      <c r="AF101">
        <v>13</v>
      </c>
      <c r="AG101">
        <v>1.6497575706444501E-3</v>
      </c>
      <c r="AH101">
        <v>1.66899983148883E-3</v>
      </c>
      <c r="AI101" s="53">
        <v>5.28356837386519E-6</v>
      </c>
      <c r="AJ101">
        <v>0</v>
      </c>
      <c r="AK101">
        <v>0</v>
      </c>
      <c r="AL101">
        <v>0</v>
      </c>
      <c r="AM101">
        <v>1.61281100796467E-3</v>
      </c>
      <c r="AN101" s="53">
        <v>7.9635968035451799E-5</v>
      </c>
      <c r="AO101" s="53">
        <v>5.2488218574256396E-6</v>
      </c>
      <c r="AP101">
        <v>1.73324465254427E-3</v>
      </c>
      <c r="AQ101">
        <v>7.4560560373448506E-2</v>
      </c>
      <c r="AR101" s="53">
        <v>1.6300356364773401E-6</v>
      </c>
      <c r="AS101" s="53">
        <v>-7.4538899358378406E-20</v>
      </c>
      <c r="AT101" s="53">
        <v>-1.34441069388202E-17</v>
      </c>
      <c r="AU101" s="53">
        <v>3.44107134822059E-22</v>
      </c>
      <c r="AV101">
        <v>0.19687171261743899</v>
      </c>
      <c r="AW101">
        <v>99.3423664845254</v>
      </c>
      <c r="AX101">
        <v>500</v>
      </c>
      <c r="AY101">
        <v>95</v>
      </c>
      <c r="AZ101">
        <v>0.92356857683566096</v>
      </c>
      <c r="BA101">
        <v>0.1</v>
      </c>
      <c r="BB101">
        <v>46.912203107123602</v>
      </c>
      <c r="BC101" t="s">
        <v>251</v>
      </c>
      <c r="BD101">
        <v>1</v>
      </c>
      <c r="BE101">
        <v>1.8775014999999999E-2</v>
      </c>
      <c r="BF101">
        <v>0.10492961100000001</v>
      </c>
      <c r="BG101">
        <v>1.814625E-3</v>
      </c>
      <c r="BH101">
        <v>285.1951444</v>
      </c>
      <c r="BI101">
        <v>2169.8944889999998</v>
      </c>
      <c r="BJ101">
        <v>866.49409060000005</v>
      </c>
      <c r="BK101">
        <f t="shared" si="121"/>
        <v>100</v>
      </c>
      <c r="BL101">
        <f t="shared" si="122"/>
        <v>10.952322309941399</v>
      </c>
      <c r="BM101">
        <f t="shared" si="123"/>
        <v>92.356857683566091</v>
      </c>
      <c r="BN101">
        <f t="shared" si="124"/>
        <v>19.687171261743899</v>
      </c>
      <c r="BO101">
        <f t="shared" si="125"/>
        <v>3.9428360315789037</v>
      </c>
      <c r="BP101">
        <f t="shared" si="126"/>
        <v>0.26285573543859359</v>
      </c>
      <c r="BQ101">
        <f t="shared" si="127"/>
        <v>1.314278677192968</v>
      </c>
      <c r="BR101">
        <f t="shared" si="128"/>
        <v>0.65713933859648399</v>
      </c>
      <c r="BS101">
        <f t="shared" si="129"/>
        <v>1.09523223099414</v>
      </c>
      <c r="BT101">
        <f t="shared" si="130"/>
        <v>6.5713933859648392</v>
      </c>
      <c r="BU101">
        <f t="shared" si="131"/>
        <v>17.52371569590624</v>
      </c>
      <c r="BV101">
        <f t="shared" si="174"/>
        <v>5.4761611549706997</v>
      </c>
      <c r="BW101">
        <f t="shared" si="189"/>
        <v>86.880696528595394</v>
      </c>
      <c r="BX101">
        <f t="shared" si="190"/>
        <v>103.30917999350748</v>
      </c>
      <c r="BY101">
        <f t="shared" si="175"/>
        <v>92.356857683566091</v>
      </c>
      <c r="BZ101">
        <f t="shared" si="176"/>
        <v>1.5333251233917959</v>
      </c>
      <c r="CA101">
        <f>7963.6*(BT101/1000)^0.6*1.7*('CAPEX+OPEX'!$G$116/'CAPEX+OPEX'!$G$115)</f>
        <v>783.13278867723739</v>
      </c>
      <c r="CB101">
        <f>7963.6*(BU101/1000)^0.6*1.7*('CAPEX+OPEX'!$G$116/'CAPEX+OPEX'!$G$115)</f>
        <v>1410.6414698108749</v>
      </c>
      <c r="CC101">
        <f>7963.6*(BX101/1000)^0.6*1.7*('CAPEX+OPEX'!$G$116/'CAPEX+OPEX'!$G$115)</f>
        <v>4090.00912083296</v>
      </c>
      <c r="CD101">
        <f>7963.6*(BY101/1000)^0.6*1.7*('CAPEX+OPEX'!$G$116/'CAPEX+OPEX'!$G$115)</f>
        <v>3824.0399153359995</v>
      </c>
      <c r="CE101">
        <v>300</v>
      </c>
      <c r="CF101">
        <v>30</v>
      </c>
      <c r="CG101">
        <f t="shared" si="134"/>
        <v>7.0873816542278032</v>
      </c>
      <c r="CH101">
        <f t="shared" si="135"/>
        <v>0.47249211028185356</v>
      </c>
      <c r="CI101">
        <f t="shared" si="136"/>
        <v>2.3624605514092676</v>
      </c>
      <c r="CJ101">
        <f t="shared" si="137"/>
        <v>1.1812302757046338</v>
      </c>
      <c r="CK101">
        <f t="shared" si="138"/>
        <v>1.9687171261743899</v>
      </c>
      <c r="CL101">
        <f t="shared" si="139"/>
        <v>11.812302757046339</v>
      </c>
      <c r="CM101">
        <f t="shared" si="140"/>
        <v>31.499474018790238</v>
      </c>
      <c r="CN101">
        <f t="shared" si="177"/>
        <v>9.8435856308719494</v>
      </c>
      <c r="CO101">
        <v>0</v>
      </c>
      <c r="CP101">
        <f t="shared" si="191"/>
        <v>29.530756892615848</v>
      </c>
      <c r="CQ101">
        <f t="shared" si="178"/>
        <v>9.8435856308719494</v>
      </c>
      <c r="CR101">
        <f t="shared" si="179"/>
        <v>2.7562039766441457</v>
      </c>
      <c r="CS101">
        <f>7963.6*(CL101/1000)^0.6*1.7*('CAPEX+OPEX'!$G$116/'CAPEX+OPEX'!$G$115)</f>
        <v>1113.3755238863571</v>
      </c>
      <c r="CT101">
        <f>7963.6*(CM101/1000)^0.6*1.7*('CAPEX+OPEX'!$G$116/'CAPEX+OPEX'!$G$115)</f>
        <v>2005.5011208498947</v>
      </c>
      <c r="CU101">
        <f>7963.6*(CP101/1000)^0.6*1.7*('CAPEX+OPEX'!$G$116/'CAPEX+OPEX'!$G$115)</f>
        <v>1929.3262571924695</v>
      </c>
      <c r="CV101">
        <f>7963.6*(CQ101/1000)^0.6*1.7*('CAPEX+OPEX'!$G$116/'CAPEX+OPEX'!$G$115)</f>
        <v>998.00547095427362</v>
      </c>
      <c r="CW101">
        <v>300</v>
      </c>
      <c r="CX101">
        <f t="shared" si="192"/>
        <v>30</v>
      </c>
      <c r="CY101">
        <f t="shared" si="143"/>
        <v>10</v>
      </c>
      <c r="CZ101">
        <f t="shared" si="144"/>
        <v>9.2356857683566087</v>
      </c>
      <c r="DA101">
        <f t="shared" si="145"/>
        <v>3960</v>
      </c>
      <c r="DB101">
        <f t="shared" si="146"/>
        <v>3960</v>
      </c>
      <c r="DC101">
        <f>CF101*'Reagent cost'!$C$18/1000*'Reagent cost'!$H$18</f>
        <v>4784.413580611521</v>
      </c>
      <c r="DD101">
        <f>CX101*'Ligand cost'!$B$56*'Ligand cost'!$J$56</f>
        <v>30543.831958072875</v>
      </c>
      <c r="DE101">
        <f t="shared" si="147"/>
        <v>39625.826528698344</v>
      </c>
      <c r="DF101">
        <f t="shared" si="193"/>
        <v>4586243.4239371875</v>
      </c>
      <c r="DG101">
        <f t="shared" si="149"/>
        <v>11794834.586807497</v>
      </c>
      <c r="DH101">
        <f t="shared" si="150"/>
        <v>2275209.1661185985</v>
      </c>
      <c r="DI101">
        <f t="shared" si="151"/>
        <v>14083914.336508472</v>
      </c>
      <c r="DJ101">
        <f t="shared" si="152"/>
        <v>1662824.8986326549</v>
      </c>
      <c r="DK101" s="55">
        <f>DF101*($BK$2/10000)^0.72*0.6*((A101+1)/3)^0.6*('CAPEX+OPEX'!$G$116/'CAPEX+OPEX'!$G$114)</f>
        <v>562059.51837065269</v>
      </c>
      <c r="DL101" s="55">
        <f>DG101*($BK$2/10000)^0.72*0.6*((A101+1)/3)^0.6*('CAPEX+OPEX'!$G$116/'CAPEX+OPEX'!$G$114)</f>
        <v>1445496.5500787452</v>
      </c>
      <c r="DM101" s="55">
        <f>DH101*($BK$2/10000)^0.72*0.6*((A101+1)/3)^0.6*('CAPEX+OPEX'!$G$116/'CAPEX+OPEX'!$G$114)</f>
        <v>278834.51659512869</v>
      </c>
      <c r="DN101" s="55">
        <f>DI101*($BK$2/10000)^0.72*0.6*((A101+1)/3)^0.6*('CAPEX+OPEX'!$G$116/'CAPEX+OPEX'!$G$114)</f>
        <v>1726030.9532274618</v>
      </c>
      <c r="DO101" s="55">
        <f>DJ101*($BK$2/10000)^0.72*0.6*((A101+1)/3)^0.6*('CAPEX+OPEX'!$G$116/'CAPEX+OPEX'!$G$114)</f>
        <v>203784.77007612924</v>
      </c>
      <c r="DP101">
        <f t="shared" si="194"/>
        <v>4216206.3083481174</v>
      </c>
      <c r="DQ101">
        <f>DF101*(BM101/10000)^0.72*0.6*((AF101+1)/3)^0.6*('CAPEX+OPEX'!$G$116/'CAPEX+OPEX'!$G$114)</f>
        <v>554920.6721500291</v>
      </c>
      <c r="DR101">
        <f>DG101*(BM101/10000)^0.72*0.6*((AF101+1)/3)^0.6*('CAPEX+OPEX'!$G$116/'CAPEX+OPEX'!$G$114)</f>
        <v>1427136.9684932076</v>
      </c>
      <c r="DS101">
        <f>DH101*(BM101/10000)^0.72*0.6*((AF101+1)/3)^0.6*('CAPEX+OPEX'!$G$116/'CAPEX+OPEX'!$G$114)</f>
        <v>275292.97576197115</v>
      </c>
      <c r="DT101">
        <f>DI101*(BM101/10000)^0.72*0.6*((AF101+1)/3)^0.6*('CAPEX+OPEX'!$G$116/'CAPEX+OPEX'!$G$114)</f>
        <v>1704108.2401616874</v>
      </c>
      <c r="DU101">
        <f>DJ101*(BM101/10000)^0.72*0.6*((AF101+1)/3)^0.6*('CAPEX+OPEX'!$G$116/'CAPEX+OPEX'!$G$114)</f>
        <v>201196.45320197343</v>
      </c>
      <c r="DV101">
        <f t="shared" si="195"/>
        <v>4162655.3097688681</v>
      </c>
      <c r="DW101">
        <f t="shared" si="196"/>
        <v>8447174.2369041424</v>
      </c>
      <c r="DX101">
        <f t="shared" si="197"/>
        <v>563144.94912694278</v>
      </c>
      <c r="DY101">
        <f>BO101*'Reagent cost'!$C$35*60*7200</f>
        <v>1021262.260639152</v>
      </c>
      <c r="DZ101">
        <f>BP101*'Reagent cost'!$C$34*60*7200</f>
        <v>243006.00583504807</v>
      </c>
      <c r="EA101">
        <f>BQ101*'Reagent cost'!$C$14*'Reagent cost'!$C$36/1000*60*7200</f>
        <v>4028024.4295771108</v>
      </c>
      <c r="EB101">
        <f t="shared" si="157"/>
        <v>39.6</v>
      </c>
      <c r="EC101">
        <f t="shared" si="158"/>
        <v>95.688271612230423</v>
      </c>
      <c r="ED101">
        <f>0.1*BK101*60*7200*'Reagent cost'!$H$17*'Reagent cost'!$C$17/1000</f>
        <v>504921.59999999998</v>
      </c>
      <c r="EE101">
        <f>BV101*0.1*'Reagent cost'!$C$16/1000*'Reagent cost'!$H$16*60*7200</f>
        <v>999248.70682716812</v>
      </c>
      <c r="EF101">
        <f>BZ101/1000*'Reagent cost'!$H$19*'Reagent cost'!$C$19*60*7200</f>
        <v>83958.750456441179</v>
      </c>
      <c r="EG101">
        <f>0.33*('Costing 100 Lmin Feed Orig'!BO101*'Reagent cost'!$C$13+'Costing 100 Lmin Feed Orig'!BP101*'Reagent cost'!$C$12+'Costing 100 Lmin Feed Orig'!BQ101*'Reagent cost'!$C$14+'Costing 100 Lmin Feed Orig'!BV101*0.1*'Reagent cost'!$C$16+'Costing 100 Lmin Feed Orig'!BZ101*'Reagent cost'!$C$19)/1000*60*7200</f>
        <v>171777.47373465321</v>
      </c>
      <c r="EH101">
        <f>CG101*'Reagent cost'!$C$35*60*7200</f>
        <v>1835753.5926521048</v>
      </c>
      <c r="EI101">
        <f>CH101*'Reagent cost'!$C$34*60*7200</f>
        <v>436811.54727928439</v>
      </c>
      <c r="EJ101">
        <f>CI101*'Reagent cost'!$C$14*'Reagent cost'!$C$36/1000*60*7200</f>
        <v>7240510.6923845774</v>
      </c>
      <c r="EK101">
        <f t="shared" si="159"/>
        <v>39.6</v>
      </c>
      <c r="EL101">
        <f t="shared" si="160"/>
        <v>610.87663916145755</v>
      </c>
      <c r="EM101">
        <f>0.1*BM101*60*7200*'Reagent cost'!$H$17*'Reagent cost'!$C$17/1000</f>
        <v>466329.72352558479</v>
      </c>
      <c r="EN101">
        <f>CN101*0.1*'Reagent cost'!$C$16/1000*'Reagent cost'!$H$16*60*7200</f>
        <v>1796183.4821575691</v>
      </c>
      <c r="EO101">
        <f>CR101/1000*'Reagent cost'!$H$19*'Reagent cost'!$C$19*60*7200</f>
        <v>150918.70494512687</v>
      </c>
      <c r="EP101">
        <f>0.33*(CG101*'Reagent cost'!$C$13+CH101*'Reagent cost'!$C$12+CI101*'Reagent cost'!$C$14+CN101*0.1*'Reagent cost'!$C$16+CR101*'Reagent cost'!$C$19)/1000*60*7200</f>
        <v>308775.84211105329</v>
      </c>
      <c r="EQ101">
        <f t="shared" si="161"/>
        <v>22569258.313427929</v>
      </c>
      <c r="ER101">
        <f t="shared" si="162"/>
        <v>480553.3158457065</v>
      </c>
      <c r="ES101">
        <f t="shared" si="163"/>
        <v>52288.524762496963</v>
      </c>
      <c r="ET101">
        <f t="shared" si="164"/>
        <v>53983.928663982973</v>
      </c>
      <c r="EU101">
        <f t="shared" si="165"/>
        <v>22856.098829508919</v>
      </c>
      <c r="EV101">
        <f t="shared" si="166"/>
        <v>12107.513206066582</v>
      </c>
      <c r="EW101">
        <f t="shared" si="167"/>
        <v>12189.919375738094</v>
      </c>
      <c r="EX101">
        <f t="shared" si="198"/>
        <v>153425.98483779354</v>
      </c>
      <c r="EY101">
        <f t="shared" si="180"/>
        <v>51427.265951732537</v>
      </c>
      <c r="EZ101">
        <f t="shared" si="181"/>
        <v>54311.370411485019</v>
      </c>
      <c r="FA101">
        <f t="shared" si="182"/>
        <v>22994.733440346474</v>
      </c>
      <c r="FB101">
        <f t="shared" si="183"/>
        <v>12187.733285671078</v>
      </c>
      <c r="FC101">
        <f t="shared" si="184"/>
        <v>12263.857834851457</v>
      </c>
      <c r="FD101">
        <f t="shared" si="199"/>
        <v>153184.96092408657</v>
      </c>
      <c r="FE101">
        <f t="shared" si="200"/>
        <v>23356422.575035512</v>
      </c>
      <c r="FF101">
        <f t="shared" si="201"/>
        <v>23919567.524162456</v>
      </c>
      <c r="FG101">
        <f>BM101*AM101*195.08/1000*'PGM market prices'!$C$2*60*7200</f>
        <v>423418291.58554488</v>
      </c>
      <c r="FH101">
        <f>BN101*AQ101*BA101*106.42/1000*'PGM market prices'!$C$3*60*7200</f>
        <v>222221953.19032994</v>
      </c>
      <c r="FI101">
        <f>BK101*J101*102.91/1000*'PGM market prices'!$C$4*60*7200</f>
        <v>247608231.7519269</v>
      </c>
      <c r="FJ101">
        <f t="shared" si="202"/>
        <v>893248476.52780175</v>
      </c>
      <c r="FK101">
        <f t="shared" si="203"/>
        <v>643303392.66269314</v>
      </c>
      <c r="FL101">
        <f t="shared" si="185"/>
        <v>0.55369369268894575</v>
      </c>
      <c r="FM101">
        <f t="shared" si="186"/>
        <v>1905.479155277636</v>
      </c>
      <c r="FN101">
        <f t="shared" si="187"/>
        <v>3544.4906827298155</v>
      </c>
      <c r="FO101">
        <f t="shared" si="188"/>
        <v>15934.20397747179</v>
      </c>
    </row>
  </sheetData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2A5C-65A4-4E86-8203-6F2AADAAFA51}">
  <dimension ref="A1:EO101"/>
  <sheetViews>
    <sheetView topLeftCell="BR1" workbookViewId="0">
      <selection activeCell="BS2" sqref="BS2"/>
    </sheetView>
  </sheetViews>
  <sheetFormatPr defaultRowHeight="15"/>
  <cols>
    <col min="52" max="52" width="15.85546875" bestFit="1" customWidth="1"/>
    <col min="53" max="53" width="15.5703125" bestFit="1" customWidth="1"/>
    <col min="66" max="66" width="22.140625" bestFit="1" customWidth="1"/>
    <col min="67" max="67" width="16.85546875" bestFit="1" customWidth="1"/>
    <col min="68" max="68" width="18" bestFit="1" customWidth="1"/>
    <col min="69" max="69" width="17.140625" bestFit="1" customWidth="1"/>
    <col min="70" max="70" width="18.140625" bestFit="1" customWidth="1"/>
    <col min="71" max="72" width="21.5703125" bestFit="1" customWidth="1"/>
    <col min="73" max="74" width="22.42578125" bestFit="1" customWidth="1"/>
    <col min="75" max="75" width="30.28515625" bestFit="1" customWidth="1"/>
    <col min="76" max="76" width="12.140625" bestFit="1" customWidth="1"/>
    <col min="77" max="79" width="12" bestFit="1" customWidth="1"/>
    <col min="80" max="80" width="21" bestFit="1" customWidth="1"/>
    <col min="81" max="81" width="21.7109375" bestFit="1" customWidth="1"/>
    <col min="82" max="82" width="21" bestFit="1" customWidth="1"/>
    <col min="83" max="83" width="22.5703125" bestFit="1" customWidth="1"/>
    <col min="84" max="84" width="31.28515625" bestFit="1" customWidth="1"/>
    <col min="85" max="86" width="30.28515625" bestFit="1" customWidth="1"/>
    <col min="87" max="87" width="12.140625" bestFit="1" customWidth="1"/>
    <col min="88" max="88" width="11.140625" bestFit="1" customWidth="1"/>
    <col min="89" max="89" width="12.140625" bestFit="1" customWidth="1"/>
    <col min="90" max="90" width="27" bestFit="1" customWidth="1"/>
    <col min="91" max="92" width="14.85546875" bestFit="1" customWidth="1"/>
    <col min="93" max="93" width="14.140625" bestFit="1" customWidth="1"/>
    <col min="94" max="94" width="14.85546875" bestFit="1" customWidth="1"/>
    <col min="95" max="95" width="15.7109375" bestFit="1" customWidth="1"/>
    <col min="96" max="96" width="13.7109375" bestFit="1" customWidth="1"/>
    <col min="97" max="100" width="12.140625" bestFit="1" customWidth="1"/>
    <col min="101" max="102" width="17.42578125" bestFit="1" customWidth="1"/>
    <col min="106" max="106" width="12" bestFit="1" customWidth="1"/>
    <col min="107" max="108" width="17.42578125" bestFit="1" customWidth="1"/>
    <col min="109" max="109" width="22" bestFit="1" customWidth="1"/>
    <col min="110" max="110" width="41.140625" bestFit="1" customWidth="1"/>
    <col min="111" max="112" width="33.5703125" bestFit="1" customWidth="1"/>
    <col min="113" max="113" width="18" bestFit="1" customWidth="1"/>
    <col min="114" max="114" width="34.28515625" bestFit="1" customWidth="1"/>
    <col min="115" max="115" width="25.85546875" bestFit="1" customWidth="1"/>
    <col min="116" max="116" width="33.28515625" bestFit="1" customWidth="1"/>
    <col min="117" max="117" width="34.7109375" bestFit="1" customWidth="1"/>
    <col min="118" max="118" width="23.5703125" bestFit="1" customWidth="1"/>
    <col min="119" max="119" width="24.42578125" bestFit="1" customWidth="1"/>
    <col min="120" max="120" width="18.42578125" bestFit="1" customWidth="1"/>
    <col min="121" max="121" width="19.85546875" bestFit="1" customWidth="1"/>
    <col min="122" max="122" width="27.85546875" bestFit="1" customWidth="1"/>
    <col min="123" max="123" width="14.42578125" bestFit="1" customWidth="1"/>
    <col min="124" max="125" width="15.28515625" bestFit="1" customWidth="1"/>
    <col min="126" max="126" width="17.5703125" bestFit="1" customWidth="1"/>
    <col min="127" max="127" width="12.85546875" bestFit="1" customWidth="1"/>
    <col min="128" max="128" width="13.5703125" bestFit="1" customWidth="1"/>
    <col min="129" max="129" width="12.7109375" bestFit="1" customWidth="1"/>
    <col min="130" max="130" width="12.28515625" bestFit="1" customWidth="1"/>
    <col min="131" max="131" width="16" bestFit="1" customWidth="1"/>
    <col min="132" max="132" width="17.5703125" bestFit="1" customWidth="1"/>
    <col min="133" max="133" width="16" bestFit="1" customWidth="1"/>
    <col min="134" max="134" width="17.42578125" bestFit="1" customWidth="1"/>
    <col min="135" max="135" width="12.7109375" bestFit="1" customWidth="1"/>
    <col min="136" max="136" width="12.28515625" bestFit="1" customWidth="1"/>
    <col min="137" max="137" width="16" bestFit="1" customWidth="1"/>
    <col min="138" max="138" width="17.42578125" bestFit="1" customWidth="1"/>
    <col min="139" max="139" width="11.140625" bestFit="1" customWidth="1"/>
    <col min="142" max="142" width="21.5703125" bestFit="1" customWidth="1"/>
    <col min="143" max="143" width="18.85546875" bestFit="1" customWidth="1"/>
    <col min="144" max="145" width="19.28515625" bestFit="1" customWidth="1"/>
  </cols>
  <sheetData>
    <row r="1" spans="1:145">
      <c r="A1" t="str">
        <f>'Costing 100 Lmin Feed Orig'!A1</f>
        <v>S1 Stages</v>
      </c>
      <c r="B1" t="str">
        <f>'Costing 100 Lmin Feed Orig'!B1</f>
        <v>S1 C_Pt_in [M]</v>
      </c>
      <c r="C1" t="str">
        <f>'Costing 100 Lmin Feed Orig'!C1</f>
        <v>S1 C_Pd_in [M]</v>
      </c>
      <c r="D1" t="str">
        <f>'Costing 100 Lmin Feed Orig'!D1</f>
        <v>S1 C_Rh_in [M]</v>
      </c>
      <c r="E1" t="str">
        <f>'Costing 100 Lmin Feed Orig'!E1</f>
        <v>S1 q_Pt_in [mol PGM/mol ligand]</v>
      </c>
      <c r="F1" t="str">
        <f>'Costing 100 Lmin Feed Orig'!F1</f>
        <v>S1 q_Pd_in [mol PGM/mol ligand]</v>
      </c>
      <c r="G1" t="str">
        <f>'Costing 100 Lmin Feed Orig'!G1</f>
        <v>S1 q_Rh_in [mol PGM/mol ligand]</v>
      </c>
      <c r="H1" t="str">
        <f>'Costing 100 Lmin Feed Orig'!H1</f>
        <v>S1 C_Pt_out [M]</v>
      </c>
      <c r="I1" t="str">
        <f>'Costing 100 Lmin Feed Orig'!I1</f>
        <v>S1 C_Pd_out [M]</v>
      </c>
      <c r="J1" t="str">
        <f>'Costing 100 Lmin Feed Orig'!J1</f>
        <v>S1 C_Rh_out [M]</v>
      </c>
      <c r="K1" t="str">
        <f>'Costing 100 Lmin Feed Orig'!K1</f>
        <v>S1 q_Pt_out [mol PGM/mol ligand]</v>
      </c>
      <c r="L1" t="str">
        <f>'Costing 100 Lmin Feed Orig'!L1</f>
        <v>S1 q_Pd_out [mol PGM/mol ligand]</v>
      </c>
      <c r="M1" t="str">
        <f>'Costing 100 Lmin Feed Orig'!M1</f>
        <v>S1 q_Rh_out [mol PGM/mol ligand]</v>
      </c>
      <c r="N1" t="str">
        <f>'Costing 100 Lmin Feed Orig'!N1</f>
        <v>S1 Material Residual Pt [mol PGM/time]</v>
      </c>
      <c r="O1" t="str">
        <f>'Costing 100 Lmin Feed Orig'!O1</f>
        <v>S1 Material Residual Pd [mol PGM/time]</v>
      </c>
      <c r="P1" t="str">
        <f>'Costing 100 Lmin Feed Orig'!P1</f>
        <v>S1 Material Residual Rh [mol PGM/time]</v>
      </c>
      <c r="Q1" t="str">
        <f>'Costing 100 Lmin Feed Orig'!Q1</f>
        <v>S1 Q_org [L/time]</v>
      </c>
      <c r="R1" t="str">
        <f>'Costing 100 Lmin Feed Orig'!R1</f>
        <v>S1 PGM Recovery [%]</v>
      </c>
      <c r="S1" t="str">
        <f>'Costing 100 Lmin Feed Orig'!S1</f>
        <v>S1 PPM Mass Total Feed [mg/L]</v>
      </c>
      <c r="T1" t="str">
        <f>'Costing 100 Lmin Feed Orig'!T1</f>
        <v>S1 PGM Relative Purity [%]</v>
      </c>
      <c r="U1" t="str">
        <f>'Costing 100 Lmin Feed Orig'!U1</f>
        <v>S1 Q_aq [L/time]</v>
      </c>
      <c r="V1" t="str">
        <f>'Costing 100 Lmin Feed Orig'!V1</f>
        <v>S1 C_lig [L/time]</v>
      </c>
      <c r="W1" t="str">
        <f>'Costing 100 Lmin Feed Orig'!W1</f>
        <v>S1 Q_aq/(Q_org*C_lig) [1/M]</v>
      </c>
      <c r="X1" t="str">
        <f>'Costing 100 Lmin Feed Orig'!X1</f>
        <v>S1 Ligand</v>
      </c>
      <c r="Y1" t="str">
        <f>'Costing 100 Lmin Feed Orig'!Y1</f>
        <v>S1 ier</v>
      </c>
      <c r="Z1" t="str">
        <f>'Costing 100 Lmin Feed Orig'!Z1</f>
        <v>S1 q_max_Pt</v>
      </c>
      <c r="AA1" t="str">
        <f>'Costing 100 Lmin Feed Orig'!AA1</f>
        <v>S1 q_max_Pd</v>
      </c>
      <c r="AB1" t="str">
        <f>'Costing 100 Lmin Feed Orig'!AB1</f>
        <v>S1 q_max_Rh</v>
      </c>
      <c r="AC1" t="str">
        <f>'Costing 100 Lmin Feed Orig'!AC1</f>
        <v>S1 K_eq_Pt</v>
      </c>
      <c r="AD1" t="str">
        <f>'Costing 100 Lmin Feed Orig'!AD1</f>
        <v>S1 K_eq_Pd</v>
      </c>
      <c r="AE1" t="str">
        <f>'Costing 100 Lmin Feed Orig'!AE1</f>
        <v>S1 K_eq_Rh</v>
      </c>
      <c r="AF1" t="str">
        <f>'Costing 100 Lmin Feed Orig'!AF1</f>
        <v>S2 Stages</v>
      </c>
      <c r="AG1" t="str">
        <f>'Costing 100 Lmin Feed Orig'!AG1</f>
        <v>S2 C_Pt_in [M]</v>
      </c>
      <c r="AH1" t="str">
        <f>'Costing 100 Lmin Feed Orig'!AH1</f>
        <v>S2 C_Pd_in [M]</v>
      </c>
      <c r="AI1" t="str">
        <f>'Costing 100 Lmin Feed Orig'!AI1</f>
        <v>S2 C_Rh_in [M]</v>
      </c>
      <c r="AJ1" t="str">
        <f>'Costing 100 Lmin Feed Orig'!AJ1</f>
        <v>S2 q_Pt_in [mol PGM/mol ligand]</v>
      </c>
      <c r="AK1" t="str">
        <f>'Costing 100 Lmin Feed Orig'!AK1</f>
        <v>S2 q_Pd_in [mol PGM/mol ligand]</v>
      </c>
      <c r="AL1" t="str">
        <f>'Costing 100 Lmin Feed Orig'!AL1</f>
        <v>S2 q_Rh_in [mol PGM/mol ligand]</v>
      </c>
      <c r="AM1" t="str">
        <f>'Costing 100 Lmin Feed Orig'!AM1</f>
        <v>S2 C_Pt_out [M]</v>
      </c>
      <c r="AN1" t="str">
        <f>'Costing 100 Lmin Feed Orig'!AN1</f>
        <v>S2 C_Pd_out [M]</v>
      </c>
      <c r="AO1" t="str">
        <f>'Costing 100 Lmin Feed Orig'!AO1</f>
        <v>S2 C_Rh_out [M]</v>
      </c>
      <c r="AP1" t="str">
        <f>'Costing 100 Lmin Feed Orig'!AP1</f>
        <v>S2 q_Pt_out [mol PGM/mol ligand]</v>
      </c>
      <c r="AQ1" t="str">
        <f>'Costing 100 Lmin Feed Orig'!AQ1</f>
        <v>S2 q_Pd_out [mol PGM/mol ligand]</v>
      </c>
      <c r="AR1" t="str">
        <f>'Costing 100 Lmin Feed Orig'!AR1</f>
        <v>S2 q_Rh_out [mol PGM/mol ligand]</v>
      </c>
      <c r="AS1" t="str">
        <f>'Costing 100 Lmin Feed Orig'!AS1</f>
        <v>S2 Material Residual Pt [mol PGM/time]</v>
      </c>
      <c r="AT1" t="str">
        <f>'Costing 100 Lmin Feed Orig'!AT1</f>
        <v>S2 Material Residual Pd [mol PGM/time]</v>
      </c>
      <c r="AU1" t="str">
        <f>'Costing 100 Lmin Feed Orig'!AU1</f>
        <v>S2 Material Residual Rh [mol PGM/time]</v>
      </c>
      <c r="AV1" t="str">
        <f>'Costing 100 Lmin Feed Orig'!AV1</f>
        <v>S2 Q_org [L/time]</v>
      </c>
      <c r="AW1" t="str">
        <f>'Costing 100 Lmin Feed Orig'!AW1</f>
        <v>S2 PGM Recovery [%]</v>
      </c>
      <c r="AX1" t="str">
        <f>'Costing 100 Lmin Feed Orig'!AX1</f>
        <v>S2 PPM Mass Total Feed [mg/L]</v>
      </c>
      <c r="AY1" t="str">
        <f>'Costing 100 Lmin Feed Orig'!AY1</f>
        <v>S2 PGM Relative Purity [%]</v>
      </c>
      <c r="AZ1" t="str">
        <f>'Costing 100 Lmin Feed Orig'!AZ1</f>
        <v>S2 Q_aq [L/time]</v>
      </c>
      <c r="BA1" t="str">
        <f>'Costing 100 Lmin Feed Orig'!BA1</f>
        <v>S2 C_lig [L/time]</v>
      </c>
      <c r="BB1" t="str">
        <f>'Costing 100 Lmin Feed Orig'!BB1</f>
        <v>S2 Q_aq/(Q_org*C_lig) [1/M]</v>
      </c>
      <c r="BC1" t="str">
        <f>'Costing 100 Lmin Feed Orig'!BC1</f>
        <v>S2 Ligand</v>
      </c>
      <c r="BD1" t="str">
        <f>'Costing 100 Lmin Feed Orig'!BD1</f>
        <v>S2 ier</v>
      </c>
      <c r="BE1" t="str">
        <f>'Costing 100 Lmin Feed Orig'!BE1</f>
        <v>S2 q_max_Pt</v>
      </c>
      <c r="BF1" t="str">
        <f>'Costing 100 Lmin Feed Orig'!BF1</f>
        <v>S2 q_max_Pd</v>
      </c>
      <c r="BG1" t="str">
        <f>'Costing 100 Lmin Feed Orig'!BG1</f>
        <v>S2 q_max_Rh</v>
      </c>
      <c r="BH1" t="str">
        <f>'Costing 100 Lmin Feed Orig'!BH1</f>
        <v>S2 K_eq_Pt</v>
      </c>
      <c r="BI1" t="str">
        <f>'Costing 100 Lmin Feed Orig'!BI1</f>
        <v>S2 K_eq_Pd</v>
      </c>
      <c r="BJ1" t="str">
        <f>'Costing 100 Lmin Feed Orig'!BJ1</f>
        <v>S2 K_eq_Rh</v>
      </c>
      <c r="BK1" t="str">
        <f>'Costing 100 Lmin Feed Orig'!BK1</f>
        <v>S1 Q_aq Costing [L/min]</v>
      </c>
      <c r="BL1" t="str">
        <f>'Costing 100 Lmin Feed Orig'!BL1</f>
        <v>S1 Q_org Costing [L/min]</v>
      </c>
      <c r="BM1" t="str">
        <f>'Costing 100 Lmin Feed Orig'!BM1</f>
        <v>S2 Q_aq Costing [L/min]</v>
      </c>
      <c r="BN1" t="str">
        <f>'Costing 100 Lmin Feed Orig'!BN1</f>
        <v>S2 Q_org Costing [L/min]</v>
      </c>
      <c r="BO1" t="s">
        <v>438</v>
      </c>
      <c r="BP1" t="s">
        <v>439</v>
      </c>
      <c r="BQ1" t="s">
        <v>440</v>
      </c>
      <c r="BR1" t="s">
        <v>441</v>
      </c>
      <c r="BS1" t="s">
        <v>524</v>
      </c>
      <c r="BT1" t="s">
        <v>525</v>
      </c>
      <c r="BU1" t="s">
        <v>530</v>
      </c>
      <c r="BV1" t="s">
        <v>531</v>
      </c>
      <c r="BW1" t="s">
        <v>532</v>
      </c>
      <c r="BX1" t="s">
        <v>526</v>
      </c>
      <c r="BY1" t="s">
        <v>527</v>
      </c>
      <c r="BZ1" t="s">
        <v>528</v>
      </c>
      <c r="CA1" t="s">
        <v>529</v>
      </c>
      <c r="CB1" s="54" t="s">
        <v>533</v>
      </c>
      <c r="CC1" s="54" t="s">
        <v>534</v>
      </c>
      <c r="CD1" s="54" t="s">
        <v>535</v>
      </c>
      <c r="CE1" s="54" t="s">
        <v>536</v>
      </c>
      <c r="CF1" s="72" t="s">
        <v>537</v>
      </c>
      <c r="CG1" s="72" t="s">
        <v>538</v>
      </c>
      <c r="CH1" s="79" t="s">
        <v>553</v>
      </c>
      <c r="CI1" s="54" t="s">
        <v>539</v>
      </c>
      <c r="CJ1" s="54" t="s">
        <v>540</v>
      </c>
      <c r="CK1" s="54" t="s">
        <v>541</v>
      </c>
      <c r="CL1" s="54" t="s">
        <v>542</v>
      </c>
      <c r="CM1" t="str">
        <f>'Costing 100 Lmin Feed Orig'!DE1</f>
        <v>10000 L/min to ST [for costing]</v>
      </c>
      <c r="CN1" s="72" t="s">
        <v>543</v>
      </c>
      <c r="CO1" s="72" t="s">
        <v>544</v>
      </c>
      <c r="CP1" s="72" t="s">
        <v>545</v>
      </c>
      <c r="CQ1" s="72" t="s">
        <v>546</v>
      </c>
      <c r="CR1" s="72" t="s">
        <v>547</v>
      </c>
      <c r="CS1" s="79" t="s">
        <v>356</v>
      </c>
      <c r="CT1" s="55" t="s">
        <v>357</v>
      </c>
      <c r="CU1" s="55" t="s">
        <v>358</v>
      </c>
      <c r="CV1" s="55" t="s">
        <v>359</v>
      </c>
      <c r="CW1" s="55" t="s">
        <v>360</v>
      </c>
      <c r="CX1" s="54" t="s">
        <v>548</v>
      </c>
      <c r="CY1" s="79" t="s">
        <v>363</v>
      </c>
      <c r="CZ1" s="79" t="s">
        <v>364</v>
      </c>
      <c r="DA1" s="79" t="s">
        <v>365</v>
      </c>
      <c r="DB1" s="79" t="s">
        <v>366</v>
      </c>
      <c r="DC1" s="79" t="s">
        <v>367</v>
      </c>
      <c r="DD1" s="54" t="s">
        <v>549</v>
      </c>
      <c r="DE1" s="54" t="s">
        <v>550</v>
      </c>
      <c r="DF1" s="54" t="s">
        <v>374</v>
      </c>
      <c r="DG1" s="79" t="s">
        <v>551</v>
      </c>
      <c r="DH1" s="79" t="s">
        <v>552</v>
      </c>
      <c r="DI1" s="79" t="s">
        <v>554</v>
      </c>
      <c r="DJ1" s="79" t="s">
        <v>555</v>
      </c>
      <c r="DK1" s="79" t="s">
        <v>556</v>
      </c>
      <c r="DL1" s="54" t="s">
        <v>557</v>
      </c>
      <c r="DM1" s="79" t="s">
        <v>561</v>
      </c>
      <c r="DN1" s="79" t="s">
        <v>562</v>
      </c>
      <c r="DO1" t="s">
        <v>563</v>
      </c>
      <c r="DP1" s="79" t="s">
        <v>564</v>
      </c>
      <c r="DQ1" s="79" t="s">
        <v>565</v>
      </c>
      <c r="DR1" s="54" t="s">
        <v>566</v>
      </c>
      <c r="DS1" s="79" t="s">
        <v>569</v>
      </c>
      <c r="DT1" s="79" t="s">
        <v>571</v>
      </c>
      <c r="DU1" t="s">
        <v>572</v>
      </c>
      <c r="DV1" s="79" t="s">
        <v>570</v>
      </c>
      <c r="DW1" t="s">
        <v>405</v>
      </c>
      <c r="DX1" t="s">
        <v>407</v>
      </c>
      <c r="DY1" t="s">
        <v>406</v>
      </c>
      <c r="DZ1" t="s">
        <v>410</v>
      </c>
      <c r="EA1" t="s">
        <v>411</v>
      </c>
      <c r="EB1" t="s">
        <v>567</v>
      </c>
      <c r="EC1" t="s">
        <v>413</v>
      </c>
      <c r="ED1" t="s">
        <v>408</v>
      </c>
      <c r="EE1" t="s">
        <v>409</v>
      </c>
      <c r="EF1" t="s">
        <v>416</v>
      </c>
      <c r="EG1" t="s">
        <v>415</v>
      </c>
      <c r="EH1" t="s">
        <v>568</v>
      </c>
      <c r="EI1" s="56" t="s">
        <v>573</v>
      </c>
      <c r="EJ1" s="56" t="s">
        <v>574</v>
      </c>
      <c r="EK1" s="56" t="s">
        <v>419</v>
      </c>
      <c r="EL1" s="56" t="s">
        <v>428</v>
      </c>
      <c r="EM1" s="56" t="s">
        <v>425</v>
      </c>
      <c r="EN1" s="56" t="s">
        <v>426</v>
      </c>
      <c r="EO1" s="56"/>
    </row>
    <row r="2" spans="1:145">
      <c r="A2">
        <f>'Costing 100 Lmin Feed Orig'!A2</f>
        <v>3</v>
      </c>
      <c r="B2">
        <f>'Costing 100 Lmin Feed Orig'!B2</f>
        <v>1.54143585092054E-3</v>
      </c>
      <c r="C2">
        <f>'Costing 100 Lmin Feed Orig'!C2</f>
        <v>1.54143585092054E-3</v>
      </c>
      <c r="D2">
        <f>'Costing 100 Lmin Feed Orig'!D2</f>
        <v>3.4254130020456501E-4</v>
      </c>
      <c r="E2">
        <f>'Costing 100 Lmin Feed Orig'!E2</f>
        <v>0</v>
      </c>
      <c r="F2">
        <f>'Costing 100 Lmin Feed Orig'!F2</f>
        <v>0</v>
      </c>
      <c r="G2">
        <f>'Costing 100 Lmin Feed Orig'!G2</f>
        <v>0</v>
      </c>
      <c r="H2">
        <f>'Costing 100 Lmin Feed Orig'!H2</f>
        <v>1.6300358850230801E-5</v>
      </c>
      <c r="I2">
        <f>'Costing 100 Lmin Feed Orig'!I2</f>
        <v>7.4474859607128495E-7</v>
      </c>
      <c r="J2">
        <f>'Costing 100 Lmin Feed Orig'!J2</f>
        <v>3.2385704147932398E-4</v>
      </c>
      <c r="K2">
        <f>'Costing 100 Lmin Feed Orig'!K2</f>
        <v>8.07271092797512E-2</v>
      </c>
      <c r="L2">
        <f>'Costing 100 Lmin Feed Orig'!L2</f>
        <v>8.15504849440159E-2</v>
      </c>
      <c r="M2">
        <f>'Costing 100 Lmin Feed Orig'!M2</f>
        <v>9.8897848995466706E-4</v>
      </c>
      <c r="N2">
        <f>'Costing 100 Lmin Feed Orig'!N2</f>
        <v>-9.8011876392689601E-17</v>
      </c>
      <c r="O2">
        <f>'Costing 100 Lmin Feed Orig'!O2</f>
        <v>1.94289029309402E-16</v>
      </c>
      <c r="P2">
        <f>'Costing 100 Lmin Feed Orig'!P2</f>
        <v>-4.3537493488870999E-18</v>
      </c>
      <c r="Q2">
        <f>'Costing 100 Lmin Feed Orig'!Q2</f>
        <v>0.18892482409907799</v>
      </c>
      <c r="R2">
        <f>'Costing 100 Lmin Feed Orig'!R2</f>
        <v>94.545399718491396</v>
      </c>
      <c r="S2">
        <f>'Costing 100 Lmin Feed Orig'!S2</f>
        <v>500</v>
      </c>
      <c r="T2">
        <f>'Costing 100 Lmin Feed Orig'!T2</f>
        <v>95</v>
      </c>
      <c r="U2">
        <f>'Costing 100 Lmin Feed Orig'!U2</f>
        <v>1</v>
      </c>
      <c r="V2">
        <f>'Costing 100 Lmin Feed Orig'!V2</f>
        <v>0.1</v>
      </c>
      <c r="W2">
        <f>'Costing 100 Lmin Feed Orig'!W2</f>
        <v>52.931106580020597</v>
      </c>
      <c r="X2" t="str">
        <f>'Costing 100 Lmin Feed Orig'!X2</f>
        <v>ddFc</v>
      </c>
      <c r="Y2">
        <f>'Costing 100 Lmin Feed Orig'!Y2</f>
        <v>1</v>
      </c>
      <c r="Z2">
        <f>'Costing 100 Lmin Feed Orig'!Z2</f>
        <v>0.28318429382522198</v>
      </c>
      <c r="AA2">
        <f>'Costing 100 Lmin Feed Orig'!AA2</f>
        <v>0.56945642916197003</v>
      </c>
      <c r="AB2">
        <f>'Costing 100 Lmin Feed Orig'!AB2</f>
        <v>3.7698628972227502E-3</v>
      </c>
      <c r="AC2">
        <f>'Costing 100 Lmin Feed Orig'!AC2</f>
        <v>1822.2107908876901</v>
      </c>
      <c r="AD2">
        <f>'Costing 100 Lmin Feed Orig'!AD2</f>
        <v>2662.6059073104898</v>
      </c>
      <c r="AE2">
        <f>'Costing 100 Lmin Feed Orig'!AE2</f>
        <v>2401.5030938442701</v>
      </c>
      <c r="AF2">
        <f>'Costing 100 Lmin Feed Orig'!AF2</f>
        <v>4</v>
      </c>
      <c r="AG2">
        <f>'Costing 100 Lmin Feed Orig'!AG2</f>
        <v>1.6455478770638001E-3</v>
      </c>
      <c r="AH2">
        <f>'Costing 100 Lmin Feed Orig'!AH2</f>
        <v>1.66233163271225E-3</v>
      </c>
      <c r="AI2">
        <f>'Costing 100 Lmin Feed Orig'!AI2</f>
        <v>2.0159416943409301E-5</v>
      </c>
      <c r="AJ2">
        <f>'Costing 100 Lmin Feed Orig'!AJ2</f>
        <v>0</v>
      </c>
      <c r="AK2">
        <f>'Costing 100 Lmin Feed Orig'!AK2</f>
        <v>0</v>
      </c>
      <c r="AL2">
        <f>'Costing 100 Lmin Feed Orig'!AL2</f>
        <v>0</v>
      </c>
      <c r="AM2">
        <f>'Costing 100 Lmin Feed Orig'!AM2</f>
        <v>1.5983351284394301E-3</v>
      </c>
      <c r="AN2">
        <f>'Costing 100 Lmin Feed Orig'!AN2</f>
        <v>6.4131851460064998E-5</v>
      </c>
      <c r="AO2">
        <f>'Costing 100 Lmin Feed Orig'!AO2</f>
        <v>1.99910500367739E-5</v>
      </c>
      <c r="AP2">
        <f>'Costing 100 Lmin Feed Orig'!AP2</f>
        <v>2.04098585158686E-3</v>
      </c>
      <c r="AQ2">
        <f>'Costing 100 Lmin Feed Orig'!AQ2</f>
        <v>6.9089456483383896E-2</v>
      </c>
      <c r="AR2">
        <f>'Costing 100 Lmin Feed Orig'!AR2</f>
        <v>7.2784255170584696E-6</v>
      </c>
      <c r="AS2">
        <f>'Costing 100 Lmin Feed Orig'!AS2</f>
        <v>-1.4297916149652499E-18</v>
      </c>
      <c r="AT2">
        <f>'Costing 100 Lmin Feed Orig'!AT2</f>
        <v>2.4286128663675299E-17</v>
      </c>
      <c r="AU2">
        <f>'Costing 100 Lmin Feed Orig'!AU2</f>
        <v>-3.7851784830426501E-21</v>
      </c>
      <c r="AV2">
        <f>'Costing 100 Lmin Feed Orig'!AV2</f>
        <v>0.21439625549974001</v>
      </c>
      <c r="AW2">
        <f>'Costing 100 Lmin Feed Orig'!AW2</f>
        <v>99.164822538727407</v>
      </c>
      <c r="AX2">
        <f>'Costing 100 Lmin Feed Orig'!AX2</f>
        <v>500</v>
      </c>
      <c r="AY2">
        <f>'Costing 100 Lmin Feed Orig'!AY2</f>
        <v>95</v>
      </c>
      <c r="AZ2">
        <f>'Costing 100 Lmin Feed Orig'!AZ2</f>
        <v>0.92682535301965796</v>
      </c>
      <c r="BA2">
        <f>'Costing 100 Lmin Feed Orig'!BA2</f>
        <v>0.1</v>
      </c>
      <c r="BB2">
        <f>'Costing 100 Lmin Feed Orig'!BB2</f>
        <v>43.229549455483898</v>
      </c>
      <c r="BC2" t="str">
        <f>'Costing 100 Lmin Feed Orig'!BC2</f>
        <v>coeFc</v>
      </c>
      <c r="BD2">
        <f>'Costing 100 Lmin Feed Orig'!BD2</f>
        <v>1</v>
      </c>
      <c r="BE2">
        <f>'Costing 100 Lmin Feed Orig'!BE2</f>
        <v>1.8775014999999999E-2</v>
      </c>
      <c r="BF2">
        <f>'Costing 100 Lmin Feed Orig'!BF2</f>
        <v>0.10492961100000001</v>
      </c>
      <c r="BG2">
        <f>'Costing 100 Lmin Feed Orig'!BG2</f>
        <v>1.814625E-3</v>
      </c>
      <c r="BH2">
        <f>'Costing 100 Lmin Feed Orig'!BH2</f>
        <v>285.1951444</v>
      </c>
      <c r="BI2">
        <f>'Costing 100 Lmin Feed Orig'!BI2</f>
        <v>2169.8944889999998</v>
      </c>
      <c r="BJ2">
        <f>'Costing 100 Lmin Feed Orig'!BJ2</f>
        <v>866.49409060000005</v>
      </c>
      <c r="BK2">
        <f>'Costing 100 Lmin Feed Orig'!BK2</f>
        <v>100</v>
      </c>
      <c r="BL2">
        <f>'Costing 100 Lmin Feed Orig'!BL2</f>
        <v>18.892482409907799</v>
      </c>
      <c r="BM2">
        <f>'Costing 100 Lmin Feed Orig'!BM2</f>
        <v>92.6825353019658</v>
      </c>
      <c r="BN2">
        <f>'Costing 100 Lmin Feed Orig'!BN2</f>
        <v>21.439625549974</v>
      </c>
      <c r="BO2">
        <f>(A2+2)*2*BL2</f>
        <v>188.92482409907799</v>
      </c>
      <c r="BP2">
        <f>(AF2+2)*2*BN2</f>
        <v>257.27550659968801</v>
      </c>
      <c r="BQ2">
        <f>BO2*V2</f>
        <v>18.892482409907799</v>
      </c>
      <c r="BR2">
        <f>BP2*BA2</f>
        <v>25.727550659968802</v>
      </c>
      <c r="BS2">
        <f>1.2*0.5*BL2*V2/'Oxidant Feed Composition'!$N$22</f>
        <v>11.335489445944679</v>
      </c>
      <c r="BT2">
        <f>1.2*0.5*BN2*BA2/'Oxidant Feed Composition'!$N$22</f>
        <v>12.863775329984399</v>
      </c>
      <c r="BU2">
        <f>V2*BL2/0.2</f>
        <v>9.4462412049538997</v>
      </c>
      <c r="BV2">
        <f>BA2*BN2/0.2</f>
        <v>10.719812774987</v>
      </c>
      <c r="BW2">
        <f>BM2-BU2</f>
        <v>83.236294097011893</v>
      </c>
      <c r="BX2">
        <f t="shared" ref="BX2:BX33" si="0">(BS2+BL2)*2</f>
        <v>60.455943711704961</v>
      </c>
      <c r="BY2">
        <f>(BU2+BW2+BL2)*2</f>
        <v>223.1500354237472</v>
      </c>
      <c r="BZ2">
        <f>(BT2+BN2)*2</f>
        <v>68.606801759916806</v>
      </c>
      <c r="CA2">
        <f>(BV2+BN2)*2</f>
        <v>64.318876649922004</v>
      </c>
      <c r="CB2">
        <f>BO2*'Reagent cost'!$G$11*'Reagent cost'!$H$11</f>
        <v>2493.8076781078298</v>
      </c>
      <c r="CC2">
        <f>BP2*'Reagent cost'!$G$11*'Reagent cost'!$H$11</f>
        <v>3396.0366871158817</v>
      </c>
      <c r="CD2">
        <f>BQ2*'Reagent cost'!$C$18/1000*'Reagent cost'!$H$18</f>
        <v>3012.9816471142385</v>
      </c>
      <c r="CE2">
        <f>BR2*'Ligand cost'!$B$56*'Ligand cost'!$J$56</f>
        <v>26193.932801696468</v>
      </c>
      <c r="CF2">
        <f>BK2*0.1</f>
        <v>10</v>
      </c>
      <c r="CG2">
        <f>BU2*0.4</f>
        <v>3.7784964819815601</v>
      </c>
      <c r="CH2">
        <f>BV2*0.4</f>
        <v>4.2879251099948004</v>
      </c>
      <c r="CI2">
        <f>7963.6*(BX2/1000)^0.6*1.7*('CAPEX+OPEX'!$G$116/'CAPEX+OPEX'!$G$115)</f>
        <v>2965.5437179814326</v>
      </c>
      <c r="CJ2">
        <f>7963.6*(BY2/1000)^0.6*1.7*('CAPEX+OPEX'!$G$116/'CAPEX+OPEX'!$G$115)</f>
        <v>6492.3078360569407</v>
      </c>
      <c r="CK2">
        <f>7963.6*(BZ2/1000)^0.6*1.7*('CAPEX+OPEX'!$G$116/'CAPEX+OPEX'!$G$115)</f>
        <v>3199.3461630818579</v>
      </c>
      <c r="CL2">
        <f>7963.6*(CA2/1000)^0.6*1.7*('CAPEX+OPEX'!$G$116/'CAPEX+OPEX'!$G$115)</f>
        <v>3077.8255340321039</v>
      </c>
      <c r="CM2">
        <f>'Costing 100 Lmin Feed Orig'!DE2</f>
        <v>39625.826528698344</v>
      </c>
      <c r="CN2">
        <f>'Costing 100 Lmin Feed Orig'!DF2</f>
        <v>4586243.4239371875</v>
      </c>
      <c r="CO2">
        <f>'Costing 100 Lmin Feed Orig'!DG2</f>
        <v>11794834.586807497</v>
      </c>
      <c r="CP2">
        <f>'Costing 100 Lmin Feed Orig'!DH2</f>
        <v>2275209.1661185985</v>
      </c>
      <c r="CQ2">
        <f>'Costing 100 Lmin Feed Orig'!DI2</f>
        <v>14083914.336508472</v>
      </c>
      <c r="CR2">
        <f>'Costing 100 Lmin Feed Orig'!DJ2</f>
        <v>1662824.8986326549</v>
      </c>
      <c r="CS2">
        <f>CN2*(BK2/10000)^0.72*((A2+1)/3)^0.6*('CAPEX+OPEX'!$G$116/'CAPEX+OPEX'!$G$114)</f>
        <v>461850.0978118488</v>
      </c>
      <c r="CT2">
        <f>CO2*(BK2/10000)^0.72*((A2+1)/3)^0.6*('CAPEX+OPEX'!$G$116/'CAPEX+OPEX'!$G$114)</f>
        <v>1187779.4098672394</v>
      </c>
      <c r="CU2">
        <f>CP2*(BK2/10000)^0.72*((A2+1)/3)^0.6*('CAPEX+OPEX'!$G$116/'CAPEX+OPEX'!$G$114)</f>
        <v>229121.19544936769</v>
      </c>
      <c r="CV2">
        <f>CQ2*(BK2/10000)^0.72*((A2+1)/3)^0.6*('CAPEX+OPEX'!$G$116/'CAPEX+OPEX'!$G$114)</f>
        <v>1418297.4196136401</v>
      </c>
      <c r="CW2">
        <f>CR2*(BK2/10000)^0.72*((A2+1)/3)^0.6*('CAPEX+OPEX'!$G$116/'CAPEX+OPEX'!$G$114)</f>
        <v>167452.04540804314</v>
      </c>
      <c r="CX2">
        <f>SUM(CS2:CW2)</f>
        <v>3464500.168150139</v>
      </c>
      <c r="CY2">
        <f>CN2*(BM2/10000)^0.72*((AF2+1)/3)^0.6*('CAPEX+OPEX'!$G$116/'CAPEX+OPEX'!$G$114)</f>
        <v>499902.7657598143</v>
      </c>
      <c r="CZ2">
        <f>CO2*(BM2/10000)^0.72*((AF2+1)/3)^0.6*('CAPEX+OPEX'!$G$116/'CAPEX+OPEX'!$G$114)</f>
        <v>1285642.7116035565</v>
      </c>
      <c r="DA2">
        <f>CP2*(BM2/10000)^0.72*((AF2+1)/3)^0.6*('CAPEX+OPEX'!$G$116/'CAPEX+OPEX'!$G$114)</f>
        <v>247998.90666255786</v>
      </c>
      <c r="DB2">
        <f>CQ2*(BM2/10000)^0.72*((AF2+1)/3)^0.6*('CAPEX+OPEX'!$G$116/'CAPEX+OPEX'!$G$114)</f>
        <v>1535153.5186286946</v>
      </c>
      <c r="DC2">
        <f>CR2*(BM2/10000)^0.72*((AF2+1)/3)^0.6*('CAPEX+OPEX'!$G$116/'CAPEX+OPEX'!$G$114)</f>
        <v>181248.72340228659</v>
      </c>
      <c r="DD2">
        <f>SUM(CY2:DC2)</f>
        <v>3749946.6260569096</v>
      </c>
      <c r="DE2">
        <f>CX2+DD2+1.15*(SUM(CI2:CL2)+SUM(CB2:CE2))</f>
        <v>7272903.3435820136</v>
      </c>
      <c r="DF2">
        <f>DE2/15</f>
        <v>484860.22290546756</v>
      </c>
      <c r="DG2">
        <f>(BS2+BT2)*'Oxidant Feed Composition'!$N$25*60*7200</f>
        <v>19488955.340429295</v>
      </c>
      <c r="DH2">
        <f>((CG2+CH2)*'Reagent cost'!$C$17/1000*'Reagent cost'!$H$17+(CG2+CH2)*0.5*'Reagent cost'!$C$16/1000*'Reagent cost'!$H$16)*60*7200</f>
        <v>7766790.8127168994</v>
      </c>
      <c r="DI2">
        <f>CF2*'Reagent cost'!$C$17/1000*'Reagent cost'!$H$17*60*7200</f>
        <v>504921.59999999998</v>
      </c>
      <c r="DJ2">
        <f>(CB2+CC2)*0.01</f>
        <v>58.898443652237113</v>
      </c>
      <c r="DK2">
        <f>(CD2+CE2)*0.02</f>
        <v>584.13828897621408</v>
      </c>
      <c r="DL2">
        <f>SUM(DG2:DK2)*1.2</f>
        <v>33313572.947854582</v>
      </c>
      <c r="DM2">
        <f>BK2*(B2*(409.81+2)/1000+C2*(248.2+2*22.99)/1000+D2*(315.6+3*22.99)/1000+0.1*58.44/1000)</f>
        <v>0.70639694042110623</v>
      </c>
      <c r="DN2">
        <f>(BS2+BT2)/1000*('Oxidant Feed Composition'!$B$11*'Oxidant Feed Composition'!$O$20+'Oxidant Feed Composition'!$D$11*'Oxidant Feed Composition'!$O$21+'Oxidant Feed Composition'!$F$11*'Oxidant Feed Composition'!$O$27-'Oxidant Feed Composition'!$J$15*18.015)</f>
        <v>2.8261000051950802</v>
      </c>
      <c r="DO2">
        <f>(BU2+BV2)/1000*(0.2*368.34+0.4*58.44)</f>
        <v>1.9569945424293846</v>
      </c>
      <c r="DP2">
        <f>BK2/1000*(B2*195.08+C2*106.42+D2*102.91)</f>
        <v>4.999938342565946E-2</v>
      </c>
      <c r="DQ2">
        <f>SUM(DM2:DO2)-DP2</f>
        <v>5.4394921046199114</v>
      </c>
      <c r="DR2">
        <f>DQ2*60*7200*0.33</f>
        <v>775453.99443461455</v>
      </c>
      <c r="DS2">
        <v>1.2</v>
      </c>
      <c r="DT2">
        <f>BM2/60*(AM2*4+AN2*2+AO2*3)*96485/DV2</f>
        <v>1401.3235056334981</v>
      </c>
      <c r="DU2">
        <f>BN2*BA2*(AP2*4+AQ2*2+AR2*3)*96485/DV2/60</f>
        <v>720.88174659145932</v>
      </c>
      <c r="DV2">
        <v>0.7</v>
      </c>
      <c r="DW2">
        <f>0.499*((BK2/3.78541*15)^(-0.146))*BK2/3.78541*15*300*(1+(A2-2)/9)</f>
        <v>27520.276190787874</v>
      </c>
      <c r="DX2">
        <f>0.248*((BK2/3.78541*15)^(-0.144))*BK2/3.78541*15*300*(1+(A2-2)/3)</f>
        <v>16610.439588917834</v>
      </c>
      <c r="DY2">
        <f>0.105*((BK2/3.78541*15)^(-0.144))*BK2/3.78541*15*300*(1+(A2-2)/3)</f>
        <v>7032.645793695051</v>
      </c>
      <c r="DZ2">
        <f>0.058*((BK2/3.78541*15)^(-0.151))*BK2/3.78541*15*300*(1+(A2-2)/3)</f>
        <v>3725.3886787897172</v>
      </c>
      <c r="EA2">
        <f>0.056*((BK2/3.78541*15)^(-0.144))*BK2/3.78541*15*300*(1+(A2-2)/3)</f>
        <v>3750.7444233040283</v>
      </c>
      <c r="EB2">
        <f>DS2*DT2/(3.6*10^6)*3600*7200*0.07</f>
        <v>847.52045620713966</v>
      </c>
      <c r="EC2">
        <f>0.499*((BM2/3.78541*15)^(-0.146))*BM2/3.78541*15*300*(1+(AF2-2)/9)</f>
        <v>28370.153420241466</v>
      </c>
      <c r="ED2">
        <f>0.248*((BM2/3.78541*15)^(-0.144))*BM2/3.78541*15*300*(1+(AF2-2)/3)</f>
        <v>19455.45293762091</v>
      </c>
      <c r="EE2">
        <f>0.105*((BM2/3.78541*15)^(-0.144))*BM2/3.78541*15*300*(1+(AF2-2)/3)</f>
        <v>8237.1877356862715</v>
      </c>
      <c r="EF2">
        <f>0.058*((BM2/3.78541*15)^(-0.151))*BM2/3.78541*15*300*(1+(AF2-2)/3)</f>
        <v>4365.7898317079243</v>
      </c>
      <c r="EG2">
        <f>0.056*((BM2/3.78541*15)^(-0.144))*BM2/3.78541*15*300*(1+(AF2-2)/3)</f>
        <v>4393.1667923660125</v>
      </c>
      <c r="EH2">
        <f>DS2*DU2/(3.6*10^6)*3600*7200*0.07</f>
        <v>435.98928033851462</v>
      </c>
      <c r="EI2">
        <f>SUM(DW2:EH2)</f>
        <v>124744.75512966275</v>
      </c>
      <c r="EJ2">
        <f>EI2+DR2+DL2</f>
        <v>34213771.697418861</v>
      </c>
      <c r="EK2">
        <f>EJ2+DF2</f>
        <v>34698631.920324326</v>
      </c>
      <c r="EL2">
        <f>EK2/(BK2*60*7200)</f>
        <v>0.8032090722297297</v>
      </c>
      <c r="EM2">
        <f>EK2/(BM2*(AM2*195.084/1000+AN2*106.42/1000+AO2*102.911/1000)*60*7200)</f>
        <v>2702.3575893264338</v>
      </c>
      <c r="EN2">
        <f>EK2/(BN2*BA2*(AP2*195.084/1000+AQ2*106.42/1000+AR2*102.911/1000)*60*7200)</f>
        <v>4833.1530778461101</v>
      </c>
    </row>
    <row r="3" spans="1:145">
      <c r="A3">
        <f>'Costing 100 Lmin Feed Orig'!A3</f>
        <v>3</v>
      </c>
      <c r="B3">
        <f>'Costing 100 Lmin Feed Orig'!B3</f>
        <v>1.54143585092054E-3</v>
      </c>
      <c r="C3">
        <f>'Costing 100 Lmin Feed Orig'!C3</f>
        <v>1.54143585092054E-3</v>
      </c>
      <c r="D3">
        <f>'Costing 100 Lmin Feed Orig'!D3</f>
        <v>3.4254130020456501E-4</v>
      </c>
      <c r="E3">
        <f>'Costing 100 Lmin Feed Orig'!E3</f>
        <v>0</v>
      </c>
      <c r="F3">
        <f>'Costing 100 Lmin Feed Orig'!F3</f>
        <v>0</v>
      </c>
      <c r="G3">
        <f>'Costing 100 Lmin Feed Orig'!G3</f>
        <v>0</v>
      </c>
      <c r="H3">
        <f>'Costing 100 Lmin Feed Orig'!H3</f>
        <v>1.6300358850230801E-5</v>
      </c>
      <c r="I3">
        <f>'Costing 100 Lmin Feed Orig'!I3</f>
        <v>7.4474859607128495E-7</v>
      </c>
      <c r="J3">
        <f>'Costing 100 Lmin Feed Orig'!J3</f>
        <v>3.2385704147932398E-4</v>
      </c>
      <c r="K3">
        <f>'Costing 100 Lmin Feed Orig'!K3</f>
        <v>8.07271092797512E-2</v>
      </c>
      <c r="L3">
        <f>'Costing 100 Lmin Feed Orig'!L3</f>
        <v>8.15504849440159E-2</v>
      </c>
      <c r="M3">
        <f>'Costing 100 Lmin Feed Orig'!M3</f>
        <v>9.8897848995466706E-4</v>
      </c>
      <c r="N3">
        <f>'Costing 100 Lmin Feed Orig'!N3</f>
        <v>-9.8011876392689601E-17</v>
      </c>
      <c r="O3">
        <f>'Costing 100 Lmin Feed Orig'!O3</f>
        <v>1.94289029309402E-16</v>
      </c>
      <c r="P3">
        <f>'Costing 100 Lmin Feed Orig'!P3</f>
        <v>-4.3537493488870999E-18</v>
      </c>
      <c r="Q3">
        <f>'Costing 100 Lmin Feed Orig'!Q3</f>
        <v>0.18892482409907799</v>
      </c>
      <c r="R3">
        <f>'Costing 100 Lmin Feed Orig'!R3</f>
        <v>94.545399718491396</v>
      </c>
      <c r="S3">
        <f>'Costing 100 Lmin Feed Orig'!S3</f>
        <v>500</v>
      </c>
      <c r="T3">
        <f>'Costing 100 Lmin Feed Orig'!T3</f>
        <v>95</v>
      </c>
      <c r="U3">
        <f>'Costing 100 Lmin Feed Orig'!U3</f>
        <v>1</v>
      </c>
      <c r="V3">
        <f>'Costing 100 Lmin Feed Orig'!V3</f>
        <v>0.1</v>
      </c>
      <c r="W3">
        <f>'Costing 100 Lmin Feed Orig'!W3</f>
        <v>52.931106580020597</v>
      </c>
      <c r="X3" t="str">
        <f>'Costing 100 Lmin Feed Orig'!X3</f>
        <v>ddFc</v>
      </c>
      <c r="Y3">
        <f>'Costing 100 Lmin Feed Orig'!Y3</f>
        <v>1</v>
      </c>
      <c r="Z3">
        <f>'Costing 100 Lmin Feed Orig'!Z3</f>
        <v>0.28318429382522198</v>
      </c>
      <c r="AA3">
        <f>'Costing 100 Lmin Feed Orig'!AA3</f>
        <v>0.56945642916197003</v>
      </c>
      <c r="AB3">
        <f>'Costing 100 Lmin Feed Orig'!AB3</f>
        <v>3.7698628972227502E-3</v>
      </c>
      <c r="AC3">
        <f>'Costing 100 Lmin Feed Orig'!AC3</f>
        <v>1822.2107908876901</v>
      </c>
      <c r="AD3">
        <f>'Costing 100 Lmin Feed Orig'!AD3</f>
        <v>2662.6059073104898</v>
      </c>
      <c r="AE3">
        <f>'Costing 100 Lmin Feed Orig'!AE3</f>
        <v>2401.5030938442701</v>
      </c>
      <c r="AF3">
        <f>'Costing 100 Lmin Feed Orig'!AF3</f>
        <v>5</v>
      </c>
      <c r="AG3">
        <f>'Costing 100 Lmin Feed Orig'!AG3</f>
        <v>1.6455478770638001E-3</v>
      </c>
      <c r="AH3">
        <f>'Costing 100 Lmin Feed Orig'!AH3</f>
        <v>1.66233163271225E-3</v>
      </c>
      <c r="AI3">
        <f>'Costing 100 Lmin Feed Orig'!AI3</f>
        <v>2.0159416943409301E-5</v>
      </c>
      <c r="AJ3">
        <f>'Costing 100 Lmin Feed Orig'!AJ3</f>
        <v>0</v>
      </c>
      <c r="AK3">
        <f>'Costing 100 Lmin Feed Orig'!AK3</f>
        <v>0</v>
      </c>
      <c r="AL3">
        <f>'Costing 100 Lmin Feed Orig'!AL3</f>
        <v>0</v>
      </c>
      <c r="AM3">
        <f>'Costing 100 Lmin Feed Orig'!AM3</f>
        <v>1.6052842060858799E-3</v>
      </c>
      <c r="AN3">
        <f>'Costing 100 Lmin Feed Orig'!AN3</f>
        <v>6.4473619347604606E-5</v>
      </c>
      <c r="AO3">
        <f>'Costing 100 Lmin Feed Orig'!AO3</f>
        <v>2.0015023078929502E-5</v>
      </c>
      <c r="AP3">
        <f>'Costing 100 Lmin Feed Orig'!AP3</f>
        <v>1.83001337116067E-3</v>
      </c>
      <c r="AQ3">
        <f>'Costing 100 Lmin Feed Orig'!AQ3</f>
        <v>7.2623818410792906E-2</v>
      </c>
      <c r="AR3">
        <f>'Costing 100 Lmin Feed Orig'!AR3</f>
        <v>6.5628070240175303E-6</v>
      </c>
      <c r="AS3">
        <f>'Costing 100 Lmin Feed Orig'!AS3</f>
        <v>-1.0199428649750001E-15</v>
      </c>
      <c r="AT3">
        <f>'Costing 100 Lmin Feed Orig'!AT3</f>
        <v>-2.9988815250514499E-14</v>
      </c>
      <c r="AU3">
        <f>'Costing 100 Lmin Feed Orig'!AU3</f>
        <v>-1.2040043949627799E-18</v>
      </c>
      <c r="AV3">
        <f>'Costing 100 Lmin Feed Orig'!AV3</f>
        <v>0.20391867981453801</v>
      </c>
      <c r="AW3">
        <f>'Costing 100 Lmin Feed Orig'!AW3</f>
        <v>99.283739877571406</v>
      </c>
      <c r="AX3">
        <f>'Costing 100 Lmin Feed Orig'!AX3</f>
        <v>500</v>
      </c>
      <c r="AY3">
        <f>'Costing 100 Lmin Feed Orig'!AY3</f>
        <v>95</v>
      </c>
      <c r="AZ3">
        <f>'Costing 100 Lmin Feed Orig'!AZ3</f>
        <v>0.92682535301965796</v>
      </c>
      <c r="BA3">
        <f>'Costing 100 Lmin Feed Orig'!BA3</f>
        <v>0.1</v>
      </c>
      <c r="BB3">
        <f>'Costing 100 Lmin Feed Orig'!BB3</f>
        <v>45.450733295379898</v>
      </c>
      <c r="BC3" t="str">
        <f>'Costing 100 Lmin Feed Orig'!BC3</f>
        <v>coeFc</v>
      </c>
      <c r="BD3">
        <f>'Costing 100 Lmin Feed Orig'!BD3</f>
        <v>1</v>
      </c>
      <c r="BE3">
        <f>'Costing 100 Lmin Feed Orig'!BE3</f>
        <v>1.8775014999999999E-2</v>
      </c>
      <c r="BF3">
        <f>'Costing 100 Lmin Feed Orig'!BF3</f>
        <v>0.10492961100000001</v>
      </c>
      <c r="BG3">
        <f>'Costing 100 Lmin Feed Orig'!BG3</f>
        <v>1.814625E-3</v>
      </c>
      <c r="BH3">
        <f>'Costing 100 Lmin Feed Orig'!BH3</f>
        <v>285.1951444</v>
      </c>
      <c r="BI3">
        <f>'Costing 100 Lmin Feed Orig'!BI3</f>
        <v>2169.8944889999998</v>
      </c>
      <c r="BJ3">
        <f>'Costing 100 Lmin Feed Orig'!BJ3</f>
        <v>866.49409060000005</v>
      </c>
      <c r="BK3">
        <f>'Costing 100 Lmin Feed Orig'!BK3</f>
        <v>100</v>
      </c>
      <c r="BL3">
        <f>'Costing 100 Lmin Feed Orig'!BL3</f>
        <v>18.892482409907799</v>
      </c>
      <c r="BM3">
        <f>'Costing 100 Lmin Feed Orig'!BM3</f>
        <v>92.6825353019658</v>
      </c>
      <c r="BN3">
        <f>'Costing 100 Lmin Feed Orig'!BN3</f>
        <v>20.3918679814538</v>
      </c>
      <c r="BO3">
        <f t="shared" ref="BO3:BO66" si="1">(A3+2)*2*BL3</f>
        <v>188.92482409907799</v>
      </c>
      <c r="BP3">
        <f t="shared" ref="BP3:BP66" si="2">(AF3+2)*2*BN3</f>
        <v>285.48615174035319</v>
      </c>
      <c r="BQ3">
        <f t="shared" ref="BQ3:BQ66" si="3">BO3*V3</f>
        <v>18.892482409907799</v>
      </c>
      <c r="BR3">
        <f t="shared" ref="BR3:BR66" si="4">BP3*BA3</f>
        <v>28.548615174035319</v>
      </c>
      <c r="BS3">
        <f>1.2*0.5*BL3*V3/'Oxidant Feed Composition'!$N$22</f>
        <v>11.335489445944679</v>
      </c>
      <c r="BT3">
        <f>1.2*0.5*BN3*BA3/'Oxidant Feed Composition'!$N$22</f>
        <v>12.23512078887228</v>
      </c>
      <c r="BU3">
        <f t="shared" ref="BU3:BU66" si="5">V3*BL3/0.2</f>
        <v>9.4462412049538997</v>
      </c>
      <c r="BV3">
        <f t="shared" ref="BV3:BV66" si="6">BA3*BN3/0.2</f>
        <v>10.1959339907269</v>
      </c>
      <c r="BW3">
        <f t="shared" ref="BW3:BW66" si="7">BM3-BU3</f>
        <v>83.236294097011893</v>
      </c>
      <c r="BX3">
        <f t="shared" si="0"/>
        <v>60.455943711704961</v>
      </c>
      <c r="BY3">
        <f t="shared" ref="BY3:BY66" si="8">(BU3+BW3+BL3)*2</f>
        <v>223.1500354237472</v>
      </c>
      <c r="BZ3">
        <f t="shared" ref="BZ3:BZ66" si="9">(BT3+BN3)*2</f>
        <v>65.253977540652158</v>
      </c>
      <c r="CA3">
        <f t="shared" ref="CA3:CA66" si="10">(BV3+BN3)*2</f>
        <v>61.175603944361399</v>
      </c>
      <c r="CB3">
        <f>BO3*'Reagent cost'!$G$11*'Reagent cost'!$H$11</f>
        <v>2493.8076781078298</v>
      </c>
      <c r="CC3">
        <f>BP3*'Reagent cost'!$G$11*'Reagent cost'!$H$11</f>
        <v>3768.4172029726624</v>
      </c>
      <c r="CD3">
        <f>BQ3*'Reagent cost'!$C$18/1000*'Reagent cost'!$H$18</f>
        <v>3012.9816471142385</v>
      </c>
      <c r="CE3">
        <f>BR3*'Ligand cost'!$B$56*'Ligand cost'!$J$56</f>
        <v>29066.136817047478</v>
      </c>
      <c r="CF3">
        <f t="shared" ref="CF3:CF66" si="11">BK3*0.1</f>
        <v>10</v>
      </c>
      <c r="CG3">
        <f t="shared" ref="CG3:CG66" si="12">BU3*0.4</f>
        <v>3.7784964819815601</v>
      </c>
      <c r="CH3">
        <f t="shared" ref="CH3:CH66" si="13">BV3*0.4</f>
        <v>4.0783735962907599</v>
      </c>
      <c r="CI3">
        <f>7963.6*(BX3/1000)^0.6*1.7*('CAPEX+OPEX'!$G$116/'CAPEX+OPEX'!$G$115)</f>
        <v>2965.5437179814326</v>
      </c>
      <c r="CJ3">
        <f>7963.6*(BY3/1000)^0.6*1.7*('CAPEX+OPEX'!$G$116/'CAPEX+OPEX'!$G$115)</f>
        <v>6492.3078360569407</v>
      </c>
      <c r="CK3">
        <f>7963.6*(BZ3/1000)^0.6*1.7*('CAPEX+OPEX'!$G$116/'CAPEX+OPEX'!$G$115)</f>
        <v>3104.5961983371071</v>
      </c>
      <c r="CL3">
        <f>7963.6*(CA3/1000)^0.6*1.7*('CAPEX+OPEX'!$G$116/'CAPEX+OPEX'!$G$115)</f>
        <v>2986.6744531627796</v>
      </c>
      <c r="CM3">
        <f>'Costing 100 Lmin Feed Orig'!DE3</f>
        <v>39625.826528698344</v>
      </c>
      <c r="CN3">
        <f>'Costing 100 Lmin Feed Orig'!DF3</f>
        <v>4586243.4239371875</v>
      </c>
      <c r="CO3">
        <f>'Costing 100 Lmin Feed Orig'!DG3</f>
        <v>11794834.586807497</v>
      </c>
      <c r="CP3">
        <f>'Costing 100 Lmin Feed Orig'!DH3</f>
        <v>2275209.1661185985</v>
      </c>
      <c r="CQ3">
        <f>'Costing 100 Lmin Feed Orig'!DI3</f>
        <v>14083914.336508472</v>
      </c>
      <c r="CR3">
        <f>'Costing 100 Lmin Feed Orig'!DJ3</f>
        <v>1662824.8986326549</v>
      </c>
      <c r="CS3">
        <f>CN3*(BK3/10000)^0.72*((A3+1)/3)^0.6*('CAPEX+OPEX'!$G$116/'CAPEX+OPEX'!$G$114)</f>
        <v>461850.0978118488</v>
      </c>
      <c r="CT3">
        <f>CO3*(BK3/10000)^0.72*((A3+1)/3)^0.6*('CAPEX+OPEX'!$G$116/'CAPEX+OPEX'!$G$114)</f>
        <v>1187779.4098672394</v>
      </c>
      <c r="CU3">
        <f>CP3*(BK3/10000)^0.72*((A3+1)/3)^0.6*('CAPEX+OPEX'!$G$116/'CAPEX+OPEX'!$G$114)</f>
        <v>229121.19544936769</v>
      </c>
      <c r="CV3">
        <f>CQ3*(BK3/10000)^0.72*((A3+1)/3)^0.6*('CAPEX+OPEX'!$G$116/'CAPEX+OPEX'!$G$114)</f>
        <v>1418297.4196136401</v>
      </c>
      <c r="CW3">
        <f>CR3*(BK3/10000)^0.72*((A3+1)/3)^0.6*('CAPEX+OPEX'!$G$116/'CAPEX+OPEX'!$G$114)</f>
        <v>167452.04540804314</v>
      </c>
      <c r="CX3">
        <f t="shared" ref="CX3:CX66" si="14">SUM(CS3:CW3)</f>
        <v>3464500.168150139</v>
      </c>
      <c r="CY3">
        <f>CN3*(BM3/10000)^0.72*((AF3+1)/3)^0.6*('CAPEX+OPEX'!$G$116/'CAPEX+OPEX'!$G$114)</f>
        <v>557691.83628610906</v>
      </c>
      <c r="CZ3">
        <f>CO3*(BM3/10000)^0.72*((AF3+1)/3)^0.6*('CAPEX+OPEX'!$G$116/'CAPEX+OPEX'!$G$114)</f>
        <v>1434263.8083873487</v>
      </c>
      <c r="DA3">
        <f>CP3*(BM3/10000)^0.72*((AF3+1)/3)^0.6*('CAPEX+OPEX'!$G$116/'CAPEX+OPEX'!$G$114)</f>
        <v>276667.73446106695</v>
      </c>
      <c r="DB3">
        <f>CQ3*(BM3/10000)^0.72*((AF3+1)/3)^0.6*('CAPEX+OPEX'!$G$116/'CAPEX+OPEX'!$G$114)</f>
        <v>1712618.2198329037</v>
      </c>
      <c r="DC3">
        <f>CR3*(BM3/10000)^0.72*((AF3+1)/3)^0.6*('CAPEX+OPEX'!$G$116/'CAPEX+OPEX'!$G$114)</f>
        <v>202201.18851532842</v>
      </c>
      <c r="DD3">
        <f t="shared" ref="DD3:DD66" si="15">SUM(CY3:DC3)</f>
        <v>4183442.7874827567</v>
      </c>
      <c r="DE3">
        <f>CX3+DD3+1.15*(SUM(CI3:CL3)+SUM(CB3:CE3))</f>
        <v>7709916.9910162929</v>
      </c>
      <c r="DF3">
        <f t="shared" ref="DF3:DF66" si="16">DE3/15</f>
        <v>513994.46606775286</v>
      </c>
      <c r="DG3">
        <f>(BS3+BT3)*'Oxidant Feed Composition'!$N$25*60*7200</f>
        <v>18982666.393647783</v>
      </c>
      <c r="DH3">
        <f>((CG3+CH3)*'Reagent cost'!$C$17/1000*'Reagent cost'!$H$17+(CG3+CH3)*0.5*'Reagent cost'!$C$16/1000*'Reagent cost'!$H$16)*60*7200</f>
        <v>7565023.1821920592</v>
      </c>
      <c r="DI3">
        <f>CF3*'Reagent cost'!$C$17/1000*'Reagent cost'!$H$17*60*7200</f>
        <v>504921.59999999998</v>
      </c>
      <c r="DJ3">
        <f t="shared" ref="DJ3:DJ66" si="17">(CB3+CC3)*0.01</f>
        <v>62.622248810804926</v>
      </c>
      <c r="DK3">
        <f t="shared" ref="DK3:DK66" si="18">(CD3+CE3)*0.02</f>
        <v>641.58236928323436</v>
      </c>
      <c r="DL3">
        <f t="shared" ref="DL3:DL66" si="19">SUM(DG3:DK3)*1.2</f>
        <v>32463978.456549518</v>
      </c>
      <c r="DM3">
        <f>BK3*(B3*(409.81+2)/1000+C3*(248.2+2*22.99)/1000+D3*(315.6+3*22.99)/1000+0.1*58.44/1000)</f>
        <v>0.70639694042110623</v>
      </c>
      <c r="DN3">
        <f>(BS3+BT3)/1000*('Oxidant Feed Composition'!$B$11*'Oxidant Feed Composition'!$O$20+'Oxidant Feed Composition'!$D$11*'Oxidant Feed Composition'!$O$21+'Oxidant Feed Composition'!$F$11*'Oxidant Feed Composition'!$O$27-'Oxidant Feed Composition'!$J$15*18.015)</f>
        <v>2.7526828737923901</v>
      </c>
      <c r="DO3">
        <f>(BU3+BV3)/1000*(0.2*368.34+0.4*58.44)</f>
        <v>1.9061552496896474</v>
      </c>
      <c r="DP3">
        <f>BK3/1000*(B3*195.08+C3*106.42+D3*102.91)</f>
        <v>4.999938342565946E-2</v>
      </c>
      <c r="DQ3">
        <f>SUM(DM3:DO3)-DP3</f>
        <v>5.3152356804774836</v>
      </c>
      <c r="DR3">
        <f>DQ3*60*7200*0.33</f>
        <v>757739.99860887008</v>
      </c>
      <c r="DS3">
        <v>1.2</v>
      </c>
      <c r="DT3">
        <f>BM3/60*(AM3*4+AN3*2+AO3*3)*96485/DV3</f>
        <v>1407.4026349781827</v>
      </c>
      <c r="DU3">
        <f>BN3*BA3*(AP3*4+AQ3*2+AR3*3)*96485/DV3/60</f>
        <v>714.80261726149911</v>
      </c>
      <c r="DV3">
        <v>0.7</v>
      </c>
      <c r="DW3">
        <f>0.499*((BK3/3.78541*15)^(-0.146))*BK3/3.78541*15*300*(1+(A3-2)/9)</f>
        <v>27520.276190787874</v>
      </c>
      <c r="DX3">
        <f>0.248*((BK3/3.78541*15)^(-0.144))*BK3/3.78541*15*300*(1+(A3-2)/3)</f>
        <v>16610.439588917834</v>
      </c>
      <c r="DY3">
        <f>0.105*((BK3/3.78541*15)^(-0.144))*BK3/3.78541*15*300*(1+(A3-2)/3)</f>
        <v>7032.645793695051</v>
      </c>
      <c r="DZ3">
        <f>0.058*((BK3/3.78541*15)^(-0.151))*BK3/3.78541*15*300*(1+(A3-2)/3)</f>
        <v>3725.3886787897172</v>
      </c>
      <c r="EA3">
        <f>0.056*((BK3/3.78541*15)^(-0.144))*BK3/3.78541*15*300*(1+(A3-2)/3)</f>
        <v>3750.7444233040283</v>
      </c>
      <c r="EB3">
        <f>DS3*DT3/(3.6*10^6)*3600*7200*0.07</f>
        <v>851.19711363480485</v>
      </c>
      <c r="EC3">
        <f>0.499*((BM3/3.78541*15)^(-0.146))*BM3/3.78541*15*300*(1+(AF3-2)/9)</f>
        <v>30949.25827662705</v>
      </c>
      <c r="ED3">
        <f>0.248*((BM3/3.78541*15)^(-0.144))*BM3/3.78541*15*300*(1+(AF3-2)/3)</f>
        <v>23346.543525145094</v>
      </c>
      <c r="EE3">
        <f>0.105*((BM3/3.78541*15)^(-0.144))*BM3/3.78541*15*300*(1+(AF3-2)/3)</f>
        <v>9884.6252828235265</v>
      </c>
      <c r="EF3">
        <f>0.058*((BM3/3.78541*15)^(-0.151))*BM3/3.78541*15*300*(1+(AF3-2)/3)</f>
        <v>5238.9477980495094</v>
      </c>
      <c r="EG3">
        <f>0.056*((BM3/3.78541*15)^(-0.144))*BM3/3.78541*15*300*(1+(AF3-2)/3)</f>
        <v>5271.8001508392153</v>
      </c>
      <c r="EH3">
        <f>DS3*DU3/(3.6*10^6)*3600*7200*0.07</f>
        <v>432.31262291975469</v>
      </c>
      <c r="EI3">
        <f>SUM(DW3:EH3)</f>
        <v>134614.17944553349</v>
      </c>
      <c r="EJ3">
        <f>EI3+DR3+DL3</f>
        <v>33356332.634603921</v>
      </c>
      <c r="EK3">
        <f>EJ3+DF3</f>
        <v>33870327.100671671</v>
      </c>
      <c r="EL3">
        <f>EK3/(BK3*60*7200)</f>
        <v>0.78403534955258503</v>
      </c>
      <c r="EM3">
        <f>EK3/(BM3*(AM3*195.084/1000+AN3*106.42/1000+AO3*102.911/1000)*60*7200)</f>
        <v>2626.4278158389388</v>
      </c>
      <c r="EN3">
        <f>EK3/(BN3*BA3*(AP3*195.084/1000+AQ3*106.42/1000+AR3*102.911/1000)*60*7200)</f>
        <v>4754.7570258945698</v>
      </c>
    </row>
    <row r="4" spans="1:145">
      <c r="A4">
        <f>'Costing 100 Lmin Feed Orig'!A4</f>
        <v>3</v>
      </c>
      <c r="B4">
        <f>'Costing 100 Lmin Feed Orig'!B4</f>
        <v>1.54143585092054E-3</v>
      </c>
      <c r="C4">
        <f>'Costing 100 Lmin Feed Orig'!C4</f>
        <v>1.54143585092054E-3</v>
      </c>
      <c r="D4">
        <f>'Costing 100 Lmin Feed Orig'!D4</f>
        <v>3.4254130020456501E-4</v>
      </c>
      <c r="E4">
        <f>'Costing 100 Lmin Feed Orig'!E4</f>
        <v>0</v>
      </c>
      <c r="F4">
        <f>'Costing 100 Lmin Feed Orig'!F4</f>
        <v>0</v>
      </c>
      <c r="G4">
        <f>'Costing 100 Lmin Feed Orig'!G4</f>
        <v>0</v>
      </c>
      <c r="H4">
        <f>'Costing 100 Lmin Feed Orig'!H4</f>
        <v>1.6300358850230801E-5</v>
      </c>
      <c r="I4">
        <f>'Costing 100 Lmin Feed Orig'!I4</f>
        <v>7.4474859607128495E-7</v>
      </c>
      <c r="J4">
        <f>'Costing 100 Lmin Feed Orig'!J4</f>
        <v>3.2385704147932398E-4</v>
      </c>
      <c r="K4">
        <f>'Costing 100 Lmin Feed Orig'!K4</f>
        <v>8.07271092797512E-2</v>
      </c>
      <c r="L4">
        <f>'Costing 100 Lmin Feed Orig'!L4</f>
        <v>8.15504849440159E-2</v>
      </c>
      <c r="M4">
        <f>'Costing 100 Lmin Feed Orig'!M4</f>
        <v>9.8897848995466706E-4</v>
      </c>
      <c r="N4">
        <f>'Costing 100 Lmin Feed Orig'!N4</f>
        <v>-9.8011876392689601E-17</v>
      </c>
      <c r="O4">
        <f>'Costing 100 Lmin Feed Orig'!O4</f>
        <v>1.94289029309402E-16</v>
      </c>
      <c r="P4">
        <f>'Costing 100 Lmin Feed Orig'!P4</f>
        <v>-4.3537493488870999E-18</v>
      </c>
      <c r="Q4">
        <f>'Costing 100 Lmin Feed Orig'!Q4</f>
        <v>0.18892482409907799</v>
      </c>
      <c r="R4">
        <f>'Costing 100 Lmin Feed Orig'!R4</f>
        <v>94.545399718491396</v>
      </c>
      <c r="S4">
        <f>'Costing 100 Lmin Feed Orig'!S4</f>
        <v>500</v>
      </c>
      <c r="T4">
        <f>'Costing 100 Lmin Feed Orig'!T4</f>
        <v>95</v>
      </c>
      <c r="U4">
        <f>'Costing 100 Lmin Feed Orig'!U4</f>
        <v>1</v>
      </c>
      <c r="V4">
        <f>'Costing 100 Lmin Feed Orig'!V4</f>
        <v>0.1</v>
      </c>
      <c r="W4">
        <f>'Costing 100 Lmin Feed Orig'!W4</f>
        <v>52.931106580020597</v>
      </c>
      <c r="X4" t="str">
        <f>'Costing 100 Lmin Feed Orig'!X4</f>
        <v>ddFc</v>
      </c>
      <c r="Y4">
        <f>'Costing 100 Lmin Feed Orig'!Y4</f>
        <v>1</v>
      </c>
      <c r="Z4">
        <f>'Costing 100 Lmin Feed Orig'!Z4</f>
        <v>0.28318429382522198</v>
      </c>
      <c r="AA4">
        <f>'Costing 100 Lmin Feed Orig'!AA4</f>
        <v>0.56945642916197003</v>
      </c>
      <c r="AB4">
        <f>'Costing 100 Lmin Feed Orig'!AB4</f>
        <v>3.7698628972227502E-3</v>
      </c>
      <c r="AC4">
        <f>'Costing 100 Lmin Feed Orig'!AC4</f>
        <v>1822.2107908876901</v>
      </c>
      <c r="AD4">
        <f>'Costing 100 Lmin Feed Orig'!AD4</f>
        <v>2662.6059073104898</v>
      </c>
      <c r="AE4">
        <f>'Costing 100 Lmin Feed Orig'!AE4</f>
        <v>2401.5030938442701</v>
      </c>
      <c r="AF4">
        <f>'Costing 100 Lmin Feed Orig'!AF4</f>
        <v>6</v>
      </c>
      <c r="AG4">
        <f>'Costing 100 Lmin Feed Orig'!AG4</f>
        <v>1.6455478770638001E-3</v>
      </c>
      <c r="AH4">
        <f>'Costing 100 Lmin Feed Orig'!AH4</f>
        <v>1.66233163271225E-3</v>
      </c>
      <c r="AI4">
        <f>'Costing 100 Lmin Feed Orig'!AI4</f>
        <v>2.0159416943409301E-5</v>
      </c>
      <c r="AJ4">
        <f>'Costing 100 Lmin Feed Orig'!AJ4</f>
        <v>0</v>
      </c>
      <c r="AK4">
        <f>'Costing 100 Lmin Feed Orig'!AK4</f>
        <v>0</v>
      </c>
      <c r="AL4">
        <f>'Costing 100 Lmin Feed Orig'!AL4</f>
        <v>0</v>
      </c>
      <c r="AM4">
        <f>'Costing 100 Lmin Feed Orig'!AM4</f>
        <v>1.60744374164569E-3</v>
      </c>
      <c r="AN4">
        <f>'Costing 100 Lmin Feed Orig'!AN4</f>
        <v>6.4579829374686502E-5</v>
      </c>
      <c r="AO4">
        <f>'Costing 100 Lmin Feed Orig'!AO4</f>
        <v>2.0022472818809102E-5</v>
      </c>
      <c r="AP4">
        <f>'Costing 100 Lmin Feed Orig'!AP4</f>
        <v>1.75996255360512E-3</v>
      </c>
      <c r="AQ4">
        <f>'Costing 100 Lmin Feed Orig'!AQ4</f>
        <v>7.3797327061053505E-2</v>
      </c>
      <c r="AR4">
        <f>'Costing 100 Lmin Feed Orig'!AR4</f>
        <v>6.3252066629497999E-6</v>
      </c>
      <c r="AS4">
        <f>'Costing 100 Lmin Feed Orig'!AS4</f>
        <v>-1.5043305143236301E-18</v>
      </c>
      <c r="AT4">
        <f>'Costing 100 Lmin Feed Orig'!AT4</f>
        <v>1.5178830414797E-17</v>
      </c>
      <c r="AU4">
        <f>'Costing 100 Lmin Feed Orig'!AU4</f>
        <v>-9.2908926401955993E-21</v>
      </c>
      <c r="AV4">
        <f>'Costing 100 Lmin Feed Orig'!AV4</f>
        <v>0.20066267141911501</v>
      </c>
      <c r="AW4">
        <f>'Costing 100 Lmin Feed Orig'!AW4</f>
        <v>99.320694021138493</v>
      </c>
      <c r="AX4">
        <f>'Costing 100 Lmin Feed Orig'!AX4</f>
        <v>500</v>
      </c>
      <c r="AY4">
        <f>'Costing 100 Lmin Feed Orig'!AY4</f>
        <v>95</v>
      </c>
      <c r="AZ4">
        <f>'Costing 100 Lmin Feed Orig'!AZ4</f>
        <v>0.92682535301965796</v>
      </c>
      <c r="BA4">
        <f>'Costing 100 Lmin Feed Orig'!BA4</f>
        <v>0.1</v>
      </c>
      <c r="BB4">
        <f>'Costing 100 Lmin Feed Orig'!BB4</f>
        <v>46.188229552861699</v>
      </c>
      <c r="BC4" t="str">
        <f>'Costing 100 Lmin Feed Orig'!BC4</f>
        <v>coeFc</v>
      </c>
      <c r="BD4">
        <f>'Costing 100 Lmin Feed Orig'!BD4</f>
        <v>1</v>
      </c>
      <c r="BE4">
        <f>'Costing 100 Lmin Feed Orig'!BE4</f>
        <v>1.8775014999999999E-2</v>
      </c>
      <c r="BF4">
        <f>'Costing 100 Lmin Feed Orig'!BF4</f>
        <v>0.10492961100000001</v>
      </c>
      <c r="BG4">
        <f>'Costing 100 Lmin Feed Orig'!BG4</f>
        <v>1.814625E-3</v>
      </c>
      <c r="BH4">
        <f>'Costing 100 Lmin Feed Orig'!BH4</f>
        <v>285.1951444</v>
      </c>
      <c r="BI4">
        <f>'Costing 100 Lmin Feed Orig'!BI4</f>
        <v>2169.8944889999998</v>
      </c>
      <c r="BJ4">
        <f>'Costing 100 Lmin Feed Orig'!BJ4</f>
        <v>866.49409060000005</v>
      </c>
      <c r="BK4">
        <f>'Costing 100 Lmin Feed Orig'!BK4</f>
        <v>100</v>
      </c>
      <c r="BL4">
        <f>'Costing 100 Lmin Feed Orig'!BL4</f>
        <v>18.892482409907799</v>
      </c>
      <c r="BM4">
        <f>'Costing 100 Lmin Feed Orig'!BM4</f>
        <v>92.6825353019658</v>
      </c>
      <c r="BN4">
        <f>'Costing 100 Lmin Feed Orig'!BN4</f>
        <v>20.066267141911499</v>
      </c>
      <c r="BO4">
        <f t="shared" si="1"/>
        <v>188.92482409907799</v>
      </c>
      <c r="BP4">
        <f t="shared" si="2"/>
        <v>321.06027427058399</v>
      </c>
      <c r="BQ4">
        <f t="shared" si="3"/>
        <v>18.892482409907799</v>
      </c>
      <c r="BR4">
        <f t="shared" si="4"/>
        <v>32.1060274270584</v>
      </c>
      <c r="BS4">
        <f>1.2*0.5*BL4*V4/'Oxidant Feed Composition'!$N$22</f>
        <v>11.335489445944679</v>
      </c>
      <c r="BT4">
        <f>1.2*0.5*BN4*BA4/'Oxidant Feed Composition'!$N$22</f>
        <v>12.039760285146901</v>
      </c>
      <c r="BU4">
        <f t="shared" si="5"/>
        <v>9.4462412049538997</v>
      </c>
      <c r="BV4">
        <f t="shared" si="6"/>
        <v>10.03313357095575</v>
      </c>
      <c r="BW4">
        <f t="shared" si="7"/>
        <v>83.236294097011893</v>
      </c>
      <c r="BX4">
        <f t="shared" si="0"/>
        <v>60.455943711704961</v>
      </c>
      <c r="BY4">
        <f t="shared" si="8"/>
        <v>223.1500354237472</v>
      </c>
      <c r="BZ4">
        <f t="shared" si="9"/>
        <v>64.212054854116801</v>
      </c>
      <c r="CA4">
        <f t="shared" si="10"/>
        <v>60.198801425734501</v>
      </c>
      <c r="CB4">
        <f>BO4*'Reagent cost'!$G$11*'Reagent cost'!$H$11</f>
        <v>2493.8076781078298</v>
      </c>
      <c r="CC4">
        <f>BP4*'Reagent cost'!$G$11*'Reagent cost'!$H$11</f>
        <v>4237.9956203717084</v>
      </c>
      <c r="CD4">
        <f>BQ4*'Reagent cost'!$C$18/1000*'Reagent cost'!$H$18</f>
        <v>3012.9816471142385</v>
      </c>
      <c r="CE4">
        <f>BR4*'Ligand cost'!$B$56*'Ligand cost'!$J$56</f>
        <v>32688.036885778358</v>
      </c>
      <c r="CF4">
        <f t="shared" si="11"/>
        <v>10</v>
      </c>
      <c r="CG4">
        <f t="shared" si="12"/>
        <v>3.7784964819815601</v>
      </c>
      <c r="CH4">
        <f t="shared" si="13"/>
        <v>4.0132534283823</v>
      </c>
      <c r="CI4">
        <f>7963.6*(BX4/1000)^0.6*1.7*('CAPEX+OPEX'!$G$116/'CAPEX+OPEX'!$G$115)</f>
        <v>2965.5437179814326</v>
      </c>
      <c r="CJ4">
        <f>7963.6*(BY4/1000)^0.6*1.7*('CAPEX+OPEX'!$G$116/'CAPEX+OPEX'!$G$115)</f>
        <v>6492.3078360569407</v>
      </c>
      <c r="CK4">
        <f>7963.6*(BZ4/1000)^0.6*1.7*('CAPEX+OPEX'!$G$116/'CAPEX+OPEX'!$G$115)</f>
        <v>3074.7574940340096</v>
      </c>
      <c r="CL4">
        <f>7963.6*(CA4/1000)^0.6*1.7*('CAPEX+OPEX'!$G$116/'CAPEX+OPEX'!$G$115)</f>
        <v>2957.9691110943741</v>
      </c>
      <c r="CM4">
        <f>'Costing 100 Lmin Feed Orig'!DE4</f>
        <v>39625.826528698344</v>
      </c>
      <c r="CN4">
        <f>'Costing 100 Lmin Feed Orig'!DF4</f>
        <v>4586243.4239371875</v>
      </c>
      <c r="CO4">
        <f>'Costing 100 Lmin Feed Orig'!DG4</f>
        <v>11794834.586807497</v>
      </c>
      <c r="CP4">
        <f>'Costing 100 Lmin Feed Orig'!DH4</f>
        <v>2275209.1661185985</v>
      </c>
      <c r="CQ4">
        <f>'Costing 100 Lmin Feed Orig'!DI4</f>
        <v>14083914.336508472</v>
      </c>
      <c r="CR4">
        <f>'Costing 100 Lmin Feed Orig'!DJ4</f>
        <v>1662824.8986326549</v>
      </c>
      <c r="CS4">
        <f>CN4*(BK4/10000)^0.72*((A4+1)/3)^0.6*('CAPEX+OPEX'!$G$116/'CAPEX+OPEX'!$G$114)</f>
        <v>461850.0978118488</v>
      </c>
      <c r="CT4">
        <f>CO4*(BK4/10000)^0.72*((A4+1)/3)^0.6*('CAPEX+OPEX'!$G$116/'CAPEX+OPEX'!$G$114)</f>
        <v>1187779.4098672394</v>
      </c>
      <c r="CU4">
        <f>CP4*(BK4/10000)^0.72*((A4+1)/3)^0.6*('CAPEX+OPEX'!$G$116/'CAPEX+OPEX'!$G$114)</f>
        <v>229121.19544936769</v>
      </c>
      <c r="CV4">
        <f>CQ4*(BK4/10000)^0.72*((A4+1)/3)^0.6*('CAPEX+OPEX'!$G$116/'CAPEX+OPEX'!$G$114)</f>
        <v>1418297.4196136401</v>
      </c>
      <c r="CW4">
        <f>CR4*(BK4/10000)^0.72*((A4+1)/3)^0.6*('CAPEX+OPEX'!$G$116/'CAPEX+OPEX'!$G$114)</f>
        <v>167452.04540804314</v>
      </c>
      <c r="CX4">
        <f t="shared" si="14"/>
        <v>3464500.168150139</v>
      </c>
      <c r="CY4">
        <f>CN4*(BM4/10000)^0.72*((AF4+1)/3)^0.6*('CAPEX+OPEX'!$G$116/'CAPEX+OPEX'!$G$114)</f>
        <v>611733.63632254547</v>
      </c>
      <c r="CZ4">
        <f>CO4*(BM4/10000)^0.72*((AF4+1)/3)^0.6*('CAPEX+OPEX'!$G$116/'CAPEX+OPEX'!$G$114)</f>
        <v>1573247.7290567602</v>
      </c>
      <c r="DA4">
        <f>CP4*(BM4/10000)^0.72*((AF4+1)/3)^0.6*('CAPEX+OPEX'!$G$116/'CAPEX+OPEX'!$G$114)</f>
        <v>303477.56277386361</v>
      </c>
      <c r="DB4">
        <f>CQ4*(BM4/10000)^0.72*((AF4+1)/3)^0.6*('CAPEX+OPEX'!$G$116/'CAPEX+OPEX'!$G$114)</f>
        <v>1878575.4122338442</v>
      </c>
      <c r="DC4">
        <f>CR4*(BM4/10000)^0.72*((AF4+1)/3)^0.6*('CAPEX+OPEX'!$G$116/'CAPEX+OPEX'!$G$114)</f>
        <v>221795.01343061589</v>
      </c>
      <c r="DD4">
        <f t="shared" si="15"/>
        <v>4588829.3538176296</v>
      </c>
      <c r="DE4">
        <f>CX4+DD4+1.15*(SUM(CI4:CL4)+SUM(CB4:CE4))</f>
        <v>8119941.4319568882</v>
      </c>
      <c r="DF4">
        <f t="shared" si="16"/>
        <v>541329.42879712593</v>
      </c>
      <c r="DG4">
        <f>(BS4+BT4)*'Oxidant Feed Composition'!$N$25*60*7200</f>
        <v>18825332.186693903</v>
      </c>
      <c r="DH4">
        <f>((CG4+CH4)*'Reagent cost'!$C$17/1000*'Reagent cost'!$H$17+(CG4+CH4)*0.5*'Reagent cost'!$C$16/1000*'Reagent cost'!$H$16)*60*7200</f>
        <v>7502321.9315734338</v>
      </c>
      <c r="DI4">
        <f>CF4*'Reagent cost'!$C$17/1000*'Reagent cost'!$H$17*60*7200</f>
        <v>504921.59999999998</v>
      </c>
      <c r="DJ4">
        <f t="shared" si="17"/>
        <v>67.31803298479538</v>
      </c>
      <c r="DK4">
        <f t="shared" si="18"/>
        <v>714.02037065785191</v>
      </c>
      <c r="DL4">
        <f t="shared" si="19"/>
        <v>32200028.468005173</v>
      </c>
      <c r="DM4">
        <f>BK4*(B4*(409.81+2)/1000+C4*(248.2+2*22.99)/1000+D4*(315.6+3*22.99)/1000+0.1*58.44/1000)</f>
        <v>0.70639694042110623</v>
      </c>
      <c r="DN4">
        <f>(BS4+BT4)/1000*('Oxidant Feed Composition'!$B$11*'Oxidant Feed Composition'!$O$20+'Oxidant Feed Composition'!$D$11*'Oxidant Feed Composition'!$O$21+'Oxidant Feed Composition'!$F$11*'Oxidant Feed Composition'!$O$27-'Oxidant Feed Composition'!$J$15*18.015)</f>
        <v>2.7298677872306532</v>
      </c>
      <c r="DO4">
        <f>(BU4+BV4)/1000*(0.2*368.34+0.4*58.44)</f>
        <v>1.8903564457533757</v>
      </c>
      <c r="DP4">
        <f>BK4/1000*(B4*195.08+C4*106.42+D4*102.91)</f>
        <v>4.999938342565946E-2</v>
      </c>
      <c r="DQ4">
        <f>SUM(DM4:DO4)-DP4</f>
        <v>5.2766217899794752</v>
      </c>
      <c r="DR4">
        <f>DQ4*60*7200*0.33</f>
        <v>752235.20237947407</v>
      </c>
      <c r="DS4">
        <v>1.2</v>
      </c>
      <c r="DT4">
        <f>BM4/60*(AM4*4+AN4*2+AO4*3)*96485/DV4</f>
        <v>1409.2918203168488</v>
      </c>
      <c r="DU4">
        <f>BN4*BA4*(AP4*4+AQ4*2+AR4*3)*96485/DV4/60</f>
        <v>712.91343190810642</v>
      </c>
      <c r="DV4">
        <v>0.7</v>
      </c>
      <c r="DW4">
        <f>0.499*((BK4/3.78541*15)^(-0.146))*BK4/3.78541*15*300*(1+(A4-2)/9)</f>
        <v>27520.276190787874</v>
      </c>
      <c r="DX4">
        <f>0.248*((BK4/3.78541*15)^(-0.144))*BK4/3.78541*15*300*(1+(A4-2)/3)</f>
        <v>16610.439588917834</v>
      </c>
      <c r="DY4">
        <f>0.105*((BK4/3.78541*15)^(-0.144))*BK4/3.78541*15*300*(1+(A4-2)/3)</f>
        <v>7032.645793695051</v>
      </c>
      <c r="DZ4">
        <f>0.058*((BK4/3.78541*15)^(-0.151))*BK4/3.78541*15*300*(1+(A4-2)/3)</f>
        <v>3725.3886787897172</v>
      </c>
      <c r="EA4">
        <f>0.056*((BK4/3.78541*15)^(-0.144))*BK4/3.78541*15*300*(1+(A4-2)/3)</f>
        <v>3750.7444233040283</v>
      </c>
      <c r="EB4">
        <f>DS4*DT4/(3.6*10^6)*3600*7200*0.07</f>
        <v>852.33969292763015</v>
      </c>
      <c r="EC4">
        <f>0.499*((BM4/3.78541*15)^(-0.146))*BM4/3.78541*15*300*(1+(AF4-2)/9)</f>
        <v>33528.363133012637</v>
      </c>
      <c r="ED4">
        <f>0.248*((BM4/3.78541*15)^(-0.144))*BM4/3.78541*15*300*(1+(AF4-2)/3)</f>
        <v>27237.634112669275</v>
      </c>
      <c r="EE4">
        <f>0.105*((BM4/3.78541*15)^(-0.144))*BM4/3.78541*15*300*(1+(AF4-2)/3)</f>
        <v>11532.06282996078</v>
      </c>
      <c r="EF4">
        <f>0.058*((BM4/3.78541*15)^(-0.151))*BM4/3.78541*15*300*(1+(AF4-2)/3)</f>
        <v>6112.1057643910935</v>
      </c>
      <c r="EG4">
        <f>0.056*((BM4/3.78541*15)^(-0.144))*BM4/3.78541*15*300*(1+(AF4-2)/3)</f>
        <v>6150.4335093124173</v>
      </c>
      <c r="EH4">
        <f>DS4*DU4/(3.6*10^6)*3600*7200*0.07</f>
        <v>431.1700436180227</v>
      </c>
      <c r="EI4">
        <f>SUM(DW4:EH4)</f>
        <v>144483.60376138636</v>
      </c>
      <c r="EJ4">
        <f>EI4+DR4+DL4</f>
        <v>33096747.274146032</v>
      </c>
      <c r="EK4">
        <f>EJ4+DF4</f>
        <v>33638076.702943161</v>
      </c>
      <c r="EL4">
        <f>EK4/(BK4*60*7200)</f>
        <v>0.77865918293849912</v>
      </c>
      <c r="EM4">
        <f>EK4/(BM4*(AM4*195.084/1000+AN4*106.42/1000+AO4*102.911/1000)*60*7200)</f>
        <v>2604.9134226865845</v>
      </c>
      <c r="EN4">
        <f>EK4/(BN4*BA4*(AP4*195.084/1000+AQ4*106.42/1000+AR4*102.911/1000)*60*7200)</f>
        <v>4733.6836951243231</v>
      </c>
    </row>
    <row r="5" spans="1:145">
      <c r="A5">
        <f>'Costing 100 Lmin Feed Orig'!A5</f>
        <v>3</v>
      </c>
      <c r="B5">
        <f>'Costing 100 Lmin Feed Orig'!B5</f>
        <v>1.54143585092054E-3</v>
      </c>
      <c r="C5">
        <f>'Costing 100 Lmin Feed Orig'!C5</f>
        <v>1.54143585092054E-3</v>
      </c>
      <c r="D5">
        <f>'Costing 100 Lmin Feed Orig'!D5</f>
        <v>3.4254130020456501E-4</v>
      </c>
      <c r="E5">
        <f>'Costing 100 Lmin Feed Orig'!E5</f>
        <v>0</v>
      </c>
      <c r="F5">
        <f>'Costing 100 Lmin Feed Orig'!F5</f>
        <v>0</v>
      </c>
      <c r="G5">
        <f>'Costing 100 Lmin Feed Orig'!G5</f>
        <v>0</v>
      </c>
      <c r="H5">
        <f>'Costing 100 Lmin Feed Orig'!H5</f>
        <v>1.6300358850230801E-5</v>
      </c>
      <c r="I5">
        <f>'Costing 100 Lmin Feed Orig'!I5</f>
        <v>7.4474859607128495E-7</v>
      </c>
      <c r="J5">
        <f>'Costing 100 Lmin Feed Orig'!J5</f>
        <v>3.2385704147932398E-4</v>
      </c>
      <c r="K5">
        <f>'Costing 100 Lmin Feed Orig'!K5</f>
        <v>8.07271092797512E-2</v>
      </c>
      <c r="L5">
        <f>'Costing 100 Lmin Feed Orig'!L5</f>
        <v>8.15504849440159E-2</v>
      </c>
      <c r="M5">
        <f>'Costing 100 Lmin Feed Orig'!M5</f>
        <v>9.8897848995466706E-4</v>
      </c>
      <c r="N5">
        <f>'Costing 100 Lmin Feed Orig'!N5</f>
        <v>-9.8011876392689601E-17</v>
      </c>
      <c r="O5">
        <f>'Costing 100 Lmin Feed Orig'!O5</f>
        <v>1.94289029309402E-16</v>
      </c>
      <c r="P5">
        <f>'Costing 100 Lmin Feed Orig'!P5</f>
        <v>-4.3537493488870999E-18</v>
      </c>
      <c r="Q5">
        <f>'Costing 100 Lmin Feed Orig'!Q5</f>
        <v>0.18892482409907799</v>
      </c>
      <c r="R5">
        <f>'Costing 100 Lmin Feed Orig'!R5</f>
        <v>94.545399718491396</v>
      </c>
      <c r="S5">
        <f>'Costing 100 Lmin Feed Orig'!S5</f>
        <v>500</v>
      </c>
      <c r="T5">
        <f>'Costing 100 Lmin Feed Orig'!T5</f>
        <v>95</v>
      </c>
      <c r="U5">
        <f>'Costing 100 Lmin Feed Orig'!U5</f>
        <v>1</v>
      </c>
      <c r="V5">
        <f>'Costing 100 Lmin Feed Orig'!V5</f>
        <v>0.1</v>
      </c>
      <c r="W5">
        <f>'Costing 100 Lmin Feed Orig'!W5</f>
        <v>52.931106580020597</v>
      </c>
      <c r="X5" t="str">
        <f>'Costing 100 Lmin Feed Orig'!X5</f>
        <v>ddFc</v>
      </c>
      <c r="Y5">
        <f>'Costing 100 Lmin Feed Orig'!Y5</f>
        <v>1</v>
      </c>
      <c r="Z5">
        <f>'Costing 100 Lmin Feed Orig'!Z5</f>
        <v>0.28318429382522198</v>
      </c>
      <c r="AA5">
        <f>'Costing 100 Lmin Feed Orig'!AA5</f>
        <v>0.56945642916197003</v>
      </c>
      <c r="AB5">
        <f>'Costing 100 Lmin Feed Orig'!AB5</f>
        <v>3.7698628972227502E-3</v>
      </c>
      <c r="AC5">
        <f>'Costing 100 Lmin Feed Orig'!AC5</f>
        <v>1822.2107908876901</v>
      </c>
      <c r="AD5">
        <f>'Costing 100 Lmin Feed Orig'!AD5</f>
        <v>2662.6059073104898</v>
      </c>
      <c r="AE5">
        <f>'Costing 100 Lmin Feed Orig'!AE5</f>
        <v>2401.5030938442701</v>
      </c>
      <c r="AF5">
        <f>'Costing 100 Lmin Feed Orig'!AF5</f>
        <v>7</v>
      </c>
      <c r="AG5">
        <f>'Costing 100 Lmin Feed Orig'!AG5</f>
        <v>1.6455478770638001E-3</v>
      </c>
      <c r="AH5">
        <f>'Costing 100 Lmin Feed Orig'!AH5</f>
        <v>1.66233163271225E-3</v>
      </c>
      <c r="AI5">
        <f>'Costing 100 Lmin Feed Orig'!AI5</f>
        <v>2.0159416943409301E-5</v>
      </c>
      <c r="AJ5">
        <f>'Costing 100 Lmin Feed Orig'!AJ5</f>
        <v>0</v>
      </c>
      <c r="AK5">
        <f>'Costing 100 Lmin Feed Orig'!AK5</f>
        <v>0</v>
      </c>
      <c r="AL5">
        <f>'Costing 100 Lmin Feed Orig'!AL5</f>
        <v>0</v>
      </c>
      <c r="AM5">
        <f>'Costing 100 Lmin Feed Orig'!AM5</f>
        <v>1.60808949136668E-3</v>
      </c>
      <c r="AN5">
        <f>'Costing 100 Lmin Feed Orig'!AN5</f>
        <v>6.4611588564249294E-5</v>
      </c>
      <c r="AO5">
        <f>'Costing 100 Lmin Feed Orig'!AO5</f>
        <v>2.0024700455054798E-5</v>
      </c>
      <c r="AP5">
        <f>'Costing 100 Lmin Feed Orig'!AP5</f>
        <v>1.7385721005278799E-3</v>
      </c>
      <c r="AQ5">
        <f>'Costing 100 Lmin Feed Orig'!AQ5</f>
        <v>7.4155664786925493E-2</v>
      </c>
      <c r="AR5">
        <f>'Costing 100 Lmin Feed Orig'!AR5</f>
        <v>6.2526540793269999E-6</v>
      </c>
      <c r="AS5">
        <f>'Costing 100 Lmin Feed Orig'!AS5</f>
        <v>-2.20838430008141E-17</v>
      </c>
      <c r="AT5">
        <f>'Costing 100 Lmin Feed Orig'!AT5</f>
        <v>-3.7493879528893699E-15</v>
      </c>
      <c r="AU5">
        <f>'Costing 100 Lmin Feed Orig'!AU5</f>
        <v>-5.9159957409792503E-20</v>
      </c>
      <c r="AV5">
        <f>'Costing 100 Lmin Feed Orig'!AV5</f>
        <v>0.19968905250902499</v>
      </c>
      <c r="AW5">
        <f>'Costing 100 Lmin Feed Orig'!AW5</f>
        <v>99.331744123688495</v>
      </c>
      <c r="AX5">
        <f>'Costing 100 Lmin Feed Orig'!AX5</f>
        <v>500</v>
      </c>
      <c r="AY5">
        <f>'Costing 100 Lmin Feed Orig'!AY5</f>
        <v>95</v>
      </c>
      <c r="AZ5">
        <f>'Costing 100 Lmin Feed Orig'!AZ5</f>
        <v>0.92682535301965796</v>
      </c>
      <c r="BA5">
        <f>'Costing 100 Lmin Feed Orig'!BA5</f>
        <v>0.1</v>
      </c>
      <c r="BB5">
        <f>'Costing 100 Lmin Feed Orig'!BB5</f>
        <v>46.413428346442103</v>
      </c>
      <c r="BC5" t="str">
        <f>'Costing 100 Lmin Feed Orig'!BC5</f>
        <v>coeFc</v>
      </c>
      <c r="BD5">
        <f>'Costing 100 Lmin Feed Orig'!BD5</f>
        <v>1</v>
      </c>
      <c r="BE5">
        <f>'Costing 100 Lmin Feed Orig'!BE5</f>
        <v>1.8775014999999999E-2</v>
      </c>
      <c r="BF5">
        <f>'Costing 100 Lmin Feed Orig'!BF5</f>
        <v>0.10492961100000001</v>
      </c>
      <c r="BG5">
        <f>'Costing 100 Lmin Feed Orig'!BG5</f>
        <v>1.814625E-3</v>
      </c>
      <c r="BH5">
        <f>'Costing 100 Lmin Feed Orig'!BH5</f>
        <v>285.1951444</v>
      </c>
      <c r="BI5">
        <f>'Costing 100 Lmin Feed Orig'!BI5</f>
        <v>2169.8944889999998</v>
      </c>
      <c r="BJ5">
        <f>'Costing 100 Lmin Feed Orig'!BJ5</f>
        <v>866.49409060000005</v>
      </c>
      <c r="BK5">
        <f>'Costing 100 Lmin Feed Orig'!BK5</f>
        <v>100</v>
      </c>
      <c r="BL5">
        <f>'Costing 100 Lmin Feed Orig'!BL5</f>
        <v>18.892482409907799</v>
      </c>
      <c r="BM5">
        <f>'Costing 100 Lmin Feed Orig'!BM5</f>
        <v>92.6825353019658</v>
      </c>
      <c r="BN5">
        <f>'Costing 100 Lmin Feed Orig'!BN5</f>
        <v>19.968905250902498</v>
      </c>
      <c r="BO5">
        <f t="shared" si="1"/>
        <v>188.92482409907799</v>
      </c>
      <c r="BP5">
        <f t="shared" si="2"/>
        <v>359.44029451624499</v>
      </c>
      <c r="BQ5">
        <f t="shared" si="3"/>
        <v>18.892482409907799</v>
      </c>
      <c r="BR5">
        <f t="shared" si="4"/>
        <v>35.944029451624502</v>
      </c>
      <c r="BS5">
        <f>1.2*0.5*BL5*V5/'Oxidant Feed Composition'!$N$22</f>
        <v>11.335489445944679</v>
      </c>
      <c r="BT5">
        <f>1.2*0.5*BN5*BA5/'Oxidant Feed Composition'!$N$22</f>
        <v>11.981343150541498</v>
      </c>
      <c r="BU5">
        <f t="shared" si="5"/>
        <v>9.4462412049538997</v>
      </c>
      <c r="BV5">
        <f t="shared" si="6"/>
        <v>9.9844526254512491</v>
      </c>
      <c r="BW5">
        <f t="shared" si="7"/>
        <v>83.236294097011893</v>
      </c>
      <c r="BX5">
        <f t="shared" si="0"/>
        <v>60.455943711704961</v>
      </c>
      <c r="BY5">
        <f t="shared" si="8"/>
        <v>223.1500354237472</v>
      </c>
      <c r="BZ5">
        <f t="shared" si="9"/>
        <v>63.900496802887993</v>
      </c>
      <c r="CA5">
        <f t="shared" si="10"/>
        <v>59.906715752707498</v>
      </c>
      <c r="CB5">
        <f>BO5*'Reagent cost'!$G$11*'Reagent cost'!$H$11</f>
        <v>2493.8076781078298</v>
      </c>
      <c r="CC5">
        <f>BP5*'Reagent cost'!$G$11*'Reagent cost'!$H$11</f>
        <v>4744.6118876144337</v>
      </c>
      <c r="CD5">
        <f>BQ5*'Reagent cost'!$C$18/1000*'Reagent cost'!$H$18</f>
        <v>3012.9816471142385</v>
      </c>
      <c r="CE5">
        <f>BR5*'Ligand cost'!$B$56*'Ligand cost'!$J$56</f>
        <v>36595.613182214707</v>
      </c>
      <c r="CF5">
        <f t="shared" si="11"/>
        <v>10</v>
      </c>
      <c r="CG5">
        <f t="shared" si="12"/>
        <v>3.7784964819815601</v>
      </c>
      <c r="CH5">
        <f t="shared" si="13"/>
        <v>3.9937810501805</v>
      </c>
      <c r="CI5">
        <f>7963.6*(BX5/1000)^0.6*1.7*('CAPEX+OPEX'!$G$116/'CAPEX+OPEX'!$G$115)</f>
        <v>2965.5437179814326</v>
      </c>
      <c r="CJ5">
        <f>7963.6*(BY5/1000)^0.6*1.7*('CAPEX+OPEX'!$G$116/'CAPEX+OPEX'!$G$115)</f>
        <v>6492.3078360569407</v>
      </c>
      <c r="CK5">
        <f>7963.6*(BZ5/1000)^0.6*1.7*('CAPEX+OPEX'!$G$116/'CAPEX+OPEX'!$G$115)</f>
        <v>3065.7975205909352</v>
      </c>
      <c r="CL5">
        <f>7963.6*(CA5/1000)^0.6*1.7*('CAPEX+OPEX'!$G$116/'CAPEX+OPEX'!$G$115)</f>
        <v>2949.3494639409755</v>
      </c>
      <c r="CM5">
        <f>'Costing 100 Lmin Feed Orig'!DE5</f>
        <v>39625.826528698344</v>
      </c>
      <c r="CN5">
        <f>'Costing 100 Lmin Feed Orig'!DF5</f>
        <v>4586243.4239371875</v>
      </c>
      <c r="CO5">
        <f>'Costing 100 Lmin Feed Orig'!DG5</f>
        <v>11794834.586807497</v>
      </c>
      <c r="CP5">
        <f>'Costing 100 Lmin Feed Orig'!DH5</f>
        <v>2275209.1661185985</v>
      </c>
      <c r="CQ5">
        <f>'Costing 100 Lmin Feed Orig'!DI5</f>
        <v>14083914.336508472</v>
      </c>
      <c r="CR5">
        <f>'Costing 100 Lmin Feed Orig'!DJ5</f>
        <v>1662824.8986326549</v>
      </c>
      <c r="CS5">
        <f>CN5*(BK5/10000)^0.72*((A5+1)/3)^0.6*('CAPEX+OPEX'!$G$116/'CAPEX+OPEX'!$G$114)</f>
        <v>461850.0978118488</v>
      </c>
      <c r="CT5">
        <f>CO5*(BK5/10000)^0.72*((A5+1)/3)^0.6*('CAPEX+OPEX'!$G$116/'CAPEX+OPEX'!$G$114)</f>
        <v>1187779.4098672394</v>
      </c>
      <c r="CU5">
        <f>CP5*(BK5/10000)^0.72*((A5+1)/3)^0.6*('CAPEX+OPEX'!$G$116/'CAPEX+OPEX'!$G$114)</f>
        <v>229121.19544936769</v>
      </c>
      <c r="CV5">
        <f>CQ5*(BK5/10000)^0.72*((A5+1)/3)^0.6*('CAPEX+OPEX'!$G$116/'CAPEX+OPEX'!$G$114)</f>
        <v>1418297.4196136401</v>
      </c>
      <c r="CW5">
        <f>CR5*(BK5/10000)^0.72*((A5+1)/3)^0.6*('CAPEX+OPEX'!$G$116/'CAPEX+OPEX'!$G$114)</f>
        <v>167452.04540804314</v>
      </c>
      <c r="CX5">
        <f t="shared" si="14"/>
        <v>3464500.168150139</v>
      </c>
      <c r="CY5">
        <f>CN5*(BM5/10000)^0.72*((AF5+1)/3)^0.6*('CAPEX+OPEX'!$G$116/'CAPEX+OPEX'!$G$114)</f>
        <v>662761.89210079471</v>
      </c>
      <c r="CZ5">
        <f>CO5*(BM5/10000)^0.72*((AF5+1)/3)^0.6*('CAPEX+OPEX'!$G$116/'CAPEX+OPEX'!$G$114)</f>
        <v>1704481.4601353123</v>
      </c>
      <c r="DA5">
        <f>CP5*(BM5/10000)^0.72*((AF5+1)/3)^0.6*('CAPEX+OPEX'!$G$116/'CAPEX+OPEX'!$G$114)</f>
        <v>328792.38899345568</v>
      </c>
      <c r="DB5">
        <f>CQ5*(BM5/10000)^0.72*((AF5+1)/3)^0.6*('CAPEX+OPEX'!$G$116/'CAPEX+OPEX'!$G$114)</f>
        <v>2035278.2988209969</v>
      </c>
      <c r="DC5">
        <f>CR5*(BM5/10000)^0.72*((AF5+1)/3)^0.6*('CAPEX+OPEX'!$G$116/'CAPEX+OPEX'!$G$114)</f>
        <v>240296.22376738113</v>
      </c>
      <c r="DD5">
        <f t="shared" si="15"/>
        <v>4971610.2638179408</v>
      </c>
      <c r="DE5">
        <f>CX5+DD5+1.15*(SUM(CI5:CL5)+SUM(CB5:CE5))</f>
        <v>8507778.4468417447</v>
      </c>
      <c r="DF5">
        <f t="shared" si="16"/>
        <v>567185.2297894496</v>
      </c>
      <c r="DG5">
        <f>(BS5+BT5)*'Oxidant Feed Composition'!$N$25*60*7200</f>
        <v>18778285.760367226</v>
      </c>
      <c r="DH5">
        <f>((CG5+CH5)*'Reagent cost'!$C$17/1000*'Reagent cost'!$H$17+(CG5+CH5)*0.5*'Reagent cost'!$C$16/1000*'Reagent cost'!$H$16)*60*7200</f>
        <v>7483572.8634277852</v>
      </c>
      <c r="DI5">
        <f>CF5*'Reagent cost'!$C$17/1000*'Reagent cost'!$H$17*60*7200</f>
        <v>504921.59999999998</v>
      </c>
      <c r="DJ5">
        <f t="shared" si="17"/>
        <v>72.384195657222634</v>
      </c>
      <c r="DK5">
        <f t="shared" si="18"/>
        <v>792.17189658657901</v>
      </c>
      <c r="DL5">
        <f t="shared" si="19"/>
        <v>32121173.735864706</v>
      </c>
      <c r="DM5">
        <f>BK5*(B5*(409.81+2)/1000+C5*(248.2+2*22.99)/1000+D5*(315.6+3*22.99)/1000+0.1*58.44/1000)</f>
        <v>0.70639694042110623</v>
      </c>
      <c r="DN5">
        <f>(BS5+BT5)/1000*('Oxidant Feed Composition'!$B$11*'Oxidant Feed Composition'!$O$20+'Oxidant Feed Composition'!$D$11*'Oxidant Feed Composition'!$O$21+'Oxidant Feed Composition'!$F$11*'Oxidant Feed Composition'!$O$27-'Oxidant Feed Composition'!$J$15*18.015)</f>
        <v>2.7230455690376436</v>
      </c>
      <c r="DO5">
        <f>(BU5+BV5)/1000*(0.2*368.34+0.4*58.44)</f>
        <v>1.885632252077837</v>
      </c>
      <c r="DP5">
        <f>BK5/1000*(B5*195.08+C5*106.42+D5*102.91)</f>
        <v>4.999938342565946E-2</v>
      </c>
      <c r="DQ5">
        <f>SUM(DM5:DO5)-DP5</f>
        <v>5.265075378110927</v>
      </c>
      <c r="DR5">
        <f>DQ5*60*7200*0.33</f>
        <v>750589.14590349386</v>
      </c>
      <c r="DS5">
        <v>1.2</v>
      </c>
      <c r="DT5">
        <f>BM5/60*(AM5*4+AN5*2+AO5*3)*96485/DV5</f>
        <v>1409.8567292374196</v>
      </c>
      <c r="DU5">
        <f>BN5*BA5*(AP5*4+AQ5*2+AR5*3)*96485/DV5/60</f>
        <v>712.34852298928593</v>
      </c>
      <c r="DV5">
        <v>0.7</v>
      </c>
      <c r="DW5">
        <f>0.499*((BK5/3.78541*15)^(-0.146))*BK5/3.78541*15*300*(1+(A5-2)/9)</f>
        <v>27520.276190787874</v>
      </c>
      <c r="DX5">
        <f>0.248*((BK5/3.78541*15)^(-0.144))*BK5/3.78541*15*300*(1+(A5-2)/3)</f>
        <v>16610.439588917834</v>
      </c>
      <c r="DY5">
        <f>0.105*((BK5/3.78541*15)^(-0.144))*BK5/3.78541*15*300*(1+(A5-2)/3)</f>
        <v>7032.645793695051</v>
      </c>
      <c r="DZ5">
        <f>0.058*((BK5/3.78541*15)^(-0.151))*BK5/3.78541*15*300*(1+(A5-2)/3)</f>
        <v>3725.3886787897172</v>
      </c>
      <c r="EA5">
        <f>0.056*((BK5/3.78541*15)^(-0.144))*BK5/3.78541*15*300*(1+(A5-2)/3)</f>
        <v>3750.7444233040283</v>
      </c>
      <c r="EB5">
        <f>DS5*DT5/(3.6*10^6)*3600*7200*0.07</f>
        <v>852.68134984279141</v>
      </c>
      <c r="EC5">
        <f>0.499*((BM5/3.78541*15)^(-0.146))*BM5/3.78541*15*300*(1+(AF5-2)/9)</f>
        <v>36107.467989398225</v>
      </c>
      <c r="ED5">
        <f>0.248*((BM5/3.78541*15)^(-0.144))*BM5/3.78541*15*300*(1+(AF5-2)/3)</f>
        <v>31128.724700193463</v>
      </c>
      <c r="EE5">
        <f>0.105*((BM5/3.78541*15)^(-0.144))*BM5/3.78541*15*300*(1+(AF5-2)/3)</f>
        <v>13179.500377098037</v>
      </c>
      <c r="EF5">
        <f>0.058*((BM5/3.78541*15)^(-0.151))*BM5/3.78541*15*300*(1+(AF5-2)/3)</f>
        <v>6985.2637307326804</v>
      </c>
      <c r="EG5">
        <f>0.056*((BM5/3.78541*15)^(-0.144))*BM5/3.78541*15*300*(1+(AF5-2)/3)</f>
        <v>7029.0668677856211</v>
      </c>
      <c r="EH5">
        <f>DS5*DU5/(3.6*10^6)*3600*7200*0.07</f>
        <v>430.82838670392022</v>
      </c>
      <c r="EI5">
        <f>SUM(DW5:EH5)</f>
        <v>154353.02807724921</v>
      </c>
      <c r="EJ5">
        <f>EI5+DR5+DL5</f>
        <v>33026115.909845449</v>
      </c>
      <c r="EK5">
        <f>EJ5+DF5</f>
        <v>33593301.1396349</v>
      </c>
      <c r="EL5">
        <f>EK5/(BK5*60*7200)</f>
        <v>0.77762271156562268</v>
      </c>
      <c r="EM5">
        <f>EK5/(BM5*(AM5*195.084/1000+AN5*106.42/1000+AO5*102.911/1000)*60*7200)</f>
        <v>2600.4012189445339</v>
      </c>
      <c r="EN5">
        <f>EK5/(BN5*BA5*(AP5*195.084/1000+AQ5*106.42/1000+AR5*102.911/1000)*60*7200)</f>
        <v>4730.8368466241391</v>
      </c>
    </row>
    <row r="6" spans="1:145">
      <c r="A6">
        <f>'Costing 100 Lmin Feed Orig'!A6</f>
        <v>3</v>
      </c>
      <c r="B6">
        <f>'Costing 100 Lmin Feed Orig'!B6</f>
        <v>1.54143585092054E-3</v>
      </c>
      <c r="C6">
        <f>'Costing 100 Lmin Feed Orig'!C6</f>
        <v>1.54143585092054E-3</v>
      </c>
      <c r="D6">
        <f>'Costing 100 Lmin Feed Orig'!D6</f>
        <v>3.4254130020456501E-4</v>
      </c>
      <c r="E6">
        <f>'Costing 100 Lmin Feed Orig'!E6</f>
        <v>0</v>
      </c>
      <c r="F6">
        <f>'Costing 100 Lmin Feed Orig'!F6</f>
        <v>0</v>
      </c>
      <c r="G6">
        <f>'Costing 100 Lmin Feed Orig'!G6</f>
        <v>0</v>
      </c>
      <c r="H6">
        <f>'Costing 100 Lmin Feed Orig'!H6</f>
        <v>1.6300358850230801E-5</v>
      </c>
      <c r="I6">
        <f>'Costing 100 Lmin Feed Orig'!I6</f>
        <v>7.4474859607128495E-7</v>
      </c>
      <c r="J6">
        <f>'Costing 100 Lmin Feed Orig'!J6</f>
        <v>3.2385704147932398E-4</v>
      </c>
      <c r="K6">
        <f>'Costing 100 Lmin Feed Orig'!K6</f>
        <v>8.07271092797512E-2</v>
      </c>
      <c r="L6">
        <f>'Costing 100 Lmin Feed Orig'!L6</f>
        <v>8.15504849440159E-2</v>
      </c>
      <c r="M6">
        <f>'Costing 100 Lmin Feed Orig'!M6</f>
        <v>9.8897848995466706E-4</v>
      </c>
      <c r="N6">
        <f>'Costing 100 Lmin Feed Orig'!N6</f>
        <v>-9.8011876392689601E-17</v>
      </c>
      <c r="O6">
        <f>'Costing 100 Lmin Feed Orig'!O6</f>
        <v>1.94289029309402E-16</v>
      </c>
      <c r="P6">
        <f>'Costing 100 Lmin Feed Orig'!P6</f>
        <v>-4.3537493488870999E-18</v>
      </c>
      <c r="Q6">
        <f>'Costing 100 Lmin Feed Orig'!Q6</f>
        <v>0.18892482409907799</v>
      </c>
      <c r="R6">
        <f>'Costing 100 Lmin Feed Orig'!R6</f>
        <v>94.545399718491396</v>
      </c>
      <c r="S6">
        <f>'Costing 100 Lmin Feed Orig'!S6</f>
        <v>500</v>
      </c>
      <c r="T6">
        <f>'Costing 100 Lmin Feed Orig'!T6</f>
        <v>95</v>
      </c>
      <c r="U6">
        <f>'Costing 100 Lmin Feed Orig'!U6</f>
        <v>1</v>
      </c>
      <c r="V6">
        <f>'Costing 100 Lmin Feed Orig'!V6</f>
        <v>0.1</v>
      </c>
      <c r="W6">
        <f>'Costing 100 Lmin Feed Orig'!W6</f>
        <v>52.931106580020597</v>
      </c>
      <c r="X6" t="str">
        <f>'Costing 100 Lmin Feed Orig'!X6</f>
        <v>ddFc</v>
      </c>
      <c r="Y6">
        <f>'Costing 100 Lmin Feed Orig'!Y6</f>
        <v>1</v>
      </c>
      <c r="Z6">
        <f>'Costing 100 Lmin Feed Orig'!Z6</f>
        <v>0.28318429382522198</v>
      </c>
      <c r="AA6">
        <f>'Costing 100 Lmin Feed Orig'!AA6</f>
        <v>0.56945642916197003</v>
      </c>
      <c r="AB6">
        <f>'Costing 100 Lmin Feed Orig'!AB6</f>
        <v>3.7698628972227502E-3</v>
      </c>
      <c r="AC6">
        <f>'Costing 100 Lmin Feed Orig'!AC6</f>
        <v>1822.2107908876901</v>
      </c>
      <c r="AD6">
        <f>'Costing 100 Lmin Feed Orig'!AD6</f>
        <v>2662.6059073104898</v>
      </c>
      <c r="AE6">
        <f>'Costing 100 Lmin Feed Orig'!AE6</f>
        <v>2401.5030938442701</v>
      </c>
      <c r="AF6">
        <f>'Costing 100 Lmin Feed Orig'!AF6</f>
        <v>8</v>
      </c>
      <c r="AG6">
        <f>'Costing 100 Lmin Feed Orig'!AG6</f>
        <v>1.6455478770638001E-3</v>
      </c>
      <c r="AH6">
        <f>'Costing 100 Lmin Feed Orig'!AH6</f>
        <v>1.66233163271225E-3</v>
      </c>
      <c r="AI6">
        <f>'Costing 100 Lmin Feed Orig'!AI6</f>
        <v>2.0159416943409301E-5</v>
      </c>
      <c r="AJ6">
        <f>'Costing 100 Lmin Feed Orig'!AJ6</f>
        <v>0</v>
      </c>
      <c r="AK6">
        <f>'Costing 100 Lmin Feed Orig'!AK6</f>
        <v>0</v>
      </c>
      <c r="AL6">
        <f>'Costing 100 Lmin Feed Orig'!AL6</f>
        <v>0</v>
      </c>
      <c r="AM6">
        <f>'Costing 100 Lmin Feed Orig'!AM6</f>
        <v>1.60827767677345E-3</v>
      </c>
      <c r="AN6">
        <f>'Costing 100 Lmin Feed Orig'!AN6</f>
        <v>6.4620843878105105E-5</v>
      </c>
      <c r="AO6">
        <f>'Costing 100 Lmin Feed Orig'!AO6</f>
        <v>2.0025349636286901E-5</v>
      </c>
      <c r="AP6">
        <f>'Costing 100 Lmin Feed Orig'!AP6</f>
        <v>1.7322991543913E-3</v>
      </c>
      <c r="AQ6">
        <f>'Costing 100 Lmin Feed Orig'!AQ6</f>
        <v>7.4260750598247896E-2</v>
      </c>
      <c r="AR6">
        <f>'Costing 100 Lmin Feed Orig'!AR6</f>
        <v>6.23137737256415E-6</v>
      </c>
      <c r="AS6">
        <f>'Costing 100 Lmin Feed Orig'!AS6</f>
        <v>8.2236734783025499E-17</v>
      </c>
      <c r="AT6">
        <f>'Costing 100 Lmin Feed Orig'!AT6</f>
        <v>-2.2797735921287199E-14</v>
      </c>
      <c r="AU6">
        <f>'Costing 100 Lmin Feed Orig'!AU6</f>
        <v>-1.82906177047725E-20</v>
      </c>
      <c r="AV6">
        <f>'Costing 100 Lmin Feed Orig'!AV6</f>
        <v>0.19940531895758401</v>
      </c>
      <c r="AW6">
        <f>'Costing 100 Lmin Feed Orig'!AW6</f>
        <v>99.334964361822799</v>
      </c>
      <c r="AX6">
        <f>'Costing 100 Lmin Feed Orig'!AX6</f>
        <v>500</v>
      </c>
      <c r="AY6">
        <f>'Costing 100 Lmin Feed Orig'!AY6</f>
        <v>95</v>
      </c>
      <c r="AZ6">
        <f>'Costing 100 Lmin Feed Orig'!AZ6</f>
        <v>0.92682535301965796</v>
      </c>
      <c r="BA6">
        <f>'Costing 100 Lmin Feed Orig'!BA6</f>
        <v>0.1</v>
      </c>
      <c r="BB6">
        <f>'Costing 100 Lmin Feed Orig'!BB6</f>
        <v>46.479469949184399</v>
      </c>
      <c r="BC6" t="str">
        <f>'Costing 100 Lmin Feed Orig'!BC6</f>
        <v>coeFc</v>
      </c>
      <c r="BD6">
        <f>'Costing 100 Lmin Feed Orig'!BD6</f>
        <v>1</v>
      </c>
      <c r="BE6">
        <f>'Costing 100 Lmin Feed Orig'!BE6</f>
        <v>1.8775014999999999E-2</v>
      </c>
      <c r="BF6">
        <f>'Costing 100 Lmin Feed Orig'!BF6</f>
        <v>0.10492961100000001</v>
      </c>
      <c r="BG6">
        <f>'Costing 100 Lmin Feed Orig'!BG6</f>
        <v>1.814625E-3</v>
      </c>
      <c r="BH6">
        <f>'Costing 100 Lmin Feed Orig'!BH6</f>
        <v>285.1951444</v>
      </c>
      <c r="BI6">
        <f>'Costing 100 Lmin Feed Orig'!BI6</f>
        <v>2169.8944889999998</v>
      </c>
      <c r="BJ6">
        <f>'Costing 100 Lmin Feed Orig'!BJ6</f>
        <v>866.49409060000005</v>
      </c>
      <c r="BK6">
        <f>'Costing 100 Lmin Feed Orig'!BK6</f>
        <v>100</v>
      </c>
      <c r="BL6">
        <f>'Costing 100 Lmin Feed Orig'!BL6</f>
        <v>18.892482409907799</v>
      </c>
      <c r="BM6">
        <f>'Costing 100 Lmin Feed Orig'!BM6</f>
        <v>92.6825353019658</v>
      </c>
      <c r="BN6">
        <f>'Costing 100 Lmin Feed Orig'!BN6</f>
        <v>19.940531895758401</v>
      </c>
      <c r="BO6">
        <f t="shared" si="1"/>
        <v>188.92482409907799</v>
      </c>
      <c r="BP6">
        <f t="shared" si="2"/>
        <v>398.810637915168</v>
      </c>
      <c r="BQ6">
        <f t="shared" si="3"/>
        <v>18.892482409907799</v>
      </c>
      <c r="BR6">
        <f t="shared" si="4"/>
        <v>39.881063791516802</v>
      </c>
      <c r="BS6">
        <f>1.2*0.5*BL6*V6/'Oxidant Feed Composition'!$N$22</f>
        <v>11.335489445944679</v>
      </c>
      <c r="BT6">
        <f>1.2*0.5*BN6*BA6/'Oxidant Feed Composition'!$N$22</f>
        <v>11.964319137455041</v>
      </c>
      <c r="BU6">
        <f t="shared" si="5"/>
        <v>9.4462412049538997</v>
      </c>
      <c r="BV6">
        <f t="shared" si="6"/>
        <v>9.9702659478792004</v>
      </c>
      <c r="BW6">
        <f t="shared" si="7"/>
        <v>83.236294097011893</v>
      </c>
      <c r="BX6">
        <f t="shared" si="0"/>
        <v>60.455943711704961</v>
      </c>
      <c r="BY6">
        <f t="shared" si="8"/>
        <v>223.1500354237472</v>
      </c>
      <c r="BZ6">
        <f t="shared" si="9"/>
        <v>63.80970206642688</v>
      </c>
      <c r="CA6">
        <f t="shared" si="10"/>
        <v>59.821595687275206</v>
      </c>
      <c r="CB6">
        <f>BO6*'Reagent cost'!$G$11*'Reagent cost'!$H$11</f>
        <v>2493.8076781078298</v>
      </c>
      <c r="CC6">
        <f>BP6*'Reagent cost'!$G$11*'Reagent cost'!$H$11</f>
        <v>5264.3004204802173</v>
      </c>
      <c r="CD6">
        <f>BQ6*'Reagent cost'!$C$18/1000*'Reagent cost'!$H$18</f>
        <v>3012.9816471142385</v>
      </c>
      <c r="CE6">
        <f>BR6*'Ligand cost'!$B$56*'Ligand cost'!$J$56</f>
        <v>40604.017025242465</v>
      </c>
      <c r="CF6">
        <f t="shared" si="11"/>
        <v>10</v>
      </c>
      <c r="CG6">
        <f t="shared" si="12"/>
        <v>3.7784964819815601</v>
      </c>
      <c r="CH6">
        <f t="shared" si="13"/>
        <v>3.9881063791516804</v>
      </c>
      <c r="CI6">
        <f>7963.6*(BX6/1000)^0.6*1.7*('CAPEX+OPEX'!$G$116/'CAPEX+OPEX'!$G$115)</f>
        <v>2965.5437179814326</v>
      </c>
      <c r="CJ6">
        <f>7963.6*(BY6/1000)^0.6*1.7*('CAPEX+OPEX'!$G$116/'CAPEX+OPEX'!$G$115)</f>
        <v>6492.3078360569407</v>
      </c>
      <c r="CK6">
        <f>7963.6*(BZ6/1000)^0.6*1.7*('CAPEX+OPEX'!$G$116/'CAPEX+OPEX'!$G$115)</f>
        <v>3063.1831049267225</v>
      </c>
      <c r="CL6">
        <f>7963.6*(CA6/1000)^0.6*1.7*('CAPEX+OPEX'!$G$116/'CAPEX+OPEX'!$G$115)</f>
        <v>2946.8343515155875</v>
      </c>
      <c r="CM6">
        <f>'Costing 100 Lmin Feed Orig'!DE6</f>
        <v>39625.826528698344</v>
      </c>
      <c r="CN6">
        <f>'Costing 100 Lmin Feed Orig'!DF6</f>
        <v>4586243.4239371875</v>
      </c>
      <c r="CO6">
        <f>'Costing 100 Lmin Feed Orig'!DG6</f>
        <v>11794834.586807497</v>
      </c>
      <c r="CP6">
        <f>'Costing 100 Lmin Feed Orig'!DH6</f>
        <v>2275209.1661185985</v>
      </c>
      <c r="CQ6">
        <f>'Costing 100 Lmin Feed Orig'!DI6</f>
        <v>14083914.336508472</v>
      </c>
      <c r="CR6">
        <f>'Costing 100 Lmin Feed Orig'!DJ6</f>
        <v>1662824.8986326549</v>
      </c>
      <c r="CS6">
        <f>CN6*(BK6/10000)^0.72*((A6+1)/3)^0.6*('CAPEX+OPEX'!$G$116/'CAPEX+OPEX'!$G$114)</f>
        <v>461850.0978118488</v>
      </c>
      <c r="CT6">
        <f>CO6*(BK6/10000)^0.72*((A6+1)/3)^0.6*('CAPEX+OPEX'!$G$116/'CAPEX+OPEX'!$G$114)</f>
        <v>1187779.4098672394</v>
      </c>
      <c r="CU6">
        <f>CP6*(BK6/10000)^0.72*((A6+1)/3)^0.6*('CAPEX+OPEX'!$G$116/'CAPEX+OPEX'!$G$114)</f>
        <v>229121.19544936769</v>
      </c>
      <c r="CV6">
        <f>CQ6*(BK6/10000)^0.72*((A6+1)/3)^0.6*('CAPEX+OPEX'!$G$116/'CAPEX+OPEX'!$G$114)</f>
        <v>1418297.4196136401</v>
      </c>
      <c r="CW6">
        <f>CR6*(BK6/10000)^0.72*((A6+1)/3)^0.6*('CAPEX+OPEX'!$G$116/'CAPEX+OPEX'!$G$114)</f>
        <v>167452.04540804314</v>
      </c>
      <c r="CX6">
        <f t="shared" si="14"/>
        <v>3464500.168150139</v>
      </c>
      <c r="CY6">
        <f>CN6*(BM6/10000)^0.72*((AF6+1)/3)^0.6*('CAPEX+OPEX'!$G$116/'CAPEX+OPEX'!$G$114)</f>
        <v>711293.83179829107</v>
      </c>
      <c r="CZ6">
        <f>CO6*(BM6/10000)^0.72*((AF6+1)/3)^0.6*('CAPEX+OPEX'!$G$116/'CAPEX+OPEX'!$G$114)</f>
        <v>1829295.2015780793</v>
      </c>
      <c r="DA6">
        <f>CP6*(BM6/10000)^0.72*((AF6+1)/3)^0.6*('CAPEX+OPEX'!$G$116/'CAPEX+OPEX'!$G$114)</f>
        <v>352868.80706427526</v>
      </c>
      <c r="DB6">
        <f>CQ6*(BM6/10000)^0.72*((AF6+1)/3)^0.6*('CAPEX+OPEX'!$G$116/'CAPEX+OPEX'!$G$114)</f>
        <v>2184315.2377930121</v>
      </c>
      <c r="DC6">
        <f>CR6*(BM6/10000)^0.72*((AF6+1)/3)^0.6*('CAPEX+OPEX'!$G$116/'CAPEX+OPEX'!$G$114)</f>
        <v>257892.34988810416</v>
      </c>
      <c r="DD6">
        <f t="shared" si="15"/>
        <v>5335665.4281217614</v>
      </c>
      <c r="DE6">
        <f>CX6+DD6+1.15*(SUM(CI6:CL6)+SUM(CB6:CE6))</f>
        <v>8877035.0184205398</v>
      </c>
      <c r="DF6">
        <f t="shared" si="16"/>
        <v>591802.33456136927</v>
      </c>
      <c r="DG6">
        <f>(BS6+BT6)*'Oxidant Feed Composition'!$N$25*60*7200</f>
        <v>18764575.416940309</v>
      </c>
      <c r="DH6">
        <f>((CG6+CH6)*'Reagent cost'!$C$17/1000*'Reagent cost'!$H$17+(CG6+CH6)*0.5*'Reagent cost'!$C$16/1000*'Reagent cost'!$H$16)*60*7200</f>
        <v>7478108.9805511869</v>
      </c>
      <c r="DI6">
        <f>CF6*'Reagent cost'!$C$17/1000*'Reagent cost'!$H$17*60*7200</f>
        <v>504921.59999999998</v>
      </c>
      <c r="DJ6">
        <f t="shared" si="17"/>
        <v>77.581080985880476</v>
      </c>
      <c r="DK6">
        <f t="shared" si="18"/>
        <v>872.33997344713407</v>
      </c>
      <c r="DL6">
        <f t="shared" si="19"/>
        <v>32098267.102255113</v>
      </c>
      <c r="DM6">
        <f>BK6*(B6*(409.81+2)/1000+C6*(248.2+2*22.99)/1000+D6*(315.6+3*22.99)/1000+0.1*58.44/1000)</f>
        <v>0.70639694042110623</v>
      </c>
      <c r="DN6">
        <f>(BS6+BT6)/1000*('Oxidant Feed Composition'!$B$11*'Oxidant Feed Composition'!$O$20+'Oxidant Feed Composition'!$D$11*'Oxidant Feed Composition'!$O$21+'Oxidant Feed Composition'!$F$11*'Oxidant Feed Composition'!$O$27-'Oxidant Feed Composition'!$J$15*18.015)</f>
        <v>2.7210574275003871</v>
      </c>
      <c r="DO6">
        <f>(BU6+BV6)/1000*(0.2*368.34+0.4*58.44)</f>
        <v>1.8842555201395352</v>
      </c>
      <c r="DP6">
        <f>BK6/1000*(B6*195.08+C6*106.42+D6*102.91)</f>
        <v>4.999938342565946E-2</v>
      </c>
      <c r="DQ6">
        <f>SUM(DM6:DO6)-DP6</f>
        <v>5.2617105046353689</v>
      </c>
      <c r="DR6">
        <f>DQ6*60*7200*0.33</f>
        <v>750109.44954081823</v>
      </c>
      <c r="DS6">
        <v>1.2</v>
      </c>
      <c r="DT6">
        <f>BM6/60*(AM6*4+AN6*2+AO6*3)*96485/DV6</f>
        <v>1410.0213558902396</v>
      </c>
      <c r="DU6">
        <f>BN6*BA6*(AP6*4+AQ6*2+AR6*3)*96485/DV6/60</f>
        <v>712.18389634512152</v>
      </c>
      <c r="DV6">
        <v>0.7</v>
      </c>
      <c r="DW6">
        <f>0.499*((BK6/3.78541*15)^(-0.146))*BK6/3.78541*15*300*(1+(A6-2)/9)</f>
        <v>27520.276190787874</v>
      </c>
      <c r="DX6">
        <f>0.248*((BK6/3.78541*15)^(-0.144))*BK6/3.78541*15*300*(1+(A6-2)/3)</f>
        <v>16610.439588917834</v>
      </c>
      <c r="DY6">
        <f>0.105*((BK6/3.78541*15)^(-0.144))*BK6/3.78541*15*300*(1+(A6-2)/3)</f>
        <v>7032.645793695051</v>
      </c>
      <c r="DZ6">
        <f>0.058*((BK6/3.78541*15)^(-0.151))*BK6/3.78541*15*300*(1+(A6-2)/3)</f>
        <v>3725.3886787897172</v>
      </c>
      <c r="EA6">
        <f>0.056*((BK6/3.78541*15)^(-0.144))*BK6/3.78541*15*300*(1+(A6-2)/3)</f>
        <v>3750.7444233040283</v>
      </c>
      <c r="EB6">
        <f>DS6*DT6/(3.6*10^6)*3600*7200*0.07</f>
        <v>852.78091604241706</v>
      </c>
      <c r="EC6">
        <f>0.499*((BM6/3.78541*15)^(-0.146))*BM6/3.78541*15*300*(1+(AF6-2)/9)</f>
        <v>38686.572845783812</v>
      </c>
      <c r="ED6">
        <f>0.248*((BM6/3.78541*15)^(-0.144))*BM6/3.78541*15*300*(1+(AF6-2)/3)</f>
        <v>35019.81528771764</v>
      </c>
      <c r="EE6">
        <f>0.105*((BM6/3.78541*15)^(-0.144))*BM6/3.78541*15*300*(1+(AF6-2)/3)</f>
        <v>14826.93792423529</v>
      </c>
      <c r="EF6">
        <f>0.058*((BM6/3.78541*15)^(-0.151))*BM6/3.78541*15*300*(1+(AF6-2)/3)</f>
        <v>7858.4216970742636</v>
      </c>
      <c r="EG6">
        <f>0.056*((BM6/3.78541*15)^(-0.144))*BM6/3.78541*15*300*(1+(AF6-2)/3)</f>
        <v>7907.700226258823</v>
      </c>
      <c r="EH6">
        <f>DS6*DU6/(3.6*10^6)*3600*7200*0.07</f>
        <v>430.72882050952956</v>
      </c>
      <c r="EI6">
        <f>SUM(DW6:EH6)</f>
        <v>164222.45239311631</v>
      </c>
      <c r="EJ6">
        <f>EI6+DR6+DL6</f>
        <v>33012599.004189048</v>
      </c>
      <c r="EK6">
        <f>EJ6+DF6</f>
        <v>33604401.338750415</v>
      </c>
      <c r="EL6">
        <f>EK6/(BK6*60*7200)</f>
        <v>0.77787966061922253</v>
      </c>
      <c r="EM6">
        <f>EK6/(BM6*(AM6*195.084/1000+AN6*106.42/1000+AO6*102.911/1000)*60*7200)</f>
        <v>2600.9560440236137</v>
      </c>
      <c r="EN6">
        <f>EK6/(BN6*BA6*(AP6*195.084/1000+AQ6*106.42/1000+AR6*102.911/1000)*60*7200)</f>
        <v>4733.4079478310932</v>
      </c>
    </row>
    <row r="7" spans="1:145">
      <c r="A7">
        <f>'Costing 100 Lmin Feed Orig'!A7</f>
        <v>3</v>
      </c>
      <c r="B7">
        <f>'Costing 100 Lmin Feed Orig'!B7</f>
        <v>1.54143585092054E-3</v>
      </c>
      <c r="C7">
        <f>'Costing 100 Lmin Feed Orig'!C7</f>
        <v>1.54143585092054E-3</v>
      </c>
      <c r="D7">
        <f>'Costing 100 Lmin Feed Orig'!D7</f>
        <v>3.4254130020456501E-4</v>
      </c>
      <c r="E7">
        <f>'Costing 100 Lmin Feed Orig'!E7</f>
        <v>0</v>
      </c>
      <c r="F7">
        <f>'Costing 100 Lmin Feed Orig'!F7</f>
        <v>0</v>
      </c>
      <c r="G7">
        <f>'Costing 100 Lmin Feed Orig'!G7</f>
        <v>0</v>
      </c>
      <c r="H7">
        <f>'Costing 100 Lmin Feed Orig'!H7</f>
        <v>1.6300358850230801E-5</v>
      </c>
      <c r="I7">
        <f>'Costing 100 Lmin Feed Orig'!I7</f>
        <v>7.4474859607128495E-7</v>
      </c>
      <c r="J7">
        <f>'Costing 100 Lmin Feed Orig'!J7</f>
        <v>3.2385704147932398E-4</v>
      </c>
      <c r="K7">
        <f>'Costing 100 Lmin Feed Orig'!K7</f>
        <v>8.07271092797512E-2</v>
      </c>
      <c r="L7">
        <f>'Costing 100 Lmin Feed Orig'!L7</f>
        <v>8.15504849440159E-2</v>
      </c>
      <c r="M7">
        <f>'Costing 100 Lmin Feed Orig'!M7</f>
        <v>9.8897848995466706E-4</v>
      </c>
      <c r="N7">
        <f>'Costing 100 Lmin Feed Orig'!N7</f>
        <v>-9.8011876392689601E-17</v>
      </c>
      <c r="O7">
        <f>'Costing 100 Lmin Feed Orig'!O7</f>
        <v>1.94289029309402E-16</v>
      </c>
      <c r="P7">
        <f>'Costing 100 Lmin Feed Orig'!P7</f>
        <v>-4.3537493488870999E-18</v>
      </c>
      <c r="Q7">
        <f>'Costing 100 Lmin Feed Orig'!Q7</f>
        <v>0.18892482409907799</v>
      </c>
      <c r="R7">
        <f>'Costing 100 Lmin Feed Orig'!R7</f>
        <v>94.545399718491396</v>
      </c>
      <c r="S7">
        <f>'Costing 100 Lmin Feed Orig'!S7</f>
        <v>500</v>
      </c>
      <c r="T7">
        <f>'Costing 100 Lmin Feed Orig'!T7</f>
        <v>95</v>
      </c>
      <c r="U7">
        <f>'Costing 100 Lmin Feed Orig'!U7</f>
        <v>1</v>
      </c>
      <c r="V7">
        <f>'Costing 100 Lmin Feed Orig'!V7</f>
        <v>0.1</v>
      </c>
      <c r="W7">
        <f>'Costing 100 Lmin Feed Orig'!W7</f>
        <v>52.931106580020597</v>
      </c>
      <c r="X7" t="str">
        <f>'Costing 100 Lmin Feed Orig'!X7</f>
        <v>ddFc</v>
      </c>
      <c r="Y7">
        <f>'Costing 100 Lmin Feed Orig'!Y7</f>
        <v>1</v>
      </c>
      <c r="Z7">
        <f>'Costing 100 Lmin Feed Orig'!Z7</f>
        <v>0.28318429382522198</v>
      </c>
      <c r="AA7">
        <f>'Costing 100 Lmin Feed Orig'!AA7</f>
        <v>0.56945642916197003</v>
      </c>
      <c r="AB7">
        <f>'Costing 100 Lmin Feed Orig'!AB7</f>
        <v>3.7698628972227502E-3</v>
      </c>
      <c r="AC7">
        <f>'Costing 100 Lmin Feed Orig'!AC7</f>
        <v>1822.2107908876901</v>
      </c>
      <c r="AD7">
        <f>'Costing 100 Lmin Feed Orig'!AD7</f>
        <v>2662.6059073104898</v>
      </c>
      <c r="AE7">
        <f>'Costing 100 Lmin Feed Orig'!AE7</f>
        <v>2401.5030938442701</v>
      </c>
      <c r="AF7">
        <f>'Costing 100 Lmin Feed Orig'!AF7</f>
        <v>9</v>
      </c>
      <c r="AG7">
        <f>'Costing 100 Lmin Feed Orig'!AG7</f>
        <v>1.6455478770638001E-3</v>
      </c>
      <c r="AH7">
        <f>'Costing 100 Lmin Feed Orig'!AH7</f>
        <v>1.66233163271225E-3</v>
      </c>
      <c r="AI7">
        <f>'Costing 100 Lmin Feed Orig'!AI7</f>
        <v>2.0159416943409301E-5</v>
      </c>
      <c r="AJ7">
        <f>'Costing 100 Lmin Feed Orig'!AJ7</f>
        <v>0</v>
      </c>
      <c r="AK7">
        <f>'Costing 100 Lmin Feed Orig'!AK7</f>
        <v>0</v>
      </c>
      <c r="AL7">
        <f>'Costing 100 Lmin Feed Orig'!AL7</f>
        <v>0</v>
      </c>
      <c r="AM7">
        <f>'Costing 100 Lmin Feed Orig'!AM7</f>
        <v>1.6083318712016E-3</v>
      </c>
      <c r="AN7">
        <f>'Costing 100 Lmin Feed Orig'!AN7</f>
        <v>6.46235091896047E-5</v>
      </c>
      <c r="AO7">
        <f>'Costing 100 Lmin Feed Orig'!AO7</f>
        <v>2.0025536590245201E-5</v>
      </c>
      <c r="AP7">
        <f>'Costing 100 Lmin Feed Orig'!AP7</f>
        <v>1.7304893324093099E-3</v>
      </c>
      <c r="AQ7">
        <f>'Costing 100 Lmin Feed Orig'!AQ7</f>
        <v>7.4291069145050903E-2</v>
      </c>
      <c r="AR7">
        <f>'Costing 100 Lmin Feed Orig'!AR7</f>
        <v>6.2252387814425299E-6</v>
      </c>
      <c r="AS7">
        <f>'Costing 100 Lmin Feed Orig'!AS7</f>
        <v>2.10275590342701E-15</v>
      </c>
      <c r="AT7">
        <f>'Costing 100 Lmin Feed Orig'!AT7</f>
        <v>-3.1233609448788598E-13</v>
      </c>
      <c r="AU7">
        <f>'Costing 100 Lmin Feed Orig'!AU7</f>
        <v>8.7085574889582693E-21</v>
      </c>
      <c r="AV7">
        <f>'Costing 100 Lmin Feed Orig'!AV7</f>
        <v>0.19932360820213499</v>
      </c>
      <c r="AW7">
        <f>'Costing 100 Lmin Feed Orig'!AW7</f>
        <v>99.335891739627598</v>
      </c>
      <c r="AX7">
        <f>'Costing 100 Lmin Feed Orig'!AX7</f>
        <v>500</v>
      </c>
      <c r="AY7">
        <f>'Costing 100 Lmin Feed Orig'!AY7</f>
        <v>95</v>
      </c>
      <c r="AZ7">
        <f>'Costing 100 Lmin Feed Orig'!AZ7</f>
        <v>0.92682535301965796</v>
      </c>
      <c r="BA7">
        <f>'Costing 100 Lmin Feed Orig'!BA7</f>
        <v>0.1</v>
      </c>
      <c r="BB7">
        <f>'Costing 100 Lmin Feed Orig'!BB7</f>
        <v>46.498523751374002</v>
      </c>
      <c r="BC7" t="str">
        <f>'Costing 100 Lmin Feed Orig'!BC7</f>
        <v>coeFc</v>
      </c>
      <c r="BD7">
        <f>'Costing 100 Lmin Feed Orig'!BD7</f>
        <v>1</v>
      </c>
      <c r="BE7">
        <f>'Costing 100 Lmin Feed Orig'!BE7</f>
        <v>1.8775014999999999E-2</v>
      </c>
      <c r="BF7">
        <f>'Costing 100 Lmin Feed Orig'!BF7</f>
        <v>0.10492961100000001</v>
      </c>
      <c r="BG7">
        <f>'Costing 100 Lmin Feed Orig'!BG7</f>
        <v>1.814625E-3</v>
      </c>
      <c r="BH7">
        <f>'Costing 100 Lmin Feed Orig'!BH7</f>
        <v>285.1951444</v>
      </c>
      <c r="BI7">
        <f>'Costing 100 Lmin Feed Orig'!BI7</f>
        <v>2169.8944889999998</v>
      </c>
      <c r="BJ7">
        <f>'Costing 100 Lmin Feed Orig'!BJ7</f>
        <v>866.49409060000005</v>
      </c>
      <c r="BK7">
        <f>'Costing 100 Lmin Feed Orig'!BK7</f>
        <v>100</v>
      </c>
      <c r="BL7">
        <f>'Costing 100 Lmin Feed Orig'!BL7</f>
        <v>18.892482409907799</v>
      </c>
      <c r="BM7">
        <f>'Costing 100 Lmin Feed Orig'!BM7</f>
        <v>92.6825353019658</v>
      </c>
      <c r="BN7">
        <f>'Costing 100 Lmin Feed Orig'!BN7</f>
        <v>19.9323608202135</v>
      </c>
      <c r="BO7">
        <f t="shared" si="1"/>
        <v>188.92482409907799</v>
      </c>
      <c r="BP7">
        <f t="shared" si="2"/>
        <v>438.51193804469699</v>
      </c>
      <c r="BQ7">
        <f t="shared" si="3"/>
        <v>18.892482409907799</v>
      </c>
      <c r="BR7">
        <f t="shared" si="4"/>
        <v>43.851193804469702</v>
      </c>
      <c r="BS7">
        <f>1.2*0.5*BL7*V7/'Oxidant Feed Composition'!$N$22</f>
        <v>11.335489445944679</v>
      </c>
      <c r="BT7">
        <f>1.2*0.5*BN7*BA7/'Oxidant Feed Composition'!$N$22</f>
        <v>11.959416492128097</v>
      </c>
      <c r="BU7">
        <f t="shared" si="5"/>
        <v>9.4462412049538997</v>
      </c>
      <c r="BV7">
        <f t="shared" si="6"/>
        <v>9.9661804101067499</v>
      </c>
      <c r="BW7">
        <f t="shared" si="7"/>
        <v>83.236294097011893</v>
      </c>
      <c r="BX7">
        <f t="shared" si="0"/>
        <v>60.455943711704961</v>
      </c>
      <c r="BY7">
        <f t="shared" si="8"/>
        <v>223.1500354237472</v>
      </c>
      <c r="BZ7">
        <f t="shared" si="9"/>
        <v>63.783554624683191</v>
      </c>
      <c r="CA7">
        <f t="shared" si="10"/>
        <v>59.797082460640496</v>
      </c>
      <c r="CB7">
        <f>BO7*'Reagent cost'!$G$11*'Reagent cost'!$H$11</f>
        <v>2493.8076781078298</v>
      </c>
      <c r="CC7">
        <f>BP7*'Reagent cost'!$G$11*'Reagent cost'!$H$11</f>
        <v>5788.3575821900004</v>
      </c>
      <c r="CD7">
        <f>BQ7*'Reagent cost'!$C$18/1000*'Reagent cost'!$H$18</f>
        <v>3012.9816471142385</v>
      </c>
      <c r="CE7">
        <f>BR7*'Ligand cost'!$B$56*'Ligand cost'!$J$56</f>
        <v>44646.116490820306</v>
      </c>
      <c r="CF7">
        <f t="shared" si="11"/>
        <v>10</v>
      </c>
      <c r="CG7">
        <f t="shared" si="12"/>
        <v>3.7784964819815601</v>
      </c>
      <c r="CH7">
        <f t="shared" si="13"/>
        <v>3.9864721640427003</v>
      </c>
      <c r="CI7">
        <f>7963.6*(BX7/1000)^0.6*1.7*('CAPEX+OPEX'!$G$116/'CAPEX+OPEX'!$G$115)</f>
        <v>2965.5437179814326</v>
      </c>
      <c r="CJ7">
        <f>7963.6*(BY7/1000)^0.6*1.7*('CAPEX+OPEX'!$G$116/'CAPEX+OPEX'!$G$115)</f>
        <v>6492.3078360569407</v>
      </c>
      <c r="CK7">
        <f>7963.6*(BZ7/1000)^0.6*1.7*('CAPEX+OPEX'!$G$116/'CAPEX+OPEX'!$G$115)</f>
        <v>3062.4299188323866</v>
      </c>
      <c r="CL7">
        <f>7963.6*(CA7/1000)^0.6*1.7*('CAPEX+OPEX'!$G$116/'CAPEX+OPEX'!$G$115)</f>
        <v>2946.109773656593</v>
      </c>
      <c r="CM7">
        <f>'Costing 100 Lmin Feed Orig'!DE7</f>
        <v>39625.826528698344</v>
      </c>
      <c r="CN7">
        <f>'Costing 100 Lmin Feed Orig'!DF7</f>
        <v>4586243.4239371875</v>
      </c>
      <c r="CO7">
        <f>'Costing 100 Lmin Feed Orig'!DG7</f>
        <v>11794834.586807497</v>
      </c>
      <c r="CP7">
        <f>'Costing 100 Lmin Feed Orig'!DH7</f>
        <v>2275209.1661185985</v>
      </c>
      <c r="CQ7">
        <f>'Costing 100 Lmin Feed Orig'!DI7</f>
        <v>14083914.336508472</v>
      </c>
      <c r="CR7">
        <f>'Costing 100 Lmin Feed Orig'!DJ7</f>
        <v>1662824.8986326549</v>
      </c>
      <c r="CS7">
        <f>CN7*(BK7/10000)^0.72*((A7+1)/3)^0.6*('CAPEX+OPEX'!$G$116/'CAPEX+OPEX'!$G$114)</f>
        <v>461850.0978118488</v>
      </c>
      <c r="CT7">
        <f>CO7*(BK7/10000)^0.72*((A7+1)/3)^0.6*('CAPEX+OPEX'!$G$116/'CAPEX+OPEX'!$G$114)</f>
        <v>1187779.4098672394</v>
      </c>
      <c r="CU7">
        <f>CP7*(BK7/10000)^0.72*((A7+1)/3)^0.6*('CAPEX+OPEX'!$G$116/'CAPEX+OPEX'!$G$114)</f>
        <v>229121.19544936769</v>
      </c>
      <c r="CV7">
        <f>CQ7*(BK7/10000)^0.72*((A7+1)/3)^0.6*('CAPEX+OPEX'!$G$116/'CAPEX+OPEX'!$G$114)</f>
        <v>1418297.4196136401</v>
      </c>
      <c r="CW7">
        <f>CR7*(BK7/10000)^0.72*((A7+1)/3)^0.6*('CAPEX+OPEX'!$G$116/'CAPEX+OPEX'!$G$114)</f>
        <v>167452.04540804314</v>
      </c>
      <c r="CX7">
        <f t="shared" si="14"/>
        <v>3464500.168150139</v>
      </c>
      <c r="CY7">
        <f>CN7*(BM7/10000)^0.72*((AF7+1)/3)^0.6*('CAPEX+OPEX'!$G$116/'CAPEX+OPEX'!$G$114)</f>
        <v>757710.90370651742</v>
      </c>
      <c r="CZ7">
        <f>CO7*(BM7/10000)^0.72*((AF7+1)/3)^0.6*('CAPEX+OPEX'!$G$116/'CAPEX+OPEX'!$G$114)</f>
        <v>1948669.9565908599</v>
      </c>
      <c r="DA7">
        <f>CP7*(BM7/10000)^0.72*((AF7+1)/3)^0.6*('CAPEX+OPEX'!$G$116/'CAPEX+OPEX'!$G$114)</f>
        <v>375896.05130490486</v>
      </c>
      <c r="DB7">
        <f>CQ7*(BM7/10000)^0.72*((AF7+1)/3)^0.6*('CAPEX+OPEX'!$G$116/'CAPEX+OPEX'!$G$114)</f>
        <v>2326857.620322241</v>
      </c>
      <c r="DC7">
        <f>CR7*(BM7/10000)^0.72*((AF7+1)/3)^0.6*('CAPEX+OPEX'!$G$116/'CAPEX+OPEX'!$G$114)</f>
        <v>274721.69271970663</v>
      </c>
      <c r="DD7">
        <f t="shared" si="15"/>
        <v>5683856.2246442297</v>
      </c>
      <c r="DE7">
        <f>CX7+DD7+1.15*(SUM(CI7:CL7)+SUM(CB7:CE7))</f>
        <v>9230475.1956358422</v>
      </c>
      <c r="DF7">
        <f t="shared" si="16"/>
        <v>615365.01304238953</v>
      </c>
      <c r="DG7">
        <f>(BS7+BT7)*'Oxidant Feed Composition'!$N$25*60*7200</f>
        <v>18760627.055834655</v>
      </c>
      <c r="DH7">
        <f>((CG7+CH7)*'Reagent cost'!$C$17/1000*'Reagent cost'!$H$17+(CG7+CH7)*0.5*'Reagent cost'!$C$16/1000*'Reagent cost'!$H$16)*60*7200</f>
        <v>7476535.4690814847</v>
      </c>
      <c r="DI7">
        <f>CF7*'Reagent cost'!$C$17/1000*'Reagent cost'!$H$17*60*7200</f>
        <v>504921.59999999998</v>
      </c>
      <c r="DJ7">
        <f t="shared" si="17"/>
        <v>82.821652602978304</v>
      </c>
      <c r="DK7">
        <f t="shared" si="18"/>
        <v>953.18196275869093</v>
      </c>
      <c r="DL7">
        <f t="shared" si="19"/>
        <v>32091744.154237799</v>
      </c>
      <c r="DM7">
        <f>BK7*(B7*(409.81+2)/1000+C7*(248.2+2*22.99)/1000+D7*(315.6+3*22.99)/1000+0.1*58.44/1000)</f>
        <v>0.70639694042110623</v>
      </c>
      <c r="DN7">
        <f>(BS7+BT7)/1000*('Oxidant Feed Composition'!$B$11*'Oxidant Feed Composition'!$O$20+'Oxidant Feed Composition'!$D$11*'Oxidant Feed Composition'!$O$21+'Oxidant Feed Composition'!$F$11*'Oxidant Feed Composition'!$O$27-'Oxidant Feed Composition'!$J$15*18.015)</f>
        <v>2.7204848743210972</v>
      </c>
      <c r="DO7">
        <f>(BU7+BV7)/1000*(0.2*368.34+0.4*58.44)</f>
        <v>1.8838590432119457</v>
      </c>
      <c r="DP7">
        <f>BK7/1000*(B7*195.08+C7*106.42+D7*102.91)</f>
        <v>4.999938342565946E-2</v>
      </c>
      <c r="DQ7">
        <f>SUM(DM7:DO7)-DP7</f>
        <v>5.2607414745284897</v>
      </c>
      <c r="DR7">
        <f>DQ7*60*7200*0.33</f>
        <v>749971.30460878159</v>
      </c>
      <c r="DS7">
        <v>1.2</v>
      </c>
      <c r="DT7">
        <f>BM7/60*(AM7*4+AN7*2+AO7*3)*96485/DV7</f>
        <v>1410.0687657379119</v>
      </c>
      <c r="DU7">
        <f>BN7*BA7*(AP7*4+AQ7*2+AR7*3)*96485/DV7/60</f>
        <v>712.1364866286201</v>
      </c>
      <c r="DV7">
        <v>0.7</v>
      </c>
      <c r="DW7">
        <f>0.499*((BK7/3.78541*15)^(-0.146))*BK7/3.78541*15*300*(1+(A7-2)/9)</f>
        <v>27520.276190787874</v>
      </c>
      <c r="DX7">
        <f>0.248*((BK7/3.78541*15)^(-0.144))*BK7/3.78541*15*300*(1+(A7-2)/3)</f>
        <v>16610.439588917834</v>
      </c>
      <c r="DY7">
        <f>0.105*((BK7/3.78541*15)^(-0.144))*BK7/3.78541*15*300*(1+(A7-2)/3)</f>
        <v>7032.645793695051</v>
      </c>
      <c r="DZ7">
        <f>0.058*((BK7/3.78541*15)^(-0.151))*BK7/3.78541*15*300*(1+(A7-2)/3)</f>
        <v>3725.3886787897172</v>
      </c>
      <c r="EA7">
        <f>0.056*((BK7/3.78541*15)^(-0.144))*BK7/3.78541*15*300*(1+(A7-2)/3)</f>
        <v>3750.7444233040283</v>
      </c>
      <c r="EB7">
        <f>DS7*DT7/(3.6*10^6)*3600*7200*0.07</f>
        <v>852.80958951828916</v>
      </c>
      <c r="EC7">
        <f>0.499*((BM7/3.78541*15)^(-0.146))*BM7/3.78541*15*300*(1+(AF7-2)/9)</f>
        <v>41265.6777021694</v>
      </c>
      <c r="ED7">
        <f>0.248*((BM7/3.78541*15)^(-0.144))*BM7/3.78541*15*300*(1+(AF7-2)/3)</f>
        <v>38910.905875241828</v>
      </c>
      <c r="EE7">
        <f>0.105*((BM7/3.78541*15)^(-0.144))*BM7/3.78541*15*300*(1+(AF7-2)/3)</f>
        <v>16474.375471372547</v>
      </c>
      <c r="EF7">
        <f>0.058*((BM7/3.78541*15)^(-0.151))*BM7/3.78541*15*300*(1+(AF7-2)/3)</f>
        <v>8731.5796634158487</v>
      </c>
      <c r="EG7">
        <f>0.056*((BM7/3.78541*15)^(-0.144))*BM7/3.78541*15*300*(1+(AF7-2)/3)</f>
        <v>8786.3335847320268</v>
      </c>
      <c r="EH7">
        <f>DS7*DU7/(3.6*10^6)*3600*7200*0.07</f>
        <v>430.7001471129895</v>
      </c>
      <c r="EI7">
        <f>SUM(DW7:EH7)</f>
        <v>174091.87670905743</v>
      </c>
      <c r="EJ7">
        <f>EI7+DR7+DL7</f>
        <v>33015807.335555639</v>
      </c>
      <c r="EK7">
        <f>EJ7+DF7</f>
        <v>33631172.348598026</v>
      </c>
      <c r="EL7">
        <f>EK7/(BK7*60*7200)</f>
        <v>0.77849935992125063</v>
      </c>
      <c r="EM7">
        <f>EK7/(BM7*(AM7*195.084/1000+AN7*106.42/1000+AO7*102.911/1000)*60*7200)</f>
        <v>2602.9403750668935</v>
      </c>
      <c r="EN7">
        <f>EK7/(BN7*BA7*(AP7*195.084/1000+AQ7*106.42/1000+AR7*102.911/1000)*60*7200)</f>
        <v>4737.4693941571204</v>
      </c>
    </row>
    <row r="8" spans="1:145">
      <c r="A8">
        <f>'Costing 100 Lmin Feed Orig'!A8</f>
        <v>3</v>
      </c>
      <c r="B8">
        <f>'Costing 100 Lmin Feed Orig'!B8</f>
        <v>1.54143585092054E-3</v>
      </c>
      <c r="C8">
        <f>'Costing 100 Lmin Feed Orig'!C8</f>
        <v>1.54143585092054E-3</v>
      </c>
      <c r="D8">
        <f>'Costing 100 Lmin Feed Orig'!D8</f>
        <v>3.4254130020456501E-4</v>
      </c>
      <c r="E8">
        <f>'Costing 100 Lmin Feed Orig'!E8</f>
        <v>0</v>
      </c>
      <c r="F8">
        <f>'Costing 100 Lmin Feed Orig'!F8</f>
        <v>0</v>
      </c>
      <c r="G8">
        <f>'Costing 100 Lmin Feed Orig'!G8</f>
        <v>0</v>
      </c>
      <c r="H8">
        <f>'Costing 100 Lmin Feed Orig'!H8</f>
        <v>1.6300358850230801E-5</v>
      </c>
      <c r="I8">
        <f>'Costing 100 Lmin Feed Orig'!I8</f>
        <v>7.4474859607128495E-7</v>
      </c>
      <c r="J8">
        <f>'Costing 100 Lmin Feed Orig'!J8</f>
        <v>3.2385704147932398E-4</v>
      </c>
      <c r="K8">
        <f>'Costing 100 Lmin Feed Orig'!K8</f>
        <v>8.07271092797512E-2</v>
      </c>
      <c r="L8">
        <f>'Costing 100 Lmin Feed Orig'!L8</f>
        <v>8.15504849440159E-2</v>
      </c>
      <c r="M8">
        <f>'Costing 100 Lmin Feed Orig'!M8</f>
        <v>9.8897848995466706E-4</v>
      </c>
      <c r="N8">
        <f>'Costing 100 Lmin Feed Orig'!N8</f>
        <v>-9.8011876392689601E-17</v>
      </c>
      <c r="O8">
        <f>'Costing 100 Lmin Feed Orig'!O8</f>
        <v>1.94289029309402E-16</v>
      </c>
      <c r="P8">
        <f>'Costing 100 Lmin Feed Orig'!P8</f>
        <v>-4.3537493488870999E-18</v>
      </c>
      <c r="Q8">
        <f>'Costing 100 Lmin Feed Orig'!Q8</f>
        <v>0.18892482409907799</v>
      </c>
      <c r="R8">
        <f>'Costing 100 Lmin Feed Orig'!R8</f>
        <v>94.545399718491396</v>
      </c>
      <c r="S8">
        <f>'Costing 100 Lmin Feed Orig'!S8</f>
        <v>500</v>
      </c>
      <c r="T8">
        <f>'Costing 100 Lmin Feed Orig'!T8</f>
        <v>95</v>
      </c>
      <c r="U8">
        <f>'Costing 100 Lmin Feed Orig'!U8</f>
        <v>1</v>
      </c>
      <c r="V8">
        <f>'Costing 100 Lmin Feed Orig'!V8</f>
        <v>0.1</v>
      </c>
      <c r="W8">
        <f>'Costing 100 Lmin Feed Orig'!W8</f>
        <v>52.931106580020597</v>
      </c>
      <c r="X8" t="str">
        <f>'Costing 100 Lmin Feed Orig'!X8</f>
        <v>ddFc</v>
      </c>
      <c r="Y8">
        <f>'Costing 100 Lmin Feed Orig'!Y8</f>
        <v>1</v>
      </c>
      <c r="Z8">
        <f>'Costing 100 Lmin Feed Orig'!Z8</f>
        <v>0.28318429382522198</v>
      </c>
      <c r="AA8">
        <f>'Costing 100 Lmin Feed Orig'!AA8</f>
        <v>0.56945642916197003</v>
      </c>
      <c r="AB8">
        <f>'Costing 100 Lmin Feed Orig'!AB8</f>
        <v>3.7698628972227502E-3</v>
      </c>
      <c r="AC8">
        <f>'Costing 100 Lmin Feed Orig'!AC8</f>
        <v>1822.2107908876901</v>
      </c>
      <c r="AD8">
        <f>'Costing 100 Lmin Feed Orig'!AD8</f>
        <v>2662.6059073104898</v>
      </c>
      <c r="AE8">
        <f>'Costing 100 Lmin Feed Orig'!AE8</f>
        <v>2401.5030938442701</v>
      </c>
      <c r="AF8">
        <f>'Costing 100 Lmin Feed Orig'!AF8</f>
        <v>10</v>
      </c>
      <c r="AG8">
        <f>'Costing 100 Lmin Feed Orig'!AG8</f>
        <v>1.6455478770638001E-3</v>
      </c>
      <c r="AH8">
        <f>'Costing 100 Lmin Feed Orig'!AH8</f>
        <v>1.66233163271225E-3</v>
      </c>
      <c r="AI8">
        <f>'Costing 100 Lmin Feed Orig'!AI8</f>
        <v>2.0159416943409301E-5</v>
      </c>
      <c r="AJ8">
        <f>'Costing 100 Lmin Feed Orig'!AJ8</f>
        <v>0</v>
      </c>
      <c r="AK8">
        <f>'Costing 100 Lmin Feed Orig'!AK8</f>
        <v>0</v>
      </c>
      <c r="AL8">
        <f>'Costing 100 Lmin Feed Orig'!AL8</f>
        <v>0</v>
      </c>
      <c r="AM8">
        <f>'Costing 100 Lmin Feed Orig'!AM8</f>
        <v>1.6083474060022401E-3</v>
      </c>
      <c r="AN8">
        <f>'Costing 100 Lmin Feed Orig'!AN8</f>
        <v>6.4624273291128494E-5</v>
      </c>
      <c r="AO8">
        <f>'Costing 100 Lmin Feed Orig'!AO8</f>
        <v>2.0025590180477699E-5</v>
      </c>
      <c r="AP8">
        <f>'Costing 100 Lmin Feed Orig'!AP8</f>
        <v>1.7299702748473499E-3</v>
      </c>
      <c r="AQ8">
        <f>'Costing 100 Lmin Feed Orig'!AQ8</f>
        <v>7.42997645145482E-2</v>
      </c>
      <c r="AR8">
        <f>'Costing 100 Lmin Feed Orig'!AR8</f>
        <v>6.2234782314335099E-6</v>
      </c>
      <c r="AS8">
        <f>'Costing 100 Lmin Feed Orig'!AS8</f>
        <v>1.84991995680339E-18</v>
      </c>
      <c r="AT8">
        <f>'Costing 100 Lmin Feed Orig'!AT8</f>
        <v>-4.37800837249646E-16</v>
      </c>
      <c r="AU8">
        <f>'Costing 100 Lmin Feed Orig'!AU8</f>
        <v>-4.9498487855173101E-21</v>
      </c>
      <c r="AV8">
        <f>'Costing 100 Lmin Feed Orig'!AV8</f>
        <v>0.19930018582065301</v>
      </c>
      <c r="AW8">
        <f>'Costing 100 Lmin Feed Orig'!AW8</f>
        <v>99.336157571881799</v>
      </c>
      <c r="AX8">
        <f>'Costing 100 Lmin Feed Orig'!AX8</f>
        <v>500</v>
      </c>
      <c r="AY8">
        <f>'Costing 100 Lmin Feed Orig'!AY8</f>
        <v>95</v>
      </c>
      <c r="AZ8">
        <f>'Costing 100 Lmin Feed Orig'!AZ8</f>
        <v>0.92682535301965796</v>
      </c>
      <c r="BA8">
        <f>'Costing 100 Lmin Feed Orig'!BA8</f>
        <v>0.1</v>
      </c>
      <c r="BB8">
        <f>'Costing 100 Lmin Feed Orig'!BB8</f>
        <v>46.503988403387098</v>
      </c>
      <c r="BC8" t="str">
        <f>'Costing 100 Lmin Feed Orig'!BC8</f>
        <v>coeFc</v>
      </c>
      <c r="BD8">
        <f>'Costing 100 Lmin Feed Orig'!BD8</f>
        <v>1</v>
      </c>
      <c r="BE8">
        <f>'Costing 100 Lmin Feed Orig'!BE8</f>
        <v>1.8775014999999999E-2</v>
      </c>
      <c r="BF8">
        <f>'Costing 100 Lmin Feed Orig'!BF8</f>
        <v>0.10492961100000001</v>
      </c>
      <c r="BG8">
        <f>'Costing 100 Lmin Feed Orig'!BG8</f>
        <v>1.814625E-3</v>
      </c>
      <c r="BH8">
        <f>'Costing 100 Lmin Feed Orig'!BH8</f>
        <v>285.1951444</v>
      </c>
      <c r="BI8">
        <f>'Costing 100 Lmin Feed Orig'!BI8</f>
        <v>2169.8944889999998</v>
      </c>
      <c r="BJ8">
        <f>'Costing 100 Lmin Feed Orig'!BJ8</f>
        <v>866.49409060000005</v>
      </c>
      <c r="BK8">
        <f>'Costing 100 Lmin Feed Orig'!BK8</f>
        <v>100</v>
      </c>
      <c r="BL8">
        <f>'Costing 100 Lmin Feed Orig'!BL8</f>
        <v>18.892482409907799</v>
      </c>
      <c r="BM8">
        <f>'Costing 100 Lmin Feed Orig'!BM8</f>
        <v>92.6825353019658</v>
      </c>
      <c r="BN8">
        <f>'Costing 100 Lmin Feed Orig'!BN8</f>
        <v>19.930018582065301</v>
      </c>
      <c r="BO8">
        <f t="shared" si="1"/>
        <v>188.92482409907799</v>
      </c>
      <c r="BP8">
        <f t="shared" si="2"/>
        <v>478.32044596956723</v>
      </c>
      <c r="BQ8">
        <f t="shared" si="3"/>
        <v>18.892482409907799</v>
      </c>
      <c r="BR8">
        <f t="shared" si="4"/>
        <v>47.832044596956727</v>
      </c>
      <c r="BS8">
        <f>1.2*0.5*BL8*V8/'Oxidant Feed Composition'!$N$22</f>
        <v>11.335489445944679</v>
      </c>
      <c r="BT8">
        <f>1.2*0.5*BN8*BA8/'Oxidant Feed Composition'!$N$22</f>
        <v>11.95801114923918</v>
      </c>
      <c r="BU8">
        <f t="shared" si="5"/>
        <v>9.4462412049538997</v>
      </c>
      <c r="BV8">
        <f t="shared" si="6"/>
        <v>9.9650092910326507</v>
      </c>
      <c r="BW8">
        <f t="shared" si="7"/>
        <v>83.236294097011893</v>
      </c>
      <c r="BX8">
        <f t="shared" si="0"/>
        <v>60.455943711704961</v>
      </c>
      <c r="BY8">
        <f t="shared" si="8"/>
        <v>223.1500354237472</v>
      </c>
      <c r="BZ8">
        <f t="shared" si="9"/>
        <v>63.776059462608963</v>
      </c>
      <c r="CA8">
        <f t="shared" si="10"/>
        <v>59.790055746195904</v>
      </c>
      <c r="CB8">
        <f>BO8*'Reagent cost'!$G$11*'Reagent cost'!$H$11</f>
        <v>2493.8076781078298</v>
      </c>
      <c r="CC8">
        <f>BP8*'Reagent cost'!$G$11*'Reagent cost'!$H$11</f>
        <v>6313.8298867982885</v>
      </c>
      <c r="CD8">
        <f>BQ8*'Reagent cost'!$C$18/1000*'Reagent cost'!$H$18</f>
        <v>3012.9816471142385</v>
      </c>
      <c r="CE8">
        <f>BR8*'Ligand cost'!$B$56*'Ligand cost'!$J$56</f>
        <v>48699.131079349805</v>
      </c>
      <c r="CF8">
        <f t="shared" si="11"/>
        <v>10</v>
      </c>
      <c r="CG8">
        <f t="shared" si="12"/>
        <v>3.7784964819815601</v>
      </c>
      <c r="CH8">
        <f t="shared" si="13"/>
        <v>3.9860037164130606</v>
      </c>
      <c r="CI8">
        <f>7963.6*(BX8/1000)^0.6*1.7*('CAPEX+OPEX'!$G$116/'CAPEX+OPEX'!$G$115)</f>
        <v>2965.5437179814326</v>
      </c>
      <c r="CJ8">
        <f>7963.6*(BY8/1000)^0.6*1.7*('CAPEX+OPEX'!$G$116/'CAPEX+OPEX'!$G$115)</f>
        <v>6492.3078360569407</v>
      </c>
      <c r="CK8">
        <f>7963.6*(BZ8/1000)^0.6*1.7*('CAPEX+OPEX'!$G$116/'CAPEX+OPEX'!$G$115)</f>
        <v>3062.2139953248757</v>
      </c>
      <c r="CL8">
        <f>7963.6*(CA8/1000)^0.6*1.7*('CAPEX+OPEX'!$G$116/'CAPEX+OPEX'!$G$115)</f>
        <v>2945.9020515624716</v>
      </c>
      <c r="CM8">
        <f>'Costing 100 Lmin Feed Orig'!DE8</f>
        <v>39625.826528698344</v>
      </c>
      <c r="CN8">
        <f>'Costing 100 Lmin Feed Orig'!DF8</f>
        <v>4586243.4239371875</v>
      </c>
      <c r="CO8">
        <f>'Costing 100 Lmin Feed Orig'!DG8</f>
        <v>11794834.586807497</v>
      </c>
      <c r="CP8">
        <f>'Costing 100 Lmin Feed Orig'!DH8</f>
        <v>2275209.1661185985</v>
      </c>
      <c r="CQ8">
        <f>'Costing 100 Lmin Feed Orig'!DI8</f>
        <v>14083914.336508472</v>
      </c>
      <c r="CR8">
        <f>'Costing 100 Lmin Feed Orig'!DJ8</f>
        <v>1662824.8986326549</v>
      </c>
      <c r="CS8">
        <f>CN8*(BK8/10000)^0.72*((A8+1)/3)^0.6*('CAPEX+OPEX'!$G$116/'CAPEX+OPEX'!$G$114)</f>
        <v>461850.0978118488</v>
      </c>
      <c r="CT8">
        <f>CO8*(BK8/10000)^0.72*((A8+1)/3)^0.6*('CAPEX+OPEX'!$G$116/'CAPEX+OPEX'!$G$114)</f>
        <v>1187779.4098672394</v>
      </c>
      <c r="CU8">
        <f>CP8*(BK8/10000)^0.72*((A8+1)/3)^0.6*('CAPEX+OPEX'!$G$116/'CAPEX+OPEX'!$G$114)</f>
        <v>229121.19544936769</v>
      </c>
      <c r="CV8">
        <f>CQ8*(BK8/10000)^0.72*((A8+1)/3)^0.6*('CAPEX+OPEX'!$G$116/'CAPEX+OPEX'!$G$114)</f>
        <v>1418297.4196136401</v>
      </c>
      <c r="CW8">
        <f>CR8*(BK8/10000)^0.72*((A8+1)/3)^0.6*('CAPEX+OPEX'!$G$116/'CAPEX+OPEX'!$G$114)</f>
        <v>167452.04540804314</v>
      </c>
      <c r="CX8">
        <f t="shared" si="14"/>
        <v>3464500.168150139</v>
      </c>
      <c r="CY8">
        <f>CN8*(BM8/10000)^0.72*((AF8+1)/3)^0.6*('CAPEX+OPEX'!$G$116/'CAPEX+OPEX'!$G$114)</f>
        <v>802304.35207958962</v>
      </c>
      <c r="CZ8">
        <f>CO8*(BM8/10000)^0.72*((AF8+1)/3)^0.6*('CAPEX+OPEX'!$G$116/'CAPEX+OPEX'!$G$114)</f>
        <v>2063354.7429392026</v>
      </c>
      <c r="DA8">
        <f>CP8*(BM8/10000)^0.72*((AF8+1)/3)^0.6*('CAPEX+OPEX'!$G$116/'CAPEX+OPEX'!$G$114)</f>
        <v>398018.60632623197</v>
      </c>
      <c r="DB8">
        <f>CQ8*(BM8/10000)^0.72*((AF8+1)/3)^0.6*('CAPEX+OPEX'!$G$116/'CAPEX+OPEX'!$G$114)</f>
        <v>2463799.8296209997</v>
      </c>
      <c r="DC8">
        <f>CR8*(BM8/10000)^0.72*((AF8+1)/3)^0.6*('CAPEX+OPEX'!$G$116/'CAPEX+OPEX'!$G$114)</f>
        <v>290889.84809576324</v>
      </c>
      <c r="DD8">
        <f t="shared" si="15"/>
        <v>6018367.3790617865</v>
      </c>
      <c r="DE8">
        <f>CX8+DD8+1.15*(SUM(CI8:CL8)+SUM(CB8:CE8))</f>
        <v>9570251.122788066</v>
      </c>
      <c r="DF8">
        <f t="shared" si="16"/>
        <v>638016.74151920446</v>
      </c>
      <c r="DG8">
        <f>(BS8+BT8)*'Oxidant Feed Composition'!$N$25*60*7200</f>
        <v>18759495.258441065</v>
      </c>
      <c r="DH8">
        <f>((CG8+CH8)*'Reagent cost'!$C$17/1000*'Reagent cost'!$H$17+(CG8+CH8)*0.5*'Reagent cost'!$C$16/1000*'Reagent cost'!$H$16)*60*7200</f>
        <v>7476084.4221451664</v>
      </c>
      <c r="DI8">
        <f>CF8*'Reagent cost'!$C$17/1000*'Reagent cost'!$H$17*60*7200</f>
        <v>504921.59999999998</v>
      </c>
      <c r="DJ8">
        <f t="shared" si="17"/>
        <v>88.076375649061191</v>
      </c>
      <c r="DK8">
        <f t="shared" si="18"/>
        <v>1034.2422545292809</v>
      </c>
      <c r="DL8">
        <f t="shared" si="19"/>
        <v>32089948.319059689</v>
      </c>
      <c r="DM8">
        <f>BK8*(B8*(409.81+2)/1000+C8*(248.2+2*22.99)/1000+D8*(315.6+3*22.99)/1000+0.1*58.44/1000)</f>
        <v>0.70639694042110623</v>
      </c>
      <c r="DN8">
        <f>(BS8+BT8)/1000*('Oxidant Feed Composition'!$B$11*'Oxidant Feed Composition'!$O$20+'Oxidant Feed Composition'!$D$11*'Oxidant Feed Composition'!$O$21+'Oxidant Feed Composition'!$F$11*'Oxidant Feed Composition'!$O$27-'Oxidant Feed Composition'!$J$15*18.015)</f>
        <v>2.7203207519982726</v>
      </c>
      <c r="DO8">
        <f>(BU8+BV8)/1000*(0.2*368.34+0.4*58.44)</f>
        <v>1.883745393132519</v>
      </c>
      <c r="DP8">
        <f>BK8/1000*(B8*195.08+C8*106.42+D8*102.91)</f>
        <v>4.999938342565946E-2</v>
      </c>
      <c r="DQ8">
        <f>SUM(DM8:DO8)-DP8</f>
        <v>5.2604637021262377</v>
      </c>
      <c r="DR8">
        <f>DQ8*60*7200*0.33</f>
        <v>749931.70537511655</v>
      </c>
      <c r="DS8">
        <v>1.2</v>
      </c>
      <c r="DT8">
        <f>BM8/60*(AM8*4+AN8*2+AO8*3)*96485/DV8</f>
        <v>1410.0823557815738</v>
      </c>
      <c r="DU8">
        <f>BN8*BA8*(AP8*4+AQ8*2+AR8*3)*96485/DV8/60</f>
        <v>712.12289644358816</v>
      </c>
      <c r="DV8">
        <v>0.7</v>
      </c>
      <c r="DW8">
        <f>0.499*((BK8/3.78541*15)^(-0.146))*BK8/3.78541*15*300*(1+(A8-2)/9)</f>
        <v>27520.276190787874</v>
      </c>
      <c r="DX8">
        <f>0.248*((BK8/3.78541*15)^(-0.144))*BK8/3.78541*15*300*(1+(A8-2)/3)</f>
        <v>16610.439588917834</v>
      </c>
      <c r="DY8">
        <f>0.105*((BK8/3.78541*15)^(-0.144))*BK8/3.78541*15*300*(1+(A8-2)/3)</f>
        <v>7032.645793695051</v>
      </c>
      <c r="DZ8">
        <f>0.058*((BK8/3.78541*15)^(-0.151))*BK8/3.78541*15*300*(1+(A8-2)/3)</f>
        <v>3725.3886787897172</v>
      </c>
      <c r="EA8">
        <f>0.056*((BK8/3.78541*15)^(-0.144))*BK8/3.78541*15*300*(1+(A8-2)/3)</f>
        <v>3750.7444233040283</v>
      </c>
      <c r="EB8">
        <f>DS8*DT8/(3.6*10^6)*3600*7200*0.07</f>
        <v>852.81780877669598</v>
      </c>
      <c r="EC8">
        <f>0.499*((BM8/3.78541*15)^(-0.146))*BM8/3.78541*15*300*(1+(AF8-2)/9)</f>
        <v>43844.782558554987</v>
      </c>
      <c r="ED8">
        <f>0.248*((BM8/3.78541*15)^(-0.144))*BM8/3.78541*15*300*(1+(AF8-2)/3)</f>
        <v>42801.996462766008</v>
      </c>
      <c r="EE8">
        <f>0.105*((BM8/3.78541*15)^(-0.144))*BM8/3.78541*15*300*(1+(AF8-2)/3)</f>
        <v>18121.813018509798</v>
      </c>
      <c r="EF8">
        <f>0.058*((BM8/3.78541*15)^(-0.151))*BM8/3.78541*15*300*(1+(AF8-2)/3)</f>
        <v>9604.7376297574338</v>
      </c>
      <c r="EG8">
        <f>0.056*((BM8/3.78541*15)^(-0.144))*BM8/3.78541*15*300*(1+(AF8-2)/3)</f>
        <v>9664.9669432052269</v>
      </c>
      <c r="EH8">
        <f>DS8*DU8/(3.6*10^6)*3600*7200*0.07</f>
        <v>430.6919277690821</v>
      </c>
      <c r="EI8">
        <f>SUM(DW8:EH8)</f>
        <v>183961.30102483375</v>
      </c>
      <c r="EJ8">
        <f>EI8+DR8+DL8</f>
        <v>33023841.32545964</v>
      </c>
      <c r="EK8">
        <f>EJ8+DF8</f>
        <v>33661858.066978842</v>
      </c>
      <c r="EL8">
        <f>EK8/(BK8*60*7200)</f>
        <v>0.77920967747636205</v>
      </c>
      <c r="EM8">
        <f>EK8/(BM8*(AM8*195.084/1000+AN8*106.42/1000+AO8*102.911/1000)*60*7200)</f>
        <v>2605.2901787503861</v>
      </c>
      <c r="EN8">
        <f>EK8/(BN8*BA8*(AP8*195.084/1000+AQ8*106.42/1000+AR8*102.911/1000)*60*7200)</f>
        <v>4741.8753260861913</v>
      </c>
    </row>
    <row r="9" spans="1:145">
      <c r="A9">
        <f>'Costing 100 Lmin Feed Orig'!A9</f>
        <v>3</v>
      </c>
      <c r="B9">
        <f>'Costing 100 Lmin Feed Orig'!B9</f>
        <v>1.54143585092054E-3</v>
      </c>
      <c r="C9">
        <f>'Costing 100 Lmin Feed Orig'!C9</f>
        <v>1.54143585092054E-3</v>
      </c>
      <c r="D9">
        <f>'Costing 100 Lmin Feed Orig'!D9</f>
        <v>3.4254130020456501E-4</v>
      </c>
      <c r="E9">
        <f>'Costing 100 Lmin Feed Orig'!E9</f>
        <v>0</v>
      </c>
      <c r="F9">
        <f>'Costing 100 Lmin Feed Orig'!F9</f>
        <v>0</v>
      </c>
      <c r="G9">
        <f>'Costing 100 Lmin Feed Orig'!G9</f>
        <v>0</v>
      </c>
      <c r="H9">
        <f>'Costing 100 Lmin Feed Orig'!H9</f>
        <v>1.6300358850230801E-5</v>
      </c>
      <c r="I9">
        <f>'Costing 100 Lmin Feed Orig'!I9</f>
        <v>7.4474859607128495E-7</v>
      </c>
      <c r="J9">
        <f>'Costing 100 Lmin Feed Orig'!J9</f>
        <v>3.2385704147932398E-4</v>
      </c>
      <c r="K9">
        <f>'Costing 100 Lmin Feed Orig'!K9</f>
        <v>8.07271092797512E-2</v>
      </c>
      <c r="L9">
        <f>'Costing 100 Lmin Feed Orig'!L9</f>
        <v>8.15504849440159E-2</v>
      </c>
      <c r="M9">
        <f>'Costing 100 Lmin Feed Orig'!M9</f>
        <v>9.8897848995466706E-4</v>
      </c>
      <c r="N9">
        <f>'Costing 100 Lmin Feed Orig'!N9</f>
        <v>-9.8011876392689601E-17</v>
      </c>
      <c r="O9">
        <f>'Costing 100 Lmin Feed Orig'!O9</f>
        <v>1.94289029309402E-16</v>
      </c>
      <c r="P9">
        <f>'Costing 100 Lmin Feed Orig'!P9</f>
        <v>-4.3537493488870999E-18</v>
      </c>
      <c r="Q9">
        <f>'Costing 100 Lmin Feed Orig'!Q9</f>
        <v>0.18892482409907799</v>
      </c>
      <c r="R9">
        <f>'Costing 100 Lmin Feed Orig'!R9</f>
        <v>94.545399718491396</v>
      </c>
      <c r="S9">
        <f>'Costing 100 Lmin Feed Orig'!S9</f>
        <v>500</v>
      </c>
      <c r="T9">
        <f>'Costing 100 Lmin Feed Orig'!T9</f>
        <v>95</v>
      </c>
      <c r="U9">
        <f>'Costing 100 Lmin Feed Orig'!U9</f>
        <v>1</v>
      </c>
      <c r="V9">
        <f>'Costing 100 Lmin Feed Orig'!V9</f>
        <v>0.1</v>
      </c>
      <c r="W9">
        <f>'Costing 100 Lmin Feed Orig'!W9</f>
        <v>52.931106580020597</v>
      </c>
      <c r="X9" t="str">
        <f>'Costing 100 Lmin Feed Orig'!X9</f>
        <v>ddFc</v>
      </c>
      <c r="Y9">
        <f>'Costing 100 Lmin Feed Orig'!Y9</f>
        <v>1</v>
      </c>
      <c r="Z9">
        <f>'Costing 100 Lmin Feed Orig'!Z9</f>
        <v>0.28318429382522198</v>
      </c>
      <c r="AA9">
        <f>'Costing 100 Lmin Feed Orig'!AA9</f>
        <v>0.56945642916197003</v>
      </c>
      <c r="AB9">
        <f>'Costing 100 Lmin Feed Orig'!AB9</f>
        <v>3.7698628972227502E-3</v>
      </c>
      <c r="AC9">
        <f>'Costing 100 Lmin Feed Orig'!AC9</f>
        <v>1822.2107908876901</v>
      </c>
      <c r="AD9">
        <f>'Costing 100 Lmin Feed Orig'!AD9</f>
        <v>2662.6059073104898</v>
      </c>
      <c r="AE9">
        <f>'Costing 100 Lmin Feed Orig'!AE9</f>
        <v>2401.5030938442701</v>
      </c>
      <c r="AF9">
        <f>'Costing 100 Lmin Feed Orig'!AF9</f>
        <v>11</v>
      </c>
      <c r="AG9">
        <f>'Costing 100 Lmin Feed Orig'!AG9</f>
        <v>1.6455478770638001E-3</v>
      </c>
      <c r="AH9">
        <f>'Costing 100 Lmin Feed Orig'!AH9</f>
        <v>1.66233163271225E-3</v>
      </c>
      <c r="AI9">
        <f>'Costing 100 Lmin Feed Orig'!AI9</f>
        <v>2.0159416943409301E-5</v>
      </c>
      <c r="AJ9">
        <f>'Costing 100 Lmin Feed Orig'!AJ9</f>
        <v>0</v>
      </c>
      <c r="AK9">
        <f>'Costing 100 Lmin Feed Orig'!AK9</f>
        <v>0</v>
      </c>
      <c r="AL9">
        <f>'Costing 100 Lmin Feed Orig'!AL9</f>
        <v>0</v>
      </c>
      <c r="AM9">
        <f>'Costing 100 Lmin Feed Orig'!AM9</f>
        <v>1.60835185158262E-3</v>
      </c>
      <c r="AN9">
        <f>'Costing 100 Lmin Feed Orig'!AN9</f>
        <v>6.4624491935312605E-5</v>
      </c>
      <c r="AO9">
        <f>'Costing 100 Lmin Feed Orig'!AO9</f>
        <v>2.0025605516349801E-5</v>
      </c>
      <c r="AP9">
        <f>'Costing 100 Lmin Feed Orig'!AP9</f>
        <v>1.72982171403333E-3</v>
      </c>
      <c r="AQ9">
        <f>'Costing 100 Lmin Feed Orig'!AQ9</f>
        <v>7.4302253238869895E-2</v>
      </c>
      <c r="AR9">
        <f>'Costing 100 Lmin Feed Orig'!AR9</f>
        <v>6.2229743398349396E-6</v>
      </c>
      <c r="AS9">
        <f>'Costing 100 Lmin Feed Orig'!AS9</f>
        <v>1.3552527156068801E-19</v>
      </c>
      <c r="AT9">
        <f>'Costing 100 Lmin Feed Orig'!AT9</f>
        <v>-2.168404344971E-19</v>
      </c>
      <c r="AU9">
        <f>'Costing 100 Lmin Feed Orig'!AU9</f>
        <v>2.46168950295781E-21</v>
      </c>
      <c r="AV9">
        <f>'Costing 100 Lmin Feed Orig'!AV9</f>
        <v>0.19929348306734301</v>
      </c>
      <c r="AW9">
        <f>'Costing 100 Lmin Feed Orig'!AW9</f>
        <v>99.336233644876302</v>
      </c>
      <c r="AX9">
        <f>'Costing 100 Lmin Feed Orig'!AX9</f>
        <v>500</v>
      </c>
      <c r="AY9">
        <f>'Costing 100 Lmin Feed Orig'!AY9</f>
        <v>95</v>
      </c>
      <c r="AZ9">
        <f>'Costing 100 Lmin Feed Orig'!AZ9</f>
        <v>0.92682535301965796</v>
      </c>
      <c r="BA9">
        <f>'Costing 100 Lmin Feed Orig'!BA9</f>
        <v>0.1</v>
      </c>
      <c r="BB9">
        <f>'Costing 100 Lmin Feed Orig'!BB9</f>
        <v>46.505552452333497</v>
      </c>
      <c r="BC9" t="str">
        <f>'Costing 100 Lmin Feed Orig'!BC9</f>
        <v>coeFc</v>
      </c>
      <c r="BD9">
        <f>'Costing 100 Lmin Feed Orig'!BD9</f>
        <v>1</v>
      </c>
      <c r="BE9">
        <f>'Costing 100 Lmin Feed Orig'!BE9</f>
        <v>1.8775014999999999E-2</v>
      </c>
      <c r="BF9">
        <f>'Costing 100 Lmin Feed Orig'!BF9</f>
        <v>0.10492961100000001</v>
      </c>
      <c r="BG9">
        <f>'Costing 100 Lmin Feed Orig'!BG9</f>
        <v>1.814625E-3</v>
      </c>
      <c r="BH9">
        <f>'Costing 100 Lmin Feed Orig'!BH9</f>
        <v>285.1951444</v>
      </c>
      <c r="BI9">
        <f>'Costing 100 Lmin Feed Orig'!BI9</f>
        <v>2169.8944889999998</v>
      </c>
      <c r="BJ9">
        <f>'Costing 100 Lmin Feed Orig'!BJ9</f>
        <v>866.49409060000005</v>
      </c>
      <c r="BK9">
        <f>'Costing 100 Lmin Feed Orig'!BK9</f>
        <v>100</v>
      </c>
      <c r="BL9">
        <f>'Costing 100 Lmin Feed Orig'!BL9</f>
        <v>18.892482409907799</v>
      </c>
      <c r="BM9">
        <f>'Costing 100 Lmin Feed Orig'!BM9</f>
        <v>92.6825353019658</v>
      </c>
      <c r="BN9">
        <f>'Costing 100 Lmin Feed Orig'!BN9</f>
        <v>19.929348306734301</v>
      </c>
      <c r="BO9">
        <f t="shared" si="1"/>
        <v>188.92482409907799</v>
      </c>
      <c r="BP9">
        <f t="shared" si="2"/>
        <v>518.16305597509188</v>
      </c>
      <c r="BQ9">
        <f t="shared" si="3"/>
        <v>18.892482409907799</v>
      </c>
      <c r="BR9">
        <f t="shared" si="4"/>
        <v>51.816305597509192</v>
      </c>
      <c r="BS9">
        <f>1.2*0.5*BL9*V9/'Oxidant Feed Composition'!$N$22</f>
        <v>11.335489445944679</v>
      </c>
      <c r="BT9">
        <f>1.2*0.5*BN9*BA9/'Oxidant Feed Composition'!$N$22</f>
        <v>11.957608984040581</v>
      </c>
      <c r="BU9">
        <f t="shared" si="5"/>
        <v>9.4462412049538997</v>
      </c>
      <c r="BV9">
        <f t="shared" si="6"/>
        <v>9.9646741533671506</v>
      </c>
      <c r="BW9">
        <f t="shared" si="7"/>
        <v>83.236294097011893</v>
      </c>
      <c r="BX9">
        <f t="shared" si="0"/>
        <v>60.455943711704961</v>
      </c>
      <c r="BY9">
        <f t="shared" si="8"/>
        <v>223.1500354237472</v>
      </c>
      <c r="BZ9">
        <f t="shared" si="9"/>
        <v>63.773914581549761</v>
      </c>
      <c r="CA9">
        <f t="shared" si="10"/>
        <v>59.788044920202907</v>
      </c>
      <c r="CB9">
        <f>BO9*'Reagent cost'!$G$11*'Reagent cost'!$H$11</f>
        <v>2493.8076781078298</v>
      </c>
      <c r="CC9">
        <f>BP9*'Reagent cost'!$G$11*'Reagent cost'!$H$11</f>
        <v>6839.7523388712134</v>
      </c>
      <c r="CD9">
        <f>BQ9*'Reagent cost'!$C$18/1000*'Reagent cost'!$H$18</f>
        <v>3012.9816471142385</v>
      </c>
      <c r="CE9">
        <f>BR9*'Ligand cost'!$B$56*'Ligand cost'!$J$56</f>
        <v>52755.617695282395</v>
      </c>
      <c r="CF9">
        <f t="shared" si="11"/>
        <v>10</v>
      </c>
      <c r="CG9">
        <f t="shared" si="12"/>
        <v>3.7784964819815601</v>
      </c>
      <c r="CH9">
        <f t="shared" si="13"/>
        <v>3.9858696613468605</v>
      </c>
      <c r="CI9">
        <f>7963.6*(BX9/1000)^0.6*1.7*('CAPEX+OPEX'!$G$116/'CAPEX+OPEX'!$G$115)</f>
        <v>2965.5437179814326</v>
      </c>
      <c r="CJ9">
        <f>7963.6*(BY9/1000)^0.6*1.7*('CAPEX+OPEX'!$G$116/'CAPEX+OPEX'!$G$115)</f>
        <v>6492.3078360569407</v>
      </c>
      <c r="CK9">
        <f>7963.6*(BZ9/1000)^0.6*1.7*('CAPEX+OPEX'!$G$116/'CAPEX+OPEX'!$G$115)</f>
        <v>3062.152202899636</v>
      </c>
      <c r="CL9">
        <f>7963.6*(CA9/1000)^0.6*1.7*('CAPEX+OPEX'!$G$116/'CAPEX+OPEX'!$G$115)</f>
        <v>2945.8426061962891</v>
      </c>
      <c r="CM9">
        <f>'Costing 100 Lmin Feed Orig'!DE9</f>
        <v>39625.826528698344</v>
      </c>
      <c r="CN9">
        <f>'Costing 100 Lmin Feed Orig'!DF9</f>
        <v>4586243.4239371875</v>
      </c>
      <c r="CO9">
        <f>'Costing 100 Lmin Feed Orig'!DG9</f>
        <v>11794834.586807497</v>
      </c>
      <c r="CP9">
        <f>'Costing 100 Lmin Feed Orig'!DH9</f>
        <v>2275209.1661185985</v>
      </c>
      <c r="CQ9">
        <f>'Costing 100 Lmin Feed Orig'!DI9</f>
        <v>14083914.336508472</v>
      </c>
      <c r="CR9">
        <f>'Costing 100 Lmin Feed Orig'!DJ9</f>
        <v>1662824.8986326549</v>
      </c>
      <c r="CS9">
        <f>CN9*(BK9/10000)^0.72*((A9+1)/3)^0.6*('CAPEX+OPEX'!$G$116/'CAPEX+OPEX'!$G$114)</f>
        <v>461850.0978118488</v>
      </c>
      <c r="CT9">
        <f>CO9*(BK9/10000)^0.72*((A9+1)/3)^0.6*('CAPEX+OPEX'!$G$116/'CAPEX+OPEX'!$G$114)</f>
        <v>1187779.4098672394</v>
      </c>
      <c r="CU9">
        <f>CP9*(BK9/10000)^0.72*((A9+1)/3)^0.6*('CAPEX+OPEX'!$G$116/'CAPEX+OPEX'!$G$114)</f>
        <v>229121.19544936769</v>
      </c>
      <c r="CV9">
        <f>CQ9*(BK9/10000)^0.72*((A9+1)/3)^0.6*('CAPEX+OPEX'!$G$116/'CAPEX+OPEX'!$G$114)</f>
        <v>1418297.4196136401</v>
      </c>
      <c r="CW9">
        <f>CR9*(BK9/10000)^0.72*((A9+1)/3)^0.6*('CAPEX+OPEX'!$G$116/'CAPEX+OPEX'!$G$114)</f>
        <v>167452.04540804314</v>
      </c>
      <c r="CX9">
        <f t="shared" si="14"/>
        <v>3464500.168150139</v>
      </c>
      <c r="CY9">
        <f>CN9*(BM9/10000)^0.72*((AF9+1)/3)^0.6*('CAPEX+OPEX'!$G$116/'CAPEX+OPEX'!$G$114)</f>
        <v>845302.75526646047</v>
      </c>
      <c r="CZ9">
        <f>CO9*(BM9/10000)^0.72*((AF9+1)/3)^0.6*('CAPEX+OPEX'!$G$116/'CAPEX+OPEX'!$G$114)</f>
        <v>2173937.4151190002</v>
      </c>
      <c r="DA9">
        <f>CP9*(BM9/10000)^0.72*((AF9+1)/3)^0.6*('CAPEX+OPEX'!$G$116/'CAPEX+OPEX'!$G$114)</f>
        <v>419349.86854153901</v>
      </c>
      <c r="DB9">
        <f>CQ9*(BM9/10000)^0.72*((AF9+1)/3)^0.6*('CAPEX+OPEX'!$G$116/'CAPEX+OPEX'!$G$114)</f>
        <v>2595843.8079082798</v>
      </c>
      <c r="DC9">
        <f>CR9*(BM9/10000)^0.72*((AF9+1)/3)^0.6*('CAPEX+OPEX'!$G$116/'CAPEX+OPEX'!$G$114)</f>
        <v>306479.69120077539</v>
      </c>
      <c r="DD9">
        <f t="shared" si="15"/>
        <v>6340913.5380360549</v>
      </c>
      <c r="DE9">
        <f>CX9+DD9+1.15*(SUM(CI9:CL9)+SUM(CB9:CE9))</f>
        <v>9898066.9127670806</v>
      </c>
      <c r="DF9">
        <f t="shared" si="16"/>
        <v>659871.12751780532</v>
      </c>
      <c r="DG9">
        <f>(BS9+BT9)*'Oxidant Feed Composition'!$N$25*60*7200</f>
        <v>18759171.373411186</v>
      </c>
      <c r="DH9">
        <f>((CG9+CH9)*'Reagent cost'!$C$17/1000*'Reagent cost'!$H$17+(CG9+CH9)*0.5*'Reagent cost'!$C$16/1000*'Reagent cost'!$H$16)*60*7200</f>
        <v>7475955.3466133829</v>
      </c>
      <c r="DI9">
        <f>CF9*'Reagent cost'!$C$17/1000*'Reagent cost'!$H$17*60*7200</f>
        <v>504921.59999999998</v>
      </c>
      <c r="DJ9">
        <f t="shared" si="17"/>
        <v>93.335600169790439</v>
      </c>
      <c r="DK9">
        <f t="shared" si="18"/>
        <v>1115.3719868479327</v>
      </c>
      <c r="DL9">
        <f t="shared" si="19"/>
        <v>32089508.433133908</v>
      </c>
      <c r="DM9">
        <f>BK9*(B9*(409.81+2)/1000+C9*(248.2+2*22.99)/1000+D9*(315.6+3*22.99)/1000+0.1*58.44/1000)</f>
        <v>0.70639694042110623</v>
      </c>
      <c r="DN9">
        <f>(BS9+BT9)/1000*('Oxidant Feed Composition'!$B$11*'Oxidant Feed Composition'!$O$20+'Oxidant Feed Composition'!$D$11*'Oxidant Feed Composition'!$O$21+'Oxidant Feed Composition'!$F$11*'Oxidant Feed Composition'!$O$27-'Oxidant Feed Composition'!$J$15*18.015)</f>
        <v>2.7202737853205505</v>
      </c>
      <c r="DO9">
        <f>(BU9+BV9)/1000*(0.2*368.34+0.4*58.44)</f>
        <v>1.8837128700329075</v>
      </c>
      <c r="DP9">
        <f>BK9/1000*(B9*195.08+C9*106.42+D9*102.91)</f>
        <v>4.999938342565946E-2</v>
      </c>
      <c r="DQ9">
        <f>SUM(DM9:DO9)-DP9</f>
        <v>5.260384212348904</v>
      </c>
      <c r="DR9">
        <f>DQ9*60*7200*0.33</f>
        <v>749920.37331245968</v>
      </c>
      <c r="DS9">
        <v>1.2</v>
      </c>
      <c r="DT9">
        <f>BM9/60*(AM9*4+AN9*2+AO9*3)*96485/DV9</f>
        <v>1410.0862448248422</v>
      </c>
      <c r="DU9">
        <f>BN9*BA9*(AP9*4+AQ9*2+AR9*3)*96485/DV9/60</f>
        <v>712.11900740011947</v>
      </c>
      <c r="DV9">
        <v>0.7</v>
      </c>
      <c r="DW9">
        <f>0.499*((BK9/3.78541*15)^(-0.146))*BK9/3.78541*15*300*(1+(A9-2)/9)</f>
        <v>27520.276190787874</v>
      </c>
      <c r="DX9">
        <f>0.248*((BK9/3.78541*15)^(-0.144))*BK9/3.78541*15*300*(1+(A9-2)/3)</f>
        <v>16610.439588917834</v>
      </c>
      <c r="DY9">
        <f>0.105*((BK9/3.78541*15)^(-0.144))*BK9/3.78541*15*300*(1+(A9-2)/3)</f>
        <v>7032.645793695051</v>
      </c>
      <c r="DZ9">
        <f>0.058*((BK9/3.78541*15)^(-0.151))*BK9/3.78541*15*300*(1+(A9-2)/3)</f>
        <v>3725.3886787897172</v>
      </c>
      <c r="EA9">
        <f>0.056*((BK9/3.78541*15)^(-0.144))*BK9/3.78541*15*300*(1+(A9-2)/3)</f>
        <v>3750.7444233040283</v>
      </c>
      <c r="EB9">
        <f>DS9*DT9/(3.6*10^6)*3600*7200*0.07</f>
        <v>852.82016087006468</v>
      </c>
      <c r="EC9">
        <f>0.499*((BM9/3.78541*15)^(-0.146))*BM9/3.78541*15*300*(1+(AF9-2)/9)</f>
        <v>46423.887414940575</v>
      </c>
      <c r="ED9">
        <f>0.248*((BM9/3.78541*15)^(-0.144))*BM9/3.78541*15*300*(1+(AF9-2)/3)</f>
        <v>46693.087050290189</v>
      </c>
      <c r="EE9">
        <f>0.105*((BM9/3.78541*15)^(-0.144))*BM9/3.78541*15*300*(1+(AF9-2)/3)</f>
        <v>19769.250565647053</v>
      </c>
      <c r="EF9">
        <f>0.058*((BM9/3.78541*15)^(-0.151))*BM9/3.78541*15*300*(1+(AF9-2)/3)</f>
        <v>10477.895596099019</v>
      </c>
      <c r="EG9">
        <f>0.056*((BM9/3.78541*15)^(-0.144))*BM9/3.78541*15*300*(1+(AF9-2)/3)</f>
        <v>10543.600301678431</v>
      </c>
      <c r="EH9">
        <f>DS9*DU9/(3.6*10^6)*3600*7200*0.07</f>
        <v>430.68957567559227</v>
      </c>
      <c r="EI9">
        <f>SUM(DW9:EH9)</f>
        <v>193830.72534069544</v>
      </c>
      <c r="EJ9">
        <f>EI9+DR9+DL9</f>
        <v>33033259.531787064</v>
      </c>
      <c r="EK9">
        <f>EJ9+DF9</f>
        <v>33693130.659304872</v>
      </c>
      <c r="EL9">
        <f>EK9/(BK9*60*7200)</f>
        <v>0.77993358007650171</v>
      </c>
      <c r="EM9">
        <f>EK9/(BM9*(AM9*195.084/1000+AN9*106.42/1000+AO9*102.911/1000)*60*7200)</f>
        <v>2607.703340526034</v>
      </c>
      <c r="EN9">
        <f>EK9/(BN9*BA9*(AP9*195.084/1000+AQ9*106.42/1000+AR9*102.911/1000)*60*7200)</f>
        <v>4746.3045123418187</v>
      </c>
    </row>
    <row r="10" spans="1:145">
      <c r="A10">
        <f>'Costing 100 Lmin Feed Orig'!A10</f>
        <v>3</v>
      </c>
      <c r="B10">
        <f>'Costing 100 Lmin Feed Orig'!B10</f>
        <v>1.54143585092054E-3</v>
      </c>
      <c r="C10">
        <f>'Costing 100 Lmin Feed Orig'!C10</f>
        <v>1.54143585092054E-3</v>
      </c>
      <c r="D10">
        <f>'Costing 100 Lmin Feed Orig'!D10</f>
        <v>3.4254130020456501E-4</v>
      </c>
      <c r="E10">
        <f>'Costing 100 Lmin Feed Orig'!E10</f>
        <v>0</v>
      </c>
      <c r="F10">
        <f>'Costing 100 Lmin Feed Orig'!F10</f>
        <v>0</v>
      </c>
      <c r="G10">
        <f>'Costing 100 Lmin Feed Orig'!G10</f>
        <v>0</v>
      </c>
      <c r="H10">
        <f>'Costing 100 Lmin Feed Orig'!H10</f>
        <v>1.6300358850230801E-5</v>
      </c>
      <c r="I10">
        <f>'Costing 100 Lmin Feed Orig'!I10</f>
        <v>7.4474859607128495E-7</v>
      </c>
      <c r="J10">
        <f>'Costing 100 Lmin Feed Orig'!J10</f>
        <v>3.2385704147932398E-4</v>
      </c>
      <c r="K10">
        <f>'Costing 100 Lmin Feed Orig'!K10</f>
        <v>8.07271092797512E-2</v>
      </c>
      <c r="L10">
        <f>'Costing 100 Lmin Feed Orig'!L10</f>
        <v>8.15504849440159E-2</v>
      </c>
      <c r="M10">
        <f>'Costing 100 Lmin Feed Orig'!M10</f>
        <v>9.8897848995466706E-4</v>
      </c>
      <c r="N10">
        <f>'Costing 100 Lmin Feed Orig'!N10</f>
        <v>-9.8011876392689601E-17</v>
      </c>
      <c r="O10">
        <f>'Costing 100 Lmin Feed Orig'!O10</f>
        <v>1.94289029309402E-16</v>
      </c>
      <c r="P10">
        <f>'Costing 100 Lmin Feed Orig'!P10</f>
        <v>-4.3537493488870999E-18</v>
      </c>
      <c r="Q10">
        <f>'Costing 100 Lmin Feed Orig'!Q10</f>
        <v>0.18892482409907799</v>
      </c>
      <c r="R10">
        <f>'Costing 100 Lmin Feed Orig'!R10</f>
        <v>94.545399718491396</v>
      </c>
      <c r="S10">
        <f>'Costing 100 Lmin Feed Orig'!S10</f>
        <v>500</v>
      </c>
      <c r="T10">
        <f>'Costing 100 Lmin Feed Orig'!T10</f>
        <v>95</v>
      </c>
      <c r="U10">
        <f>'Costing 100 Lmin Feed Orig'!U10</f>
        <v>1</v>
      </c>
      <c r="V10">
        <f>'Costing 100 Lmin Feed Orig'!V10</f>
        <v>0.1</v>
      </c>
      <c r="W10">
        <f>'Costing 100 Lmin Feed Orig'!W10</f>
        <v>52.931106580020597</v>
      </c>
      <c r="X10" t="str">
        <f>'Costing 100 Lmin Feed Orig'!X10</f>
        <v>ddFc</v>
      </c>
      <c r="Y10">
        <f>'Costing 100 Lmin Feed Orig'!Y10</f>
        <v>1</v>
      </c>
      <c r="Z10">
        <f>'Costing 100 Lmin Feed Orig'!Z10</f>
        <v>0.28318429382522198</v>
      </c>
      <c r="AA10">
        <f>'Costing 100 Lmin Feed Orig'!AA10</f>
        <v>0.56945642916197003</v>
      </c>
      <c r="AB10">
        <f>'Costing 100 Lmin Feed Orig'!AB10</f>
        <v>3.7698628972227502E-3</v>
      </c>
      <c r="AC10">
        <f>'Costing 100 Lmin Feed Orig'!AC10</f>
        <v>1822.2107908876901</v>
      </c>
      <c r="AD10">
        <f>'Costing 100 Lmin Feed Orig'!AD10</f>
        <v>2662.6059073104898</v>
      </c>
      <c r="AE10">
        <f>'Costing 100 Lmin Feed Orig'!AE10</f>
        <v>2401.5030938442701</v>
      </c>
      <c r="AF10">
        <f>'Costing 100 Lmin Feed Orig'!AF10</f>
        <v>12</v>
      </c>
      <c r="AG10">
        <f>'Costing 100 Lmin Feed Orig'!AG10</f>
        <v>1.6455478770638001E-3</v>
      </c>
      <c r="AH10">
        <f>'Costing 100 Lmin Feed Orig'!AH10</f>
        <v>1.66233163271225E-3</v>
      </c>
      <c r="AI10">
        <f>'Costing 100 Lmin Feed Orig'!AI10</f>
        <v>2.0159416943409301E-5</v>
      </c>
      <c r="AJ10">
        <f>'Costing 100 Lmin Feed Orig'!AJ10</f>
        <v>0</v>
      </c>
      <c r="AK10">
        <f>'Costing 100 Lmin Feed Orig'!AK10</f>
        <v>0</v>
      </c>
      <c r="AL10">
        <f>'Costing 100 Lmin Feed Orig'!AL10</f>
        <v>0</v>
      </c>
      <c r="AM10">
        <f>'Costing 100 Lmin Feed Orig'!AM10</f>
        <v>1.6083531230386601E-3</v>
      </c>
      <c r="AN10">
        <f>'Costing 100 Lmin Feed Orig'!AN10</f>
        <v>6.4624554467975802E-5</v>
      </c>
      <c r="AO10">
        <f>'Costing 100 Lmin Feed Orig'!AO10</f>
        <v>2.0025609902478401E-5</v>
      </c>
      <c r="AP10">
        <f>'Costing 100 Lmin Feed Orig'!AP10</f>
        <v>1.72977922313241E-3</v>
      </c>
      <c r="AQ10">
        <f>'Costing 100 Lmin Feed Orig'!AQ10</f>
        <v>7.4302965056042405E-2</v>
      </c>
      <c r="AR10">
        <f>'Costing 100 Lmin Feed Orig'!AR10</f>
        <v>6.2228302183306801E-6</v>
      </c>
      <c r="AS10">
        <f>'Costing 100 Lmin Feed Orig'!AS10</f>
        <v>6.7762635780344003E-20</v>
      </c>
      <c r="AT10">
        <f>'Costing 100 Lmin Feed Orig'!AT10</f>
        <v>2.168404344971E-19</v>
      </c>
      <c r="AU10">
        <f>'Costing 100 Lmin Feed Orig'!AU10</f>
        <v>3.8381180422460401E-21</v>
      </c>
      <c r="AV10">
        <f>'Costing 100 Lmin Feed Orig'!AV10</f>
        <v>0.199291566049737</v>
      </c>
      <c r="AW10">
        <f>'Costing 100 Lmin Feed Orig'!AW10</f>
        <v>99.336255402095702</v>
      </c>
      <c r="AX10">
        <f>'Costing 100 Lmin Feed Orig'!AX10</f>
        <v>500</v>
      </c>
      <c r="AY10">
        <f>'Costing 100 Lmin Feed Orig'!AY10</f>
        <v>95</v>
      </c>
      <c r="AZ10">
        <f>'Costing 100 Lmin Feed Orig'!AZ10</f>
        <v>0.92682535301965796</v>
      </c>
      <c r="BA10">
        <f>'Costing 100 Lmin Feed Orig'!BA10</f>
        <v>0.1</v>
      </c>
      <c r="BB10">
        <f>'Costing 100 Lmin Feed Orig'!BB10</f>
        <v>46.505999796717497</v>
      </c>
      <c r="BC10" t="str">
        <f>'Costing 100 Lmin Feed Orig'!BC10</f>
        <v>coeFc</v>
      </c>
      <c r="BD10">
        <f>'Costing 100 Lmin Feed Orig'!BD10</f>
        <v>1</v>
      </c>
      <c r="BE10">
        <f>'Costing 100 Lmin Feed Orig'!BE10</f>
        <v>1.8775014999999999E-2</v>
      </c>
      <c r="BF10">
        <f>'Costing 100 Lmin Feed Orig'!BF10</f>
        <v>0.10492961100000001</v>
      </c>
      <c r="BG10">
        <f>'Costing 100 Lmin Feed Orig'!BG10</f>
        <v>1.814625E-3</v>
      </c>
      <c r="BH10">
        <f>'Costing 100 Lmin Feed Orig'!BH10</f>
        <v>285.1951444</v>
      </c>
      <c r="BI10">
        <f>'Costing 100 Lmin Feed Orig'!BI10</f>
        <v>2169.8944889999998</v>
      </c>
      <c r="BJ10">
        <f>'Costing 100 Lmin Feed Orig'!BJ10</f>
        <v>866.49409060000005</v>
      </c>
      <c r="BK10">
        <f>'Costing 100 Lmin Feed Orig'!BK10</f>
        <v>100</v>
      </c>
      <c r="BL10">
        <f>'Costing 100 Lmin Feed Orig'!BL10</f>
        <v>18.892482409907799</v>
      </c>
      <c r="BM10">
        <f>'Costing 100 Lmin Feed Orig'!BM10</f>
        <v>92.6825353019658</v>
      </c>
      <c r="BN10">
        <f>'Costing 100 Lmin Feed Orig'!BN10</f>
        <v>19.929156604973699</v>
      </c>
      <c r="BO10">
        <f t="shared" si="1"/>
        <v>188.92482409907799</v>
      </c>
      <c r="BP10">
        <f>(AF10+2)*2*BN10</f>
        <v>558.01638493926362</v>
      </c>
      <c r="BQ10">
        <f t="shared" si="3"/>
        <v>18.892482409907799</v>
      </c>
      <c r="BR10">
        <f t="shared" si="4"/>
        <v>55.801638493926362</v>
      </c>
      <c r="BS10">
        <f>1.2*0.5*BL10*V10/'Oxidant Feed Composition'!$N$22</f>
        <v>11.335489445944679</v>
      </c>
      <c r="BT10">
        <f>1.2*0.5*BN10*BA10/'Oxidant Feed Composition'!$N$22</f>
        <v>11.957493962984218</v>
      </c>
      <c r="BU10">
        <f t="shared" si="5"/>
        <v>9.4462412049538997</v>
      </c>
      <c r="BV10">
        <f t="shared" si="6"/>
        <v>9.9645783024868493</v>
      </c>
      <c r="BW10">
        <f t="shared" si="7"/>
        <v>83.236294097011893</v>
      </c>
      <c r="BX10">
        <f t="shared" si="0"/>
        <v>60.455943711704961</v>
      </c>
      <c r="BY10">
        <f t="shared" si="8"/>
        <v>223.1500354237472</v>
      </c>
      <c r="BZ10">
        <f t="shared" si="9"/>
        <v>63.77330113591583</v>
      </c>
      <c r="CA10">
        <f t="shared" si="10"/>
        <v>59.787469814921096</v>
      </c>
      <c r="CB10">
        <f>BO10*'Reagent cost'!$G$11*'Reagent cost'!$H$11</f>
        <v>2493.8076781078298</v>
      </c>
      <c r="CC10">
        <f>BP10*'Reagent cost'!$G$11*'Reagent cost'!$H$11</f>
        <v>7365.8162811982802</v>
      </c>
      <c r="CD10">
        <f>BQ10*'Reagent cost'!$C$18/1000*'Reagent cost'!$H$18</f>
        <v>3012.9816471142385</v>
      </c>
      <c r="CE10">
        <f>BR10*'Ligand cost'!$B$56*'Ligand cost'!$J$56</f>
        <v>56813.195638120589</v>
      </c>
      <c r="CF10">
        <f t="shared" si="11"/>
        <v>10</v>
      </c>
      <c r="CG10">
        <f t="shared" si="12"/>
        <v>3.7784964819815601</v>
      </c>
      <c r="CH10">
        <f t="shared" si="13"/>
        <v>3.9858313209947398</v>
      </c>
      <c r="CI10">
        <f>7963.6*(BX10/1000)^0.6*1.7*('CAPEX+OPEX'!$G$116/'CAPEX+OPEX'!$G$115)</f>
        <v>2965.5437179814326</v>
      </c>
      <c r="CJ10">
        <f>7963.6*(BY10/1000)^0.6*1.7*('CAPEX+OPEX'!$G$116/'CAPEX+OPEX'!$G$115)</f>
        <v>6492.3078360569407</v>
      </c>
      <c r="CK10">
        <f>7963.6*(BZ10/1000)^0.6*1.7*('CAPEX+OPEX'!$G$116/'CAPEX+OPEX'!$G$115)</f>
        <v>3062.1345298351043</v>
      </c>
      <c r="CL10">
        <f>7963.6*(CA10/1000)^0.6*1.7*('CAPEX+OPEX'!$G$116/'CAPEX+OPEX'!$G$115)</f>
        <v>2945.825604407014</v>
      </c>
      <c r="CM10">
        <f>'Costing 100 Lmin Feed Orig'!DE10</f>
        <v>39625.826528698344</v>
      </c>
      <c r="CN10">
        <f>'Costing 100 Lmin Feed Orig'!DF10</f>
        <v>4586243.4239371875</v>
      </c>
      <c r="CO10">
        <f>'Costing 100 Lmin Feed Orig'!DG10</f>
        <v>11794834.586807497</v>
      </c>
      <c r="CP10">
        <f>'Costing 100 Lmin Feed Orig'!DH10</f>
        <v>2275209.1661185985</v>
      </c>
      <c r="CQ10">
        <f>'Costing 100 Lmin Feed Orig'!DI10</f>
        <v>14083914.336508472</v>
      </c>
      <c r="CR10">
        <f>'Costing 100 Lmin Feed Orig'!DJ10</f>
        <v>1662824.8986326549</v>
      </c>
      <c r="CS10">
        <f>CN10*(BK10/10000)^0.72*((A10+1)/3)^0.6*('CAPEX+OPEX'!$G$116/'CAPEX+OPEX'!$G$114)</f>
        <v>461850.0978118488</v>
      </c>
      <c r="CT10">
        <f>CO10*(BK10/10000)^0.72*((A10+1)/3)^0.6*('CAPEX+OPEX'!$G$116/'CAPEX+OPEX'!$G$114)</f>
        <v>1187779.4098672394</v>
      </c>
      <c r="CU10">
        <f>CP10*(BK10/10000)^0.72*((A10+1)/3)^0.6*('CAPEX+OPEX'!$G$116/'CAPEX+OPEX'!$G$114)</f>
        <v>229121.19544936769</v>
      </c>
      <c r="CV10">
        <f>CQ10*(BK10/10000)^0.72*((A10+1)/3)^0.6*('CAPEX+OPEX'!$G$116/'CAPEX+OPEX'!$G$114)</f>
        <v>1418297.4196136401</v>
      </c>
      <c r="CW10">
        <f>CR10*(BK10/10000)^0.72*((A10+1)/3)^0.6*('CAPEX+OPEX'!$G$116/'CAPEX+OPEX'!$G$114)</f>
        <v>167452.04540804314</v>
      </c>
      <c r="CX10">
        <f t="shared" si="14"/>
        <v>3464500.168150139</v>
      </c>
      <c r="CY10">
        <f>CN10*(BM10/10000)^0.72*((AF10+1)/3)^0.6*('CAPEX+OPEX'!$G$116/'CAPEX+OPEX'!$G$114)</f>
        <v>886889.57159349206</v>
      </c>
      <c r="CZ10">
        <f>CO10*(BM10/10000)^0.72*((AF10+1)/3)^0.6*('CAPEX+OPEX'!$G$116/'CAPEX+OPEX'!$G$114)</f>
        <v>2280889.7886038315</v>
      </c>
      <c r="DA10">
        <f>CP10*(BM10/10000)^0.72*((AF10+1)/3)^0.6*('CAPEX+OPEX'!$G$116/'CAPEX+OPEX'!$G$114)</f>
        <v>439980.85057862528</v>
      </c>
      <c r="DB10">
        <f>CQ10*(BM10/10000)^0.72*((AF10+1)/3)^0.6*('CAPEX+OPEX'!$G$116/'CAPEX+OPEX'!$G$114)</f>
        <v>2723552.9381347802</v>
      </c>
      <c r="DC10">
        <f>CR10*(BM10/10000)^0.72*((AF10+1)/3)^0.6*('CAPEX+OPEX'!$G$116/'CAPEX+OPEX'!$G$114)</f>
        <v>321557.73814493133</v>
      </c>
      <c r="DD10">
        <f t="shared" si="15"/>
        <v>6652870.8870556606</v>
      </c>
      <c r="DE10">
        <f>CX10+DD10+1.15*(SUM(CI10:CL10)+SUM(CB10:CE10))</f>
        <v>10215295.410078544</v>
      </c>
      <c r="DF10">
        <f t="shared" si="16"/>
        <v>681019.69400523626</v>
      </c>
      <c r="DG10">
        <f>(BS10+BT10)*'Oxidant Feed Composition'!$N$25*60*7200</f>
        <v>18759078.740835305</v>
      </c>
      <c r="DH10">
        <f>((CG10+CH10)*'Reagent cost'!$C$17/1000*'Reagent cost'!$H$17+(CG10+CH10)*0.5*'Reagent cost'!$C$16/1000*'Reagent cost'!$H$16)*60*7200</f>
        <v>7475918.4304305119</v>
      </c>
      <c r="DI10">
        <f>CF10*'Reagent cost'!$C$17/1000*'Reagent cost'!$H$17*60*7200</f>
        <v>504921.59999999998</v>
      </c>
      <c r="DJ10">
        <f t="shared" si="17"/>
        <v>98.596239593061114</v>
      </c>
      <c r="DK10">
        <f t="shared" si="18"/>
        <v>1196.5235457046965</v>
      </c>
      <c r="DL10">
        <f t="shared" si="19"/>
        <v>32089456.66926134</v>
      </c>
      <c r="DM10">
        <f>BK10*(B10*(409.81+2)/1000+C10*(248.2+2*22.99)/1000+D10*(315.6+3*22.99)/1000+0.1*58.44/1000)</f>
        <v>0.70639694042110623</v>
      </c>
      <c r="DN10">
        <f>(BS10+BT10)/1000*('Oxidant Feed Composition'!$B$11*'Oxidant Feed Composition'!$O$20+'Oxidant Feed Composition'!$D$11*'Oxidant Feed Composition'!$O$21+'Oxidant Feed Composition'!$F$11*'Oxidant Feed Composition'!$O$27-'Oxidant Feed Composition'!$J$15*18.015)</f>
        <v>2.7202603526393925</v>
      </c>
      <c r="DO10">
        <f>(BU10+BV10)/1000*(0.2*368.34+0.4*58.44)</f>
        <v>1.88370356828008</v>
      </c>
      <c r="DP10">
        <f>BK10/1000*(B10*195.08+C10*106.42+D10*102.91)</f>
        <v>4.999938342565946E-2</v>
      </c>
      <c r="DQ10">
        <f>SUM(DM10:DO10)-DP10</f>
        <v>5.2603614779149188</v>
      </c>
      <c r="DR10">
        <f>DQ10*60*7200*0.33</f>
        <v>749917.13229155098</v>
      </c>
      <c r="DS10">
        <v>1.2</v>
      </c>
      <c r="DT10">
        <f>BM10/60*(AM10*4+AN10*2+AO10*3)*96485/DV10</f>
        <v>1410.0873571085197</v>
      </c>
      <c r="DU10">
        <f>BN10*BA10*(AP10*4+AQ10*2+AR10*3)*96485/DV10/60</f>
        <v>712.11789511644781</v>
      </c>
      <c r="DV10">
        <v>0.7</v>
      </c>
      <c r="DW10">
        <f>0.499*((BK10/3.78541*15)^(-0.146))*BK10/3.78541*15*300*(1+(A10-2)/9)</f>
        <v>27520.276190787874</v>
      </c>
      <c r="DX10">
        <f>0.248*((BK10/3.78541*15)^(-0.144))*BK10/3.78541*15*300*(1+(A10-2)/3)</f>
        <v>16610.439588917834</v>
      </c>
      <c r="DY10">
        <f>0.105*((BK10/3.78541*15)^(-0.144))*BK10/3.78541*15*300*(1+(A10-2)/3)</f>
        <v>7032.645793695051</v>
      </c>
      <c r="DZ10">
        <f>0.058*((BK10/3.78541*15)^(-0.151))*BK10/3.78541*15*300*(1+(A10-2)/3)</f>
        <v>3725.3886787897172</v>
      </c>
      <c r="EA10">
        <f>0.056*((BK10/3.78541*15)^(-0.144))*BK10/3.78541*15*300*(1+(A10-2)/3)</f>
        <v>3750.7444233040283</v>
      </c>
      <c r="EB10">
        <f>DS10*DT10/(3.6*10^6)*3600*7200*0.07</f>
        <v>852.82083357923284</v>
      </c>
      <c r="EC10">
        <f>0.499*((BM10/3.78541*15)^(-0.146))*BM10/3.78541*15*300*(1+(AF10-2)/9)</f>
        <v>49002.992271326162</v>
      </c>
      <c r="ED10">
        <f>0.248*((BM10/3.78541*15)^(-0.144))*BM10/3.78541*15*300*(1+(AF10-2)/3)</f>
        <v>50584.177637814377</v>
      </c>
      <c r="EE10">
        <f>0.105*((BM10/3.78541*15)^(-0.144))*BM10/3.78541*15*300*(1+(AF10-2)/3)</f>
        <v>21416.688112784312</v>
      </c>
      <c r="EF10">
        <f>0.058*((BM10/3.78541*15)^(-0.151))*BM10/3.78541*15*300*(1+(AF10-2)/3)</f>
        <v>11351.053562440606</v>
      </c>
      <c r="EG10">
        <f>0.056*((BM10/3.78541*15)^(-0.144))*BM10/3.78541*15*300*(1+(AF10-2)/3)</f>
        <v>11422.233660151634</v>
      </c>
      <c r="EH10">
        <f>DS10*DU10/(3.6*10^6)*3600*7200*0.07</f>
        <v>430.68890296642769</v>
      </c>
      <c r="EI10">
        <f>SUM(DW10:EH10)</f>
        <v>203700.14965655727</v>
      </c>
      <c r="EJ10">
        <f>EI10+DR10+DL10</f>
        <v>33043073.951209448</v>
      </c>
      <c r="EK10">
        <f>EJ10+DF10</f>
        <v>33724093.645214684</v>
      </c>
      <c r="EL10">
        <f>EK10/(BK10*60*7200)</f>
        <v>0.78065031586145106</v>
      </c>
      <c r="EM10">
        <f>EK10/(BM10*(AM10*195.084/1000+AN10*106.42/1000+AO10*102.911/1000)*60*7200)</f>
        <v>2610.0976787154732</v>
      </c>
      <c r="EN10">
        <f>EK10/(BN10*BA10*(AP10*195.084/1000+AQ10*106.42/1000+AR10*102.911/1000)*60*7200)</f>
        <v>4750.6730617722133</v>
      </c>
    </row>
    <row r="11" spans="1:145">
      <c r="A11">
        <f>'Costing 100 Lmin Feed Orig'!A11</f>
        <v>3</v>
      </c>
      <c r="B11">
        <f>'Costing 100 Lmin Feed Orig'!B11</f>
        <v>1.54143585092054E-3</v>
      </c>
      <c r="C11">
        <f>'Costing 100 Lmin Feed Orig'!C11</f>
        <v>1.54143585092054E-3</v>
      </c>
      <c r="D11">
        <f>'Costing 100 Lmin Feed Orig'!D11</f>
        <v>3.4254130020456501E-4</v>
      </c>
      <c r="E11">
        <f>'Costing 100 Lmin Feed Orig'!E11</f>
        <v>0</v>
      </c>
      <c r="F11">
        <f>'Costing 100 Lmin Feed Orig'!F11</f>
        <v>0</v>
      </c>
      <c r="G11">
        <f>'Costing 100 Lmin Feed Orig'!G11</f>
        <v>0</v>
      </c>
      <c r="H11">
        <f>'Costing 100 Lmin Feed Orig'!H11</f>
        <v>1.6300358850230801E-5</v>
      </c>
      <c r="I11">
        <f>'Costing 100 Lmin Feed Orig'!I11</f>
        <v>7.4474859607128495E-7</v>
      </c>
      <c r="J11">
        <f>'Costing 100 Lmin Feed Orig'!J11</f>
        <v>3.2385704147932398E-4</v>
      </c>
      <c r="K11">
        <f>'Costing 100 Lmin Feed Orig'!K11</f>
        <v>8.07271092797512E-2</v>
      </c>
      <c r="L11">
        <f>'Costing 100 Lmin Feed Orig'!L11</f>
        <v>8.15504849440159E-2</v>
      </c>
      <c r="M11">
        <f>'Costing 100 Lmin Feed Orig'!M11</f>
        <v>9.8897848995466706E-4</v>
      </c>
      <c r="N11">
        <f>'Costing 100 Lmin Feed Orig'!N11</f>
        <v>-9.8011876392689601E-17</v>
      </c>
      <c r="O11">
        <f>'Costing 100 Lmin Feed Orig'!O11</f>
        <v>1.94289029309402E-16</v>
      </c>
      <c r="P11">
        <f>'Costing 100 Lmin Feed Orig'!P11</f>
        <v>-4.3537493488870999E-18</v>
      </c>
      <c r="Q11">
        <f>'Costing 100 Lmin Feed Orig'!Q11</f>
        <v>0.18892482409907799</v>
      </c>
      <c r="R11">
        <f>'Costing 100 Lmin Feed Orig'!R11</f>
        <v>94.545399718491396</v>
      </c>
      <c r="S11">
        <f>'Costing 100 Lmin Feed Orig'!S11</f>
        <v>500</v>
      </c>
      <c r="T11">
        <f>'Costing 100 Lmin Feed Orig'!T11</f>
        <v>95</v>
      </c>
      <c r="U11">
        <f>'Costing 100 Lmin Feed Orig'!U11</f>
        <v>1</v>
      </c>
      <c r="V11">
        <f>'Costing 100 Lmin Feed Orig'!V11</f>
        <v>0.1</v>
      </c>
      <c r="W11">
        <f>'Costing 100 Lmin Feed Orig'!W11</f>
        <v>52.931106580020597</v>
      </c>
      <c r="X11" t="str">
        <f>'Costing 100 Lmin Feed Orig'!X11</f>
        <v>ddFc</v>
      </c>
      <c r="Y11">
        <f>'Costing 100 Lmin Feed Orig'!Y11</f>
        <v>1</v>
      </c>
      <c r="Z11">
        <f>'Costing 100 Lmin Feed Orig'!Z11</f>
        <v>0.28318429382522198</v>
      </c>
      <c r="AA11">
        <f>'Costing 100 Lmin Feed Orig'!AA11</f>
        <v>0.56945642916197003</v>
      </c>
      <c r="AB11">
        <f>'Costing 100 Lmin Feed Orig'!AB11</f>
        <v>3.7698628972227502E-3</v>
      </c>
      <c r="AC11">
        <f>'Costing 100 Lmin Feed Orig'!AC11</f>
        <v>1822.2107908876901</v>
      </c>
      <c r="AD11">
        <f>'Costing 100 Lmin Feed Orig'!AD11</f>
        <v>2662.6059073104898</v>
      </c>
      <c r="AE11">
        <f>'Costing 100 Lmin Feed Orig'!AE11</f>
        <v>2401.5030938442701</v>
      </c>
      <c r="AF11">
        <f>'Costing 100 Lmin Feed Orig'!AF11</f>
        <v>13</v>
      </c>
      <c r="AG11">
        <f>'Costing 100 Lmin Feed Orig'!AG11</f>
        <v>1.6455478770638001E-3</v>
      </c>
      <c r="AH11">
        <f>'Costing 100 Lmin Feed Orig'!AH11</f>
        <v>1.66233163271225E-3</v>
      </c>
      <c r="AI11">
        <f>'Costing 100 Lmin Feed Orig'!AI11</f>
        <v>2.0159416943409301E-5</v>
      </c>
      <c r="AJ11">
        <f>'Costing 100 Lmin Feed Orig'!AJ11</f>
        <v>0</v>
      </c>
      <c r="AK11">
        <f>'Costing 100 Lmin Feed Orig'!AK11</f>
        <v>0</v>
      </c>
      <c r="AL11">
        <f>'Costing 100 Lmin Feed Orig'!AL11</f>
        <v>0</v>
      </c>
      <c r="AM11">
        <f>'Costing 100 Lmin Feed Orig'!AM11</f>
        <v>1.60835348661086E-3</v>
      </c>
      <c r="AN11">
        <f>'Costing 100 Lmin Feed Orig'!AN11</f>
        <v>6.4624572349144705E-5</v>
      </c>
      <c r="AO11">
        <f>'Costing 100 Lmin Feed Orig'!AO11</f>
        <v>2.0025611156689701E-5</v>
      </c>
      <c r="AP11">
        <f>'Costing 100 Lmin Feed Orig'!AP11</f>
        <v>1.72976707272807E-3</v>
      </c>
      <c r="AQ11">
        <f>'Costing 100 Lmin Feed Orig'!AQ11</f>
        <v>7.43031686023614E-2</v>
      </c>
      <c r="AR11">
        <f>'Costing 100 Lmin Feed Orig'!AR11</f>
        <v>6.2227890063413899E-6</v>
      </c>
      <c r="AS11">
        <f>'Costing 100 Lmin Feed Orig'!AS11</f>
        <v>2.6305455209929499E-17</v>
      </c>
      <c r="AT11">
        <f>'Costing 100 Lmin Feed Orig'!AT11</f>
        <v>-2.1278551837200498E-15</v>
      </c>
      <c r="AU11">
        <f>'Costing 100 Lmin Feed Orig'!AU11</f>
        <v>-5.2939559203393696E-22</v>
      </c>
      <c r="AV11">
        <f>'Costing 100 Lmin Feed Orig'!AV11</f>
        <v>0.19929101787970099</v>
      </c>
      <c r="AW11">
        <f>'Costing 100 Lmin Feed Orig'!AW11</f>
        <v>99.336261623561896</v>
      </c>
      <c r="AX11">
        <f>'Costing 100 Lmin Feed Orig'!AX11</f>
        <v>500</v>
      </c>
      <c r="AY11">
        <f>'Costing 100 Lmin Feed Orig'!AY11</f>
        <v>95</v>
      </c>
      <c r="AZ11">
        <f>'Costing 100 Lmin Feed Orig'!AZ11</f>
        <v>0.92682535301965796</v>
      </c>
      <c r="BA11">
        <f>'Costing 100 Lmin Feed Orig'!BA11</f>
        <v>0.1</v>
      </c>
      <c r="BB11">
        <f>'Costing 100 Lmin Feed Orig'!BB11</f>
        <v>46.506127716158304</v>
      </c>
      <c r="BC11" t="str">
        <f>'Costing 100 Lmin Feed Orig'!BC11</f>
        <v>coeFc</v>
      </c>
      <c r="BD11">
        <f>'Costing 100 Lmin Feed Orig'!BD11</f>
        <v>1</v>
      </c>
      <c r="BE11">
        <f>'Costing 100 Lmin Feed Orig'!BE11</f>
        <v>1.8775014999999999E-2</v>
      </c>
      <c r="BF11">
        <f>'Costing 100 Lmin Feed Orig'!BF11</f>
        <v>0.10492961100000001</v>
      </c>
      <c r="BG11">
        <f>'Costing 100 Lmin Feed Orig'!BG11</f>
        <v>1.814625E-3</v>
      </c>
      <c r="BH11">
        <f>'Costing 100 Lmin Feed Orig'!BH11</f>
        <v>285.1951444</v>
      </c>
      <c r="BI11">
        <f>'Costing 100 Lmin Feed Orig'!BI11</f>
        <v>2169.8944889999998</v>
      </c>
      <c r="BJ11">
        <f>'Costing 100 Lmin Feed Orig'!BJ11</f>
        <v>866.49409060000005</v>
      </c>
      <c r="BK11">
        <f>'Costing 100 Lmin Feed Orig'!BK11</f>
        <v>100</v>
      </c>
      <c r="BL11">
        <f>'Costing 100 Lmin Feed Orig'!BL11</f>
        <v>18.892482409907799</v>
      </c>
      <c r="BM11">
        <f>'Costing 100 Lmin Feed Orig'!BM11</f>
        <v>92.6825353019658</v>
      </c>
      <c r="BN11">
        <f>'Costing 100 Lmin Feed Orig'!BN11</f>
        <v>19.929101787970101</v>
      </c>
      <c r="BO11">
        <f t="shared" si="1"/>
        <v>188.92482409907799</v>
      </c>
      <c r="BP11">
        <f t="shared" si="2"/>
        <v>597.87305363910298</v>
      </c>
      <c r="BQ11">
        <f t="shared" si="3"/>
        <v>18.892482409907799</v>
      </c>
      <c r="BR11">
        <f t="shared" si="4"/>
        <v>59.787305363910299</v>
      </c>
      <c r="BS11">
        <f>1.2*0.5*BL11*V11/'Oxidant Feed Composition'!$N$22</f>
        <v>11.335489445944679</v>
      </c>
      <c r="BT11">
        <f>1.2*0.5*BN11*BA11/'Oxidant Feed Composition'!$N$22</f>
        <v>11.95746107278206</v>
      </c>
      <c r="BU11">
        <f t="shared" si="5"/>
        <v>9.4462412049538997</v>
      </c>
      <c r="BV11">
        <f t="shared" si="6"/>
        <v>9.9645508939850505</v>
      </c>
      <c r="BW11">
        <f t="shared" si="7"/>
        <v>83.236294097011893</v>
      </c>
      <c r="BX11">
        <f t="shared" si="0"/>
        <v>60.455943711704961</v>
      </c>
      <c r="BY11">
        <f t="shared" si="8"/>
        <v>223.1500354237472</v>
      </c>
      <c r="BZ11">
        <f t="shared" si="9"/>
        <v>63.773125721504321</v>
      </c>
      <c r="CA11">
        <f t="shared" si="10"/>
        <v>59.787305363910306</v>
      </c>
      <c r="CB11">
        <f>BO11*'Reagent cost'!$G$11*'Reagent cost'!$H$11</f>
        <v>2493.8076781078298</v>
      </c>
      <c r="CC11">
        <f>BP11*'Reagent cost'!$G$11*'Reagent cost'!$H$11</f>
        <v>7891.9243080361593</v>
      </c>
      <c r="CD11">
        <f>BQ11*'Reagent cost'!$C$18/1000*'Reagent cost'!$H$18</f>
        <v>3012.9816471142385</v>
      </c>
      <c r="CE11">
        <f>BR11*'Ligand cost'!$B$56*'Ligand cost'!$J$56</f>
        <v>60871.113608708845</v>
      </c>
      <c r="CF11">
        <f t="shared" si="11"/>
        <v>10</v>
      </c>
      <c r="CG11">
        <f t="shared" si="12"/>
        <v>3.7784964819815601</v>
      </c>
      <c r="CH11">
        <f t="shared" si="13"/>
        <v>3.9858203575940205</v>
      </c>
      <c r="CI11">
        <f>7963.6*(BX11/1000)^0.6*1.7*('CAPEX+OPEX'!$G$116/'CAPEX+OPEX'!$G$115)</f>
        <v>2965.5437179814326</v>
      </c>
      <c r="CJ11">
        <f>7963.6*(BY11/1000)^0.6*1.7*('CAPEX+OPEX'!$G$116/'CAPEX+OPEX'!$G$115)</f>
        <v>6492.3078360569407</v>
      </c>
      <c r="CK11">
        <f>7963.6*(BZ11/1000)^0.6*1.7*('CAPEX+OPEX'!$G$116/'CAPEX+OPEX'!$G$115)</f>
        <v>3062.1294762203861</v>
      </c>
      <c r="CL11">
        <f>7963.6*(CA11/1000)^0.6*1.7*('CAPEX+OPEX'!$G$116/'CAPEX+OPEX'!$G$115)</f>
        <v>2945.8207427435282</v>
      </c>
      <c r="CM11">
        <f>'Costing 100 Lmin Feed Orig'!DE11</f>
        <v>39625.826528698344</v>
      </c>
      <c r="CN11">
        <f>'Costing 100 Lmin Feed Orig'!DF11</f>
        <v>4586243.4239371875</v>
      </c>
      <c r="CO11">
        <f>'Costing 100 Lmin Feed Orig'!DG11</f>
        <v>11794834.586807497</v>
      </c>
      <c r="CP11">
        <f>'Costing 100 Lmin Feed Orig'!DH11</f>
        <v>2275209.1661185985</v>
      </c>
      <c r="CQ11">
        <f>'Costing 100 Lmin Feed Orig'!DI11</f>
        <v>14083914.336508472</v>
      </c>
      <c r="CR11">
        <f>'Costing 100 Lmin Feed Orig'!DJ11</f>
        <v>1662824.8986326549</v>
      </c>
      <c r="CS11">
        <f>CN11*(BK11/10000)^0.72*((A11+1)/3)^0.6*('CAPEX+OPEX'!$G$116/'CAPEX+OPEX'!$G$114)</f>
        <v>461850.0978118488</v>
      </c>
      <c r="CT11">
        <f>CO11*(BK11/10000)^0.72*((A11+1)/3)^0.6*('CAPEX+OPEX'!$G$116/'CAPEX+OPEX'!$G$114)</f>
        <v>1187779.4098672394</v>
      </c>
      <c r="CU11">
        <f>CP11*(BK11/10000)^0.72*((A11+1)/3)^0.6*('CAPEX+OPEX'!$G$116/'CAPEX+OPEX'!$G$114)</f>
        <v>229121.19544936769</v>
      </c>
      <c r="CV11">
        <f>CQ11*(BK11/10000)^0.72*((A11+1)/3)^0.6*('CAPEX+OPEX'!$G$116/'CAPEX+OPEX'!$G$114)</f>
        <v>1418297.4196136401</v>
      </c>
      <c r="CW11">
        <f>CR11*(BK11/10000)^0.72*((A11+1)/3)^0.6*('CAPEX+OPEX'!$G$116/'CAPEX+OPEX'!$G$114)</f>
        <v>167452.04540804314</v>
      </c>
      <c r="CX11">
        <f t="shared" si="14"/>
        <v>3464500.168150139</v>
      </c>
      <c r="CY11">
        <f>CN11*(BM11/10000)^0.72*((AF11+1)/3)^0.6*('CAPEX+OPEX'!$G$116/'CAPEX+OPEX'!$G$114)</f>
        <v>927214.80686572916</v>
      </c>
      <c r="CZ11">
        <f>CO11*(BM11/10000)^0.72*((AF11+1)/3)^0.6*('CAPEX+OPEX'!$G$116/'CAPEX+OPEX'!$G$114)</f>
        <v>2384597.6461561932</v>
      </c>
      <c r="DA11">
        <f>CP11*(BM11/10000)^0.72*((AF11+1)/3)^0.6*('CAPEX+OPEX'!$G$116/'CAPEX+OPEX'!$G$114)</f>
        <v>459985.96946054435</v>
      </c>
      <c r="DB11">
        <f>CQ11*(BM11/10000)^0.72*((AF11+1)/3)^0.6*('CAPEX+OPEX'!$G$116/'CAPEX+OPEX'!$G$114)</f>
        <v>2847387.873761938</v>
      </c>
      <c r="DC11">
        <f>CR11*(BM11/10000)^0.72*((AF11+1)/3)^0.6*('CAPEX+OPEX'!$G$116/'CAPEX+OPEX'!$G$114)</f>
        <v>336178.3762261807</v>
      </c>
      <c r="DD11">
        <f t="shared" si="15"/>
        <v>6955364.6724705845</v>
      </c>
      <c r="DE11">
        <f>CX11+DD11+1.15*(SUM(CI11:CL11)+SUM(CB11:CE11))</f>
        <v>10523060.813987937</v>
      </c>
      <c r="DF11">
        <f t="shared" si="16"/>
        <v>701537.38759919582</v>
      </c>
      <c r="DG11">
        <f>(BS11+BT11)*'Oxidant Feed Composition'!$N$25*60*7200</f>
        <v>18759052.252605729</v>
      </c>
      <c r="DH11">
        <f>((CG11+CH11)*'Reagent cost'!$C$17/1000*'Reagent cost'!$H$17+(CG11+CH11)*0.5*'Reagent cost'!$C$16/1000*'Reagent cost'!$H$16)*60*7200</f>
        <v>7475907.8742701365</v>
      </c>
      <c r="DI11">
        <f>CF11*'Reagent cost'!$C$17/1000*'Reagent cost'!$H$17*60*7200</f>
        <v>504921.59999999998</v>
      </c>
      <c r="DJ11">
        <f t="shared" si="17"/>
        <v>103.8573198614399</v>
      </c>
      <c r="DK11">
        <f t="shared" si="18"/>
        <v>1277.6819051164618</v>
      </c>
      <c r="DL11">
        <f t="shared" si="19"/>
        <v>32089515.919321015</v>
      </c>
      <c r="DM11">
        <f>BK11*(B11*(409.81+2)/1000+C11*(248.2+2*22.99)/1000+D11*(315.6+3*22.99)/1000+0.1*58.44/1000)</f>
        <v>0.70639694042110623</v>
      </c>
      <c r="DN11">
        <f>(BS11+BT11)/1000*('Oxidant Feed Composition'!$B$11*'Oxidant Feed Composition'!$O$20+'Oxidant Feed Composition'!$D$11*'Oxidant Feed Composition'!$O$21+'Oxidant Feed Composition'!$F$11*'Oxidant Feed Composition'!$O$27-'Oxidant Feed Composition'!$J$15*18.015)</f>
        <v>2.7202565115722632</v>
      </c>
      <c r="DO11">
        <f>(BU11+BV11)/1000*(0.2*368.34+0.4*58.44)</f>
        <v>1.8837009084494312</v>
      </c>
      <c r="DP11">
        <f>BK11/1000*(B11*195.08+C11*106.42+D11*102.91)</f>
        <v>4.999938342565946E-2</v>
      </c>
      <c r="DQ11">
        <f>SUM(DM11:DO11)-DP11</f>
        <v>5.2603549770171405</v>
      </c>
      <c r="DR11">
        <f>DQ11*60*7200*0.33</f>
        <v>749916.20552356355</v>
      </c>
      <c r="DS11">
        <v>1.2</v>
      </c>
      <c r="DT11">
        <f>BM11/60*(AM11*4+AN11*2+AO11*3)*96485/DV11</f>
        <v>1410.0876751654584</v>
      </c>
      <c r="DU11">
        <f>BN11*BA11*(AP11*4+AQ11*2+AR11*3)*96485/DV11/60</f>
        <v>712.11757706046228</v>
      </c>
      <c r="DV11">
        <v>0.7</v>
      </c>
      <c r="DW11">
        <f>0.499*((BK11/3.78541*15)^(-0.146))*BK11/3.78541*15*300*(1+(A11-2)/9)</f>
        <v>27520.276190787874</v>
      </c>
      <c r="DX11">
        <f>0.248*((BK11/3.78541*15)^(-0.144))*BK11/3.78541*15*300*(1+(A11-2)/3)</f>
        <v>16610.439588917834</v>
      </c>
      <c r="DY11">
        <f>0.105*((BK11/3.78541*15)^(-0.144))*BK11/3.78541*15*300*(1+(A11-2)/3)</f>
        <v>7032.645793695051</v>
      </c>
      <c r="DZ11">
        <f>0.058*((BK11/3.78541*15)^(-0.151))*BK11/3.78541*15*300*(1+(A11-2)/3)</f>
        <v>3725.3886787897172</v>
      </c>
      <c r="EA11">
        <f>0.056*((BK11/3.78541*15)^(-0.144))*BK11/3.78541*15*300*(1+(A11-2)/3)</f>
        <v>3750.7444233040283</v>
      </c>
      <c r="EB11">
        <f>DS11*DT11/(3.6*10^6)*3600*7200*0.07</f>
        <v>852.82102594006926</v>
      </c>
      <c r="EC11">
        <f>0.499*((BM11/3.78541*15)^(-0.146))*BM11/3.78541*15*300*(1+(AF11-2)/9)</f>
        <v>51582.09712771175</v>
      </c>
      <c r="ED11">
        <f>0.248*((BM11/3.78541*15)^(-0.144))*BM11/3.78541*15*300*(1+(AF11-2)/3)</f>
        <v>54475.26822533855</v>
      </c>
      <c r="EE11">
        <f>0.105*((BM11/3.78541*15)^(-0.144))*BM11/3.78541*15*300*(1+(AF11-2)/3)</f>
        <v>23064.125659921559</v>
      </c>
      <c r="EF11">
        <f>0.058*((BM11/3.78541*15)^(-0.151))*BM11/3.78541*15*300*(1+(AF11-2)/3)</f>
        <v>12224.211528782187</v>
      </c>
      <c r="EG11">
        <f>0.056*((BM11/3.78541*15)^(-0.144))*BM11/3.78541*15*300*(1+(AF11-2)/3)</f>
        <v>12300.867018624835</v>
      </c>
      <c r="EH11">
        <f>DS11*DU11/(3.6*10^6)*3600*7200*0.07</f>
        <v>430.6887106061676</v>
      </c>
      <c r="EI11">
        <f>SUM(DW11:EH11)</f>
        <v>213569.57397241963</v>
      </c>
      <c r="EJ11">
        <f>EI11+DR11+DL11</f>
        <v>33053001.698817</v>
      </c>
      <c r="EK11">
        <f>EJ11+DF11</f>
        <v>33754539.086416192</v>
      </c>
      <c r="EL11">
        <f>EK11/(BK11*60*7200)</f>
        <v>0.7813550714448193</v>
      </c>
      <c r="EM11">
        <f>EK11/(BM11*(AM11*195.084/1000+AN11*106.42/1000+AO11*102.911/1000)*60*7200)</f>
        <v>2612.4534323583152</v>
      </c>
      <c r="EN11">
        <f>EK11/(BN11*BA11*(AP11*195.084/1000+AQ11*106.42/1000+AR11*102.911/1000)*60*7200)</f>
        <v>4754.9638316430146</v>
      </c>
    </row>
    <row r="12" spans="1:145">
      <c r="A12">
        <f>'Costing 100 Lmin Feed Orig'!A12</f>
        <v>4</v>
      </c>
      <c r="B12">
        <f>'Costing 100 Lmin Feed Orig'!B12</f>
        <v>1.54143585092054E-3</v>
      </c>
      <c r="C12">
        <f>'Costing 100 Lmin Feed Orig'!C12</f>
        <v>1.54143585092054E-3</v>
      </c>
      <c r="D12">
        <f>'Costing 100 Lmin Feed Orig'!D12</f>
        <v>3.4254130020456501E-4</v>
      </c>
      <c r="E12">
        <f>'Costing 100 Lmin Feed Orig'!E12</f>
        <v>0</v>
      </c>
      <c r="F12">
        <f>'Costing 100 Lmin Feed Orig'!F12</f>
        <v>0</v>
      </c>
      <c r="G12">
        <f>'Costing 100 Lmin Feed Orig'!G12</f>
        <v>0</v>
      </c>
      <c r="H12">
        <f>'Costing 100 Lmin Feed Orig'!H12</f>
        <v>1.7208960911287699E-5</v>
      </c>
      <c r="I12">
        <f>'Costing 100 Lmin Feed Orig'!I12</f>
        <v>2.8768784818324402E-7</v>
      </c>
      <c r="J12">
        <f>'Costing 100 Lmin Feed Orig'!J12</f>
        <v>3.3243632642994598E-4</v>
      </c>
      <c r="K12">
        <f>'Costing 100 Lmin Feed Orig'!K12</f>
        <v>0.10920586178936199</v>
      </c>
      <c r="L12">
        <f>'Costing 100 Lmin Feed Orig'!L12</f>
        <v>0.110418215553449</v>
      </c>
      <c r="M12">
        <f>'Costing 100 Lmin Feed Orig'!M12</f>
        <v>7.2398825703009801E-4</v>
      </c>
      <c r="N12">
        <f>'Costing 100 Lmin Feed Orig'!N12</f>
        <v>-2.168404344971E-18</v>
      </c>
      <c r="O12">
        <f>'Costing 100 Lmin Feed Orig'!O12</f>
        <v>2.3635607360183901E-17</v>
      </c>
      <c r="P12">
        <f>'Costing 100 Lmin Feed Orig'!P12</f>
        <v>-7.4538899358378406E-20</v>
      </c>
      <c r="Q12">
        <f>'Costing 100 Lmin Feed Orig'!Q12</f>
        <v>0.13957372480144001</v>
      </c>
      <c r="R12">
        <f>'Costing 100 Lmin Feed Orig'!R12</f>
        <v>97.0499984181222</v>
      </c>
      <c r="S12">
        <f>'Costing 100 Lmin Feed Orig'!S12</f>
        <v>500</v>
      </c>
      <c r="T12">
        <f>'Costing 100 Lmin Feed Orig'!T12</f>
        <v>95</v>
      </c>
      <c r="U12">
        <f>'Costing 100 Lmin Feed Orig'!U12</f>
        <v>1</v>
      </c>
      <c r="V12">
        <f>'Costing 100 Lmin Feed Orig'!V12</f>
        <v>0.1</v>
      </c>
      <c r="W12">
        <f>'Costing 100 Lmin Feed Orig'!W12</f>
        <v>71.646723007687299</v>
      </c>
      <c r="X12" t="str">
        <f>'Costing 100 Lmin Feed Orig'!X12</f>
        <v>ddFc</v>
      </c>
      <c r="Y12">
        <f>'Costing 100 Lmin Feed Orig'!Y12</f>
        <v>1</v>
      </c>
      <c r="Z12">
        <f>'Costing 100 Lmin Feed Orig'!Z12</f>
        <v>0.28318429382522198</v>
      </c>
      <c r="AA12">
        <f>'Costing 100 Lmin Feed Orig'!AA12</f>
        <v>0.56945642916197003</v>
      </c>
      <c r="AB12">
        <f>'Costing 100 Lmin Feed Orig'!AB12</f>
        <v>3.7698628972227502E-3</v>
      </c>
      <c r="AC12">
        <f>'Costing 100 Lmin Feed Orig'!AC12</f>
        <v>1822.2107908876901</v>
      </c>
      <c r="AD12">
        <f>'Costing 100 Lmin Feed Orig'!AD12</f>
        <v>2662.6059073104898</v>
      </c>
      <c r="AE12">
        <f>'Costing 100 Lmin Feed Orig'!AE12</f>
        <v>2401.5030938442701</v>
      </c>
      <c r="AF12">
        <f>'Costing 100 Lmin Feed Orig'!AF12</f>
        <v>4</v>
      </c>
      <c r="AG12">
        <f>'Costing 100 Lmin Feed Orig'!AG12</f>
        <v>1.6481650483119699E-3</v>
      </c>
      <c r="AH12">
        <f>'Costing 100 Lmin Feed Orig'!AH12</f>
        <v>1.6664622263884801E-3</v>
      </c>
      <c r="AI12">
        <f>'Costing 100 Lmin Feed Orig'!AI12</f>
        <v>1.0926630870116399E-5</v>
      </c>
      <c r="AJ12">
        <f>'Costing 100 Lmin Feed Orig'!AJ12</f>
        <v>0</v>
      </c>
      <c r="AK12">
        <f>'Costing 100 Lmin Feed Orig'!AK12</f>
        <v>0</v>
      </c>
      <c r="AL12">
        <f>'Costing 100 Lmin Feed Orig'!AL12</f>
        <v>0</v>
      </c>
      <c r="AM12">
        <f>'Costing 100 Lmin Feed Orig'!AM12</f>
        <v>1.6024673892141501E-3</v>
      </c>
      <c r="AN12">
        <f>'Costing 100 Lmin Feed Orig'!AN12</f>
        <v>7.3502024125801294E-5</v>
      </c>
      <c r="AO12">
        <f>'Costing 100 Lmin Feed Orig'!AO12</f>
        <v>1.0838364815948499E-5</v>
      </c>
      <c r="AP12">
        <f>'Costing 100 Lmin Feed Orig'!AP12</f>
        <v>2.0055299493415999E-3</v>
      </c>
      <c r="AQ12">
        <f>'Costing 100 Lmin Feed Orig'!AQ12</f>
        <v>6.9910132309146902E-2</v>
      </c>
      <c r="AR12">
        <f>'Costing 100 Lmin Feed Orig'!AR12</f>
        <v>3.8737261084868501E-6</v>
      </c>
      <c r="AS12">
        <f>'Costing 100 Lmin Feed Orig'!AS12</f>
        <v>-3.2526065174565099E-19</v>
      </c>
      <c r="AT12">
        <f>'Costing 100 Lmin Feed Orig'!AT12</f>
        <v>2.6020852139652099E-18</v>
      </c>
      <c r="AU12">
        <f>'Costing 100 Lmin Feed Orig'!AU12</f>
        <v>7.9409338805090598E-23</v>
      </c>
      <c r="AV12">
        <f>'Costing 100 Lmin Feed Orig'!AV12</f>
        <v>0.21072386371722801</v>
      </c>
      <c r="AW12">
        <f>'Costing 100 Lmin Feed Orig'!AW12</f>
        <v>99.192193319083202</v>
      </c>
      <c r="AX12">
        <f>'Costing 100 Lmin Feed Orig'!AX12</f>
        <v>500</v>
      </c>
      <c r="AY12">
        <f>'Costing 100 Lmin Feed Orig'!AY12</f>
        <v>95</v>
      </c>
      <c r="AZ12">
        <f>'Costing 100 Lmin Feed Orig'!AZ12</f>
        <v>0.92480233795174105</v>
      </c>
      <c r="BA12">
        <f>'Costing 100 Lmin Feed Orig'!BA12</f>
        <v>0.1</v>
      </c>
      <c r="BB12">
        <f>'Costing 100 Lmin Feed Orig'!BB12</f>
        <v>43.8869296356837</v>
      </c>
      <c r="BC12" t="str">
        <f>'Costing 100 Lmin Feed Orig'!BC12</f>
        <v>coeFc</v>
      </c>
      <c r="BD12">
        <f>'Costing 100 Lmin Feed Orig'!BD12</f>
        <v>1</v>
      </c>
      <c r="BE12">
        <f>'Costing 100 Lmin Feed Orig'!BE12</f>
        <v>1.8775014999999999E-2</v>
      </c>
      <c r="BF12">
        <f>'Costing 100 Lmin Feed Orig'!BF12</f>
        <v>0.10492961100000001</v>
      </c>
      <c r="BG12">
        <f>'Costing 100 Lmin Feed Orig'!BG12</f>
        <v>1.814625E-3</v>
      </c>
      <c r="BH12">
        <f>'Costing 100 Lmin Feed Orig'!BH12</f>
        <v>285.1951444</v>
      </c>
      <c r="BI12">
        <f>'Costing 100 Lmin Feed Orig'!BI12</f>
        <v>2169.8944889999998</v>
      </c>
      <c r="BJ12">
        <f>'Costing 100 Lmin Feed Orig'!BJ12</f>
        <v>866.49409060000005</v>
      </c>
      <c r="BK12">
        <f>'Costing 100 Lmin Feed Orig'!BK12</f>
        <v>100</v>
      </c>
      <c r="BL12">
        <f>'Costing 100 Lmin Feed Orig'!BL12</f>
        <v>13.957372480144</v>
      </c>
      <c r="BM12">
        <f>'Costing 100 Lmin Feed Orig'!BM12</f>
        <v>92.480233795174101</v>
      </c>
      <c r="BN12">
        <f>'Costing 100 Lmin Feed Orig'!BN12</f>
        <v>21.0723863717228</v>
      </c>
      <c r="BO12">
        <f t="shared" si="1"/>
        <v>167.488469761728</v>
      </c>
      <c r="BP12">
        <f t="shared" si="2"/>
        <v>252.8686364606736</v>
      </c>
      <c r="BQ12">
        <f t="shared" si="3"/>
        <v>16.7488469761728</v>
      </c>
      <c r="BR12">
        <f t="shared" si="4"/>
        <v>25.28686364606736</v>
      </c>
      <c r="BS12">
        <f>1.2*0.5*BL12*V12/'Oxidant Feed Composition'!$N$22</f>
        <v>8.3744234880863999</v>
      </c>
      <c r="BT12">
        <f>1.2*0.5*BN12*BA12/'Oxidant Feed Composition'!$N$22</f>
        <v>12.643431823033682</v>
      </c>
      <c r="BU12">
        <f t="shared" si="5"/>
        <v>6.9786862400720002</v>
      </c>
      <c r="BV12">
        <f t="shared" si="6"/>
        <v>10.5361931858614</v>
      </c>
      <c r="BW12">
        <f t="shared" si="7"/>
        <v>85.501547555102107</v>
      </c>
      <c r="BX12">
        <f t="shared" si="0"/>
        <v>44.663591936460804</v>
      </c>
      <c r="BY12">
        <f t="shared" si="8"/>
        <v>212.87521255063621</v>
      </c>
      <c r="BZ12">
        <f t="shared" si="9"/>
        <v>67.43163638951296</v>
      </c>
      <c r="CA12">
        <f t="shared" si="10"/>
        <v>63.2171591151684</v>
      </c>
      <c r="CB12">
        <f>BO12*'Reagent cost'!$G$11*'Reagent cost'!$H$11</f>
        <v>2210.8478008548095</v>
      </c>
      <c r="CC12">
        <f>BP12*'Reagent cost'!$G$11*'Reagent cost'!$H$11</f>
        <v>3337.8660012808914</v>
      </c>
      <c r="CD12">
        <f>BQ12*'Reagent cost'!$C$18/1000*'Reagent cost'!$H$18</f>
        <v>2671.1136977461792</v>
      </c>
      <c r="CE12">
        <f>BR12*'Ligand cost'!$B$56*'Ligand cost'!$J$56</f>
        <v>25745.25713173945</v>
      </c>
      <c r="CF12">
        <f t="shared" si="11"/>
        <v>10</v>
      </c>
      <c r="CG12">
        <f t="shared" si="12"/>
        <v>2.7914744960288003</v>
      </c>
      <c r="CH12">
        <f t="shared" si="13"/>
        <v>4.21447727434456</v>
      </c>
      <c r="CI12">
        <f>7963.6*(BX12/1000)^0.6*1.7*('CAPEX+OPEX'!$G$116/'CAPEX+OPEX'!$G$115)</f>
        <v>2472.9373618126128</v>
      </c>
      <c r="CJ12">
        <f>7963.6*(BY12/1000)^0.6*1.7*('CAPEX+OPEX'!$G$116/'CAPEX+OPEX'!$G$115)</f>
        <v>6311.2587327211604</v>
      </c>
      <c r="CK12">
        <f>7963.6*(BZ12/1000)^0.6*1.7*('CAPEX+OPEX'!$G$116/'CAPEX+OPEX'!$G$115)</f>
        <v>3166.3516645760283</v>
      </c>
      <c r="CL12">
        <f>7963.6*(CA12/1000)^0.6*1.7*('CAPEX+OPEX'!$G$116/'CAPEX+OPEX'!$G$115)</f>
        <v>3046.0842641577597</v>
      </c>
      <c r="CM12">
        <f>'Costing 100 Lmin Feed Orig'!DE12</f>
        <v>39625.826528698344</v>
      </c>
      <c r="CN12">
        <f>'Costing 100 Lmin Feed Orig'!DF12</f>
        <v>4586243.4239371875</v>
      </c>
      <c r="CO12">
        <f>'Costing 100 Lmin Feed Orig'!DG12</f>
        <v>11794834.586807497</v>
      </c>
      <c r="CP12">
        <f>'Costing 100 Lmin Feed Orig'!DH12</f>
        <v>2275209.1661185985</v>
      </c>
      <c r="CQ12">
        <f>'Costing 100 Lmin Feed Orig'!DI12</f>
        <v>14083914.336508472</v>
      </c>
      <c r="CR12">
        <f>'Costing 100 Lmin Feed Orig'!DJ12</f>
        <v>1662824.8986326549</v>
      </c>
      <c r="CS12">
        <f>CN12*(BK12/10000)^0.72*((A12+1)/3)^0.6*('CAPEX+OPEX'!$G$116/'CAPEX+OPEX'!$G$114)</f>
        <v>528015.95740622084</v>
      </c>
      <c r="CT12">
        <f>CO12*(BK12/10000)^0.72*((A12+1)/3)^0.6*('CAPEX+OPEX'!$G$116/'CAPEX+OPEX'!$G$114)</f>
        <v>1357943.8117688675</v>
      </c>
      <c r="CU12">
        <f>CP12*(BK12/10000)^0.72*((A12+1)/3)^0.6*('CAPEX+OPEX'!$G$116/'CAPEX+OPEX'!$G$114)</f>
        <v>261945.7004565605</v>
      </c>
      <c r="CV12">
        <f>CQ12*(BK12/10000)^0.72*((A12+1)/3)^0.6*('CAPEX+OPEX'!$G$116/'CAPEX+OPEX'!$G$114)</f>
        <v>1621486.4378120217</v>
      </c>
      <c r="CW12">
        <f>CR12*(BK12/10000)^0.72*((A12+1)/3)^0.6*('CAPEX+OPEX'!$G$116/'CAPEX+OPEX'!$G$114)</f>
        <v>191441.6658016555</v>
      </c>
      <c r="CX12">
        <f t="shared" si="14"/>
        <v>3960833.5732453261</v>
      </c>
      <c r="CY12">
        <f>CN12*(BM12/10000)^0.72*((AF12+1)/3)^0.6*('CAPEX+OPEX'!$G$116/'CAPEX+OPEX'!$G$114)</f>
        <v>499116.89330887963</v>
      </c>
      <c r="CZ12">
        <f>CO12*(BM12/10000)^0.72*((AF12+1)/3)^0.6*('CAPEX+OPEX'!$G$116/'CAPEX+OPEX'!$G$114)</f>
        <v>1283621.6161866134</v>
      </c>
      <c r="DA12">
        <f>CP12*(BM12/10000)^0.72*((AF12+1)/3)^0.6*('CAPEX+OPEX'!$G$116/'CAPEX+OPEX'!$G$114)</f>
        <v>247609.03982853101</v>
      </c>
      <c r="DB12">
        <f>CQ12*(BM12/10000)^0.72*((AF12+1)/3)^0.6*('CAPEX+OPEX'!$G$116/'CAPEX+OPEX'!$G$114)</f>
        <v>1532740.1795938283</v>
      </c>
      <c r="DC12">
        <f>CR12*(BM12/10000)^0.72*((AF12+1)/3)^0.6*('CAPEX+OPEX'!$G$116/'CAPEX+OPEX'!$G$114)</f>
        <v>180963.79123498313</v>
      </c>
      <c r="DD12">
        <f t="shared" si="15"/>
        <v>3744051.5201528352</v>
      </c>
      <c r="DE12">
        <f>CX12+DD12+1.15*(SUM(CI12:CL12)+SUM(CB12:CE12))</f>
        <v>7761191.0675512832</v>
      </c>
      <c r="DF12">
        <f t="shared" si="16"/>
        <v>517412.7378367522</v>
      </c>
      <c r="DG12">
        <f>(BS12+BT12)*'Oxidant Feed Composition'!$N$25*60*7200</f>
        <v>16926797.04539898</v>
      </c>
      <c r="DH12">
        <f>((CG12+CH12)*'Reagent cost'!$C$17/1000*'Reagent cost'!$H$17+(CG12+CH12)*0.5*'Reagent cost'!$C$16/1000*'Reagent cost'!$H$16)*60*7200</f>
        <v>6745712.6092440626</v>
      </c>
      <c r="DI12">
        <f>CF12*'Reagent cost'!$C$17/1000*'Reagent cost'!$H$17*60*7200</f>
        <v>504921.59999999998</v>
      </c>
      <c r="DJ12">
        <f t="shared" si="17"/>
        <v>55.487138021357005</v>
      </c>
      <c r="DK12">
        <f t="shared" si="18"/>
        <v>568.32741658971258</v>
      </c>
      <c r="DL12">
        <f t="shared" si="19"/>
        <v>29013666.08303719</v>
      </c>
      <c r="DM12">
        <f>BK12*(B12*(409.81+2)/1000+C12*(248.2+2*22.99)/1000+D12*(315.6+3*22.99)/1000+0.1*58.44/1000)</f>
        <v>0.70639694042110623</v>
      </c>
      <c r="DN12">
        <f>(BS12+BT12)/1000*('Oxidant Feed Composition'!$B$11*'Oxidant Feed Composition'!$O$20+'Oxidant Feed Composition'!$D$11*'Oxidant Feed Composition'!$O$21+'Oxidant Feed Composition'!$F$11*'Oxidant Feed Composition'!$O$27-'Oxidant Feed Composition'!$J$15*18.015)</f>
        <v>2.4545605642957149</v>
      </c>
      <c r="DO12">
        <f>(BU12+BV12)/1000*(0.2*368.34+0.4*58.44)</f>
        <v>1.6997139590102808</v>
      </c>
      <c r="DP12">
        <f>BK12/1000*(B12*195.08+C12*106.42+D12*102.91)</f>
        <v>4.999938342565946E-2</v>
      </c>
      <c r="DQ12">
        <f>SUM(DM12:DO12)-DP12</f>
        <v>4.8106720803014422</v>
      </c>
      <c r="DR12">
        <f>DQ12*60*7200*0.33</f>
        <v>685809.41176777356</v>
      </c>
      <c r="DS12">
        <v>1.2</v>
      </c>
      <c r="DT12">
        <f>BM12/60*(AM12*4+AN12*2+AO12*3)*96485/DV12</f>
        <v>1399.9243143059966</v>
      </c>
      <c r="DU12">
        <f>BN12*BA12*(AP12*4+AQ12*2+AR12*3)*96485/DV12/60</f>
        <v>715.74335746108125</v>
      </c>
      <c r="DV12">
        <v>0.7</v>
      </c>
      <c r="DW12">
        <f>0.499*((BK12/3.78541*15)^(-0.146))*BK12/3.78541*15*300*(1+(A12-2)/9)</f>
        <v>30272.303809866662</v>
      </c>
      <c r="DX12">
        <f>0.248*((BK12/3.78541*15)^(-0.144))*BK12/3.78541*15*300*(1+(A12-2)/3)</f>
        <v>20763.049486147294</v>
      </c>
      <c r="DY12">
        <f>0.105*((BK12/3.78541*15)^(-0.144))*BK12/3.78541*15*300*(1+(A12-2)/3)</f>
        <v>8790.8072421188135</v>
      </c>
      <c r="DZ12">
        <f>0.058*((BK12/3.78541*15)^(-0.151))*BK12/3.78541*15*300*(1+(A12-2)/3)</f>
        <v>4656.7358484871465</v>
      </c>
      <c r="EA12">
        <f>0.056*((BK12/3.78541*15)^(-0.144))*BK12/3.78541*15*300*(1+(A12-2)/3)</f>
        <v>4688.4305291300352</v>
      </c>
      <c r="EB12">
        <f>DS12*DT12/(3.6*10^6)*3600*7200*0.07</f>
        <v>846.6742252922669</v>
      </c>
      <c r="EC12">
        <f>0.499*((BM12/3.78541*15)^(-0.146))*BM12/3.78541*15*300*(1+(AF12-2)/9)</f>
        <v>28317.261416507248</v>
      </c>
      <c r="ED12">
        <f>0.248*((BM12/3.78541*15)^(-0.144))*BM12/3.78541*15*300*(1+(AF12-2)/3)</f>
        <v>19419.096223372169</v>
      </c>
      <c r="EE12">
        <f>0.105*((BM12/3.78541*15)^(-0.144))*BM12/3.78541*15*300*(1+(AF12-2)/3)</f>
        <v>8221.7947719922486</v>
      </c>
      <c r="EF12">
        <f>0.058*((BM12/3.78541*15)^(-0.151))*BM12/3.78541*15*300*(1+(AF12-2)/3)</f>
        <v>4357.6980650255673</v>
      </c>
      <c r="EG12">
        <f>0.056*((BM12/3.78541*15)^(-0.144))*BM12/3.78541*15*300*(1+(AF12-2)/3)</f>
        <v>4384.9572117292009</v>
      </c>
      <c r="EH12">
        <f>DS12*DU12/(3.6*10^6)*3600*7200*0.07</f>
        <v>432.88158259246194</v>
      </c>
      <c r="EI12">
        <f>SUM(DW12:EH12)</f>
        <v>135151.69041226112</v>
      </c>
      <c r="EJ12">
        <f>EI12+DR12+DL12</f>
        <v>29834627.185217224</v>
      </c>
      <c r="EK12">
        <f>EJ12+DF12</f>
        <v>30352039.923053976</v>
      </c>
      <c r="EL12">
        <f>EK12/(BK12*60*7200)</f>
        <v>0.70259351673736059</v>
      </c>
      <c r="EM12">
        <f>EK12/(BM12*(AM12*195.084/1000+AN12*106.42/1000+AO12*102.911/1000)*60*7200)</f>
        <v>2362.6661290816583</v>
      </c>
      <c r="EN12">
        <f>EK12/(BN12*BA12*(AP12*195.084/1000+AQ12*106.42/1000+AR12*102.911/1000)*60*7200)</f>
        <v>4257.4198231951068</v>
      </c>
    </row>
    <row r="13" spans="1:145">
      <c r="A13">
        <f>'Costing 100 Lmin Feed Orig'!A13</f>
        <v>4</v>
      </c>
      <c r="B13">
        <f>'Costing 100 Lmin Feed Orig'!B13</f>
        <v>1.54143585092054E-3</v>
      </c>
      <c r="C13">
        <f>'Costing 100 Lmin Feed Orig'!C13</f>
        <v>1.54143585092054E-3</v>
      </c>
      <c r="D13">
        <f>'Costing 100 Lmin Feed Orig'!D13</f>
        <v>3.4254130020456501E-4</v>
      </c>
      <c r="E13">
        <f>'Costing 100 Lmin Feed Orig'!E13</f>
        <v>0</v>
      </c>
      <c r="F13">
        <f>'Costing 100 Lmin Feed Orig'!F13</f>
        <v>0</v>
      </c>
      <c r="G13">
        <f>'Costing 100 Lmin Feed Orig'!G13</f>
        <v>0</v>
      </c>
      <c r="H13">
        <f>'Costing 100 Lmin Feed Orig'!H13</f>
        <v>1.7208960911287699E-5</v>
      </c>
      <c r="I13">
        <f>'Costing 100 Lmin Feed Orig'!I13</f>
        <v>2.8768784818324402E-7</v>
      </c>
      <c r="J13">
        <f>'Costing 100 Lmin Feed Orig'!J13</f>
        <v>3.3243632642994598E-4</v>
      </c>
      <c r="K13">
        <f>'Costing 100 Lmin Feed Orig'!K13</f>
        <v>0.10920586178936199</v>
      </c>
      <c r="L13">
        <f>'Costing 100 Lmin Feed Orig'!L13</f>
        <v>0.110418215553449</v>
      </c>
      <c r="M13">
        <f>'Costing 100 Lmin Feed Orig'!M13</f>
        <v>7.2398825703009801E-4</v>
      </c>
      <c r="N13">
        <f>'Costing 100 Lmin Feed Orig'!N13</f>
        <v>-2.168404344971E-18</v>
      </c>
      <c r="O13">
        <f>'Costing 100 Lmin Feed Orig'!O13</f>
        <v>2.3635607360183901E-17</v>
      </c>
      <c r="P13">
        <f>'Costing 100 Lmin Feed Orig'!P13</f>
        <v>-7.4538899358378406E-20</v>
      </c>
      <c r="Q13">
        <f>'Costing 100 Lmin Feed Orig'!Q13</f>
        <v>0.13957372480144001</v>
      </c>
      <c r="R13">
        <f>'Costing 100 Lmin Feed Orig'!R13</f>
        <v>97.0499984181222</v>
      </c>
      <c r="S13">
        <f>'Costing 100 Lmin Feed Orig'!S13</f>
        <v>500</v>
      </c>
      <c r="T13">
        <f>'Costing 100 Lmin Feed Orig'!T13</f>
        <v>95</v>
      </c>
      <c r="U13">
        <f>'Costing 100 Lmin Feed Orig'!U13</f>
        <v>1</v>
      </c>
      <c r="V13">
        <f>'Costing 100 Lmin Feed Orig'!V13</f>
        <v>0.1</v>
      </c>
      <c r="W13">
        <f>'Costing 100 Lmin Feed Orig'!W13</f>
        <v>71.646723007687299</v>
      </c>
      <c r="X13" t="str">
        <f>'Costing 100 Lmin Feed Orig'!X13</f>
        <v>ddFc</v>
      </c>
      <c r="Y13">
        <f>'Costing 100 Lmin Feed Orig'!Y13</f>
        <v>1</v>
      </c>
      <c r="Z13">
        <f>'Costing 100 Lmin Feed Orig'!Z13</f>
        <v>0.28318429382522198</v>
      </c>
      <c r="AA13">
        <f>'Costing 100 Lmin Feed Orig'!AA13</f>
        <v>0.56945642916197003</v>
      </c>
      <c r="AB13">
        <f>'Costing 100 Lmin Feed Orig'!AB13</f>
        <v>3.7698628972227502E-3</v>
      </c>
      <c r="AC13">
        <f>'Costing 100 Lmin Feed Orig'!AC13</f>
        <v>1822.2107908876901</v>
      </c>
      <c r="AD13">
        <f>'Costing 100 Lmin Feed Orig'!AD13</f>
        <v>2662.6059073104898</v>
      </c>
      <c r="AE13">
        <f>'Costing 100 Lmin Feed Orig'!AE13</f>
        <v>2401.5030938442701</v>
      </c>
      <c r="AF13">
        <f>'Costing 100 Lmin Feed Orig'!AF13</f>
        <v>5</v>
      </c>
      <c r="AG13">
        <f>'Costing 100 Lmin Feed Orig'!AG13</f>
        <v>1.6481650483119699E-3</v>
      </c>
      <c r="AH13">
        <f>'Costing 100 Lmin Feed Orig'!AH13</f>
        <v>1.6664622263884801E-3</v>
      </c>
      <c r="AI13">
        <f>'Costing 100 Lmin Feed Orig'!AI13</f>
        <v>1.0926630870116399E-5</v>
      </c>
      <c r="AJ13">
        <f>'Costing 100 Lmin Feed Orig'!AJ13</f>
        <v>0</v>
      </c>
      <c r="AK13">
        <f>'Costing 100 Lmin Feed Orig'!AK13</f>
        <v>0</v>
      </c>
      <c r="AL13">
        <f>'Costing 100 Lmin Feed Orig'!AL13</f>
        <v>0</v>
      </c>
      <c r="AM13">
        <f>'Costing 100 Lmin Feed Orig'!AM13</f>
        <v>1.6085253260061899E-3</v>
      </c>
      <c r="AN13">
        <f>'Costing 100 Lmin Feed Orig'!AN13</f>
        <v>7.3809557032336595E-5</v>
      </c>
      <c r="AO13">
        <f>'Costing 100 Lmin Feed Orig'!AO13</f>
        <v>1.08496706522018E-5</v>
      </c>
      <c r="AP13">
        <f>'Costing 100 Lmin Feed Orig'!AP13</f>
        <v>1.817766908322E-3</v>
      </c>
      <c r="AQ13">
        <f>'Costing 100 Lmin Feed Orig'!AQ13</f>
        <v>7.3034601414750294E-2</v>
      </c>
      <c r="AR13">
        <f>'Costing 100 Lmin Feed Orig'!AR13</f>
        <v>3.5291805604209299E-6</v>
      </c>
      <c r="AS13">
        <f>'Costing 100 Lmin Feed Orig'!AS13</f>
        <v>-2.4283418158244002E-16</v>
      </c>
      <c r="AT13">
        <f>'Costing 100 Lmin Feed Orig'!AT13</f>
        <v>-3.67848113080881E-15</v>
      </c>
      <c r="AU13">
        <f>'Costing 100 Lmin Feed Orig'!AU13</f>
        <v>-2.6574335231123502E-19</v>
      </c>
      <c r="AV13">
        <f>'Costing 100 Lmin Feed Orig'!AV13</f>
        <v>0.201670014436726</v>
      </c>
      <c r="AW13">
        <f>'Costing 100 Lmin Feed Orig'!AW13</f>
        <v>99.295663788504896</v>
      </c>
      <c r="AX13">
        <f>'Costing 100 Lmin Feed Orig'!AX13</f>
        <v>500</v>
      </c>
      <c r="AY13">
        <f>'Costing 100 Lmin Feed Orig'!AY13</f>
        <v>95</v>
      </c>
      <c r="AZ13">
        <f>'Costing 100 Lmin Feed Orig'!AZ13</f>
        <v>0.92480233795174105</v>
      </c>
      <c r="BA13">
        <f>'Costing 100 Lmin Feed Orig'!BA13</f>
        <v>0.1</v>
      </c>
      <c r="BB13">
        <f>'Costing 100 Lmin Feed Orig'!BB13</f>
        <v>45.857205918031703</v>
      </c>
      <c r="BC13" t="str">
        <f>'Costing 100 Lmin Feed Orig'!BC13</f>
        <v>coeFc</v>
      </c>
      <c r="BD13">
        <f>'Costing 100 Lmin Feed Orig'!BD13</f>
        <v>1</v>
      </c>
      <c r="BE13">
        <f>'Costing 100 Lmin Feed Orig'!BE13</f>
        <v>1.8775014999999999E-2</v>
      </c>
      <c r="BF13">
        <f>'Costing 100 Lmin Feed Orig'!BF13</f>
        <v>0.10492961100000001</v>
      </c>
      <c r="BG13">
        <f>'Costing 100 Lmin Feed Orig'!BG13</f>
        <v>1.814625E-3</v>
      </c>
      <c r="BH13">
        <f>'Costing 100 Lmin Feed Orig'!BH13</f>
        <v>285.1951444</v>
      </c>
      <c r="BI13">
        <f>'Costing 100 Lmin Feed Orig'!BI13</f>
        <v>2169.8944889999998</v>
      </c>
      <c r="BJ13">
        <f>'Costing 100 Lmin Feed Orig'!BJ13</f>
        <v>866.49409060000005</v>
      </c>
      <c r="BK13">
        <f>'Costing 100 Lmin Feed Orig'!BK13</f>
        <v>100</v>
      </c>
      <c r="BL13">
        <f>'Costing 100 Lmin Feed Orig'!BL13</f>
        <v>13.957372480144</v>
      </c>
      <c r="BM13">
        <f>'Costing 100 Lmin Feed Orig'!BM13</f>
        <v>92.480233795174101</v>
      </c>
      <c r="BN13">
        <f>'Costing 100 Lmin Feed Orig'!BN13</f>
        <v>20.1670014436726</v>
      </c>
      <c r="BO13">
        <f t="shared" si="1"/>
        <v>167.488469761728</v>
      </c>
      <c r="BP13">
        <f t="shared" si="2"/>
        <v>282.33802021141639</v>
      </c>
      <c r="BQ13">
        <f t="shared" si="3"/>
        <v>16.7488469761728</v>
      </c>
      <c r="BR13">
        <f t="shared" si="4"/>
        <v>28.233802021141642</v>
      </c>
      <c r="BS13">
        <f>1.2*0.5*BL13*V13/'Oxidant Feed Composition'!$N$22</f>
        <v>8.3744234880863999</v>
      </c>
      <c r="BT13">
        <f>1.2*0.5*BN13*BA13/'Oxidant Feed Composition'!$N$22</f>
        <v>12.10020086620356</v>
      </c>
      <c r="BU13">
        <f t="shared" si="5"/>
        <v>6.9786862400720002</v>
      </c>
      <c r="BV13">
        <f t="shared" si="6"/>
        <v>10.0835007218363</v>
      </c>
      <c r="BW13">
        <f t="shared" si="7"/>
        <v>85.501547555102107</v>
      </c>
      <c r="BX13">
        <f t="shared" si="0"/>
        <v>44.663591936460804</v>
      </c>
      <c r="BY13">
        <f t="shared" si="8"/>
        <v>212.87521255063621</v>
      </c>
      <c r="BZ13">
        <f t="shared" si="9"/>
        <v>64.534404619752323</v>
      </c>
      <c r="CA13">
        <f t="shared" si="10"/>
        <v>60.501004331017796</v>
      </c>
      <c r="CB13">
        <f>BO13*'Reagent cost'!$G$11*'Reagent cost'!$H$11</f>
        <v>2210.8478008548095</v>
      </c>
      <c r="CC13">
        <f>BP13*'Reagent cost'!$G$11*'Reagent cost'!$H$11</f>
        <v>3726.8618667906962</v>
      </c>
      <c r="CD13">
        <f>BQ13*'Reagent cost'!$C$18/1000*'Reagent cost'!$H$18</f>
        <v>2671.1136977461792</v>
      </c>
      <c r="CE13">
        <f>BR13*'Ligand cost'!$B$56*'Ligand cost'!$J$56</f>
        <v>28745.61681570829</v>
      </c>
      <c r="CF13">
        <f t="shared" si="11"/>
        <v>10</v>
      </c>
      <c r="CG13">
        <f t="shared" si="12"/>
        <v>2.7914744960288003</v>
      </c>
      <c r="CH13">
        <f t="shared" si="13"/>
        <v>4.0334002887345202</v>
      </c>
      <c r="CI13">
        <f>7963.6*(BX13/1000)^0.6*1.7*('CAPEX+OPEX'!$G$116/'CAPEX+OPEX'!$G$115)</f>
        <v>2472.9373618126128</v>
      </c>
      <c r="CJ13">
        <f>7963.6*(BY13/1000)^0.6*1.7*('CAPEX+OPEX'!$G$116/'CAPEX+OPEX'!$G$115)</f>
        <v>6311.2587327211604</v>
      </c>
      <c r="CK13">
        <f>7963.6*(BZ13/1000)^0.6*1.7*('CAPEX+OPEX'!$G$116/'CAPEX+OPEX'!$G$115)</f>
        <v>3084.0095376508261</v>
      </c>
      <c r="CL13">
        <f>7963.6*(CA13/1000)^0.6*1.7*('CAPEX+OPEX'!$G$116/'CAPEX+OPEX'!$G$115)</f>
        <v>2966.8697347325451</v>
      </c>
      <c r="CM13">
        <f>'Costing 100 Lmin Feed Orig'!DE13</f>
        <v>39625.826528698344</v>
      </c>
      <c r="CN13">
        <f>'Costing 100 Lmin Feed Orig'!DF13</f>
        <v>4586243.4239371875</v>
      </c>
      <c r="CO13">
        <f>'Costing 100 Lmin Feed Orig'!DG13</f>
        <v>11794834.586807497</v>
      </c>
      <c r="CP13">
        <f>'Costing 100 Lmin Feed Orig'!DH13</f>
        <v>2275209.1661185985</v>
      </c>
      <c r="CQ13">
        <f>'Costing 100 Lmin Feed Orig'!DI13</f>
        <v>14083914.336508472</v>
      </c>
      <c r="CR13">
        <f>'Costing 100 Lmin Feed Orig'!DJ13</f>
        <v>1662824.8986326549</v>
      </c>
      <c r="CS13">
        <f>CN13*(BK13/10000)^0.72*((A13+1)/3)^0.6*('CAPEX+OPEX'!$G$116/'CAPEX+OPEX'!$G$114)</f>
        <v>528015.95740622084</v>
      </c>
      <c r="CT13">
        <f>CO13*(BK13/10000)^0.72*((A13+1)/3)^0.6*('CAPEX+OPEX'!$G$116/'CAPEX+OPEX'!$G$114)</f>
        <v>1357943.8117688675</v>
      </c>
      <c r="CU13">
        <f>CP13*(BK13/10000)^0.72*((A13+1)/3)^0.6*('CAPEX+OPEX'!$G$116/'CAPEX+OPEX'!$G$114)</f>
        <v>261945.7004565605</v>
      </c>
      <c r="CV13">
        <f>CQ13*(BK13/10000)^0.72*((A13+1)/3)^0.6*('CAPEX+OPEX'!$G$116/'CAPEX+OPEX'!$G$114)</f>
        <v>1621486.4378120217</v>
      </c>
      <c r="CW13">
        <f>CR13*(BK13/10000)^0.72*((A13+1)/3)^0.6*('CAPEX+OPEX'!$G$116/'CAPEX+OPEX'!$G$114)</f>
        <v>191441.6658016555</v>
      </c>
      <c r="CX13">
        <f t="shared" si="14"/>
        <v>3960833.5732453261</v>
      </c>
      <c r="CY13">
        <f>CN13*(BM13/10000)^0.72*((AF13+1)/3)^0.6*('CAPEX+OPEX'!$G$116/'CAPEX+OPEX'!$G$114)</f>
        <v>556815.11649124604</v>
      </c>
      <c r="CZ13">
        <f>CO13*(BM13/10000)^0.72*((AF13+1)/3)^0.6*('CAPEX+OPEX'!$G$116/'CAPEX+OPEX'!$G$114)</f>
        <v>1432009.0730836319</v>
      </c>
      <c r="DA13">
        <f>CP13*(BM13/10000)^0.72*((AF13+1)/3)^0.6*('CAPEX+OPEX'!$G$116/'CAPEX+OPEX'!$G$114)</f>
        <v>276232.79877863475</v>
      </c>
      <c r="DB13">
        <f>CQ13*(BM13/10000)^0.72*((AF13+1)/3)^0.6*('CAPEX+OPEX'!$G$116/'CAPEX+OPEX'!$G$114)</f>
        <v>1709925.8973051622</v>
      </c>
      <c r="DC13">
        <f>CR13*(BM13/10000)^0.72*((AF13+1)/3)^0.6*('CAPEX+OPEX'!$G$116/'CAPEX+OPEX'!$G$114)</f>
        <v>201883.31801233388</v>
      </c>
      <c r="DD13">
        <f t="shared" si="15"/>
        <v>4176866.2036710088</v>
      </c>
      <c r="DE13">
        <f>CX13+DD13+1.15*(SUM(CI13:CL13)+SUM(CB13:CE13))</f>
        <v>8197717.7197965542</v>
      </c>
      <c r="DF13">
        <f t="shared" si="16"/>
        <v>546514.51465310366</v>
      </c>
      <c r="DG13">
        <f>(BS13+BT13)*'Oxidant Feed Composition'!$N$25*60*7200</f>
        <v>16489304.255629111</v>
      </c>
      <c r="DH13">
        <f>((CG13+CH13)*'Reagent cost'!$C$17/1000*'Reagent cost'!$H$17+(CG13+CH13)*0.5*'Reagent cost'!$C$16/1000*'Reagent cost'!$H$16)*60*7200</f>
        <v>6571361.8079383811</v>
      </c>
      <c r="DI13">
        <f>CF13*'Reagent cost'!$C$17/1000*'Reagent cost'!$H$17*60*7200</f>
        <v>504921.59999999998</v>
      </c>
      <c r="DJ13">
        <f t="shared" si="17"/>
        <v>59.377096676455061</v>
      </c>
      <c r="DK13">
        <f t="shared" si="18"/>
        <v>628.33461026908935</v>
      </c>
      <c r="DL13">
        <f t="shared" si="19"/>
        <v>28279530.450329326</v>
      </c>
      <c r="DM13">
        <f>BK13*(B13*(409.81+2)/1000+C13*(248.2+2*22.99)/1000+D13*(315.6+3*22.99)/1000+0.1*58.44/1000)</f>
        <v>0.70639694042110623</v>
      </c>
      <c r="DN13">
        <f>(BS13+BT13)/1000*('Oxidant Feed Composition'!$B$11*'Oxidant Feed Composition'!$O$20+'Oxidant Feed Composition'!$D$11*'Oxidant Feed Composition'!$O$21+'Oxidant Feed Composition'!$F$11*'Oxidant Feed Composition'!$O$27-'Oxidant Feed Composition'!$J$15*18.015)</f>
        <v>2.3911195868885495</v>
      </c>
      <c r="DO13">
        <f>(BU13+BV13)/1000*(0.2*368.34+0.4*58.44)</f>
        <v>1.6557828715314289</v>
      </c>
      <c r="DP13">
        <f>BK13/1000*(B13*195.08+C13*106.42+D13*102.91)</f>
        <v>4.999938342565946E-2</v>
      </c>
      <c r="DQ13">
        <f>SUM(DM13:DO13)-DP13</f>
        <v>4.703300015415425</v>
      </c>
      <c r="DR13">
        <f>DQ13*60*7200*0.33</f>
        <v>670502.45019762299</v>
      </c>
      <c r="DS13">
        <v>1.2</v>
      </c>
      <c r="DT13">
        <f>BM13/60*(AM13*4+AN13*2+AO13*3)*96485/DV13</f>
        <v>1405.210258292421</v>
      </c>
      <c r="DU13">
        <f>BN13*BA13*(AP13*4+AQ13*2+AR13*3)*96485/DV13/60</f>
        <v>710.45741347657167</v>
      </c>
      <c r="DV13">
        <v>0.7</v>
      </c>
      <c r="DW13">
        <f>0.499*((BK13/3.78541*15)^(-0.146))*BK13/3.78541*15*300*(1+(A13-2)/9)</f>
        <v>30272.303809866662</v>
      </c>
      <c r="DX13">
        <f>0.248*((BK13/3.78541*15)^(-0.144))*BK13/3.78541*15*300*(1+(A13-2)/3)</f>
        <v>20763.049486147294</v>
      </c>
      <c r="DY13">
        <f>0.105*((BK13/3.78541*15)^(-0.144))*BK13/3.78541*15*300*(1+(A13-2)/3)</f>
        <v>8790.8072421188135</v>
      </c>
      <c r="DZ13">
        <f>0.058*((BK13/3.78541*15)^(-0.151))*BK13/3.78541*15*300*(1+(A13-2)/3)</f>
        <v>4656.7358484871465</v>
      </c>
      <c r="EA13">
        <f>0.056*((BK13/3.78541*15)^(-0.144))*BK13/3.78541*15*300*(1+(A13-2)/3)</f>
        <v>4688.4305291300352</v>
      </c>
      <c r="EB13">
        <f>DS13*DT13/(3.6*10^6)*3600*7200*0.07</f>
        <v>849.87116421525627</v>
      </c>
      <c r="EC13">
        <f>0.499*((BM13/3.78541*15)^(-0.146))*BM13/3.78541*15*300*(1+(AF13-2)/9)</f>
        <v>30891.557908916995</v>
      </c>
      <c r="ED13">
        <f>0.248*((BM13/3.78541*15)^(-0.144))*BM13/3.78541*15*300*(1+(AF13-2)/3)</f>
        <v>23302.915468046605</v>
      </c>
      <c r="EE13">
        <f>0.105*((BM13/3.78541*15)^(-0.144))*BM13/3.78541*15*300*(1+(AF13-2)/3)</f>
        <v>9866.1537263906994</v>
      </c>
      <c r="EF13">
        <f>0.058*((BM13/3.78541*15)^(-0.151))*BM13/3.78541*15*300*(1+(AF13-2)/3)</f>
        <v>5229.2376780306813</v>
      </c>
      <c r="EG13">
        <f>0.056*((BM13/3.78541*15)^(-0.144))*BM13/3.78541*15*300*(1+(AF13-2)/3)</f>
        <v>5261.9486540750413</v>
      </c>
      <c r="EH13">
        <f>DS13*DU13/(3.6*10^6)*3600*7200*0.07</f>
        <v>429.68464367063052</v>
      </c>
      <c r="EI13">
        <f>SUM(DW13:EH13)</f>
        <v>145002.69615909585</v>
      </c>
      <c r="EJ13">
        <f>EI13+DR13+DL13</f>
        <v>29095035.596686047</v>
      </c>
      <c r="EK13">
        <f>EJ13+DF13</f>
        <v>29641550.111339152</v>
      </c>
      <c r="EL13">
        <f>EK13/(BK13*60*7200)</f>
        <v>0.68614699331803597</v>
      </c>
      <c r="EM13">
        <f>EK13/(BM13*(AM13*195.084/1000+AN13*106.42/1000+AO13*102.911/1000)*60*7200)</f>
        <v>2298.669529329768</v>
      </c>
      <c r="EN13">
        <f>EK13/(BN13*BA13*(AP13*195.084/1000+AQ13*106.42/1000+AR13*102.911/1000)*60*7200)</f>
        <v>4186.2805558462151</v>
      </c>
    </row>
    <row r="14" spans="1:145">
      <c r="A14">
        <f>'Costing 100 Lmin Feed Orig'!A14</f>
        <v>4</v>
      </c>
      <c r="B14">
        <f>'Costing 100 Lmin Feed Orig'!B14</f>
        <v>1.54143585092054E-3</v>
      </c>
      <c r="C14">
        <f>'Costing 100 Lmin Feed Orig'!C14</f>
        <v>1.54143585092054E-3</v>
      </c>
      <c r="D14">
        <f>'Costing 100 Lmin Feed Orig'!D14</f>
        <v>3.4254130020456501E-4</v>
      </c>
      <c r="E14">
        <f>'Costing 100 Lmin Feed Orig'!E14</f>
        <v>0</v>
      </c>
      <c r="F14">
        <f>'Costing 100 Lmin Feed Orig'!F14</f>
        <v>0</v>
      </c>
      <c r="G14">
        <f>'Costing 100 Lmin Feed Orig'!G14</f>
        <v>0</v>
      </c>
      <c r="H14">
        <f>'Costing 100 Lmin Feed Orig'!H14</f>
        <v>1.7208960911287699E-5</v>
      </c>
      <c r="I14">
        <f>'Costing 100 Lmin Feed Orig'!I14</f>
        <v>2.8768784818324402E-7</v>
      </c>
      <c r="J14">
        <f>'Costing 100 Lmin Feed Orig'!J14</f>
        <v>3.3243632642994598E-4</v>
      </c>
      <c r="K14">
        <f>'Costing 100 Lmin Feed Orig'!K14</f>
        <v>0.10920586178936199</v>
      </c>
      <c r="L14">
        <f>'Costing 100 Lmin Feed Orig'!L14</f>
        <v>0.110418215553449</v>
      </c>
      <c r="M14">
        <f>'Costing 100 Lmin Feed Orig'!M14</f>
        <v>7.2398825703009801E-4</v>
      </c>
      <c r="N14">
        <f>'Costing 100 Lmin Feed Orig'!N14</f>
        <v>-2.168404344971E-18</v>
      </c>
      <c r="O14">
        <f>'Costing 100 Lmin Feed Orig'!O14</f>
        <v>2.3635607360183901E-17</v>
      </c>
      <c r="P14">
        <f>'Costing 100 Lmin Feed Orig'!P14</f>
        <v>-7.4538899358378406E-20</v>
      </c>
      <c r="Q14">
        <f>'Costing 100 Lmin Feed Orig'!Q14</f>
        <v>0.13957372480144001</v>
      </c>
      <c r="R14">
        <f>'Costing 100 Lmin Feed Orig'!R14</f>
        <v>97.0499984181222</v>
      </c>
      <c r="S14">
        <f>'Costing 100 Lmin Feed Orig'!S14</f>
        <v>500</v>
      </c>
      <c r="T14">
        <f>'Costing 100 Lmin Feed Orig'!T14</f>
        <v>95</v>
      </c>
      <c r="U14">
        <f>'Costing 100 Lmin Feed Orig'!U14</f>
        <v>1</v>
      </c>
      <c r="V14">
        <f>'Costing 100 Lmin Feed Orig'!V14</f>
        <v>0.1</v>
      </c>
      <c r="W14">
        <f>'Costing 100 Lmin Feed Orig'!W14</f>
        <v>71.646723007687299</v>
      </c>
      <c r="X14" t="str">
        <f>'Costing 100 Lmin Feed Orig'!X14</f>
        <v>ddFc</v>
      </c>
      <c r="Y14">
        <f>'Costing 100 Lmin Feed Orig'!Y14</f>
        <v>1</v>
      </c>
      <c r="Z14">
        <f>'Costing 100 Lmin Feed Orig'!Z14</f>
        <v>0.28318429382522198</v>
      </c>
      <c r="AA14">
        <f>'Costing 100 Lmin Feed Orig'!AA14</f>
        <v>0.56945642916197003</v>
      </c>
      <c r="AB14">
        <f>'Costing 100 Lmin Feed Orig'!AB14</f>
        <v>3.7698628972227502E-3</v>
      </c>
      <c r="AC14">
        <f>'Costing 100 Lmin Feed Orig'!AC14</f>
        <v>1822.2107908876901</v>
      </c>
      <c r="AD14">
        <f>'Costing 100 Lmin Feed Orig'!AD14</f>
        <v>2662.6059073104898</v>
      </c>
      <c r="AE14">
        <f>'Costing 100 Lmin Feed Orig'!AE14</f>
        <v>2401.5030938442701</v>
      </c>
      <c r="AF14">
        <f>'Costing 100 Lmin Feed Orig'!AF14</f>
        <v>6</v>
      </c>
      <c r="AG14">
        <f>'Costing 100 Lmin Feed Orig'!AG14</f>
        <v>1.6481650483119699E-3</v>
      </c>
      <c r="AH14">
        <f>'Costing 100 Lmin Feed Orig'!AH14</f>
        <v>1.6664622263884801E-3</v>
      </c>
      <c r="AI14">
        <f>'Costing 100 Lmin Feed Orig'!AI14</f>
        <v>1.0926630870116399E-5</v>
      </c>
      <c r="AJ14">
        <f>'Costing 100 Lmin Feed Orig'!AJ14</f>
        <v>0</v>
      </c>
      <c r="AK14">
        <f>'Costing 100 Lmin Feed Orig'!AK14</f>
        <v>0</v>
      </c>
      <c r="AL14">
        <f>'Costing 100 Lmin Feed Orig'!AL14</f>
        <v>0</v>
      </c>
      <c r="AM14">
        <f>'Costing 100 Lmin Feed Orig'!AM14</f>
        <v>1.61036674463848E-3</v>
      </c>
      <c r="AN14">
        <f>'Costing 100 Lmin Feed Orig'!AN14</f>
        <v>7.3903037307057197E-5</v>
      </c>
      <c r="AO14">
        <f>'Costing 100 Lmin Feed Orig'!AO14</f>
        <v>1.0853107147603801E-5</v>
      </c>
      <c r="AP14">
        <f>'Costing 100 Lmin Feed Orig'!AP14</f>
        <v>1.75730512408255E-3</v>
      </c>
      <c r="AQ14">
        <f>'Costing 100 Lmin Feed Orig'!AQ14</f>
        <v>7.4040688374865299E-2</v>
      </c>
      <c r="AR14">
        <f>'Costing 100 Lmin Feed Orig'!AR14</f>
        <v>3.41823843284434E-6</v>
      </c>
      <c r="AS14">
        <f>'Costing 100 Lmin Feed Orig'!AS14</f>
        <v>-3.20923843055709E-17</v>
      </c>
      <c r="AT14">
        <f>'Costing 100 Lmin Feed Orig'!AT14</f>
        <v>-6.4501355645507598E-15</v>
      </c>
      <c r="AU14">
        <f>'Costing 100 Lmin Feed Orig'!AU14</f>
        <v>-2.57948002218536E-20</v>
      </c>
      <c r="AV14">
        <f>'Costing 100 Lmin Feed Orig'!AV14</f>
        <v>0.19891798600503799</v>
      </c>
      <c r="AW14">
        <f>'Costing 100 Lmin Feed Orig'!AW14</f>
        <v>99.327114429080396</v>
      </c>
      <c r="AX14">
        <f>'Costing 100 Lmin Feed Orig'!AX14</f>
        <v>500</v>
      </c>
      <c r="AY14">
        <f>'Costing 100 Lmin Feed Orig'!AY14</f>
        <v>95</v>
      </c>
      <c r="AZ14">
        <f>'Costing 100 Lmin Feed Orig'!AZ14</f>
        <v>0.92480233795174105</v>
      </c>
      <c r="BA14">
        <f>'Costing 100 Lmin Feed Orig'!BA14</f>
        <v>0.1</v>
      </c>
      <c r="BB14">
        <f>'Costing 100 Lmin Feed Orig'!BB14</f>
        <v>46.491639922813</v>
      </c>
      <c r="BC14" t="str">
        <f>'Costing 100 Lmin Feed Orig'!BC14</f>
        <v>coeFc</v>
      </c>
      <c r="BD14">
        <f>'Costing 100 Lmin Feed Orig'!BD14</f>
        <v>1</v>
      </c>
      <c r="BE14">
        <f>'Costing 100 Lmin Feed Orig'!BE14</f>
        <v>1.8775014999999999E-2</v>
      </c>
      <c r="BF14">
        <f>'Costing 100 Lmin Feed Orig'!BF14</f>
        <v>0.10492961100000001</v>
      </c>
      <c r="BG14">
        <f>'Costing 100 Lmin Feed Orig'!BG14</f>
        <v>1.814625E-3</v>
      </c>
      <c r="BH14">
        <f>'Costing 100 Lmin Feed Orig'!BH14</f>
        <v>285.1951444</v>
      </c>
      <c r="BI14">
        <f>'Costing 100 Lmin Feed Orig'!BI14</f>
        <v>2169.8944889999998</v>
      </c>
      <c r="BJ14">
        <f>'Costing 100 Lmin Feed Orig'!BJ14</f>
        <v>866.49409060000005</v>
      </c>
      <c r="BK14">
        <f>'Costing 100 Lmin Feed Orig'!BK14</f>
        <v>100</v>
      </c>
      <c r="BL14">
        <f>'Costing 100 Lmin Feed Orig'!BL14</f>
        <v>13.957372480144</v>
      </c>
      <c r="BM14">
        <f>'Costing 100 Lmin Feed Orig'!BM14</f>
        <v>92.480233795174101</v>
      </c>
      <c r="BN14">
        <f>'Costing 100 Lmin Feed Orig'!BN14</f>
        <v>19.891798600503797</v>
      </c>
      <c r="BO14">
        <f t="shared" si="1"/>
        <v>167.488469761728</v>
      </c>
      <c r="BP14">
        <f t="shared" si="2"/>
        <v>318.26877760806076</v>
      </c>
      <c r="BQ14">
        <f t="shared" si="3"/>
        <v>16.7488469761728</v>
      </c>
      <c r="BR14">
        <f t="shared" si="4"/>
        <v>31.826877760806077</v>
      </c>
      <c r="BS14">
        <f>1.2*0.5*BL14*V14/'Oxidant Feed Composition'!$N$22</f>
        <v>8.3744234880863999</v>
      </c>
      <c r="BT14">
        <f>1.2*0.5*BN14*BA14/'Oxidant Feed Composition'!$N$22</f>
        <v>11.935079160302276</v>
      </c>
      <c r="BU14">
        <f t="shared" si="5"/>
        <v>6.9786862400720002</v>
      </c>
      <c r="BV14">
        <f t="shared" si="6"/>
        <v>9.9458993002518987</v>
      </c>
      <c r="BW14">
        <f t="shared" si="7"/>
        <v>85.501547555102107</v>
      </c>
      <c r="BX14">
        <f t="shared" si="0"/>
        <v>44.663591936460804</v>
      </c>
      <c r="BY14">
        <f t="shared" si="8"/>
        <v>212.87521255063621</v>
      </c>
      <c r="BZ14">
        <f t="shared" si="9"/>
        <v>63.653755521612148</v>
      </c>
      <c r="CA14">
        <f t="shared" si="10"/>
        <v>59.675395801511392</v>
      </c>
      <c r="CB14">
        <f>BO14*'Reagent cost'!$G$11*'Reagent cost'!$H$11</f>
        <v>2210.8478008548095</v>
      </c>
      <c r="CC14">
        <f>BP14*'Reagent cost'!$G$11*'Reagent cost'!$H$11</f>
        <v>4201.1478644264016</v>
      </c>
      <c r="CD14">
        <f>BQ14*'Reagent cost'!$C$18/1000*'Reagent cost'!$H$18</f>
        <v>2671.1136977461792</v>
      </c>
      <c r="CE14">
        <f>BR14*'Ligand cost'!$B$56*'Ligand cost'!$J$56</f>
        <v>32403.826869206256</v>
      </c>
      <c r="CF14">
        <f t="shared" si="11"/>
        <v>10</v>
      </c>
      <c r="CG14">
        <f t="shared" si="12"/>
        <v>2.7914744960288003</v>
      </c>
      <c r="CH14">
        <f t="shared" si="13"/>
        <v>3.9783597201007597</v>
      </c>
      <c r="CI14">
        <f>7963.6*(BX14/1000)^0.6*1.7*('CAPEX+OPEX'!$G$116/'CAPEX+OPEX'!$G$115)</f>
        <v>2472.9373618126128</v>
      </c>
      <c r="CJ14">
        <f>7963.6*(BY14/1000)^0.6*1.7*('CAPEX+OPEX'!$G$116/'CAPEX+OPEX'!$G$115)</f>
        <v>6311.2587327211604</v>
      </c>
      <c r="CK14">
        <f>7963.6*(BZ14/1000)^0.6*1.7*('CAPEX+OPEX'!$G$116/'CAPEX+OPEX'!$G$115)</f>
        <v>3058.6891810035263</v>
      </c>
      <c r="CL14">
        <f>7963.6*(CA14/1000)^0.6*1.7*('CAPEX+OPEX'!$G$116/'CAPEX+OPEX'!$G$115)</f>
        <v>2942.5111201133659</v>
      </c>
      <c r="CM14">
        <f>'Costing 100 Lmin Feed Orig'!DE14</f>
        <v>39625.826528698344</v>
      </c>
      <c r="CN14">
        <f>'Costing 100 Lmin Feed Orig'!DF14</f>
        <v>4586243.4239371875</v>
      </c>
      <c r="CO14">
        <f>'Costing 100 Lmin Feed Orig'!DG14</f>
        <v>11794834.586807497</v>
      </c>
      <c r="CP14">
        <f>'Costing 100 Lmin Feed Orig'!DH14</f>
        <v>2275209.1661185985</v>
      </c>
      <c r="CQ14">
        <f>'Costing 100 Lmin Feed Orig'!DI14</f>
        <v>14083914.336508472</v>
      </c>
      <c r="CR14">
        <f>'Costing 100 Lmin Feed Orig'!DJ14</f>
        <v>1662824.8986326549</v>
      </c>
      <c r="CS14">
        <f>CN14*(BK14/10000)^0.72*((A14+1)/3)^0.6*('CAPEX+OPEX'!$G$116/'CAPEX+OPEX'!$G$114)</f>
        <v>528015.95740622084</v>
      </c>
      <c r="CT14">
        <f>CO14*(BK14/10000)^0.72*((A14+1)/3)^0.6*('CAPEX+OPEX'!$G$116/'CAPEX+OPEX'!$G$114)</f>
        <v>1357943.8117688675</v>
      </c>
      <c r="CU14">
        <f>CP14*(BK14/10000)^0.72*((A14+1)/3)^0.6*('CAPEX+OPEX'!$G$116/'CAPEX+OPEX'!$G$114)</f>
        <v>261945.7004565605</v>
      </c>
      <c r="CV14">
        <f>CQ14*(BK14/10000)^0.72*((A14+1)/3)^0.6*('CAPEX+OPEX'!$G$116/'CAPEX+OPEX'!$G$114)</f>
        <v>1621486.4378120217</v>
      </c>
      <c r="CW14">
        <f>CR14*(BK14/10000)^0.72*((A14+1)/3)^0.6*('CAPEX+OPEX'!$G$116/'CAPEX+OPEX'!$G$114)</f>
        <v>191441.6658016555</v>
      </c>
      <c r="CX14">
        <f t="shared" si="14"/>
        <v>3960833.5732453261</v>
      </c>
      <c r="CY14">
        <f>CN14*(BM14/10000)^0.72*((AF14+1)/3)^0.6*('CAPEX+OPEX'!$G$116/'CAPEX+OPEX'!$G$114)</f>
        <v>610771.96008263668</v>
      </c>
      <c r="CZ14">
        <f>CO14*(BM14/10000)^0.72*((AF14+1)/3)^0.6*('CAPEX+OPEX'!$G$116/'CAPEX+OPEX'!$G$114)</f>
        <v>1570774.5039949177</v>
      </c>
      <c r="DA14">
        <f>CP14*(BM14/10000)^0.72*((AF14+1)/3)^0.6*('CAPEX+OPEX'!$G$116/'CAPEX+OPEX'!$G$114)</f>
        <v>303000.48068431305</v>
      </c>
      <c r="DB14">
        <f>CQ14*(BM14/10000)^0.72*((AF14+1)/3)^0.6*('CAPEX+OPEX'!$G$116/'CAPEX+OPEX'!$G$114)</f>
        <v>1875622.1965995319</v>
      </c>
      <c r="DC14">
        <f>CR14*(BM14/10000)^0.72*((AF14+1)/3)^0.6*('CAPEX+OPEX'!$G$116/'CAPEX+OPEX'!$G$114)</f>
        <v>221446.34044309024</v>
      </c>
      <c r="DD14">
        <f t="shared" si="15"/>
        <v>4581615.4818044901</v>
      </c>
      <c r="DE14">
        <f>CX14+DD14+1.15*(SUM(CI14:CL14)+SUM(CB14:CE14))</f>
        <v>8607162.2375718839</v>
      </c>
      <c r="DF14">
        <f t="shared" si="16"/>
        <v>573810.81583812565</v>
      </c>
      <c r="DG14">
        <f>(BS14+BT14)*'Oxidant Feed Composition'!$N$25*60*7200</f>
        <v>16356322.961286377</v>
      </c>
      <c r="DH14">
        <f>((CG14+CH14)*'Reagent cost'!$C$17/1000*'Reagent cost'!$H$17+(CG14+CH14)*0.5*'Reagent cost'!$C$16/1000*'Reagent cost'!$H$16)*60*7200</f>
        <v>6518365.7454443723</v>
      </c>
      <c r="DI14">
        <f>CF14*'Reagent cost'!$C$17/1000*'Reagent cost'!$H$17*60*7200</f>
        <v>504921.59999999998</v>
      </c>
      <c r="DJ14">
        <f t="shared" si="17"/>
        <v>64.119956652812107</v>
      </c>
      <c r="DK14">
        <f t="shared" si="18"/>
        <v>701.49881133904876</v>
      </c>
      <c r="DL14">
        <f t="shared" si="19"/>
        <v>28056451.11059849</v>
      </c>
      <c r="DM14">
        <f>BK14*(B14*(409.81+2)/1000+C14*(248.2+2*22.99)/1000+D14*(315.6+3*22.99)/1000+0.1*58.44/1000)</f>
        <v>0.70639694042110623</v>
      </c>
      <c r="DN14">
        <f>(BS14+BT14)/1000*('Oxidant Feed Composition'!$B$11*'Oxidant Feed Composition'!$O$20+'Oxidant Feed Composition'!$D$11*'Oxidant Feed Composition'!$O$21+'Oxidant Feed Composition'!$F$11*'Oxidant Feed Composition'!$O$27-'Oxidant Feed Composition'!$J$15*18.015)</f>
        <v>2.3718359244208527</v>
      </c>
      <c r="DO14">
        <f>(BU14+BV14)/1000*(0.2*368.34+0.4*58.44)</f>
        <v>1.6424294791751923</v>
      </c>
      <c r="DP14">
        <f>BK14/1000*(B14*195.08+C14*106.42+D14*102.91)</f>
        <v>4.999938342565946E-2</v>
      </c>
      <c r="DQ14">
        <f>SUM(DM14:DO14)-DP14</f>
        <v>4.6706629605914918</v>
      </c>
      <c r="DR14">
        <f>DQ14*60*7200*0.33</f>
        <v>665849.71166192309</v>
      </c>
      <c r="DS14">
        <v>1.2</v>
      </c>
      <c r="DT14">
        <f>BM14/60*(AM14*4+AN14*2+AO14*3)*96485/DV14</f>
        <v>1406.8170158334865</v>
      </c>
      <c r="DU14">
        <f>BN14*BA14*(AP14*4+AQ14*2+AR14*3)*96485/DV14/60</f>
        <v>708.85065593658192</v>
      </c>
      <c r="DV14">
        <v>0.7</v>
      </c>
      <c r="DW14">
        <f>0.499*((BK14/3.78541*15)^(-0.146))*BK14/3.78541*15*300*(1+(A14-2)/9)</f>
        <v>30272.303809866662</v>
      </c>
      <c r="DX14">
        <f>0.248*((BK14/3.78541*15)^(-0.144))*BK14/3.78541*15*300*(1+(A14-2)/3)</f>
        <v>20763.049486147294</v>
      </c>
      <c r="DY14">
        <f>0.105*((BK14/3.78541*15)^(-0.144))*BK14/3.78541*15*300*(1+(A14-2)/3)</f>
        <v>8790.8072421188135</v>
      </c>
      <c r="DZ14">
        <f>0.058*((BK14/3.78541*15)^(-0.151))*BK14/3.78541*15*300*(1+(A14-2)/3)</f>
        <v>4656.7358484871465</v>
      </c>
      <c r="EA14">
        <f>0.056*((BK14/3.78541*15)^(-0.144))*BK14/3.78541*15*300*(1+(A14-2)/3)</f>
        <v>4688.4305291300352</v>
      </c>
      <c r="EB14">
        <f>DS14*DT14/(3.6*10^6)*3600*7200*0.07</f>
        <v>850.84293117609263</v>
      </c>
      <c r="EC14">
        <f>0.499*((BM14/3.78541*15)^(-0.146))*BM14/3.78541*15*300*(1+(AF14-2)/9)</f>
        <v>33465.854401326746</v>
      </c>
      <c r="ED14">
        <f>0.248*((BM14/3.78541*15)^(-0.144))*BM14/3.78541*15*300*(1+(AF14-2)/3)</f>
        <v>27186.734712721038</v>
      </c>
      <c r="EE14">
        <f>0.105*((BM14/3.78541*15)^(-0.144))*BM14/3.78541*15*300*(1+(AF14-2)/3)</f>
        <v>11510.512680789148</v>
      </c>
      <c r="EF14">
        <f>0.058*((BM14/3.78541*15)^(-0.151))*BM14/3.78541*15*300*(1+(AF14-2)/3)</f>
        <v>6100.7772910357944</v>
      </c>
      <c r="EG14">
        <f>0.056*((BM14/3.78541*15)^(-0.144))*BM14/3.78541*15*300*(1+(AF14-2)/3)</f>
        <v>6138.9400964208808</v>
      </c>
      <c r="EH14">
        <f>DS14*DU14/(3.6*10^6)*3600*7200*0.07</f>
        <v>428.71287671044473</v>
      </c>
      <c r="EI14">
        <f>SUM(DW14:EH14)</f>
        <v>154853.70190593012</v>
      </c>
      <c r="EJ14">
        <f>EI14+DR14+DL14</f>
        <v>28877154.524166342</v>
      </c>
      <c r="EK14">
        <f>EJ14+DF14</f>
        <v>29450965.340004466</v>
      </c>
      <c r="EL14">
        <f>EK14/(BK14*60*7200)</f>
        <v>0.68173530879639965</v>
      </c>
      <c r="EM14">
        <f>EK14/(BM14*(AM14*195.084/1000+AN14*106.42/1000+AO14*102.911/1000)*60*7200)</f>
        <v>2281.2780904844726</v>
      </c>
      <c r="EN14">
        <f>EK14/(BN14*BA14*(AP14*195.084/1000+AQ14*106.42/1000+AR14*102.911/1000)*60*7200)</f>
        <v>4168.0547826525699</v>
      </c>
    </row>
    <row r="15" spans="1:145">
      <c r="A15">
        <f>'Costing 100 Lmin Feed Orig'!A15</f>
        <v>4</v>
      </c>
      <c r="B15">
        <f>'Costing 100 Lmin Feed Orig'!B15</f>
        <v>1.54143585092054E-3</v>
      </c>
      <c r="C15">
        <f>'Costing 100 Lmin Feed Orig'!C15</f>
        <v>1.54143585092054E-3</v>
      </c>
      <c r="D15">
        <f>'Costing 100 Lmin Feed Orig'!D15</f>
        <v>3.4254130020456501E-4</v>
      </c>
      <c r="E15">
        <f>'Costing 100 Lmin Feed Orig'!E15</f>
        <v>0</v>
      </c>
      <c r="F15">
        <f>'Costing 100 Lmin Feed Orig'!F15</f>
        <v>0</v>
      </c>
      <c r="G15">
        <f>'Costing 100 Lmin Feed Orig'!G15</f>
        <v>0</v>
      </c>
      <c r="H15">
        <f>'Costing 100 Lmin Feed Orig'!H15</f>
        <v>1.7208960911287699E-5</v>
      </c>
      <c r="I15">
        <f>'Costing 100 Lmin Feed Orig'!I15</f>
        <v>2.8768784818324402E-7</v>
      </c>
      <c r="J15">
        <f>'Costing 100 Lmin Feed Orig'!J15</f>
        <v>3.3243632642994598E-4</v>
      </c>
      <c r="K15">
        <f>'Costing 100 Lmin Feed Orig'!K15</f>
        <v>0.10920586178936199</v>
      </c>
      <c r="L15">
        <f>'Costing 100 Lmin Feed Orig'!L15</f>
        <v>0.110418215553449</v>
      </c>
      <c r="M15">
        <f>'Costing 100 Lmin Feed Orig'!M15</f>
        <v>7.2398825703009801E-4</v>
      </c>
      <c r="N15">
        <f>'Costing 100 Lmin Feed Orig'!N15</f>
        <v>-2.168404344971E-18</v>
      </c>
      <c r="O15">
        <f>'Costing 100 Lmin Feed Orig'!O15</f>
        <v>2.3635607360183901E-17</v>
      </c>
      <c r="P15">
        <f>'Costing 100 Lmin Feed Orig'!P15</f>
        <v>-7.4538899358378406E-20</v>
      </c>
      <c r="Q15">
        <f>'Costing 100 Lmin Feed Orig'!Q15</f>
        <v>0.13957372480144001</v>
      </c>
      <c r="R15">
        <f>'Costing 100 Lmin Feed Orig'!R15</f>
        <v>97.0499984181222</v>
      </c>
      <c r="S15">
        <f>'Costing 100 Lmin Feed Orig'!S15</f>
        <v>500</v>
      </c>
      <c r="T15">
        <f>'Costing 100 Lmin Feed Orig'!T15</f>
        <v>95</v>
      </c>
      <c r="U15">
        <f>'Costing 100 Lmin Feed Orig'!U15</f>
        <v>1</v>
      </c>
      <c r="V15">
        <f>'Costing 100 Lmin Feed Orig'!V15</f>
        <v>0.1</v>
      </c>
      <c r="W15">
        <f>'Costing 100 Lmin Feed Orig'!W15</f>
        <v>71.646723007687299</v>
      </c>
      <c r="X15" t="str">
        <f>'Costing 100 Lmin Feed Orig'!X15</f>
        <v>ddFc</v>
      </c>
      <c r="Y15">
        <f>'Costing 100 Lmin Feed Orig'!Y15</f>
        <v>1</v>
      </c>
      <c r="Z15">
        <f>'Costing 100 Lmin Feed Orig'!Z15</f>
        <v>0.28318429382522198</v>
      </c>
      <c r="AA15">
        <f>'Costing 100 Lmin Feed Orig'!AA15</f>
        <v>0.56945642916197003</v>
      </c>
      <c r="AB15">
        <f>'Costing 100 Lmin Feed Orig'!AB15</f>
        <v>3.7698628972227502E-3</v>
      </c>
      <c r="AC15">
        <f>'Costing 100 Lmin Feed Orig'!AC15</f>
        <v>1822.2107908876901</v>
      </c>
      <c r="AD15">
        <f>'Costing 100 Lmin Feed Orig'!AD15</f>
        <v>2662.6059073104898</v>
      </c>
      <c r="AE15">
        <f>'Costing 100 Lmin Feed Orig'!AE15</f>
        <v>2401.5030938442701</v>
      </c>
      <c r="AF15">
        <f>'Costing 100 Lmin Feed Orig'!AF15</f>
        <v>7</v>
      </c>
      <c r="AG15">
        <f>'Costing 100 Lmin Feed Orig'!AG15</f>
        <v>1.6481650483119699E-3</v>
      </c>
      <c r="AH15">
        <f>'Costing 100 Lmin Feed Orig'!AH15</f>
        <v>1.6664622263884801E-3</v>
      </c>
      <c r="AI15">
        <f>'Costing 100 Lmin Feed Orig'!AI15</f>
        <v>1.0926630870116399E-5</v>
      </c>
      <c r="AJ15">
        <f>'Costing 100 Lmin Feed Orig'!AJ15</f>
        <v>0</v>
      </c>
      <c r="AK15">
        <f>'Costing 100 Lmin Feed Orig'!AK15</f>
        <v>0</v>
      </c>
      <c r="AL15">
        <f>'Costing 100 Lmin Feed Orig'!AL15</f>
        <v>0</v>
      </c>
      <c r="AM15">
        <f>'Costing 100 Lmin Feed Orig'!AM15</f>
        <v>1.61090754837377E-3</v>
      </c>
      <c r="AN15">
        <f>'Costing 100 Lmin Feed Orig'!AN15</f>
        <v>7.3930491403475195E-5</v>
      </c>
      <c r="AO15">
        <f>'Costing 100 Lmin Feed Orig'!AO15</f>
        <v>1.08541164056693E-5</v>
      </c>
      <c r="AP15">
        <f>'Costing 100 Lmin Feed Orig'!AP15</f>
        <v>1.73922906321953E-3</v>
      </c>
      <c r="AQ15">
        <f>'Costing 100 Lmin Feed Orig'!AQ15</f>
        <v>7.4341474522921697E-2</v>
      </c>
      <c r="AR15">
        <f>'Costing 100 Lmin Feed Orig'!AR15</f>
        <v>3.3850705039854299E-6</v>
      </c>
      <c r="AS15">
        <f>'Costing 100 Lmin Feed Orig'!AS15</f>
        <v>6.2377335826972699E-15</v>
      </c>
      <c r="AT15">
        <f>'Costing 100 Lmin Feed Orig'!AT15</f>
        <v>-2.31652956365902E-12</v>
      </c>
      <c r="AU15">
        <f>'Costing 100 Lmin Feed Orig'!AU15</f>
        <v>-1.8555315500789499E-20</v>
      </c>
      <c r="AV15">
        <f>'Costing 100 Lmin Feed Orig'!AV15</f>
        <v>0.19810974742489201</v>
      </c>
      <c r="AW15">
        <f>'Costing 100 Lmin Feed Orig'!AW15</f>
        <v>99.336351110337105</v>
      </c>
      <c r="AX15">
        <f>'Costing 100 Lmin Feed Orig'!AX15</f>
        <v>500</v>
      </c>
      <c r="AY15">
        <f>'Costing 100 Lmin Feed Orig'!AY15</f>
        <v>95</v>
      </c>
      <c r="AZ15">
        <f>'Costing 100 Lmin Feed Orig'!AZ15</f>
        <v>0.92480233795174105</v>
      </c>
      <c r="BA15">
        <f>'Costing 100 Lmin Feed Orig'!BA15</f>
        <v>0.1</v>
      </c>
      <c r="BB15">
        <f>'Costing 100 Lmin Feed Orig'!BB15</f>
        <v>46.681314270129498</v>
      </c>
      <c r="BC15" t="str">
        <f>'Costing 100 Lmin Feed Orig'!BC15</f>
        <v>coeFc</v>
      </c>
      <c r="BD15">
        <f>'Costing 100 Lmin Feed Orig'!BD15</f>
        <v>1</v>
      </c>
      <c r="BE15">
        <f>'Costing 100 Lmin Feed Orig'!BE15</f>
        <v>1.8775014999999999E-2</v>
      </c>
      <c r="BF15">
        <f>'Costing 100 Lmin Feed Orig'!BF15</f>
        <v>0.10492961100000001</v>
      </c>
      <c r="BG15">
        <f>'Costing 100 Lmin Feed Orig'!BG15</f>
        <v>1.814625E-3</v>
      </c>
      <c r="BH15">
        <f>'Costing 100 Lmin Feed Orig'!BH15</f>
        <v>285.1951444</v>
      </c>
      <c r="BI15">
        <f>'Costing 100 Lmin Feed Orig'!BI15</f>
        <v>2169.8944889999998</v>
      </c>
      <c r="BJ15">
        <f>'Costing 100 Lmin Feed Orig'!BJ15</f>
        <v>866.49409060000005</v>
      </c>
      <c r="BK15">
        <f>'Costing 100 Lmin Feed Orig'!BK15</f>
        <v>100</v>
      </c>
      <c r="BL15">
        <f>'Costing 100 Lmin Feed Orig'!BL15</f>
        <v>13.957372480144</v>
      </c>
      <c r="BM15">
        <f>'Costing 100 Lmin Feed Orig'!BM15</f>
        <v>92.480233795174101</v>
      </c>
      <c r="BN15">
        <f>'Costing 100 Lmin Feed Orig'!BN15</f>
        <v>19.810974742489201</v>
      </c>
      <c r="BO15">
        <f t="shared" si="1"/>
        <v>167.488469761728</v>
      </c>
      <c r="BP15">
        <f t="shared" si="2"/>
        <v>356.59754536480563</v>
      </c>
      <c r="BQ15">
        <f t="shared" si="3"/>
        <v>16.7488469761728</v>
      </c>
      <c r="BR15">
        <f t="shared" si="4"/>
        <v>35.659754536480563</v>
      </c>
      <c r="BS15">
        <f>1.2*0.5*BL15*V15/'Oxidant Feed Composition'!$N$22</f>
        <v>8.3744234880863999</v>
      </c>
      <c r="BT15">
        <f>1.2*0.5*BN15*BA15/'Oxidant Feed Composition'!$N$22</f>
        <v>11.88658484549352</v>
      </c>
      <c r="BU15">
        <f t="shared" si="5"/>
        <v>6.9786862400720002</v>
      </c>
      <c r="BV15">
        <f t="shared" si="6"/>
        <v>9.9054873712446003</v>
      </c>
      <c r="BW15">
        <f t="shared" si="7"/>
        <v>85.501547555102107</v>
      </c>
      <c r="BX15">
        <f t="shared" si="0"/>
        <v>44.663591936460804</v>
      </c>
      <c r="BY15">
        <f t="shared" si="8"/>
        <v>212.87521255063621</v>
      </c>
      <c r="BZ15">
        <f t="shared" si="9"/>
        <v>63.395119175965441</v>
      </c>
      <c r="CA15">
        <f t="shared" si="10"/>
        <v>59.432924227467602</v>
      </c>
      <c r="CB15">
        <f>BO15*'Reagent cost'!$G$11*'Reagent cost'!$H$11</f>
        <v>2210.8478008548095</v>
      </c>
      <c r="CC15">
        <f>BP15*'Reagent cost'!$G$11*'Reagent cost'!$H$11</f>
        <v>4707.0875988154348</v>
      </c>
      <c r="CD15">
        <f>BQ15*'Reagent cost'!$C$18/1000*'Reagent cost'!$H$18</f>
        <v>2671.1136977461792</v>
      </c>
      <c r="CE15">
        <f>BR15*'Ligand cost'!$B$56*'Ligand cost'!$J$56</f>
        <v>36306.185007612978</v>
      </c>
      <c r="CF15">
        <f t="shared" si="11"/>
        <v>10</v>
      </c>
      <c r="CG15">
        <f t="shared" si="12"/>
        <v>2.7914744960288003</v>
      </c>
      <c r="CH15">
        <f t="shared" si="13"/>
        <v>3.9621949484978405</v>
      </c>
      <c r="CI15">
        <f>7963.6*(BX15/1000)^0.6*1.7*('CAPEX+OPEX'!$G$116/'CAPEX+OPEX'!$G$115)</f>
        <v>2472.9373618126128</v>
      </c>
      <c r="CJ15">
        <f>7963.6*(BY15/1000)^0.6*1.7*('CAPEX+OPEX'!$G$116/'CAPEX+OPEX'!$G$115)</f>
        <v>6311.2587327211604</v>
      </c>
      <c r="CK15">
        <f>7963.6*(BZ15/1000)^0.6*1.7*('CAPEX+OPEX'!$G$116/'CAPEX+OPEX'!$G$115)</f>
        <v>3051.226316256721</v>
      </c>
      <c r="CL15">
        <f>7963.6*(CA15/1000)^0.6*1.7*('CAPEX+OPEX'!$G$116/'CAPEX+OPEX'!$G$115)</f>
        <v>2935.3317170403893</v>
      </c>
      <c r="CM15">
        <f>'Costing 100 Lmin Feed Orig'!DE15</f>
        <v>39625.826528698344</v>
      </c>
      <c r="CN15">
        <f>'Costing 100 Lmin Feed Orig'!DF15</f>
        <v>4586243.4239371875</v>
      </c>
      <c r="CO15">
        <f>'Costing 100 Lmin Feed Orig'!DG15</f>
        <v>11794834.586807497</v>
      </c>
      <c r="CP15">
        <f>'Costing 100 Lmin Feed Orig'!DH15</f>
        <v>2275209.1661185985</v>
      </c>
      <c r="CQ15">
        <f>'Costing 100 Lmin Feed Orig'!DI15</f>
        <v>14083914.336508472</v>
      </c>
      <c r="CR15">
        <f>'Costing 100 Lmin Feed Orig'!DJ15</f>
        <v>1662824.8986326549</v>
      </c>
      <c r="CS15">
        <f>CN15*(BK15/10000)^0.72*((A15+1)/3)^0.6*('CAPEX+OPEX'!$G$116/'CAPEX+OPEX'!$G$114)</f>
        <v>528015.95740622084</v>
      </c>
      <c r="CT15">
        <f>CO15*(BK15/10000)^0.72*((A15+1)/3)^0.6*('CAPEX+OPEX'!$G$116/'CAPEX+OPEX'!$G$114)</f>
        <v>1357943.8117688675</v>
      </c>
      <c r="CU15">
        <f>CP15*(BK15/10000)^0.72*((A15+1)/3)^0.6*('CAPEX+OPEX'!$G$116/'CAPEX+OPEX'!$G$114)</f>
        <v>261945.7004565605</v>
      </c>
      <c r="CV15">
        <f>CQ15*(BK15/10000)^0.72*((A15+1)/3)^0.6*('CAPEX+OPEX'!$G$116/'CAPEX+OPEX'!$G$114)</f>
        <v>1621486.4378120217</v>
      </c>
      <c r="CW15">
        <f>CR15*(BK15/10000)^0.72*((A15+1)/3)^0.6*('CAPEX+OPEX'!$G$116/'CAPEX+OPEX'!$G$114)</f>
        <v>191441.6658016555</v>
      </c>
      <c r="CX15">
        <f t="shared" si="14"/>
        <v>3960833.5732453261</v>
      </c>
      <c r="CY15">
        <f>CN15*(BM15/10000)^0.72*((AF15+1)/3)^0.6*('CAPEX+OPEX'!$G$116/'CAPEX+OPEX'!$G$114)</f>
        <v>661719.9968599478</v>
      </c>
      <c r="CZ15">
        <f>CO15*(BM15/10000)^0.72*((AF15+1)/3)^0.6*('CAPEX+OPEX'!$G$116/'CAPEX+OPEX'!$G$114)</f>
        <v>1701801.9290056669</v>
      </c>
      <c r="DA15">
        <f>CP15*(BM15/10000)^0.72*((AF15+1)/3)^0.6*('CAPEX+OPEX'!$G$116/'CAPEX+OPEX'!$G$114)</f>
        <v>328275.51071574847</v>
      </c>
      <c r="DB15">
        <f>CQ15*(BM15/10000)^0.72*((AF15+1)/3)^0.6*('CAPEX+OPEX'!$G$116/'CAPEX+OPEX'!$G$114)</f>
        <v>2032078.7383172708</v>
      </c>
      <c r="DC15">
        <f>CR15*(BM15/10000)^0.72*((AF15+1)/3)^0.6*('CAPEX+OPEX'!$G$116/'CAPEX+OPEX'!$G$114)</f>
        <v>239918.46594074578</v>
      </c>
      <c r="DD15">
        <f t="shared" si="15"/>
        <v>4963794.6408393793</v>
      </c>
      <c r="DE15">
        <f>CX15+DD15+1.15*(SUM(CI15:CL15)+SUM(CB15:CE15))</f>
        <v>8994394.1005524956</v>
      </c>
      <c r="DF15">
        <f t="shared" si="16"/>
        <v>599626.27337016643</v>
      </c>
      <c r="DG15">
        <f>(BS15+BT15)*'Oxidant Feed Composition'!$N$25*60*7200</f>
        <v>16317267.909642301</v>
      </c>
      <c r="DH15">
        <f>((CG15+CH15)*'Reagent cost'!$C$17/1000*'Reagent cost'!$H$17+(CG15+CH15)*0.5*'Reagent cost'!$C$16/1000*'Reagent cost'!$H$16)*60*7200</f>
        <v>6502801.4213951426</v>
      </c>
      <c r="DI15">
        <f>CF15*'Reagent cost'!$C$17/1000*'Reagent cost'!$H$17*60*7200</f>
        <v>504921.59999999998</v>
      </c>
      <c r="DJ15">
        <f t="shared" si="17"/>
        <v>69.179353996702446</v>
      </c>
      <c r="DK15">
        <f t="shared" si="18"/>
        <v>779.54597410718316</v>
      </c>
      <c r="DL15">
        <f t="shared" si="19"/>
        <v>27991007.587638658</v>
      </c>
      <c r="DM15">
        <f>BK15*(B15*(409.81+2)/1000+C15*(248.2+2*22.99)/1000+D15*(315.6+3*22.99)/1000+0.1*58.44/1000)</f>
        <v>0.70639694042110623</v>
      </c>
      <c r="DN15">
        <f>(BS15+BT15)/1000*('Oxidant Feed Composition'!$B$11*'Oxidant Feed Composition'!$O$20+'Oxidant Feed Composition'!$D$11*'Oxidant Feed Composition'!$O$21+'Oxidant Feed Composition'!$F$11*'Oxidant Feed Composition'!$O$27-'Oxidant Feed Composition'!$J$15*18.015)</f>
        <v>2.3661725381732972</v>
      </c>
      <c r="DO15">
        <f>(BU15+BV15)/1000*(0.2*368.34+0.4*58.44)</f>
        <v>1.638507743936608</v>
      </c>
      <c r="DP15">
        <f>BK15/1000*(B15*195.08+C15*106.42+D15*102.91)</f>
        <v>4.999938342565946E-2</v>
      </c>
      <c r="DQ15">
        <f>SUM(DM15:DO15)-DP15</f>
        <v>4.661077839105352</v>
      </c>
      <c r="DR15">
        <f>DQ15*60*7200*0.33</f>
        <v>664483.25674285903</v>
      </c>
      <c r="DS15">
        <v>1.2</v>
      </c>
      <c r="DT15">
        <f>BM15/60*(AM15*4+AN15*2+AO15*3)*96485/DV15</f>
        <v>1407.2889022715001</v>
      </c>
      <c r="DU15">
        <f>BN15*BA15*(AP15*4+AQ15*2+AR15*3)*96485/DV15/60</f>
        <v>708.37877055417789</v>
      </c>
      <c r="DV15">
        <v>0.7</v>
      </c>
      <c r="DW15">
        <f>0.499*((BK15/3.78541*15)^(-0.146))*BK15/3.78541*15*300*(1+(A15-2)/9)</f>
        <v>30272.303809866662</v>
      </c>
      <c r="DX15">
        <f>0.248*((BK15/3.78541*15)^(-0.144))*BK15/3.78541*15*300*(1+(A15-2)/3)</f>
        <v>20763.049486147294</v>
      </c>
      <c r="DY15">
        <f>0.105*((BK15/3.78541*15)^(-0.144))*BK15/3.78541*15*300*(1+(A15-2)/3)</f>
        <v>8790.8072421188135</v>
      </c>
      <c r="DZ15">
        <f>0.058*((BK15/3.78541*15)^(-0.151))*BK15/3.78541*15*300*(1+(A15-2)/3)</f>
        <v>4656.7358484871465</v>
      </c>
      <c r="EA15">
        <f>0.056*((BK15/3.78541*15)^(-0.144))*BK15/3.78541*15*300*(1+(A15-2)/3)</f>
        <v>4688.4305291300352</v>
      </c>
      <c r="EB15">
        <f>DS15*DT15/(3.6*10^6)*3600*7200*0.07</f>
        <v>851.12832809380325</v>
      </c>
      <c r="EC15">
        <f>0.499*((BM15/3.78541*15)^(-0.146))*BM15/3.78541*15*300*(1+(AF15-2)/9)</f>
        <v>36040.1508937365</v>
      </c>
      <c r="ED15">
        <f>0.248*((BM15/3.78541*15)^(-0.144))*BM15/3.78541*15*300*(1+(AF15-2)/3)</f>
        <v>31070.553957395477</v>
      </c>
      <c r="EE15">
        <f>0.105*((BM15/3.78541*15)^(-0.144))*BM15/3.78541*15*300*(1+(AF15-2)/3)</f>
        <v>13154.871635187601</v>
      </c>
      <c r="EF15">
        <f>0.058*((BM15/3.78541*15)^(-0.151))*BM15/3.78541*15*300*(1+(AF15-2)/3)</f>
        <v>6972.3169040409093</v>
      </c>
      <c r="EG15">
        <f>0.056*((BM15/3.78541*15)^(-0.144))*BM15/3.78541*15*300*(1+(AF15-2)/3)</f>
        <v>7015.931538766723</v>
      </c>
      <c r="EH15">
        <f>DS15*DU15/(3.6*10^6)*3600*7200*0.07</f>
        <v>428.42748043116683</v>
      </c>
      <c r="EI15">
        <f>SUM(DW15:EH15)</f>
        <v>164704.70765340209</v>
      </c>
      <c r="EJ15">
        <f>EI15+DR15+DL15</f>
        <v>28820195.552034918</v>
      </c>
      <c r="EK15">
        <f>EJ15+DF15</f>
        <v>29419821.825405084</v>
      </c>
      <c r="EL15">
        <f>EK15/(BK15*60*7200)</f>
        <v>0.68101439410659914</v>
      </c>
      <c r="EM15">
        <f>EK15/(BM15*(AM15*195.084/1000+AN15*106.42/1000+AO15*102.911/1000)*60*7200)</f>
        <v>2278.1005955488013</v>
      </c>
      <c r="EN15">
        <f>EK15/(BN15*BA15*(AP15*195.084/1000+AQ15*106.42/1000+AR15*102.911/1000)*60*7200)</f>
        <v>4166.2036937436651</v>
      </c>
    </row>
    <row r="16" spans="1:145">
      <c r="A16">
        <f>'Costing 100 Lmin Feed Orig'!A16</f>
        <v>4</v>
      </c>
      <c r="B16">
        <f>'Costing 100 Lmin Feed Orig'!B16</f>
        <v>1.54143585092054E-3</v>
      </c>
      <c r="C16">
        <f>'Costing 100 Lmin Feed Orig'!C16</f>
        <v>1.54143585092054E-3</v>
      </c>
      <c r="D16">
        <f>'Costing 100 Lmin Feed Orig'!D16</f>
        <v>3.4254130020456501E-4</v>
      </c>
      <c r="E16">
        <f>'Costing 100 Lmin Feed Orig'!E16</f>
        <v>0</v>
      </c>
      <c r="F16">
        <f>'Costing 100 Lmin Feed Orig'!F16</f>
        <v>0</v>
      </c>
      <c r="G16">
        <f>'Costing 100 Lmin Feed Orig'!G16</f>
        <v>0</v>
      </c>
      <c r="H16">
        <f>'Costing 100 Lmin Feed Orig'!H16</f>
        <v>1.7208960911287699E-5</v>
      </c>
      <c r="I16">
        <f>'Costing 100 Lmin Feed Orig'!I16</f>
        <v>2.8768784818324402E-7</v>
      </c>
      <c r="J16">
        <f>'Costing 100 Lmin Feed Orig'!J16</f>
        <v>3.3243632642994598E-4</v>
      </c>
      <c r="K16">
        <f>'Costing 100 Lmin Feed Orig'!K16</f>
        <v>0.10920586178936199</v>
      </c>
      <c r="L16">
        <f>'Costing 100 Lmin Feed Orig'!L16</f>
        <v>0.110418215553449</v>
      </c>
      <c r="M16">
        <f>'Costing 100 Lmin Feed Orig'!M16</f>
        <v>7.2398825703009801E-4</v>
      </c>
      <c r="N16">
        <f>'Costing 100 Lmin Feed Orig'!N16</f>
        <v>-2.168404344971E-18</v>
      </c>
      <c r="O16">
        <f>'Costing 100 Lmin Feed Orig'!O16</f>
        <v>2.3635607360183901E-17</v>
      </c>
      <c r="P16">
        <f>'Costing 100 Lmin Feed Orig'!P16</f>
        <v>-7.4538899358378406E-20</v>
      </c>
      <c r="Q16">
        <f>'Costing 100 Lmin Feed Orig'!Q16</f>
        <v>0.13957372480144001</v>
      </c>
      <c r="R16">
        <f>'Costing 100 Lmin Feed Orig'!R16</f>
        <v>97.0499984181222</v>
      </c>
      <c r="S16">
        <f>'Costing 100 Lmin Feed Orig'!S16</f>
        <v>500</v>
      </c>
      <c r="T16">
        <f>'Costing 100 Lmin Feed Orig'!T16</f>
        <v>95</v>
      </c>
      <c r="U16">
        <f>'Costing 100 Lmin Feed Orig'!U16</f>
        <v>1</v>
      </c>
      <c r="V16">
        <f>'Costing 100 Lmin Feed Orig'!V16</f>
        <v>0.1</v>
      </c>
      <c r="W16">
        <f>'Costing 100 Lmin Feed Orig'!W16</f>
        <v>71.646723007687299</v>
      </c>
      <c r="X16" t="str">
        <f>'Costing 100 Lmin Feed Orig'!X16</f>
        <v>ddFc</v>
      </c>
      <c r="Y16">
        <f>'Costing 100 Lmin Feed Orig'!Y16</f>
        <v>1</v>
      </c>
      <c r="Z16">
        <f>'Costing 100 Lmin Feed Orig'!Z16</f>
        <v>0.28318429382522198</v>
      </c>
      <c r="AA16">
        <f>'Costing 100 Lmin Feed Orig'!AA16</f>
        <v>0.56945642916197003</v>
      </c>
      <c r="AB16">
        <f>'Costing 100 Lmin Feed Orig'!AB16</f>
        <v>3.7698628972227502E-3</v>
      </c>
      <c r="AC16">
        <f>'Costing 100 Lmin Feed Orig'!AC16</f>
        <v>1822.2107908876901</v>
      </c>
      <c r="AD16">
        <f>'Costing 100 Lmin Feed Orig'!AD16</f>
        <v>2662.6059073104898</v>
      </c>
      <c r="AE16">
        <f>'Costing 100 Lmin Feed Orig'!AE16</f>
        <v>2401.5030938442701</v>
      </c>
      <c r="AF16">
        <f>'Costing 100 Lmin Feed Orig'!AF16</f>
        <v>8</v>
      </c>
      <c r="AG16">
        <f>'Costing 100 Lmin Feed Orig'!AG16</f>
        <v>1.6481650483119699E-3</v>
      </c>
      <c r="AH16">
        <f>'Costing 100 Lmin Feed Orig'!AH16</f>
        <v>1.6664622263884801E-3</v>
      </c>
      <c r="AI16">
        <f>'Costing 100 Lmin Feed Orig'!AI16</f>
        <v>1.0926630870116399E-5</v>
      </c>
      <c r="AJ16">
        <f>'Costing 100 Lmin Feed Orig'!AJ16</f>
        <v>0</v>
      </c>
      <c r="AK16">
        <f>'Costing 100 Lmin Feed Orig'!AK16</f>
        <v>0</v>
      </c>
      <c r="AL16">
        <f>'Costing 100 Lmin Feed Orig'!AL16</f>
        <v>0</v>
      </c>
      <c r="AM16">
        <f>'Costing 100 Lmin Feed Orig'!AM16</f>
        <v>1.6110629319685101E-3</v>
      </c>
      <c r="AN16">
        <f>'Costing 100 Lmin Feed Orig'!AN16</f>
        <v>7.3938379507668505E-5</v>
      </c>
      <c r="AO16">
        <f>'Costing 100 Lmin Feed Orig'!AO16</f>
        <v>1.085440638541E-5</v>
      </c>
      <c r="AP16">
        <f>'Costing 100 Lmin Feed Orig'!AP16</f>
        <v>1.73400814806823E-3</v>
      </c>
      <c r="AQ16">
        <f>'Costing 100 Lmin Feed Orig'!AQ16</f>
        <v>7.4428350688171094E-2</v>
      </c>
      <c r="AR16">
        <f>'Costing 100 Lmin Feed Orig'!AR16</f>
        <v>3.37549060036281E-6</v>
      </c>
      <c r="AS16">
        <f>'Costing 100 Lmin Feed Orig'!AS16</f>
        <v>-2.23616698075135E-19</v>
      </c>
      <c r="AT16">
        <f>'Costing 100 Lmin Feed Orig'!AT16</f>
        <v>-1.3010426069825999E-18</v>
      </c>
      <c r="AU16">
        <f>'Costing 100 Lmin Feed Orig'!AU16</f>
        <v>-9.26442286059391E-23</v>
      </c>
      <c r="AV16">
        <f>'Costing 100 Lmin Feed Orig'!AV16</f>
        <v>0.19787752425277699</v>
      </c>
      <c r="AW16">
        <f>'Costing 100 Lmin Feed Orig'!AW16</f>
        <v>99.339004990971901</v>
      </c>
      <c r="AX16">
        <f>'Costing 100 Lmin Feed Orig'!AX16</f>
        <v>500</v>
      </c>
      <c r="AY16">
        <f>'Costing 100 Lmin Feed Orig'!AY16</f>
        <v>95</v>
      </c>
      <c r="AZ16">
        <f>'Costing 100 Lmin Feed Orig'!AZ16</f>
        <v>0.92480233795174105</v>
      </c>
      <c r="BA16">
        <f>'Costing 100 Lmin Feed Orig'!BA16</f>
        <v>0.1</v>
      </c>
      <c r="BB16">
        <f>'Costing 100 Lmin Feed Orig'!BB16</f>
        <v>46.736098070964097</v>
      </c>
      <c r="BC16" t="str">
        <f>'Costing 100 Lmin Feed Orig'!BC16</f>
        <v>coeFc</v>
      </c>
      <c r="BD16">
        <f>'Costing 100 Lmin Feed Orig'!BD16</f>
        <v>1</v>
      </c>
      <c r="BE16">
        <f>'Costing 100 Lmin Feed Orig'!BE16</f>
        <v>1.8775014999999999E-2</v>
      </c>
      <c r="BF16">
        <f>'Costing 100 Lmin Feed Orig'!BF16</f>
        <v>0.10492961100000001</v>
      </c>
      <c r="BG16">
        <f>'Costing 100 Lmin Feed Orig'!BG16</f>
        <v>1.814625E-3</v>
      </c>
      <c r="BH16">
        <f>'Costing 100 Lmin Feed Orig'!BH16</f>
        <v>285.1951444</v>
      </c>
      <c r="BI16">
        <f>'Costing 100 Lmin Feed Orig'!BI16</f>
        <v>2169.8944889999998</v>
      </c>
      <c r="BJ16">
        <f>'Costing 100 Lmin Feed Orig'!BJ16</f>
        <v>866.49409060000005</v>
      </c>
      <c r="BK16">
        <f>'Costing 100 Lmin Feed Orig'!BK16</f>
        <v>100</v>
      </c>
      <c r="BL16">
        <f>'Costing 100 Lmin Feed Orig'!BL16</f>
        <v>13.957372480144</v>
      </c>
      <c r="BM16">
        <f>'Costing 100 Lmin Feed Orig'!BM16</f>
        <v>92.480233795174101</v>
      </c>
      <c r="BN16">
        <f>'Costing 100 Lmin Feed Orig'!BN16</f>
        <v>19.787752425277699</v>
      </c>
      <c r="BO16">
        <f t="shared" si="1"/>
        <v>167.488469761728</v>
      </c>
      <c r="BP16">
        <f t="shared" si="2"/>
        <v>395.75504850555399</v>
      </c>
      <c r="BQ16">
        <f t="shared" si="3"/>
        <v>16.7488469761728</v>
      </c>
      <c r="BR16">
        <f t="shared" si="4"/>
        <v>39.575504850555404</v>
      </c>
      <c r="BS16">
        <f>1.2*0.5*BL16*V16/'Oxidant Feed Composition'!$N$22</f>
        <v>8.3744234880863999</v>
      </c>
      <c r="BT16">
        <f>1.2*0.5*BN16*BA16/'Oxidant Feed Composition'!$N$22</f>
        <v>11.872651455166618</v>
      </c>
      <c r="BU16">
        <f t="shared" si="5"/>
        <v>6.9786862400720002</v>
      </c>
      <c r="BV16">
        <f t="shared" si="6"/>
        <v>9.8938762126388493</v>
      </c>
      <c r="BW16">
        <f t="shared" si="7"/>
        <v>85.501547555102107</v>
      </c>
      <c r="BX16">
        <f t="shared" si="0"/>
        <v>44.663591936460804</v>
      </c>
      <c r="BY16">
        <f t="shared" si="8"/>
        <v>212.87521255063621</v>
      </c>
      <c r="BZ16">
        <f t="shared" si="9"/>
        <v>63.320807760888634</v>
      </c>
      <c r="CA16">
        <f t="shared" si="10"/>
        <v>59.363257275833092</v>
      </c>
      <c r="CB16">
        <f>BO16*'Reagent cost'!$G$11*'Reagent cost'!$H$11</f>
        <v>2210.8478008548095</v>
      </c>
      <c r="CC16">
        <f>BP16*'Reagent cost'!$G$11*'Reagent cost'!$H$11</f>
        <v>5223.9666402733128</v>
      </c>
      <c r="CD16">
        <f>BQ16*'Reagent cost'!$C$18/1000*'Reagent cost'!$H$18</f>
        <v>2671.1136977461792</v>
      </c>
      <c r="CE16">
        <f>BR16*'Ligand cost'!$B$56*'Ligand cost'!$J$56</f>
        <v>40292.918993708743</v>
      </c>
      <c r="CF16">
        <f t="shared" si="11"/>
        <v>10</v>
      </c>
      <c r="CG16">
        <f t="shared" si="12"/>
        <v>2.7914744960288003</v>
      </c>
      <c r="CH16">
        <f t="shared" si="13"/>
        <v>3.9575504850555401</v>
      </c>
      <c r="CI16">
        <f>7963.6*(BX16/1000)^0.6*1.7*('CAPEX+OPEX'!$G$116/'CAPEX+OPEX'!$G$115)</f>
        <v>2472.9373618126128</v>
      </c>
      <c r="CJ16">
        <f>7963.6*(BY16/1000)^0.6*1.7*('CAPEX+OPEX'!$G$116/'CAPEX+OPEX'!$G$115)</f>
        <v>6311.2587327211604</v>
      </c>
      <c r="CK16">
        <f>7963.6*(BZ16/1000)^0.6*1.7*('CAPEX+OPEX'!$G$116/'CAPEX+OPEX'!$G$115)</f>
        <v>3049.0798343108368</v>
      </c>
      <c r="CL16">
        <f>7963.6*(CA16/1000)^0.6*1.7*('CAPEX+OPEX'!$G$116/'CAPEX+OPEX'!$G$115)</f>
        <v>2933.2667648268352</v>
      </c>
      <c r="CM16">
        <f>'Costing 100 Lmin Feed Orig'!DE16</f>
        <v>39625.826528698344</v>
      </c>
      <c r="CN16">
        <f>'Costing 100 Lmin Feed Orig'!DF16</f>
        <v>4586243.4239371875</v>
      </c>
      <c r="CO16">
        <f>'Costing 100 Lmin Feed Orig'!DG16</f>
        <v>11794834.586807497</v>
      </c>
      <c r="CP16">
        <f>'Costing 100 Lmin Feed Orig'!DH16</f>
        <v>2275209.1661185985</v>
      </c>
      <c r="CQ16">
        <f>'Costing 100 Lmin Feed Orig'!DI16</f>
        <v>14083914.336508472</v>
      </c>
      <c r="CR16">
        <f>'Costing 100 Lmin Feed Orig'!DJ16</f>
        <v>1662824.8986326549</v>
      </c>
      <c r="CS16">
        <f>CN16*(BK16/10000)^0.72*((A16+1)/3)^0.6*('CAPEX+OPEX'!$G$116/'CAPEX+OPEX'!$G$114)</f>
        <v>528015.95740622084</v>
      </c>
      <c r="CT16">
        <f>CO16*(BK16/10000)^0.72*((A16+1)/3)^0.6*('CAPEX+OPEX'!$G$116/'CAPEX+OPEX'!$G$114)</f>
        <v>1357943.8117688675</v>
      </c>
      <c r="CU16">
        <f>CP16*(BK16/10000)^0.72*((A16+1)/3)^0.6*('CAPEX+OPEX'!$G$116/'CAPEX+OPEX'!$G$114)</f>
        <v>261945.7004565605</v>
      </c>
      <c r="CV16">
        <f>CQ16*(BK16/10000)^0.72*((A16+1)/3)^0.6*('CAPEX+OPEX'!$G$116/'CAPEX+OPEX'!$G$114)</f>
        <v>1621486.4378120217</v>
      </c>
      <c r="CW16">
        <f>CR16*(BK16/10000)^0.72*((A16+1)/3)^0.6*('CAPEX+OPEX'!$G$116/'CAPEX+OPEX'!$G$114)</f>
        <v>191441.6658016555</v>
      </c>
      <c r="CX16">
        <f t="shared" si="14"/>
        <v>3960833.5732453261</v>
      </c>
      <c r="CY16">
        <f>CN16*(BM16/10000)^0.72*((AF16+1)/3)^0.6*('CAPEX+OPEX'!$G$116/'CAPEX+OPEX'!$G$114)</f>
        <v>710175.64189173898</v>
      </c>
      <c r="CZ16">
        <f>CO16*(BM16/10000)^0.72*((AF16+1)/3)^0.6*('CAPEX+OPEX'!$G$116/'CAPEX+OPEX'!$G$114)</f>
        <v>1826419.4569292928</v>
      </c>
      <c r="DA16">
        <f>CP16*(BM16/10000)^0.72*((AF16+1)/3)^0.6*('CAPEX+OPEX'!$G$116/'CAPEX+OPEX'!$G$114)</f>
        <v>352314.07943870482</v>
      </c>
      <c r="DB16">
        <f>CQ16*(BM16/10000)^0.72*((AF16+1)/3)^0.6*('CAPEX+OPEX'!$G$116/'CAPEX+OPEX'!$G$114)</f>
        <v>2180881.3836775436</v>
      </c>
      <c r="DC16">
        <f>CR16*(BM16/10000)^0.72*((AF16+1)/3)^0.6*('CAPEX+OPEX'!$G$116/'CAPEX+OPEX'!$G$114)</f>
        <v>257486.93006055866</v>
      </c>
      <c r="DD16">
        <f t="shared" si="15"/>
        <v>5327277.491997839</v>
      </c>
      <c r="DE16">
        <f>CX16+DD16+1.15*(SUM(CI16:CL16)+SUM(CB16:CE16))</f>
        <v>9363051.2635433581</v>
      </c>
      <c r="DF16">
        <f t="shared" si="16"/>
        <v>624203.4175695572</v>
      </c>
      <c r="DG16">
        <f>(BS16+BT16)*'Oxidant Feed Composition'!$N$25*60*7200</f>
        <v>16306046.609146765</v>
      </c>
      <c r="DH16">
        <f>((CG16+CH16)*'Reagent cost'!$C$17/1000*'Reagent cost'!$H$17+(CG16+CH16)*0.5*'Reagent cost'!$C$16/1000*'Reagent cost'!$H$16)*60*7200</f>
        <v>6498329.4785909699</v>
      </c>
      <c r="DI16">
        <f>CF16*'Reagent cost'!$C$17/1000*'Reagent cost'!$H$17*60*7200</f>
        <v>504921.59999999998</v>
      </c>
      <c r="DJ16">
        <f t="shared" si="17"/>
        <v>74.348144411281226</v>
      </c>
      <c r="DK16">
        <f t="shared" si="18"/>
        <v>859.28065382909847</v>
      </c>
      <c r="DL16">
        <f t="shared" si="19"/>
        <v>27972277.579843175</v>
      </c>
      <c r="DM16">
        <f>BK16*(B16*(409.81+2)/1000+C16*(248.2+2*22.99)/1000+D16*(315.6+3*22.99)/1000+0.1*58.44/1000)</f>
        <v>0.70639694042110623</v>
      </c>
      <c r="DN16">
        <f>(BS16+BT16)/1000*('Oxidant Feed Composition'!$B$11*'Oxidant Feed Composition'!$O$20+'Oxidant Feed Composition'!$D$11*'Oxidant Feed Composition'!$O$21+'Oxidant Feed Composition'!$F$11*'Oxidant Feed Composition'!$O$27-'Oxidant Feed Composition'!$J$15*18.015)</f>
        <v>2.3645453335933295</v>
      </c>
      <c r="DO16">
        <f>(BU16+BV16)/1000*(0.2*368.34+0.4*58.44)</f>
        <v>1.6373809506608716</v>
      </c>
      <c r="DP16">
        <f>BK16/1000*(B16*195.08+C16*106.42+D16*102.91)</f>
        <v>4.999938342565946E-2</v>
      </c>
      <c r="DQ16">
        <f>SUM(DM16:DO16)-DP16</f>
        <v>4.6583238412496479</v>
      </c>
      <c r="DR16">
        <f>DQ16*60*7200*0.33</f>
        <v>664090.64680854976</v>
      </c>
      <c r="DS16">
        <v>1.2</v>
      </c>
      <c r="DT16">
        <f>BM16/60*(AM16*4+AN16*2+AO16*3)*96485/DV16</f>
        <v>1407.4244845655176</v>
      </c>
      <c r="DU16">
        <f>BN16*BA16*(AP16*4+AQ16*2+AR16*3)*96485/DV16/60</f>
        <v>708.24318720155725</v>
      </c>
      <c r="DV16">
        <v>0.7</v>
      </c>
      <c r="DW16">
        <f>0.499*((BK16/3.78541*15)^(-0.146))*BK16/3.78541*15*300*(1+(A16-2)/9)</f>
        <v>30272.303809866662</v>
      </c>
      <c r="DX16">
        <f>0.248*((BK16/3.78541*15)^(-0.144))*BK16/3.78541*15*300*(1+(A16-2)/3)</f>
        <v>20763.049486147294</v>
      </c>
      <c r="DY16">
        <f>0.105*((BK16/3.78541*15)^(-0.144))*BK16/3.78541*15*300*(1+(A16-2)/3)</f>
        <v>8790.8072421188135</v>
      </c>
      <c r="DZ16">
        <f>0.058*((BK16/3.78541*15)^(-0.151))*BK16/3.78541*15*300*(1+(A16-2)/3)</f>
        <v>4656.7358484871465</v>
      </c>
      <c r="EA16">
        <f>0.056*((BK16/3.78541*15)^(-0.144))*BK16/3.78541*15*300*(1+(A16-2)/3)</f>
        <v>4688.4305291300352</v>
      </c>
      <c r="EB16">
        <f>DS16*DT16/(3.6*10^6)*3600*7200*0.07</f>
        <v>851.21032826522514</v>
      </c>
      <c r="EC16">
        <f>0.499*((BM16/3.78541*15)^(-0.146))*BM16/3.78541*15*300*(1+(AF16-2)/9)</f>
        <v>38614.447386146239</v>
      </c>
      <c r="ED16">
        <f>0.248*((BM16/3.78541*15)^(-0.144))*BM16/3.78541*15*300*(1+(AF16-2)/3)</f>
        <v>34954.37320206991</v>
      </c>
      <c r="EE16">
        <f>0.105*((BM16/3.78541*15)^(-0.144))*BM16/3.78541*15*300*(1+(AF16-2)/3)</f>
        <v>14799.230589586048</v>
      </c>
      <c r="EF16">
        <f>0.058*((BM16/3.78541*15)^(-0.151))*BM16/3.78541*15*300*(1+(AF16-2)/3)</f>
        <v>7843.8565170460224</v>
      </c>
      <c r="EG16">
        <f>0.056*((BM16/3.78541*15)^(-0.144))*BM16/3.78541*15*300*(1+(AF16-2)/3)</f>
        <v>7892.9229811125624</v>
      </c>
      <c r="EH16">
        <f>DS16*DU16/(3.6*10^6)*3600*7200*0.07</f>
        <v>428.34547961950182</v>
      </c>
      <c r="EI16">
        <f>SUM(DW16:EH16)</f>
        <v>174555.71339959546</v>
      </c>
      <c r="EJ16">
        <f>EI16+DR16+DL16</f>
        <v>28810923.940051321</v>
      </c>
      <c r="EK16">
        <f>EJ16+DF16</f>
        <v>29435127.35762088</v>
      </c>
      <c r="EL16">
        <f>EK16/(BK16*60*7200)</f>
        <v>0.68136868883381663</v>
      </c>
      <c r="EM16">
        <f>EK16/(BM16*(AM16*195.084/1000+AN16*106.42/1000+AO16*102.911/1000)*60*7200)</f>
        <v>2279.0659163176256</v>
      </c>
      <c r="EN16">
        <f>EK16/(BN16*BA16*(AP16*195.084/1000+AQ16*106.42/1000+AR16*102.911/1000)*60*7200)</f>
        <v>4169.1066481596608</v>
      </c>
    </row>
    <row r="17" spans="1:144">
      <c r="A17">
        <f>'Costing 100 Lmin Feed Orig'!A17</f>
        <v>4</v>
      </c>
      <c r="B17">
        <f>'Costing 100 Lmin Feed Orig'!B17</f>
        <v>1.54143585092054E-3</v>
      </c>
      <c r="C17">
        <f>'Costing 100 Lmin Feed Orig'!C17</f>
        <v>1.54143585092054E-3</v>
      </c>
      <c r="D17">
        <f>'Costing 100 Lmin Feed Orig'!D17</f>
        <v>3.4254130020456501E-4</v>
      </c>
      <c r="E17">
        <f>'Costing 100 Lmin Feed Orig'!E17</f>
        <v>0</v>
      </c>
      <c r="F17">
        <f>'Costing 100 Lmin Feed Orig'!F17</f>
        <v>0</v>
      </c>
      <c r="G17">
        <f>'Costing 100 Lmin Feed Orig'!G17</f>
        <v>0</v>
      </c>
      <c r="H17">
        <f>'Costing 100 Lmin Feed Orig'!H17</f>
        <v>1.7208960911287699E-5</v>
      </c>
      <c r="I17">
        <f>'Costing 100 Lmin Feed Orig'!I17</f>
        <v>2.8768784818324402E-7</v>
      </c>
      <c r="J17">
        <f>'Costing 100 Lmin Feed Orig'!J17</f>
        <v>3.3243632642994598E-4</v>
      </c>
      <c r="K17">
        <f>'Costing 100 Lmin Feed Orig'!K17</f>
        <v>0.10920586178936199</v>
      </c>
      <c r="L17">
        <f>'Costing 100 Lmin Feed Orig'!L17</f>
        <v>0.110418215553449</v>
      </c>
      <c r="M17">
        <f>'Costing 100 Lmin Feed Orig'!M17</f>
        <v>7.2398825703009801E-4</v>
      </c>
      <c r="N17">
        <f>'Costing 100 Lmin Feed Orig'!N17</f>
        <v>-2.168404344971E-18</v>
      </c>
      <c r="O17">
        <f>'Costing 100 Lmin Feed Orig'!O17</f>
        <v>2.3635607360183901E-17</v>
      </c>
      <c r="P17">
        <f>'Costing 100 Lmin Feed Orig'!P17</f>
        <v>-7.4538899358378406E-20</v>
      </c>
      <c r="Q17">
        <f>'Costing 100 Lmin Feed Orig'!Q17</f>
        <v>0.13957372480144001</v>
      </c>
      <c r="R17">
        <f>'Costing 100 Lmin Feed Orig'!R17</f>
        <v>97.0499984181222</v>
      </c>
      <c r="S17">
        <f>'Costing 100 Lmin Feed Orig'!S17</f>
        <v>500</v>
      </c>
      <c r="T17">
        <f>'Costing 100 Lmin Feed Orig'!T17</f>
        <v>95</v>
      </c>
      <c r="U17">
        <f>'Costing 100 Lmin Feed Orig'!U17</f>
        <v>1</v>
      </c>
      <c r="V17">
        <f>'Costing 100 Lmin Feed Orig'!V17</f>
        <v>0.1</v>
      </c>
      <c r="W17">
        <f>'Costing 100 Lmin Feed Orig'!W17</f>
        <v>71.646723007687299</v>
      </c>
      <c r="X17" t="str">
        <f>'Costing 100 Lmin Feed Orig'!X17</f>
        <v>ddFc</v>
      </c>
      <c r="Y17">
        <f>'Costing 100 Lmin Feed Orig'!Y17</f>
        <v>1</v>
      </c>
      <c r="Z17">
        <f>'Costing 100 Lmin Feed Orig'!Z17</f>
        <v>0.28318429382522198</v>
      </c>
      <c r="AA17">
        <f>'Costing 100 Lmin Feed Orig'!AA17</f>
        <v>0.56945642916197003</v>
      </c>
      <c r="AB17">
        <f>'Costing 100 Lmin Feed Orig'!AB17</f>
        <v>3.7698628972227502E-3</v>
      </c>
      <c r="AC17">
        <f>'Costing 100 Lmin Feed Orig'!AC17</f>
        <v>1822.2107908876901</v>
      </c>
      <c r="AD17">
        <f>'Costing 100 Lmin Feed Orig'!AD17</f>
        <v>2662.6059073104898</v>
      </c>
      <c r="AE17">
        <f>'Costing 100 Lmin Feed Orig'!AE17</f>
        <v>2401.5030938442701</v>
      </c>
      <c r="AF17">
        <f>'Costing 100 Lmin Feed Orig'!AF17</f>
        <v>9</v>
      </c>
      <c r="AG17">
        <f>'Costing 100 Lmin Feed Orig'!AG17</f>
        <v>1.6481650483119699E-3</v>
      </c>
      <c r="AH17">
        <f>'Costing 100 Lmin Feed Orig'!AH17</f>
        <v>1.6664622263884801E-3</v>
      </c>
      <c r="AI17">
        <f>'Costing 100 Lmin Feed Orig'!AI17</f>
        <v>1.0926630870116399E-5</v>
      </c>
      <c r="AJ17">
        <f>'Costing 100 Lmin Feed Orig'!AJ17</f>
        <v>0</v>
      </c>
      <c r="AK17">
        <f>'Costing 100 Lmin Feed Orig'!AK17</f>
        <v>0</v>
      </c>
      <c r="AL17">
        <f>'Costing 100 Lmin Feed Orig'!AL17</f>
        <v>0</v>
      </c>
      <c r="AM17">
        <f>'Costing 100 Lmin Feed Orig'!AM17</f>
        <v>1.6111071396005901E-3</v>
      </c>
      <c r="AN17">
        <f>'Costing 100 Lmin Feed Orig'!AN17</f>
        <v>7.3940623679874496E-5</v>
      </c>
      <c r="AO17">
        <f>'Costing 100 Lmin Feed Orig'!AO17</f>
        <v>1.0854488886514799E-5</v>
      </c>
      <c r="AP17">
        <f>'Costing 100 Lmin Feed Orig'!AP17</f>
        <v>1.73252052347845E-3</v>
      </c>
      <c r="AQ17">
        <f>'Costing 100 Lmin Feed Orig'!AQ17</f>
        <v>7.4453104800508499E-2</v>
      </c>
      <c r="AR17">
        <f>'Costing 100 Lmin Feed Orig'!AR17</f>
        <v>3.37276094477029E-6</v>
      </c>
      <c r="AS17">
        <f>'Costing 100 Lmin Feed Orig'!AS17</f>
        <v>6.3475293814521601E-16</v>
      </c>
      <c r="AT17">
        <f>'Costing 100 Lmin Feed Orig'!AT17</f>
        <v>-7.9814627129692894E-14</v>
      </c>
      <c r="AU17">
        <f>'Costing 100 Lmin Feed Orig'!AU17</f>
        <v>-9.9261673506363302E-22</v>
      </c>
      <c r="AV17">
        <f>'Costing 100 Lmin Feed Orig'!AV17</f>
        <v>0.19781145533817099</v>
      </c>
      <c r="AW17">
        <f>'Costing 100 Lmin Feed Orig'!AW17</f>
        <v>99.339760037113095</v>
      </c>
      <c r="AX17">
        <f>'Costing 100 Lmin Feed Orig'!AX17</f>
        <v>500</v>
      </c>
      <c r="AY17">
        <f>'Costing 100 Lmin Feed Orig'!AY17</f>
        <v>95</v>
      </c>
      <c r="AZ17">
        <f>'Costing 100 Lmin Feed Orig'!AZ17</f>
        <v>0.92480233795174105</v>
      </c>
      <c r="BA17">
        <f>'Costing 100 Lmin Feed Orig'!BA17</f>
        <v>0.1</v>
      </c>
      <c r="BB17">
        <f>'Costing 100 Lmin Feed Orig'!BB17</f>
        <v>46.751707901381799</v>
      </c>
      <c r="BC17" t="str">
        <f>'Costing 100 Lmin Feed Orig'!BC17</f>
        <v>coeFc</v>
      </c>
      <c r="BD17">
        <f>'Costing 100 Lmin Feed Orig'!BD17</f>
        <v>1</v>
      </c>
      <c r="BE17">
        <f>'Costing 100 Lmin Feed Orig'!BE17</f>
        <v>1.8775014999999999E-2</v>
      </c>
      <c r="BF17">
        <f>'Costing 100 Lmin Feed Orig'!BF17</f>
        <v>0.10492961100000001</v>
      </c>
      <c r="BG17">
        <f>'Costing 100 Lmin Feed Orig'!BG17</f>
        <v>1.814625E-3</v>
      </c>
      <c r="BH17">
        <f>'Costing 100 Lmin Feed Orig'!BH17</f>
        <v>285.1951444</v>
      </c>
      <c r="BI17">
        <f>'Costing 100 Lmin Feed Orig'!BI17</f>
        <v>2169.8944889999998</v>
      </c>
      <c r="BJ17">
        <f>'Costing 100 Lmin Feed Orig'!BJ17</f>
        <v>866.49409060000005</v>
      </c>
      <c r="BK17">
        <f>'Costing 100 Lmin Feed Orig'!BK17</f>
        <v>100</v>
      </c>
      <c r="BL17">
        <f>'Costing 100 Lmin Feed Orig'!BL17</f>
        <v>13.957372480144</v>
      </c>
      <c r="BM17">
        <f>'Costing 100 Lmin Feed Orig'!BM17</f>
        <v>92.480233795174101</v>
      </c>
      <c r="BN17">
        <f>'Costing 100 Lmin Feed Orig'!BN17</f>
        <v>19.781145533817099</v>
      </c>
      <c r="BO17">
        <f t="shared" si="1"/>
        <v>167.488469761728</v>
      </c>
      <c r="BP17">
        <f t="shared" si="2"/>
        <v>435.18520174397617</v>
      </c>
      <c r="BQ17">
        <f t="shared" si="3"/>
        <v>16.7488469761728</v>
      </c>
      <c r="BR17">
        <f t="shared" si="4"/>
        <v>43.518520174397622</v>
      </c>
      <c r="BS17">
        <f>1.2*0.5*BL17*V17/'Oxidant Feed Composition'!$N$22</f>
        <v>8.3744234880863999</v>
      </c>
      <c r="BT17">
        <f>1.2*0.5*BN17*BA17/'Oxidant Feed Composition'!$N$22</f>
        <v>11.86868732029026</v>
      </c>
      <c r="BU17">
        <f t="shared" si="5"/>
        <v>6.9786862400720002</v>
      </c>
      <c r="BV17">
        <f t="shared" si="6"/>
        <v>9.8905727669085497</v>
      </c>
      <c r="BW17">
        <f t="shared" si="7"/>
        <v>85.501547555102107</v>
      </c>
      <c r="BX17">
        <f t="shared" si="0"/>
        <v>44.663591936460804</v>
      </c>
      <c r="BY17">
        <f t="shared" si="8"/>
        <v>212.87521255063621</v>
      </c>
      <c r="BZ17">
        <f t="shared" si="9"/>
        <v>63.299665708214718</v>
      </c>
      <c r="CA17">
        <f t="shared" si="10"/>
        <v>59.343436601451302</v>
      </c>
      <c r="CB17">
        <f>BO17*'Reagent cost'!$G$11*'Reagent cost'!$H$11</f>
        <v>2210.8478008548095</v>
      </c>
      <c r="CC17">
        <f>BP17*'Reagent cost'!$G$11*'Reagent cost'!$H$11</f>
        <v>5744.4446630204857</v>
      </c>
      <c r="CD17">
        <f>BQ17*'Reagent cost'!$C$18/1000*'Reagent cost'!$H$18</f>
        <v>2671.1136977461792</v>
      </c>
      <c r="CE17">
        <f>BR17*'Ligand cost'!$B$56*'Ligand cost'!$J$56</f>
        <v>44307.41224236018</v>
      </c>
      <c r="CF17">
        <f t="shared" si="11"/>
        <v>10</v>
      </c>
      <c r="CG17">
        <f t="shared" si="12"/>
        <v>2.7914744960288003</v>
      </c>
      <c r="CH17">
        <f t="shared" si="13"/>
        <v>3.9562291067634199</v>
      </c>
      <c r="CI17">
        <f>7963.6*(BX17/1000)^0.6*1.7*('CAPEX+OPEX'!$G$116/'CAPEX+OPEX'!$G$115)</f>
        <v>2472.9373618126128</v>
      </c>
      <c r="CJ17">
        <f>7963.6*(BY17/1000)^0.6*1.7*('CAPEX+OPEX'!$G$116/'CAPEX+OPEX'!$G$115)</f>
        <v>6311.2587327211604</v>
      </c>
      <c r="CK17">
        <f>7963.6*(BZ17/1000)^0.6*1.7*('CAPEX+OPEX'!$G$116/'CAPEX+OPEX'!$G$115)</f>
        <v>3048.4689629639438</v>
      </c>
      <c r="CL17">
        <f>7963.6*(CA17/1000)^0.6*1.7*('CAPEX+OPEX'!$G$116/'CAPEX+OPEX'!$G$115)</f>
        <v>2932.679096180294</v>
      </c>
      <c r="CM17">
        <f>'Costing 100 Lmin Feed Orig'!DE17</f>
        <v>39625.826528698344</v>
      </c>
      <c r="CN17">
        <f>'Costing 100 Lmin Feed Orig'!DF17</f>
        <v>4586243.4239371875</v>
      </c>
      <c r="CO17">
        <f>'Costing 100 Lmin Feed Orig'!DG17</f>
        <v>11794834.586807497</v>
      </c>
      <c r="CP17">
        <f>'Costing 100 Lmin Feed Orig'!DH17</f>
        <v>2275209.1661185985</v>
      </c>
      <c r="CQ17">
        <f>'Costing 100 Lmin Feed Orig'!DI17</f>
        <v>14083914.336508472</v>
      </c>
      <c r="CR17">
        <f>'Costing 100 Lmin Feed Orig'!DJ17</f>
        <v>1662824.8986326549</v>
      </c>
      <c r="CS17">
        <f>CN17*(BK17/10000)^0.72*((A17+1)/3)^0.6*('CAPEX+OPEX'!$G$116/'CAPEX+OPEX'!$G$114)</f>
        <v>528015.95740622084</v>
      </c>
      <c r="CT17">
        <f>CO17*(BK17/10000)^0.72*((A17+1)/3)^0.6*('CAPEX+OPEX'!$G$116/'CAPEX+OPEX'!$G$114)</f>
        <v>1357943.8117688675</v>
      </c>
      <c r="CU17">
        <f>CP17*(BK17/10000)^0.72*((A17+1)/3)^0.6*('CAPEX+OPEX'!$G$116/'CAPEX+OPEX'!$G$114)</f>
        <v>261945.7004565605</v>
      </c>
      <c r="CV17">
        <f>CQ17*(BK17/10000)^0.72*((A17+1)/3)^0.6*('CAPEX+OPEX'!$G$116/'CAPEX+OPEX'!$G$114)</f>
        <v>1621486.4378120217</v>
      </c>
      <c r="CW17">
        <f>CR17*(BK17/10000)^0.72*((A17+1)/3)^0.6*('CAPEX+OPEX'!$G$116/'CAPEX+OPEX'!$G$114)</f>
        <v>191441.6658016555</v>
      </c>
      <c r="CX17">
        <f t="shared" si="14"/>
        <v>3960833.5732453261</v>
      </c>
      <c r="CY17">
        <f>CN17*(BM17/10000)^0.72*((AF17+1)/3)^0.6*('CAPEX+OPEX'!$G$116/'CAPEX+OPEX'!$G$114)</f>
        <v>756519.74381347164</v>
      </c>
      <c r="CZ17">
        <f>CO17*(BM17/10000)^0.72*((AF17+1)/3)^0.6*('CAPEX+OPEX'!$G$116/'CAPEX+OPEX'!$G$114)</f>
        <v>1945606.5487849014</v>
      </c>
      <c r="DA17">
        <f>CP17*(BM17/10000)^0.72*((AF17+1)/3)^0.6*('CAPEX+OPEX'!$G$116/'CAPEX+OPEX'!$G$114)</f>
        <v>375305.12368583737</v>
      </c>
      <c r="DB17">
        <f>CQ17*(BM17/10000)^0.72*((AF17+1)/3)^0.6*('CAPEX+OPEX'!$G$116/'CAPEX+OPEX'!$G$114)</f>
        <v>2323199.682366488</v>
      </c>
      <c r="DC17">
        <f>CR17*(BM17/10000)^0.72*((AF17+1)/3)^0.6*('CAPEX+OPEX'!$G$116/'CAPEX+OPEX'!$G$114)</f>
        <v>274289.81631339306</v>
      </c>
      <c r="DD17">
        <f t="shared" si="15"/>
        <v>5674920.914964092</v>
      </c>
      <c r="DE17">
        <f>CX17+DD17+1.15*(SUM(CI17:CL17)+SUM(CB17:CE17))</f>
        <v>9715908.5251507275</v>
      </c>
      <c r="DF17">
        <f t="shared" si="16"/>
        <v>647727.23501004849</v>
      </c>
      <c r="DG17">
        <f>(BS17+BT17)*'Oxidant Feed Composition'!$N$25*60*7200</f>
        <v>16302854.080436323</v>
      </c>
      <c r="DH17">
        <f>((CG17+CH17)*'Reagent cost'!$C$17/1000*'Reagent cost'!$H$17+(CG17+CH17)*0.5*'Reagent cost'!$C$16/1000*'Reagent cost'!$H$16)*60*7200</f>
        <v>6497057.1834769174</v>
      </c>
      <c r="DI17">
        <f>CF17*'Reagent cost'!$C$17/1000*'Reagent cost'!$H$17*60*7200</f>
        <v>504921.59999999998</v>
      </c>
      <c r="DJ17">
        <f t="shared" si="17"/>
        <v>79.552924638752955</v>
      </c>
      <c r="DK17">
        <f t="shared" si="18"/>
        <v>939.57051880212725</v>
      </c>
      <c r="DL17">
        <f t="shared" si="19"/>
        <v>27967022.38482802</v>
      </c>
      <c r="DM17">
        <f>BK17*(B17*(409.81+2)/1000+C17*(248.2+2*22.99)/1000+D17*(315.6+3*22.99)/1000+0.1*58.44/1000)</f>
        <v>0.70639694042110623</v>
      </c>
      <c r="DN17">
        <f>(BS17+BT17)/1000*('Oxidant Feed Composition'!$B$11*'Oxidant Feed Composition'!$O$20+'Oxidant Feed Composition'!$D$11*'Oxidant Feed Composition'!$O$21+'Oxidant Feed Composition'!$F$11*'Oxidant Feed Composition'!$O$27-'Oxidant Feed Composition'!$J$15*18.015)</f>
        <v>2.3640823839252958</v>
      </c>
      <c r="DO17">
        <f>(BU17+BV17)/1000*(0.2*368.34+0.4*58.44)</f>
        <v>1.6370603710734204</v>
      </c>
      <c r="DP17">
        <f>BK17/1000*(B17*195.08+C17*106.42+D17*102.91)</f>
        <v>4.999938342565946E-2</v>
      </c>
      <c r="DQ17">
        <f>SUM(DM17:DO17)-DP17</f>
        <v>4.6575403119941621</v>
      </c>
      <c r="DR17">
        <f>DQ17*60*7200*0.33</f>
        <v>663978.94687788771</v>
      </c>
      <c r="DS17">
        <v>1.2</v>
      </c>
      <c r="DT17">
        <f>BM17/60*(AM17*4+AN17*2+AO17*3)*96485/DV17</f>
        <v>1407.4630585814209</v>
      </c>
      <c r="DU17">
        <f>BN17*BA17*(AP17*4+AQ17*2+AR17*3)*96485/DV17/60</f>
        <v>708.2046132217464</v>
      </c>
      <c r="DV17">
        <v>0.7</v>
      </c>
      <c r="DW17">
        <f>0.499*((BK17/3.78541*15)^(-0.146))*BK17/3.78541*15*300*(1+(A17-2)/9)</f>
        <v>30272.303809866662</v>
      </c>
      <c r="DX17">
        <f>0.248*((BK17/3.78541*15)^(-0.144))*BK17/3.78541*15*300*(1+(A17-2)/3)</f>
        <v>20763.049486147294</v>
      </c>
      <c r="DY17">
        <f>0.105*((BK17/3.78541*15)^(-0.144))*BK17/3.78541*15*300*(1+(A17-2)/3)</f>
        <v>8790.8072421188135</v>
      </c>
      <c r="DZ17">
        <f>0.058*((BK17/3.78541*15)^(-0.151))*BK17/3.78541*15*300*(1+(A17-2)/3)</f>
        <v>4656.7358484871465</v>
      </c>
      <c r="EA17">
        <f>0.056*((BK17/3.78541*15)^(-0.144))*BK17/3.78541*15*300*(1+(A17-2)/3)</f>
        <v>4688.4305291300352</v>
      </c>
      <c r="EB17">
        <f>DS17*DT17/(3.6*10^6)*3600*7200*0.07</f>
        <v>851.2336578300434</v>
      </c>
      <c r="EC17">
        <f>0.499*((BM17/3.78541*15)^(-0.146))*BM17/3.78541*15*300*(1+(AF17-2)/9)</f>
        <v>41188.743878555993</v>
      </c>
      <c r="ED17">
        <f>0.248*((BM17/3.78541*15)^(-0.144))*BM17/3.78541*15*300*(1+(AF17-2)/3)</f>
        <v>38838.192446744346</v>
      </c>
      <c r="EE17">
        <f>0.105*((BM17/3.78541*15)^(-0.144))*BM17/3.78541*15*300*(1+(AF17-2)/3)</f>
        <v>16443.589543984501</v>
      </c>
      <c r="EF17">
        <f>0.058*((BM17/3.78541*15)^(-0.151))*BM17/3.78541*15*300*(1+(AF17-2)/3)</f>
        <v>8715.3961300511364</v>
      </c>
      <c r="EG17">
        <f>0.056*((BM17/3.78541*15)^(-0.144))*BM17/3.78541*15*300*(1+(AF17-2)/3)</f>
        <v>8769.9144234584019</v>
      </c>
      <c r="EH17">
        <f>DS17*DU17/(3.6*10^6)*3600*7200*0.07</f>
        <v>428.32215007651229</v>
      </c>
      <c r="EI17">
        <f>SUM(DW17:EH17)</f>
        <v>184406.71914645089</v>
      </c>
      <c r="EJ17">
        <f>EI17+DR17+DL17</f>
        <v>28815408.050852358</v>
      </c>
      <c r="EK17">
        <f>EJ17+DF17</f>
        <v>29463135.285862409</v>
      </c>
      <c r="EL17">
        <f>EK17/(BK17*60*7200)</f>
        <v>0.68201702050607427</v>
      </c>
      <c r="EM17">
        <f>EK17/(BM17*(AM17*195.084/1000+AN17*106.42/1000+AO17*102.911/1000)*60*7200)</f>
        <v>2281.1718781131954</v>
      </c>
      <c r="EN17">
        <f>EK17/(BN17*BA17*(AP17*195.084/1000+AQ17*106.42/1000+AR17*102.911/1000)*60*7200)</f>
        <v>4173.2831109218532</v>
      </c>
    </row>
    <row r="18" spans="1:144">
      <c r="A18">
        <f>'Costing 100 Lmin Feed Orig'!A18</f>
        <v>4</v>
      </c>
      <c r="B18">
        <f>'Costing 100 Lmin Feed Orig'!B18</f>
        <v>1.54143585092054E-3</v>
      </c>
      <c r="C18">
        <f>'Costing 100 Lmin Feed Orig'!C18</f>
        <v>1.54143585092054E-3</v>
      </c>
      <c r="D18">
        <f>'Costing 100 Lmin Feed Orig'!D18</f>
        <v>3.4254130020456501E-4</v>
      </c>
      <c r="E18">
        <f>'Costing 100 Lmin Feed Orig'!E18</f>
        <v>0</v>
      </c>
      <c r="F18">
        <f>'Costing 100 Lmin Feed Orig'!F18</f>
        <v>0</v>
      </c>
      <c r="G18">
        <f>'Costing 100 Lmin Feed Orig'!G18</f>
        <v>0</v>
      </c>
      <c r="H18">
        <f>'Costing 100 Lmin Feed Orig'!H18</f>
        <v>1.7208960911287699E-5</v>
      </c>
      <c r="I18">
        <f>'Costing 100 Lmin Feed Orig'!I18</f>
        <v>2.8768784818324402E-7</v>
      </c>
      <c r="J18">
        <f>'Costing 100 Lmin Feed Orig'!J18</f>
        <v>3.3243632642994598E-4</v>
      </c>
      <c r="K18">
        <f>'Costing 100 Lmin Feed Orig'!K18</f>
        <v>0.10920586178936199</v>
      </c>
      <c r="L18">
        <f>'Costing 100 Lmin Feed Orig'!L18</f>
        <v>0.110418215553449</v>
      </c>
      <c r="M18">
        <f>'Costing 100 Lmin Feed Orig'!M18</f>
        <v>7.2398825703009801E-4</v>
      </c>
      <c r="N18">
        <f>'Costing 100 Lmin Feed Orig'!N18</f>
        <v>-2.168404344971E-18</v>
      </c>
      <c r="O18">
        <f>'Costing 100 Lmin Feed Orig'!O18</f>
        <v>2.3635607360183901E-17</v>
      </c>
      <c r="P18">
        <f>'Costing 100 Lmin Feed Orig'!P18</f>
        <v>-7.4538899358378406E-20</v>
      </c>
      <c r="Q18">
        <f>'Costing 100 Lmin Feed Orig'!Q18</f>
        <v>0.13957372480144001</v>
      </c>
      <c r="R18">
        <f>'Costing 100 Lmin Feed Orig'!R18</f>
        <v>97.0499984181222</v>
      </c>
      <c r="S18">
        <f>'Costing 100 Lmin Feed Orig'!S18</f>
        <v>500</v>
      </c>
      <c r="T18">
        <f>'Costing 100 Lmin Feed Orig'!T18</f>
        <v>95</v>
      </c>
      <c r="U18">
        <f>'Costing 100 Lmin Feed Orig'!U18</f>
        <v>1</v>
      </c>
      <c r="V18">
        <f>'Costing 100 Lmin Feed Orig'!V18</f>
        <v>0.1</v>
      </c>
      <c r="W18">
        <f>'Costing 100 Lmin Feed Orig'!W18</f>
        <v>71.646723007687299</v>
      </c>
      <c r="X18" t="str">
        <f>'Costing 100 Lmin Feed Orig'!X18</f>
        <v>ddFc</v>
      </c>
      <c r="Y18">
        <f>'Costing 100 Lmin Feed Orig'!Y18</f>
        <v>1</v>
      </c>
      <c r="Z18">
        <f>'Costing 100 Lmin Feed Orig'!Z18</f>
        <v>0.28318429382522198</v>
      </c>
      <c r="AA18">
        <f>'Costing 100 Lmin Feed Orig'!AA18</f>
        <v>0.56945642916197003</v>
      </c>
      <c r="AB18">
        <f>'Costing 100 Lmin Feed Orig'!AB18</f>
        <v>3.7698628972227502E-3</v>
      </c>
      <c r="AC18">
        <f>'Costing 100 Lmin Feed Orig'!AC18</f>
        <v>1822.2107908876901</v>
      </c>
      <c r="AD18">
        <f>'Costing 100 Lmin Feed Orig'!AD18</f>
        <v>2662.6059073104898</v>
      </c>
      <c r="AE18">
        <f>'Costing 100 Lmin Feed Orig'!AE18</f>
        <v>2401.5030938442701</v>
      </c>
      <c r="AF18">
        <f>'Costing 100 Lmin Feed Orig'!AF18</f>
        <v>10</v>
      </c>
      <c r="AG18">
        <f>'Costing 100 Lmin Feed Orig'!AG18</f>
        <v>1.6481650483119699E-3</v>
      </c>
      <c r="AH18">
        <f>'Costing 100 Lmin Feed Orig'!AH18</f>
        <v>1.6664622263884801E-3</v>
      </c>
      <c r="AI18">
        <f>'Costing 100 Lmin Feed Orig'!AI18</f>
        <v>1.0926630870116399E-5</v>
      </c>
      <c r="AJ18">
        <f>'Costing 100 Lmin Feed Orig'!AJ18</f>
        <v>0</v>
      </c>
      <c r="AK18">
        <f>'Costing 100 Lmin Feed Orig'!AK18</f>
        <v>0</v>
      </c>
      <c r="AL18">
        <f>'Costing 100 Lmin Feed Orig'!AL18</f>
        <v>0</v>
      </c>
      <c r="AM18">
        <f>'Costing 100 Lmin Feed Orig'!AM18</f>
        <v>1.6111196692703601E-3</v>
      </c>
      <c r="AN18">
        <f>'Costing 100 Lmin Feed Orig'!AN18</f>
        <v>7.3941259795984898E-5</v>
      </c>
      <c r="AO18">
        <f>'Costing 100 Lmin Feed Orig'!AO18</f>
        <v>1.08545122697032E-5</v>
      </c>
      <c r="AP18">
        <f>'Costing 100 Lmin Feed Orig'!AP18</f>
        <v>1.73209870318316E-3</v>
      </c>
      <c r="AQ18">
        <f>'Costing 100 Lmin Feed Orig'!AQ18</f>
        <v>7.4460123902013106E-2</v>
      </c>
      <c r="AR18">
        <f>'Costing 100 Lmin Feed Orig'!AR18</f>
        <v>3.3719869428578601E-6</v>
      </c>
      <c r="AS18">
        <f>'Costing 100 Lmin Feed Orig'!AS18</f>
        <v>4.70535543579779E-14</v>
      </c>
      <c r="AT18">
        <f>'Costing 100 Lmin Feed Orig'!AT18</f>
        <v>-4.6022981432802804E-12</v>
      </c>
      <c r="AU18">
        <f>'Costing 100 Lmin Feed Orig'!AU18</f>
        <v>6.0744173718954098E-19</v>
      </c>
      <c r="AV18">
        <f>'Costing 100 Lmin Feed Orig'!AV18</f>
        <v>0.19779272992915201</v>
      </c>
      <c r="AW18">
        <f>'Costing 100 Lmin Feed Orig'!AW18</f>
        <v>99.339974038928602</v>
      </c>
      <c r="AX18">
        <f>'Costing 100 Lmin Feed Orig'!AX18</f>
        <v>500</v>
      </c>
      <c r="AY18">
        <f>'Costing 100 Lmin Feed Orig'!AY18</f>
        <v>95</v>
      </c>
      <c r="AZ18">
        <f>'Costing 100 Lmin Feed Orig'!AZ18</f>
        <v>0.92480233795174105</v>
      </c>
      <c r="BA18">
        <f>'Costing 100 Lmin Feed Orig'!BA18</f>
        <v>0.1</v>
      </c>
      <c r="BB18">
        <f>'Costing 100 Lmin Feed Orig'!BB18</f>
        <v>46.7561339733263</v>
      </c>
      <c r="BC18" t="str">
        <f>'Costing 100 Lmin Feed Orig'!BC18</f>
        <v>coeFc</v>
      </c>
      <c r="BD18">
        <f>'Costing 100 Lmin Feed Orig'!BD18</f>
        <v>1</v>
      </c>
      <c r="BE18">
        <f>'Costing 100 Lmin Feed Orig'!BE18</f>
        <v>1.8775014999999999E-2</v>
      </c>
      <c r="BF18">
        <f>'Costing 100 Lmin Feed Orig'!BF18</f>
        <v>0.10492961100000001</v>
      </c>
      <c r="BG18">
        <f>'Costing 100 Lmin Feed Orig'!BG18</f>
        <v>1.814625E-3</v>
      </c>
      <c r="BH18">
        <f>'Costing 100 Lmin Feed Orig'!BH18</f>
        <v>285.1951444</v>
      </c>
      <c r="BI18">
        <f>'Costing 100 Lmin Feed Orig'!BI18</f>
        <v>2169.8944889999998</v>
      </c>
      <c r="BJ18">
        <f>'Costing 100 Lmin Feed Orig'!BJ18</f>
        <v>866.49409060000005</v>
      </c>
      <c r="BK18">
        <f>'Costing 100 Lmin Feed Orig'!BK18</f>
        <v>100</v>
      </c>
      <c r="BL18">
        <f>'Costing 100 Lmin Feed Orig'!BL18</f>
        <v>13.957372480144</v>
      </c>
      <c r="BM18">
        <f>'Costing 100 Lmin Feed Orig'!BM18</f>
        <v>92.480233795174101</v>
      </c>
      <c r="BN18">
        <f>'Costing 100 Lmin Feed Orig'!BN18</f>
        <v>19.7792729929152</v>
      </c>
      <c r="BO18">
        <f t="shared" si="1"/>
        <v>167.488469761728</v>
      </c>
      <c r="BP18">
        <f t="shared" si="2"/>
        <v>474.70255182996482</v>
      </c>
      <c r="BQ18">
        <f t="shared" si="3"/>
        <v>16.7488469761728</v>
      </c>
      <c r="BR18">
        <f t="shared" si="4"/>
        <v>47.470255182996482</v>
      </c>
      <c r="BS18">
        <f>1.2*0.5*BL18*V18/'Oxidant Feed Composition'!$N$22</f>
        <v>8.3744234880863999</v>
      </c>
      <c r="BT18">
        <f>1.2*0.5*BN18*BA18/'Oxidant Feed Composition'!$N$22</f>
        <v>11.867563795749119</v>
      </c>
      <c r="BU18">
        <f t="shared" si="5"/>
        <v>6.9786862400720002</v>
      </c>
      <c r="BV18">
        <f t="shared" si="6"/>
        <v>9.8896364964575998</v>
      </c>
      <c r="BW18">
        <f t="shared" si="7"/>
        <v>85.501547555102107</v>
      </c>
      <c r="BX18">
        <f t="shared" si="0"/>
        <v>44.663591936460804</v>
      </c>
      <c r="BY18">
        <f t="shared" si="8"/>
        <v>212.87521255063621</v>
      </c>
      <c r="BZ18">
        <f t="shared" si="9"/>
        <v>63.293673577328633</v>
      </c>
      <c r="CA18">
        <f t="shared" si="10"/>
        <v>59.337818978745602</v>
      </c>
      <c r="CB18">
        <f>BO18*'Reagent cost'!$G$11*'Reagent cost'!$H$11</f>
        <v>2210.8478008548095</v>
      </c>
      <c r="CC18">
        <f>BP18*'Reagent cost'!$G$11*'Reagent cost'!$H$11</f>
        <v>6266.0736841555354</v>
      </c>
      <c r="CD18">
        <f>BQ18*'Reagent cost'!$C$18/1000*'Reagent cost'!$H$18</f>
        <v>2671.1136977461792</v>
      </c>
      <c r="CE18">
        <f>BR18*'Ligand cost'!$B$56*'Ligand cost'!$J$56</f>
        <v>48330.783243876089</v>
      </c>
      <c r="CF18">
        <f t="shared" si="11"/>
        <v>10</v>
      </c>
      <c r="CG18">
        <f t="shared" si="12"/>
        <v>2.7914744960288003</v>
      </c>
      <c r="CH18">
        <f t="shared" si="13"/>
        <v>3.95585459858304</v>
      </c>
      <c r="CI18">
        <f>7963.6*(BX18/1000)^0.6*1.7*('CAPEX+OPEX'!$G$116/'CAPEX+OPEX'!$G$115)</f>
        <v>2472.9373618126128</v>
      </c>
      <c r="CJ18">
        <f>7963.6*(BY18/1000)^0.6*1.7*('CAPEX+OPEX'!$G$116/'CAPEX+OPEX'!$G$115)</f>
        <v>6311.2587327211604</v>
      </c>
      <c r="CK18">
        <f>7963.6*(BZ18/1000)^0.6*1.7*('CAPEX+OPEX'!$G$116/'CAPEX+OPEX'!$G$115)</f>
        <v>3048.2958135103663</v>
      </c>
      <c r="CL18">
        <f>7963.6*(CA18/1000)^0.6*1.7*('CAPEX+OPEX'!$G$116/'CAPEX+OPEX'!$G$115)</f>
        <v>2932.5125234550369</v>
      </c>
      <c r="CM18">
        <f>'Costing 100 Lmin Feed Orig'!DE18</f>
        <v>39625.826528698344</v>
      </c>
      <c r="CN18">
        <f>'Costing 100 Lmin Feed Orig'!DF18</f>
        <v>4586243.4239371875</v>
      </c>
      <c r="CO18">
        <f>'Costing 100 Lmin Feed Orig'!DG18</f>
        <v>11794834.586807497</v>
      </c>
      <c r="CP18">
        <f>'Costing 100 Lmin Feed Orig'!DH18</f>
        <v>2275209.1661185985</v>
      </c>
      <c r="CQ18">
        <f>'Costing 100 Lmin Feed Orig'!DI18</f>
        <v>14083914.336508472</v>
      </c>
      <c r="CR18">
        <f>'Costing 100 Lmin Feed Orig'!DJ18</f>
        <v>1662824.8986326549</v>
      </c>
      <c r="CS18">
        <f>CN18*(BK18/10000)^0.72*((A18+1)/3)^0.6*('CAPEX+OPEX'!$G$116/'CAPEX+OPEX'!$G$114)</f>
        <v>528015.95740622084</v>
      </c>
      <c r="CT18">
        <f>CO18*(BK18/10000)^0.72*((A18+1)/3)^0.6*('CAPEX+OPEX'!$G$116/'CAPEX+OPEX'!$G$114)</f>
        <v>1357943.8117688675</v>
      </c>
      <c r="CU18">
        <f>CP18*(BK18/10000)^0.72*((A18+1)/3)^0.6*('CAPEX+OPEX'!$G$116/'CAPEX+OPEX'!$G$114)</f>
        <v>261945.7004565605</v>
      </c>
      <c r="CV18">
        <f>CQ18*(BK18/10000)^0.72*((A18+1)/3)^0.6*('CAPEX+OPEX'!$G$116/'CAPEX+OPEX'!$G$114)</f>
        <v>1621486.4378120217</v>
      </c>
      <c r="CW18">
        <f>CR18*(BK18/10000)^0.72*((A18+1)/3)^0.6*('CAPEX+OPEX'!$G$116/'CAPEX+OPEX'!$G$114)</f>
        <v>191441.6658016555</v>
      </c>
      <c r="CX18">
        <f t="shared" si="14"/>
        <v>3960833.5732453261</v>
      </c>
      <c r="CY18">
        <f>CN18*(BM18/10000)^0.72*((AF18+1)/3)^0.6*('CAPEX+OPEX'!$G$116/'CAPEX+OPEX'!$G$114)</f>
        <v>801043.08902855217</v>
      </c>
      <c r="CZ18">
        <f>CO18*(BM18/10000)^0.72*((AF18+1)/3)^0.6*('CAPEX+OPEX'!$G$116/'CAPEX+OPEX'!$G$114)</f>
        <v>2060111.0448442006</v>
      </c>
      <c r="DA18">
        <f>CP18*(BM18/10000)^0.72*((AF18+1)/3)^0.6*('CAPEX+OPEX'!$G$116/'CAPEX+OPEX'!$G$114)</f>
        <v>397392.90093091218</v>
      </c>
      <c r="DB18">
        <f>CQ18*(BM18/10000)^0.72*((AF18+1)/3)^0.6*('CAPEX+OPEX'!$G$116/'CAPEX+OPEX'!$G$114)</f>
        <v>2459926.6115807402</v>
      </c>
      <c r="DC18">
        <f>CR18*(BM18/10000)^0.72*((AF18+1)/3)^0.6*('CAPEX+OPEX'!$G$116/'CAPEX+OPEX'!$G$114)</f>
        <v>290432.55453082855</v>
      </c>
      <c r="DD18">
        <f t="shared" si="15"/>
        <v>6008906.2009152332</v>
      </c>
      <c r="DE18">
        <f>CX18+DD18+1.15*(SUM(CI18:CL18)+SUM(CB18:CE18))</f>
        <v>10055120.170447411</v>
      </c>
      <c r="DF18">
        <f t="shared" si="16"/>
        <v>670341.34469649405</v>
      </c>
      <c r="DG18">
        <f>(BS18+BT18)*'Oxidant Feed Composition'!$N$25*60*7200</f>
        <v>16301949.246351117</v>
      </c>
      <c r="DH18">
        <f>((CG18+CH18)*'Reagent cost'!$C$17/1000*'Reagent cost'!$H$17+(CG18+CH18)*0.5*'Reagent cost'!$C$16/1000*'Reagent cost'!$H$16)*60*7200</f>
        <v>6496696.5865676813</v>
      </c>
      <c r="DI18">
        <f>CF18*'Reagent cost'!$C$17/1000*'Reagent cost'!$H$17*60*7200</f>
        <v>504921.59999999998</v>
      </c>
      <c r="DJ18">
        <f t="shared" si="17"/>
        <v>84.769214850103452</v>
      </c>
      <c r="DK18">
        <f t="shared" si="18"/>
        <v>1020.0379388324454</v>
      </c>
      <c r="DL18">
        <f t="shared" si="19"/>
        <v>27965606.688086983</v>
      </c>
      <c r="DM18">
        <f>BK18*(B18*(409.81+2)/1000+C18*(248.2+2*22.99)/1000+D18*(315.6+3*22.99)/1000+0.1*58.44/1000)</f>
        <v>0.70639694042110623</v>
      </c>
      <c r="DN18">
        <f>(BS18+BT18)/1000*('Oxidant Feed Composition'!$B$11*'Oxidant Feed Composition'!$O$20+'Oxidant Feed Composition'!$D$11*'Oxidant Feed Composition'!$O$21+'Oxidant Feed Composition'!$F$11*'Oxidant Feed Composition'!$O$27-'Oxidant Feed Composition'!$J$15*18.015)</f>
        <v>2.3639511736285801</v>
      </c>
      <c r="DO18">
        <f>(BU18+BV18)/1000*(0.2*368.34+0.4*58.44)</f>
        <v>1.6369695116437784</v>
      </c>
      <c r="DP18">
        <f>BK18/1000*(B18*195.08+C18*106.42+D18*102.91)</f>
        <v>4.999938342565946E-2</v>
      </c>
      <c r="DQ18">
        <f>SUM(DM18:DO18)-DP18</f>
        <v>4.657318242267805</v>
      </c>
      <c r="DR18">
        <f>DQ18*60*7200*0.33</f>
        <v>663947.28861769824</v>
      </c>
      <c r="DS18">
        <v>1.2</v>
      </c>
      <c r="DT18">
        <f>BM18/60*(AM18*4+AN18*2+AO18*3)*96485/DV18</f>
        <v>1407.4739915516295</v>
      </c>
      <c r="DU18">
        <f>BN18*BA18*(AP18*4+AQ18*2+AR18*3)*96485/DV18/60</f>
        <v>708.19368228674409</v>
      </c>
      <c r="DV18">
        <v>0.7</v>
      </c>
      <c r="DW18">
        <f>0.499*((BK18/3.78541*15)^(-0.146))*BK18/3.78541*15*300*(1+(A18-2)/9)</f>
        <v>30272.303809866662</v>
      </c>
      <c r="DX18">
        <f>0.248*((BK18/3.78541*15)^(-0.144))*BK18/3.78541*15*300*(1+(A18-2)/3)</f>
        <v>20763.049486147294</v>
      </c>
      <c r="DY18">
        <f>0.105*((BK18/3.78541*15)^(-0.144))*BK18/3.78541*15*300*(1+(A18-2)/3)</f>
        <v>8790.8072421188135</v>
      </c>
      <c r="DZ18">
        <f>0.058*((BK18/3.78541*15)^(-0.151))*BK18/3.78541*15*300*(1+(A18-2)/3)</f>
        <v>4656.7358484871465</v>
      </c>
      <c r="EA18">
        <f>0.056*((BK18/3.78541*15)^(-0.144))*BK18/3.78541*15*300*(1+(A18-2)/3)</f>
        <v>4688.4305291300352</v>
      </c>
      <c r="EB18">
        <f>DS18*DT18/(3.6*10^6)*3600*7200*0.07</f>
        <v>851.24027009042561</v>
      </c>
      <c r="EC18">
        <f>0.499*((BM18/3.78541*15)^(-0.146))*BM18/3.78541*15*300*(1+(AF18-2)/9)</f>
        <v>43763.04037096574</v>
      </c>
      <c r="ED18">
        <f>0.248*((BM18/3.78541*15)^(-0.144))*BM18/3.78541*15*300*(1+(AF18-2)/3)</f>
        <v>42722.011691418775</v>
      </c>
      <c r="EE18">
        <f>0.105*((BM18/3.78541*15)^(-0.144))*BM18/3.78541*15*300*(1+(AF18-2)/3)</f>
        <v>18087.94849838295</v>
      </c>
      <c r="EF18">
        <f>0.058*((BM18/3.78541*15)^(-0.151))*BM18/3.78541*15*300*(1+(AF18-2)/3)</f>
        <v>9586.9357430562486</v>
      </c>
      <c r="EG18">
        <f>0.056*((BM18/3.78541*15)^(-0.144))*BM18/3.78541*15*300*(1+(AF18-2)/3)</f>
        <v>9646.9058658042413</v>
      </c>
      <c r="EH18">
        <f>DS18*DU18/(3.6*10^6)*3600*7200*0.07</f>
        <v>428.31553904702292</v>
      </c>
      <c r="EI18">
        <f>SUM(DW18:EH18)</f>
        <v>194257.72489451536</v>
      </c>
      <c r="EJ18">
        <f>EI18+DR18+DL18</f>
        <v>28823811.701599196</v>
      </c>
      <c r="EK18">
        <f>EJ18+DF18</f>
        <v>29494153.046295691</v>
      </c>
      <c r="EL18">
        <f>EK18/(BK18*60*7200)</f>
        <v>0.6827350242198077</v>
      </c>
      <c r="EM18">
        <f>EK18/(BM18*(AM18*195.084/1000+AN18*106.42/1000+AO18*102.911/1000)*60*7200)</f>
        <v>2283.555655359005</v>
      </c>
      <c r="EN18">
        <f>EK18/(BN18*BA18*(AP18*195.084/1000+AQ18*106.42/1000+AR18*102.911/1000)*60*7200)</f>
        <v>4177.7360304359345</v>
      </c>
    </row>
    <row r="19" spans="1:144">
      <c r="A19">
        <f>'Costing 100 Lmin Feed Orig'!A19</f>
        <v>4</v>
      </c>
      <c r="B19">
        <f>'Costing 100 Lmin Feed Orig'!B19</f>
        <v>1.54143585092054E-3</v>
      </c>
      <c r="C19">
        <f>'Costing 100 Lmin Feed Orig'!C19</f>
        <v>1.54143585092054E-3</v>
      </c>
      <c r="D19">
        <f>'Costing 100 Lmin Feed Orig'!D19</f>
        <v>3.4254130020456501E-4</v>
      </c>
      <c r="E19">
        <f>'Costing 100 Lmin Feed Orig'!E19</f>
        <v>0</v>
      </c>
      <c r="F19">
        <f>'Costing 100 Lmin Feed Orig'!F19</f>
        <v>0</v>
      </c>
      <c r="G19">
        <f>'Costing 100 Lmin Feed Orig'!G19</f>
        <v>0</v>
      </c>
      <c r="H19">
        <f>'Costing 100 Lmin Feed Orig'!H19</f>
        <v>1.7208960911287699E-5</v>
      </c>
      <c r="I19">
        <f>'Costing 100 Lmin Feed Orig'!I19</f>
        <v>2.8768784818324402E-7</v>
      </c>
      <c r="J19">
        <f>'Costing 100 Lmin Feed Orig'!J19</f>
        <v>3.3243632642994598E-4</v>
      </c>
      <c r="K19">
        <f>'Costing 100 Lmin Feed Orig'!K19</f>
        <v>0.10920586178936199</v>
      </c>
      <c r="L19">
        <f>'Costing 100 Lmin Feed Orig'!L19</f>
        <v>0.110418215553449</v>
      </c>
      <c r="M19">
        <f>'Costing 100 Lmin Feed Orig'!M19</f>
        <v>7.2398825703009801E-4</v>
      </c>
      <c r="N19">
        <f>'Costing 100 Lmin Feed Orig'!N19</f>
        <v>-2.168404344971E-18</v>
      </c>
      <c r="O19">
        <f>'Costing 100 Lmin Feed Orig'!O19</f>
        <v>2.3635607360183901E-17</v>
      </c>
      <c r="P19">
        <f>'Costing 100 Lmin Feed Orig'!P19</f>
        <v>-7.4538899358378406E-20</v>
      </c>
      <c r="Q19">
        <f>'Costing 100 Lmin Feed Orig'!Q19</f>
        <v>0.13957372480144001</v>
      </c>
      <c r="R19">
        <f>'Costing 100 Lmin Feed Orig'!R19</f>
        <v>97.0499984181222</v>
      </c>
      <c r="S19">
        <f>'Costing 100 Lmin Feed Orig'!S19</f>
        <v>500</v>
      </c>
      <c r="T19">
        <f>'Costing 100 Lmin Feed Orig'!T19</f>
        <v>95</v>
      </c>
      <c r="U19">
        <f>'Costing 100 Lmin Feed Orig'!U19</f>
        <v>1</v>
      </c>
      <c r="V19">
        <f>'Costing 100 Lmin Feed Orig'!V19</f>
        <v>0.1</v>
      </c>
      <c r="W19">
        <f>'Costing 100 Lmin Feed Orig'!W19</f>
        <v>71.646723007687299</v>
      </c>
      <c r="X19" t="str">
        <f>'Costing 100 Lmin Feed Orig'!X19</f>
        <v>ddFc</v>
      </c>
      <c r="Y19">
        <f>'Costing 100 Lmin Feed Orig'!Y19</f>
        <v>1</v>
      </c>
      <c r="Z19">
        <f>'Costing 100 Lmin Feed Orig'!Z19</f>
        <v>0.28318429382522198</v>
      </c>
      <c r="AA19">
        <f>'Costing 100 Lmin Feed Orig'!AA19</f>
        <v>0.56945642916197003</v>
      </c>
      <c r="AB19">
        <f>'Costing 100 Lmin Feed Orig'!AB19</f>
        <v>3.7698628972227502E-3</v>
      </c>
      <c r="AC19">
        <f>'Costing 100 Lmin Feed Orig'!AC19</f>
        <v>1822.2107908876901</v>
      </c>
      <c r="AD19">
        <f>'Costing 100 Lmin Feed Orig'!AD19</f>
        <v>2662.6059073104898</v>
      </c>
      <c r="AE19">
        <f>'Costing 100 Lmin Feed Orig'!AE19</f>
        <v>2401.5030938442701</v>
      </c>
      <c r="AF19">
        <f>'Costing 100 Lmin Feed Orig'!AF19</f>
        <v>11</v>
      </c>
      <c r="AG19">
        <f>'Costing 100 Lmin Feed Orig'!AG19</f>
        <v>1.6481650483119699E-3</v>
      </c>
      <c r="AH19">
        <f>'Costing 100 Lmin Feed Orig'!AH19</f>
        <v>1.6664622263884801E-3</v>
      </c>
      <c r="AI19">
        <f>'Costing 100 Lmin Feed Orig'!AI19</f>
        <v>1.0926630870116399E-5</v>
      </c>
      <c r="AJ19">
        <f>'Costing 100 Lmin Feed Orig'!AJ19</f>
        <v>0</v>
      </c>
      <c r="AK19">
        <f>'Costing 100 Lmin Feed Orig'!AK19</f>
        <v>0</v>
      </c>
      <c r="AL19">
        <f>'Costing 100 Lmin Feed Orig'!AL19</f>
        <v>0</v>
      </c>
      <c r="AM19">
        <f>'Costing 100 Lmin Feed Orig'!AM19</f>
        <v>1.61112321598457E-3</v>
      </c>
      <c r="AN19">
        <f>'Costing 100 Lmin Feed Orig'!AN19</f>
        <v>7.3941439847443504E-5</v>
      </c>
      <c r="AO19">
        <f>'Costing 100 Lmin Feed Orig'!AO19</f>
        <v>1.08545188885599E-5</v>
      </c>
      <c r="AP19">
        <f>'Costing 100 Lmin Feed Orig'!AP19</f>
        <v>1.7319792931660401E-3</v>
      </c>
      <c r="AQ19">
        <f>'Costing 100 Lmin Feed Orig'!AQ19</f>
        <v>7.4462110887135197E-2</v>
      </c>
      <c r="AR19">
        <f>'Costing 100 Lmin Feed Orig'!AR19</f>
        <v>3.3717678364587601E-6</v>
      </c>
      <c r="AS19">
        <f>'Costing 100 Lmin Feed Orig'!AS19</f>
        <v>6.0986372202309596E-19</v>
      </c>
      <c r="AT19">
        <f>'Costing 100 Lmin Feed Orig'!AT19</f>
        <v>-1.1882855810441099E-16</v>
      </c>
      <c r="AU19">
        <f>'Costing 100 Lmin Feed Orig'!AU19</f>
        <v>-2.6999175193730801E-21</v>
      </c>
      <c r="AV19">
        <f>'Costing 100 Lmin Feed Orig'!AV19</f>
        <v>0.19778742894656101</v>
      </c>
      <c r="AW19">
        <f>'Costing 100 Lmin Feed Orig'!AW19</f>
        <v>99.340034614386695</v>
      </c>
      <c r="AX19">
        <f>'Costing 100 Lmin Feed Orig'!AX19</f>
        <v>500</v>
      </c>
      <c r="AY19">
        <f>'Costing 100 Lmin Feed Orig'!AY19</f>
        <v>95</v>
      </c>
      <c r="AZ19">
        <f>'Costing 100 Lmin Feed Orig'!AZ19</f>
        <v>0.92480233795174105</v>
      </c>
      <c r="BA19">
        <f>'Costing 100 Lmin Feed Orig'!BA19</f>
        <v>0.1</v>
      </c>
      <c r="BB19">
        <f>'Costing 100 Lmin Feed Orig'!BB19</f>
        <v>46.757387103788297</v>
      </c>
      <c r="BC19" t="str">
        <f>'Costing 100 Lmin Feed Orig'!BC19</f>
        <v>coeFc</v>
      </c>
      <c r="BD19">
        <f>'Costing 100 Lmin Feed Orig'!BD19</f>
        <v>1</v>
      </c>
      <c r="BE19">
        <f>'Costing 100 Lmin Feed Orig'!BE19</f>
        <v>1.8775014999999999E-2</v>
      </c>
      <c r="BF19">
        <f>'Costing 100 Lmin Feed Orig'!BF19</f>
        <v>0.10492961100000001</v>
      </c>
      <c r="BG19">
        <f>'Costing 100 Lmin Feed Orig'!BG19</f>
        <v>1.814625E-3</v>
      </c>
      <c r="BH19">
        <f>'Costing 100 Lmin Feed Orig'!BH19</f>
        <v>285.1951444</v>
      </c>
      <c r="BI19">
        <f>'Costing 100 Lmin Feed Orig'!BI19</f>
        <v>2169.8944889999998</v>
      </c>
      <c r="BJ19">
        <f>'Costing 100 Lmin Feed Orig'!BJ19</f>
        <v>866.49409060000005</v>
      </c>
      <c r="BK19">
        <f>'Costing 100 Lmin Feed Orig'!BK19</f>
        <v>100</v>
      </c>
      <c r="BL19">
        <f>'Costing 100 Lmin Feed Orig'!BL19</f>
        <v>13.957372480144</v>
      </c>
      <c r="BM19">
        <f>'Costing 100 Lmin Feed Orig'!BM19</f>
        <v>92.480233795174101</v>
      </c>
      <c r="BN19">
        <f>'Costing 100 Lmin Feed Orig'!BN19</f>
        <v>19.778742894656101</v>
      </c>
      <c r="BO19">
        <f t="shared" si="1"/>
        <v>167.488469761728</v>
      </c>
      <c r="BP19">
        <f t="shared" si="2"/>
        <v>514.24731526105859</v>
      </c>
      <c r="BQ19">
        <f t="shared" si="3"/>
        <v>16.7488469761728</v>
      </c>
      <c r="BR19">
        <f t="shared" si="4"/>
        <v>51.424731526105859</v>
      </c>
      <c r="BS19">
        <f>1.2*0.5*BL19*V19/'Oxidant Feed Composition'!$N$22</f>
        <v>8.3744234880863999</v>
      </c>
      <c r="BT19">
        <f>1.2*0.5*BN19*BA19/'Oxidant Feed Composition'!$N$22</f>
        <v>11.867245736793661</v>
      </c>
      <c r="BU19">
        <f t="shared" si="5"/>
        <v>6.9786862400720002</v>
      </c>
      <c r="BV19">
        <f t="shared" si="6"/>
        <v>9.8893714473280507</v>
      </c>
      <c r="BW19">
        <f t="shared" si="7"/>
        <v>85.501547555102107</v>
      </c>
      <c r="BX19">
        <f t="shared" si="0"/>
        <v>44.663591936460804</v>
      </c>
      <c r="BY19">
        <f t="shared" si="8"/>
        <v>212.87521255063621</v>
      </c>
      <c r="BZ19">
        <f t="shared" si="9"/>
        <v>63.291977262899522</v>
      </c>
      <c r="CA19">
        <f t="shared" si="10"/>
        <v>59.336228683968301</v>
      </c>
      <c r="CB19">
        <f>BO19*'Reagent cost'!$G$11*'Reagent cost'!$H$11</f>
        <v>2210.8478008548095</v>
      </c>
      <c r="CC19">
        <f>BP19*'Reagent cost'!$G$11*'Reagent cost'!$H$11</f>
        <v>6788.0645614459736</v>
      </c>
      <c r="CD19">
        <f>BQ19*'Reagent cost'!$C$18/1000*'Reagent cost'!$H$18</f>
        <v>2671.1136977461792</v>
      </c>
      <c r="CE19">
        <f>BR19*'Ligand cost'!$B$56*'Ligand cost'!$J$56</f>
        <v>52356.945274079662</v>
      </c>
      <c r="CF19">
        <f t="shared" si="11"/>
        <v>10</v>
      </c>
      <c r="CG19">
        <f t="shared" si="12"/>
        <v>2.7914744960288003</v>
      </c>
      <c r="CH19">
        <f t="shared" si="13"/>
        <v>3.9557485789312206</v>
      </c>
      <c r="CI19">
        <f>7963.6*(BX19/1000)^0.6*1.7*('CAPEX+OPEX'!$G$116/'CAPEX+OPEX'!$G$115)</f>
        <v>2472.9373618126128</v>
      </c>
      <c r="CJ19">
        <f>7963.6*(BY19/1000)^0.6*1.7*('CAPEX+OPEX'!$G$116/'CAPEX+OPEX'!$G$115)</f>
        <v>6311.2587327211604</v>
      </c>
      <c r="CK19">
        <f>7963.6*(BZ19/1000)^0.6*1.7*('CAPEX+OPEX'!$G$116/'CAPEX+OPEX'!$G$115)</f>
        <v>3048.2467953801424</v>
      </c>
      <c r="CL19">
        <f>7963.6*(CA19/1000)^0.6*1.7*('CAPEX+OPEX'!$G$116/'CAPEX+OPEX'!$G$115)</f>
        <v>2932.4653671783653</v>
      </c>
      <c r="CM19">
        <f>'Costing 100 Lmin Feed Orig'!DE19</f>
        <v>39625.826528698344</v>
      </c>
      <c r="CN19">
        <f>'Costing 100 Lmin Feed Orig'!DF19</f>
        <v>4586243.4239371875</v>
      </c>
      <c r="CO19">
        <f>'Costing 100 Lmin Feed Orig'!DG19</f>
        <v>11794834.586807497</v>
      </c>
      <c r="CP19">
        <f>'Costing 100 Lmin Feed Orig'!DH19</f>
        <v>2275209.1661185985</v>
      </c>
      <c r="CQ19">
        <f>'Costing 100 Lmin Feed Orig'!DI19</f>
        <v>14083914.336508472</v>
      </c>
      <c r="CR19">
        <f>'Costing 100 Lmin Feed Orig'!DJ19</f>
        <v>1662824.8986326549</v>
      </c>
      <c r="CS19">
        <f>CN19*(BK19/10000)^0.72*((A19+1)/3)^0.6*('CAPEX+OPEX'!$G$116/'CAPEX+OPEX'!$G$114)</f>
        <v>528015.95740622084</v>
      </c>
      <c r="CT19">
        <f>CO19*(BK19/10000)^0.72*((A19+1)/3)^0.6*('CAPEX+OPEX'!$G$116/'CAPEX+OPEX'!$G$114)</f>
        <v>1357943.8117688675</v>
      </c>
      <c r="CU19">
        <f>CP19*(BK19/10000)^0.72*((A19+1)/3)^0.6*('CAPEX+OPEX'!$G$116/'CAPEX+OPEX'!$G$114)</f>
        <v>261945.7004565605</v>
      </c>
      <c r="CV19">
        <f>CQ19*(BK19/10000)^0.72*((A19+1)/3)^0.6*('CAPEX+OPEX'!$G$116/'CAPEX+OPEX'!$G$114)</f>
        <v>1621486.4378120217</v>
      </c>
      <c r="CW19">
        <f>CR19*(BK19/10000)^0.72*((A19+1)/3)^0.6*('CAPEX+OPEX'!$G$116/'CAPEX+OPEX'!$G$114)</f>
        <v>191441.6658016555</v>
      </c>
      <c r="CX19">
        <f t="shared" si="14"/>
        <v>3960833.5732453261</v>
      </c>
      <c r="CY19">
        <f>CN19*(BM19/10000)^0.72*((AF19+1)/3)^0.6*('CAPEX+OPEX'!$G$116/'CAPEX+OPEX'!$G$114)</f>
        <v>843973.89654919889</v>
      </c>
      <c r="CZ19">
        <f>CO19*(BM19/10000)^0.72*((AF19+1)/3)^0.6*('CAPEX+OPEX'!$G$116/'CAPEX+OPEX'!$G$114)</f>
        <v>2170519.8754660604</v>
      </c>
      <c r="DA19">
        <f>CP19*(BM19/10000)^0.72*((AF19+1)/3)^0.6*('CAPEX+OPEX'!$G$116/'CAPEX+OPEX'!$G$114)</f>
        <v>418690.62932231004</v>
      </c>
      <c r="DB19">
        <f>CQ19*(BM19/10000)^0.72*((AF19+1)/3)^0.6*('CAPEX+OPEX'!$G$116/'CAPEX+OPEX'!$G$114)</f>
        <v>2591763.010050592</v>
      </c>
      <c r="DC19">
        <f>CR19*(BM19/10000)^0.72*((AF19+1)/3)^0.6*('CAPEX+OPEX'!$G$116/'CAPEX+OPEX'!$G$114)</f>
        <v>305997.88961338153</v>
      </c>
      <c r="DD19">
        <f t="shared" si="15"/>
        <v>6330945.3010015422</v>
      </c>
      <c r="DE19">
        <f>CX19+DD19+1.15*(SUM(CI19:CL19)+SUM(CB19:CE19))</f>
        <v>10382389.535776772</v>
      </c>
      <c r="DF19">
        <f t="shared" si="16"/>
        <v>692159.30238511809</v>
      </c>
      <c r="DG19">
        <f>(BS19+BT19)*'Oxidant Feed Composition'!$N$25*60*7200</f>
        <v>16301693.096553346</v>
      </c>
      <c r="DH19">
        <f>((CG19+CH19)*'Reagent cost'!$C$17/1000*'Reagent cost'!$H$17+(CG19+CH19)*0.5*'Reagent cost'!$C$16/1000*'Reagent cost'!$H$16)*60*7200</f>
        <v>6496594.5050624777</v>
      </c>
      <c r="DI19">
        <f>CF19*'Reagent cost'!$C$17/1000*'Reagent cost'!$H$17*60*7200</f>
        <v>504921.59999999998</v>
      </c>
      <c r="DJ19">
        <f t="shared" si="17"/>
        <v>89.989123623007842</v>
      </c>
      <c r="DK19">
        <f t="shared" si="18"/>
        <v>1100.5611794365168</v>
      </c>
      <c r="DL19">
        <f t="shared" si="19"/>
        <v>27965279.702302661</v>
      </c>
      <c r="DM19">
        <f>BK19*(B19*(409.81+2)/1000+C19*(248.2+2*22.99)/1000+D19*(315.6+3*22.99)/1000+0.1*58.44/1000)</f>
        <v>0.70639694042110623</v>
      </c>
      <c r="DN19">
        <f>(BS19+BT19)/1000*('Oxidant Feed Composition'!$B$11*'Oxidant Feed Composition'!$O$20+'Oxidant Feed Composition'!$D$11*'Oxidant Feed Composition'!$O$21+'Oxidant Feed Composition'!$F$11*'Oxidant Feed Composition'!$O$27-'Oxidant Feed Composition'!$J$15*18.015)</f>
        <v>2.3639140292597745</v>
      </c>
      <c r="DO19">
        <f>(BU19+BV19)/1000*(0.2*368.34+0.4*58.44)</f>
        <v>1.6369437902160502</v>
      </c>
      <c r="DP19">
        <f>BK19/1000*(B19*195.08+C19*106.42+D19*102.91)</f>
        <v>4.999938342565946E-2</v>
      </c>
      <c r="DQ19">
        <f>SUM(DM19:DO19)-DP19</f>
        <v>4.6572553764712712</v>
      </c>
      <c r="DR19">
        <f>DQ19*60*7200*0.33</f>
        <v>663938.32646974444</v>
      </c>
      <c r="DS19">
        <v>1.2</v>
      </c>
      <c r="DT19">
        <f>BM19/60*(AM19*4+AN19*2+AO19*3)*96485/DV19</f>
        <v>1407.4770862909579</v>
      </c>
      <c r="DU19">
        <f>BN19*BA19*(AP19*4+AQ19*2+AR19*3)*96485/DV19/60</f>
        <v>708.19058547617715</v>
      </c>
      <c r="DV19">
        <v>0.7</v>
      </c>
      <c r="DW19">
        <f>0.499*((BK19/3.78541*15)^(-0.146))*BK19/3.78541*15*300*(1+(A19-2)/9)</f>
        <v>30272.303809866662</v>
      </c>
      <c r="DX19">
        <f>0.248*((BK19/3.78541*15)^(-0.144))*BK19/3.78541*15*300*(1+(A19-2)/3)</f>
        <v>20763.049486147294</v>
      </c>
      <c r="DY19">
        <f>0.105*((BK19/3.78541*15)^(-0.144))*BK19/3.78541*15*300*(1+(A19-2)/3)</f>
        <v>8790.8072421188135</v>
      </c>
      <c r="DZ19">
        <f>0.058*((BK19/3.78541*15)^(-0.151))*BK19/3.78541*15*300*(1+(A19-2)/3)</f>
        <v>4656.7358484871465</v>
      </c>
      <c r="EA19">
        <f>0.056*((BK19/3.78541*15)^(-0.144))*BK19/3.78541*15*300*(1+(A19-2)/3)</f>
        <v>4688.4305291300352</v>
      </c>
      <c r="EB19">
        <f>DS19*DT19/(3.6*10^6)*3600*7200*0.07</f>
        <v>851.24214178877139</v>
      </c>
      <c r="EC19">
        <f>0.499*((BM19/3.78541*15)^(-0.146))*BM19/3.78541*15*300*(1+(AF19-2)/9)</f>
        <v>46337.336863375494</v>
      </c>
      <c r="ED19">
        <f>0.248*((BM19/3.78541*15)^(-0.144))*BM19/3.78541*15*300*(1+(AF19-2)/3)</f>
        <v>46605.830936093211</v>
      </c>
      <c r="EE19">
        <f>0.105*((BM19/3.78541*15)^(-0.144))*BM19/3.78541*15*300*(1+(AF19-2)/3)</f>
        <v>19732.307452781399</v>
      </c>
      <c r="EF19">
        <f>0.058*((BM19/3.78541*15)^(-0.151))*BM19/3.78541*15*300*(1+(AF19-2)/3)</f>
        <v>10458.475356061363</v>
      </c>
      <c r="EG19">
        <f>0.056*((BM19/3.78541*15)^(-0.144))*BM19/3.78541*15*300*(1+(AF19-2)/3)</f>
        <v>10523.897308150083</v>
      </c>
      <c r="EH19">
        <f>DS19*DU19/(3.6*10^6)*3600*7200*0.07</f>
        <v>428.31366609599201</v>
      </c>
      <c r="EI19">
        <f>SUM(DW19:EH19)</f>
        <v>204108.73064009621</v>
      </c>
      <c r="EJ19">
        <f>EI19+DR19+DL19</f>
        <v>28833326.759412501</v>
      </c>
      <c r="EK19">
        <f>EJ19+DF19</f>
        <v>29525486.061797619</v>
      </c>
      <c r="EL19">
        <f>EK19/(BK19*60*7200)</f>
        <v>0.68346032550457447</v>
      </c>
      <c r="EM19">
        <f>EK19/(BM19*(AM19*195.084/1000+AN19*106.42/1000+AO19*102.911/1000)*60*7200)</f>
        <v>2285.9765503512135</v>
      </c>
      <c r="EN19">
        <f>EK19/(BN19*BA19*(AP19*195.084/1000+AQ19*106.42/1000+AR19*102.911/1000)*60*7200)</f>
        <v>4182.1910916384932</v>
      </c>
    </row>
    <row r="20" spans="1:144">
      <c r="A20">
        <f>'Costing 100 Lmin Feed Orig'!A20</f>
        <v>4</v>
      </c>
      <c r="B20">
        <f>'Costing 100 Lmin Feed Orig'!B20</f>
        <v>1.54143585092054E-3</v>
      </c>
      <c r="C20">
        <f>'Costing 100 Lmin Feed Orig'!C20</f>
        <v>1.54143585092054E-3</v>
      </c>
      <c r="D20">
        <f>'Costing 100 Lmin Feed Orig'!D20</f>
        <v>3.4254130020456501E-4</v>
      </c>
      <c r="E20">
        <f>'Costing 100 Lmin Feed Orig'!E20</f>
        <v>0</v>
      </c>
      <c r="F20">
        <f>'Costing 100 Lmin Feed Orig'!F20</f>
        <v>0</v>
      </c>
      <c r="G20">
        <f>'Costing 100 Lmin Feed Orig'!G20</f>
        <v>0</v>
      </c>
      <c r="H20">
        <f>'Costing 100 Lmin Feed Orig'!H20</f>
        <v>1.7208960911287699E-5</v>
      </c>
      <c r="I20">
        <f>'Costing 100 Lmin Feed Orig'!I20</f>
        <v>2.8768784818324402E-7</v>
      </c>
      <c r="J20">
        <f>'Costing 100 Lmin Feed Orig'!J20</f>
        <v>3.3243632642994598E-4</v>
      </c>
      <c r="K20">
        <f>'Costing 100 Lmin Feed Orig'!K20</f>
        <v>0.10920586178936199</v>
      </c>
      <c r="L20">
        <f>'Costing 100 Lmin Feed Orig'!L20</f>
        <v>0.110418215553449</v>
      </c>
      <c r="M20">
        <f>'Costing 100 Lmin Feed Orig'!M20</f>
        <v>7.2398825703009801E-4</v>
      </c>
      <c r="N20">
        <f>'Costing 100 Lmin Feed Orig'!N20</f>
        <v>-2.168404344971E-18</v>
      </c>
      <c r="O20">
        <f>'Costing 100 Lmin Feed Orig'!O20</f>
        <v>2.3635607360183901E-17</v>
      </c>
      <c r="P20">
        <f>'Costing 100 Lmin Feed Orig'!P20</f>
        <v>-7.4538899358378406E-20</v>
      </c>
      <c r="Q20">
        <f>'Costing 100 Lmin Feed Orig'!Q20</f>
        <v>0.13957372480144001</v>
      </c>
      <c r="R20">
        <f>'Costing 100 Lmin Feed Orig'!R20</f>
        <v>97.0499984181222</v>
      </c>
      <c r="S20">
        <f>'Costing 100 Lmin Feed Orig'!S20</f>
        <v>500</v>
      </c>
      <c r="T20">
        <f>'Costing 100 Lmin Feed Orig'!T20</f>
        <v>95</v>
      </c>
      <c r="U20">
        <f>'Costing 100 Lmin Feed Orig'!U20</f>
        <v>1</v>
      </c>
      <c r="V20">
        <f>'Costing 100 Lmin Feed Orig'!V20</f>
        <v>0.1</v>
      </c>
      <c r="W20">
        <f>'Costing 100 Lmin Feed Orig'!W20</f>
        <v>71.646723007687299</v>
      </c>
      <c r="X20" t="str">
        <f>'Costing 100 Lmin Feed Orig'!X20</f>
        <v>ddFc</v>
      </c>
      <c r="Y20">
        <f>'Costing 100 Lmin Feed Orig'!Y20</f>
        <v>1</v>
      </c>
      <c r="Z20">
        <f>'Costing 100 Lmin Feed Orig'!Z20</f>
        <v>0.28318429382522198</v>
      </c>
      <c r="AA20">
        <f>'Costing 100 Lmin Feed Orig'!AA20</f>
        <v>0.56945642916197003</v>
      </c>
      <c r="AB20">
        <f>'Costing 100 Lmin Feed Orig'!AB20</f>
        <v>3.7698628972227502E-3</v>
      </c>
      <c r="AC20">
        <f>'Costing 100 Lmin Feed Orig'!AC20</f>
        <v>1822.2107908876901</v>
      </c>
      <c r="AD20">
        <f>'Costing 100 Lmin Feed Orig'!AD20</f>
        <v>2662.6059073104898</v>
      </c>
      <c r="AE20">
        <f>'Costing 100 Lmin Feed Orig'!AE20</f>
        <v>2401.5030938442701</v>
      </c>
      <c r="AF20">
        <f>'Costing 100 Lmin Feed Orig'!AF20</f>
        <v>12</v>
      </c>
      <c r="AG20">
        <f>'Costing 100 Lmin Feed Orig'!AG20</f>
        <v>1.6481650483119699E-3</v>
      </c>
      <c r="AH20">
        <f>'Costing 100 Lmin Feed Orig'!AH20</f>
        <v>1.6664622263884801E-3</v>
      </c>
      <c r="AI20">
        <f>'Costing 100 Lmin Feed Orig'!AI20</f>
        <v>1.0926630870116399E-5</v>
      </c>
      <c r="AJ20">
        <f>'Costing 100 Lmin Feed Orig'!AJ20</f>
        <v>0</v>
      </c>
      <c r="AK20">
        <f>'Costing 100 Lmin Feed Orig'!AK20</f>
        <v>0</v>
      </c>
      <c r="AL20">
        <f>'Costing 100 Lmin Feed Orig'!AL20</f>
        <v>0</v>
      </c>
      <c r="AM20">
        <f>'Costing 100 Lmin Feed Orig'!AM20</f>
        <v>1.6111242193774301E-3</v>
      </c>
      <c r="AN20">
        <f>'Costing 100 Lmin Feed Orig'!AN20</f>
        <v>7.3941490785069596E-5</v>
      </c>
      <c r="AO20">
        <f>'Costing 100 Lmin Feed Orig'!AO20</f>
        <v>1.08545207611103E-5</v>
      </c>
      <c r="AP20">
        <f>'Costing 100 Lmin Feed Orig'!AP20</f>
        <v>1.7319455084018099E-3</v>
      </c>
      <c r="AQ20">
        <f>'Costing 100 Lmin Feed Orig'!AQ20</f>
        <v>7.4462673066500798E-2</v>
      </c>
      <c r="AR20">
        <f>'Costing 100 Lmin Feed Orig'!AR20</f>
        <v>3.3717058444944401E-6</v>
      </c>
      <c r="AS20">
        <f>'Costing 100 Lmin Feed Orig'!AS20</f>
        <v>6.09863722023096E-20</v>
      </c>
      <c r="AT20">
        <f>'Costing 100 Lmin Feed Orig'!AT20</f>
        <v>-2.3852447794681001E-18</v>
      </c>
      <c r="AU20">
        <f>'Costing 100 Lmin Feed Orig'!AU20</f>
        <v>1.9719985803264101E-21</v>
      </c>
      <c r="AV20">
        <f>'Costing 100 Lmin Feed Orig'!AV20</f>
        <v>0.19778592936186601</v>
      </c>
      <c r="AW20">
        <f>'Costing 100 Lmin Feed Orig'!AW20</f>
        <v>99.340051751877695</v>
      </c>
      <c r="AX20">
        <f>'Costing 100 Lmin Feed Orig'!AX20</f>
        <v>500</v>
      </c>
      <c r="AY20">
        <f>'Costing 100 Lmin Feed Orig'!AY20</f>
        <v>95</v>
      </c>
      <c r="AZ20">
        <f>'Costing 100 Lmin Feed Orig'!AZ20</f>
        <v>0.92480233795174105</v>
      </c>
      <c r="BA20">
        <f>'Costing 100 Lmin Feed Orig'!BA20</f>
        <v>0.1</v>
      </c>
      <c r="BB20">
        <f>'Costing 100 Lmin Feed Orig'!BB20</f>
        <v>46.757741611625697</v>
      </c>
      <c r="BC20" t="str">
        <f>'Costing 100 Lmin Feed Orig'!BC20</f>
        <v>coeFc</v>
      </c>
      <c r="BD20">
        <f>'Costing 100 Lmin Feed Orig'!BD20</f>
        <v>1</v>
      </c>
      <c r="BE20">
        <f>'Costing 100 Lmin Feed Orig'!BE20</f>
        <v>1.8775014999999999E-2</v>
      </c>
      <c r="BF20">
        <f>'Costing 100 Lmin Feed Orig'!BF20</f>
        <v>0.10492961100000001</v>
      </c>
      <c r="BG20">
        <f>'Costing 100 Lmin Feed Orig'!BG20</f>
        <v>1.814625E-3</v>
      </c>
      <c r="BH20">
        <f>'Costing 100 Lmin Feed Orig'!BH20</f>
        <v>285.1951444</v>
      </c>
      <c r="BI20">
        <f>'Costing 100 Lmin Feed Orig'!BI20</f>
        <v>2169.8944889999998</v>
      </c>
      <c r="BJ20">
        <f>'Costing 100 Lmin Feed Orig'!BJ20</f>
        <v>866.49409060000005</v>
      </c>
      <c r="BK20">
        <f>'Costing 100 Lmin Feed Orig'!BK20</f>
        <v>100</v>
      </c>
      <c r="BL20">
        <f>'Costing 100 Lmin Feed Orig'!BL20</f>
        <v>13.957372480144</v>
      </c>
      <c r="BM20">
        <f>'Costing 100 Lmin Feed Orig'!BM20</f>
        <v>92.480233795174101</v>
      </c>
      <c r="BN20">
        <f>'Costing 100 Lmin Feed Orig'!BN20</f>
        <v>19.778592936186602</v>
      </c>
      <c r="BO20">
        <f t="shared" si="1"/>
        <v>167.488469761728</v>
      </c>
      <c r="BP20">
        <f t="shared" si="2"/>
        <v>553.80060221322481</v>
      </c>
      <c r="BQ20">
        <f t="shared" si="3"/>
        <v>16.7488469761728</v>
      </c>
      <c r="BR20">
        <f t="shared" si="4"/>
        <v>55.380060221322481</v>
      </c>
      <c r="BS20">
        <f>1.2*0.5*BL20*V20/'Oxidant Feed Composition'!$N$22</f>
        <v>8.3744234880863999</v>
      </c>
      <c r="BT20">
        <f>1.2*0.5*BN20*BA20/'Oxidant Feed Composition'!$N$22</f>
        <v>11.867155761711961</v>
      </c>
      <c r="BU20">
        <f t="shared" si="5"/>
        <v>6.9786862400720002</v>
      </c>
      <c r="BV20">
        <f t="shared" si="6"/>
        <v>9.8892964680933009</v>
      </c>
      <c r="BW20">
        <f t="shared" si="7"/>
        <v>85.501547555102107</v>
      </c>
      <c r="BX20">
        <f t="shared" si="0"/>
        <v>44.663591936460804</v>
      </c>
      <c r="BY20">
        <f t="shared" si="8"/>
        <v>212.87521255063621</v>
      </c>
      <c r="BZ20">
        <f t="shared" si="9"/>
        <v>63.291497395797123</v>
      </c>
      <c r="CA20">
        <f t="shared" si="10"/>
        <v>59.335778808559809</v>
      </c>
      <c r="CB20">
        <f>BO20*'Reagent cost'!$G$11*'Reagent cost'!$H$11</f>
        <v>2210.8478008548095</v>
      </c>
      <c r="CC20">
        <f>BP20*'Reagent cost'!$G$11*'Reagent cost'!$H$11</f>
        <v>7310.1679492145686</v>
      </c>
      <c r="CD20">
        <f>BQ20*'Reagent cost'!$C$18/1000*'Reagent cost'!$H$18</f>
        <v>2671.1136977461792</v>
      </c>
      <c r="CE20">
        <f>BR20*'Ligand cost'!$B$56*'Ligand cost'!$J$56</f>
        <v>56383.975107601007</v>
      </c>
      <c r="CF20">
        <f t="shared" si="11"/>
        <v>10</v>
      </c>
      <c r="CG20">
        <f t="shared" si="12"/>
        <v>2.7914744960288003</v>
      </c>
      <c r="CH20">
        <f t="shared" si="13"/>
        <v>3.9557185872373206</v>
      </c>
      <c r="CI20">
        <f>7963.6*(BX20/1000)^0.6*1.7*('CAPEX+OPEX'!$G$116/'CAPEX+OPEX'!$G$115)</f>
        <v>2472.9373618126128</v>
      </c>
      <c r="CJ20">
        <f>7963.6*(BY20/1000)^0.6*1.7*('CAPEX+OPEX'!$G$116/'CAPEX+OPEX'!$G$115)</f>
        <v>6311.2587327211604</v>
      </c>
      <c r="CK20">
        <f>7963.6*(BZ20/1000)^0.6*1.7*('CAPEX+OPEX'!$G$116/'CAPEX+OPEX'!$G$115)</f>
        <v>3048.2329286408958</v>
      </c>
      <c r="CL20">
        <f>7963.6*(CA20/1000)^0.6*1.7*('CAPEX+OPEX'!$G$116/'CAPEX+OPEX'!$G$115)</f>
        <v>2932.452027138886</v>
      </c>
      <c r="CM20">
        <f>'Costing 100 Lmin Feed Orig'!DE20</f>
        <v>39625.826528698344</v>
      </c>
      <c r="CN20">
        <f>'Costing 100 Lmin Feed Orig'!DF20</f>
        <v>4586243.4239371875</v>
      </c>
      <c r="CO20">
        <f>'Costing 100 Lmin Feed Orig'!DG20</f>
        <v>11794834.586807497</v>
      </c>
      <c r="CP20">
        <f>'Costing 100 Lmin Feed Orig'!DH20</f>
        <v>2275209.1661185985</v>
      </c>
      <c r="CQ20">
        <f>'Costing 100 Lmin Feed Orig'!DI20</f>
        <v>14083914.336508472</v>
      </c>
      <c r="CR20">
        <f>'Costing 100 Lmin Feed Orig'!DJ20</f>
        <v>1662824.8986326549</v>
      </c>
      <c r="CS20">
        <f>CN20*(BK20/10000)^0.72*((A20+1)/3)^0.6*('CAPEX+OPEX'!$G$116/'CAPEX+OPEX'!$G$114)</f>
        <v>528015.95740622084</v>
      </c>
      <c r="CT20">
        <f>CO20*(BK20/10000)^0.72*((A20+1)/3)^0.6*('CAPEX+OPEX'!$G$116/'CAPEX+OPEX'!$G$114)</f>
        <v>1357943.8117688675</v>
      </c>
      <c r="CU20">
        <f>CP20*(BK20/10000)^0.72*((A20+1)/3)^0.6*('CAPEX+OPEX'!$G$116/'CAPEX+OPEX'!$G$114)</f>
        <v>261945.7004565605</v>
      </c>
      <c r="CV20">
        <f>CQ20*(BK20/10000)^0.72*((A20+1)/3)^0.6*('CAPEX+OPEX'!$G$116/'CAPEX+OPEX'!$G$114)</f>
        <v>1621486.4378120217</v>
      </c>
      <c r="CW20">
        <f>CR20*(BK20/10000)^0.72*((A20+1)/3)^0.6*('CAPEX+OPEX'!$G$116/'CAPEX+OPEX'!$G$114)</f>
        <v>191441.6658016555</v>
      </c>
      <c r="CX20">
        <f t="shared" si="14"/>
        <v>3960833.5732453261</v>
      </c>
      <c r="CY20">
        <f>CN20*(BM20/10000)^0.72*((AF20+1)/3)^0.6*('CAPEX+OPEX'!$G$116/'CAPEX+OPEX'!$G$114)</f>
        <v>885495.33629599935</v>
      </c>
      <c r="CZ20">
        <f>CO20*(BM20/10000)^0.72*((AF20+1)/3)^0.6*('CAPEX+OPEX'!$G$116/'CAPEX+OPEX'!$G$114)</f>
        <v>2277304.1144062551</v>
      </c>
      <c r="DA20">
        <f>CP20*(BM20/10000)^0.72*((AF20+1)/3)^0.6*('CAPEX+OPEX'!$G$116/'CAPEX+OPEX'!$G$114)</f>
        <v>439289.17841137282</v>
      </c>
      <c r="DB20">
        <f>CQ20*(BM20/10000)^0.72*((AF20+1)/3)^0.6*('CAPEX+OPEX'!$G$116/'CAPEX+OPEX'!$G$114)</f>
        <v>2719271.3750602305</v>
      </c>
      <c r="DC20">
        <f>CR20*(BM20/10000)^0.72*((AF20+1)/3)^0.6*('CAPEX+OPEX'!$G$116/'CAPEX+OPEX'!$G$114)</f>
        <v>321052.23310454836</v>
      </c>
      <c r="DD20">
        <f t="shared" si="15"/>
        <v>6642412.2372784065</v>
      </c>
      <c r="DE20">
        <f>CX20+DD20+1.15*(SUM(CI20:CL20)+SUM(CB20:CE20))</f>
        <v>10699087.943970323</v>
      </c>
      <c r="DF20">
        <f t="shared" si="16"/>
        <v>713272.52959802153</v>
      </c>
      <c r="DG20">
        <f>(BS20+BT20)*'Oxidant Feed Composition'!$N$25*60*7200</f>
        <v>16301620.634833325</v>
      </c>
      <c r="DH20">
        <f>((CG20+CH20)*'Reagent cost'!$C$17/1000*'Reagent cost'!$H$17+(CG20+CH20)*0.5*'Reagent cost'!$C$16/1000*'Reagent cost'!$H$16)*60*7200</f>
        <v>6496565.6274232436</v>
      </c>
      <c r="DI20">
        <f>CF20*'Reagent cost'!$C$17/1000*'Reagent cost'!$H$17*60*7200</f>
        <v>504921.59999999998</v>
      </c>
      <c r="DJ20">
        <f t="shared" si="17"/>
        <v>95.210157500693782</v>
      </c>
      <c r="DK20">
        <f t="shared" si="18"/>
        <v>1181.1017761069438</v>
      </c>
      <c r="DL20">
        <f t="shared" si="19"/>
        <v>27965261.009028219</v>
      </c>
      <c r="DM20">
        <f>BK20*(B20*(409.81+2)/1000+C20*(248.2+2*22.99)/1000+D20*(315.6+3*22.99)/1000+0.1*58.44/1000)</f>
        <v>0.70639694042110623</v>
      </c>
      <c r="DN20">
        <f>(BS20+BT20)/1000*('Oxidant Feed Composition'!$B$11*'Oxidant Feed Composition'!$O$20+'Oxidant Feed Composition'!$D$11*'Oxidant Feed Composition'!$O$21+'Oxidant Feed Composition'!$F$11*'Oxidant Feed Composition'!$O$27-'Oxidant Feed Composition'!$J$15*18.015)</f>
        <v>2.3639035215612463</v>
      </c>
      <c r="DO20">
        <f>(BU20+BV20)/1000*(0.2*368.34+0.4*58.44)</f>
        <v>1.6369365139311933</v>
      </c>
      <c r="DP20">
        <f>BK20/1000*(B20*195.08+C20*106.42+D20*102.91)</f>
        <v>4.999938342565946E-2</v>
      </c>
      <c r="DQ20">
        <f>SUM(DM20:DO20)-DP20</f>
        <v>4.6572375924878857</v>
      </c>
      <c r="DR20">
        <f>DQ20*60*7200*0.33</f>
        <v>663935.79118507297</v>
      </c>
      <c r="DS20">
        <v>1.2</v>
      </c>
      <c r="DT20">
        <f>BM20/60*(AM20*4+AN20*2+AO20*3)*96485/DV20</f>
        <v>1407.4779618165098</v>
      </c>
      <c r="DU20">
        <f>BN20*BA20*(AP20*4+AQ20*2+AR20*3)*96485/DV20/60</f>
        <v>708.18970995057066</v>
      </c>
      <c r="DV20">
        <v>0.7</v>
      </c>
      <c r="DW20">
        <f>0.499*((BK20/3.78541*15)^(-0.146))*BK20/3.78541*15*300*(1+(A20-2)/9)</f>
        <v>30272.303809866662</v>
      </c>
      <c r="DX20">
        <f>0.248*((BK20/3.78541*15)^(-0.144))*BK20/3.78541*15*300*(1+(A20-2)/3)</f>
        <v>20763.049486147294</v>
      </c>
      <c r="DY20">
        <f>0.105*((BK20/3.78541*15)^(-0.144))*BK20/3.78541*15*300*(1+(A20-2)/3)</f>
        <v>8790.8072421188135</v>
      </c>
      <c r="DZ20">
        <f>0.058*((BK20/3.78541*15)^(-0.151))*BK20/3.78541*15*300*(1+(A20-2)/3)</f>
        <v>4656.7358484871465</v>
      </c>
      <c r="EA20">
        <f>0.056*((BK20/3.78541*15)^(-0.144))*BK20/3.78541*15*300*(1+(A20-2)/3)</f>
        <v>4688.4305291300352</v>
      </c>
      <c r="EB20">
        <f>DS20*DT20/(3.6*10^6)*3600*7200*0.07</f>
        <v>851.24267130662531</v>
      </c>
      <c r="EC20">
        <f>0.499*((BM20/3.78541*15)^(-0.146))*BM20/3.78541*15*300*(1+(AF20-2)/9)</f>
        <v>48911.633355785249</v>
      </c>
      <c r="ED20">
        <f>0.248*((BM20/3.78541*15)^(-0.144))*BM20/3.78541*15*300*(1+(AF20-2)/3)</f>
        <v>50489.650180767654</v>
      </c>
      <c r="EE20">
        <f>0.105*((BM20/3.78541*15)^(-0.144))*BM20/3.78541*15*300*(1+(AF20-2)/3)</f>
        <v>21376.666407179851</v>
      </c>
      <c r="EF20">
        <f>0.058*((BM20/3.78541*15)^(-0.151))*BM20/3.78541*15*300*(1+(AF20-2)/3)</f>
        <v>11330.014969066478</v>
      </c>
      <c r="EG20">
        <f>0.056*((BM20/3.78541*15)^(-0.144))*BM20/3.78541*15*300*(1+(AF20-2)/3)</f>
        <v>11400.888750495924</v>
      </c>
      <c r="EH20">
        <f>DS20*DU20/(3.6*10^6)*3600*7200*0.07</f>
        <v>428.31313657810517</v>
      </c>
      <c r="EI20">
        <f>SUM(DW20:EH20)</f>
        <v>213959.73638692981</v>
      </c>
      <c r="EJ20">
        <f>EI20+DR20+DL20</f>
        <v>28843156.536600221</v>
      </c>
      <c r="EK20">
        <f>EJ20+DF20</f>
        <v>29556429.066198241</v>
      </c>
      <c r="EL20">
        <f>EK20/(BK20*60*7200)</f>
        <v>0.68417659875458892</v>
      </c>
      <c r="EM20">
        <f>EK20/(BM20*(AM20*195.084/1000+AN20*106.42/1000+AO20*102.911/1000)*60*7200)</f>
        <v>2288.3708513186893</v>
      </c>
      <c r="EN20">
        <f>EK20/(BN20*BA20*(AP20*195.084/1000+AQ20*106.42/1000+AR20*102.911/1000)*60*7200)</f>
        <v>4186.5788402636381</v>
      </c>
    </row>
    <row r="21" spans="1:144">
      <c r="A21">
        <f>'Costing 100 Lmin Feed Orig'!A21</f>
        <v>4</v>
      </c>
      <c r="B21">
        <f>'Costing 100 Lmin Feed Orig'!B21</f>
        <v>1.54143585092054E-3</v>
      </c>
      <c r="C21">
        <f>'Costing 100 Lmin Feed Orig'!C21</f>
        <v>1.54143585092054E-3</v>
      </c>
      <c r="D21">
        <f>'Costing 100 Lmin Feed Orig'!D21</f>
        <v>3.4254130020456501E-4</v>
      </c>
      <c r="E21">
        <f>'Costing 100 Lmin Feed Orig'!E21</f>
        <v>0</v>
      </c>
      <c r="F21">
        <f>'Costing 100 Lmin Feed Orig'!F21</f>
        <v>0</v>
      </c>
      <c r="G21">
        <f>'Costing 100 Lmin Feed Orig'!G21</f>
        <v>0</v>
      </c>
      <c r="H21">
        <f>'Costing 100 Lmin Feed Orig'!H21</f>
        <v>1.7208960911287699E-5</v>
      </c>
      <c r="I21">
        <f>'Costing 100 Lmin Feed Orig'!I21</f>
        <v>2.8768784818324402E-7</v>
      </c>
      <c r="J21">
        <f>'Costing 100 Lmin Feed Orig'!J21</f>
        <v>3.3243632642994598E-4</v>
      </c>
      <c r="K21">
        <f>'Costing 100 Lmin Feed Orig'!K21</f>
        <v>0.10920586178936199</v>
      </c>
      <c r="L21">
        <f>'Costing 100 Lmin Feed Orig'!L21</f>
        <v>0.110418215553449</v>
      </c>
      <c r="M21">
        <f>'Costing 100 Lmin Feed Orig'!M21</f>
        <v>7.2398825703009801E-4</v>
      </c>
      <c r="N21">
        <f>'Costing 100 Lmin Feed Orig'!N21</f>
        <v>-2.168404344971E-18</v>
      </c>
      <c r="O21">
        <f>'Costing 100 Lmin Feed Orig'!O21</f>
        <v>2.3635607360183901E-17</v>
      </c>
      <c r="P21">
        <f>'Costing 100 Lmin Feed Orig'!P21</f>
        <v>-7.4538899358378406E-20</v>
      </c>
      <c r="Q21">
        <f>'Costing 100 Lmin Feed Orig'!Q21</f>
        <v>0.13957372480144001</v>
      </c>
      <c r="R21">
        <f>'Costing 100 Lmin Feed Orig'!R21</f>
        <v>97.0499984181222</v>
      </c>
      <c r="S21">
        <f>'Costing 100 Lmin Feed Orig'!S21</f>
        <v>500</v>
      </c>
      <c r="T21">
        <f>'Costing 100 Lmin Feed Orig'!T21</f>
        <v>95</v>
      </c>
      <c r="U21">
        <f>'Costing 100 Lmin Feed Orig'!U21</f>
        <v>1</v>
      </c>
      <c r="V21">
        <f>'Costing 100 Lmin Feed Orig'!V21</f>
        <v>0.1</v>
      </c>
      <c r="W21">
        <f>'Costing 100 Lmin Feed Orig'!W21</f>
        <v>71.646723007687299</v>
      </c>
      <c r="X21" t="str">
        <f>'Costing 100 Lmin Feed Orig'!X21</f>
        <v>ddFc</v>
      </c>
      <c r="Y21">
        <f>'Costing 100 Lmin Feed Orig'!Y21</f>
        <v>1</v>
      </c>
      <c r="Z21">
        <f>'Costing 100 Lmin Feed Orig'!Z21</f>
        <v>0.28318429382522198</v>
      </c>
      <c r="AA21">
        <f>'Costing 100 Lmin Feed Orig'!AA21</f>
        <v>0.56945642916197003</v>
      </c>
      <c r="AB21">
        <f>'Costing 100 Lmin Feed Orig'!AB21</f>
        <v>3.7698628972227502E-3</v>
      </c>
      <c r="AC21">
        <f>'Costing 100 Lmin Feed Orig'!AC21</f>
        <v>1822.2107908876901</v>
      </c>
      <c r="AD21">
        <f>'Costing 100 Lmin Feed Orig'!AD21</f>
        <v>2662.6059073104898</v>
      </c>
      <c r="AE21">
        <f>'Costing 100 Lmin Feed Orig'!AE21</f>
        <v>2401.5030938442701</v>
      </c>
      <c r="AF21">
        <f>'Costing 100 Lmin Feed Orig'!AF21</f>
        <v>13</v>
      </c>
      <c r="AG21">
        <f>'Costing 100 Lmin Feed Orig'!AG21</f>
        <v>1.6481650483119699E-3</v>
      </c>
      <c r="AH21">
        <f>'Costing 100 Lmin Feed Orig'!AH21</f>
        <v>1.6664622263884801E-3</v>
      </c>
      <c r="AI21">
        <f>'Costing 100 Lmin Feed Orig'!AI21</f>
        <v>1.0926630870116399E-5</v>
      </c>
      <c r="AJ21">
        <f>'Costing 100 Lmin Feed Orig'!AJ21</f>
        <v>0</v>
      </c>
      <c r="AK21">
        <f>'Costing 100 Lmin Feed Orig'!AK21</f>
        <v>0</v>
      </c>
      <c r="AL21">
        <f>'Costing 100 Lmin Feed Orig'!AL21</f>
        <v>0</v>
      </c>
      <c r="AM21">
        <f>'Costing 100 Lmin Feed Orig'!AM21</f>
        <v>1.6111245032140399E-3</v>
      </c>
      <c r="AN21">
        <f>'Costing 100 Lmin Feed Orig'!AN21</f>
        <v>7.3941505194138695E-5</v>
      </c>
      <c r="AO21">
        <f>'Costing 100 Lmin Feed Orig'!AO21</f>
        <v>1.08545212908117E-5</v>
      </c>
      <c r="AP21">
        <f>'Costing 100 Lmin Feed Orig'!AP21</f>
        <v>1.73193595136525E-3</v>
      </c>
      <c r="AQ21">
        <f>'Costing 100 Lmin Feed Orig'!AQ21</f>
        <v>7.4462832095842299E-2</v>
      </c>
      <c r="AR21">
        <f>'Costing 100 Lmin Feed Orig'!AR21</f>
        <v>3.3716883082028299E-6</v>
      </c>
      <c r="AS21">
        <f>'Costing 100 Lmin Feed Orig'!AS21</f>
        <v>1.3839163105419599E-16</v>
      </c>
      <c r="AT21">
        <f>'Costing 100 Lmin Feed Orig'!AT21</f>
        <v>-1.25862861799497E-14</v>
      </c>
      <c r="AU21">
        <f>'Costing 100 Lmin Feed Orig'!AU21</f>
        <v>-9.5423555464117197E-21</v>
      </c>
      <c r="AV21">
        <f>'Costing 100 Lmin Feed Orig'!AV21</f>
        <v>0.19778550516505899</v>
      </c>
      <c r="AW21">
        <f>'Costing 100 Lmin Feed Orig'!AW21</f>
        <v>99.340056599679698</v>
      </c>
      <c r="AX21">
        <f>'Costing 100 Lmin Feed Orig'!AX21</f>
        <v>500</v>
      </c>
      <c r="AY21">
        <f>'Costing 100 Lmin Feed Orig'!AY21</f>
        <v>95</v>
      </c>
      <c r="AZ21">
        <f>'Costing 100 Lmin Feed Orig'!AZ21</f>
        <v>0.92480233795174105</v>
      </c>
      <c r="BA21">
        <f>'Costing 100 Lmin Feed Orig'!BA21</f>
        <v>0.1</v>
      </c>
      <c r="BB21">
        <f>'Costing 100 Lmin Feed Orig'!BB21</f>
        <v>46.757841894427997</v>
      </c>
      <c r="BC21" t="str">
        <f>'Costing 100 Lmin Feed Orig'!BC21</f>
        <v>coeFc</v>
      </c>
      <c r="BD21">
        <f>'Costing 100 Lmin Feed Orig'!BD21</f>
        <v>1</v>
      </c>
      <c r="BE21">
        <f>'Costing 100 Lmin Feed Orig'!BE21</f>
        <v>1.8775014999999999E-2</v>
      </c>
      <c r="BF21">
        <f>'Costing 100 Lmin Feed Orig'!BF21</f>
        <v>0.10492961100000001</v>
      </c>
      <c r="BG21">
        <f>'Costing 100 Lmin Feed Orig'!BG21</f>
        <v>1.814625E-3</v>
      </c>
      <c r="BH21">
        <f>'Costing 100 Lmin Feed Orig'!BH21</f>
        <v>285.1951444</v>
      </c>
      <c r="BI21">
        <f>'Costing 100 Lmin Feed Orig'!BI21</f>
        <v>2169.8944889999998</v>
      </c>
      <c r="BJ21">
        <f>'Costing 100 Lmin Feed Orig'!BJ21</f>
        <v>866.49409060000005</v>
      </c>
      <c r="BK21">
        <f>'Costing 100 Lmin Feed Orig'!BK21</f>
        <v>100</v>
      </c>
      <c r="BL21">
        <f>'Costing 100 Lmin Feed Orig'!BL21</f>
        <v>13.957372480144</v>
      </c>
      <c r="BM21">
        <f>'Costing 100 Lmin Feed Orig'!BM21</f>
        <v>92.480233795174101</v>
      </c>
      <c r="BN21">
        <f>'Costing 100 Lmin Feed Orig'!BN21</f>
        <v>19.778550516505899</v>
      </c>
      <c r="BO21">
        <f t="shared" si="1"/>
        <v>167.488469761728</v>
      </c>
      <c r="BP21">
        <f t="shared" si="2"/>
        <v>593.35651549517695</v>
      </c>
      <c r="BQ21">
        <f t="shared" si="3"/>
        <v>16.7488469761728</v>
      </c>
      <c r="BR21">
        <f t="shared" si="4"/>
        <v>59.335651549517699</v>
      </c>
      <c r="BS21">
        <f>1.2*0.5*BL21*V21/'Oxidant Feed Composition'!$N$22</f>
        <v>8.3744234880863999</v>
      </c>
      <c r="BT21">
        <f>1.2*0.5*BN21*BA21/'Oxidant Feed Composition'!$N$22</f>
        <v>11.867130309903539</v>
      </c>
      <c r="BU21">
        <f t="shared" si="5"/>
        <v>6.9786862400720002</v>
      </c>
      <c r="BV21">
        <f t="shared" si="6"/>
        <v>9.8892752582529493</v>
      </c>
      <c r="BW21">
        <f t="shared" si="7"/>
        <v>85.501547555102107</v>
      </c>
      <c r="BX21">
        <f t="shared" si="0"/>
        <v>44.663591936460804</v>
      </c>
      <c r="BY21">
        <f t="shared" si="8"/>
        <v>212.87521255063621</v>
      </c>
      <c r="BZ21">
        <f t="shared" si="9"/>
        <v>63.291361652818878</v>
      </c>
      <c r="CA21">
        <f t="shared" si="10"/>
        <v>59.335651549517692</v>
      </c>
      <c r="CB21">
        <f>BO21*'Reagent cost'!$G$11*'Reagent cost'!$H$11</f>
        <v>2210.8478008548095</v>
      </c>
      <c r="CC21">
        <f>BP21*'Reagent cost'!$G$11*'Reagent cost'!$H$11</f>
        <v>7832.3060045363363</v>
      </c>
      <c r="CD21">
        <f>BQ21*'Reagent cost'!$C$18/1000*'Reagent cost'!$H$18</f>
        <v>2671.1136977461792</v>
      </c>
      <c r="CE21">
        <f>BR21*'Ligand cost'!$B$56*'Ligand cost'!$J$56</f>
        <v>60411.272335041176</v>
      </c>
      <c r="CF21">
        <f t="shared" si="11"/>
        <v>10</v>
      </c>
      <c r="CG21">
        <f t="shared" si="12"/>
        <v>2.7914744960288003</v>
      </c>
      <c r="CH21">
        <f t="shared" si="13"/>
        <v>3.9557101033011799</v>
      </c>
      <c r="CI21">
        <f>7963.6*(BX21/1000)^0.6*1.7*('CAPEX+OPEX'!$G$116/'CAPEX+OPEX'!$G$115)</f>
        <v>2472.9373618126128</v>
      </c>
      <c r="CJ21">
        <f>7963.6*(BY21/1000)^0.6*1.7*('CAPEX+OPEX'!$G$116/'CAPEX+OPEX'!$G$115)</f>
        <v>6311.2587327211604</v>
      </c>
      <c r="CK21">
        <f>7963.6*(BZ21/1000)^0.6*1.7*('CAPEX+OPEX'!$G$116/'CAPEX+OPEX'!$G$115)</f>
        <v>3048.2290060628816</v>
      </c>
      <c r="CL21">
        <f>7963.6*(CA21/1000)^0.6*1.7*('CAPEX+OPEX'!$G$116/'CAPEX+OPEX'!$G$115)</f>
        <v>2932.4482535519846</v>
      </c>
      <c r="CM21">
        <f>'Costing 100 Lmin Feed Orig'!DE21</f>
        <v>39625.826528698344</v>
      </c>
      <c r="CN21">
        <f>'Costing 100 Lmin Feed Orig'!DF21</f>
        <v>4586243.4239371875</v>
      </c>
      <c r="CO21">
        <f>'Costing 100 Lmin Feed Orig'!DG21</f>
        <v>11794834.586807497</v>
      </c>
      <c r="CP21">
        <f>'Costing 100 Lmin Feed Orig'!DH21</f>
        <v>2275209.1661185985</v>
      </c>
      <c r="CQ21">
        <f>'Costing 100 Lmin Feed Orig'!DI21</f>
        <v>14083914.336508472</v>
      </c>
      <c r="CR21">
        <f>'Costing 100 Lmin Feed Orig'!DJ21</f>
        <v>1662824.8986326549</v>
      </c>
      <c r="CS21">
        <f>CN21*(BK21/10000)^0.72*((A21+1)/3)^0.6*('CAPEX+OPEX'!$G$116/'CAPEX+OPEX'!$G$114)</f>
        <v>528015.95740622084</v>
      </c>
      <c r="CT21">
        <f>CO21*(BK21/10000)^0.72*((A21+1)/3)^0.6*('CAPEX+OPEX'!$G$116/'CAPEX+OPEX'!$G$114)</f>
        <v>1357943.8117688675</v>
      </c>
      <c r="CU21">
        <f>CP21*(BK21/10000)^0.72*((A21+1)/3)^0.6*('CAPEX+OPEX'!$G$116/'CAPEX+OPEX'!$G$114)</f>
        <v>261945.7004565605</v>
      </c>
      <c r="CV21">
        <f>CQ21*(BK21/10000)^0.72*((A21+1)/3)^0.6*('CAPEX+OPEX'!$G$116/'CAPEX+OPEX'!$G$114)</f>
        <v>1621486.4378120217</v>
      </c>
      <c r="CW21">
        <f>CR21*(BK21/10000)^0.72*((A21+1)/3)^0.6*('CAPEX+OPEX'!$G$116/'CAPEX+OPEX'!$G$114)</f>
        <v>191441.6658016555</v>
      </c>
      <c r="CX21">
        <f t="shared" si="14"/>
        <v>3960833.5732453261</v>
      </c>
      <c r="CY21">
        <f>CN21*(BM21/10000)^0.72*((AF21+1)/3)^0.6*('CAPEX+OPEX'!$G$116/'CAPEX+OPEX'!$G$114)</f>
        <v>925757.1782572798</v>
      </c>
      <c r="CZ21">
        <f>CO21*(BM21/10000)^0.72*((AF21+1)/3)^0.6*('CAPEX+OPEX'!$G$116/'CAPEX+OPEX'!$G$114)</f>
        <v>2380848.93795725</v>
      </c>
      <c r="DA21">
        <f>CP21*(BM21/10000)^0.72*((AF21+1)/3)^0.6*('CAPEX+OPEX'!$G$116/'CAPEX+OPEX'!$G$114)</f>
        <v>459262.8482338271</v>
      </c>
      <c r="DB21">
        <f>CQ21*(BM21/10000)^0.72*((AF21+1)/3)^0.6*('CAPEX+OPEX'!$G$116/'CAPEX+OPEX'!$G$114)</f>
        <v>2842911.6359005328</v>
      </c>
      <c r="DC21">
        <f>CR21*(BM21/10000)^0.72*((AF21+1)/3)^0.6*('CAPEX+OPEX'!$G$116/'CAPEX+OPEX'!$G$114)</f>
        <v>335649.88680269336</v>
      </c>
      <c r="DD21">
        <f t="shared" si="15"/>
        <v>6944430.4871515837</v>
      </c>
      <c r="DE21">
        <f>CX21+DD21+1.15*(SUM(CI21:CL21)+SUM(CB21:CE21))</f>
        <v>11006338.035568086</v>
      </c>
      <c r="DF21">
        <f t="shared" si="16"/>
        <v>733755.86903787241</v>
      </c>
      <c r="DG21">
        <f>(BS21+BT21)*'Oxidant Feed Composition'!$N$25*60*7200</f>
        <v>16301600.137137944</v>
      </c>
      <c r="DH21">
        <f>((CG21+CH21)*'Reagent cost'!$C$17/1000*'Reagent cost'!$H$17+(CG21+CH21)*0.5*'Reagent cost'!$C$16/1000*'Reagent cost'!$H$16)*60*7200</f>
        <v>6496557.4586266438</v>
      </c>
      <c r="DI21">
        <f>CF21*'Reagent cost'!$C$17/1000*'Reagent cost'!$H$17*60*7200</f>
        <v>504921.59999999998</v>
      </c>
      <c r="DJ21">
        <f t="shared" si="17"/>
        <v>100.43153805391147</v>
      </c>
      <c r="DK21">
        <f t="shared" si="18"/>
        <v>1261.6477206557472</v>
      </c>
      <c r="DL21">
        <f t="shared" si="19"/>
        <v>27965329.530027959</v>
      </c>
      <c r="DM21">
        <f>BK21*(B21*(409.81+2)/1000+C21*(248.2+2*22.99)/1000+D21*(315.6+3*22.99)/1000+0.1*58.44/1000)</f>
        <v>0.70639694042110623</v>
      </c>
      <c r="DN21">
        <f>(BS21+BT21)/1000*('Oxidant Feed Composition'!$B$11*'Oxidant Feed Composition'!$O$20+'Oxidant Feed Composition'!$D$11*'Oxidant Feed Composition'!$O$21+'Oxidant Feed Composition'!$F$11*'Oxidant Feed Composition'!$O$27-'Oxidant Feed Composition'!$J$15*18.015)</f>
        <v>2.3639005491835072</v>
      </c>
      <c r="DO21">
        <f>(BU21+BV21)/1000*(0.2*368.34+0.4*58.44)</f>
        <v>1.6369344556434462</v>
      </c>
      <c r="DP21">
        <f>BK21/1000*(B21*195.08+C21*106.42+D21*102.91)</f>
        <v>4.999938342565946E-2</v>
      </c>
      <c r="DQ21">
        <f>SUM(DM21:DO21)-DP21</f>
        <v>4.6572325618223998</v>
      </c>
      <c r="DR21">
        <f>DQ21*60*7200*0.33</f>
        <v>663935.0740134014</v>
      </c>
      <c r="DS21">
        <v>1.2</v>
      </c>
      <c r="DT21">
        <f>BM21/60*(AM21*4+AN21*2+AO21*3)*96485/DV21</f>
        <v>1407.4782094824159</v>
      </c>
      <c r="DU21">
        <f>BN21*BA21*(AP21*4+AQ21*2+AR21*3)*96485/DV21/60</f>
        <v>708.18946229031474</v>
      </c>
      <c r="DV21">
        <v>0.7</v>
      </c>
      <c r="DW21">
        <f>0.499*((BK21/3.78541*15)^(-0.146))*BK21/3.78541*15*300*(1+(A21-2)/9)</f>
        <v>30272.303809866662</v>
      </c>
      <c r="DX21">
        <f>0.248*((BK21/3.78541*15)^(-0.144))*BK21/3.78541*15*300*(1+(A21-2)/3)</f>
        <v>20763.049486147294</v>
      </c>
      <c r="DY21">
        <f>0.105*((BK21/3.78541*15)^(-0.144))*BK21/3.78541*15*300*(1+(A21-2)/3)</f>
        <v>8790.8072421188135</v>
      </c>
      <c r="DZ21">
        <f>0.058*((BK21/3.78541*15)^(-0.151))*BK21/3.78541*15*300*(1+(A21-2)/3)</f>
        <v>4656.7358484871465</v>
      </c>
      <c r="EA21">
        <f>0.056*((BK21/3.78541*15)^(-0.144))*BK21/3.78541*15*300*(1+(A21-2)/3)</f>
        <v>4688.4305291300352</v>
      </c>
      <c r="EB21">
        <f>DS21*DT21/(3.6*10^6)*3600*7200*0.07</f>
        <v>851.24282109496528</v>
      </c>
      <c r="EC21">
        <f>0.499*((BM21/3.78541*15)^(-0.146))*BM21/3.78541*15*300*(1+(AF21-2)/9)</f>
        <v>51485.929848194995</v>
      </c>
      <c r="ED21">
        <f>0.248*((BM21/3.78541*15)^(-0.144))*BM21/3.78541*15*300*(1+(AF21-2)/3)</f>
        <v>54373.469425442076</v>
      </c>
      <c r="EE21">
        <f>0.105*((BM21/3.78541*15)^(-0.144))*BM21/3.78541*15*300*(1+(AF21-2)/3)</f>
        <v>23021.025361578297</v>
      </c>
      <c r="EF21">
        <f>0.058*((BM21/3.78541*15)^(-0.151))*BM21/3.78541*15*300*(1+(AF21-2)/3)</f>
        <v>12201.554582071589</v>
      </c>
      <c r="EG21">
        <f>0.056*((BM21/3.78541*15)^(-0.144))*BM21/3.78541*15*300*(1+(AF21-2)/3)</f>
        <v>12277.880192841762</v>
      </c>
      <c r="EH21">
        <f>DS21*DU21/(3.6*10^6)*3600*7200*0.07</f>
        <v>428.3129867931824</v>
      </c>
      <c r="EI21">
        <f>SUM(DW21:EH21)</f>
        <v>223810.74213376676</v>
      </c>
      <c r="EJ21">
        <f>EI21+DR21+DL21</f>
        <v>28853075.346175127</v>
      </c>
      <c r="EK21">
        <f>EJ21+DF21</f>
        <v>29586831.215213001</v>
      </c>
      <c r="EL21">
        <f>EK21/(BK21*60*7200)</f>
        <v>0.68488035220400467</v>
      </c>
      <c r="EM21">
        <f>EK21/(BM21*(AM21*195.084/1000+AN21*106.42/1000+AO21*102.911/1000)*60*7200)</f>
        <v>2290.7242974182177</v>
      </c>
      <c r="EN21">
        <f>EK21/(BN21*BA21*(AP21*195.084/1000+AQ21*106.42/1000+AR21*102.911/1000)*60*7200)</f>
        <v>4190.886563619677</v>
      </c>
    </row>
    <row r="22" spans="1:144">
      <c r="A22">
        <f>'Costing 100 Lmin Feed Orig'!A22</f>
        <v>5</v>
      </c>
      <c r="B22">
        <f>'Costing 100 Lmin Feed Orig'!B22</f>
        <v>1.54143585092054E-3</v>
      </c>
      <c r="C22">
        <f>'Costing 100 Lmin Feed Orig'!C22</f>
        <v>1.54143585092054E-3</v>
      </c>
      <c r="D22">
        <f>'Costing 100 Lmin Feed Orig'!D22</f>
        <v>3.4254130020456501E-4</v>
      </c>
      <c r="E22">
        <f>'Costing 100 Lmin Feed Orig'!E22</f>
        <v>0</v>
      </c>
      <c r="F22">
        <f>'Costing 100 Lmin Feed Orig'!F22</f>
        <v>0</v>
      </c>
      <c r="G22">
        <f>'Costing 100 Lmin Feed Orig'!G22</f>
        <v>0</v>
      </c>
      <c r="H22">
        <f>'Costing 100 Lmin Feed Orig'!H22</f>
        <v>1.7558377832426001E-5</v>
      </c>
      <c r="I22">
        <f>'Costing 100 Lmin Feed Orig'!I22</f>
        <v>1.05063644964669E-7</v>
      </c>
      <c r="J22">
        <f>'Costing 100 Lmin Feed Orig'!J22</f>
        <v>3.35605387572801E-4</v>
      </c>
      <c r="K22">
        <f>'Costing 100 Lmin Feed Orig'!K22</f>
        <v>0.12557893497872399</v>
      </c>
      <c r="L22">
        <f>'Costing 100 Lmin Feed Orig'!L22</f>
        <v>0.12701721899235199</v>
      </c>
      <c r="M22">
        <f>'Costing 100 Lmin Feed Orig'!M22</f>
        <v>5.7157122982957897E-4</v>
      </c>
      <c r="N22">
        <f>'Costing 100 Lmin Feed Orig'!N22</f>
        <v>-1.88000656708986E-16</v>
      </c>
      <c r="O22">
        <f>'Costing 100 Lmin Feed Orig'!O22</f>
        <v>-6.2354635343986299E-15</v>
      </c>
      <c r="P22">
        <f>'Costing 100 Lmin Feed Orig'!P22</f>
        <v>-1.51703600853245E-18</v>
      </c>
      <c r="Q22">
        <f>'Costing 100 Lmin Feed Orig'!Q22</f>
        <v>0.121348176216534</v>
      </c>
      <c r="R22">
        <f>'Costing 100 Lmin Feed Orig'!R22</f>
        <v>97.975160184298204</v>
      </c>
      <c r="S22">
        <f>'Costing 100 Lmin Feed Orig'!S22</f>
        <v>500</v>
      </c>
      <c r="T22">
        <f>'Costing 100 Lmin Feed Orig'!T22</f>
        <v>95</v>
      </c>
      <c r="U22">
        <f>'Costing 100 Lmin Feed Orig'!U22</f>
        <v>1</v>
      </c>
      <c r="V22">
        <f>'Costing 100 Lmin Feed Orig'!V22</f>
        <v>0.1</v>
      </c>
      <c r="W22">
        <f>'Costing 100 Lmin Feed Orig'!W22</f>
        <v>82.407501388038199</v>
      </c>
      <c r="X22" t="str">
        <f>'Costing 100 Lmin Feed Orig'!X22</f>
        <v>ddFc</v>
      </c>
      <c r="Y22">
        <f>'Costing 100 Lmin Feed Orig'!Y22</f>
        <v>1</v>
      </c>
      <c r="Z22">
        <f>'Costing 100 Lmin Feed Orig'!Z22</f>
        <v>0.28318429382522198</v>
      </c>
      <c r="AA22">
        <f>'Costing 100 Lmin Feed Orig'!AA22</f>
        <v>0.56945642916197003</v>
      </c>
      <c r="AB22">
        <f>'Costing 100 Lmin Feed Orig'!AB22</f>
        <v>3.7698628972227502E-3</v>
      </c>
      <c r="AC22">
        <f>'Costing 100 Lmin Feed Orig'!AC22</f>
        <v>1822.2107908876901</v>
      </c>
      <c r="AD22">
        <f>'Costing 100 Lmin Feed Orig'!AD22</f>
        <v>2662.6059073104898</v>
      </c>
      <c r="AE22">
        <f>'Costing 100 Lmin Feed Orig'!AE22</f>
        <v>2401.5030938442701</v>
      </c>
      <c r="AF22">
        <f>'Costing 100 Lmin Feed Orig'!AF22</f>
        <v>4</v>
      </c>
      <c r="AG22">
        <f>'Costing 100 Lmin Feed Orig'!AG22</f>
        <v>1.64912412966352E-3</v>
      </c>
      <c r="AH22">
        <f>'Costing 100 Lmin Feed Orig'!AH22</f>
        <v>1.66801192221077E-3</v>
      </c>
      <c r="AI22">
        <f>'Costing 100 Lmin Feed Orig'!AI22</f>
        <v>7.5059714998626504E-6</v>
      </c>
      <c r="AJ22">
        <f>'Costing 100 Lmin Feed Orig'!AJ22</f>
        <v>0</v>
      </c>
      <c r="AK22">
        <f>'Costing 100 Lmin Feed Orig'!AK22</f>
        <v>0</v>
      </c>
      <c r="AL22">
        <f>'Costing 100 Lmin Feed Orig'!AL22</f>
        <v>0</v>
      </c>
      <c r="AM22">
        <f>'Costing 100 Lmin Feed Orig'!AM22</f>
        <v>1.6039135383284699E-3</v>
      </c>
      <c r="AN22">
        <f>'Costing 100 Lmin Feed Orig'!AN22</f>
        <v>7.6970500542168304E-5</v>
      </c>
      <c r="AO22">
        <f>'Costing 100 Lmin Feed Orig'!AO22</f>
        <v>7.4460014818516096E-6</v>
      </c>
      <c r="AP22">
        <f>'Costing 100 Lmin Feed Orig'!AP22</f>
        <v>1.9942467256961298E-3</v>
      </c>
      <c r="AQ22">
        <f>'Costing 100 Lmin Feed Orig'!AQ22</f>
        <v>7.0181102522975894E-2</v>
      </c>
      <c r="AR22">
        <f>'Costing 100 Lmin Feed Orig'!AR22</f>
        <v>2.6452874985014601E-6</v>
      </c>
      <c r="AS22">
        <f>'Costing 100 Lmin Feed Orig'!AS22</f>
        <v>2.23616698075135E-19</v>
      </c>
      <c r="AT22">
        <f>'Costing 100 Lmin Feed Orig'!AT22</f>
        <v>8.6736173798840297E-19</v>
      </c>
      <c r="AU22">
        <f>'Costing 100 Lmin Feed Orig'!AU22</f>
        <v>-4.6983858793011897E-22</v>
      </c>
      <c r="AV22">
        <f>'Costing 100 Lmin Feed Orig'!AV22</f>
        <v>0.20948744629576599</v>
      </c>
      <c r="AW22">
        <f>'Costing 100 Lmin Feed Orig'!AW22</f>
        <v>99.201035895058396</v>
      </c>
      <c r="AX22">
        <f>'Costing 100 Lmin Feed Orig'!AX22</f>
        <v>500</v>
      </c>
      <c r="AY22">
        <f>'Costing 100 Lmin Feed Orig'!AY22</f>
        <v>95</v>
      </c>
      <c r="AZ22">
        <f>'Costing 100 Lmin Feed Orig'!AZ22</f>
        <v>0.92405262022284995</v>
      </c>
      <c r="BA22">
        <f>'Costing 100 Lmin Feed Orig'!BA22</f>
        <v>0.1</v>
      </c>
      <c r="BB22">
        <f>'Costing 100 Lmin Feed Orig'!BB22</f>
        <v>44.110166817262098</v>
      </c>
      <c r="BC22" t="str">
        <f>'Costing 100 Lmin Feed Orig'!BC22</f>
        <v>coeFc</v>
      </c>
      <c r="BD22">
        <f>'Costing 100 Lmin Feed Orig'!BD22</f>
        <v>1</v>
      </c>
      <c r="BE22">
        <f>'Costing 100 Lmin Feed Orig'!BE22</f>
        <v>1.8775014999999999E-2</v>
      </c>
      <c r="BF22">
        <f>'Costing 100 Lmin Feed Orig'!BF22</f>
        <v>0.10492961100000001</v>
      </c>
      <c r="BG22">
        <f>'Costing 100 Lmin Feed Orig'!BG22</f>
        <v>1.814625E-3</v>
      </c>
      <c r="BH22">
        <f>'Costing 100 Lmin Feed Orig'!BH22</f>
        <v>285.1951444</v>
      </c>
      <c r="BI22">
        <f>'Costing 100 Lmin Feed Orig'!BI22</f>
        <v>2169.8944889999998</v>
      </c>
      <c r="BJ22">
        <f>'Costing 100 Lmin Feed Orig'!BJ22</f>
        <v>866.49409060000005</v>
      </c>
      <c r="BK22">
        <f>'Costing 100 Lmin Feed Orig'!BK22</f>
        <v>100</v>
      </c>
      <c r="BL22">
        <f>'Costing 100 Lmin Feed Orig'!BL22</f>
        <v>12.134817621653401</v>
      </c>
      <c r="BM22">
        <f>'Costing 100 Lmin Feed Orig'!BM22</f>
        <v>92.405262022285001</v>
      </c>
      <c r="BN22">
        <f>'Costing 100 Lmin Feed Orig'!BN22</f>
        <v>20.948744629576598</v>
      </c>
      <c r="BO22">
        <f t="shared" si="1"/>
        <v>169.88744670314762</v>
      </c>
      <c r="BP22">
        <f t="shared" si="2"/>
        <v>251.3849355549192</v>
      </c>
      <c r="BQ22">
        <f t="shared" si="3"/>
        <v>16.988744670314762</v>
      </c>
      <c r="BR22">
        <f t="shared" si="4"/>
        <v>25.13849355549192</v>
      </c>
      <c r="BS22">
        <f>1.2*0.5*BL22*V22/'Oxidant Feed Composition'!$N$22</f>
        <v>7.2808905729920399</v>
      </c>
      <c r="BT22">
        <f>1.2*0.5*BN22*BA22/'Oxidant Feed Composition'!$N$22</f>
        <v>12.569246777745958</v>
      </c>
      <c r="BU22">
        <f t="shared" si="5"/>
        <v>6.0674088108267004</v>
      </c>
      <c r="BV22">
        <f t="shared" si="6"/>
        <v>10.474372314788299</v>
      </c>
      <c r="BW22">
        <f t="shared" si="7"/>
        <v>86.337853211458295</v>
      </c>
      <c r="BX22">
        <f t="shared" si="0"/>
        <v>38.831416389290879</v>
      </c>
      <c r="BY22">
        <f t="shared" si="8"/>
        <v>209.0801592878768</v>
      </c>
      <c r="BZ22">
        <f t="shared" si="9"/>
        <v>67.035982814645109</v>
      </c>
      <c r="CA22">
        <f t="shared" si="10"/>
        <v>62.846233888729799</v>
      </c>
      <c r="CB22">
        <f>BO22*'Reagent cost'!$G$11*'Reagent cost'!$H$11</f>
        <v>2242.5142964815486</v>
      </c>
      <c r="CC22">
        <f>BP22*'Reagent cost'!$G$11*'Reagent cost'!$H$11</f>
        <v>3318.2811493249337</v>
      </c>
      <c r="CD22">
        <f>BQ22*'Reagent cost'!$C$18/1000*'Reagent cost'!$H$18</f>
        <v>2709.3726906065185</v>
      </c>
      <c r="CE22">
        <f>BR22*'Ligand cost'!$B$56*'Ligand cost'!$J$56</f>
        <v>25594.197427934774</v>
      </c>
      <c r="CF22">
        <f t="shared" si="11"/>
        <v>10</v>
      </c>
      <c r="CG22">
        <f t="shared" si="12"/>
        <v>2.4269635243306804</v>
      </c>
      <c r="CH22">
        <f t="shared" si="13"/>
        <v>4.1897489259153202</v>
      </c>
      <c r="CI22">
        <f>7963.6*(BX22/1000)^0.6*1.7*('CAPEX+OPEX'!$G$116/'CAPEX+OPEX'!$G$115)</f>
        <v>2273.7926954959794</v>
      </c>
      <c r="CJ22">
        <f>7963.6*(BY22/1000)^0.6*1.7*('CAPEX+OPEX'!$G$116/'CAPEX+OPEX'!$G$115)</f>
        <v>6243.5072626595684</v>
      </c>
      <c r="CK22">
        <f>7963.6*(BZ22/1000)^0.6*1.7*('CAPEX+OPEX'!$G$116/'CAPEX+OPEX'!$G$115)</f>
        <v>3155.191450244818</v>
      </c>
      <c r="CL22">
        <f>7963.6*(CA22/1000)^0.6*1.7*('CAPEX+OPEX'!$G$116/'CAPEX+OPEX'!$G$115)</f>
        <v>3035.3479477721703</v>
      </c>
      <c r="CM22">
        <f>'Costing 100 Lmin Feed Orig'!DE22</f>
        <v>39625.826528698344</v>
      </c>
      <c r="CN22">
        <f>'Costing 100 Lmin Feed Orig'!DF22</f>
        <v>4586243.4239371875</v>
      </c>
      <c r="CO22">
        <f>'Costing 100 Lmin Feed Orig'!DG22</f>
        <v>11794834.586807497</v>
      </c>
      <c r="CP22">
        <f>'Costing 100 Lmin Feed Orig'!DH22</f>
        <v>2275209.1661185985</v>
      </c>
      <c r="CQ22">
        <f>'Costing 100 Lmin Feed Orig'!DI22</f>
        <v>14083914.336508472</v>
      </c>
      <c r="CR22">
        <f>'Costing 100 Lmin Feed Orig'!DJ22</f>
        <v>1662824.8986326549</v>
      </c>
      <c r="CS22">
        <f>CN22*(BK22/10000)^0.72*((A22+1)/3)^0.6*('CAPEX+OPEX'!$G$116/'CAPEX+OPEX'!$G$114)</f>
        <v>589054.93036564998</v>
      </c>
      <c r="CT22">
        <f>CO22*(BK22/10000)^0.72*((A22+1)/3)^0.6*('CAPEX+OPEX'!$G$116/'CAPEX+OPEX'!$G$114)</f>
        <v>1514922.9606835202</v>
      </c>
      <c r="CU22">
        <f>CP22*(BK22/10000)^0.72*((A22+1)/3)^0.6*('CAPEX+OPEX'!$G$116/'CAPEX+OPEX'!$G$114)</f>
        <v>292226.78628879401</v>
      </c>
      <c r="CV22">
        <f>CQ22*(BK22/10000)^0.72*((A22+1)/3)^0.6*('CAPEX+OPEX'!$G$116/'CAPEX+OPEX'!$G$114)</f>
        <v>1808931.2781495745</v>
      </c>
      <c r="CW22">
        <f>CR22*(BK22/10000)^0.72*((A22+1)/3)^0.6*('CAPEX+OPEX'!$G$116/'CAPEX+OPEX'!$G$114)</f>
        <v>213572.44139332071</v>
      </c>
      <c r="CX22">
        <f t="shared" si="14"/>
        <v>4418708.3968808586</v>
      </c>
      <c r="CY22">
        <f>CN22*(BM22/10000)^0.72*((AF22+1)/3)^0.6*('CAPEX+OPEX'!$G$116/'CAPEX+OPEX'!$G$114)</f>
        <v>498825.5312936515</v>
      </c>
      <c r="CZ22">
        <f>CO22*(BM22/10000)^0.72*((AF22+1)/3)^0.6*('CAPEX+OPEX'!$G$116/'CAPEX+OPEX'!$G$114)</f>
        <v>1282872.2955647383</v>
      </c>
      <c r="DA22">
        <f>CP22*(BM22/10000)^0.72*((AF22+1)/3)^0.6*('CAPEX+OPEX'!$G$116/'CAPEX+OPEX'!$G$114)</f>
        <v>247464.49679702814</v>
      </c>
      <c r="DB22">
        <f>CQ22*(BM22/10000)^0.72*((AF22+1)/3)^0.6*('CAPEX+OPEX'!$G$116/'CAPEX+OPEX'!$G$114)</f>
        <v>1531845.4347484135</v>
      </c>
      <c r="DC22">
        <f>CR22*(BM22/10000)^0.72*((AF22+1)/3)^0.6*('CAPEX+OPEX'!$G$116/'CAPEX+OPEX'!$G$114)</f>
        <v>180858.15270500266</v>
      </c>
      <c r="DD22">
        <f t="shared" si="15"/>
        <v>3741865.9111088342</v>
      </c>
      <c r="DE22">
        <f>CX22+DD22+1.15*(SUM(CI22:CL22)+SUM(CB22:CE22))</f>
        <v>8216432.3436482903</v>
      </c>
      <c r="DF22">
        <f t="shared" si="16"/>
        <v>547762.15624321939</v>
      </c>
      <c r="DG22">
        <f>(BS22+BT22)*'Oxidant Feed Composition'!$N$25*60*7200</f>
        <v>15986371.648560457</v>
      </c>
      <c r="DH22">
        <f>((CG22+CH22)*'Reagent cost'!$C$17/1000*'Reagent cost'!$H$17+(CG22+CH22)*0.5*'Reagent cost'!$C$16/1000*'Reagent cost'!$H$16)*60*7200</f>
        <v>6370931.7549281353</v>
      </c>
      <c r="DI22">
        <f>CF22*'Reagent cost'!$C$17/1000*'Reagent cost'!$H$17*60*7200</f>
        <v>504921.59999999998</v>
      </c>
      <c r="DJ22">
        <f t="shared" si="17"/>
        <v>55.607954458064825</v>
      </c>
      <c r="DK22">
        <f t="shared" si="18"/>
        <v>566.07140237082581</v>
      </c>
      <c r="DL22">
        <f t="shared" si="19"/>
        <v>27435416.019414503</v>
      </c>
      <c r="DM22">
        <f>BK22*(B22*(409.81+2)/1000+C22*(248.2+2*22.99)/1000+D22*(315.6+3*22.99)/1000+0.1*58.44/1000)</f>
        <v>0.70639694042110623</v>
      </c>
      <c r="DN22">
        <f>(BS22+BT22)/1000*('Oxidant Feed Composition'!$B$11*'Oxidant Feed Composition'!$O$20+'Oxidant Feed Composition'!$D$11*'Oxidant Feed Composition'!$O$21+'Oxidant Feed Composition'!$F$11*'Oxidant Feed Composition'!$O$27-'Oxidant Feed Composition'!$J$15*18.015)</f>
        <v>2.3181891594427553</v>
      </c>
      <c r="DO22">
        <f>(BU22+BV22)/1000*(0.2*368.34+0.4*58.44)</f>
        <v>1.6052806075541819</v>
      </c>
      <c r="DP22">
        <f>BK22/1000*(B22*195.08+C22*106.42+D22*102.91)</f>
        <v>4.999938342565946E-2</v>
      </c>
      <c r="DQ22">
        <f>SUM(DM22:DO22)-DP22</f>
        <v>4.5798673239923833</v>
      </c>
      <c r="DR22">
        <f>DQ22*60*7200*0.33</f>
        <v>652905.88570835418</v>
      </c>
      <c r="DS22">
        <v>1.2</v>
      </c>
      <c r="DT22">
        <f>BM22/60*(AM22*4+AN22*2+AO22*3)*96485/DV22</f>
        <v>1399.3295607203786</v>
      </c>
      <c r="DU22">
        <f>BN22*BA22*(AP22*4+AQ22*2+AR22*3)*96485/DV22/60</f>
        <v>713.9168882708085</v>
      </c>
      <c r="DV22">
        <v>0.7</v>
      </c>
      <c r="DW22">
        <f>0.499*((BK22/3.78541*15)^(-0.146))*BK22/3.78541*15*300*(1+(A22-2)/9)</f>
        <v>33024.331428945443</v>
      </c>
      <c r="DX22">
        <f>0.248*((BK22/3.78541*15)^(-0.144))*BK22/3.78541*15*300*(1+(A22-2)/3)</f>
        <v>24915.659383376755</v>
      </c>
      <c r="DY22">
        <f>0.105*((BK22/3.78541*15)^(-0.144))*BK22/3.78541*15*300*(1+(A22-2)/3)</f>
        <v>10548.968690542577</v>
      </c>
      <c r="DZ22">
        <f>0.058*((BK22/3.78541*15)^(-0.151))*BK22/3.78541*15*300*(1+(A22-2)/3)</f>
        <v>5588.0830181845758</v>
      </c>
      <c r="EA22">
        <f>0.056*((BK22/3.78541*15)^(-0.144))*BK22/3.78541*15*300*(1+(A22-2)/3)</f>
        <v>5626.1166349560426</v>
      </c>
      <c r="EB22">
        <f>DS22*DT22/(3.6*10^6)*3600*7200*0.07</f>
        <v>846.31451832368498</v>
      </c>
      <c r="EC22">
        <f>0.499*((BM22/3.78541*15)^(-0.146))*BM22/3.78541*15*300*(1+(AF22-2)/9)</f>
        <v>28297.65565608922</v>
      </c>
      <c r="ED22">
        <f>0.248*((BM22/3.78541*15)^(-0.144))*BM22/3.78541*15*300*(1+(AF22-2)/3)</f>
        <v>19405.619727063386</v>
      </c>
      <c r="EE22">
        <f>0.105*((BM22/3.78541*15)^(-0.144))*BM22/3.78541*15*300*(1+(AF22-2)/3)</f>
        <v>8216.0889973453832</v>
      </c>
      <c r="EF22">
        <f>0.058*((BM22/3.78541*15)^(-0.151))*BM22/3.78541*15*300*(1+(AF22-2)/3)</f>
        <v>4354.6986243488573</v>
      </c>
      <c r="EG22">
        <f>0.056*((BM22/3.78541*15)^(-0.144))*BM22/3.78541*15*300*(1+(AF22-2)/3)</f>
        <v>4381.9141319175396</v>
      </c>
      <c r="EH22">
        <f>DS22*DU22/(3.6*10^6)*3600*7200*0.07</f>
        <v>431.77693402618496</v>
      </c>
      <c r="EI22">
        <f>SUM(DW22:EH22)</f>
        <v>145637.22774511963</v>
      </c>
      <c r="EJ22">
        <f>EI22+DR22+DL22</f>
        <v>28233959.132867977</v>
      </c>
      <c r="EK22">
        <f>EJ22+DF22</f>
        <v>28781721.289111197</v>
      </c>
      <c r="EL22">
        <f>EK22/(BK22*60*7200)</f>
        <v>0.66624354835905553</v>
      </c>
      <c r="EM22">
        <f>EK22/(BM22*(AM22*195.084/1000+AN22*106.42/1000+AO22*102.911/1000)*60*7200)</f>
        <v>2240.1422036348899</v>
      </c>
      <c r="EN22">
        <f>EK22/(BN22*BA22*(AP22*195.084/1000+AQ22*106.42/1000+AR22*102.911/1000)*60*7200)</f>
        <v>4047.2823077362445</v>
      </c>
    </row>
    <row r="23" spans="1:144">
      <c r="A23">
        <f>'Costing 100 Lmin Feed Orig'!A23</f>
        <v>5</v>
      </c>
      <c r="B23">
        <f>'Costing 100 Lmin Feed Orig'!B23</f>
        <v>1.54143585092054E-3</v>
      </c>
      <c r="C23">
        <f>'Costing 100 Lmin Feed Orig'!C23</f>
        <v>1.54143585092054E-3</v>
      </c>
      <c r="D23">
        <f>'Costing 100 Lmin Feed Orig'!D23</f>
        <v>3.4254130020456501E-4</v>
      </c>
      <c r="E23">
        <f>'Costing 100 Lmin Feed Orig'!E23</f>
        <v>0</v>
      </c>
      <c r="F23">
        <f>'Costing 100 Lmin Feed Orig'!F23</f>
        <v>0</v>
      </c>
      <c r="G23">
        <f>'Costing 100 Lmin Feed Orig'!G23</f>
        <v>0</v>
      </c>
      <c r="H23">
        <f>'Costing 100 Lmin Feed Orig'!H23</f>
        <v>1.7558377832426001E-5</v>
      </c>
      <c r="I23">
        <f>'Costing 100 Lmin Feed Orig'!I23</f>
        <v>1.05063644964669E-7</v>
      </c>
      <c r="J23">
        <f>'Costing 100 Lmin Feed Orig'!J23</f>
        <v>3.35605387572801E-4</v>
      </c>
      <c r="K23">
        <f>'Costing 100 Lmin Feed Orig'!K23</f>
        <v>0.12557893497872399</v>
      </c>
      <c r="L23">
        <f>'Costing 100 Lmin Feed Orig'!L23</f>
        <v>0.12701721899235199</v>
      </c>
      <c r="M23">
        <f>'Costing 100 Lmin Feed Orig'!M23</f>
        <v>5.7157122982957897E-4</v>
      </c>
      <c r="N23">
        <f>'Costing 100 Lmin Feed Orig'!N23</f>
        <v>-1.88000656708986E-16</v>
      </c>
      <c r="O23">
        <f>'Costing 100 Lmin Feed Orig'!O23</f>
        <v>-6.2354635343986299E-15</v>
      </c>
      <c r="P23">
        <f>'Costing 100 Lmin Feed Orig'!P23</f>
        <v>-1.51703600853245E-18</v>
      </c>
      <c r="Q23">
        <f>'Costing 100 Lmin Feed Orig'!Q23</f>
        <v>0.121348176216534</v>
      </c>
      <c r="R23">
        <f>'Costing 100 Lmin Feed Orig'!R23</f>
        <v>97.975160184298204</v>
      </c>
      <c r="S23">
        <f>'Costing 100 Lmin Feed Orig'!S23</f>
        <v>500</v>
      </c>
      <c r="T23">
        <f>'Costing 100 Lmin Feed Orig'!T23</f>
        <v>95</v>
      </c>
      <c r="U23">
        <f>'Costing 100 Lmin Feed Orig'!U23</f>
        <v>1</v>
      </c>
      <c r="V23">
        <f>'Costing 100 Lmin Feed Orig'!V23</f>
        <v>0.1</v>
      </c>
      <c r="W23">
        <f>'Costing 100 Lmin Feed Orig'!W23</f>
        <v>82.407501388038199</v>
      </c>
      <c r="X23" t="str">
        <f>'Costing 100 Lmin Feed Orig'!X23</f>
        <v>ddFc</v>
      </c>
      <c r="Y23">
        <f>'Costing 100 Lmin Feed Orig'!Y23</f>
        <v>1</v>
      </c>
      <c r="Z23">
        <f>'Costing 100 Lmin Feed Orig'!Z23</f>
        <v>0.28318429382522198</v>
      </c>
      <c r="AA23">
        <f>'Costing 100 Lmin Feed Orig'!AA23</f>
        <v>0.56945642916197003</v>
      </c>
      <c r="AB23">
        <f>'Costing 100 Lmin Feed Orig'!AB23</f>
        <v>3.7698628972227502E-3</v>
      </c>
      <c r="AC23">
        <f>'Costing 100 Lmin Feed Orig'!AC23</f>
        <v>1822.2107908876901</v>
      </c>
      <c r="AD23">
        <f>'Costing 100 Lmin Feed Orig'!AD23</f>
        <v>2662.6059073104898</v>
      </c>
      <c r="AE23">
        <f>'Costing 100 Lmin Feed Orig'!AE23</f>
        <v>2401.5030938442701</v>
      </c>
      <c r="AF23">
        <f>'Costing 100 Lmin Feed Orig'!AF23</f>
        <v>5</v>
      </c>
      <c r="AG23">
        <f>'Costing 100 Lmin Feed Orig'!AG23</f>
        <v>1.64912412966352E-3</v>
      </c>
      <c r="AH23">
        <f>'Costing 100 Lmin Feed Orig'!AH23</f>
        <v>1.66801192221077E-3</v>
      </c>
      <c r="AI23">
        <f>'Costing 100 Lmin Feed Orig'!AI23</f>
        <v>7.5059714998626504E-6</v>
      </c>
      <c r="AJ23">
        <f>'Costing 100 Lmin Feed Orig'!AJ23</f>
        <v>0</v>
      </c>
      <c r="AK23">
        <f>'Costing 100 Lmin Feed Orig'!AK23</f>
        <v>0</v>
      </c>
      <c r="AL23">
        <f>'Costing 100 Lmin Feed Orig'!AL23</f>
        <v>0</v>
      </c>
      <c r="AM23">
        <f>'Costing 100 Lmin Feed Orig'!AM23</f>
        <v>1.6096879788713E-3</v>
      </c>
      <c r="AN23">
        <f>'Costing 100 Lmin Feed Orig'!AN23</f>
        <v>7.7267020721356303E-5</v>
      </c>
      <c r="AO23">
        <f>'Costing 100 Lmin Feed Orig'!AO23</f>
        <v>7.45339932047821E-6</v>
      </c>
      <c r="AP23">
        <f>'Costing 100 Lmin Feed Orig'!AP23</f>
        <v>1.8140228936544E-3</v>
      </c>
      <c r="AQ23">
        <f>'Costing 100 Lmin Feed Orig'!AQ23</f>
        <v>7.3172650253414503E-2</v>
      </c>
      <c r="AR23">
        <f>'Costing 100 Lmin Feed Orig'!AR23</f>
        <v>2.4182668707984701E-6</v>
      </c>
      <c r="AS23">
        <f>'Costing 100 Lmin Feed Orig'!AS23</f>
        <v>-8.2860151032204602E-17</v>
      </c>
      <c r="AT23">
        <f>'Costing 100 Lmin Feed Orig'!AT23</f>
        <v>-2.00577401909818E-16</v>
      </c>
      <c r="AU23">
        <f>'Costing 100 Lmin Feed Orig'!AU23</f>
        <v>-8.2771000814506101E-20</v>
      </c>
      <c r="AV23">
        <f>'Costing 100 Lmin Feed Orig'!AV23</f>
        <v>0.200885438649126</v>
      </c>
      <c r="AW23">
        <f>'Costing 100 Lmin Feed Orig'!AW23</f>
        <v>99.299595270440307</v>
      </c>
      <c r="AX23">
        <f>'Costing 100 Lmin Feed Orig'!AX23</f>
        <v>500</v>
      </c>
      <c r="AY23">
        <f>'Costing 100 Lmin Feed Orig'!AY23</f>
        <v>95</v>
      </c>
      <c r="AZ23">
        <f>'Costing 100 Lmin Feed Orig'!AZ23</f>
        <v>0.92405262022284995</v>
      </c>
      <c r="BA23">
        <f>'Costing 100 Lmin Feed Orig'!BA23</f>
        <v>0.1</v>
      </c>
      <c r="BB23">
        <f>'Costing 100 Lmin Feed Orig'!BB23</f>
        <v>45.998984617139399</v>
      </c>
      <c r="BC23" t="str">
        <f>'Costing 100 Lmin Feed Orig'!BC23</f>
        <v>coeFc</v>
      </c>
      <c r="BD23">
        <f>'Costing 100 Lmin Feed Orig'!BD23</f>
        <v>1</v>
      </c>
      <c r="BE23">
        <f>'Costing 100 Lmin Feed Orig'!BE23</f>
        <v>1.8775014999999999E-2</v>
      </c>
      <c r="BF23">
        <f>'Costing 100 Lmin Feed Orig'!BF23</f>
        <v>0.10492961100000001</v>
      </c>
      <c r="BG23">
        <f>'Costing 100 Lmin Feed Orig'!BG23</f>
        <v>1.814625E-3</v>
      </c>
      <c r="BH23">
        <f>'Costing 100 Lmin Feed Orig'!BH23</f>
        <v>285.1951444</v>
      </c>
      <c r="BI23">
        <f>'Costing 100 Lmin Feed Orig'!BI23</f>
        <v>2169.8944889999998</v>
      </c>
      <c r="BJ23">
        <f>'Costing 100 Lmin Feed Orig'!BJ23</f>
        <v>866.49409060000005</v>
      </c>
      <c r="BK23">
        <f>'Costing 100 Lmin Feed Orig'!BK23</f>
        <v>100</v>
      </c>
      <c r="BL23">
        <f>'Costing 100 Lmin Feed Orig'!BL23</f>
        <v>12.134817621653401</v>
      </c>
      <c r="BM23">
        <f>'Costing 100 Lmin Feed Orig'!BM23</f>
        <v>92.405262022285001</v>
      </c>
      <c r="BN23">
        <f>'Costing 100 Lmin Feed Orig'!BN23</f>
        <v>20.088543864912602</v>
      </c>
      <c r="BO23">
        <f t="shared" si="1"/>
        <v>169.88744670314762</v>
      </c>
      <c r="BP23">
        <f t="shared" si="2"/>
        <v>281.23961410877644</v>
      </c>
      <c r="BQ23">
        <f t="shared" si="3"/>
        <v>16.988744670314762</v>
      </c>
      <c r="BR23">
        <f t="shared" si="4"/>
        <v>28.123961410877644</v>
      </c>
      <c r="BS23">
        <f>1.2*0.5*BL23*V23/'Oxidant Feed Composition'!$N$22</f>
        <v>7.2808905729920399</v>
      </c>
      <c r="BT23">
        <f>1.2*0.5*BN23*BA23/'Oxidant Feed Composition'!$N$22</f>
        <v>12.053126318947562</v>
      </c>
      <c r="BU23">
        <f t="shared" si="5"/>
        <v>6.0674088108267004</v>
      </c>
      <c r="BV23">
        <f t="shared" si="6"/>
        <v>10.044271932456301</v>
      </c>
      <c r="BW23">
        <f t="shared" si="7"/>
        <v>86.337853211458295</v>
      </c>
      <c r="BX23">
        <f t="shared" si="0"/>
        <v>38.831416389290879</v>
      </c>
      <c r="BY23">
        <f t="shared" si="8"/>
        <v>209.0801592878768</v>
      </c>
      <c r="BZ23">
        <f t="shared" si="9"/>
        <v>64.283340367720328</v>
      </c>
      <c r="CA23">
        <f t="shared" si="10"/>
        <v>60.265631594737805</v>
      </c>
      <c r="CB23">
        <f>BO23*'Reagent cost'!$G$11*'Reagent cost'!$H$11</f>
        <v>2242.5142964815486</v>
      </c>
      <c r="CC23">
        <f>BP23*'Reagent cost'!$G$11*'Reagent cost'!$H$11</f>
        <v>3712.3629062358491</v>
      </c>
      <c r="CD23">
        <f>BQ23*'Reagent cost'!$C$18/1000*'Reagent cost'!$H$18</f>
        <v>2709.3726906065185</v>
      </c>
      <c r="CE23">
        <f>BR23*'Ligand cost'!$B$56*'Ligand cost'!$J$56</f>
        <v>28633.785044305765</v>
      </c>
      <c r="CF23">
        <f t="shared" si="11"/>
        <v>10</v>
      </c>
      <c r="CG23">
        <f t="shared" si="12"/>
        <v>2.4269635243306804</v>
      </c>
      <c r="CH23">
        <f t="shared" si="13"/>
        <v>4.0177087729825205</v>
      </c>
      <c r="CI23">
        <f>7963.6*(BX23/1000)^0.6*1.7*('CAPEX+OPEX'!$G$116/'CAPEX+OPEX'!$G$115)</f>
        <v>2273.7926954959794</v>
      </c>
      <c r="CJ23">
        <f>7963.6*(BY23/1000)^0.6*1.7*('CAPEX+OPEX'!$G$116/'CAPEX+OPEX'!$G$115)</f>
        <v>6243.5072626595684</v>
      </c>
      <c r="CK23">
        <f>7963.6*(BZ23/1000)^0.6*1.7*('CAPEX+OPEX'!$G$116/'CAPEX+OPEX'!$G$115)</f>
        <v>3076.8051191417244</v>
      </c>
      <c r="CL23">
        <f>7963.6*(CA23/1000)^0.6*1.7*('CAPEX+OPEX'!$G$116/'CAPEX+OPEX'!$G$115)</f>
        <v>2959.9389613448329</v>
      </c>
      <c r="CM23">
        <f>'Costing 100 Lmin Feed Orig'!DE23</f>
        <v>39625.826528698344</v>
      </c>
      <c r="CN23">
        <f>'Costing 100 Lmin Feed Orig'!DF23</f>
        <v>4586243.4239371875</v>
      </c>
      <c r="CO23">
        <f>'Costing 100 Lmin Feed Orig'!DG23</f>
        <v>11794834.586807497</v>
      </c>
      <c r="CP23">
        <f>'Costing 100 Lmin Feed Orig'!DH23</f>
        <v>2275209.1661185985</v>
      </c>
      <c r="CQ23">
        <f>'Costing 100 Lmin Feed Orig'!DI23</f>
        <v>14083914.336508472</v>
      </c>
      <c r="CR23">
        <f>'Costing 100 Lmin Feed Orig'!DJ23</f>
        <v>1662824.8986326549</v>
      </c>
      <c r="CS23">
        <f>CN23*(BK23/10000)^0.72*((A23+1)/3)^0.6*('CAPEX+OPEX'!$G$116/'CAPEX+OPEX'!$G$114)</f>
        <v>589054.93036564998</v>
      </c>
      <c r="CT23">
        <f>CO23*(BK23/10000)^0.72*((A23+1)/3)^0.6*('CAPEX+OPEX'!$G$116/'CAPEX+OPEX'!$G$114)</f>
        <v>1514922.9606835202</v>
      </c>
      <c r="CU23">
        <f>CP23*(BK23/10000)^0.72*((A23+1)/3)^0.6*('CAPEX+OPEX'!$G$116/'CAPEX+OPEX'!$G$114)</f>
        <v>292226.78628879401</v>
      </c>
      <c r="CV23">
        <f>CQ23*(BK23/10000)^0.72*((A23+1)/3)^0.6*('CAPEX+OPEX'!$G$116/'CAPEX+OPEX'!$G$114)</f>
        <v>1808931.2781495745</v>
      </c>
      <c r="CW23">
        <f>CR23*(BK23/10000)^0.72*((A23+1)/3)^0.6*('CAPEX+OPEX'!$G$116/'CAPEX+OPEX'!$G$114)</f>
        <v>213572.44139332071</v>
      </c>
      <c r="CX23">
        <f t="shared" si="14"/>
        <v>4418708.3968808586</v>
      </c>
      <c r="CY23">
        <f>CN23*(BM23/10000)^0.72*((AF23+1)/3)^0.6*('CAPEX+OPEX'!$G$116/'CAPEX+OPEX'!$G$114)</f>
        <v>556490.07284590905</v>
      </c>
      <c r="CZ23">
        <f>CO23*(BM23/10000)^0.72*((AF23+1)/3)^0.6*('CAPEX+OPEX'!$G$116/'CAPEX+OPEX'!$G$114)</f>
        <v>1431173.130531993</v>
      </c>
      <c r="DA23">
        <f>CP23*(BM23/10000)^0.72*((AF23+1)/3)^0.6*('CAPEX+OPEX'!$G$116/'CAPEX+OPEX'!$G$114)</f>
        <v>276071.5464828235</v>
      </c>
      <c r="DB23">
        <f>CQ23*(BM23/10000)^0.72*((AF23+1)/3)^0.6*('CAPEX+OPEX'!$G$116/'CAPEX+OPEX'!$G$114)</f>
        <v>1708927.7193993276</v>
      </c>
      <c r="DC23">
        <f>CR23*(BM23/10000)^0.72*((AF23+1)/3)^0.6*('CAPEX+OPEX'!$G$116/'CAPEX+OPEX'!$G$114)</f>
        <v>201765.46760260907</v>
      </c>
      <c r="DD23">
        <f t="shared" si="15"/>
        <v>4174427.936862662</v>
      </c>
      <c r="DE23">
        <f>CX23+DD23+1.15*(SUM(CI23:CL23)+SUM(CB23:CE23))</f>
        <v>8652766.2245662324</v>
      </c>
      <c r="DF23">
        <f t="shared" si="16"/>
        <v>576851.08163774887</v>
      </c>
      <c r="DG23">
        <f>(BS23+BT23)*'Oxidant Feed Composition'!$N$25*60*7200</f>
        <v>15570712.385151383</v>
      </c>
      <c r="DH23">
        <f>((CG23+CH23)*'Reagent cost'!$C$17/1000*'Reagent cost'!$H$17+(CG23+CH23)*0.5*'Reagent cost'!$C$16/1000*'Reagent cost'!$H$16)*60*7200</f>
        <v>6205282.1091736909</v>
      </c>
      <c r="DI23">
        <f>CF23*'Reagent cost'!$C$17/1000*'Reagent cost'!$H$17*60*7200</f>
        <v>504921.59999999998</v>
      </c>
      <c r="DJ23">
        <f t="shared" si="17"/>
        <v>59.548772027173982</v>
      </c>
      <c r="DK23">
        <f t="shared" si="18"/>
        <v>626.86315469824569</v>
      </c>
      <c r="DL23">
        <f t="shared" si="19"/>
        <v>26737923.007502157</v>
      </c>
      <c r="DM23">
        <f>BK23*(B23*(409.81+2)/1000+C23*(248.2+2*22.99)/1000+D23*(315.6+3*22.99)/1000+0.1*58.44/1000)</f>
        <v>0.70639694042110623</v>
      </c>
      <c r="DN23">
        <f>(BS23+BT23)/1000*('Oxidant Feed Composition'!$B$11*'Oxidant Feed Composition'!$O$20+'Oxidant Feed Composition'!$D$11*'Oxidant Feed Composition'!$O$21+'Oxidant Feed Composition'!$F$11*'Oxidant Feed Composition'!$O$27-'Oxidant Feed Composition'!$J$15*18.015)</f>
        <v>2.2579142690773955</v>
      </c>
      <c r="DO23">
        <f>(BU23+BV23)/1000*(0.2*368.34+0.4*58.44)</f>
        <v>1.5635419460511559</v>
      </c>
      <c r="DP23">
        <f>BK23/1000*(B23*195.08+C23*106.42+D23*102.91)</f>
        <v>4.999938342565946E-2</v>
      </c>
      <c r="DQ23">
        <f>SUM(DM23:DO23)-DP23</f>
        <v>4.4778537721239973</v>
      </c>
      <c r="DR23">
        <f>DQ23*60*7200*0.33</f>
        <v>638362.83375399711</v>
      </c>
      <c r="DS23">
        <v>1.2</v>
      </c>
      <c r="DT23">
        <f>BM23/60*(AM23*4+AN23*2+AO23*3)*96485/DV23</f>
        <v>1404.3633339004512</v>
      </c>
      <c r="DU23">
        <f>BN23*BA23*(AP23*4+AQ23*2+AR23*3)*96485/DV23/60</f>
        <v>708.88311509089783</v>
      </c>
      <c r="DV23">
        <v>0.7</v>
      </c>
      <c r="DW23">
        <f>0.499*((BK23/3.78541*15)^(-0.146))*BK23/3.78541*15*300*(1+(A23-2)/9)</f>
        <v>33024.331428945443</v>
      </c>
      <c r="DX23">
        <f>0.248*((BK23/3.78541*15)^(-0.144))*BK23/3.78541*15*300*(1+(A23-2)/3)</f>
        <v>24915.659383376755</v>
      </c>
      <c r="DY23">
        <f>0.105*((BK23/3.78541*15)^(-0.144))*BK23/3.78541*15*300*(1+(A23-2)/3)</f>
        <v>10548.968690542577</v>
      </c>
      <c r="DZ23">
        <f>0.058*((BK23/3.78541*15)^(-0.151))*BK23/3.78541*15*300*(1+(A23-2)/3)</f>
        <v>5588.0830181845758</v>
      </c>
      <c r="EA23">
        <f>0.056*((BK23/3.78541*15)^(-0.144))*BK23/3.78541*15*300*(1+(A23-2)/3)</f>
        <v>5626.1166349560426</v>
      </c>
      <c r="EB23">
        <f>DS23*DT23/(3.6*10^6)*3600*7200*0.07</f>
        <v>849.35894434299291</v>
      </c>
      <c r="EC23">
        <f>0.499*((BM23/3.78541*15)^(-0.146))*BM23/3.78541*15*300*(1+(AF23-2)/9)</f>
        <v>30870.169806642782</v>
      </c>
      <c r="ED23">
        <f>0.248*((BM23/3.78541*15)^(-0.144))*BM23/3.78541*15*300*(1+(AF23-2)/3)</f>
        <v>23286.743672476066</v>
      </c>
      <c r="EE23">
        <f>0.105*((BM23/3.78541*15)^(-0.144))*BM23/3.78541*15*300*(1+(AF23-2)/3)</f>
        <v>9859.3067968144605</v>
      </c>
      <c r="EF23">
        <f>0.058*((BM23/3.78541*15)^(-0.151))*BM23/3.78541*15*300*(1+(AF23-2)/3)</f>
        <v>5225.6383492186287</v>
      </c>
      <c r="EG23">
        <f>0.056*((BM23/3.78541*15)^(-0.144))*BM23/3.78541*15*300*(1+(AF23-2)/3)</f>
        <v>5258.2969583010481</v>
      </c>
      <c r="EH23">
        <f>DS23*DU23/(3.6*10^6)*3600*7200*0.07</f>
        <v>428.73250800697502</v>
      </c>
      <c r="EI23">
        <f>SUM(DW23:EH23)</f>
        <v>155481.40619180835</v>
      </c>
      <c r="EJ23">
        <f>EI23+DR23+DL23</f>
        <v>27531767.247447964</v>
      </c>
      <c r="EK23">
        <f>EJ23+DF23</f>
        <v>28108618.329085711</v>
      </c>
      <c r="EL23">
        <f>EK23/(BK23*60*7200)</f>
        <v>0.65066246132142846</v>
      </c>
      <c r="EM23">
        <f>EK23/(BM23*(AM23*195.084/1000+AN23*106.42/1000+AO23*102.911/1000)*60*7200)</f>
        <v>2179.9045815302493</v>
      </c>
      <c r="EN23">
        <f>EK23/(BN23*BA23*(AP23*195.084/1000+AQ23*106.42/1000+AR23*102.911/1000)*60*7200)</f>
        <v>3978.510566830741</v>
      </c>
    </row>
    <row r="24" spans="1:144">
      <c r="A24">
        <f>'Costing 100 Lmin Feed Orig'!A24</f>
        <v>5</v>
      </c>
      <c r="B24">
        <f>'Costing 100 Lmin Feed Orig'!B24</f>
        <v>1.54143585092054E-3</v>
      </c>
      <c r="C24">
        <f>'Costing 100 Lmin Feed Orig'!C24</f>
        <v>1.54143585092054E-3</v>
      </c>
      <c r="D24">
        <f>'Costing 100 Lmin Feed Orig'!D24</f>
        <v>3.4254130020456501E-4</v>
      </c>
      <c r="E24">
        <f>'Costing 100 Lmin Feed Orig'!E24</f>
        <v>0</v>
      </c>
      <c r="F24">
        <f>'Costing 100 Lmin Feed Orig'!F24</f>
        <v>0</v>
      </c>
      <c r="G24">
        <f>'Costing 100 Lmin Feed Orig'!G24</f>
        <v>0</v>
      </c>
      <c r="H24">
        <f>'Costing 100 Lmin Feed Orig'!H24</f>
        <v>1.7558377832426001E-5</v>
      </c>
      <c r="I24">
        <f>'Costing 100 Lmin Feed Orig'!I24</f>
        <v>1.05063644964669E-7</v>
      </c>
      <c r="J24">
        <f>'Costing 100 Lmin Feed Orig'!J24</f>
        <v>3.35605387572801E-4</v>
      </c>
      <c r="K24">
        <f>'Costing 100 Lmin Feed Orig'!K24</f>
        <v>0.12557893497872399</v>
      </c>
      <c r="L24">
        <f>'Costing 100 Lmin Feed Orig'!L24</f>
        <v>0.12701721899235199</v>
      </c>
      <c r="M24">
        <f>'Costing 100 Lmin Feed Orig'!M24</f>
        <v>5.7157122982957897E-4</v>
      </c>
      <c r="N24">
        <f>'Costing 100 Lmin Feed Orig'!N24</f>
        <v>-1.88000656708986E-16</v>
      </c>
      <c r="O24">
        <f>'Costing 100 Lmin Feed Orig'!O24</f>
        <v>-6.2354635343986299E-15</v>
      </c>
      <c r="P24">
        <f>'Costing 100 Lmin Feed Orig'!P24</f>
        <v>-1.51703600853245E-18</v>
      </c>
      <c r="Q24">
        <f>'Costing 100 Lmin Feed Orig'!Q24</f>
        <v>0.121348176216534</v>
      </c>
      <c r="R24">
        <f>'Costing 100 Lmin Feed Orig'!R24</f>
        <v>97.975160184298204</v>
      </c>
      <c r="S24">
        <f>'Costing 100 Lmin Feed Orig'!S24</f>
        <v>500</v>
      </c>
      <c r="T24">
        <f>'Costing 100 Lmin Feed Orig'!T24</f>
        <v>95</v>
      </c>
      <c r="U24">
        <f>'Costing 100 Lmin Feed Orig'!U24</f>
        <v>1</v>
      </c>
      <c r="V24">
        <f>'Costing 100 Lmin Feed Orig'!V24</f>
        <v>0.1</v>
      </c>
      <c r="W24">
        <f>'Costing 100 Lmin Feed Orig'!W24</f>
        <v>82.407501388038199</v>
      </c>
      <c r="X24" t="str">
        <f>'Costing 100 Lmin Feed Orig'!X24</f>
        <v>ddFc</v>
      </c>
      <c r="Y24">
        <f>'Costing 100 Lmin Feed Orig'!Y24</f>
        <v>1</v>
      </c>
      <c r="Z24">
        <f>'Costing 100 Lmin Feed Orig'!Z24</f>
        <v>0.28318429382522198</v>
      </c>
      <c r="AA24">
        <f>'Costing 100 Lmin Feed Orig'!AA24</f>
        <v>0.56945642916197003</v>
      </c>
      <c r="AB24">
        <f>'Costing 100 Lmin Feed Orig'!AB24</f>
        <v>3.7698628972227502E-3</v>
      </c>
      <c r="AC24">
        <f>'Costing 100 Lmin Feed Orig'!AC24</f>
        <v>1822.2107908876901</v>
      </c>
      <c r="AD24">
        <f>'Costing 100 Lmin Feed Orig'!AD24</f>
        <v>2662.6059073104898</v>
      </c>
      <c r="AE24">
        <f>'Costing 100 Lmin Feed Orig'!AE24</f>
        <v>2401.5030938442701</v>
      </c>
      <c r="AF24">
        <f>'Costing 100 Lmin Feed Orig'!AF24</f>
        <v>6</v>
      </c>
      <c r="AG24">
        <f>'Costing 100 Lmin Feed Orig'!AG24</f>
        <v>1.64912412966352E-3</v>
      </c>
      <c r="AH24">
        <f>'Costing 100 Lmin Feed Orig'!AH24</f>
        <v>1.66801192221077E-3</v>
      </c>
      <c r="AI24">
        <f>'Costing 100 Lmin Feed Orig'!AI24</f>
        <v>7.5059714998626504E-6</v>
      </c>
      <c r="AJ24">
        <f>'Costing 100 Lmin Feed Orig'!AJ24</f>
        <v>0</v>
      </c>
      <c r="AK24">
        <f>'Costing 100 Lmin Feed Orig'!AK24</f>
        <v>0</v>
      </c>
      <c r="AL24">
        <f>'Costing 100 Lmin Feed Orig'!AL24</f>
        <v>0</v>
      </c>
      <c r="AM24">
        <f>'Costing 100 Lmin Feed Orig'!AM24</f>
        <v>1.6114297833378999E-3</v>
      </c>
      <c r="AN24">
        <f>'Costing 100 Lmin Feed Orig'!AN24</f>
        <v>7.7356463127358006E-5</v>
      </c>
      <c r="AO24">
        <f>'Costing 100 Lmin Feed Orig'!AO24</f>
        <v>7.4556307325320903E-6</v>
      </c>
      <c r="AP24">
        <f>'Costing 100 Lmin Feed Orig'!AP24</f>
        <v>1.7565900233430501E-3</v>
      </c>
      <c r="AQ24">
        <f>'Costing 100 Lmin Feed Orig'!AQ24</f>
        <v>7.4125957401307799E-2</v>
      </c>
      <c r="AR24">
        <f>'Costing 100 Lmin Feed Orig'!AR24</f>
        <v>2.3459244762174398E-6</v>
      </c>
      <c r="AS24">
        <f>'Costing 100 Lmin Feed Orig'!AS24</f>
        <v>-5.3532482266471697E-18</v>
      </c>
      <c r="AT24">
        <f>'Costing 100 Lmin Feed Orig'!AT24</f>
        <v>-7.2164496600635096E-16</v>
      </c>
      <c r="AU24">
        <f>'Costing 100 Lmin Feed Orig'!AU24</f>
        <v>-4.9035266712143398E-21</v>
      </c>
      <c r="AV24">
        <f>'Costing 100 Lmin Feed Orig'!AV24</f>
        <v>0.198290773754322</v>
      </c>
      <c r="AW24">
        <f>'Costing 100 Lmin Feed Orig'!AW24</f>
        <v>99.329323761334805</v>
      </c>
      <c r="AX24">
        <f>'Costing 100 Lmin Feed Orig'!AX24</f>
        <v>500</v>
      </c>
      <c r="AY24">
        <f>'Costing 100 Lmin Feed Orig'!AY24</f>
        <v>95</v>
      </c>
      <c r="AZ24">
        <f>'Costing 100 Lmin Feed Orig'!AZ24</f>
        <v>0.92405262022284995</v>
      </c>
      <c r="BA24">
        <f>'Costing 100 Lmin Feed Orig'!BA24</f>
        <v>0.1</v>
      </c>
      <c r="BB24">
        <f>'Costing 100 Lmin Feed Orig'!BB24</f>
        <v>46.600888318068002</v>
      </c>
      <c r="BC24" t="str">
        <f>'Costing 100 Lmin Feed Orig'!BC24</f>
        <v>coeFc</v>
      </c>
      <c r="BD24">
        <f>'Costing 100 Lmin Feed Orig'!BD24</f>
        <v>1</v>
      </c>
      <c r="BE24">
        <f>'Costing 100 Lmin Feed Orig'!BE24</f>
        <v>1.8775014999999999E-2</v>
      </c>
      <c r="BF24">
        <f>'Costing 100 Lmin Feed Orig'!BF24</f>
        <v>0.10492961100000001</v>
      </c>
      <c r="BG24">
        <f>'Costing 100 Lmin Feed Orig'!BG24</f>
        <v>1.814625E-3</v>
      </c>
      <c r="BH24">
        <f>'Costing 100 Lmin Feed Orig'!BH24</f>
        <v>285.1951444</v>
      </c>
      <c r="BI24">
        <f>'Costing 100 Lmin Feed Orig'!BI24</f>
        <v>2169.8944889999998</v>
      </c>
      <c r="BJ24">
        <f>'Costing 100 Lmin Feed Orig'!BJ24</f>
        <v>866.49409060000005</v>
      </c>
      <c r="BK24">
        <f>'Costing 100 Lmin Feed Orig'!BK24</f>
        <v>100</v>
      </c>
      <c r="BL24">
        <f>'Costing 100 Lmin Feed Orig'!BL24</f>
        <v>12.134817621653401</v>
      </c>
      <c r="BM24">
        <f>'Costing 100 Lmin Feed Orig'!BM24</f>
        <v>92.405262022285001</v>
      </c>
      <c r="BN24">
        <f>'Costing 100 Lmin Feed Orig'!BN24</f>
        <v>19.829077375432199</v>
      </c>
      <c r="BO24">
        <f t="shared" si="1"/>
        <v>169.88744670314762</v>
      </c>
      <c r="BP24">
        <f t="shared" si="2"/>
        <v>317.26523800691518</v>
      </c>
      <c r="BQ24">
        <f t="shared" si="3"/>
        <v>16.988744670314762</v>
      </c>
      <c r="BR24">
        <f t="shared" si="4"/>
        <v>31.72652380069152</v>
      </c>
      <c r="BS24">
        <f>1.2*0.5*BL24*V24/'Oxidant Feed Composition'!$N$22</f>
        <v>7.2808905729920399</v>
      </c>
      <c r="BT24">
        <f>1.2*0.5*BN24*BA24/'Oxidant Feed Composition'!$N$22</f>
        <v>11.897446425259318</v>
      </c>
      <c r="BU24">
        <f t="shared" si="5"/>
        <v>6.0674088108267004</v>
      </c>
      <c r="BV24">
        <f t="shared" si="6"/>
        <v>9.9145386877160995</v>
      </c>
      <c r="BW24">
        <f t="shared" si="7"/>
        <v>86.337853211458295</v>
      </c>
      <c r="BX24">
        <f t="shared" si="0"/>
        <v>38.831416389290879</v>
      </c>
      <c r="BY24">
        <f t="shared" si="8"/>
        <v>209.0801592878768</v>
      </c>
      <c r="BZ24">
        <f t="shared" si="9"/>
        <v>63.453047601383034</v>
      </c>
      <c r="CA24">
        <f t="shared" si="10"/>
        <v>59.487232126296597</v>
      </c>
      <c r="CB24">
        <f>BO24*'Reagent cost'!$G$11*'Reagent cost'!$H$11</f>
        <v>2242.5142964815486</v>
      </c>
      <c r="CC24">
        <f>BP24*'Reagent cost'!$G$11*'Reagent cost'!$H$11</f>
        <v>4187.9011416912808</v>
      </c>
      <c r="CD24">
        <f>BQ24*'Reagent cost'!$C$18/1000*'Reagent cost'!$H$18</f>
        <v>2709.3726906065185</v>
      </c>
      <c r="CE24">
        <f>BR24*'Ligand cost'!$B$56*'Ligand cost'!$J$56</f>
        <v>32301.65371940405</v>
      </c>
      <c r="CF24">
        <f t="shared" si="11"/>
        <v>10</v>
      </c>
      <c r="CG24">
        <f t="shared" si="12"/>
        <v>2.4269635243306804</v>
      </c>
      <c r="CH24">
        <f t="shared" si="13"/>
        <v>3.9658154750864401</v>
      </c>
      <c r="CI24">
        <f>7963.6*(BX24/1000)^0.6*1.7*('CAPEX+OPEX'!$G$116/'CAPEX+OPEX'!$G$115)</f>
        <v>2273.7926954959794</v>
      </c>
      <c r="CJ24">
        <f>7963.6*(BY24/1000)^0.6*1.7*('CAPEX+OPEX'!$G$116/'CAPEX+OPEX'!$G$115)</f>
        <v>6243.5072626595684</v>
      </c>
      <c r="CK24">
        <f>7963.6*(BZ24/1000)^0.6*1.7*('CAPEX+OPEX'!$G$116/'CAPEX+OPEX'!$G$115)</f>
        <v>3052.8988782769065</v>
      </c>
      <c r="CL24">
        <f>7963.6*(CA24/1000)^0.6*1.7*('CAPEX+OPEX'!$G$116/'CAPEX+OPEX'!$G$115)</f>
        <v>2936.9407502085974</v>
      </c>
      <c r="CM24">
        <f>'Costing 100 Lmin Feed Orig'!DE24</f>
        <v>39625.826528698344</v>
      </c>
      <c r="CN24">
        <f>'Costing 100 Lmin Feed Orig'!DF24</f>
        <v>4586243.4239371875</v>
      </c>
      <c r="CO24">
        <f>'Costing 100 Lmin Feed Orig'!DG24</f>
        <v>11794834.586807497</v>
      </c>
      <c r="CP24">
        <f>'Costing 100 Lmin Feed Orig'!DH24</f>
        <v>2275209.1661185985</v>
      </c>
      <c r="CQ24">
        <f>'Costing 100 Lmin Feed Orig'!DI24</f>
        <v>14083914.336508472</v>
      </c>
      <c r="CR24">
        <f>'Costing 100 Lmin Feed Orig'!DJ24</f>
        <v>1662824.8986326549</v>
      </c>
      <c r="CS24">
        <f>CN24*(BK24/10000)^0.72*((A24+1)/3)^0.6*('CAPEX+OPEX'!$G$116/'CAPEX+OPEX'!$G$114)</f>
        <v>589054.93036564998</v>
      </c>
      <c r="CT24">
        <f>CO24*(BK24/10000)^0.72*((A24+1)/3)^0.6*('CAPEX+OPEX'!$G$116/'CAPEX+OPEX'!$G$114)</f>
        <v>1514922.9606835202</v>
      </c>
      <c r="CU24">
        <f>CP24*(BK24/10000)^0.72*((A24+1)/3)^0.6*('CAPEX+OPEX'!$G$116/'CAPEX+OPEX'!$G$114)</f>
        <v>292226.78628879401</v>
      </c>
      <c r="CV24">
        <f>CQ24*(BK24/10000)^0.72*((A24+1)/3)^0.6*('CAPEX+OPEX'!$G$116/'CAPEX+OPEX'!$G$114)</f>
        <v>1808931.2781495745</v>
      </c>
      <c r="CW24">
        <f>CR24*(BK24/10000)^0.72*((A24+1)/3)^0.6*('CAPEX+OPEX'!$G$116/'CAPEX+OPEX'!$G$114)</f>
        <v>213572.44139332071</v>
      </c>
      <c r="CX24">
        <f t="shared" si="14"/>
        <v>4418708.3968808586</v>
      </c>
      <c r="CY24">
        <f>CN24*(BM24/10000)^0.72*((AF24+1)/3)^0.6*('CAPEX+OPEX'!$G$116/'CAPEX+OPEX'!$G$114)</f>
        <v>610415.4188564826</v>
      </c>
      <c r="CZ24">
        <f>CO24*(BM24/10000)^0.72*((AF24+1)/3)^0.6*('CAPEX+OPEX'!$G$116/'CAPEX+OPEX'!$G$114)</f>
        <v>1569857.5564199341</v>
      </c>
      <c r="DA24">
        <f>CP24*(BM24/10000)^0.72*((AF24+1)/3)^0.6*('CAPEX+OPEX'!$G$116/'CAPEX+OPEX'!$G$114)</f>
        <v>302823.60261857172</v>
      </c>
      <c r="DB24">
        <f>CQ24*(BM24/10000)^0.72*((AF24+1)/3)^0.6*('CAPEX+OPEX'!$G$116/'CAPEX+OPEX'!$G$114)</f>
        <v>1874527.2926394895</v>
      </c>
      <c r="DC24">
        <f>CR24*(BM24/10000)^0.72*((AF24+1)/3)^0.6*('CAPEX+OPEX'!$G$116/'CAPEX+OPEX'!$G$114)</f>
        <v>221317.07001990607</v>
      </c>
      <c r="DD24">
        <f t="shared" si="15"/>
        <v>4578940.9405543841</v>
      </c>
      <c r="DE24">
        <f>CX24+DD24+1.15*(SUM(CI24:CL24)+SUM(CB24:CE24))</f>
        <v>9061990.2060852908</v>
      </c>
      <c r="DF24">
        <f t="shared" si="16"/>
        <v>604132.68040568603</v>
      </c>
      <c r="DG24">
        <f>(BS24+BT24)*'Oxidant Feed Composition'!$N$25*60*7200</f>
        <v>15445335.084494259</v>
      </c>
      <c r="DH24">
        <f>((CG24+CH24)*'Reagent cost'!$C$17/1000*'Reagent cost'!$H$17+(CG24+CH24)*0.5*'Reagent cost'!$C$16/1000*'Reagent cost'!$H$16)*60*7200</f>
        <v>6155316.4106610119</v>
      </c>
      <c r="DI24">
        <f>CF24*'Reagent cost'!$C$17/1000*'Reagent cost'!$H$17*60*7200</f>
        <v>504921.59999999998</v>
      </c>
      <c r="DJ24">
        <f t="shared" si="17"/>
        <v>64.304154381728296</v>
      </c>
      <c r="DK24">
        <f t="shared" si="18"/>
        <v>700.22052820021145</v>
      </c>
      <c r="DL24">
        <f t="shared" si="19"/>
        <v>26527605.143805426</v>
      </c>
      <c r="DM24">
        <f>BK24*(B24*(409.81+2)/1000+C24*(248.2+2*22.99)/1000+D24*(315.6+3*22.99)/1000+0.1*58.44/1000)</f>
        <v>0.70639694042110623</v>
      </c>
      <c r="DN24">
        <f>(BS24+BT24)/1000*('Oxidant Feed Composition'!$B$11*'Oxidant Feed Composition'!$O$20+'Oxidant Feed Composition'!$D$11*'Oxidant Feed Composition'!$O$21+'Oxidant Feed Composition'!$F$11*'Oxidant Feed Composition'!$O$27-'Oxidant Feed Composition'!$J$15*18.015)</f>
        <v>2.239733264305765</v>
      </c>
      <c r="DO24">
        <f>(BU24+BV24)/1000*(0.2*368.34+0.4*58.44)</f>
        <v>1.5509521130485875</v>
      </c>
      <c r="DP24">
        <f>BK24/1000*(B24*195.08+C24*106.42+D24*102.91)</f>
        <v>4.999938342565946E-2</v>
      </c>
      <c r="DQ24">
        <f>SUM(DM24:DO24)-DP24</f>
        <v>4.4470829343497984</v>
      </c>
      <c r="DR24">
        <f>DQ24*60*7200*0.33</f>
        <v>633976.14312090725</v>
      </c>
      <c r="DS24">
        <v>1.2</v>
      </c>
      <c r="DT24">
        <f>BM24/60*(AM24*4+AN24*2+AO24*3)*96485/DV24</f>
        <v>1405.8817231078647</v>
      </c>
      <c r="DU24">
        <f>BN24*BA24*(AP24*4+AQ24*2+AR24*3)*96485/DV24/60</f>
        <v>707.36472588365746</v>
      </c>
      <c r="DV24">
        <v>0.7</v>
      </c>
      <c r="DW24">
        <f>0.499*((BK24/3.78541*15)^(-0.146))*BK24/3.78541*15*300*(1+(A24-2)/9)</f>
        <v>33024.331428945443</v>
      </c>
      <c r="DX24">
        <f>0.248*((BK24/3.78541*15)^(-0.144))*BK24/3.78541*15*300*(1+(A24-2)/3)</f>
        <v>24915.659383376755</v>
      </c>
      <c r="DY24">
        <f>0.105*((BK24/3.78541*15)^(-0.144))*BK24/3.78541*15*300*(1+(A24-2)/3)</f>
        <v>10548.968690542577</v>
      </c>
      <c r="DZ24">
        <f>0.058*((BK24/3.78541*15)^(-0.151))*BK24/3.78541*15*300*(1+(A24-2)/3)</f>
        <v>5588.0830181845758</v>
      </c>
      <c r="EA24">
        <f>0.056*((BK24/3.78541*15)^(-0.144))*BK24/3.78541*15*300*(1+(A24-2)/3)</f>
        <v>5626.1166349560426</v>
      </c>
      <c r="EB24">
        <f>DS24*DT24/(3.6*10^6)*3600*7200*0.07</f>
        <v>850.27726613563675</v>
      </c>
      <c r="EC24">
        <f>0.499*((BM24/3.78541*15)^(-0.146))*BM24/3.78541*15*300*(1+(AF24-2)/9)</f>
        <v>33442.68395719635</v>
      </c>
      <c r="ED24">
        <f>0.248*((BM24/3.78541*15)^(-0.144))*BM24/3.78541*15*300*(1+(AF24-2)/3)</f>
        <v>27167.86761788874</v>
      </c>
      <c r="EE24">
        <f>0.105*((BM24/3.78541*15)^(-0.144))*BM24/3.78541*15*300*(1+(AF24-2)/3)</f>
        <v>11502.524596283536</v>
      </c>
      <c r="EF24">
        <f>0.058*((BM24/3.78541*15)^(-0.151))*BM24/3.78541*15*300*(1+(AF24-2)/3)</f>
        <v>6096.5780740883993</v>
      </c>
      <c r="EG24">
        <f>0.056*((BM24/3.78541*15)^(-0.144))*BM24/3.78541*15*300*(1+(AF24-2)/3)</f>
        <v>6134.6797846845557</v>
      </c>
      <c r="EH24">
        <f>DS24*DU24/(3.6*10^6)*3600*7200*0.07</f>
        <v>427.81418621443606</v>
      </c>
      <c r="EI24">
        <f>SUM(DW24:EH24)</f>
        <v>165325.58463849706</v>
      </c>
      <c r="EJ24">
        <f>EI24+DR24+DL24</f>
        <v>27326906.871564832</v>
      </c>
      <c r="EK24">
        <f>EJ24+DF24</f>
        <v>27931039.551970519</v>
      </c>
      <c r="EL24">
        <f>EK24/(BK24*60*7200)</f>
        <v>0.64655184148079903</v>
      </c>
      <c r="EM24">
        <f>EK24/(BM24*(AM24*195.084/1000+AN24*106.42/1000+AO24*102.911/1000)*60*7200)</f>
        <v>2163.7913108381754</v>
      </c>
      <c r="EN24">
        <f>EK24/(BN24*BA24*(AP24*195.084/1000+AQ24*106.42/1000+AR24*102.911/1000)*60*7200)</f>
        <v>3961.1993125969466</v>
      </c>
    </row>
    <row r="25" spans="1:144">
      <c r="A25">
        <f>'Costing 100 Lmin Feed Orig'!A25</f>
        <v>5</v>
      </c>
      <c r="B25">
        <f>'Costing 100 Lmin Feed Orig'!B25</f>
        <v>1.54143585092054E-3</v>
      </c>
      <c r="C25">
        <f>'Costing 100 Lmin Feed Orig'!C25</f>
        <v>1.54143585092054E-3</v>
      </c>
      <c r="D25">
        <f>'Costing 100 Lmin Feed Orig'!D25</f>
        <v>3.4254130020456501E-4</v>
      </c>
      <c r="E25">
        <f>'Costing 100 Lmin Feed Orig'!E25</f>
        <v>0</v>
      </c>
      <c r="F25">
        <f>'Costing 100 Lmin Feed Orig'!F25</f>
        <v>0</v>
      </c>
      <c r="G25">
        <f>'Costing 100 Lmin Feed Orig'!G25</f>
        <v>0</v>
      </c>
      <c r="H25">
        <f>'Costing 100 Lmin Feed Orig'!H25</f>
        <v>1.7558377832426001E-5</v>
      </c>
      <c r="I25">
        <f>'Costing 100 Lmin Feed Orig'!I25</f>
        <v>1.05063644964669E-7</v>
      </c>
      <c r="J25">
        <f>'Costing 100 Lmin Feed Orig'!J25</f>
        <v>3.35605387572801E-4</v>
      </c>
      <c r="K25">
        <f>'Costing 100 Lmin Feed Orig'!K25</f>
        <v>0.12557893497872399</v>
      </c>
      <c r="L25">
        <f>'Costing 100 Lmin Feed Orig'!L25</f>
        <v>0.12701721899235199</v>
      </c>
      <c r="M25">
        <f>'Costing 100 Lmin Feed Orig'!M25</f>
        <v>5.7157122982957897E-4</v>
      </c>
      <c r="N25">
        <f>'Costing 100 Lmin Feed Orig'!N25</f>
        <v>-1.88000656708986E-16</v>
      </c>
      <c r="O25">
        <f>'Costing 100 Lmin Feed Orig'!O25</f>
        <v>-6.2354635343986299E-15</v>
      </c>
      <c r="P25">
        <f>'Costing 100 Lmin Feed Orig'!P25</f>
        <v>-1.51703600853245E-18</v>
      </c>
      <c r="Q25">
        <f>'Costing 100 Lmin Feed Orig'!Q25</f>
        <v>0.121348176216534</v>
      </c>
      <c r="R25">
        <f>'Costing 100 Lmin Feed Orig'!R25</f>
        <v>97.975160184298204</v>
      </c>
      <c r="S25">
        <f>'Costing 100 Lmin Feed Orig'!S25</f>
        <v>500</v>
      </c>
      <c r="T25">
        <f>'Costing 100 Lmin Feed Orig'!T25</f>
        <v>95</v>
      </c>
      <c r="U25">
        <f>'Costing 100 Lmin Feed Orig'!U25</f>
        <v>1</v>
      </c>
      <c r="V25">
        <f>'Costing 100 Lmin Feed Orig'!V25</f>
        <v>0.1</v>
      </c>
      <c r="W25">
        <f>'Costing 100 Lmin Feed Orig'!W25</f>
        <v>82.407501388038199</v>
      </c>
      <c r="X25" t="str">
        <f>'Costing 100 Lmin Feed Orig'!X25</f>
        <v>ddFc</v>
      </c>
      <c r="Y25">
        <f>'Costing 100 Lmin Feed Orig'!Y25</f>
        <v>1</v>
      </c>
      <c r="Z25">
        <f>'Costing 100 Lmin Feed Orig'!Z25</f>
        <v>0.28318429382522198</v>
      </c>
      <c r="AA25">
        <f>'Costing 100 Lmin Feed Orig'!AA25</f>
        <v>0.56945642916197003</v>
      </c>
      <c r="AB25">
        <f>'Costing 100 Lmin Feed Orig'!AB25</f>
        <v>3.7698628972227502E-3</v>
      </c>
      <c r="AC25">
        <f>'Costing 100 Lmin Feed Orig'!AC25</f>
        <v>1822.2107908876901</v>
      </c>
      <c r="AD25">
        <f>'Costing 100 Lmin Feed Orig'!AD25</f>
        <v>2662.6059073104898</v>
      </c>
      <c r="AE25">
        <f>'Costing 100 Lmin Feed Orig'!AE25</f>
        <v>2401.5030938442701</v>
      </c>
      <c r="AF25">
        <f>'Costing 100 Lmin Feed Orig'!AF25</f>
        <v>7</v>
      </c>
      <c r="AG25">
        <f>'Costing 100 Lmin Feed Orig'!AG25</f>
        <v>1.64912412966352E-3</v>
      </c>
      <c r="AH25">
        <f>'Costing 100 Lmin Feed Orig'!AH25</f>
        <v>1.66801192221077E-3</v>
      </c>
      <c r="AI25">
        <f>'Costing 100 Lmin Feed Orig'!AI25</f>
        <v>7.5059714998626504E-6</v>
      </c>
      <c r="AJ25">
        <f>'Costing 100 Lmin Feed Orig'!AJ25</f>
        <v>0</v>
      </c>
      <c r="AK25">
        <f>'Costing 100 Lmin Feed Orig'!AK25</f>
        <v>0</v>
      </c>
      <c r="AL25">
        <f>'Costing 100 Lmin Feed Orig'!AL25</f>
        <v>0</v>
      </c>
      <c r="AM25">
        <f>'Costing 100 Lmin Feed Orig'!AM25</f>
        <v>1.6119381310433301E-3</v>
      </c>
      <c r="AN25">
        <f>'Costing 100 Lmin Feed Orig'!AN25</f>
        <v>7.7382567030457797E-5</v>
      </c>
      <c r="AO25">
        <f>'Costing 100 Lmin Feed Orig'!AO25</f>
        <v>7.4562819717611701E-6</v>
      </c>
      <c r="AP25">
        <f>'Costing 100 Lmin Feed Orig'!AP25</f>
        <v>1.73954373622606E-3</v>
      </c>
      <c r="AQ25">
        <f>'Costing 100 Lmin Feed Orig'!AQ25</f>
        <v>7.4408902129409704E-2</v>
      </c>
      <c r="AR25">
        <f>'Costing 100 Lmin Feed Orig'!AR25</f>
        <v>2.32445303539035E-6</v>
      </c>
      <c r="AS25">
        <f>'Costing 100 Lmin Feed Orig'!AS25</f>
        <v>6.9016244542280303E-16</v>
      </c>
      <c r="AT25">
        <f>'Costing 100 Lmin Feed Orig'!AT25</f>
        <v>-2.1108657356772001E-13</v>
      </c>
      <c r="AU25">
        <f>'Costing 100 Lmin Feed Orig'!AU25</f>
        <v>-1.7602403435128399E-20</v>
      </c>
      <c r="AV25">
        <f>'Costing 100 Lmin Feed Orig'!AV25</f>
        <v>0.19753351838366801</v>
      </c>
      <c r="AW25">
        <f>'Costing 100 Lmin Feed Orig'!AW25</f>
        <v>99.338000043000505</v>
      </c>
      <c r="AX25">
        <f>'Costing 100 Lmin Feed Orig'!AX25</f>
        <v>500</v>
      </c>
      <c r="AY25">
        <f>'Costing 100 Lmin Feed Orig'!AY25</f>
        <v>95</v>
      </c>
      <c r="AZ25">
        <f>'Costing 100 Lmin Feed Orig'!AZ25</f>
        <v>0.92405262022284995</v>
      </c>
      <c r="BA25">
        <f>'Costing 100 Lmin Feed Orig'!BA25</f>
        <v>0.1</v>
      </c>
      <c r="BB25">
        <f>'Costing 100 Lmin Feed Orig'!BB25</f>
        <v>46.779535330711099</v>
      </c>
      <c r="BC25" t="str">
        <f>'Costing 100 Lmin Feed Orig'!BC25</f>
        <v>coeFc</v>
      </c>
      <c r="BD25">
        <f>'Costing 100 Lmin Feed Orig'!BD25</f>
        <v>1</v>
      </c>
      <c r="BE25">
        <f>'Costing 100 Lmin Feed Orig'!BE25</f>
        <v>1.8775014999999999E-2</v>
      </c>
      <c r="BF25">
        <f>'Costing 100 Lmin Feed Orig'!BF25</f>
        <v>0.10492961100000001</v>
      </c>
      <c r="BG25">
        <f>'Costing 100 Lmin Feed Orig'!BG25</f>
        <v>1.814625E-3</v>
      </c>
      <c r="BH25">
        <f>'Costing 100 Lmin Feed Orig'!BH25</f>
        <v>285.1951444</v>
      </c>
      <c r="BI25">
        <f>'Costing 100 Lmin Feed Orig'!BI25</f>
        <v>2169.8944889999998</v>
      </c>
      <c r="BJ25">
        <f>'Costing 100 Lmin Feed Orig'!BJ25</f>
        <v>866.49409060000005</v>
      </c>
      <c r="BK25">
        <f>'Costing 100 Lmin Feed Orig'!BK25</f>
        <v>100</v>
      </c>
      <c r="BL25">
        <f>'Costing 100 Lmin Feed Orig'!BL25</f>
        <v>12.134817621653401</v>
      </c>
      <c r="BM25">
        <f>'Costing 100 Lmin Feed Orig'!BM25</f>
        <v>92.405262022285001</v>
      </c>
      <c r="BN25">
        <f>'Costing 100 Lmin Feed Orig'!BN25</f>
        <v>19.7533518383668</v>
      </c>
      <c r="BO25">
        <f t="shared" si="1"/>
        <v>169.88744670314762</v>
      </c>
      <c r="BP25">
        <f t="shared" si="2"/>
        <v>355.5603330906024</v>
      </c>
      <c r="BQ25">
        <f t="shared" si="3"/>
        <v>16.988744670314762</v>
      </c>
      <c r="BR25">
        <f t="shared" si="4"/>
        <v>35.55603330906024</v>
      </c>
      <c r="BS25">
        <f>1.2*0.5*BL25*V25/'Oxidant Feed Composition'!$N$22</f>
        <v>7.2808905729920399</v>
      </c>
      <c r="BT25">
        <f>1.2*0.5*BN25*BA25/'Oxidant Feed Composition'!$N$22</f>
        <v>11.852011103020081</v>
      </c>
      <c r="BU25">
        <f t="shared" si="5"/>
        <v>6.0674088108267004</v>
      </c>
      <c r="BV25">
        <f t="shared" si="6"/>
        <v>9.8766759191834002</v>
      </c>
      <c r="BW25">
        <f t="shared" si="7"/>
        <v>86.337853211458295</v>
      </c>
      <c r="BX25">
        <f t="shared" si="0"/>
        <v>38.831416389290879</v>
      </c>
      <c r="BY25">
        <f t="shared" si="8"/>
        <v>209.0801592878768</v>
      </c>
      <c r="BZ25">
        <f t="shared" si="9"/>
        <v>63.210725882773758</v>
      </c>
      <c r="CA25">
        <f t="shared" si="10"/>
        <v>59.260055515100404</v>
      </c>
      <c r="CB25">
        <f>BO25*'Reagent cost'!$G$11*'Reagent cost'!$H$11</f>
        <v>2242.5142964815486</v>
      </c>
      <c r="CC25">
        <f>BP25*'Reagent cost'!$G$11*'Reagent cost'!$H$11</f>
        <v>4693.3963967959517</v>
      </c>
      <c r="CD25">
        <f>BQ25*'Reagent cost'!$C$18/1000*'Reagent cost'!$H$18</f>
        <v>2709.3726906065185</v>
      </c>
      <c r="CE25">
        <f>BR25*'Ligand cost'!$B$56*'Ligand cost'!$J$56</f>
        <v>36200.583549585928</v>
      </c>
      <c r="CF25">
        <f t="shared" si="11"/>
        <v>10</v>
      </c>
      <c r="CG25">
        <f t="shared" si="12"/>
        <v>2.4269635243306804</v>
      </c>
      <c r="CH25">
        <f t="shared" si="13"/>
        <v>3.9506703676733603</v>
      </c>
      <c r="CI25">
        <f>7963.6*(BX25/1000)^0.6*1.7*('CAPEX+OPEX'!$G$116/'CAPEX+OPEX'!$G$115)</f>
        <v>2273.7926954959794</v>
      </c>
      <c r="CJ25">
        <f>7963.6*(BY25/1000)^0.6*1.7*('CAPEX+OPEX'!$G$116/'CAPEX+OPEX'!$G$115)</f>
        <v>6243.5072626595684</v>
      </c>
      <c r="CK25">
        <f>7963.6*(BZ25/1000)^0.6*1.7*('CAPEX+OPEX'!$G$116/'CAPEX+OPEX'!$G$115)</f>
        <v>3045.8982712998541</v>
      </c>
      <c r="CL25">
        <f>7963.6*(CA25/1000)^0.6*1.7*('CAPEX+OPEX'!$G$116/'CAPEX+OPEX'!$G$115)</f>
        <v>2930.206046988194</v>
      </c>
      <c r="CM25">
        <f>'Costing 100 Lmin Feed Orig'!DE25</f>
        <v>39625.826528698344</v>
      </c>
      <c r="CN25">
        <f>'Costing 100 Lmin Feed Orig'!DF25</f>
        <v>4586243.4239371875</v>
      </c>
      <c r="CO25">
        <f>'Costing 100 Lmin Feed Orig'!DG25</f>
        <v>11794834.586807497</v>
      </c>
      <c r="CP25">
        <f>'Costing 100 Lmin Feed Orig'!DH25</f>
        <v>2275209.1661185985</v>
      </c>
      <c r="CQ25">
        <f>'Costing 100 Lmin Feed Orig'!DI25</f>
        <v>14083914.336508472</v>
      </c>
      <c r="CR25">
        <f>'Costing 100 Lmin Feed Orig'!DJ25</f>
        <v>1662824.8986326549</v>
      </c>
      <c r="CS25">
        <f>CN25*(BK25/10000)^0.72*((A25+1)/3)^0.6*('CAPEX+OPEX'!$G$116/'CAPEX+OPEX'!$G$114)</f>
        <v>589054.93036564998</v>
      </c>
      <c r="CT25">
        <f>CO25*(BK25/10000)^0.72*((A25+1)/3)^0.6*('CAPEX+OPEX'!$G$116/'CAPEX+OPEX'!$G$114)</f>
        <v>1514922.9606835202</v>
      </c>
      <c r="CU25">
        <f>CP25*(BK25/10000)^0.72*((A25+1)/3)^0.6*('CAPEX+OPEX'!$G$116/'CAPEX+OPEX'!$G$114)</f>
        <v>292226.78628879401</v>
      </c>
      <c r="CV25">
        <f>CQ25*(BK25/10000)^0.72*((A25+1)/3)^0.6*('CAPEX+OPEX'!$G$116/'CAPEX+OPEX'!$G$114)</f>
        <v>1808931.2781495745</v>
      </c>
      <c r="CW25">
        <f>CR25*(BK25/10000)^0.72*((A25+1)/3)^0.6*('CAPEX+OPEX'!$G$116/'CAPEX+OPEX'!$G$114)</f>
        <v>213572.44139332071</v>
      </c>
      <c r="CX25">
        <f t="shared" si="14"/>
        <v>4418708.3968808586</v>
      </c>
      <c r="CY25">
        <f>CN25*(BM25/10000)^0.72*((AF25+1)/3)^0.6*('CAPEX+OPEX'!$G$116/'CAPEX+OPEX'!$G$114)</f>
        <v>661333.71445919841</v>
      </c>
      <c r="CZ25">
        <f>CO25*(BM25/10000)^0.72*((AF25+1)/3)^0.6*('CAPEX+OPEX'!$G$116/'CAPEX+OPEX'!$G$114)</f>
        <v>1700808.493507487</v>
      </c>
      <c r="DA25">
        <f>CP25*(BM25/10000)^0.72*((AF25+1)/3)^0.6*('CAPEX+OPEX'!$G$116/'CAPEX+OPEX'!$G$114)</f>
        <v>328083.87822317128</v>
      </c>
      <c r="DB25">
        <f>CQ25*(BM25/10000)^0.72*((AF25+1)/3)^0.6*('CAPEX+OPEX'!$G$116/'CAPEX+OPEX'!$G$114)</f>
        <v>2030892.5020583186</v>
      </c>
      <c r="DC25">
        <f>CR25*(BM25/10000)^0.72*((AF25+1)/3)^0.6*('CAPEX+OPEX'!$G$116/'CAPEX+OPEX'!$G$114)</f>
        <v>239778.41232071392</v>
      </c>
      <c r="DD25">
        <f t="shared" si="15"/>
        <v>4960897.0005688891</v>
      </c>
      <c r="DE25">
        <f>CX25+DD25+1.15*(SUM(CI25:CL25)+SUM(CB25:CE25))</f>
        <v>9448995.5593411475</v>
      </c>
      <c r="DF25">
        <f t="shared" si="16"/>
        <v>629933.03728940978</v>
      </c>
      <c r="DG25">
        <f>(BS25+BT25)*'Oxidant Feed Composition'!$N$25*60*7200</f>
        <v>15408743.602306781</v>
      </c>
      <c r="DH25">
        <f>((CG25+CH25)*'Reagent cost'!$C$17/1000*'Reagent cost'!$H$17+(CG25+CH25)*0.5*'Reagent cost'!$C$16/1000*'Reagent cost'!$H$16)*60*7200</f>
        <v>6140733.8749266369</v>
      </c>
      <c r="DI25">
        <f>CF25*'Reagent cost'!$C$17/1000*'Reagent cost'!$H$17*60*7200</f>
        <v>504921.59999999998</v>
      </c>
      <c r="DJ25">
        <f t="shared" si="17"/>
        <v>69.359106932775006</v>
      </c>
      <c r="DK25">
        <f t="shared" si="18"/>
        <v>778.19912480384903</v>
      </c>
      <c r="DL25">
        <f t="shared" si="19"/>
        <v>26466295.962558188</v>
      </c>
      <c r="DM25">
        <f>BK25*(B25*(409.81+2)/1000+C25*(248.2+2*22.99)/1000+D25*(315.6+3*22.99)/1000+0.1*58.44/1000)</f>
        <v>0.70639694042110623</v>
      </c>
      <c r="DN25">
        <f>(BS25+BT25)/1000*('Oxidant Feed Composition'!$B$11*'Oxidant Feed Composition'!$O$20+'Oxidant Feed Composition'!$D$11*'Oxidant Feed Composition'!$O$21+'Oxidant Feed Composition'!$F$11*'Oxidant Feed Composition'!$O$27-'Oxidant Feed Composition'!$J$15*18.015)</f>
        <v>2.2344271210983044</v>
      </c>
      <c r="DO25">
        <f>(BU25+BV25)/1000*(0.2*368.34+0.4*58.44)</f>
        <v>1.5472777585391002</v>
      </c>
      <c r="DP25">
        <f>BK25/1000*(B25*195.08+C25*106.42+D25*102.91)</f>
        <v>4.999938342565946E-2</v>
      </c>
      <c r="DQ25">
        <f>SUM(DM25:DO25)-DP25</f>
        <v>4.4381024366328505</v>
      </c>
      <c r="DR25">
        <f>DQ25*60*7200*0.33</f>
        <v>632695.8833663793</v>
      </c>
      <c r="DS25">
        <v>1.2</v>
      </c>
      <c r="DT25">
        <f>BM25/60*(AM25*4+AN25*2+AO25*3)*96485/DV25</f>
        <v>1406.3248668164506</v>
      </c>
      <c r="DU25">
        <f>BN25*BA25*(AP25*4+AQ25*2+AR25*3)*96485/DV25/60</f>
        <v>706.92158227108644</v>
      </c>
      <c r="DV25">
        <v>0.7</v>
      </c>
      <c r="DW25">
        <f>0.499*((BK25/3.78541*15)^(-0.146))*BK25/3.78541*15*300*(1+(A25-2)/9)</f>
        <v>33024.331428945443</v>
      </c>
      <c r="DX25">
        <f>0.248*((BK25/3.78541*15)^(-0.144))*BK25/3.78541*15*300*(1+(A25-2)/3)</f>
        <v>24915.659383376755</v>
      </c>
      <c r="DY25">
        <f>0.105*((BK25/3.78541*15)^(-0.144))*BK25/3.78541*15*300*(1+(A25-2)/3)</f>
        <v>10548.968690542577</v>
      </c>
      <c r="DZ25">
        <f>0.058*((BK25/3.78541*15)^(-0.151))*BK25/3.78541*15*300*(1+(A25-2)/3)</f>
        <v>5588.0830181845758</v>
      </c>
      <c r="EA25">
        <f>0.056*((BK25/3.78541*15)^(-0.144))*BK25/3.78541*15*300*(1+(A25-2)/3)</f>
        <v>5626.1166349560426</v>
      </c>
      <c r="EB25">
        <f>DS25*DT25/(3.6*10^6)*3600*7200*0.07</f>
        <v>850.54527945058942</v>
      </c>
      <c r="EC25">
        <f>0.499*((BM25/3.78541*15)^(-0.146))*BM25/3.78541*15*300*(1+(AF25-2)/9)</f>
        <v>36015.198107749915</v>
      </c>
      <c r="ED25">
        <f>0.248*((BM25/3.78541*15)^(-0.144))*BM25/3.78541*15*300*(1+(AF25-2)/3)</f>
        <v>31048.991563301424</v>
      </c>
      <c r="EE25">
        <f>0.105*((BM25/3.78541*15)^(-0.144))*BM25/3.78541*15*300*(1+(AF25-2)/3)</f>
        <v>13145.742395752615</v>
      </c>
      <c r="EF25">
        <f>0.058*((BM25/3.78541*15)^(-0.151))*BM25/3.78541*15*300*(1+(AF25-2)/3)</f>
        <v>6967.5177989581725</v>
      </c>
      <c r="EG25">
        <f>0.056*((BM25/3.78541*15)^(-0.144))*BM25/3.78541*15*300*(1+(AF25-2)/3)</f>
        <v>7011.0626110680651</v>
      </c>
      <c r="EH25">
        <f>DS25*DU25/(3.6*10^6)*3600*7200*0.07</f>
        <v>427.5461729575531</v>
      </c>
      <c r="EI25">
        <f>SUM(DW25:EH25)</f>
        <v>175169.7630852437</v>
      </c>
      <c r="EJ25">
        <f>EI25+DR25+DL25</f>
        <v>27274161.60900981</v>
      </c>
      <c r="EK25">
        <f>EJ25+DF25</f>
        <v>27904094.646299221</v>
      </c>
      <c r="EL25">
        <f>EK25/(BK25*60*7200)</f>
        <v>0.64592811681248197</v>
      </c>
      <c r="EM25">
        <f>EK25/(BM25*(AM25*195.084/1000+AN25*106.42/1000+AO25*102.911/1000)*60*7200)</f>
        <v>2161.0221503241928</v>
      </c>
      <c r="EN25">
        <f>EK25/(BN25*BA25*(AP25*195.084/1000+AQ25*106.42/1000+AR25*102.911/1000)*60*7200)</f>
        <v>3959.6648535840282</v>
      </c>
    </row>
    <row r="26" spans="1:144">
      <c r="A26">
        <f>'Costing 100 Lmin Feed Orig'!A26</f>
        <v>5</v>
      </c>
      <c r="B26">
        <f>'Costing 100 Lmin Feed Orig'!B26</f>
        <v>1.54143585092054E-3</v>
      </c>
      <c r="C26">
        <f>'Costing 100 Lmin Feed Orig'!C26</f>
        <v>1.54143585092054E-3</v>
      </c>
      <c r="D26">
        <f>'Costing 100 Lmin Feed Orig'!D26</f>
        <v>3.4254130020456501E-4</v>
      </c>
      <c r="E26">
        <f>'Costing 100 Lmin Feed Orig'!E26</f>
        <v>0</v>
      </c>
      <c r="F26">
        <f>'Costing 100 Lmin Feed Orig'!F26</f>
        <v>0</v>
      </c>
      <c r="G26">
        <f>'Costing 100 Lmin Feed Orig'!G26</f>
        <v>0</v>
      </c>
      <c r="H26">
        <f>'Costing 100 Lmin Feed Orig'!H26</f>
        <v>1.7558377832426001E-5</v>
      </c>
      <c r="I26">
        <f>'Costing 100 Lmin Feed Orig'!I26</f>
        <v>1.05063644964669E-7</v>
      </c>
      <c r="J26">
        <f>'Costing 100 Lmin Feed Orig'!J26</f>
        <v>3.35605387572801E-4</v>
      </c>
      <c r="K26">
        <f>'Costing 100 Lmin Feed Orig'!K26</f>
        <v>0.12557893497872399</v>
      </c>
      <c r="L26">
        <f>'Costing 100 Lmin Feed Orig'!L26</f>
        <v>0.12701721899235199</v>
      </c>
      <c r="M26">
        <f>'Costing 100 Lmin Feed Orig'!M26</f>
        <v>5.7157122982957897E-4</v>
      </c>
      <c r="N26">
        <f>'Costing 100 Lmin Feed Orig'!N26</f>
        <v>-1.88000656708986E-16</v>
      </c>
      <c r="O26">
        <f>'Costing 100 Lmin Feed Orig'!O26</f>
        <v>-6.2354635343986299E-15</v>
      </c>
      <c r="P26">
        <f>'Costing 100 Lmin Feed Orig'!P26</f>
        <v>-1.51703600853245E-18</v>
      </c>
      <c r="Q26">
        <f>'Costing 100 Lmin Feed Orig'!Q26</f>
        <v>0.121348176216534</v>
      </c>
      <c r="R26">
        <f>'Costing 100 Lmin Feed Orig'!R26</f>
        <v>97.975160184298204</v>
      </c>
      <c r="S26">
        <f>'Costing 100 Lmin Feed Orig'!S26</f>
        <v>500</v>
      </c>
      <c r="T26">
        <f>'Costing 100 Lmin Feed Orig'!T26</f>
        <v>95</v>
      </c>
      <c r="U26">
        <f>'Costing 100 Lmin Feed Orig'!U26</f>
        <v>1</v>
      </c>
      <c r="V26">
        <f>'Costing 100 Lmin Feed Orig'!V26</f>
        <v>0.1</v>
      </c>
      <c r="W26">
        <f>'Costing 100 Lmin Feed Orig'!W26</f>
        <v>82.407501388038199</v>
      </c>
      <c r="X26" t="str">
        <f>'Costing 100 Lmin Feed Orig'!X26</f>
        <v>ddFc</v>
      </c>
      <c r="Y26">
        <f>'Costing 100 Lmin Feed Orig'!Y26</f>
        <v>1</v>
      </c>
      <c r="Z26">
        <f>'Costing 100 Lmin Feed Orig'!Z26</f>
        <v>0.28318429382522198</v>
      </c>
      <c r="AA26">
        <f>'Costing 100 Lmin Feed Orig'!AA26</f>
        <v>0.56945642916197003</v>
      </c>
      <c r="AB26">
        <f>'Costing 100 Lmin Feed Orig'!AB26</f>
        <v>3.7698628972227502E-3</v>
      </c>
      <c r="AC26">
        <f>'Costing 100 Lmin Feed Orig'!AC26</f>
        <v>1822.2107908876901</v>
      </c>
      <c r="AD26">
        <f>'Costing 100 Lmin Feed Orig'!AD26</f>
        <v>2662.6059073104898</v>
      </c>
      <c r="AE26">
        <f>'Costing 100 Lmin Feed Orig'!AE26</f>
        <v>2401.5030938442701</v>
      </c>
      <c r="AF26">
        <f>'Costing 100 Lmin Feed Orig'!AF26</f>
        <v>8</v>
      </c>
      <c r="AG26">
        <f>'Costing 100 Lmin Feed Orig'!AG26</f>
        <v>1.64912412966352E-3</v>
      </c>
      <c r="AH26">
        <f>'Costing 100 Lmin Feed Orig'!AH26</f>
        <v>1.66801192221077E-3</v>
      </c>
      <c r="AI26">
        <f>'Costing 100 Lmin Feed Orig'!AI26</f>
        <v>7.5059714998626504E-6</v>
      </c>
      <c r="AJ26">
        <f>'Costing 100 Lmin Feed Orig'!AJ26</f>
        <v>0</v>
      </c>
      <c r="AK26">
        <f>'Costing 100 Lmin Feed Orig'!AK26</f>
        <v>0</v>
      </c>
      <c r="AL26">
        <f>'Costing 100 Lmin Feed Orig'!AL26</f>
        <v>0</v>
      </c>
      <c r="AM26">
        <f>'Costing 100 Lmin Feed Orig'!AM26</f>
        <v>1.6120834525789199E-3</v>
      </c>
      <c r="AN26">
        <f>'Costing 100 Lmin Feed Orig'!AN26</f>
        <v>7.7390029362408002E-5</v>
      </c>
      <c r="AO26">
        <f>'Costing 100 Lmin Feed Orig'!AO26</f>
        <v>7.4564681417452103E-6</v>
      </c>
      <c r="AP26">
        <f>'Costing 100 Lmin Feed Orig'!AP26</f>
        <v>1.73464665743558E-3</v>
      </c>
      <c r="AQ26">
        <f>'Costing 100 Lmin Feed Orig'!AQ26</f>
        <v>7.4490186842272293E-2</v>
      </c>
      <c r="AR26">
        <f>'Costing 100 Lmin Feed Orig'!AR26</f>
        <v>2.3182846935160901E-6</v>
      </c>
      <c r="AS26">
        <f>'Costing 100 Lmin Feed Orig'!AS26</f>
        <v>1.3007864642193499E-14</v>
      </c>
      <c r="AT26">
        <f>'Costing 100 Lmin Feed Orig'!AT26</f>
        <v>-3.2357883733569101E-12</v>
      </c>
      <c r="AU26">
        <f>'Costing 100 Lmin Feed Orig'!AU26</f>
        <v>1.045225422022E-19</v>
      </c>
      <c r="AV26">
        <f>'Costing 100 Lmin Feed Orig'!AV26</f>
        <v>0.19731704180288601</v>
      </c>
      <c r="AW26">
        <f>'Costing 100 Lmin Feed Orig'!AW26</f>
        <v>99.340480334646202</v>
      </c>
      <c r="AX26">
        <f>'Costing 100 Lmin Feed Orig'!AX26</f>
        <v>500</v>
      </c>
      <c r="AY26">
        <f>'Costing 100 Lmin Feed Orig'!AY26</f>
        <v>95</v>
      </c>
      <c r="AZ26">
        <f>'Costing 100 Lmin Feed Orig'!AZ26</f>
        <v>0.92405262022284995</v>
      </c>
      <c r="BA26">
        <f>'Costing 100 Lmin Feed Orig'!BA26</f>
        <v>0.1</v>
      </c>
      <c r="BB26">
        <f>'Costing 100 Lmin Feed Orig'!BB26</f>
        <v>46.830857171776799</v>
      </c>
      <c r="BC26" t="str">
        <f>'Costing 100 Lmin Feed Orig'!BC26</f>
        <v>coeFc</v>
      </c>
      <c r="BD26">
        <f>'Costing 100 Lmin Feed Orig'!BD26</f>
        <v>1</v>
      </c>
      <c r="BE26">
        <f>'Costing 100 Lmin Feed Orig'!BE26</f>
        <v>1.8775014999999999E-2</v>
      </c>
      <c r="BF26">
        <f>'Costing 100 Lmin Feed Orig'!BF26</f>
        <v>0.10492961100000001</v>
      </c>
      <c r="BG26">
        <f>'Costing 100 Lmin Feed Orig'!BG26</f>
        <v>1.814625E-3</v>
      </c>
      <c r="BH26">
        <f>'Costing 100 Lmin Feed Orig'!BH26</f>
        <v>285.1951444</v>
      </c>
      <c r="BI26">
        <f>'Costing 100 Lmin Feed Orig'!BI26</f>
        <v>2169.8944889999998</v>
      </c>
      <c r="BJ26">
        <f>'Costing 100 Lmin Feed Orig'!BJ26</f>
        <v>866.49409060000005</v>
      </c>
      <c r="BK26">
        <f>'Costing 100 Lmin Feed Orig'!BK26</f>
        <v>100</v>
      </c>
      <c r="BL26">
        <f>'Costing 100 Lmin Feed Orig'!BL26</f>
        <v>12.134817621653401</v>
      </c>
      <c r="BM26">
        <f>'Costing 100 Lmin Feed Orig'!BM26</f>
        <v>92.405262022285001</v>
      </c>
      <c r="BN26">
        <f>'Costing 100 Lmin Feed Orig'!BN26</f>
        <v>19.731704180288602</v>
      </c>
      <c r="BO26">
        <f t="shared" si="1"/>
        <v>169.88744670314762</v>
      </c>
      <c r="BP26">
        <f t="shared" si="2"/>
        <v>394.63408360577205</v>
      </c>
      <c r="BQ26">
        <f t="shared" si="3"/>
        <v>16.988744670314762</v>
      </c>
      <c r="BR26">
        <f t="shared" si="4"/>
        <v>39.463408360577205</v>
      </c>
      <c r="BS26">
        <f>1.2*0.5*BL26*V26/'Oxidant Feed Composition'!$N$22</f>
        <v>7.2808905729920399</v>
      </c>
      <c r="BT26">
        <f>1.2*0.5*BN26*BA26/'Oxidant Feed Composition'!$N$22</f>
        <v>11.83902250817316</v>
      </c>
      <c r="BU26">
        <f t="shared" si="5"/>
        <v>6.0674088108267004</v>
      </c>
      <c r="BV26">
        <f t="shared" si="6"/>
        <v>9.8658520901443012</v>
      </c>
      <c r="BW26">
        <f t="shared" si="7"/>
        <v>86.337853211458295</v>
      </c>
      <c r="BX26">
        <f t="shared" si="0"/>
        <v>38.831416389290879</v>
      </c>
      <c r="BY26">
        <f t="shared" si="8"/>
        <v>209.0801592878768</v>
      </c>
      <c r="BZ26">
        <f t="shared" si="9"/>
        <v>63.141453376923522</v>
      </c>
      <c r="CA26">
        <f t="shared" si="10"/>
        <v>59.195112540865807</v>
      </c>
      <c r="CB26">
        <f>BO26*'Reagent cost'!$G$11*'Reagent cost'!$H$11</f>
        <v>2242.5142964815486</v>
      </c>
      <c r="CC26">
        <f>BP26*'Reagent cost'!$G$11*'Reagent cost'!$H$11</f>
        <v>5209.1699035961919</v>
      </c>
      <c r="CD26">
        <f>BQ26*'Reagent cost'!$C$18/1000*'Reagent cost'!$H$18</f>
        <v>2709.3726906065185</v>
      </c>
      <c r="CE26">
        <f>BR26*'Ligand cost'!$B$56*'Ligand cost'!$J$56</f>
        <v>40178.790448609281</v>
      </c>
      <c r="CF26">
        <f t="shared" si="11"/>
        <v>10</v>
      </c>
      <c r="CG26">
        <f t="shared" si="12"/>
        <v>2.4269635243306804</v>
      </c>
      <c r="CH26">
        <f t="shared" si="13"/>
        <v>3.9463408360577206</v>
      </c>
      <c r="CI26">
        <f>7963.6*(BX26/1000)^0.6*1.7*('CAPEX+OPEX'!$G$116/'CAPEX+OPEX'!$G$115)</f>
        <v>2273.7926954959794</v>
      </c>
      <c r="CJ26">
        <f>7963.6*(BY26/1000)^0.6*1.7*('CAPEX+OPEX'!$G$116/'CAPEX+OPEX'!$G$115)</f>
        <v>6243.5072626595684</v>
      </c>
      <c r="CK26">
        <f>7963.6*(BZ26/1000)^0.6*1.7*('CAPEX+OPEX'!$G$116/'CAPEX+OPEX'!$G$115)</f>
        <v>3043.8950358731904</v>
      </c>
      <c r="CL26">
        <f>7963.6*(CA26/1000)^0.6*1.7*('CAPEX+OPEX'!$G$116/'CAPEX+OPEX'!$G$115)</f>
        <v>2928.2789003674211</v>
      </c>
      <c r="CM26">
        <f>'Costing 100 Lmin Feed Orig'!DE26</f>
        <v>39625.826528698344</v>
      </c>
      <c r="CN26">
        <f>'Costing 100 Lmin Feed Orig'!DF26</f>
        <v>4586243.4239371875</v>
      </c>
      <c r="CO26">
        <f>'Costing 100 Lmin Feed Orig'!DG26</f>
        <v>11794834.586807497</v>
      </c>
      <c r="CP26">
        <f>'Costing 100 Lmin Feed Orig'!DH26</f>
        <v>2275209.1661185985</v>
      </c>
      <c r="CQ26">
        <f>'Costing 100 Lmin Feed Orig'!DI26</f>
        <v>14083914.336508472</v>
      </c>
      <c r="CR26">
        <f>'Costing 100 Lmin Feed Orig'!DJ26</f>
        <v>1662824.8986326549</v>
      </c>
      <c r="CS26">
        <f>CN26*(BK26/10000)^0.72*((A26+1)/3)^0.6*('CAPEX+OPEX'!$G$116/'CAPEX+OPEX'!$G$114)</f>
        <v>589054.93036564998</v>
      </c>
      <c r="CT26">
        <f>CO26*(BK26/10000)^0.72*((A26+1)/3)^0.6*('CAPEX+OPEX'!$G$116/'CAPEX+OPEX'!$G$114)</f>
        <v>1514922.9606835202</v>
      </c>
      <c r="CU26">
        <f>CP26*(BK26/10000)^0.72*((A26+1)/3)^0.6*('CAPEX+OPEX'!$G$116/'CAPEX+OPEX'!$G$114)</f>
        <v>292226.78628879401</v>
      </c>
      <c r="CV26">
        <f>CQ26*(BK26/10000)^0.72*((A26+1)/3)^0.6*('CAPEX+OPEX'!$G$116/'CAPEX+OPEX'!$G$114)</f>
        <v>1808931.2781495745</v>
      </c>
      <c r="CW26">
        <f>CR26*(BK26/10000)^0.72*((A26+1)/3)^0.6*('CAPEX+OPEX'!$G$116/'CAPEX+OPEX'!$G$114)</f>
        <v>213572.44139332071</v>
      </c>
      <c r="CX26">
        <f t="shared" si="14"/>
        <v>4418708.3968808586</v>
      </c>
      <c r="CY26">
        <f>CN26*(BM26/10000)^0.72*((AF26+1)/3)^0.6*('CAPEX+OPEX'!$G$116/'CAPEX+OPEX'!$G$114)</f>
        <v>709761.0732627036</v>
      </c>
      <c r="CZ26">
        <f>CO26*(BM26/10000)^0.72*((AF26+1)/3)^0.6*('CAPEX+OPEX'!$G$116/'CAPEX+OPEX'!$G$114)</f>
        <v>1825353.2753178168</v>
      </c>
      <c r="DA26">
        <f>CP26*(BM26/10000)^0.72*((AF26+1)/3)^0.6*('CAPEX+OPEX'!$G$116/'CAPEX+OPEX'!$G$114)</f>
        <v>352108.41430984496</v>
      </c>
      <c r="DB26">
        <f>CQ26*(BM26/10000)^0.72*((AF26+1)/3)^0.6*('CAPEX+OPEX'!$G$116/'CAPEX+OPEX'!$G$114)</f>
        <v>2179608.2831204594</v>
      </c>
      <c r="DC26">
        <f>CR26*(BM26/10000)^0.72*((AF26+1)/3)^0.6*('CAPEX+OPEX'!$G$116/'CAPEX+OPEX'!$G$114)</f>
        <v>257336.62076058687</v>
      </c>
      <c r="DD26">
        <f t="shared" si="15"/>
        <v>5324167.6667714119</v>
      </c>
      <c r="DE26">
        <f>CX26+DD26+1.15*(SUM(CI26:CL26)+SUM(CB26:CE26))</f>
        <v>9817429.7830710132</v>
      </c>
      <c r="DF26">
        <f t="shared" si="16"/>
        <v>654495.3188714009</v>
      </c>
      <c r="DG26">
        <f>(BS26+BT26)*'Oxidant Feed Composition'!$N$25*60*7200</f>
        <v>15398283.195874996</v>
      </c>
      <c r="DH26">
        <f>((CG26+CH26)*'Reagent cost'!$C$17/1000*'Reagent cost'!$H$17+(CG26+CH26)*0.5*'Reagent cost'!$C$16/1000*'Reagent cost'!$H$16)*60*7200</f>
        <v>6136565.1656678561</v>
      </c>
      <c r="DI26">
        <f>CF26*'Reagent cost'!$C$17/1000*'Reagent cost'!$H$17*60*7200</f>
        <v>504921.59999999998</v>
      </c>
      <c r="DJ26">
        <f t="shared" si="17"/>
        <v>74.516842000777402</v>
      </c>
      <c r="DK26">
        <f t="shared" si="18"/>
        <v>857.763262784316</v>
      </c>
      <c r="DL26">
        <f t="shared" si="19"/>
        <v>26448842.689977165</v>
      </c>
      <c r="DM26">
        <f>BK26*(B26*(409.81+2)/1000+C26*(248.2+2*22.99)/1000+D26*(315.6+3*22.99)/1000+0.1*58.44/1000)</f>
        <v>0.70639694042110623</v>
      </c>
      <c r="DN26">
        <f>(BS26+BT26)/1000*('Oxidant Feed Composition'!$B$11*'Oxidant Feed Composition'!$O$20+'Oxidant Feed Composition'!$D$11*'Oxidant Feed Composition'!$O$21+'Oxidant Feed Composition'!$F$11*'Oxidant Feed Composition'!$O$27-'Oxidant Feed Composition'!$J$15*18.015)</f>
        <v>2.2329102540238606</v>
      </c>
      <c r="DO26">
        <f>(BU26+BV26)/1000*(0.2*368.34+0.4*58.44)</f>
        <v>1.5462273708738297</v>
      </c>
      <c r="DP26">
        <f>BK26/1000*(B26*195.08+C26*106.42+D26*102.91)</f>
        <v>4.999938342565946E-2</v>
      </c>
      <c r="DQ26">
        <f>SUM(DM26:DO26)-DP26</f>
        <v>4.4355351818931368</v>
      </c>
      <c r="DR26">
        <f>DQ26*60*7200*0.33</f>
        <v>632329.89553068567</v>
      </c>
      <c r="DS26">
        <v>1.2</v>
      </c>
      <c r="DT26">
        <f>BM26/60*(AM26*4+AN26*2+AO26*3)*96485/DV26</f>
        <v>1406.4515484627877</v>
      </c>
      <c r="DU26">
        <f>BN26*BA26*(AP26*4+AQ26*2+AR26*3)*96485/DV26/60</f>
        <v>706.79490200313717</v>
      </c>
      <c r="DV26">
        <v>0.7</v>
      </c>
      <c r="DW26">
        <f>0.499*((BK26/3.78541*15)^(-0.146))*BK26/3.78541*15*300*(1+(A26-2)/9)</f>
        <v>33024.331428945443</v>
      </c>
      <c r="DX26">
        <f>0.248*((BK26/3.78541*15)^(-0.144))*BK26/3.78541*15*300*(1+(A26-2)/3)</f>
        <v>24915.659383376755</v>
      </c>
      <c r="DY26">
        <f>0.105*((BK26/3.78541*15)^(-0.144))*BK26/3.78541*15*300*(1+(A26-2)/3)</f>
        <v>10548.968690542577</v>
      </c>
      <c r="DZ26">
        <f>0.058*((BK26/3.78541*15)^(-0.151))*BK26/3.78541*15*300*(1+(A26-2)/3)</f>
        <v>5588.0830181845758</v>
      </c>
      <c r="EA26">
        <f>0.056*((BK26/3.78541*15)^(-0.144))*BK26/3.78541*15*300*(1+(A26-2)/3)</f>
        <v>5626.1166349560426</v>
      </c>
      <c r="EB26">
        <f>DS26*DT26/(3.6*10^6)*3600*7200*0.07</f>
        <v>850.62189651029416</v>
      </c>
      <c r="EC26">
        <f>0.499*((BM26/3.78541*15)^(-0.146))*BM26/3.78541*15*300*(1+(AF26-2)/9)</f>
        <v>38587.712258303472</v>
      </c>
      <c r="ED26">
        <f>0.248*((BM26/3.78541*15)^(-0.144))*BM26/3.78541*15*300*(1+(AF26-2)/3)</f>
        <v>34930.115508714101</v>
      </c>
      <c r="EE26">
        <f>0.105*((BM26/3.78541*15)^(-0.144))*BM26/3.78541*15*300*(1+(AF26-2)/3)</f>
        <v>14788.960195221691</v>
      </c>
      <c r="EF26">
        <f>0.058*((BM26/3.78541*15)^(-0.151))*BM26/3.78541*15*300*(1+(AF26-2)/3)</f>
        <v>7838.4575238279431</v>
      </c>
      <c r="EG26">
        <f>0.056*((BM26/3.78541*15)^(-0.144))*BM26/3.78541*15*300*(1+(AF26-2)/3)</f>
        <v>7887.4454374515717</v>
      </c>
      <c r="EH26">
        <f>DS26*DU26/(3.6*10^6)*3600*7200*0.07</f>
        <v>427.46955673149739</v>
      </c>
      <c r="EI26">
        <f>SUM(DW26:EH26)</f>
        <v>185013.94153276595</v>
      </c>
      <c r="EJ26">
        <f>EI26+DR26+DL26</f>
        <v>27266186.527040616</v>
      </c>
      <c r="EK26">
        <f>EJ26+DF26</f>
        <v>27920681.845912017</v>
      </c>
      <c r="EL26">
        <f>EK26/(BK26*60*7200)</f>
        <v>0.64631207976648186</v>
      </c>
      <c r="EM26">
        <f>EK26/(BM26*(AM26*195.084/1000+AN26*106.42/1000+AO26*102.911/1000)*60*7200)</f>
        <v>2162.1118068747687</v>
      </c>
      <c r="EN26">
        <f>EK26/(BN26*BA26*(AP26*195.084/1000+AQ26*106.42/1000+AR26*102.911/1000)*60*7200)</f>
        <v>3962.6732411866287</v>
      </c>
    </row>
    <row r="27" spans="1:144">
      <c r="A27">
        <f>'Costing 100 Lmin Feed Orig'!A27</f>
        <v>5</v>
      </c>
      <c r="B27">
        <f>'Costing 100 Lmin Feed Orig'!B27</f>
        <v>1.54143585092054E-3</v>
      </c>
      <c r="C27">
        <f>'Costing 100 Lmin Feed Orig'!C27</f>
        <v>1.54143585092054E-3</v>
      </c>
      <c r="D27">
        <f>'Costing 100 Lmin Feed Orig'!D27</f>
        <v>3.4254130020456501E-4</v>
      </c>
      <c r="E27">
        <f>'Costing 100 Lmin Feed Orig'!E27</f>
        <v>0</v>
      </c>
      <c r="F27">
        <f>'Costing 100 Lmin Feed Orig'!F27</f>
        <v>0</v>
      </c>
      <c r="G27">
        <f>'Costing 100 Lmin Feed Orig'!G27</f>
        <v>0</v>
      </c>
      <c r="H27">
        <f>'Costing 100 Lmin Feed Orig'!H27</f>
        <v>1.7558377832426001E-5</v>
      </c>
      <c r="I27">
        <f>'Costing 100 Lmin Feed Orig'!I27</f>
        <v>1.05063644964669E-7</v>
      </c>
      <c r="J27">
        <f>'Costing 100 Lmin Feed Orig'!J27</f>
        <v>3.35605387572801E-4</v>
      </c>
      <c r="K27">
        <f>'Costing 100 Lmin Feed Orig'!K27</f>
        <v>0.12557893497872399</v>
      </c>
      <c r="L27">
        <f>'Costing 100 Lmin Feed Orig'!L27</f>
        <v>0.12701721899235199</v>
      </c>
      <c r="M27">
        <f>'Costing 100 Lmin Feed Orig'!M27</f>
        <v>5.7157122982957897E-4</v>
      </c>
      <c r="N27">
        <f>'Costing 100 Lmin Feed Orig'!N27</f>
        <v>-1.88000656708986E-16</v>
      </c>
      <c r="O27">
        <f>'Costing 100 Lmin Feed Orig'!O27</f>
        <v>-6.2354635343986299E-15</v>
      </c>
      <c r="P27">
        <f>'Costing 100 Lmin Feed Orig'!P27</f>
        <v>-1.51703600853245E-18</v>
      </c>
      <c r="Q27">
        <f>'Costing 100 Lmin Feed Orig'!Q27</f>
        <v>0.121348176216534</v>
      </c>
      <c r="R27">
        <f>'Costing 100 Lmin Feed Orig'!R27</f>
        <v>97.975160184298204</v>
      </c>
      <c r="S27">
        <f>'Costing 100 Lmin Feed Orig'!S27</f>
        <v>500</v>
      </c>
      <c r="T27">
        <f>'Costing 100 Lmin Feed Orig'!T27</f>
        <v>95</v>
      </c>
      <c r="U27">
        <f>'Costing 100 Lmin Feed Orig'!U27</f>
        <v>1</v>
      </c>
      <c r="V27">
        <f>'Costing 100 Lmin Feed Orig'!V27</f>
        <v>0.1</v>
      </c>
      <c r="W27">
        <f>'Costing 100 Lmin Feed Orig'!W27</f>
        <v>82.407501388038199</v>
      </c>
      <c r="X27" t="str">
        <f>'Costing 100 Lmin Feed Orig'!X27</f>
        <v>ddFc</v>
      </c>
      <c r="Y27">
        <f>'Costing 100 Lmin Feed Orig'!Y27</f>
        <v>1</v>
      </c>
      <c r="Z27">
        <f>'Costing 100 Lmin Feed Orig'!Z27</f>
        <v>0.28318429382522198</v>
      </c>
      <c r="AA27">
        <f>'Costing 100 Lmin Feed Orig'!AA27</f>
        <v>0.56945642916197003</v>
      </c>
      <c r="AB27">
        <f>'Costing 100 Lmin Feed Orig'!AB27</f>
        <v>3.7698628972227502E-3</v>
      </c>
      <c r="AC27">
        <f>'Costing 100 Lmin Feed Orig'!AC27</f>
        <v>1822.2107908876901</v>
      </c>
      <c r="AD27">
        <f>'Costing 100 Lmin Feed Orig'!AD27</f>
        <v>2662.6059073104898</v>
      </c>
      <c r="AE27">
        <f>'Costing 100 Lmin Feed Orig'!AE27</f>
        <v>2401.5030938442701</v>
      </c>
      <c r="AF27">
        <f>'Costing 100 Lmin Feed Orig'!AF27</f>
        <v>9</v>
      </c>
      <c r="AG27">
        <f>'Costing 100 Lmin Feed Orig'!AG27</f>
        <v>1.64912412966352E-3</v>
      </c>
      <c r="AH27">
        <f>'Costing 100 Lmin Feed Orig'!AH27</f>
        <v>1.66801192221077E-3</v>
      </c>
      <c r="AI27">
        <f>'Costing 100 Lmin Feed Orig'!AI27</f>
        <v>7.5059714998626504E-6</v>
      </c>
      <c r="AJ27">
        <f>'Costing 100 Lmin Feed Orig'!AJ27</f>
        <v>0</v>
      </c>
      <c r="AK27">
        <f>'Costing 100 Lmin Feed Orig'!AK27</f>
        <v>0</v>
      </c>
      <c r="AL27">
        <f>'Costing 100 Lmin Feed Orig'!AL27</f>
        <v>0</v>
      </c>
      <c r="AM27">
        <f>'Costing 100 Lmin Feed Orig'!AM27</f>
        <v>1.6121246149811801E-3</v>
      </c>
      <c r="AN27">
        <f>'Costing 100 Lmin Feed Orig'!AN27</f>
        <v>7.7392143035352694E-5</v>
      </c>
      <c r="AO27">
        <f>'Costing 100 Lmin Feed Orig'!AO27</f>
        <v>7.4565208744733498E-6</v>
      </c>
      <c r="AP27">
        <f>'Costing 100 Lmin Feed Orig'!AP27</f>
        <v>1.73325760784225E-3</v>
      </c>
      <c r="AQ27">
        <f>'Costing 100 Lmin Feed Orig'!AQ27</f>
        <v>7.4513243137229707E-2</v>
      </c>
      <c r="AR27">
        <f>'Costing 100 Lmin Feed Orig'!AR27</f>
        <v>2.3165350520080302E-6</v>
      </c>
      <c r="AS27">
        <f>'Costing 100 Lmin Feed Orig'!AS27</f>
        <v>1.36270660554271E-16</v>
      </c>
      <c r="AT27">
        <f>'Costing 100 Lmin Feed Orig'!AT27</f>
        <v>-1.76959141784394E-14</v>
      </c>
      <c r="AU27">
        <f>'Costing 100 Lmin Feed Orig'!AU27</f>
        <v>-3.3351922298138001E-21</v>
      </c>
      <c r="AV27">
        <f>'Costing 100 Lmin Feed Orig'!AV27</f>
        <v>0.19725572433293401</v>
      </c>
      <c r="AW27">
        <f>'Costing 100 Lmin Feed Orig'!AW27</f>
        <v>99.341182878322797</v>
      </c>
      <c r="AX27">
        <f>'Costing 100 Lmin Feed Orig'!AX27</f>
        <v>500</v>
      </c>
      <c r="AY27">
        <f>'Costing 100 Lmin Feed Orig'!AY27</f>
        <v>95</v>
      </c>
      <c r="AZ27">
        <f>'Costing 100 Lmin Feed Orig'!AZ27</f>
        <v>0.92405262022284995</v>
      </c>
      <c r="BA27">
        <f>'Costing 100 Lmin Feed Orig'!BA27</f>
        <v>0.1</v>
      </c>
      <c r="BB27">
        <f>'Costing 100 Lmin Feed Orig'!BB27</f>
        <v>46.8454146690923</v>
      </c>
      <c r="BC27" t="str">
        <f>'Costing 100 Lmin Feed Orig'!BC27</f>
        <v>coeFc</v>
      </c>
      <c r="BD27">
        <f>'Costing 100 Lmin Feed Orig'!BD27</f>
        <v>1</v>
      </c>
      <c r="BE27">
        <f>'Costing 100 Lmin Feed Orig'!BE27</f>
        <v>1.8775014999999999E-2</v>
      </c>
      <c r="BF27">
        <f>'Costing 100 Lmin Feed Orig'!BF27</f>
        <v>0.10492961100000001</v>
      </c>
      <c r="BG27">
        <f>'Costing 100 Lmin Feed Orig'!BG27</f>
        <v>1.814625E-3</v>
      </c>
      <c r="BH27">
        <f>'Costing 100 Lmin Feed Orig'!BH27</f>
        <v>285.1951444</v>
      </c>
      <c r="BI27">
        <f>'Costing 100 Lmin Feed Orig'!BI27</f>
        <v>2169.8944889999998</v>
      </c>
      <c r="BJ27">
        <f>'Costing 100 Lmin Feed Orig'!BJ27</f>
        <v>866.49409060000005</v>
      </c>
      <c r="BK27">
        <f>'Costing 100 Lmin Feed Orig'!BK27</f>
        <v>100</v>
      </c>
      <c r="BL27">
        <f>'Costing 100 Lmin Feed Orig'!BL27</f>
        <v>12.134817621653401</v>
      </c>
      <c r="BM27">
        <f>'Costing 100 Lmin Feed Orig'!BM27</f>
        <v>92.405262022285001</v>
      </c>
      <c r="BN27">
        <f>'Costing 100 Lmin Feed Orig'!BN27</f>
        <v>19.725572433293401</v>
      </c>
      <c r="BO27">
        <f t="shared" si="1"/>
        <v>169.88744670314762</v>
      </c>
      <c r="BP27">
        <f t="shared" si="2"/>
        <v>433.96259353245483</v>
      </c>
      <c r="BQ27">
        <f t="shared" si="3"/>
        <v>16.988744670314762</v>
      </c>
      <c r="BR27">
        <f t="shared" si="4"/>
        <v>43.396259353245483</v>
      </c>
      <c r="BS27">
        <f>1.2*0.5*BL27*V27/'Oxidant Feed Composition'!$N$22</f>
        <v>7.2808905729920399</v>
      </c>
      <c r="BT27">
        <f>1.2*0.5*BN27*BA27/'Oxidant Feed Composition'!$N$22</f>
        <v>11.835343459976039</v>
      </c>
      <c r="BU27">
        <f t="shared" si="5"/>
        <v>6.0674088108267004</v>
      </c>
      <c r="BV27">
        <f t="shared" si="6"/>
        <v>9.8627862166467004</v>
      </c>
      <c r="BW27">
        <f t="shared" si="7"/>
        <v>86.337853211458295</v>
      </c>
      <c r="BX27">
        <f t="shared" si="0"/>
        <v>38.831416389290879</v>
      </c>
      <c r="BY27">
        <f t="shared" si="8"/>
        <v>209.0801592878768</v>
      </c>
      <c r="BZ27">
        <f t="shared" si="9"/>
        <v>63.121831786538877</v>
      </c>
      <c r="CA27">
        <f t="shared" si="10"/>
        <v>59.176717299880202</v>
      </c>
      <c r="CB27">
        <f>BO27*'Reagent cost'!$G$11*'Reagent cost'!$H$11</f>
        <v>2242.5142964815486</v>
      </c>
      <c r="CC27">
        <f>BP27*'Reagent cost'!$G$11*'Reagent cost'!$H$11</f>
        <v>5728.3062346284041</v>
      </c>
      <c r="CD27">
        <f>BQ27*'Reagent cost'!$C$18/1000*'Reagent cost'!$H$18</f>
        <v>2709.3726906065185</v>
      </c>
      <c r="CE27">
        <f>BR27*'Ligand cost'!$B$56*'Ligand cost'!$J$56</f>
        <v>44182.935109815946</v>
      </c>
      <c r="CF27">
        <f t="shared" si="11"/>
        <v>10</v>
      </c>
      <c r="CG27">
        <f t="shared" si="12"/>
        <v>2.4269635243306804</v>
      </c>
      <c r="CH27">
        <f t="shared" si="13"/>
        <v>3.9451144866586803</v>
      </c>
      <c r="CI27">
        <f>7963.6*(BX27/1000)^0.6*1.7*('CAPEX+OPEX'!$G$116/'CAPEX+OPEX'!$G$115)</f>
        <v>2273.7926954959794</v>
      </c>
      <c r="CJ27">
        <f>7963.6*(BY27/1000)^0.6*1.7*('CAPEX+OPEX'!$G$116/'CAPEX+OPEX'!$G$115)</f>
        <v>6243.5072626595684</v>
      </c>
      <c r="CK27">
        <f>7963.6*(BZ27/1000)^0.6*1.7*('CAPEX+OPEX'!$G$116/'CAPEX+OPEX'!$G$115)</f>
        <v>3043.3274552652783</v>
      </c>
      <c r="CL27">
        <f>7963.6*(CA27/1000)^0.6*1.7*('CAPEX+OPEX'!$G$116/'CAPEX+OPEX'!$G$115)</f>
        <v>2927.7328781495667</v>
      </c>
      <c r="CM27">
        <f>'Costing 100 Lmin Feed Orig'!DE27</f>
        <v>39625.826528698344</v>
      </c>
      <c r="CN27">
        <f>'Costing 100 Lmin Feed Orig'!DF27</f>
        <v>4586243.4239371875</v>
      </c>
      <c r="CO27">
        <f>'Costing 100 Lmin Feed Orig'!DG27</f>
        <v>11794834.586807497</v>
      </c>
      <c r="CP27">
        <f>'Costing 100 Lmin Feed Orig'!DH27</f>
        <v>2275209.1661185985</v>
      </c>
      <c r="CQ27">
        <f>'Costing 100 Lmin Feed Orig'!DI27</f>
        <v>14083914.336508472</v>
      </c>
      <c r="CR27">
        <f>'Costing 100 Lmin Feed Orig'!DJ27</f>
        <v>1662824.8986326549</v>
      </c>
      <c r="CS27">
        <f>CN27*(BK27/10000)^0.72*((A27+1)/3)^0.6*('CAPEX+OPEX'!$G$116/'CAPEX+OPEX'!$G$114)</f>
        <v>589054.93036564998</v>
      </c>
      <c r="CT27">
        <f>CO27*(BK27/10000)^0.72*((A27+1)/3)^0.6*('CAPEX+OPEX'!$G$116/'CAPEX+OPEX'!$G$114)</f>
        <v>1514922.9606835202</v>
      </c>
      <c r="CU27">
        <f>CP27*(BK27/10000)^0.72*((A27+1)/3)^0.6*('CAPEX+OPEX'!$G$116/'CAPEX+OPEX'!$G$114)</f>
        <v>292226.78628879401</v>
      </c>
      <c r="CV27">
        <f>CQ27*(BK27/10000)^0.72*((A27+1)/3)^0.6*('CAPEX+OPEX'!$G$116/'CAPEX+OPEX'!$G$114)</f>
        <v>1808931.2781495745</v>
      </c>
      <c r="CW27">
        <f>CR27*(BK27/10000)^0.72*((A27+1)/3)^0.6*('CAPEX+OPEX'!$G$116/'CAPEX+OPEX'!$G$114)</f>
        <v>213572.44139332071</v>
      </c>
      <c r="CX27">
        <f t="shared" si="14"/>
        <v>4418708.3968808586</v>
      </c>
      <c r="CY27">
        <f>CN27*(BM27/10000)^0.72*((AF27+1)/3)^0.6*('CAPEX+OPEX'!$G$116/'CAPEX+OPEX'!$G$114)</f>
        <v>756078.12158013834</v>
      </c>
      <c r="CZ27">
        <f>CO27*(BM27/10000)^0.72*((AF27+1)/3)^0.6*('CAPEX+OPEX'!$G$116/'CAPEX+OPEX'!$G$114)</f>
        <v>1944470.7911046974</v>
      </c>
      <c r="DA27">
        <f>CP27*(BM27/10000)^0.72*((AF27+1)/3)^0.6*('CAPEX+OPEX'!$G$116/'CAPEX+OPEX'!$G$114)</f>
        <v>375086.03741841484</v>
      </c>
      <c r="DB27">
        <f>CQ27*(BM27/10000)^0.72*((AF27+1)/3)^0.6*('CAPEX+OPEX'!$G$116/'CAPEX+OPEX'!$G$114)</f>
        <v>2321843.5027814927</v>
      </c>
      <c r="DC27">
        <f>CR27*(BM27/10000)^0.72*((AF27+1)/3)^0.6*('CAPEX+OPEX'!$G$116/'CAPEX+OPEX'!$G$114)</f>
        <v>274129.6982434399</v>
      </c>
      <c r="DD27">
        <f t="shared" si="15"/>
        <v>5671608.1511281831</v>
      </c>
      <c r="DE27">
        <f>CX27+DD27+1.15*(SUM(CI27:CL27)+SUM(CB27:CE27))</f>
        <v>10170070.759925609</v>
      </c>
      <c r="DF27">
        <f t="shared" si="16"/>
        <v>678004.71732837392</v>
      </c>
      <c r="DG27">
        <f>(BS27+BT27)*'Oxidant Feed Composition'!$N$25*60*7200</f>
        <v>15395320.262634138</v>
      </c>
      <c r="DH27">
        <f>((CG27+CH27)*'Reagent cost'!$C$17/1000*'Reagent cost'!$H$17+(CG27+CH27)*0.5*'Reagent cost'!$C$16/1000*'Reagent cost'!$H$16)*60*7200</f>
        <v>6135384.3695568359</v>
      </c>
      <c r="DI27">
        <f>CF27*'Reagent cost'!$C$17/1000*'Reagent cost'!$H$17*60*7200</f>
        <v>504921.59999999998</v>
      </c>
      <c r="DJ27">
        <f t="shared" si="17"/>
        <v>79.708205311099533</v>
      </c>
      <c r="DK27">
        <f t="shared" si="18"/>
        <v>937.84615600844938</v>
      </c>
      <c r="DL27">
        <f t="shared" si="19"/>
        <v>26443972.543862753</v>
      </c>
      <c r="DM27">
        <f>BK27*(B27*(409.81+2)/1000+C27*(248.2+2*22.99)/1000+D27*(315.6+3*22.99)/1000+0.1*58.44/1000)</f>
        <v>0.70639694042110623</v>
      </c>
      <c r="DN27">
        <f>(BS27+BT27)/1000*('Oxidant Feed Composition'!$B$11*'Oxidant Feed Composition'!$O$20+'Oxidant Feed Composition'!$D$11*'Oxidant Feed Composition'!$O$21+'Oxidant Feed Composition'!$F$11*'Oxidant Feed Composition'!$O$27-'Oxidant Feed Composition'!$J$15*18.015)</f>
        <v>2.2324805980725215</v>
      </c>
      <c r="DO27">
        <f>(BU27+BV27)/1000*(0.2*368.34+0.4*58.44)</f>
        <v>1.5459298462461286</v>
      </c>
      <c r="DP27">
        <f>BK27/1000*(B27*195.08+C27*106.42+D27*102.91)</f>
        <v>4.999938342565946E-2</v>
      </c>
      <c r="DQ27">
        <f>SUM(DM27:DO27)-DP27</f>
        <v>4.4348080013140967</v>
      </c>
      <c r="DR27">
        <f>DQ27*60*7200*0.33</f>
        <v>632226.22866733768</v>
      </c>
      <c r="DS27">
        <v>1.2</v>
      </c>
      <c r="DT27">
        <f>BM27/60*(AM27*4+AN27*2+AO27*3)*96485/DV27</f>
        <v>1406.4874310909718</v>
      </c>
      <c r="DU27">
        <f>BN27*BA27*(AP27*4+AQ27*2+AR27*3)*96485/DV27/60</f>
        <v>706.75901790821581</v>
      </c>
      <c r="DV27">
        <v>0.7</v>
      </c>
      <c r="DW27">
        <f>0.499*((BK27/3.78541*15)^(-0.146))*BK27/3.78541*15*300*(1+(A27-2)/9)</f>
        <v>33024.331428945443</v>
      </c>
      <c r="DX27">
        <f>0.248*((BK27/3.78541*15)^(-0.144))*BK27/3.78541*15*300*(1+(A27-2)/3)</f>
        <v>24915.659383376755</v>
      </c>
      <c r="DY27">
        <f>0.105*((BK27/3.78541*15)^(-0.144))*BK27/3.78541*15*300*(1+(A27-2)/3)</f>
        <v>10548.968690542577</v>
      </c>
      <c r="DZ27">
        <f>0.058*((BK27/3.78541*15)^(-0.151))*BK27/3.78541*15*300*(1+(A27-2)/3)</f>
        <v>5588.0830181845758</v>
      </c>
      <c r="EA27">
        <f>0.056*((BK27/3.78541*15)^(-0.144))*BK27/3.78541*15*300*(1+(A27-2)/3)</f>
        <v>5626.1166349560426</v>
      </c>
      <c r="EB27">
        <f>DS27*DT27/(3.6*10^6)*3600*7200*0.07</f>
        <v>850.64359832381979</v>
      </c>
      <c r="EC27">
        <f>0.499*((BM27/3.78541*15)^(-0.146))*BM27/3.78541*15*300*(1+(AF27-2)/9)</f>
        <v>41160.226408857045</v>
      </c>
      <c r="ED27">
        <f>0.248*((BM27/3.78541*15)^(-0.144))*BM27/3.78541*15*300*(1+(AF27-2)/3)</f>
        <v>38811.239454126779</v>
      </c>
      <c r="EE27">
        <f>0.105*((BM27/3.78541*15)^(-0.144))*BM27/3.78541*15*300*(1+(AF27-2)/3)</f>
        <v>16432.17799469077</v>
      </c>
      <c r="EF27">
        <f>0.058*((BM27/3.78541*15)^(-0.151))*BM27/3.78541*15*300*(1+(AF27-2)/3)</f>
        <v>8709.3972486977145</v>
      </c>
      <c r="EG27">
        <f>0.056*((BM27/3.78541*15)^(-0.144))*BM27/3.78541*15*300*(1+(AF27-2)/3)</f>
        <v>8763.8282638350811</v>
      </c>
      <c r="EH27">
        <f>DS27*DU27/(3.6*10^6)*3600*7200*0.07</f>
        <v>427.44785403088895</v>
      </c>
      <c r="EI27">
        <f>SUM(DW27:EH27)</f>
        <v>194858.1199785675</v>
      </c>
      <c r="EJ27">
        <f>EI27+DR27+DL27</f>
        <v>27271056.89250866</v>
      </c>
      <c r="EK27">
        <f>EJ27+DF27</f>
        <v>27949061.609837033</v>
      </c>
      <c r="EL27">
        <f>EK27/(BK27*60*7200)</f>
        <v>0.64696901874622759</v>
      </c>
      <c r="EM27">
        <f>EK27/(BM27*(AM27*195.084/1000+AN27*106.42/1000+AO27*102.911/1000)*60*7200)</f>
        <v>2164.2542043639428</v>
      </c>
      <c r="EN27">
        <f>EK27/(BN27*BA27*(AP27*195.084/1000+AQ27*106.42/1000+AR27*102.911/1000)*60*7200)</f>
        <v>3966.8867298510791</v>
      </c>
    </row>
    <row r="28" spans="1:144">
      <c r="A28">
        <f>'Costing 100 Lmin Feed Orig'!A28</f>
        <v>5</v>
      </c>
      <c r="B28">
        <f>'Costing 100 Lmin Feed Orig'!B28</f>
        <v>1.54143585092054E-3</v>
      </c>
      <c r="C28">
        <f>'Costing 100 Lmin Feed Orig'!C28</f>
        <v>1.54143585092054E-3</v>
      </c>
      <c r="D28">
        <f>'Costing 100 Lmin Feed Orig'!D28</f>
        <v>3.4254130020456501E-4</v>
      </c>
      <c r="E28">
        <f>'Costing 100 Lmin Feed Orig'!E28</f>
        <v>0</v>
      </c>
      <c r="F28">
        <f>'Costing 100 Lmin Feed Orig'!F28</f>
        <v>0</v>
      </c>
      <c r="G28">
        <f>'Costing 100 Lmin Feed Orig'!G28</f>
        <v>0</v>
      </c>
      <c r="H28">
        <f>'Costing 100 Lmin Feed Orig'!H28</f>
        <v>1.7558377832426001E-5</v>
      </c>
      <c r="I28">
        <f>'Costing 100 Lmin Feed Orig'!I28</f>
        <v>1.05063644964669E-7</v>
      </c>
      <c r="J28">
        <f>'Costing 100 Lmin Feed Orig'!J28</f>
        <v>3.35605387572801E-4</v>
      </c>
      <c r="K28">
        <f>'Costing 100 Lmin Feed Orig'!K28</f>
        <v>0.12557893497872399</v>
      </c>
      <c r="L28">
        <f>'Costing 100 Lmin Feed Orig'!L28</f>
        <v>0.12701721899235199</v>
      </c>
      <c r="M28">
        <f>'Costing 100 Lmin Feed Orig'!M28</f>
        <v>5.7157122982957897E-4</v>
      </c>
      <c r="N28">
        <f>'Costing 100 Lmin Feed Orig'!N28</f>
        <v>-1.88000656708986E-16</v>
      </c>
      <c r="O28">
        <f>'Costing 100 Lmin Feed Orig'!O28</f>
        <v>-6.2354635343986299E-15</v>
      </c>
      <c r="P28">
        <f>'Costing 100 Lmin Feed Orig'!P28</f>
        <v>-1.51703600853245E-18</v>
      </c>
      <c r="Q28">
        <f>'Costing 100 Lmin Feed Orig'!Q28</f>
        <v>0.121348176216534</v>
      </c>
      <c r="R28">
        <f>'Costing 100 Lmin Feed Orig'!R28</f>
        <v>97.975160184298204</v>
      </c>
      <c r="S28">
        <f>'Costing 100 Lmin Feed Orig'!S28</f>
        <v>500</v>
      </c>
      <c r="T28">
        <f>'Costing 100 Lmin Feed Orig'!T28</f>
        <v>95</v>
      </c>
      <c r="U28">
        <f>'Costing 100 Lmin Feed Orig'!U28</f>
        <v>1</v>
      </c>
      <c r="V28">
        <f>'Costing 100 Lmin Feed Orig'!V28</f>
        <v>0.1</v>
      </c>
      <c r="W28">
        <f>'Costing 100 Lmin Feed Orig'!W28</f>
        <v>82.407501388038199</v>
      </c>
      <c r="X28" t="str">
        <f>'Costing 100 Lmin Feed Orig'!X28</f>
        <v>ddFc</v>
      </c>
      <c r="Y28">
        <f>'Costing 100 Lmin Feed Orig'!Y28</f>
        <v>1</v>
      </c>
      <c r="Z28">
        <f>'Costing 100 Lmin Feed Orig'!Z28</f>
        <v>0.28318429382522198</v>
      </c>
      <c r="AA28">
        <f>'Costing 100 Lmin Feed Orig'!AA28</f>
        <v>0.56945642916197003</v>
      </c>
      <c r="AB28">
        <f>'Costing 100 Lmin Feed Orig'!AB28</f>
        <v>3.7698628972227502E-3</v>
      </c>
      <c r="AC28">
        <f>'Costing 100 Lmin Feed Orig'!AC28</f>
        <v>1822.2107908876901</v>
      </c>
      <c r="AD28">
        <f>'Costing 100 Lmin Feed Orig'!AD28</f>
        <v>2662.6059073104898</v>
      </c>
      <c r="AE28">
        <f>'Costing 100 Lmin Feed Orig'!AE28</f>
        <v>2401.5030938442701</v>
      </c>
      <c r="AF28">
        <f>'Costing 100 Lmin Feed Orig'!AF28</f>
        <v>10</v>
      </c>
      <c r="AG28">
        <f>'Costing 100 Lmin Feed Orig'!AG28</f>
        <v>1.64912412966352E-3</v>
      </c>
      <c r="AH28">
        <f>'Costing 100 Lmin Feed Orig'!AH28</f>
        <v>1.66801192221077E-3</v>
      </c>
      <c r="AI28">
        <f>'Costing 100 Lmin Feed Orig'!AI28</f>
        <v>7.5059714998626504E-6</v>
      </c>
      <c r="AJ28">
        <f>'Costing 100 Lmin Feed Orig'!AJ28</f>
        <v>0</v>
      </c>
      <c r="AK28">
        <f>'Costing 100 Lmin Feed Orig'!AK28</f>
        <v>0</v>
      </c>
      <c r="AL28">
        <f>'Costing 100 Lmin Feed Orig'!AL28</f>
        <v>0</v>
      </c>
      <c r="AM28">
        <f>'Costing 100 Lmin Feed Orig'!AM28</f>
        <v>1.6121362331363101E-3</v>
      </c>
      <c r="AN28">
        <f>'Costing 100 Lmin Feed Orig'!AN28</f>
        <v>7.7392739668893999E-5</v>
      </c>
      <c r="AO28">
        <f>'Costing 100 Lmin Feed Orig'!AO28</f>
        <v>7.4565357583961302E-6</v>
      </c>
      <c r="AP28">
        <f>'Costing 100 Lmin Feed Orig'!AP28</f>
        <v>1.73286538721668E-3</v>
      </c>
      <c r="AQ28">
        <f>'Costing 100 Lmin Feed Orig'!AQ28</f>
        <v>7.4519753455558904E-2</v>
      </c>
      <c r="AR28">
        <f>'Costing 100 Lmin Feed Orig'!AR28</f>
        <v>2.3160410123781799E-6</v>
      </c>
      <c r="AS28">
        <f>'Costing 100 Lmin Feed Orig'!AS28</f>
        <v>1.6048882329425901E-14</v>
      </c>
      <c r="AT28">
        <f>'Costing 100 Lmin Feed Orig'!AT28</f>
        <v>-1.6442669708433E-12</v>
      </c>
      <c r="AU28">
        <f>'Costing 100 Lmin Feed Orig'!AU28</f>
        <v>1.7745340244977501E-19</v>
      </c>
      <c r="AV28">
        <f>'Costing 100 Lmin Feed Orig'!AV28</f>
        <v>0.19723841758619901</v>
      </c>
      <c r="AW28">
        <f>'Costing 100 Lmin Feed Orig'!AW28</f>
        <v>99.341381172744505</v>
      </c>
      <c r="AX28">
        <f>'Costing 100 Lmin Feed Orig'!AX28</f>
        <v>500</v>
      </c>
      <c r="AY28">
        <f>'Costing 100 Lmin Feed Orig'!AY28</f>
        <v>95</v>
      </c>
      <c r="AZ28">
        <f>'Costing 100 Lmin Feed Orig'!AZ28</f>
        <v>0.92405262022284995</v>
      </c>
      <c r="BA28">
        <f>'Costing 100 Lmin Feed Orig'!BA28</f>
        <v>0.1</v>
      </c>
      <c r="BB28">
        <f>'Costing 100 Lmin Feed Orig'!BB28</f>
        <v>46.849525134676597</v>
      </c>
      <c r="BC28" t="str">
        <f>'Costing 100 Lmin Feed Orig'!BC28</f>
        <v>coeFc</v>
      </c>
      <c r="BD28">
        <f>'Costing 100 Lmin Feed Orig'!BD28</f>
        <v>1</v>
      </c>
      <c r="BE28">
        <f>'Costing 100 Lmin Feed Orig'!BE28</f>
        <v>1.8775014999999999E-2</v>
      </c>
      <c r="BF28">
        <f>'Costing 100 Lmin Feed Orig'!BF28</f>
        <v>0.10492961100000001</v>
      </c>
      <c r="BG28">
        <f>'Costing 100 Lmin Feed Orig'!BG28</f>
        <v>1.814625E-3</v>
      </c>
      <c r="BH28">
        <f>'Costing 100 Lmin Feed Orig'!BH28</f>
        <v>285.1951444</v>
      </c>
      <c r="BI28">
        <f>'Costing 100 Lmin Feed Orig'!BI28</f>
        <v>2169.8944889999998</v>
      </c>
      <c r="BJ28">
        <f>'Costing 100 Lmin Feed Orig'!BJ28</f>
        <v>866.49409060000005</v>
      </c>
      <c r="BK28">
        <f>'Costing 100 Lmin Feed Orig'!BK28</f>
        <v>100</v>
      </c>
      <c r="BL28">
        <f>'Costing 100 Lmin Feed Orig'!BL28</f>
        <v>12.134817621653401</v>
      </c>
      <c r="BM28">
        <f>'Costing 100 Lmin Feed Orig'!BM28</f>
        <v>92.405262022285001</v>
      </c>
      <c r="BN28">
        <f>'Costing 100 Lmin Feed Orig'!BN28</f>
        <v>19.723841758619901</v>
      </c>
      <c r="BO28">
        <f t="shared" si="1"/>
        <v>169.88744670314762</v>
      </c>
      <c r="BP28">
        <f t="shared" si="2"/>
        <v>473.37220220687766</v>
      </c>
      <c r="BQ28">
        <f t="shared" si="3"/>
        <v>16.988744670314762</v>
      </c>
      <c r="BR28">
        <f t="shared" si="4"/>
        <v>47.337220220687769</v>
      </c>
      <c r="BS28">
        <f>1.2*0.5*BL28*V28/'Oxidant Feed Composition'!$N$22</f>
        <v>7.2808905729920399</v>
      </c>
      <c r="BT28">
        <f>1.2*0.5*BN28*BA28/'Oxidant Feed Composition'!$N$22</f>
        <v>11.83430505517194</v>
      </c>
      <c r="BU28">
        <f t="shared" si="5"/>
        <v>6.0674088108267004</v>
      </c>
      <c r="BV28">
        <f t="shared" si="6"/>
        <v>9.8619208793099506</v>
      </c>
      <c r="BW28">
        <f t="shared" si="7"/>
        <v>86.337853211458295</v>
      </c>
      <c r="BX28">
        <f t="shared" si="0"/>
        <v>38.831416389290879</v>
      </c>
      <c r="BY28">
        <f t="shared" si="8"/>
        <v>209.0801592878768</v>
      </c>
      <c r="BZ28">
        <f t="shared" si="9"/>
        <v>63.116293627583687</v>
      </c>
      <c r="CA28">
        <f t="shared" si="10"/>
        <v>59.171525275859707</v>
      </c>
      <c r="CB28">
        <f>BO28*'Reagent cost'!$G$11*'Reagent cost'!$H$11</f>
        <v>2242.5142964815486</v>
      </c>
      <c r="CC28">
        <f>BP28*'Reagent cost'!$G$11*'Reagent cost'!$H$11</f>
        <v>6248.5130691307859</v>
      </c>
      <c r="CD28">
        <f>BQ28*'Reagent cost'!$C$18/1000*'Reagent cost'!$H$18</f>
        <v>2709.3726906065185</v>
      </c>
      <c r="CE28">
        <f>BR28*'Ligand cost'!$B$56*'Ligand cost'!$J$56</f>
        <v>48195.336659432556</v>
      </c>
      <c r="CF28">
        <f t="shared" si="11"/>
        <v>10</v>
      </c>
      <c r="CG28">
        <f t="shared" si="12"/>
        <v>2.4269635243306804</v>
      </c>
      <c r="CH28">
        <f t="shared" si="13"/>
        <v>3.9447683517239804</v>
      </c>
      <c r="CI28">
        <f>7963.6*(BX28/1000)^0.6*1.7*('CAPEX+OPEX'!$G$116/'CAPEX+OPEX'!$G$115)</f>
        <v>2273.7926954959794</v>
      </c>
      <c r="CJ28">
        <f>7963.6*(BY28/1000)^0.6*1.7*('CAPEX+OPEX'!$G$116/'CAPEX+OPEX'!$G$115)</f>
        <v>6243.5072626595684</v>
      </c>
      <c r="CK28">
        <f>7963.6*(BZ28/1000)^0.6*1.7*('CAPEX+OPEX'!$G$116/'CAPEX+OPEX'!$G$115)</f>
        <v>3043.167243878931</v>
      </c>
      <c r="CL28">
        <f>7963.6*(CA28/1000)^0.6*1.7*('CAPEX+OPEX'!$G$116/'CAPEX+OPEX'!$G$115)</f>
        <v>2927.5787520654831</v>
      </c>
      <c r="CM28">
        <f>'Costing 100 Lmin Feed Orig'!DE28</f>
        <v>39625.826528698344</v>
      </c>
      <c r="CN28">
        <f>'Costing 100 Lmin Feed Orig'!DF28</f>
        <v>4586243.4239371875</v>
      </c>
      <c r="CO28">
        <f>'Costing 100 Lmin Feed Orig'!DG28</f>
        <v>11794834.586807497</v>
      </c>
      <c r="CP28">
        <f>'Costing 100 Lmin Feed Orig'!DH28</f>
        <v>2275209.1661185985</v>
      </c>
      <c r="CQ28">
        <f>'Costing 100 Lmin Feed Orig'!DI28</f>
        <v>14083914.336508472</v>
      </c>
      <c r="CR28">
        <f>'Costing 100 Lmin Feed Orig'!DJ28</f>
        <v>1662824.8986326549</v>
      </c>
      <c r="CS28">
        <f>CN28*(BK28/10000)^0.72*((A28+1)/3)^0.6*('CAPEX+OPEX'!$G$116/'CAPEX+OPEX'!$G$114)</f>
        <v>589054.93036564998</v>
      </c>
      <c r="CT28">
        <f>CO28*(BK28/10000)^0.72*((A28+1)/3)^0.6*('CAPEX+OPEX'!$G$116/'CAPEX+OPEX'!$G$114)</f>
        <v>1514922.9606835202</v>
      </c>
      <c r="CU28">
        <f>CP28*(BK28/10000)^0.72*((A28+1)/3)^0.6*('CAPEX+OPEX'!$G$116/'CAPEX+OPEX'!$G$114)</f>
        <v>292226.78628879401</v>
      </c>
      <c r="CV28">
        <f>CQ28*(BK28/10000)^0.72*((A28+1)/3)^0.6*('CAPEX+OPEX'!$G$116/'CAPEX+OPEX'!$G$114)</f>
        <v>1808931.2781495745</v>
      </c>
      <c r="CW28">
        <f>CR28*(BK28/10000)^0.72*((A28+1)/3)^0.6*('CAPEX+OPEX'!$G$116/'CAPEX+OPEX'!$G$114)</f>
        <v>213572.44139332071</v>
      </c>
      <c r="CX28">
        <f t="shared" si="14"/>
        <v>4418708.3968808586</v>
      </c>
      <c r="CY28">
        <f>CN28*(BM28/10000)^0.72*((AF28+1)/3)^0.6*('CAPEX+OPEX'!$G$116/'CAPEX+OPEX'!$G$114)</f>
        <v>800575.47606687353</v>
      </c>
      <c r="CZ28">
        <f>CO28*(BM28/10000)^0.72*((AF28+1)/3)^0.6*('CAPEX+OPEX'!$G$116/'CAPEX+OPEX'!$G$114)</f>
        <v>2058908.4445842884</v>
      </c>
      <c r="DA28">
        <f>CP28*(BM28/10000)^0.72*((AF28+1)/3)^0.6*('CAPEX+OPEX'!$G$116/'CAPEX+OPEX'!$G$114)</f>
        <v>397160.92081161588</v>
      </c>
      <c r="DB28">
        <f>CQ28*(BM28/10000)^0.72*((AF28+1)/3)^0.6*('CAPEX+OPEX'!$G$116/'CAPEX+OPEX'!$G$114)</f>
        <v>2458490.6169580934</v>
      </c>
      <c r="DC28">
        <f>CR28*(BM28/10000)^0.72*((AF28+1)/3)^0.6*('CAPEX+OPEX'!$G$116/'CAPEX+OPEX'!$G$114)</f>
        <v>290263.0130556543</v>
      </c>
      <c r="DD28">
        <f t="shared" si="15"/>
        <v>6005398.4714765251</v>
      </c>
      <c r="DE28">
        <f>CX28+DD28+1.15*(SUM(CI28:CL28)+SUM(CB28:CE28))</f>
        <v>10509073.218427597</v>
      </c>
      <c r="DF28">
        <f t="shared" si="16"/>
        <v>700604.88122850645</v>
      </c>
      <c r="DG28">
        <f>(BS28+BT28)*'Oxidant Feed Composition'!$N$25*60*7200</f>
        <v>15394483.9800016</v>
      </c>
      <c r="DH28">
        <f>((CG28+CH28)*'Reagent cost'!$C$17/1000*'Reagent cost'!$H$17+(CG28+CH28)*0.5*'Reagent cost'!$C$16/1000*'Reagent cost'!$H$16)*60*7200</f>
        <v>6135051.0919565847</v>
      </c>
      <c r="DI28">
        <f>CF28*'Reagent cost'!$C$17/1000*'Reagent cost'!$H$17*60*7200</f>
        <v>504921.59999999998</v>
      </c>
      <c r="DJ28">
        <f t="shared" si="17"/>
        <v>84.910273656123351</v>
      </c>
      <c r="DK28">
        <f t="shared" si="18"/>
        <v>1018.0941870007815</v>
      </c>
      <c r="DL28">
        <f t="shared" si="19"/>
        <v>26442671.611702614</v>
      </c>
      <c r="DM28">
        <f>BK28*(B28*(409.81+2)/1000+C28*(248.2+2*22.99)/1000+D28*(315.6+3*22.99)/1000+0.1*58.44/1000)</f>
        <v>0.70639694042110623</v>
      </c>
      <c r="DN28">
        <f>(BS28+BT28)/1000*('Oxidant Feed Composition'!$B$11*'Oxidant Feed Composition'!$O$20+'Oxidant Feed Composition'!$D$11*'Oxidant Feed Composition'!$O$21+'Oxidant Feed Composition'!$F$11*'Oxidant Feed Composition'!$O$27-'Oxidant Feed Composition'!$J$15*18.015)</f>
        <v>2.2323593284451411</v>
      </c>
      <c r="DO28">
        <f>(BU28+BV28)/1000*(0.2*368.34+0.4*58.44)</f>
        <v>1.5458458704496212</v>
      </c>
      <c r="DP28">
        <f>BK28/1000*(B28*195.08+C28*106.42+D28*102.91)</f>
        <v>4.999938342565946E-2</v>
      </c>
      <c r="DQ28">
        <f>SUM(DM28:DO28)-DP28</f>
        <v>4.4346027558902081</v>
      </c>
      <c r="DR28">
        <f>DQ28*60*7200*0.33</f>
        <v>632196.96887970809</v>
      </c>
      <c r="DS28">
        <v>1.2</v>
      </c>
      <c r="DT28">
        <f>BM28/60*(AM28*4+AN28*2+AO28*3)*96485/DV28</f>
        <v>1406.4975590407691</v>
      </c>
      <c r="DU28">
        <f>BN28*BA28*(AP28*4+AQ28*2+AR28*3)*96485/DV28/60</f>
        <v>706.74889069113362</v>
      </c>
      <c r="DV28">
        <v>0.7</v>
      </c>
      <c r="DW28">
        <f>0.499*((BK28/3.78541*15)^(-0.146))*BK28/3.78541*15*300*(1+(A28-2)/9)</f>
        <v>33024.331428945443</v>
      </c>
      <c r="DX28">
        <f>0.248*((BK28/3.78541*15)^(-0.144))*BK28/3.78541*15*300*(1+(A28-2)/3)</f>
        <v>24915.659383376755</v>
      </c>
      <c r="DY28">
        <f>0.105*((BK28/3.78541*15)^(-0.144))*BK28/3.78541*15*300*(1+(A28-2)/3)</f>
        <v>10548.968690542577</v>
      </c>
      <c r="DZ28">
        <f>0.058*((BK28/3.78541*15)^(-0.151))*BK28/3.78541*15*300*(1+(A28-2)/3)</f>
        <v>5588.0830181845758</v>
      </c>
      <c r="EA28">
        <f>0.056*((BK28/3.78541*15)^(-0.144))*BK28/3.78541*15*300*(1+(A28-2)/3)</f>
        <v>5626.1166349560426</v>
      </c>
      <c r="EB28">
        <f>DS28*DT28/(3.6*10^6)*3600*7200*0.07</f>
        <v>850.64972370785733</v>
      </c>
      <c r="EC28">
        <f>0.499*((BM28/3.78541*15)^(-0.146))*BM28/3.78541*15*300*(1+(AF28-2)/9)</f>
        <v>43732.740559410609</v>
      </c>
      <c r="ED28">
        <f>0.248*((BM28/3.78541*15)^(-0.144))*BM28/3.78541*15*300*(1+(AF28-2)/3)</f>
        <v>42692.363399539456</v>
      </c>
      <c r="EE28">
        <f>0.105*((BM28/3.78541*15)^(-0.144))*BM28/3.78541*15*300*(1+(AF28-2)/3)</f>
        <v>18075.395794159842</v>
      </c>
      <c r="EF28">
        <f>0.058*((BM28/3.78541*15)^(-0.151))*BM28/3.78541*15*300*(1+(AF28-2)/3)</f>
        <v>9580.336973567486</v>
      </c>
      <c r="EG28">
        <f>0.056*((BM28/3.78541*15)^(-0.144))*BM28/3.78541*15*300*(1+(AF28-2)/3)</f>
        <v>9640.2110902185887</v>
      </c>
      <c r="EH28">
        <f>DS28*DU28/(3.6*10^6)*3600*7200*0.07</f>
        <v>427.44172908999764</v>
      </c>
      <c r="EI28">
        <f>SUM(DW28:EH28)</f>
        <v>204702.29842569926</v>
      </c>
      <c r="EJ28">
        <f>EI28+DR28+DL28</f>
        <v>27279570.879008021</v>
      </c>
      <c r="EK28">
        <f>EJ28+DF28</f>
        <v>27980175.760236528</v>
      </c>
      <c r="EL28">
        <f>EK28/(BK28*60*7200)</f>
        <v>0.64768925370917885</v>
      </c>
      <c r="EM28">
        <f>EK28/(BM28*(AM28*195.084/1000+AN28*106.42/1000+AO28*102.911/1000)*60*7200)</f>
        <v>2166.6479339308826</v>
      </c>
      <c r="EN28">
        <f>EK28/(BN28*BA28*(AP28*195.084/1000+AQ28*106.42/1000+AR28*102.911/1000)*60*7200)</f>
        <v>3971.3553041584605</v>
      </c>
    </row>
    <row r="29" spans="1:144">
      <c r="A29">
        <f>'Costing 100 Lmin Feed Orig'!A29</f>
        <v>5</v>
      </c>
      <c r="B29">
        <f>'Costing 100 Lmin Feed Orig'!B29</f>
        <v>1.54143585092054E-3</v>
      </c>
      <c r="C29">
        <f>'Costing 100 Lmin Feed Orig'!C29</f>
        <v>1.54143585092054E-3</v>
      </c>
      <c r="D29">
        <f>'Costing 100 Lmin Feed Orig'!D29</f>
        <v>3.4254130020456501E-4</v>
      </c>
      <c r="E29">
        <f>'Costing 100 Lmin Feed Orig'!E29</f>
        <v>0</v>
      </c>
      <c r="F29">
        <f>'Costing 100 Lmin Feed Orig'!F29</f>
        <v>0</v>
      </c>
      <c r="G29">
        <f>'Costing 100 Lmin Feed Orig'!G29</f>
        <v>0</v>
      </c>
      <c r="H29">
        <f>'Costing 100 Lmin Feed Orig'!H29</f>
        <v>1.7558377832426001E-5</v>
      </c>
      <c r="I29">
        <f>'Costing 100 Lmin Feed Orig'!I29</f>
        <v>1.05063644964669E-7</v>
      </c>
      <c r="J29">
        <f>'Costing 100 Lmin Feed Orig'!J29</f>
        <v>3.35605387572801E-4</v>
      </c>
      <c r="K29">
        <f>'Costing 100 Lmin Feed Orig'!K29</f>
        <v>0.12557893497872399</v>
      </c>
      <c r="L29">
        <f>'Costing 100 Lmin Feed Orig'!L29</f>
        <v>0.12701721899235199</v>
      </c>
      <c r="M29">
        <f>'Costing 100 Lmin Feed Orig'!M29</f>
        <v>5.7157122982957897E-4</v>
      </c>
      <c r="N29">
        <f>'Costing 100 Lmin Feed Orig'!N29</f>
        <v>-1.88000656708986E-16</v>
      </c>
      <c r="O29">
        <f>'Costing 100 Lmin Feed Orig'!O29</f>
        <v>-6.2354635343986299E-15</v>
      </c>
      <c r="P29">
        <f>'Costing 100 Lmin Feed Orig'!P29</f>
        <v>-1.51703600853245E-18</v>
      </c>
      <c r="Q29">
        <f>'Costing 100 Lmin Feed Orig'!Q29</f>
        <v>0.121348176216534</v>
      </c>
      <c r="R29">
        <f>'Costing 100 Lmin Feed Orig'!R29</f>
        <v>97.975160184298204</v>
      </c>
      <c r="S29">
        <f>'Costing 100 Lmin Feed Orig'!S29</f>
        <v>500</v>
      </c>
      <c r="T29">
        <f>'Costing 100 Lmin Feed Orig'!T29</f>
        <v>95</v>
      </c>
      <c r="U29">
        <f>'Costing 100 Lmin Feed Orig'!U29</f>
        <v>1</v>
      </c>
      <c r="V29">
        <f>'Costing 100 Lmin Feed Orig'!V29</f>
        <v>0.1</v>
      </c>
      <c r="W29">
        <f>'Costing 100 Lmin Feed Orig'!W29</f>
        <v>82.407501388038199</v>
      </c>
      <c r="X29" t="str">
        <f>'Costing 100 Lmin Feed Orig'!X29</f>
        <v>ddFc</v>
      </c>
      <c r="Y29">
        <f>'Costing 100 Lmin Feed Orig'!Y29</f>
        <v>1</v>
      </c>
      <c r="Z29">
        <f>'Costing 100 Lmin Feed Orig'!Z29</f>
        <v>0.28318429382522198</v>
      </c>
      <c r="AA29">
        <f>'Costing 100 Lmin Feed Orig'!AA29</f>
        <v>0.56945642916197003</v>
      </c>
      <c r="AB29">
        <f>'Costing 100 Lmin Feed Orig'!AB29</f>
        <v>3.7698628972227502E-3</v>
      </c>
      <c r="AC29">
        <f>'Costing 100 Lmin Feed Orig'!AC29</f>
        <v>1822.2107908876901</v>
      </c>
      <c r="AD29">
        <f>'Costing 100 Lmin Feed Orig'!AD29</f>
        <v>2662.6059073104898</v>
      </c>
      <c r="AE29">
        <f>'Costing 100 Lmin Feed Orig'!AE29</f>
        <v>2401.5030938442701</v>
      </c>
      <c r="AF29">
        <f>'Costing 100 Lmin Feed Orig'!AF29</f>
        <v>11</v>
      </c>
      <c r="AG29">
        <f>'Costing 100 Lmin Feed Orig'!AG29</f>
        <v>1.64912412966352E-3</v>
      </c>
      <c r="AH29">
        <f>'Costing 100 Lmin Feed Orig'!AH29</f>
        <v>1.66801192221077E-3</v>
      </c>
      <c r="AI29">
        <f>'Costing 100 Lmin Feed Orig'!AI29</f>
        <v>7.5059714998626504E-6</v>
      </c>
      <c r="AJ29">
        <f>'Costing 100 Lmin Feed Orig'!AJ29</f>
        <v>0</v>
      </c>
      <c r="AK29">
        <f>'Costing 100 Lmin Feed Orig'!AK29</f>
        <v>0</v>
      </c>
      <c r="AL29">
        <f>'Costing 100 Lmin Feed Orig'!AL29</f>
        <v>0</v>
      </c>
      <c r="AM29">
        <f>'Costing 100 Lmin Feed Orig'!AM29</f>
        <v>1.6121395083820099E-3</v>
      </c>
      <c r="AN29">
        <f>'Costing 100 Lmin Feed Orig'!AN29</f>
        <v>7.7392907855296494E-5</v>
      </c>
      <c r="AO29">
        <f>'Costing 100 Lmin Feed Orig'!AO29</f>
        <v>7.4565399542604097E-6</v>
      </c>
      <c r="AP29">
        <f>'Costing 100 Lmin Feed Orig'!AP29</f>
        <v>1.73275480734907E-3</v>
      </c>
      <c r="AQ29">
        <f>'Costing 100 Lmin Feed Orig'!AQ29</f>
        <v>7.4521588927651899E-2</v>
      </c>
      <c r="AR29">
        <f>'Costing 100 Lmin Feed Orig'!AR29</f>
        <v>2.3159017264239102E-6</v>
      </c>
      <c r="AS29">
        <f>'Costing 100 Lmin Feed Orig'!AS29</f>
        <v>3.11708124589582E-19</v>
      </c>
      <c r="AT29">
        <f>'Costing 100 Lmin Feed Orig'!AT29</f>
        <v>-5.4210108624275199E-18</v>
      </c>
      <c r="AU29">
        <f>'Costing 100 Lmin Feed Orig'!AU29</f>
        <v>1.34334131478611E-21</v>
      </c>
      <c r="AV29">
        <f>'Costing 100 Lmin Feed Orig'!AV29</f>
        <v>0.197233538514378</v>
      </c>
      <c r="AW29">
        <f>'Costing 100 Lmin Feed Orig'!AW29</f>
        <v>99.3414370730938</v>
      </c>
      <c r="AX29">
        <f>'Costing 100 Lmin Feed Orig'!AX29</f>
        <v>500</v>
      </c>
      <c r="AY29">
        <f>'Costing 100 Lmin Feed Orig'!AY29</f>
        <v>95</v>
      </c>
      <c r="AZ29">
        <f>'Costing 100 Lmin Feed Orig'!AZ29</f>
        <v>0.92405262022284995</v>
      </c>
      <c r="BA29">
        <f>'Costing 100 Lmin Feed Orig'!BA29</f>
        <v>0.1</v>
      </c>
      <c r="BB29">
        <f>'Costing 100 Lmin Feed Orig'!BB29</f>
        <v>46.850684076505999</v>
      </c>
      <c r="BC29" t="str">
        <f>'Costing 100 Lmin Feed Orig'!BC29</f>
        <v>coeFc</v>
      </c>
      <c r="BD29">
        <f>'Costing 100 Lmin Feed Orig'!BD29</f>
        <v>1</v>
      </c>
      <c r="BE29">
        <f>'Costing 100 Lmin Feed Orig'!BE29</f>
        <v>1.8775014999999999E-2</v>
      </c>
      <c r="BF29">
        <f>'Costing 100 Lmin Feed Orig'!BF29</f>
        <v>0.10492961100000001</v>
      </c>
      <c r="BG29">
        <f>'Costing 100 Lmin Feed Orig'!BG29</f>
        <v>1.814625E-3</v>
      </c>
      <c r="BH29">
        <f>'Costing 100 Lmin Feed Orig'!BH29</f>
        <v>285.1951444</v>
      </c>
      <c r="BI29">
        <f>'Costing 100 Lmin Feed Orig'!BI29</f>
        <v>2169.8944889999998</v>
      </c>
      <c r="BJ29">
        <f>'Costing 100 Lmin Feed Orig'!BJ29</f>
        <v>866.49409060000005</v>
      </c>
      <c r="BK29">
        <f>'Costing 100 Lmin Feed Orig'!BK29</f>
        <v>100</v>
      </c>
      <c r="BL29">
        <f>'Costing 100 Lmin Feed Orig'!BL29</f>
        <v>12.134817621653401</v>
      </c>
      <c r="BM29">
        <f>'Costing 100 Lmin Feed Orig'!BM29</f>
        <v>92.405262022285001</v>
      </c>
      <c r="BN29">
        <f>'Costing 100 Lmin Feed Orig'!BN29</f>
        <v>19.7233538514378</v>
      </c>
      <c r="BO29">
        <f t="shared" si="1"/>
        <v>169.88744670314762</v>
      </c>
      <c r="BP29">
        <f t="shared" si="2"/>
        <v>512.80720013738278</v>
      </c>
      <c r="BQ29">
        <f t="shared" si="3"/>
        <v>16.988744670314762</v>
      </c>
      <c r="BR29">
        <f t="shared" si="4"/>
        <v>51.280720013738282</v>
      </c>
      <c r="BS29">
        <f>1.2*0.5*BL29*V29/'Oxidant Feed Composition'!$N$22</f>
        <v>7.2808905729920399</v>
      </c>
      <c r="BT29">
        <f>1.2*0.5*BN29*BA29/'Oxidant Feed Composition'!$N$22</f>
        <v>11.834012310862679</v>
      </c>
      <c r="BU29">
        <f t="shared" si="5"/>
        <v>6.0674088108267004</v>
      </c>
      <c r="BV29">
        <f t="shared" si="6"/>
        <v>9.8616769257188999</v>
      </c>
      <c r="BW29">
        <f t="shared" si="7"/>
        <v>86.337853211458295</v>
      </c>
      <c r="BX29">
        <f t="shared" si="0"/>
        <v>38.831416389290879</v>
      </c>
      <c r="BY29">
        <f t="shared" si="8"/>
        <v>209.0801592878768</v>
      </c>
      <c r="BZ29">
        <f t="shared" si="9"/>
        <v>63.114732324600958</v>
      </c>
      <c r="CA29">
        <f t="shared" si="10"/>
        <v>59.170061554313399</v>
      </c>
      <c r="CB29">
        <f>BO29*'Reagent cost'!$G$11*'Reagent cost'!$H$11</f>
        <v>2242.5142964815486</v>
      </c>
      <c r="CC29">
        <f>BP29*'Reagent cost'!$G$11*'Reagent cost'!$H$11</f>
        <v>6769.0550418134535</v>
      </c>
      <c r="CD29">
        <f>BQ29*'Reagent cost'!$C$18/1000*'Reagent cost'!$H$18</f>
        <v>2709.3726906065185</v>
      </c>
      <c r="CE29">
        <f>BR29*'Ligand cost'!$B$56*'Ligand cost'!$J$56</f>
        <v>52210.323159620224</v>
      </c>
      <c r="CF29">
        <f t="shared" si="11"/>
        <v>10</v>
      </c>
      <c r="CG29">
        <f t="shared" si="12"/>
        <v>2.4269635243306804</v>
      </c>
      <c r="CH29">
        <f t="shared" si="13"/>
        <v>3.9446707702875603</v>
      </c>
      <c r="CI29">
        <f>7963.6*(BX29/1000)^0.6*1.7*('CAPEX+OPEX'!$G$116/'CAPEX+OPEX'!$G$115)</f>
        <v>2273.7926954959794</v>
      </c>
      <c r="CJ29">
        <f>7963.6*(BY29/1000)^0.6*1.7*('CAPEX+OPEX'!$G$116/'CAPEX+OPEX'!$G$115)</f>
        <v>6243.5072626595684</v>
      </c>
      <c r="CK29">
        <f>7963.6*(BZ29/1000)^0.6*1.7*('CAPEX+OPEX'!$G$116/'CAPEX+OPEX'!$G$115)</f>
        <v>3043.1220764966729</v>
      </c>
      <c r="CL29">
        <f>7963.6*(CA29/1000)^0.6*1.7*('CAPEX+OPEX'!$G$116/'CAPEX+OPEX'!$G$115)</f>
        <v>2927.5353002739821</v>
      </c>
      <c r="CM29">
        <f>'Costing 100 Lmin Feed Orig'!DE29</f>
        <v>39625.826528698344</v>
      </c>
      <c r="CN29">
        <f>'Costing 100 Lmin Feed Orig'!DF29</f>
        <v>4586243.4239371875</v>
      </c>
      <c r="CO29">
        <f>'Costing 100 Lmin Feed Orig'!DG29</f>
        <v>11794834.586807497</v>
      </c>
      <c r="CP29">
        <f>'Costing 100 Lmin Feed Orig'!DH29</f>
        <v>2275209.1661185985</v>
      </c>
      <c r="CQ29">
        <f>'Costing 100 Lmin Feed Orig'!DI29</f>
        <v>14083914.336508472</v>
      </c>
      <c r="CR29">
        <f>'Costing 100 Lmin Feed Orig'!DJ29</f>
        <v>1662824.8986326549</v>
      </c>
      <c r="CS29">
        <f>CN29*(BK29/10000)^0.72*((A29+1)/3)^0.6*('CAPEX+OPEX'!$G$116/'CAPEX+OPEX'!$G$114)</f>
        <v>589054.93036564998</v>
      </c>
      <c r="CT29">
        <f>CO29*(BK29/10000)^0.72*((A29+1)/3)^0.6*('CAPEX+OPEX'!$G$116/'CAPEX+OPEX'!$G$114)</f>
        <v>1514922.9606835202</v>
      </c>
      <c r="CU29">
        <f>CP29*(BK29/10000)^0.72*((A29+1)/3)^0.6*('CAPEX+OPEX'!$G$116/'CAPEX+OPEX'!$G$114)</f>
        <v>292226.78628879401</v>
      </c>
      <c r="CV29">
        <f>CQ29*(BK29/10000)^0.72*((A29+1)/3)^0.6*('CAPEX+OPEX'!$G$116/'CAPEX+OPEX'!$G$114)</f>
        <v>1808931.2781495745</v>
      </c>
      <c r="CW29">
        <f>CR29*(BK29/10000)^0.72*((A29+1)/3)^0.6*('CAPEX+OPEX'!$G$116/'CAPEX+OPEX'!$G$114)</f>
        <v>213572.44139332071</v>
      </c>
      <c r="CX29">
        <f t="shared" si="14"/>
        <v>4418708.3968808586</v>
      </c>
      <c r="CY29">
        <f>CN29*(BM29/10000)^0.72*((AF29+1)/3)^0.6*('CAPEX+OPEX'!$G$116/'CAPEX+OPEX'!$G$114)</f>
        <v>843481.2225111227</v>
      </c>
      <c r="CZ29">
        <f>CO29*(BM29/10000)^0.72*((AF29+1)/3)^0.6*('CAPEX+OPEX'!$G$116/'CAPEX+OPEX'!$G$114)</f>
        <v>2169252.8234918904</v>
      </c>
      <c r="DA29">
        <f>CP29*(BM29/10000)^0.72*((AF29+1)/3)^0.6*('CAPEX+OPEX'!$G$116/'CAPEX+OPEX'!$G$114)</f>
        <v>418446.21654616104</v>
      </c>
      <c r="DB29">
        <f>CQ29*(BM29/10000)^0.72*((AF29+1)/3)^0.6*('CAPEX+OPEX'!$G$116/'CAPEX+OPEX'!$G$114)</f>
        <v>2590250.0552623947</v>
      </c>
      <c r="DC29">
        <f>CR29*(BM29/10000)^0.72*((AF29+1)/3)^0.6*('CAPEX+OPEX'!$G$116/'CAPEX+OPEX'!$G$114)</f>
        <v>305819.26179499162</v>
      </c>
      <c r="DD29">
        <f t="shared" si="15"/>
        <v>6327249.579606561</v>
      </c>
      <c r="DE29">
        <f>CX29+DD29+1.15*(SUM(CI29:CL29)+SUM(CB29:CE29))</f>
        <v>10836140.082389386</v>
      </c>
      <c r="DF29">
        <f t="shared" si="16"/>
        <v>722409.33882595913</v>
      </c>
      <c r="DG29">
        <f>(BS29+BT29)*'Oxidant Feed Composition'!$N$25*60*7200</f>
        <v>15394248.217435164</v>
      </c>
      <c r="DH29">
        <f>((CG29+CH29)*'Reagent cost'!$C$17/1000*'Reagent cost'!$H$17+(CG29+CH29)*0.5*'Reagent cost'!$C$16/1000*'Reagent cost'!$H$16)*60*7200</f>
        <v>6134957.1352255568</v>
      </c>
      <c r="DI29">
        <f>CF29*'Reagent cost'!$C$17/1000*'Reagent cost'!$H$17*60*7200</f>
        <v>504921.59999999998</v>
      </c>
      <c r="DJ29">
        <f t="shared" si="17"/>
        <v>90.115693382950013</v>
      </c>
      <c r="DK29">
        <f t="shared" si="18"/>
        <v>1098.3939170045348</v>
      </c>
      <c r="DL29">
        <f t="shared" si="19"/>
        <v>26442378.554725334</v>
      </c>
      <c r="DM29">
        <f>BK29*(B29*(409.81+2)/1000+C29*(248.2+2*22.99)/1000+D29*(315.6+3*22.99)/1000+0.1*58.44/1000)</f>
        <v>0.70639694042110623</v>
      </c>
      <c r="DN29">
        <f>(BS29+BT29)/1000*('Oxidant Feed Composition'!$B$11*'Oxidant Feed Composition'!$O$20+'Oxidant Feed Composition'!$D$11*'Oxidant Feed Composition'!$O$21+'Oxidant Feed Composition'!$F$11*'Oxidant Feed Composition'!$O$27-'Oxidant Feed Composition'!$J$15*18.015)</f>
        <v>2.2323251404356461</v>
      </c>
      <c r="DO29">
        <f>(BU29+BV29)/1000*(0.2*368.34+0.4*58.44)</f>
        <v>1.5458221962173313</v>
      </c>
      <c r="DP29">
        <f>BK29/1000*(B29*195.08+C29*106.42+D29*102.91)</f>
        <v>4.999938342565946E-2</v>
      </c>
      <c r="DQ29">
        <f>SUM(DM29:DO29)-DP29</f>
        <v>4.4345448936484235</v>
      </c>
      <c r="DR29">
        <f>DQ29*60*7200*0.33</f>
        <v>632188.72003851936</v>
      </c>
      <c r="DS29">
        <v>1.2</v>
      </c>
      <c r="DT29">
        <f>BM29/60*(AM29*4+AN29*2+AO29*3)*96485/DV29</f>
        <v>1406.5004141824479</v>
      </c>
      <c r="DU29">
        <f>BN29*BA29*(AP29*4+AQ29*2+AR29*3)*96485/DV29/60</f>
        <v>706.74603480874009</v>
      </c>
      <c r="DV29">
        <v>0.7</v>
      </c>
      <c r="DW29">
        <f>0.499*((BK29/3.78541*15)^(-0.146))*BK29/3.78541*15*300*(1+(A29-2)/9)</f>
        <v>33024.331428945443</v>
      </c>
      <c r="DX29">
        <f>0.248*((BK29/3.78541*15)^(-0.144))*BK29/3.78541*15*300*(1+(A29-2)/3)</f>
        <v>24915.659383376755</v>
      </c>
      <c r="DY29">
        <f>0.105*((BK29/3.78541*15)^(-0.144))*BK29/3.78541*15*300*(1+(A29-2)/3)</f>
        <v>10548.968690542577</v>
      </c>
      <c r="DZ29">
        <f>0.058*((BK29/3.78541*15)^(-0.151))*BK29/3.78541*15*300*(1+(A29-2)/3)</f>
        <v>5588.0830181845758</v>
      </c>
      <c r="EA29">
        <f>0.056*((BK29/3.78541*15)^(-0.144))*BK29/3.78541*15*300*(1+(A29-2)/3)</f>
        <v>5626.1166349560426</v>
      </c>
      <c r="EB29">
        <f>DS29*DT29/(3.6*10^6)*3600*7200*0.07</f>
        <v>850.6514504975446</v>
      </c>
      <c r="EC29">
        <f>0.499*((BM29/3.78541*15)^(-0.146))*BM29/3.78541*15*300*(1+(AF29-2)/9)</f>
        <v>46305.254709964174</v>
      </c>
      <c r="ED29">
        <f>0.248*((BM29/3.78541*15)^(-0.144))*BM29/3.78541*15*300*(1+(AF29-2)/3)</f>
        <v>46573.487344952133</v>
      </c>
      <c r="EE29">
        <f>0.105*((BM29/3.78541*15)^(-0.144))*BM29/3.78541*15*300*(1+(AF29-2)/3)</f>
        <v>19718.613593628921</v>
      </c>
      <c r="EF29">
        <f>0.058*((BM29/3.78541*15)^(-0.151))*BM29/3.78541*15*300*(1+(AF29-2)/3)</f>
        <v>10451.276698437257</v>
      </c>
      <c r="EG29">
        <f>0.056*((BM29/3.78541*15)^(-0.144))*BM29/3.78541*15*300*(1+(AF29-2)/3)</f>
        <v>10516.593916602096</v>
      </c>
      <c r="EH29">
        <f>DS29*DU29/(3.6*10^6)*3600*7200*0.07</f>
        <v>427.44000185232608</v>
      </c>
      <c r="EI29">
        <f>SUM(DW29:EH29)</f>
        <v>214546.47687193981</v>
      </c>
      <c r="EJ29">
        <f>EI29+DR29+DL29</f>
        <v>27289113.751635794</v>
      </c>
      <c r="EK29">
        <f>EJ29+DF29</f>
        <v>28011523.090461753</v>
      </c>
      <c r="EL29">
        <f>EK29/(BK29*60*7200)</f>
        <v>0.64841488635328137</v>
      </c>
      <c r="EM29">
        <f>EK29/(BM29*(AM29*195.084/1000+AN29*106.42/1000+AO29*102.911/1000)*60*7200)</f>
        <v>2169.0709108519031</v>
      </c>
      <c r="EN29">
        <f>EK29/(BN29*BA29*(AP29*195.084/1000+AQ29*106.42/1000+AR29*102.911/1000)*60*7200)</f>
        <v>3975.8193856396092</v>
      </c>
    </row>
    <row r="30" spans="1:144">
      <c r="A30">
        <f>'Costing 100 Lmin Feed Orig'!A30</f>
        <v>5</v>
      </c>
      <c r="B30">
        <f>'Costing 100 Lmin Feed Orig'!B30</f>
        <v>1.54143585092054E-3</v>
      </c>
      <c r="C30">
        <f>'Costing 100 Lmin Feed Orig'!C30</f>
        <v>1.54143585092054E-3</v>
      </c>
      <c r="D30">
        <f>'Costing 100 Lmin Feed Orig'!D30</f>
        <v>3.4254130020456501E-4</v>
      </c>
      <c r="E30">
        <f>'Costing 100 Lmin Feed Orig'!E30</f>
        <v>0</v>
      </c>
      <c r="F30">
        <f>'Costing 100 Lmin Feed Orig'!F30</f>
        <v>0</v>
      </c>
      <c r="G30">
        <f>'Costing 100 Lmin Feed Orig'!G30</f>
        <v>0</v>
      </c>
      <c r="H30">
        <f>'Costing 100 Lmin Feed Orig'!H30</f>
        <v>1.7558377832426001E-5</v>
      </c>
      <c r="I30">
        <f>'Costing 100 Lmin Feed Orig'!I30</f>
        <v>1.05063644964669E-7</v>
      </c>
      <c r="J30">
        <f>'Costing 100 Lmin Feed Orig'!J30</f>
        <v>3.35605387572801E-4</v>
      </c>
      <c r="K30">
        <f>'Costing 100 Lmin Feed Orig'!K30</f>
        <v>0.12557893497872399</v>
      </c>
      <c r="L30">
        <f>'Costing 100 Lmin Feed Orig'!L30</f>
        <v>0.12701721899235199</v>
      </c>
      <c r="M30">
        <f>'Costing 100 Lmin Feed Orig'!M30</f>
        <v>5.7157122982957897E-4</v>
      </c>
      <c r="N30">
        <f>'Costing 100 Lmin Feed Orig'!N30</f>
        <v>-1.88000656708986E-16</v>
      </c>
      <c r="O30">
        <f>'Costing 100 Lmin Feed Orig'!O30</f>
        <v>-6.2354635343986299E-15</v>
      </c>
      <c r="P30">
        <f>'Costing 100 Lmin Feed Orig'!P30</f>
        <v>-1.51703600853245E-18</v>
      </c>
      <c r="Q30">
        <f>'Costing 100 Lmin Feed Orig'!Q30</f>
        <v>0.121348176216534</v>
      </c>
      <c r="R30">
        <f>'Costing 100 Lmin Feed Orig'!R30</f>
        <v>97.975160184298204</v>
      </c>
      <c r="S30">
        <f>'Costing 100 Lmin Feed Orig'!S30</f>
        <v>500</v>
      </c>
      <c r="T30">
        <f>'Costing 100 Lmin Feed Orig'!T30</f>
        <v>95</v>
      </c>
      <c r="U30">
        <f>'Costing 100 Lmin Feed Orig'!U30</f>
        <v>1</v>
      </c>
      <c r="V30">
        <f>'Costing 100 Lmin Feed Orig'!V30</f>
        <v>0.1</v>
      </c>
      <c r="W30">
        <f>'Costing 100 Lmin Feed Orig'!W30</f>
        <v>82.407501388038199</v>
      </c>
      <c r="X30" t="str">
        <f>'Costing 100 Lmin Feed Orig'!X30</f>
        <v>ddFc</v>
      </c>
      <c r="Y30">
        <f>'Costing 100 Lmin Feed Orig'!Y30</f>
        <v>1</v>
      </c>
      <c r="Z30">
        <f>'Costing 100 Lmin Feed Orig'!Z30</f>
        <v>0.28318429382522198</v>
      </c>
      <c r="AA30">
        <f>'Costing 100 Lmin Feed Orig'!AA30</f>
        <v>0.56945642916197003</v>
      </c>
      <c r="AB30">
        <f>'Costing 100 Lmin Feed Orig'!AB30</f>
        <v>3.7698628972227502E-3</v>
      </c>
      <c r="AC30">
        <f>'Costing 100 Lmin Feed Orig'!AC30</f>
        <v>1822.2107908876901</v>
      </c>
      <c r="AD30">
        <f>'Costing 100 Lmin Feed Orig'!AD30</f>
        <v>2662.6059073104898</v>
      </c>
      <c r="AE30">
        <f>'Costing 100 Lmin Feed Orig'!AE30</f>
        <v>2401.5030938442701</v>
      </c>
      <c r="AF30">
        <f>'Costing 100 Lmin Feed Orig'!AF30</f>
        <v>12</v>
      </c>
      <c r="AG30">
        <f>'Costing 100 Lmin Feed Orig'!AG30</f>
        <v>1.64912412966352E-3</v>
      </c>
      <c r="AH30">
        <f>'Costing 100 Lmin Feed Orig'!AH30</f>
        <v>1.66801192221077E-3</v>
      </c>
      <c r="AI30">
        <f>'Costing 100 Lmin Feed Orig'!AI30</f>
        <v>7.5059714998626504E-6</v>
      </c>
      <c r="AJ30">
        <f>'Costing 100 Lmin Feed Orig'!AJ30</f>
        <v>0</v>
      </c>
      <c r="AK30">
        <f>'Costing 100 Lmin Feed Orig'!AK30</f>
        <v>0</v>
      </c>
      <c r="AL30">
        <f>'Costing 100 Lmin Feed Orig'!AL30</f>
        <v>0</v>
      </c>
      <c r="AM30">
        <f>'Costing 100 Lmin Feed Orig'!AM30</f>
        <v>1.6121404312672901E-3</v>
      </c>
      <c r="AN30">
        <f>'Costing 100 Lmin Feed Orig'!AN30</f>
        <v>7.73929552459276E-5</v>
      </c>
      <c r="AO30">
        <f>'Costing 100 Lmin Feed Orig'!AO30</f>
        <v>7.4565411365620697E-6</v>
      </c>
      <c r="AP30">
        <f>'Costing 100 Lmin Feed Orig'!AP30</f>
        <v>1.73272364681595E-3</v>
      </c>
      <c r="AQ30">
        <f>'Costing 100 Lmin Feed Orig'!AQ30</f>
        <v>7.4522106149284603E-2</v>
      </c>
      <c r="AR30">
        <f>'Costing 100 Lmin Feed Orig'!AR30</f>
        <v>2.3158624767325598E-6</v>
      </c>
      <c r="AS30">
        <f>'Costing 100 Lmin Feed Orig'!AS30</f>
        <v>1.9933395754324901E-15</v>
      </c>
      <c r="AT30">
        <f>'Costing 100 Lmin Feed Orig'!AT30</f>
        <v>-2.0379531395775499E-13</v>
      </c>
      <c r="AU30">
        <f>'Costing 100 Lmin Feed Orig'!AU30</f>
        <v>-4.3741310791804103E-21</v>
      </c>
      <c r="AV30">
        <f>'Costing 100 Lmin Feed Orig'!AV30</f>
        <v>0.19723216376352101</v>
      </c>
      <c r="AW30">
        <f>'Costing 100 Lmin Feed Orig'!AW30</f>
        <v>99.341452824574603</v>
      </c>
      <c r="AX30">
        <f>'Costing 100 Lmin Feed Orig'!AX30</f>
        <v>500</v>
      </c>
      <c r="AY30">
        <f>'Costing 100 Lmin Feed Orig'!AY30</f>
        <v>95</v>
      </c>
      <c r="AZ30">
        <f>'Costing 100 Lmin Feed Orig'!AZ30</f>
        <v>0.92405262022284995</v>
      </c>
      <c r="BA30">
        <f>'Costing 100 Lmin Feed Orig'!BA30</f>
        <v>0.1</v>
      </c>
      <c r="BB30">
        <f>'Costing 100 Lmin Feed Orig'!BB30</f>
        <v>46.851010635911102</v>
      </c>
      <c r="BC30" t="str">
        <f>'Costing 100 Lmin Feed Orig'!BC30</f>
        <v>coeFc</v>
      </c>
      <c r="BD30">
        <f>'Costing 100 Lmin Feed Orig'!BD30</f>
        <v>1</v>
      </c>
      <c r="BE30">
        <f>'Costing 100 Lmin Feed Orig'!BE30</f>
        <v>1.8775014999999999E-2</v>
      </c>
      <c r="BF30">
        <f>'Costing 100 Lmin Feed Orig'!BF30</f>
        <v>0.10492961100000001</v>
      </c>
      <c r="BG30">
        <f>'Costing 100 Lmin Feed Orig'!BG30</f>
        <v>1.814625E-3</v>
      </c>
      <c r="BH30">
        <f>'Costing 100 Lmin Feed Orig'!BH30</f>
        <v>285.1951444</v>
      </c>
      <c r="BI30">
        <f>'Costing 100 Lmin Feed Orig'!BI30</f>
        <v>2169.8944889999998</v>
      </c>
      <c r="BJ30">
        <f>'Costing 100 Lmin Feed Orig'!BJ30</f>
        <v>866.49409060000005</v>
      </c>
      <c r="BK30">
        <f>'Costing 100 Lmin Feed Orig'!BK30</f>
        <v>100</v>
      </c>
      <c r="BL30">
        <f>'Costing 100 Lmin Feed Orig'!BL30</f>
        <v>12.134817621653401</v>
      </c>
      <c r="BM30">
        <f>'Costing 100 Lmin Feed Orig'!BM30</f>
        <v>92.405262022285001</v>
      </c>
      <c r="BN30">
        <f>'Costing 100 Lmin Feed Orig'!BN30</f>
        <v>19.723216376352102</v>
      </c>
      <c r="BO30">
        <f t="shared" si="1"/>
        <v>169.88744670314762</v>
      </c>
      <c r="BP30">
        <f t="shared" si="2"/>
        <v>552.25005853785888</v>
      </c>
      <c r="BQ30">
        <f t="shared" si="3"/>
        <v>16.988744670314762</v>
      </c>
      <c r="BR30">
        <f t="shared" si="4"/>
        <v>55.225005853785888</v>
      </c>
      <c r="BS30">
        <f>1.2*0.5*BL30*V30/'Oxidant Feed Composition'!$N$22</f>
        <v>7.2808905729920399</v>
      </c>
      <c r="BT30">
        <f>1.2*0.5*BN30*BA30/'Oxidant Feed Composition'!$N$22</f>
        <v>11.833929825811259</v>
      </c>
      <c r="BU30">
        <f t="shared" si="5"/>
        <v>6.0674088108267004</v>
      </c>
      <c r="BV30">
        <f t="shared" si="6"/>
        <v>9.8616081881760511</v>
      </c>
      <c r="BW30">
        <f t="shared" si="7"/>
        <v>86.337853211458295</v>
      </c>
      <c r="BX30">
        <f t="shared" si="0"/>
        <v>38.831416389290879</v>
      </c>
      <c r="BY30">
        <f t="shared" si="8"/>
        <v>209.0801592878768</v>
      </c>
      <c r="BZ30">
        <f t="shared" si="9"/>
        <v>63.114292404326719</v>
      </c>
      <c r="CA30">
        <f t="shared" si="10"/>
        <v>59.16964912905631</v>
      </c>
      <c r="CB30">
        <f>BO30*'Reagent cost'!$G$11*'Reagent cost'!$H$11</f>
        <v>2242.5142964815486</v>
      </c>
      <c r="CC30">
        <f>BP30*'Reagent cost'!$G$11*'Reagent cost'!$H$11</f>
        <v>7289.7007726997381</v>
      </c>
      <c r="CD30">
        <f>BQ30*'Reagent cost'!$C$18/1000*'Reagent cost'!$H$18</f>
        <v>2709.3726906065185</v>
      </c>
      <c r="CE30">
        <f>BR30*'Ligand cost'!$B$56*'Ligand cost'!$J$56</f>
        <v>56226.109956054243</v>
      </c>
      <c r="CF30">
        <f t="shared" si="11"/>
        <v>10</v>
      </c>
      <c r="CG30">
        <f t="shared" si="12"/>
        <v>2.4269635243306804</v>
      </c>
      <c r="CH30">
        <f t="shared" si="13"/>
        <v>3.9446432752704208</v>
      </c>
      <c r="CI30">
        <f>7963.6*(BX30/1000)^0.6*1.7*('CAPEX+OPEX'!$G$116/'CAPEX+OPEX'!$G$115)</f>
        <v>2273.7926954959794</v>
      </c>
      <c r="CJ30">
        <f>7963.6*(BY30/1000)^0.6*1.7*('CAPEX+OPEX'!$G$116/'CAPEX+OPEX'!$G$115)</f>
        <v>6243.5072626595684</v>
      </c>
      <c r="CK30">
        <f>7963.6*(BZ30/1000)^0.6*1.7*('CAPEX+OPEX'!$G$116/'CAPEX+OPEX'!$G$115)</f>
        <v>3043.1093498360469</v>
      </c>
      <c r="CL30">
        <f>7963.6*(CA30/1000)^0.6*1.7*('CAPEX+OPEX'!$G$116/'CAPEX+OPEX'!$G$115)</f>
        <v>2927.5230570095641</v>
      </c>
      <c r="CM30">
        <f>'Costing 100 Lmin Feed Orig'!DE30</f>
        <v>39625.826528698344</v>
      </c>
      <c r="CN30">
        <f>'Costing 100 Lmin Feed Orig'!DF30</f>
        <v>4586243.4239371875</v>
      </c>
      <c r="CO30">
        <f>'Costing 100 Lmin Feed Orig'!DG30</f>
        <v>11794834.586807497</v>
      </c>
      <c r="CP30">
        <f>'Costing 100 Lmin Feed Orig'!DH30</f>
        <v>2275209.1661185985</v>
      </c>
      <c r="CQ30">
        <f>'Costing 100 Lmin Feed Orig'!DI30</f>
        <v>14083914.336508472</v>
      </c>
      <c r="CR30">
        <f>'Costing 100 Lmin Feed Orig'!DJ30</f>
        <v>1662824.8986326549</v>
      </c>
      <c r="CS30">
        <f>CN30*(BK30/10000)^0.72*((A30+1)/3)^0.6*('CAPEX+OPEX'!$G$116/'CAPEX+OPEX'!$G$114)</f>
        <v>589054.93036564998</v>
      </c>
      <c r="CT30">
        <f>CO30*(BK30/10000)^0.72*((A30+1)/3)^0.6*('CAPEX+OPEX'!$G$116/'CAPEX+OPEX'!$G$114)</f>
        <v>1514922.9606835202</v>
      </c>
      <c r="CU30">
        <f>CP30*(BK30/10000)^0.72*((A30+1)/3)^0.6*('CAPEX+OPEX'!$G$116/'CAPEX+OPEX'!$G$114)</f>
        <v>292226.78628879401</v>
      </c>
      <c r="CV30">
        <f>CQ30*(BK30/10000)^0.72*((A30+1)/3)^0.6*('CAPEX+OPEX'!$G$116/'CAPEX+OPEX'!$G$114)</f>
        <v>1808931.2781495745</v>
      </c>
      <c r="CW30">
        <f>CR30*(BK30/10000)^0.72*((A30+1)/3)^0.6*('CAPEX+OPEX'!$G$116/'CAPEX+OPEX'!$G$114)</f>
        <v>213572.44139332071</v>
      </c>
      <c r="CX30">
        <f t="shared" si="14"/>
        <v>4418708.3968808586</v>
      </c>
      <c r="CY30">
        <f>CN30*(BM30/10000)^0.72*((AF30+1)/3)^0.6*('CAPEX+OPEX'!$G$116/'CAPEX+OPEX'!$G$114)</f>
        <v>884978.42390710395</v>
      </c>
      <c r="CZ30">
        <f>CO30*(BM30/10000)^0.72*((AF30+1)/3)^0.6*('CAPEX+OPEX'!$G$116/'CAPEX+OPEX'!$G$114)</f>
        <v>2275974.7265915852</v>
      </c>
      <c r="DA30">
        <f>CP30*(BM30/10000)^0.72*((AF30+1)/3)^0.6*('CAPEX+OPEX'!$G$116/'CAPEX+OPEX'!$G$114)</f>
        <v>439032.74112783116</v>
      </c>
      <c r="DB30">
        <f>CQ30*(BM30/10000)^0.72*((AF30+1)/3)^0.6*('CAPEX+OPEX'!$G$116/'CAPEX+OPEX'!$G$114)</f>
        <v>2717683.9866179414</v>
      </c>
      <c r="DC30">
        <f>CR30*(BM30/10000)^0.72*((AF30+1)/3)^0.6*('CAPEX+OPEX'!$G$116/'CAPEX+OPEX'!$G$114)</f>
        <v>320864.81723687309</v>
      </c>
      <c r="DD30">
        <f t="shared" si="15"/>
        <v>6638534.6954813348</v>
      </c>
      <c r="DE30">
        <f>CX30+DD30+1.15*(SUM(CI30:CL30)+SUM(CB30:CE30))</f>
        <v>11152642.066955162</v>
      </c>
      <c r="DF30">
        <f t="shared" si="16"/>
        <v>743509.4711303442</v>
      </c>
      <c r="DG30">
        <f>(BS30+BT30)*'Oxidant Feed Composition'!$N$25*60*7200</f>
        <v>15394181.787835002</v>
      </c>
      <c r="DH30">
        <f>((CG30+CH30)*'Reagent cost'!$C$17/1000*'Reagent cost'!$H$17+(CG30+CH30)*0.5*'Reagent cost'!$C$16/1000*'Reagent cost'!$H$16)*60*7200</f>
        <v>6134930.6615229268</v>
      </c>
      <c r="DI30">
        <f>CF30*'Reagent cost'!$C$17/1000*'Reagent cost'!$H$17*60*7200</f>
        <v>504921.59999999998</v>
      </c>
      <c r="DJ30">
        <f t="shared" si="17"/>
        <v>95.322150691812865</v>
      </c>
      <c r="DK30">
        <f t="shared" si="18"/>
        <v>1178.7096529332152</v>
      </c>
      <c r="DL30">
        <f t="shared" si="19"/>
        <v>26442369.697393864</v>
      </c>
      <c r="DM30">
        <f>BK30*(B30*(409.81+2)/1000+C30*(248.2+2*22.99)/1000+D30*(315.6+3*22.99)/1000+0.1*58.44/1000)</f>
        <v>0.70639694042110623</v>
      </c>
      <c r="DN30">
        <f>(BS30+BT30)/1000*('Oxidant Feed Composition'!$B$11*'Oxidant Feed Composition'!$O$20+'Oxidant Feed Composition'!$D$11*'Oxidant Feed Composition'!$O$21+'Oxidant Feed Composition'!$F$11*'Oxidant Feed Composition'!$O$27-'Oxidant Feed Composition'!$J$15*18.015)</f>
        <v>2.2323155074568595</v>
      </c>
      <c r="DO30">
        <f>(BU30+BV30)/1000*(0.2*368.34+0.4*58.44)</f>
        <v>1.5458155256512232</v>
      </c>
      <c r="DP30">
        <f>BK30/1000*(B30*195.08+C30*106.42+D30*102.91)</f>
        <v>4.999938342565946E-2</v>
      </c>
      <c r="DQ30">
        <f>SUM(DM30:DO30)-DP30</f>
        <v>4.434528590103529</v>
      </c>
      <c r="DR30">
        <f>DQ30*60*7200*0.33</f>
        <v>632186.39580515923</v>
      </c>
      <c r="DS30">
        <v>1.2</v>
      </c>
      <c r="DT30">
        <f>BM30/60*(AM30*4+AN30*2+AO30*3)*96485/DV30</f>
        <v>1406.5012186924448</v>
      </c>
      <c r="DU30">
        <f>BN30*BA30*(AP30*4+AQ30*2+AR30*3)*96485/DV30/60</f>
        <v>706.74523039054441</v>
      </c>
      <c r="DV30">
        <v>0.7</v>
      </c>
      <c r="DW30">
        <f>0.499*((BK30/3.78541*15)^(-0.146))*BK30/3.78541*15*300*(1+(A30-2)/9)</f>
        <v>33024.331428945443</v>
      </c>
      <c r="DX30">
        <f>0.248*((BK30/3.78541*15)^(-0.144))*BK30/3.78541*15*300*(1+(A30-2)/3)</f>
        <v>24915.659383376755</v>
      </c>
      <c r="DY30">
        <f>0.105*((BK30/3.78541*15)^(-0.144))*BK30/3.78541*15*300*(1+(A30-2)/3)</f>
        <v>10548.968690542577</v>
      </c>
      <c r="DZ30">
        <f>0.058*((BK30/3.78541*15)^(-0.151))*BK30/3.78541*15*300*(1+(A30-2)/3)</f>
        <v>5588.0830181845758</v>
      </c>
      <c r="EA30">
        <f>0.056*((BK30/3.78541*15)^(-0.144))*BK30/3.78541*15*300*(1+(A30-2)/3)</f>
        <v>5626.1166349560426</v>
      </c>
      <c r="EB30">
        <f>DS30*DT30/(3.6*10^6)*3600*7200*0.07</f>
        <v>850.65193706519062</v>
      </c>
      <c r="EC30">
        <f>0.499*((BM30/3.78541*15)^(-0.146))*BM30/3.78541*15*300*(1+(AF30-2)/9)</f>
        <v>48877.768860517739</v>
      </c>
      <c r="ED30">
        <f>0.248*((BM30/3.78541*15)^(-0.144))*BM30/3.78541*15*300*(1+(AF30-2)/3)</f>
        <v>50454.611290364817</v>
      </c>
      <c r="EE30">
        <f>0.105*((BM30/3.78541*15)^(-0.144))*BM30/3.78541*15*300*(1+(AF30-2)/3)</f>
        <v>21361.831393098</v>
      </c>
      <c r="EF30">
        <f>0.058*((BM30/3.78541*15)^(-0.151))*BM30/3.78541*15*300*(1+(AF30-2)/3)</f>
        <v>11322.216423307031</v>
      </c>
      <c r="EG30">
        <f>0.056*((BM30/3.78541*15)^(-0.144))*BM30/3.78541*15*300*(1+(AF30-2)/3)</f>
        <v>11392.976742985606</v>
      </c>
      <c r="EH30">
        <f>DS30*DU30/(3.6*10^6)*3600*7200*0.07</f>
        <v>427.4395153402013</v>
      </c>
      <c r="EI30">
        <f>SUM(DW30:EH30)</f>
        <v>224390.65531868394</v>
      </c>
      <c r="EJ30">
        <f>EI30+DR30+DL30</f>
        <v>27298946.748517707</v>
      </c>
      <c r="EK30">
        <f>EJ30+DF30</f>
        <v>28042456.219648052</v>
      </c>
      <c r="EL30">
        <f>EK30/(BK30*60*7200)</f>
        <v>0.64913093101037156</v>
      </c>
      <c r="EM30">
        <f>EK30/(BM30*(AM30*195.084/1000+AN30*106.42/1000+AO30*102.911/1000)*60*7200)</f>
        <v>2171.464973037479</v>
      </c>
      <c r="EN30">
        <f>EK30/(BN30*BA30*(AP30*195.084/1000+AQ30*106.42/1000+AR30*102.911/1000)*60*7200)</f>
        <v>3980.2140597355815</v>
      </c>
    </row>
    <row r="31" spans="1:144">
      <c r="A31">
        <f>'Costing 100 Lmin Feed Orig'!A31</f>
        <v>5</v>
      </c>
      <c r="B31">
        <f>'Costing 100 Lmin Feed Orig'!B31</f>
        <v>1.54143585092054E-3</v>
      </c>
      <c r="C31">
        <f>'Costing 100 Lmin Feed Orig'!C31</f>
        <v>1.54143585092054E-3</v>
      </c>
      <c r="D31">
        <f>'Costing 100 Lmin Feed Orig'!D31</f>
        <v>3.4254130020456501E-4</v>
      </c>
      <c r="E31">
        <f>'Costing 100 Lmin Feed Orig'!E31</f>
        <v>0</v>
      </c>
      <c r="F31">
        <f>'Costing 100 Lmin Feed Orig'!F31</f>
        <v>0</v>
      </c>
      <c r="G31">
        <f>'Costing 100 Lmin Feed Orig'!G31</f>
        <v>0</v>
      </c>
      <c r="H31">
        <f>'Costing 100 Lmin Feed Orig'!H31</f>
        <v>1.7558377832426001E-5</v>
      </c>
      <c r="I31">
        <f>'Costing 100 Lmin Feed Orig'!I31</f>
        <v>1.05063644964669E-7</v>
      </c>
      <c r="J31">
        <f>'Costing 100 Lmin Feed Orig'!J31</f>
        <v>3.35605387572801E-4</v>
      </c>
      <c r="K31">
        <f>'Costing 100 Lmin Feed Orig'!K31</f>
        <v>0.12557893497872399</v>
      </c>
      <c r="L31">
        <f>'Costing 100 Lmin Feed Orig'!L31</f>
        <v>0.12701721899235199</v>
      </c>
      <c r="M31">
        <f>'Costing 100 Lmin Feed Orig'!M31</f>
        <v>5.7157122982957897E-4</v>
      </c>
      <c r="N31">
        <f>'Costing 100 Lmin Feed Orig'!N31</f>
        <v>-1.88000656708986E-16</v>
      </c>
      <c r="O31">
        <f>'Costing 100 Lmin Feed Orig'!O31</f>
        <v>-6.2354635343986299E-15</v>
      </c>
      <c r="P31">
        <f>'Costing 100 Lmin Feed Orig'!P31</f>
        <v>-1.51703600853245E-18</v>
      </c>
      <c r="Q31">
        <f>'Costing 100 Lmin Feed Orig'!Q31</f>
        <v>0.121348176216534</v>
      </c>
      <c r="R31">
        <f>'Costing 100 Lmin Feed Orig'!R31</f>
        <v>97.975160184298204</v>
      </c>
      <c r="S31">
        <f>'Costing 100 Lmin Feed Orig'!S31</f>
        <v>500</v>
      </c>
      <c r="T31">
        <f>'Costing 100 Lmin Feed Orig'!T31</f>
        <v>95</v>
      </c>
      <c r="U31">
        <f>'Costing 100 Lmin Feed Orig'!U31</f>
        <v>1</v>
      </c>
      <c r="V31">
        <f>'Costing 100 Lmin Feed Orig'!V31</f>
        <v>0.1</v>
      </c>
      <c r="W31">
        <f>'Costing 100 Lmin Feed Orig'!W31</f>
        <v>82.407501388038199</v>
      </c>
      <c r="X31" t="str">
        <f>'Costing 100 Lmin Feed Orig'!X31</f>
        <v>ddFc</v>
      </c>
      <c r="Y31">
        <f>'Costing 100 Lmin Feed Orig'!Y31</f>
        <v>1</v>
      </c>
      <c r="Z31">
        <f>'Costing 100 Lmin Feed Orig'!Z31</f>
        <v>0.28318429382522198</v>
      </c>
      <c r="AA31">
        <f>'Costing 100 Lmin Feed Orig'!AA31</f>
        <v>0.56945642916197003</v>
      </c>
      <c r="AB31">
        <f>'Costing 100 Lmin Feed Orig'!AB31</f>
        <v>3.7698628972227502E-3</v>
      </c>
      <c r="AC31">
        <f>'Costing 100 Lmin Feed Orig'!AC31</f>
        <v>1822.2107908876901</v>
      </c>
      <c r="AD31">
        <f>'Costing 100 Lmin Feed Orig'!AD31</f>
        <v>2662.6059073104898</v>
      </c>
      <c r="AE31">
        <f>'Costing 100 Lmin Feed Orig'!AE31</f>
        <v>2401.5030938442701</v>
      </c>
      <c r="AF31">
        <f>'Costing 100 Lmin Feed Orig'!AF31</f>
        <v>13</v>
      </c>
      <c r="AG31">
        <f>'Costing 100 Lmin Feed Orig'!AG31</f>
        <v>1.64912412966352E-3</v>
      </c>
      <c r="AH31">
        <f>'Costing 100 Lmin Feed Orig'!AH31</f>
        <v>1.66801192221077E-3</v>
      </c>
      <c r="AI31">
        <f>'Costing 100 Lmin Feed Orig'!AI31</f>
        <v>7.5059714998626504E-6</v>
      </c>
      <c r="AJ31">
        <f>'Costing 100 Lmin Feed Orig'!AJ31</f>
        <v>0</v>
      </c>
      <c r="AK31">
        <f>'Costing 100 Lmin Feed Orig'!AK31</f>
        <v>0</v>
      </c>
      <c r="AL31">
        <f>'Costing 100 Lmin Feed Orig'!AL31</f>
        <v>0</v>
      </c>
      <c r="AM31">
        <f>'Costing 100 Lmin Feed Orig'!AM31</f>
        <v>1.61214069129301E-3</v>
      </c>
      <c r="AN31">
        <f>'Costing 100 Lmin Feed Orig'!AN31</f>
        <v>7.7392968598377306E-5</v>
      </c>
      <c r="AO31">
        <f>'Costing 100 Lmin Feed Orig'!AO31</f>
        <v>7.4565414696759002E-6</v>
      </c>
      <c r="AP31">
        <f>'Costing 100 Lmin Feed Orig'!AP31</f>
        <v>1.73271486747767E-3</v>
      </c>
      <c r="AQ31">
        <f>'Costing 100 Lmin Feed Orig'!AQ31</f>
        <v>7.4522251874090506E-2</v>
      </c>
      <c r="AR31">
        <f>'Costing 100 Lmin Feed Orig'!AR31</f>
        <v>2.3158514183141602E-6</v>
      </c>
      <c r="AS31">
        <f>'Costing 100 Lmin Feed Orig'!AS31</f>
        <v>2.9341221292888898E-18</v>
      </c>
      <c r="AT31">
        <f>'Costing 100 Lmin Feed Orig'!AT31</f>
        <v>-2.4871597836817398E-16</v>
      </c>
      <c r="AU31">
        <f>'Costing 100 Lmin Feed Orig'!AU31</f>
        <v>-1.16467030247466E-21</v>
      </c>
      <c r="AV31">
        <f>'Costing 100 Lmin Feed Orig'!AV31</f>
        <v>0.19723177640219999</v>
      </c>
      <c r="AW31">
        <f>'Costing 100 Lmin Feed Orig'!AW31</f>
        <v>99.341457262558706</v>
      </c>
      <c r="AX31">
        <f>'Costing 100 Lmin Feed Orig'!AX31</f>
        <v>500</v>
      </c>
      <c r="AY31">
        <f>'Costing 100 Lmin Feed Orig'!AY31</f>
        <v>95</v>
      </c>
      <c r="AZ31">
        <f>'Costing 100 Lmin Feed Orig'!AZ31</f>
        <v>0.92405262022284995</v>
      </c>
      <c r="BA31">
        <f>'Costing 100 Lmin Feed Orig'!BA31</f>
        <v>0.1</v>
      </c>
      <c r="BB31">
        <f>'Costing 100 Lmin Feed Orig'!BB31</f>
        <v>46.851102650847501</v>
      </c>
      <c r="BC31" t="str">
        <f>'Costing 100 Lmin Feed Orig'!BC31</f>
        <v>coeFc</v>
      </c>
      <c r="BD31">
        <f>'Costing 100 Lmin Feed Orig'!BD31</f>
        <v>1</v>
      </c>
      <c r="BE31">
        <f>'Costing 100 Lmin Feed Orig'!BE31</f>
        <v>1.8775014999999999E-2</v>
      </c>
      <c r="BF31">
        <f>'Costing 100 Lmin Feed Orig'!BF31</f>
        <v>0.10492961100000001</v>
      </c>
      <c r="BG31">
        <f>'Costing 100 Lmin Feed Orig'!BG31</f>
        <v>1.814625E-3</v>
      </c>
      <c r="BH31">
        <f>'Costing 100 Lmin Feed Orig'!BH31</f>
        <v>285.1951444</v>
      </c>
      <c r="BI31">
        <f>'Costing 100 Lmin Feed Orig'!BI31</f>
        <v>2169.8944889999998</v>
      </c>
      <c r="BJ31">
        <f>'Costing 100 Lmin Feed Orig'!BJ31</f>
        <v>866.49409060000005</v>
      </c>
      <c r="BK31">
        <f>'Costing 100 Lmin Feed Orig'!BK31</f>
        <v>100</v>
      </c>
      <c r="BL31">
        <f>'Costing 100 Lmin Feed Orig'!BL31</f>
        <v>12.134817621653401</v>
      </c>
      <c r="BM31">
        <f>'Costing 100 Lmin Feed Orig'!BM31</f>
        <v>92.405262022285001</v>
      </c>
      <c r="BN31">
        <f>'Costing 100 Lmin Feed Orig'!BN31</f>
        <v>19.723177640219998</v>
      </c>
      <c r="BO31">
        <f t="shared" si="1"/>
        <v>169.88744670314762</v>
      </c>
      <c r="BP31">
        <f t="shared" si="2"/>
        <v>591.69532920659992</v>
      </c>
      <c r="BQ31">
        <f t="shared" si="3"/>
        <v>16.988744670314762</v>
      </c>
      <c r="BR31">
        <f t="shared" si="4"/>
        <v>59.169532920659996</v>
      </c>
      <c r="BS31">
        <f>1.2*0.5*BL31*V31/'Oxidant Feed Composition'!$N$22</f>
        <v>7.2808905729920399</v>
      </c>
      <c r="BT31">
        <f>1.2*0.5*BN31*BA31/'Oxidant Feed Composition'!$N$22</f>
        <v>11.833906584131999</v>
      </c>
      <c r="BU31">
        <f t="shared" si="5"/>
        <v>6.0674088108267004</v>
      </c>
      <c r="BV31">
        <f t="shared" si="6"/>
        <v>9.8615888201099988</v>
      </c>
      <c r="BW31">
        <f t="shared" si="7"/>
        <v>86.337853211458295</v>
      </c>
      <c r="BX31">
        <f t="shared" si="0"/>
        <v>38.831416389290879</v>
      </c>
      <c r="BY31">
        <f t="shared" si="8"/>
        <v>209.0801592878768</v>
      </c>
      <c r="BZ31">
        <f t="shared" si="9"/>
        <v>63.114168448703992</v>
      </c>
      <c r="CA31">
        <f t="shared" si="10"/>
        <v>59.169532920659989</v>
      </c>
      <c r="CB31">
        <f>BO31*'Reagent cost'!$G$11*'Reagent cost'!$H$11</f>
        <v>2242.5142964815486</v>
      </c>
      <c r="CC31">
        <f>BP31*'Reagent cost'!$G$11*'Reagent cost'!$H$11</f>
        <v>7810.3783455271196</v>
      </c>
      <c r="CD31">
        <f>BQ31*'Reagent cost'!$C$18/1000*'Reagent cost'!$H$18</f>
        <v>2709.3726906065185</v>
      </c>
      <c r="CE31">
        <f>BR31*'Ligand cost'!$B$56*'Ligand cost'!$J$56</f>
        <v>60242.142352210001</v>
      </c>
      <c r="CF31">
        <f t="shared" si="11"/>
        <v>10</v>
      </c>
      <c r="CG31">
        <f t="shared" si="12"/>
        <v>2.4269635243306804</v>
      </c>
      <c r="CH31">
        <f t="shared" si="13"/>
        <v>3.9446355280439995</v>
      </c>
      <c r="CI31">
        <f>7963.6*(BX31/1000)^0.6*1.7*('CAPEX+OPEX'!$G$116/'CAPEX+OPEX'!$G$115)</f>
        <v>2273.7926954959794</v>
      </c>
      <c r="CJ31">
        <f>7963.6*(BY31/1000)^0.6*1.7*('CAPEX+OPEX'!$G$116/'CAPEX+OPEX'!$G$115)</f>
        <v>6243.5072626595684</v>
      </c>
      <c r="CK31">
        <f>7963.6*(BZ31/1000)^0.6*1.7*('CAPEX+OPEX'!$G$116/'CAPEX+OPEX'!$G$115)</f>
        <v>3043.1057638590996</v>
      </c>
      <c r="CL31">
        <f>7963.6*(CA31/1000)^0.6*1.7*('CAPEX+OPEX'!$G$116/'CAPEX+OPEX'!$G$115)</f>
        <v>2927.5196072386261</v>
      </c>
      <c r="CM31">
        <f>'Costing 100 Lmin Feed Orig'!DE31</f>
        <v>39625.826528698344</v>
      </c>
      <c r="CN31">
        <f>'Costing 100 Lmin Feed Orig'!DF31</f>
        <v>4586243.4239371875</v>
      </c>
      <c r="CO31">
        <f>'Costing 100 Lmin Feed Orig'!DG31</f>
        <v>11794834.586807497</v>
      </c>
      <c r="CP31">
        <f>'Costing 100 Lmin Feed Orig'!DH31</f>
        <v>2275209.1661185985</v>
      </c>
      <c r="CQ31">
        <f>'Costing 100 Lmin Feed Orig'!DI31</f>
        <v>14083914.336508472</v>
      </c>
      <c r="CR31">
        <f>'Costing 100 Lmin Feed Orig'!DJ31</f>
        <v>1662824.8986326549</v>
      </c>
      <c r="CS31">
        <f>CN31*(BK31/10000)^0.72*((A31+1)/3)^0.6*('CAPEX+OPEX'!$G$116/'CAPEX+OPEX'!$G$114)</f>
        <v>589054.93036564998</v>
      </c>
      <c r="CT31">
        <f>CO31*(BK31/10000)^0.72*((A31+1)/3)^0.6*('CAPEX+OPEX'!$G$116/'CAPEX+OPEX'!$G$114)</f>
        <v>1514922.9606835202</v>
      </c>
      <c r="CU31">
        <f>CP31*(BK31/10000)^0.72*((A31+1)/3)^0.6*('CAPEX+OPEX'!$G$116/'CAPEX+OPEX'!$G$114)</f>
        <v>292226.78628879401</v>
      </c>
      <c r="CV31">
        <f>CQ31*(BK31/10000)^0.72*((A31+1)/3)^0.6*('CAPEX+OPEX'!$G$116/'CAPEX+OPEX'!$G$114)</f>
        <v>1808931.2781495745</v>
      </c>
      <c r="CW31">
        <f>CR31*(BK31/10000)^0.72*((A31+1)/3)^0.6*('CAPEX+OPEX'!$G$116/'CAPEX+OPEX'!$G$114)</f>
        <v>213572.44139332071</v>
      </c>
      <c r="CX31">
        <f t="shared" si="14"/>
        <v>4418708.3968808586</v>
      </c>
      <c r="CY31">
        <f>CN31*(BM31/10000)^0.72*((AF31+1)/3)^0.6*('CAPEX+OPEX'!$G$116/'CAPEX+OPEX'!$G$114)</f>
        <v>925216.76281415427</v>
      </c>
      <c r="CZ31">
        <f>CO31*(BM31/10000)^0.72*((AF31+1)/3)^0.6*('CAPEX+OPEX'!$G$116/'CAPEX+OPEX'!$G$114)</f>
        <v>2379459.1053272258</v>
      </c>
      <c r="DA31">
        <f>CP31*(BM31/10000)^0.72*((AF31+1)/3)^0.6*('CAPEX+OPEX'!$G$116/'CAPEX+OPEX'!$G$114)</f>
        <v>458994.7512193307</v>
      </c>
      <c r="DB31">
        <f>CQ31*(BM31/10000)^0.72*((AF31+1)/3)^0.6*('CAPEX+OPEX'!$G$116/'CAPEX+OPEX'!$G$114)</f>
        <v>2841252.0718295593</v>
      </c>
      <c r="DC31">
        <f>CR31*(BM31/10000)^0.72*((AF31+1)/3)^0.6*('CAPEX+OPEX'!$G$116/'CAPEX+OPEX'!$G$114)</f>
        <v>335453.94948071335</v>
      </c>
      <c r="DD31">
        <f t="shared" si="15"/>
        <v>6940376.6406709841</v>
      </c>
      <c r="DE31">
        <f>CX31+DD31+1.15*(SUM(CI31:CL31)+SUM(CB31:CE31))</f>
        <v>11459701.220518032</v>
      </c>
      <c r="DF31">
        <f t="shared" si="16"/>
        <v>763980.08136786881</v>
      </c>
      <c r="DG31">
        <f>(BS31+BT31)*'Oxidant Feed Composition'!$N$25*60*7200</f>
        <v>15394163.070074216</v>
      </c>
      <c r="DH31">
        <f>((CG31+CH31)*'Reagent cost'!$C$17/1000*'Reagent cost'!$H$17+(CG31+CH31)*0.5*'Reagent cost'!$C$16/1000*'Reagent cost'!$H$16)*60*7200</f>
        <v>6134923.2020706395</v>
      </c>
      <c r="DI31">
        <f>CF31*'Reagent cost'!$C$17/1000*'Reagent cost'!$H$17*60*7200</f>
        <v>504921.59999999998</v>
      </c>
      <c r="DJ31">
        <f t="shared" si="17"/>
        <v>100.52892642008669</v>
      </c>
      <c r="DK31">
        <f t="shared" si="18"/>
        <v>1259.0303008563305</v>
      </c>
      <c r="DL31">
        <f t="shared" si="19"/>
        <v>26442440.917646557</v>
      </c>
      <c r="DM31">
        <f>BK31*(B31*(409.81+2)/1000+C31*(248.2+2*22.99)/1000+D31*(315.6+3*22.99)/1000+0.1*58.44/1000)</f>
        <v>0.70639694042110623</v>
      </c>
      <c r="DN31">
        <f>(BS31+BT31)/1000*('Oxidant Feed Composition'!$B$11*'Oxidant Feed Composition'!$O$20+'Oxidant Feed Composition'!$D$11*'Oxidant Feed Composition'!$O$21+'Oxidant Feed Composition'!$F$11*'Oxidant Feed Composition'!$O$27-'Oxidant Feed Composition'!$J$15*18.015)</f>
        <v>2.2323127931880382</v>
      </c>
      <c r="DO31">
        <f>(BU31+BV31)/1000*(0.2*368.34+0.4*58.44)</f>
        <v>1.545813646096621</v>
      </c>
      <c r="DP31">
        <f>BK31/1000*(B31*195.08+C31*106.42+D31*102.91)</f>
        <v>4.999938342565946E-2</v>
      </c>
      <c r="DQ31">
        <f>SUM(DM31:DO31)-DP31</f>
        <v>4.4345239962801051</v>
      </c>
      <c r="DR31">
        <f>DQ31*60*7200*0.33</f>
        <v>632185.74090969178</v>
      </c>
      <c r="DS31">
        <v>1.2</v>
      </c>
      <c r="DT31">
        <f>BM31/60*(AM31*4+AN31*2+AO31*3)*96485/DV31</f>
        <v>1406.5014453655667</v>
      </c>
      <c r="DU31">
        <f>BN31*BA31*(AP31*4+AQ31*2+AR31*3)*96485/DV31/60</f>
        <v>706.74500362572746</v>
      </c>
      <c r="DV31">
        <v>0.7</v>
      </c>
      <c r="DW31">
        <f>0.499*((BK31/3.78541*15)^(-0.146))*BK31/3.78541*15*300*(1+(A31-2)/9)</f>
        <v>33024.331428945443</v>
      </c>
      <c r="DX31">
        <f>0.248*((BK31/3.78541*15)^(-0.144))*BK31/3.78541*15*300*(1+(A31-2)/3)</f>
        <v>24915.659383376755</v>
      </c>
      <c r="DY31">
        <f>0.105*((BK31/3.78541*15)^(-0.144))*BK31/3.78541*15*300*(1+(A31-2)/3)</f>
        <v>10548.968690542577</v>
      </c>
      <c r="DZ31">
        <f>0.058*((BK31/3.78541*15)^(-0.151))*BK31/3.78541*15*300*(1+(A31-2)/3)</f>
        <v>5588.0830181845758</v>
      </c>
      <c r="EA31">
        <f>0.056*((BK31/3.78541*15)^(-0.144))*BK31/3.78541*15*300*(1+(A31-2)/3)</f>
        <v>5626.1166349560426</v>
      </c>
      <c r="EB31">
        <f>DS31*DT31/(3.6*10^6)*3600*7200*0.07</f>
        <v>850.65207415709494</v>
      </c>
      <c r="EC31">
        <f>0.499*((BM31/3.78541*15)^(-0.146))*BM31/3.78541*15*300*(1+(AF31-2)/9)</f>
        <v>51450.283011071304</v>
      </c>
      <c r="ED31">
        <f>0.248*((BM31/3.78541*15)^(-0.144))*BM31/3.78541*15*300*(1+(AF31-2)/3)</f>
        <v>54335.73523577748</v>
      </c>
      <c r="EE31">
        <f>0.105*((BM31/3.78541*15)^(-0.144))*BM31/3.78541*15*300*(1+(AF31-2)/3)</f>
        <v>23005.049192567072</v>
      </c>
      <c r="EF31">
        <f>0.058*((BM31/3.78541*15)^(-0.151))*BM31/3.78541*15*300*(1+(AF31-2)/3)</f>
        <v>12193.156148176799</v>
      </c>
      <c r="EG31">
        <f>0.056*((BM31/3.78541*15)^(-0.144))*BM31/3.78541*15*300*(1+(AF31-2)/3)</f>
        <v>12269.359569369111</v>
      </c>
      <c r="EH31">
        <f>DS31*DU31/(3.6*10^6)*3600*7200*0.07</f>
        <v>427.43937819284008</v>
      </c>
      <c r="EI31">
        <f>SUM(DW31:EH31)</f>
        <v>234234.8337653171</v>
      </c>
      <c r="EJ31">
        <f>EI31+DR31+DL31</f>
        <v>27308861.492321566</v>
      </c>
      <c r="EK31">
        <f>EJ31+DF31</f>
        <v>28072841.573689435</v>
      </c>
      <c r="EL31">
        <f>EK31/(BK31*60*7200)</f>
        <v>0.64983429568725548</v>
      </c>
      <c r="EM31">
        <f>EK31/(BM31*(AM31*195.084/1000+AN31*106.42/1000+AO31*102.911/1000)*60*7200)</f>
        <v>2173.8175094437152</v>
      </c>
      <c r="EN31">
        <f>EK31/(BN31*BA31*(AP31*195.084/1000+AQ31*106.42/1000+AR31*102.911/1000)*60*7200)</f>
        <v>3984.5279922539826</v>
      </c>
    </row>
    <row r="32" spans="1:144">
      <c r="A32">
        <f>'Costing 100 Lmin Feed Orig'!A32</f>
        <v>6</v>
      </c>
      <c r="B32">
        <f>'Costing 100 Lmin Feed Orig'!B32</f>
        <v>1.54143585092054E-3</v>
      </c>
      <c r="C32">
        <f>'Costing 100 Lmin Feed Orig'!C32</f>
        <v>1.54143585092054E-3</v>
      </c>
      <c r="D32">
        <f>'Costing 100 Lmin Feed Orig'!D32</f>
        <v>3.4254130020456501E-4</v>
      </c>
      <c r="E32">
        <f>'Costing 100 Lmin Feed Orig'!E32</f>
        <v>0</v>
      </c>
      <c r="F32">
        <f>'Costing 100 Lmin Feed Orig'!F32</f>
        <v>0</v>
      </c>
      <c r="G32">
        <f>'Costing 100 Lmin Feed Orig'!G32</f>
        <v>0</v>
      </c>
      <c r="H32">
        <f>'Costing 100 Lmin Feed Orig'!H32</f>
        <v>1.7693893431643E-5</v>
      </c>
      <c r="I32">
        <f>'Costing 100 Lmin Feed Orig'!I32</f>
        <v>3.7175600603836103E-8</v>
      </c>
      <c r="J32">
        <f>'Costing 100 Lmin Feed Orig'!J32</f>
        <v>3.36890310328726E-4</v>
      </c>
      <c r="K32">
        <f>'Costing 100 Lmin Feed Orig'!K32</f>
        <v>0.133710118829723</v>
      </c>
      <c r="L32">
        <f>'Costing 100 Lmin Feed Orig'!L32</f>
        <v>0.13525951632913</v>
      </c>
      <c r="M32">
        <f>'Costing 100 Lmin Feed Orig'!M32</f>
        <v>4.9588089642288804E-4</v>
      </c>
      <c r="N32">
        <f>'Costing 100 Lmin Feed Orig'!N32</f>
        <v>-1.72886878424538E-14</v>
      </c>
      <c r="O32">
        <f>'Costing 100 Lmin Feed Orig'!O32</f>
        <v>-1.05961268405396E-12</v>
      </c>
      <c r="P32">
        <f>'Costing 100 Lmin Feed Orig'!P32</f>
        <v>-9.6595637304880395E-18</v>
      </c>
      <c r="Q32">
        <f>'Costing 100 Lmin Feed Orig'!Q32</f>
        <v>0.11395861217105201</v>
      </c>
      <c r="R32">
        <f>'Costing 100 Lmin Feed Orig'!R32</f>
        <v>98.3502748800029</v>
      </c>
      <c r="S32">
        <f>'Costing 100 Lmin Feed Orig'!S32</f>
        <v>500</v>
      </c>
      <c r="T32">
        <f>'Costing 100 Lmin Feed Orig'!T32</f>
        <v>95</v>
      </c>
      <c r="U32">
        <f>'Costing 100 Lmin Feed Orig'!U32</f>
        <v>1</v>
      </c>
      <c r="V32">
        <f>'Costing 100 Lmin Feed Orig'!V32</f>
        <v>0.1</v>
      </c>
      <c r="W32">
        <f>'Costing 100 Lmin Feed Orig'!W32</f>
        <v>87.751156402202497</v>
      </c>
      <c r="X32" t="str">
        <f>'Costing 100 Lmin Feed Orig'!X32</f>
        <v>ddFc</v>
      </c>
      <c r="Y32">
        <f>'Costing 100 Lmin Feed Orig'!Y32</f>
        <v>1</v>
      </c>
      <c r="Z32">
        <f>'Costing 100 Lmin Feed Orig'!Z32</f>
        <v>0.28318429382522198</v>
      </c>
      <c r="AA32">
        <f>'Costing 100 Lmin Feed Orig'!AA32</f>
        <v>0.56945642916197003</v>
      </c>
      <c r="AB32">
        <f>'Costing 100 Lmin Feed Orig'!AB32</f>
        <v>3.7698628972227502E-3</v>
      </c>
      <c r="AC32">
        <f>'Costing 100 Lmin Feed Orig'!AC32</f>
        <v>1822.2107908876901</v>
      </c>
      <c r="AD32">
        <f>'Costing 100 Lmin Feed Orig'!AD32</f>
        <v>2662.6059073104898</v>
      </c>
      <c r="AE32">
        <f>'Costing 100 Lmin Feed Orig'!AE32</f>
        <v>2401.5030938442701</v>
      </c>
      <c r="AF32">
        <f>'Costing 100 Lmin Feed Orig'!AF32</f>
        <v>4</v>
      </c>
      <c r="AG32">
        <f>'Costing 100 Lmin Feed Orig'!AG32</f>
        <v>1.64951815726537E-3</v>
      </c>
      <c r="AH32">
        <f>'Costing 100 Lmin Feed Orig'!AH32</f>
        <v>1.6686323374819601E-3</v>
      </c>
      <c r="AI32">
        <f>'Costing 100 Lmin Feed Orig'!AI32</f>
        <v>6.1174468293775103E-6</v>
      </c>
      <c r="AJ32">
        <f>'Costing 100 Lmin Feed Orig'!AJ32</f>
        <v>0</v>
      </c>
      <c r="AK32">
        <f>'Costing 100 Lmin Feed Orig'!AK32</f>
        <v>0</v>
      </c>
      <c r="AL32">
        <f>'Costing 100 Lmin Feed Orig'!AL32</f>
        <v>0</v>
      </c>
      <c r="AM32">
        <f>'Costing 100 Lmin Feed Orig'!AM32</f>
        <v>1.60449551819817E-3</v>
      </c>
      <c r="AN32">
        <f>'Costing 100 Lmin Feed Orig'!AN32</f>
        <v>7.8378352599036395E-5</v>
      </c>
      <c r="AO32">
        <f>'Costing 100 Lmin Feed Orig'!AO32</f>
        <v>6.0687799409797502E-6</v>
      </c>
      <c r="AP32">
        <f>'Costing 100 Lmin Feed Orig'!AP32</f>
        <v>1.98992535233798E-3</v>
      </c>
      <c r="AQ32">
        <f>'Costing 100 Lmin Feed Orig'!AQ32</f>
        <v>7.0286566630574296E-2</v>
      </c>
      <c r="AR32">
        <f>'Costing 100 Lmin Feed Orig'!AR32</f>
        <v>2.1509950778718299E-6</v>
      </c>
      <c r="AS32">
        <f>'Costing 100 Lmin Feed Orig'!AS32</f>
        <v>-1.0218998498963401E-14</v>
      </c>
      <c r="AT32">
        <f>'Costing 100 Lmin Feed Orig'!AT32</f>
        <v>-1.31525649746389E-13</v>
      </c>
      <c r="AU32">
        <f>'Costing 100 Lmin Feed Orig'!AU32</f>
        <v>-3.7253567811428197E-18</v>
      </c>
      <c r="AV32">
        <f>'Costing 100 Lmin Feed Orig'!AV32</f>
        <v>0.20900106017960299</v>
      </c>
      <c r="AW32">
        <f>'Costing 100 Lmin Feed Orig'!AW32</f>
        <v>99.204457517079604</v>
      </c>
      <c r="AX32">
        <f>'Costing 100 Lmin Feed Orig'!AX32</f>
        <v>500</v>
      </c>
      <c r="AY32">
        <f>'Costing 100 Lmin Feed Orig'!AY32</f>
        <v>95</v>
      </c>
      <c r="AZ32">
        <f>'Costing 100 Lmin Feed Orig'!AZ32</f>
        <v>0.92374973309314701</v>
      </c>
      <c r="BA32">
        <f>'Costing 100 Lmin Feed Orig'!BA32</f>
        <v>0.1</v>
      </c>
      <c r="BB32">
        <f>'Costing 100 Lmin Feed Orig'!BB32</f>
        <v>44.198327620889899</v>
      </c>
      <c r="BC32" t="str">
        <f>'Costing 100 Lmin Feed Orig'!BC32</f>
        <v>coeFc</v>
      </c>
      <c r="BD32">
        <f>'Costing 100 Lmin Feed Orig'!BD32</f>
        <v>1</v>
      </c>
      <c r="BE32">
        <f>'Costing 100 Lmin Feed Orig'!BE32</f>
        <v>1.8775014999999999E-2</v>
      </c>
      <c r="BF32">
        <f>'Costing 100 Lmin Feed Orig'!BF32</f>
        <v>0.10492961100000001</v>
      </c>
      <c r="BG32">
        <f>'Costing 100 Lmin Feed Orig'!BG32</f>
        <v>1.814625E-3</v>
      </c>
      <c r="BH32">
        <f>'Costing 100 Lmin Feed Orig'!BH32</f>
        <v>285.1951444</v>
      </c>
      <c r="BI32">
        <f>'Costing 100 Lmin Feed Orig'!BI32</f>
        <v>2169.8944889999998</v>
      </c>
      <c r="BJ32">
        <f>'Costing 100 Lmin Feed Orig'!BJ32</f>
        <v>866.49409060000005</v>
      </c>
      <c r="BK32">
        <f>'Costing 100 Lmin Feed Orig'!BK32</f>
        <v>100</v>
      </c>
      <c r="BL32">
        <f>'Costing 100 Lmin Feed Orig'!BL32</f>
        <v>11.395861217105201</v>
      </c>
      <c r="BM32">
        <f>'Costing 100 Lmin Feed Orig'!BM32</f>
        <v>92.374973309314697</v>
      </c>
      <c r="BN32">
        <f>'Costing 100 Lmin Feed Orig'!BN32</f>
        <v>20.900106017960297</v>
      </c>
      <c r="BO32">
        <f t="shared" si="1"/>
        <v>182.33377947368322</v>
      </c>
      <c r="BP32">
        <f t="shared" si="2"/>
        <v>250.80127221552357</v>
      </c>
      <c r="BQ32">
        <f t="shared" si="3"/>
        <v>18.233377947368322</v>
      </c>
      <c r="BR32">
        <f t="shared" si="4"/>
        <v>25.08012722155236</v>
      </c>
      <c r="BS32">
        <f>1.2*0.5*BL32*V32/'Oxidant Feed Composition'!$N$22</f>
        <v>6.837516730263121</v>
      </c>
      <c r="BT32">
        <f>1.2*0.5*BN32*BA32/'Oxidant Feed Composition'!$N$22</f>
        <v>12.54006361077618</v>
      </c>
      <c r="BU32">
        <f t="shared" si="5"/>
        <v>5.6979306085525998</v>
      </c>
      <c r="BV32">
        <f t="shared" si="6"/>
        <v>10.450053008980149</v>
      </c>
      <c r="BW32">
        <f t="shared" si="7"/>
        <v>86.677042700762101</v>
      </c>
      <c r="BX32">
        <f t="shared" si="0"/>
        <v>36.466755894736643</v>
      </c>
      <c r="BY32">
        <f t="shared" si="8"/>
        <v>207.54166905283981</v>
      </c>
      <c r="BZ32">
        <f t="shared" si="9"/>
        <v>66.880339257472954</v>
      </c>
      <c r="CA32">
        <f t="shared" si="10"/>
        <v>62.700318053880892</v>
      </c>
      <c r="CB32">
        <f>BO32*'Reagent cost'!$G$11*'Reagent cost'!$H$11</f>
        <v>2406.8058890526186</v>
      </c>
      <c r="CC32">
        <f>BP32*'Reagent cost'!$G$11*'Reagent cost'!$H$11</f>
        <v>3310.5767932449112</v>
      </c>
      <c r="CD32">
        <f>BQ32*'Reagent cost'!$C$18/1000*'Reagent cost'!$H$18</f>
        <v>2907.8673690603878</v>
      </c>
      <c r="CE32">
        <f>BR32*'Ligand cost'!$B$56*'Ligand cost'!$J$56</f>
        <v>25534.773044739486</v>
      </c>
      <c r="CF32">
        <f t="shared" si="11"/>
        <v>10</v>
      </c>
      <c r="CG32">
        <f t="shared" si="12"/>
        <v>2.2791722434210402</v>
      </c>
      <c r="CH32">
        <f t="shared" si="13"/>
        <v>4.1800212035920596</v>
      </c>
      <c r="CI32">
        <f>7963.6*(BX32/1000)^0.6*1.7*('CAPEX+OPEX'!$G$116/'CAPEX+OPEX'!$G$115)</f>
        <v>2189.6727102460782</v>
      </c>
      <c r="CJ32">
        <f>7963.6*(BY32/1000)^0.6*1.7*('CAPEX+OPEX'!$G$116/'CAPEX+OPEX'!$G$115)</f>
        <v>6215.9013146876341</v>
      </c>
      <c r="CK32">
        <f>7963.6*(BZ32/1000)^0.6*1.7*('CAPEX+OPEX'!$G$116/'CAPEX+OPEX'!$G$115)</f>
        <v>3150.7939894739484</v>
      </c>
      <c r="CL32">
        <f>7963.6*(CA32/1000)^0.6*1.7*('CAPEX+OPEX'!$G$116/'CAPEX+OPEX'!$G$115)</f>
        <v>3031.11751556647</v>
      </c>
      <c r="CM32">
        <f>'Costing 100 Lmin Feed Orig'!DE32</f>
        <v>39625.826528698344</v>
      </c>
      <c r="CN32">
        <f>'Costing 100 Lmin Feed Orig'!DF32</f>
        <v>4586243.4239371875</v>
      </c>
      <c r="CO32">
        <f>'Costing 100 Lmin Feed Orig'!DG32</f>
        <v>11794834.586807497</v>
      </c>
      <c r="CP32">
        <f>'Costing 100 Lmin Feed Orig'!DH32</f>
        <v>2275209.1661185985</v>
      </c>
      <c r="CQ32">
        <f>'Costing 100 Lmin Feed Orig'!DI32</f>
        <v>14083914.336508472</v>
      </c>
      <c r="CR32">
        <f>'Costing 100 Lmin Feed Orig'!DJ32</f>
        <v>1662824.8986326549</v>
      </c>
      <c r="CS32">
        <f>CN32*(BK32/10000)^0.72*((A32+1)/3)^0.6*('CAPEX+OPEX'!$G$116/'CAPEX+OPEX'!$G$114)</f>
        <v>646135.89638675924</v>
      </c>
      <c r="CT32">
        <f>CO32*(BK32/10000)^0.72*((A32+1)/3)^0.6*('CAPEX+OPEX'!$G$116/'CAPEX+OPEX'!$G$114)</f>
        <v>1661722.9645298459</v>
      </c>
      <c r="CU32">
        <f>CP32*(BK32/10000)^0.72*((A32+1)/3)^0.6*('CAPEX+OPEX'!$G$116/'CAPEX+OPEX'!$G$114)</f>
        <v>320544.32748695416</v>
      </c>
      <c r="CV32">
        <f>CQ32*(BK32/10000)^0.72*((A32+1)/3)^0.6*('CAPEX+OPEX'!$G$116/'CAPEX+OPEX'!$G$114)</f>
        <v>1984221.4582325809</v>
      </c>
      <c r="CW32">
        <f>CR32*(BK32/10000)^0.72*((A32+1)/3)^0.6*('CAPEX+OPEX'!$G$116/'CAPEX+OPEX'!$G$114)</f>
        <v>234268.17050410178</v>
      </c>
      <c r="CX32">
        <f t="shared" si="14"/>
        <v>4846892.8171402421</v>
      </c>
      <c r="CY32">
        <f>CN32*(BM32/10000)^0.72*((AF32+1)/3)^0.6*('CAPEX+OPEX'!$G$116/'CAPEX+OPEX'!$G$114)</f>
        <v>498707.80181552708</v>
      </c>
      <c r="CZ32">
        <f>CO32*(BM32/10000)^0.72*((AF32+1)/3)^0.6*('CAPEX+OPEX'!$G$116/'CAPEX+OPEX'!$G$114)</f>
        <v>1282569.5205935668</v>
      </c>
      <c r="DA32">
        <f>CP32*(BM32/10000)^0.72*((AF32+1)/3)^0.6*('CAPEX+OPEX'!$G$116/'CAPEX+OPEX'!$G$114)</f>
        <v>247406.09187539818</v>
      </c>
      <c r="DB32">
        <f>CQ32*(BM32/10000)^0.72*((AF32+1)/3)^0.6*('CAPEX+OPEX'!$G$116/'CAPEX+OPEX'!$G$114)</f>
        <v>1531483.8987958883</v>
      </c>
      <c r="DC32">
        <f>CR32*(BM32/10000)^0.72*((AF32+1)/3)^0.6*('CAPEX+OPEX'!$G$116/'CAPEX+OPEX'!$G$114)</f>
        <v>180815.46776889433</v>
      </c>
      <c r="DD32">
        <f t="shared" si="15"/>
        <v>3740982.7808492747</v>
      </c>
      <c r="DE32">
        <f>CX32+DD32+1.15*(SUM(CI32:CL32)+SUM(CB32:CE32))</f>
        <v>8643935.2329094987</v>
      </c>
      <c r="DF32">
        <f t="shared" si="16"/>
        <v>576262.34886063321</v>
      </c>
      <c r="DG32">
        <f>(BS32+BT32)*'Oxidant Feed Composition'!$N$25*60*7200</f>
        <v>15605796.348314745</v>
      </c>
      <c r="DH32">
        <f>((CG32+CH32)*'Reagent cost'!$C$17/1000*'Reagent cost'!$H$17+(CG32+CH32)*0.5*'Reagent cost'!$C$16/1000*'Reagent cost'!$H$16)*60*7200</f>
        <v>6219263.8643786805</v>
      </c>
      <c r="DI32">
        <f>CF32*'Reagent cost'!$C$17/1000*'Reagent cost'!$H$17*60*7200</f>
        <v>504921.59999999998</v>
      </c>
      <c r="DJ32">
        <f t="shared" si="17"/>
        <v>57.1738268229753</v>
      </c>
      <c r="DK32">
        <f t="shared" si="18"/>
        <v>568.85280827599752</v>
      </c>
      <c r="DL32">
        <f t="shared" si="19"/>
        <v>26796729.407194227</v>
      </c>
      <c r="DM32">
        <f>BK32*(B32*(409.81+2)/1000+C32*(248.2+2*22.99)/1000+D32*(315.6+3*22.99)/1000+0.1*58.44/1000)</f>
        <v>0.70639694042110623</v>
      </c>
      <c r="DN32">
        <f>(BS32+BT32)/1000*('Oxidant Feed Composition'!$B$11*'Oxidant Feed Composition'!$O$20+'Oxidant Feed Composition'!$D$11*'Oxidant Feed Composition'!$O$21+'Oxidant Feed Composition'!$F$11*'Oxidant Feed Composition'!$O$27-'Oxidant Feed Composition'!$J$15*18.015)</f>
        <v>2.2630018064413178</v>
      </c>
      <c r="DO32">
        <f>(BU32+BV32)/1000*(0.2*368.34+0.4*58.44)</f>
        <v>1.5670649221798481</v>
      </c>
      <c r="DP32">
        <f>BK32/1000*(B32*195.08+C32*106.42+D32*102.91)</f>
        <v>4.999938342565946E-2</v>
      </c>
      <c r="DQ32">
        <f>SUM(DM32:DO32)-DP32</f>
        <v>4.4864642856166119</v>
      </c>
      <c r="DR32">
        <f>DQ32*60*7200*0.33</f>
        <v>639590.34855750436</v>
      </c>
      <c r="DS32">
        <v>1.2</v>
      </c>
      <c r="DT32">
        <f>BM32/60*(AM32*4+AN32*2+AO32*3)*96485/DV32</f>
        <v>1399.085634031785</v>
      </c>
      <c r="DU32">
        <f>BN32*BA32*(AP32*4+AQ32*2+AR32*3)*96485/DV32/60</f>
        <v>713.18193969377842</v>
      </c>
      <c r="DV32">
        <v>0.7</v>
      </c>
      <c r="DW32">
        <f>0.499*((BK32/3.78541*15)^(-0.146))*BK32/3.78541*15*300*(1+(A32-2)/9)</f>
        <v>35776.359048024235</v>
      </c>
      <c r="DX32">
        <f>0.248*((BK32/3.78541*15)^(-0.144))*BK32/3.78541*15*300*(1+(A32-2)/3)</f>
        <v>29068.269280606211</v>
      </c>
      <c r="DY32">
        <f>0.105*((BK32/3.78541*15)^(-0.144))*BK32/3.78541*15*300*(1+(A32-2)/3)</f>
        <v>12307.130138966339</v>
      </c>
      <c r="DZ32">
        <f>0.058*((BK32/3.78541*15)^(-0.151))*BK32/3.78541*15*300*(1+(A32-2)/3)</f>
        <v>6519.4301878820042</v>
      </c>
      <c r="EA32">
        <f>0.056*((BK32/3.78541*15)^(-0.144))*BK32/3.78541*15*300*(1+(A32-2)/3)</f>
        <v>6563.8027407820491</v>
      </c>
      <c r="EB32">
        <f>DS32*DT32/(3.6*10^6)*3600*7200*0.07</f>
        <v>846.16699146242365</v>
      </c>
      <c r="EC32">
        <f>0.499*((BM32/3.78541*15)^(-0.146))*BM32/3.78541*15*300*(1+(AF32-2)/9)</f>
        <v>28289.73423978344</v>
      </c>
      <c r="ED32">
        <f>0.248*((BM32/3.78541*15)^(-0.144))*BM32/3.78541*15*300*(1+(AF32-2)/3)</f>
        <v>19400.174755088523</v>
      </c>
      <c r="EE32">
        <f>0.105*((BM32/3.78541*15)^(-0.144))*BM32/3.78541*15*300*(1+(AF32-2)/3)</f>
        <v>8213.783666468933</v>
      </c>
      <c r="EF32">
        <f>0.058*((BM32/3.78541*15)^(-0.151))*BM32/3.78541*15*300*(1+(AF32-2)/3)</f>
        <v>4353.4867414415085</v>
      </c>
      <c r="EG32">
        <f>0.056*((BM32/3.78541*15)^(-0.144))*BM32/3.78541*15*300*(1+(AF32-2)/3)</f>
        <v>4380.6846221167634</v>
      </c>
      <c r="EH32">
        <f>DS32*DU32/(3.6*10^6)*3600*7200*0.07</f>
        <v>431.33243712679723</v>
      </c>
      <c r="EI32">
        <f>SUM(DW32:EH32)</f>
        <v>156150.35484974924</v>
      </c>
      <c r="EJ32">
        <f>EI32+DR32+DL32</f>
        <v>27592470.110601481</v>
      </c>
      <c r="EK32">
        <f>EJ32+DF32</f>
        <v>28168732.459462114</v>
      </c>
      <c r="EL32">
        <f>EK32/(BK32*60*7200)</f>
        <v>0.65205399211717852</v>
      </c>
      <c r="EM32">
        <f>EK32/(BM32*(AM32*195.084/1000+AN32*106.42/1000+AO32*102.911/1000)*60*7200)</f>
        <v>2192.3223947553929</v>
      </c>
      <c r="EN32">
        <f>EK32/(BN32*BA32*(AP32*195.084/1000+AQ32*106.42/1000+AR32*102.911/1000)*60*7200)</f>
        <v>3965.0898591746604</v>
      </c>
    </row>
    <row r="33" spans="1:144">
      <c r="A33">
        <f>'Costing 100 Lmin Feed Orig'!A33</f>
        <v>6</v>
      </c>
      <c r="B33">
        <f>'Costing 100 Lmin Feed Orig'!B33</f>
        <v>1.54143585092054E-3</v>
      </c>
      <c r="C33">
        <f>'Costing 100 Lmin Feed Orig'!C33</f>
        <v>1.54143585092054E-3</v>
      </c>
      <c r="D33">
        <f>'Costing 100 Lmin Feed Orig'!D33</f>
        <v>3.4254130020456501E-4</v>
      </c>
      <c r="E33">
        <f>'Costing 100 Lmin Feed Orig'!E33</f>
        <v>0</v>
      </c>
      <c r="F33">
        <f>'Costing 100 Lmin Feed Orig'!F33</f>
        <v>0</v>
      </c>
      <c r="G33">
        <f>'Costing 100 Lmin Feed Orig'!G33</f>
        <v>0</v>
      </c>
      <c r="H33">
        <f>'Costing 100 Lmin Feed Orig'!H33</f>
        <v>1.7693893431643E-5</v>
      </c>
      <c r="I33">
        <f>'Costing 100 Lmin Feed Orig'!I33</f>
        <v>3.7175600603836103E-8</v>
      </c>
      <c r="J33">
        <f>'Costing 100 Lmin Feed Orig'!J33</f>
        <v>3.36890310328726E-4</v>
      </c>
      <c r="K33">
        <f>'Costing 100 Lmin Feed Orig'!K33</f>
        <v>0.133710118829723</v>
      </c>
      <c r="L33">
        <f>'Costing 100 Lmin Feed Orig'!L33</f>
        <v>0.13525951632913</v>
      </c>
      <c r="M33">
        <f>'Costing 100 Lmin Feed Orig'!M33</f>
        <v>4.9588089642288804E-4</v>
      </c>
      <c r="N33">
        <f>'Costing 100 Lmin Feed Orig'!N33</f>
        <v>-1.72886878424538E-14</v>
      </c>
      <c r="O33">
        <f>'Costing 100 Lmin Feed Orig'!O33</f>
        <v>-1.05961268405396E-12</v>
      </c>
      <c r="P33">
        <f>'Costing 100 Lmin Feed Orig'!P33</f>
        <v>-9.6595637304880395E-18</v>
      </c>
      <c r="Q33">
        <f>'Costing 100 Lmin Feed Orig'!Q33</f>
        <v>0.11395861217105201</v>
      </c>
      <c r="R33">
        <f>'Costing 100 Lmin Feed Orig'!R33</f>
        <v>98.3502748800029</v>
      </c>
      <c r="S33">
        <f>'Costing 100 Lmin Feed Orig'!S33</f>
        <v>500</v>
      </c>
      <c r="T33">
        <f>'Costing 100 Lmin Feed Orig'!T33</f>
        <v>95</v>
      </c>
      <c r="U33">
        <f>'Costing 100 Lmin Feed Orig'!U33</f>
        <v>1</v>
      </c>
      <c r="V33">
        <f>'Costing 100 Lmin Feed Orig'!V33</f>
        <v>0.1</v>
      </c>
      <c r="W33">
        <f>'Costing 100 Lmin Feed Orig'!W33</f>
        <v>87.751156402202497</v>
      </c>
      <c r="X33" t="str">
        <f>'Costing 100 Lmin Feed Orig'!X33</f>
        <v>ddFc</v>
      </c>
      <c r="Y33">
        <f>'Costing 100 Lmin Feed Orig'!Y33</f>
        <v>1</v>
      </c>
      <c r="Z33">
        <f>'Costing 100 Lmin Feed Orig'!Z33</f>
        <v>0.28318429382522198</v>
      </c>
      <c r="AA33">
        <f>'Costing 100 Lmin Feed Orig'!AA33</f>
        <v>0.56945642916197003</v>
      </c>
      <c r="AB33">
        <f>'Costing 100 Lmin Feed Orig'!AB33</f>
        <v>3.7698628972227502E-3</v>
      </c>
      <c r="AC33">
        <f>'Costing 100 Lmin Feed Orig'!AC33</f>
        <v>1822.2107908876901</v>
      </c>
      <c r="AD33">
        <f>'Costing 100 Lmin Feed Orig'!AD33</f>
        <v>2662.6059073104898</v>
      </c>
      <c r="AE33">
        <f>'Costing 100 Lmin Feed Orig'!AE33</f>
        <v>2401.5030938442701</v>
      </c>
      <c r="AF33">
        <f>'Costing 100 Lmin Feed Orig'!AF33</f>
        <v>5</v>
      </c>
      <c r="AG33">
        <f>'Costing 100 Lmin Feed Orig'!AG33</f>
        <v>1.64951815726537E-3</v>
      </c>
      <c r="AH33">
        <f>'Costing 100 Lmin Feed Orig'!AH33</f>
        <v>1.6686323374819601E-3</v>
      </c>
      <c r="AI33">
        <f>'Costing 100 Lmin Feed Orig'!AI33</f>
        <v>6.1174468293775103E-6</v>
      </c>
      <c r="AJ33">
        <f>'Costing 100 Lmin Feed Orig'!AJ33</f>
        <v>0</v>
      </c>
      <c r="AK33">
        <f>'Costing 100 Lmin Feed Orig'!AK33</f>
        <v>0</v>
      </c>
      <c r="AL33">
        <f>'Costing 100 Lmin Feed Orig'!AL33</f>
        <v>0</v>
      </c>
      <c r="AM33">
        <f>'Costing 100 Lmin Feed Orig'!AM33</f>
        <v>1.6101609638428101E-3</v>
      </c>
      <c r="AN33">
        <f>'Costing 100 Lmin Feed Orig'!AN33</f>
        <v>7.8670620175806696E-5</v>
      </c>
      <c r="AO33">
        <f>'Costing 100 Lmin Feed Orig'!AO33</f>
        <v>6.0746937584639903E-6</v>
      </c>
      <c r="AP33">
        <f>'Costing 100 Lmin Feed Orig'!AP33</f>
        <v>1.81262020813318E-3</v>
      </c>
      <c r="AQ33">
        <f>'Costing 100 Lmin Feed Orig'!AQ33</f>
        <v>7.3226683315541802E-2</v>
      </c>
      <c r="AR33">
        <f>'Costing 100 Lmin Feed Orig'!AR33</f>
        <v>1.96901947416695E-6</v>
      </c>
      <c r="AS33">
        <f>'Costing 100 Lmin Feed Orig'!AS33</f>
        <v>-5.6209106379795297E-17</v>
      </c>
      <c r="AT33">
        <f>'Costing 100 Lmin Feed Orig'!AT33</f>
        <v>1.07336015076064E-16</v>
      </c>
      <c r="AU33">
        <f>'Costing 100 Lmin Feed Orig'!AU33</f>
        <v>-4.8360287332300198E-20</v>
      </c>
      <c r="AV33">
        <f>'Costing 100 Lmin Feed Orig'!AV33</f>
        <v>0.200572611715987</v>
      </c>
      <c r="AW33">
        <f>'Costing 100 Lmin Feed Orig'!AW33</f>
        <v>99.301128851529697</v>
      </c>
      <c r="AX33">
        <f>'Costing 100 Lmin Feed Orig'!AX33</f>
        <v>500</v>
      </c>
      <c r="AY33">
        <f>'Costing 100 Lmin Feed Orig'!AY33</f>
        <v>95</v>
      </c>
      <c r="AZ33">
        <f>'Costing 100 Lmin Feed Orig'!AZ33</f>
        <v>0.92374973309314701</v>
      </c>
      <c r="BA33">
        <f>'Costing 100 Lmin Feed Orig'!BA33</f>
        <v>0.1</v>
      </c>
      <c r="BB33">
        <f>'Costing 100 Lmin Feed Orig'!BB33</f>
        <v>46.055626697486701</v>
      </c>
      <c r="BC33" t="str">
        <f>'Costing 100 Lmin Feed Orig'!BC33</f>
        <v>coeFc</v>
      </c>
      <c r="BD33">
        <f>'Costing 100 Lmin Feed Orig'!BD33</f>
        <v>1</v>
      </c>
      <c r="BE33">
        <f>'Costing 100 Lmin Feed Orig'!BE33</f>
        <v>1.8775014999999999E-2</v>
      </c>
      <c r="BF33">
        <f>'Costing 100 Lmin Feed Orig'!BF33</f>
        <v>0.10492961100000001</v>
      </c>
      <c r="BG33">
        <f>'Costing 100 Lmin Feed Orig'!BG33</f>
        <v>1.814625E-3</v>
      </c>
      <c r="BH33">
        <f>'Costing 100 Lmin Feed Orig'!BH33</f>
        <v>285.1951444</v>
      </c>
      <c r="BI33">
        <f>'Costing 100 Lmin Feed Orig'!BI33</f>
        <v>2169.8944889999998</v>
      </c>
      <c r="BJ33">
        <f>'Costing 100 Lmin Feed Orig'!BJ33</f>
        <v>866.49409060000005</v>
      </c>
      <c r="BK33">
        <f>'Costing 100 Lmin Feed Orig'!BK33</f>
        <v>100</v>
      </c>
      <c r="BL33">
        <f>'Costing 100 Lmin Feed Orig'!BL33</f>
        <v>11.395861217105201</v>
      </c>
      <c r="BM33">
        <f>'Costing 100 Lmin Feed Orig'!BM33</f>
        <v>92.374973309314697</v>
      </c>
      <c r="BN33">
        <f>'Costing 100 Lmin Feed Orig'!BN33</f>
        <v>20.0572611715987</v>
      </c>
      <c r="BO33">
        <f t="shared" si="1"/>
        <v>182.33377947368322</v>
      </c>
      <c r="BP33">
        <f t="shared" si="2"/>
        <v>280.80165640238181</v>
      </c>
      <c r="BQ33">
        <f t="shared" si="3"/>
        <v>18.233377947368322</v>
      </c>
      <c r="BR33">
        <f t="shared" si="4"/>
        <v>28.080165640238182</v>
      </c>
      <c r="BS33">
        <f>1.2*0.5*BL33*V33/'Oxidant Feed Composition'!$N$22</f>
        <v>6.837516730263121</v>
      </c>
      <c r="BT33">
        <f>1.2*0.5*BN33*BA33/'Oxidant Feed Composition'!$N$22</f>
        <v>12.03435670295922</v>
      </c>
      <c r="BU33">
        <f t="shared" si="5"/>
        <v>5.6979306085525998</v>
      </c>
      <c r="BV33">
        <f t="shared" si="6"/>
        <v>10.028630585799348</v>
      </c>
      <c r="BW33">
        <f t="shared" si="7"/>
        <v>86.677042700762101</v>
      </c>
      <c r="BX33">
        <f t="shared" si="0"/>
        <v>36.466755894736643</v>
      </c>
      <c r="BY33">
        <f t="shared" si="8"/>
        <v>207.54166905283981</v>
      </c>
      <c r="BZ33">
        <f t="shared" si="9"/>
        <v>64.183235749115838</v>
      </c>
      <c r="CA33">
        <f t="shared" si="10"/>
        <v>60.171783514796097</v>
      </c>
      <c r="CB33">
        <f>BO33*'Reagent cost'!$G$11*'Reagent cost'!$H$11</f>
        <v>2406.8058890526186</v>
      </c>
      <c r="CC33">
        <f>BP33*'Reagent cost'!$G$11*'Reagent cost'!$H$11</f>
        <v>3706.58186451144</v>
      </c>
      <c r="CD33">
        <f>BQ33*'Reagent cost'!$C$18/1000*'Reagent cost'!$H$18</f>
        <v>2907.8673690603878</v>
      </c>
      <c r="CE33">
        <f>BR33*'Ligand cost'!$B$56*'Ligand cost'!$J$56</f>
        <v>28589.195355676231</v>
      </c>
      <c r="CF33">
        <f t="shared" si="11"/>
        <v>10</v>
      </c>
      <c r="CG33">
        <f t="shared" si="12"/>
        <v>2.2791722434210402</v>
      </c>
      <c r="CH33">
        <f t="shared" si="13"/>
        <v>4.0114522343197399</v>
      </c>
      <c r="CI33">
        <f>7963.6*(BX33/1000)^0.6*1.7*('CAPEX+OPEX'!$G$116/'CAPEX+OPEX'!$G$115)</f>
        <v>2189.6727102460782</v>
      </c>
      <c r="CJ33">
        <f>7963.6*(BY33/1000)^0.6*1.7*('CAPEX+OPEX'!$G$116/'CAPEX+OPEX'!$G$115)</f>
        <v>6215.9013146876341</v>
      </c>
      <c r="CK33">
        <f>7963.6*(BZ33/1000)^0.6*1.7*('CAPEX+OPEX'!$G$116/'CAPEX+OPEX'!$G$115)</f>
        <v>3073.9294278872244</v>
      </c>
      <c r="CL33">
        <f>7963.6*(CA33/1000)^0.6*1.7*('CAPEX+OPEX'!$G$116/'CAPEX+OPEX'!$G$115)</f>
        <v>2957.1724973487744</v>
      </c>
      <c r="CM33">
        <f>'Costing 100 Lmin Feed Orig'!DE33</f>
        <v>39625.826528698344</v>
      </c>
      <c r="CN33">
        <f>'Costing 100 Lmin Feed Orig'!DF33</f>
        <v>4586243.4239371875</v>
      </c>
      <c r="CO33">
        <f>'Costing 100 Lmin Feed Orig'!DG33</f>
        <v>11794834.586807497</v>
      </c>
      <c r="CP33">
        <f>'Costing 100 Lmin Feed Orig'!DH33</f>
        <v>2275209.1661185985</v>
      </c>
      <c r="CQ33">
        <f>'Costing 100 Lmin Feed Orig'!DI33</f>
        <v>14083914.336508472</v>
      </c>
      <c r="CR33">
        <f>'Costing 100 Lmin Feed Orig'!DJ33</f>
        <v>1662824.8986326549</v>
      </c>
      <c r="CS33">
        <f>CN33*(BK33/10000)^0.72*((A33+1)/3)^0.6*('CAPEX+OPEX'!$G$116/'CAPEX+OPEX'!$G$114)</f>
        <v>646135.89638675924</v>
      </c>
      <c r="CT33">
        <f>CO33*(BK33/10000)^0.72*((A33+1)/3)^0.6*('CAPEX+OPEX'!$G$116/'CAPEX+OPEX'!$G$114)</f>
        <v>1661722.9645298459</v>
      </c>
      <c r="CU33">
        <f>CP33*(BK33/10000)^0.72*((A33+1)/3)^0.6*('CAPEX+OPEX'!$G$116/'CAPEX+OPEX'!$G$114)</f>
        <v>320544.32748695416</v>
      </c>
      <c r="CV33">
        <f>CQ33*(BK33/10000)^0.72*((A33+1)/3)^0.6*('CAPEX+OPEX'!$G$116/'CAPEX+OPEX'!$G$114)</f>
        <v>1984221.4582325809</v>
      </c>
      <c r="CW33">
        <f>CR33*(BK33/10000)^0.72*((A33+1)/3)^0.6*('CAPEX+OPEX'!$G$116/'CAPEX+OPEX'!$G$114)</f>
        <v>234268.17050410178</v>
      </c>
      <c r="CX33">
        <f t="shared" si="14"/>
        <v>4846892.8171402421</v>
      </c>
      <c r="CY33">
        <f>CN33*(BM33/10000)^0.72*((AF33+1)/3)^0.6*('CAPEX+OPEX'!$G$116/'CAPEX+OPEX'!$G$114)</f>
        <v>556358.73376691749</v>
      </c>
      <c r="CZ33">
        <f>CO33*(BM33/10000)^0.72*((AF33+1)/3)^0.6*('CAPEX+OPEX'!$G$116/'CAPEX+OPEX'!$G$114)</f>
        <v>1430835.35458591</v>
      </c>
      <c r="DA33">
        <f>CP33*(BM33/10000)^0.72*((AF33+1)/3)^0.6*('CAPEX+OPEX'!$G$116/'CAPEX+OPEX'!$G$114)</f>
        <v>276006.38991594099</v>
      </c>
      <c r="DB33">
        <f>CQ33*(BM33/10000)^0.72*((AF33+1)/3)^0.6*('CAPEX+OPEX'!$G$116/'CAPEX+OPEX'!$G$114)</f>
        <v>1708524.3896659126</v>
      </c>
      <c r="DC33">
        <f>CR33*(BM33/10000)^0.72*((AF33+1)/3)^0.6*('CAPEX+OPEX'!$G$116/'CAPEX+OPEX'!$G$114)</f>
        <v>201717.84826134806</v>
      </c>
      <c r="DD33">
        <f t="shared" si="15"/>
        <v>4173442.7161960285</v>
      </c>
      <c r="DE33">
        <f>CX33+DD33+1.15*(SUM(CI33:CL33)+SUM(CB33:CE33))</f>
        <v>9080189.7287290115</v>
      </c>
      <c r="DF33">
        <f t="shared" si="16"/>
        <v>605345.98191526742</v>
      </c>
      <c r="DG33">
        <f>(BS33+BT33)*'Oxidant Feed Composition'!$N$25*60*7200</f>
        <v>15198523.671518596</v>
      </c>
      <c r="DH33">
        <f>((CG33+CH33)*'Reagent cost'!$C$17/1000*'Reagent cost'!$H$17+(CG33+CH33)*0.5*'Reagent cost'!$C$16/1000*'Reagent cost'!$H$16)*60*7200</f>
        <v>6056956.4636403285</v>
      </c>
      <c r="DI33">
        <f>CF33*'Reagent cost'!$C$17/1000*'Reagent cost'!$H$17*60*7200</f>
        <v>504921.59999999998</v>
      </c>
      <c r="DJ33">
        <f t="shared" si="17"/>
        <v>61.133877535640586</v>
      </c>
      <c r="DK33">
        <f t="shared" si="18"/>
        <v>629.94125449473233</v>
      </c>
      <c r="DL33">
        <f t="shared" si="19"/>
        <v>26113311.37234915</v>
      </c>
      <c r="DM33">
        <f>BK33*(B33*(409.81+2)/1000+C33*(248.2+2*22.99)/1000+D33*(315.6+3*22.99)/1000+0.1*58.44/1000)</f>
        <v>0.70639694042110623</v>
      </c>
      <c r="DN33">
        <f>(BS33+BT33)/1000*('Oxidant Feed Composition'!$B$11*'Oxidant Feed Composition'!$O$20+'Oxidant Feed Composition'!$D$11*'Oxidant Feed Composition'!$O$21+'Oxidant Feed Composition'!$F$11*'Oxidant Feed Composition'!$O$27-'Oxidant Feed Composition'!$J$15*18.015)</f>
        <v>2.2039430578370913</v>
      </c>
      <c r="DO33">
        <f>(BU33+BV33)/1000*(0.2*368.34+0.4*58.44)</f>
        <v>1.5261684045446904</v>
      </c>
      <c r="DP33">
        <f>BK33/1000*(B33*195.08+C33*106.42+D33*102.91)</f>
        <v>4.999938342565946E-2</v>
      </c>
      <c r="DQ33">
        <f>SUM(DM33:DO33)-DP33</f>
        <v>4.386509019377228</v>
      </c>
      <c r="DR33">
        <f>DQ33*60*7200*0.33</f>
        <v>625340.72580241761</v>
      </c>
      <c r="DS33">
        <v>1.2</v>
      </c>
      <c r="DT33">
        <f>BM33/60*(AM33*4+AN33*2+AO33*3)*96485/DV33</f>
        <v>1404.0224885653424</v>
      </c>
      <c r="DU33">
        <f>BN33*BA33*(AP33*4+AQ33*2+AR33*3)*96485/DV33/60</f>
        <v>708.24508509040857</v>
      </c>
      <c r="DV33">
        <v>0.7</v>
      </c>
      <c r="DW33">
        <f>0.499*((BK33/3.78541*15)^(-0.146))*BK33/3.78541*15*300*(1+(A33-2)/9)</f>
        <v>35776.359048024235</v>
      </c>
      <c r="DX33">
        <f>0.248*((BK33/3.78541*15)^(-0.144))*BK33/3.78541*15*300*(1+(A33-2)/3)</f>
        <v>29068.269280606211</v>
      </c>
      <c r="DY33">
        <f>0.105*((BK33/3.78541*15)^(-0.144))*BK33/3.78541*15*300*(1+(A33-2)/3)</f>
        <v>12307.130138966339</v>
      </c>
      <c r="DZ33">
        <f>0.058*((BK33/3.78541*15)^(-0.151))*BK33/3.78541*15*300*(1+(A33-2)/3)</f>
        <v>6519.4301878820042</v>
      </c>
      <c r="EA33">
        <f>0.056*((BK33/3.78541*15)^(-0.144))*BK33/3.78541*15*300*(1+(A33-2)/3)</f>
        <v>6563.8027407820491</v>
      </c>
      <c r="EB33">
        <f>DS33*DT33/(3.6*10^6)*3600*7200*0.07</f>
        <v>849.15280108431921</v>
      </c>
      <c r="EC33">
        <f>0.499*((BM33/3.78541*15)^(-0.146))*BM33/3.78541*15*300*(1+(AF33-2)/9)</f>
        <v>30861.528261581931</v>
      </c>
      <c r="ED33">
        <f>0.248*((BM33/3.78541*15)^(-0.144))*BM33/3.78541*15*300*(1+(AF33-2)/3)</f>
        <v>23280.20970610623</v>
      </c>
      <c r="EE33">
        <f>0.105*((BM33/3.78541*15)^(-0.144))*BM33/3.78541*15*300*(1+(AF33-2)/3)</f>
        <v>9856.54039976272</v>
      </c>
      <c r="EF33">
        <f>0.058*((BM33/3.78541*15)^(-0.151))*BM33/3.78541*15*300*(1+(AF33-2)/3)</f>
        <v>5224.1840897298107</v>
      </c>
      <c r="EG33">
        <f>0.056*((BM33/3.78541*15)^(-0.144))*BM33/3.78541*15*300*(1+(AF33-2)/3)</f>
        <v>5256.8215465401163</v>
      </c>
      <c r="EH33">
        <f>DS33*DU33/(3.6*10^6)*3600*7200*0.07</f>
        <v>428.34662746267912</v>
      </c>
      <c r="EI33">
        <f>SUM(DW33:EH33)</f>
        <v>165991.77482852867</v>
      </c>
      <c r="EJ33">
        <f>EI33+DR33+DL33</f>
        <v>26904643.872980095</v>
      </c>
      <c r="EK33">
        <f>EJ33+DF33</f>
        <v>27509989.854895364</v>
      </c>
      <c r="EL33">
        <f>EK33/(BK33*60*7200)</f>
        <v>0.63680532071517049</v>
      </c>
      <c r="EM33">
        <f>EK33/(BM33*(AM33*195.084/1000+AN33*106.42/1000+AO33*102.911/1000)*60*7200)</f>
        <v>2133.5198462653657</v>
      </c>
      <c r="EN33">
        <f>EK33/(BN33*BA33*(AP33*195.084/1000+AQ33*106.42/1000+AR33*102.911/1000)*60*7200)</f>
        <v>3897.2537986471775</v>
      </c>
    </row>
    <row r="34" spans="1:144">
      <c r="A34">
        <f>'Costing 100 Lmin Feed Orig'!A34</f>
        <v>6</v>
      </c>
      <c r="B34">
        <f>'Costing 100 Lmin Feed Orig'!B34</f>
        <v>1.54143585092054E-3</v>
      </c>
      <c r="C34">
        <f>'Costing 100 Lmin Feed Orig'!C34</f>
        <v>1.54143585092054E-3</v>
      </c>
      <c r="D34">
        <f>'Costing 100 Lmin Feed Orig'!D34</f>
        <v>3.4254130020456501E-4</v>
      </c>
      <c r="E34">
        <f>'Costing 100 Lmin Feed Orig'!E34</f>
        <v>0</v>
      </c>
      <c r="F34">
        <f>'Costing 100 Lmin Feed Orig'!F34</f>
        <v>0</v>
      </c>
      <c r="G34">
        <f>'Costing 100 Lmin Feed Orig'!G34</f>
        <v>0</v>
      </c>
      <c r="H34">
        <f>'Costing 100 Lmin Feed Orig'!H34</f>
        <v>1.7693893431643E-5</v>
      </c>
      <c r="I34">
        <f>'Costing 100 Lmin Feed Orig'!I34</f>
        <v>3.7175600603836103E-8</v>
      </c>
      <c r="J34">
        <f>'Costing 100 Lmin Feed Orig'!J34</f>
        <v>3.36890310328726E-4</v>
      </c>
      <c r="K34">
        <f>'Costing 100 Lmin Feed Orig'!K34</f>
        <v>0.133710118829723</v>
      </c>
      <c r="L34">
        <f>'Costing 100 Lmin Feed Orig'!L34</f>
        <v>0.13525951632913</v>
      </c>
      <c r="M34">
        <f>'Costing 100 Lmin Feed Orig'!M34</f>
        <v>4.9588089642288804E-4</v>
      </c>
      <c r="N34">
        <f>'Costing 100 Lmin Feed Orig'!N34</f>
        <v>-1.72886878424538E-14</v>
      </c>
      <c r="O34">
        <f>'Costing 100 Lmin Feed Orig'!O34</f>
        <v>-1.05961268405396E-12</v>
      </c>
      <c r="P34">
        <f>'Costing 100 Lmin Feed Orig'!P34</f>
        <v>-9.6595637304880395E-18</v>
      </c>
      <c r="Q34">
        <f>'Costing 100 Lmin Feed Orig'!Q34</f>
        <v>0.11395861217105201</v>
      </c>
      <c r="R34">
        <f>'Costing 100 Lmin Feed Orig'!R34</f>
        <v>98.3502748800029</v>
      </c>
      <c r="S34">
        <f>'Costing 100 Lmin Feed Orig'!S34</f>
        <v>500</v>
      </c>
      <c r="T34">
        <f>'Costing 100 Lmin Feed Orig'!T34</f>
        <v>95</v>
      </c>
      <c r="U34">
        <f>'Costing 100 Lmin Feed Orig'!U34</f>
        <v>1</v>
      </c>
      <c r="V34">
        <f>'Costing 100 Lmin Feed Orig'!V34</f>
        <v>0.1</v>
      </c>
      <c r="W34">
        <f>'Costing 100 Lmin Feed Orig'!W34</f>
        <v>87.751156402202497</v>
      </c>
      <c r="X34" t="str">
        <f>'Costing 100 Lmin Feed Orig'!X34</f>
        <v>ddFc</v>
      </c>
      <c r="Y34">
        <f>'Costing 100 Lmin Feed Orig'!Y34</f>
        <v>1</v>
      </c>
      <c r="Z34">
        <f>'Costing 100 Lmin Feed Orig'!Z34</f>
        <v>0.28318429382522198</v>
      </c>
      <c r="AA34">
        <f>'Costing 100 Lmin Feed Orig'!AA34</f>
        <v>0.56945642916197003</v>
      </c>
      <c r="AB34">
        <f>'Costing 100 Lmin Feed Orig'!AB34</f>
        <v>3.7698628972227502E-3</v>
      </c>
      <c r="AC34">
        <f>'Costing 100 Lmin Feed Orig'!AC34</f>
        <v>1822.2107908876901</v>
      </c>
      <c r="AD34">
        <f>'Costing 100 Lmin Feed Orig'!AD34</f>
        <v>2662.6059073104898</v>
      </c>
      <c r="AE34">
        <f>'Costing 100 Lmin Feed Orig'!AE34</f>
        <v>2401.5030938442701</v>
      </c>
      <c r="AF34">
        <f>'Costing 100 Lmin Feed Orig'!AF34</f>
        <v>6</v>
      </c>
      <c r="AG34">
        <f>'Costing 100 Lmin Feed Orig'!AG34</f>
        <v>1.64951815726537E-3</v>
      </c>
      <c r="AH34">
        <f>'Costing 100 Lmin Feed Orig'!AH34</f>
        <v>1.6686323374819601E-3</v>
      </c>
      <c r="AI34">
        <f>'Costing 100 Lmin Feed Orig'!AI34</f>
        <v>6.1174468293775103E-6</v>
      </c>
      <c r="AJ34">
        <f>'Costing 100 Lmin Feed Orig'!AJ34</f>
        <v>0</v>
      </c>
      <c r="AK34">
        <f>'Costing 100 Lmin Feed Orig'!AK34</f>
        <v>0</v>
      </c>
      <c r="AL34">
        <f>'Costing 100 Lmin Feed Orig'!AL34</f>
        <v>0</v>
      </c>
      <c r="AM34">
        <f>'Costing 100 Lmin Feed Orig'!AM34</f>
        <v>1.6118646916441E-3</v>
      </c>
      <c r="AN34">
        <f>'Costing 100 Lmin Feed Orig'!AN34</f>
        <v>7.8758511932156396E-5</v>
      </c>
      <c r="AO34">
        <f>'Costing 100 Lmin Feed Orig'!AO34</f>
        <v>6.0764721178985501E-6</v>
      </c>
      <c r="AP34">
        <f>'Costing 100 Lmin Feed Orig'!AP34</f>
        <v>1.75634842896041E-3</v>
      </c>
      <c r="AQ34">
        <f>'Costing 100 Lmin Feed Orig'!AQ34</f>
        <v>7.4159771210348502E-2</v>
      </c>
      <c r="AR34">
        <f>'Costing 100 Lmin Feed Orig'!AR34</f>
        <v>1.91126816471642E-6</v>
      </c>
      <c r="AS34">
        <f>'Costing 100 Lmin Feed Orig'!AS34</f>
        <v>-2.6427427954334101E-18</v>
      </c>
      <c r="AT34">
        <f>'Costing 100 Lmin Feed Orig'!AT34</f>
        <v>-2.7300210703185002E-16</v>
      </c>
      <c r="AU34">
        <f>'Costing 100 Lmin Feed Orig'!AU34</f>
        <v>-2.0447904742310799E-21</v>
      </c>
      <c r="AV34">
        <f>'Costing 100 Lmin Feed Orig'!AV34</f>
        <v>0.19803803302439801</v>
      </c>
      <c r="AW34">
        <f>'Costing 100 Lmin Feed Orig'!AW34</f>
        <v>99.330199139906</v>
      </c>
      <c r="AX34">
        <f>'Costing 100 Lmin Feed Orig'!AX34</f>
        <v>500</v>
      </c>
      <c r="AY34">
        <f>'Costing 100 Lmin Feed Orig'!AY34</f>
        <v>95</v>
      </c>
      <c r="AZ34">
        <f>'Costing 100 Lmin Feed Orig'!AZ34</f>
        <v>0.92374973309314701</v>
      </c>
      <c r="BA34">
        <f>'Costing 100 Lmin Feed Orig'!BA34</f>
        <v>0.1</v>
      </c>
      <c r="BB34">
        <f>'Costing 100 Lmin Feed Orig'!BB34</f>
        <v>46.645067060393401</v>
      </c>
      <c r="BC34" t="str">
        <f>'Costing 100 Lmin Feed Orig'!BC34</f>
        <v>coeFc</v>
      </c>
      <c r="BD34">
        <f>'Costing 100 Lmin Feed Orig'!BD34</f>
        <v>1</v>
      </c>
      <c r="BE34">
        <f>'Costing 100 Lmin Feed Orig'!BE34</f>
        <v>1.8775014999999999E-2</v>
      </c>
      <c r="BF34">
        <f>'Costing 100 Lmin Feed Orig'!BF34</f>
        <v>0.10492961100000001</v>
      </c>
      <c r="BG34">
        <f>'Costing 100 Lmin Feed Orig'!BG34</f>
        <v>1.814625E-3</v>
      </c>
      <c r="BH34">
        <f>'Costing 100 Lmin Feed Orig'!BH34</f>
        <v>285.1951444</v>
      </c>
      <c r="BI34">
        <f>'Costing 100 Lmin Feed Orig'!BI34</f>
        <v>2169.8944889999998</v>
      </c>
      <c r="BJ34">
        <f>'Costing 100 Lmin Feed Orig'!BJ34</f>
        <v>866.49409060000005</v>
      </c>
      <c r="BK34">
        <f>'Costing 100 Lmin Feed Orig'!BK34</f>
        <v>100</v>
      </c>
      <c r="BL34">
        <f>'Costing 100 Lmin Feed Orig'!BL34</f>
        <v>11.395861217105201</v>
      </c>
      <c r="BM34">
        <f>'Costing 100 Lmin Feed Orig'!BM34</f>
        <v>92.374973309314697</v>
      </c>
      <c r="BN34">
        <f>'Costing 100 Lmin Feed Orig'!BN34</f>
        <v>19.8038033024398</v>
      </c>
      <c r="BO34">
        <f t="shared" si="1"/>
        <v>182.33377947368322</v>
      </c>
      <c r="BP34">
        <f t="shared" si="2"/>
        <v>316.8608528390368</v>
      </c>
      <c r="BQ34">
        <f t="shared" si="3"/>
        <v>18.233377947368322</v>
      </c>
      <c r="BR34">
        <f t="shared" si="4"/>
        <v>31.68608528390368</v>
      </c>
      <c r="BS34">
        <f>1.2*0.5*BL34*V34/'Oxidant Feed Composition'!$N$22</f>
        <v>6.837516730263121</v>
      </c>
      <c r="BT34">
        <f>1.2*0.5*BN34*BA34/'Oxidant Feed Composition'!$N$22</f>
        <v>11.88228198146388</v>
      </c>
      <c r="BU34">
        <f t="shared" si="5"/>
        <v>5.6979306085525998</v>
      </c>
      <c r="BV34">
        <f t="shared" si="6"/>
        <v>9.9019016512198998</v>
      </c>
      <c r="BW34">
        <f t="shared" si="7"/>
        <v>86.677042700762101</v>
      </c>
      <c r="BX34">
        <f t="shared" ref="BX34:BX65" si="20">(BS34+BL34)*2</f>
        <v>36.466755894736643</v>
      </c>
      <c r="BY34">
        <f t="shared" si="8"/>
        <v>207.54166905283981</v>
      </c>
      <c r="BZ34">
        <f t="shared" si="9"/>
        <v>63.372170567807359</v>
      </c>
      <c r="CA34">
        <f t="shared" si="10"/>
        <v>59.411409907319396</v>
      </c>
      <c r="CB34">
        <f>BO34*'Reagent cost'!$G$11*'Reagent cost'!$H$11</f>
        <v>2406.8058890526186</v>
      </c>
      <c r="CC34">
        <f>BP34*'Reagent cost'!$G$11*'Reagent cost'!$H$11</f>
        <v>4182.5632574752863</v>
      </c>
      <c r="CD34">
        <f>BQ34*'Reagent cost'!$C$18/1000*'Reagent cost'!$H$18</f>
        <v>2907.8673690603878</v>
      </c>
      <c r="CE34">
        <f>BR34*'Ligand cost'!$B$56*'Ligand cost'!$J$56</f>
        <v>32260.482144023998</v>
      </c>
      <c r="CF34">
        <f t="shared" si="11"/>
        <v>10</v>
      </c>
      <c r="CG34">
        <f t="shared" si="12"/>
        <v>2.2791722434210402</v>
      </c>
      <c r="CH34">
        <f t="shared" si="13"/>
        <v>3.9607606604879599</v>
      </c>
      <c r="CI34">
        <f>7963.6*(BX34/1000)^0.6*1.7*('CAPEX+OPEX'!$G$116/'CAPEX+OPEX'!$G$115)</f>
        <v>2189.6727102460782</v>
      </c>
      <c r="CJ34">
        <f>7963.6*(BY34/1000)^0.6*1.7*('CAPEX+OPEX'!$G$116/'CAPEX+OPEX'!$G$115)</f>
        <v>6215.9013146876341</v>
      </c>
      <c r="CK34">
        <f>7963.6*(BZ34/1000)^0.6*1.7*('CAPEX+OPEX'!$G$116/'CAPEX+OPEX'!$G$115)</f>
        <v>3050.5635541858655</v>
      </c>
      <c r="CL34">
        <f>7963.6*(CA34/1000)^0.6*1.7*('CAPEX+OPEX'!$G$116/'CAPEX+OPEX'!$G$115)</f>
        <v>2934.6941286330439</v>
      </c>
      <c r="CM34">
        <f>'Costing 100 Lmin Feed Orig'!DE34</f>
        <v>39625.826528698344</v>
      </c>
      <c r="CN34">
        <f>'Costing 100 Lmin Feed Orig'!DF34</f>
        <v>4586243.4239371875</v>
      </c>
      <c r="CO34">
        <f>'Costing 100 Lmin Feed Orig'!DG34</f>
        <v>11794834.586807497</v>
      </c>
      <c r="CP34">
        <f>'Costing 100 Lmin Feed Orig'!DH34</f>
        <v>2275209.1661185985</v>
      </c>
      <c r="CQ34">
        <f>'Costing 100 Lmin Feed Orig'!DI34</f>
        <v>14083914.336508472</v>
      </c>
      <c r="CR34">
        <f>'Costing 100 Lmin Feed Orig'!DJ34</f>
        <v>1662824.8986326549</v>
      </c>
      <c r="CS34">
        <f>CN34*(BK34/10000)^0.72*((A34+1)/3)^0.6*('CAPEX+OPEX'!$G$116/'CAPEX+OPEX'!$G$114)</f>
        <v>646135.89638675924</v>
      </c>
      <c r="CT34">
        <f>CO34*(BK34/10000)^0.72*((A34+1)/3)^0.6*('CAPEX+OPEX'!$G$116/'CAPEX+OPEX'!$G$114)</f>
        <v>1661722.9645298459</v>
      </c>
      <c r="CU34">
        <f>CP34*(BK34/10000)^0.72*((A34+1)/3)^0.6*('CAPEX+OPEX'!$G$116/'CAPEX+OPEX'!$G$114)</f>
        <v>320544.32748695416</v>
      </c>
      <c r="CV34">
        <f>CQ34*(BK34/10000)^0.72*((A34+1)/3)^0.6*('CAPEX+OPEX'!$G$116/'CAPEX+OPEX'!$G$114)</f>
        <v>1984221.4582325809</v>
      </c>
      <c r="CW34">
        <f>CR34*(BK34/10000)^0.72*((A34+1)/3)^0.6*('CAPEX+OPEX'!$G$116/'CAPEX+OPEX'!$G$114)</f>
        <v>234268.17050410178</v>
      </c>
      <c r="CX34">
        <f t="shared" si="14"/>
        <v>4846892.8171402421</v>
      </c>
      <c r="CY34">
        <f>CN34*(BM34/10000)^0.72*((AF34+1)/3)^0.6*('CAPEX+OPEX'!$G$116/'CAPEX+OPEX'!$G$114)</f>
        <v>610271.35267664073</v>
      </c>
      <c r="CZ34">
        <f>CO34*(BM34/10000)^0.72*((AF34+1)/3)^0.6*('CAPEX+OPEX'!$G$116/'CAPEX+OPEX'!$G$114)</f>
        <v>1569487.0490997343</v>
      </c>
      <c r="DA34">
        <f>CP34*(BM34/10000)^0.72*((AF34+1)/3)^0.6*('CAPEX+OPEX'!$G$116/'CAPEX+OPEX'!$G$114)</f>
        <v>302752.13220965426</v>
      </c>
      <c r="DB34">
        <f>CQ34*(BM34/10000)^0.72*((AF34+1)/3)^0.6*('CAPEX+OPEX'!$G$116/'CAPEX+OPEX'!$G$114)</f>
        <v>1874084.8791982206</v>
      </c>
      <c r="DC34">
        <f>CR34*(BM34/10000)^0.72*((AF34+1)/3)^0.6*('CAPEX+OPEX'!$G$116/'CAPEX+OPEX'!$G$114)</f>
        <v>221264.83623971866</v>
      </c>
      <c r="DD34">
        <f t="shared" si="15"/>
        <v>4577860.2494239686</v>
      </c>
      <c r="DE34">
        <f>CX34+DD34+1.15*(SUM(CI34:CL34)+SUM(CB34:CE34))</f>
        <v>9489323.8994866796</v>
      </c>
      <c r="DF34">
        <f t="shared" si="16"/>
        <v>632621.59329911193</v>
      </c>
      <c r="DG34">
        <f>(BS34+BT34)*'Oxidant Feed Composition'!$N$25*60*7200</f>
        <v>15076049.807825891</v>
      </c>
      <c r="DH34">
        <f>((CG34+CH34)*'Reagent cost'!$C$17/1000*'Reagent cost'!$H$17+(CG34+CH34)*0.5*'Reagent cost'!$C$16/1000*'Reagent cost'!$H$16)*60*7200</f>
        <v>6008147.8506228235</v>
      </c>
      <c r="DI34">
        <f>CF34*'Reagent cost'!$C$17/1000*'Reagent cost'!$H$17*60*7200</f>
        <v>504921.59999999998</v>
      </c>
      <c r="DJ34">
        <f t="shared" si="17"/>
        <v>65.893691465279048</v>
      </c>
      <c r="DK34">
        <f t="shared" si="18"/>
        <v>703.36699026168776</v>
      </c>
      <c r="DL34">
        <f t="shared" si="19"/>
        <v>25907866.222956531</v>
      </c>
      <c r="DM34">
        <f>BK34*(B34*(409.81+2)/1000+C34*(248.2+2*22.99)/1000+D34*(315.6+3*22.99)/1000+0.1*58.44/1000)</f>
        <v>0.70639694042110623</v>
      </c>
      <c r="DN34">
        <f>(BS34+BT34)/1000*('Oxidant Feed Composition'!$B$11*'Oxidant Feed Composition'!$O$20+'Oxidant Feed Composition'!$D$11*'Oxidant Feed Composition'!$O$21+'Oxidant Feed Composition'!$F$11*'Oxidant Feed Composition'!$O$27-'Oxidant Feed Composition'!$J$15*18.015)</f>
        <v>2.1861830814416301</v>
      </c>
      <c r="DO34">
        <f>(BU34+BV34)/1000*(0.2*368.34+0.4*58.44)</f>
        <v>1.5138701218173625</v>
      </c>
      <c r="DP34">
        <f>BK34/1000*(B34*195.08+C34*106.42+D34*102.91)</f>
        <v>4.999938342565946E-2</v>
      </c>
      <c r="DQ34">
        <f>SUM(DM34:DO34)-DP34</f>
        <v>4.3564507602544387</v>
      </c>
      <c r="DR34">
        <f>DQ34*60*7200*0.33</f>
        <v>621055.62038187287</v>
      </c>
      <c r="DS34">
        <v>1.2</v>
      </c>
      <c r="DT34">
        <f>BM34/60*(AM34*4+AN34*2+AO34*3)*96485/DV34</f>
        <v>1405.5071126003013</v>
      </c>
      <c r="DU34">
        <f>BN34*BA34*(AP34*4+AQ34*2+AR34*3)*96485/DV34/60</f>
        <v>706.76046105556952</v>
      </c>
      <c r="DV34">
        <v>0.7</v>
      </c>
      <c r="DW34">
        <f>0.499*((BK34/3.78541*15)^(-0.146))*BK34/3.78541*15*300*(1+(A34-2)/9)</f>
        <v>35776.359048024235</v>
      </c>
      <c r="DX34">
        <f>0.248*((BK34/3.78541*15)^(-0.144))*BK34/3.78541*15*300*(1+(A34-2)/3)</f>
        <v>29068.269280606211</v>
      </c>
      <c r="DY34">
        <f>0.105*((BK34/3.78541*15)^(-0.144))*BK34/3.78541*15*300*(1+(A34-2)/3)</f>
        <v>12307.130138966339</v>
      </c>
      <c r="DZ34">
        <f>0.058*((BK34/3.78541*15)^(-0.151))*BK34/3.78541*15*300*(1+(A34-2)/3)</f>
        <v>6519.4301878820042</v>
      </c>
      <c r="EA34">
        <f>0.056*((BK34/3.78541*15)^(-0.144))*BK34/3.78541*15*300*(1+(A34-2)/3)</f>
        <v>6563.8027407820491</v>
      </c>
      <c r="EB34">
        <f>DS34*DT34/(3.6*10^6)*3600*7200*0.07</f>
        <v>850.05070170066233</v>
      </c>
      <c r="EC34">
        <f>0.499*((BM34/3.78541*15)^(-0.146))*BM34/3.78541*15*300*(1+(AF34-2)/9)</f>
        <v>33433.322283380425</v>
      </c>
      <c r="ED34">
        <f>0.248*((BM34/3.78541*15)^(-0.144))*BM34/3.78541*15*300*(1+(AF34-2)/3)</f>
        <v>27160.244657123931</v>
      </c>
      <c r="EE34">
        <f>0.105*((BM34/3.78541*15)^(-0.144))*BM34/3.78541*15*300*(1+(AF34-2)/3)</f>
        <v>11499.297133056505</v>
      </c>
      <c r="EF34">
        <f>0.058*((BM34/3.78541*15)^(-0.151))*BM34/3.78541*15*300*(1+(AF34-2)/3)</f>
        <v>6094.881438018112</v>
      </c>
      <c r="EG34">
        <f>0.056*((BM34/3.78541*15)^(-0.144))*BM34/3.78541*15*300*(1+(AF34-2)/3)</f>
        <v>6132.9584709634682</v>
      </c>
      <c r="EH34">
        <f>DS34*DU34/(3.6*10^6)*3600*7200*0.07</f>
        <v>427.44872684640848</v>
      </c>
      <c r="EI34">
        <f>SUM(DW34:EH34)</f>
        <v>175833.19480735034</v>
      </c>
      <c r="EJ34">
        <f>EI34+DR34+DL34</f>
        <v>26704755.038145754</v>
      </c>
      <c r="EK34">
        <f>EJ34+DF34</f>
        <v>27337376.631444868</v>
      </c>
      <c r="EL34">
        <f>EK34/(BK34*60*7200)</f>
        <v>0.63280964424640895</v>
      </c>
      <c r="EM34">
        <f>EK34/(BM34*(AM34*195.084/1000+AN34*106.42/1000+AO34*102.911/1000)*60*7200)</f>
        <v>2117.8918668391557</v>
      </c>
      <c r="EN34">
        <f>EK34/(BN34*BA34*(AP34*195.084/1000+AQ34*106.42/1000+AR34*102.911/1000)*60*7200)</f>
        <v>3880.3005327461715</v>
      </c>
    </row>
    <row r="35" spans="1:144">
      <c r="A35">
        <f>'Costing 100 Lmin Feed Orig'!A35</f>
        <v>6</v>
      </c>
      <c r="B35">
        <f>'Costing 100 Lmin Feed Orig'!B35</f>
        <v>1.54143585092054E-3</v>
      </c>
      <c r="C35">
        <f>'Costing 100 Lmin Feed Orig'!C35</f>
        <v>1.54143585092054E-3</v>
      </c>
      <c r="D35">
        <f>'Costing 100 Lmin Feed Orig'!D35</f>
        <v>3.4254130020456501E-4</v>
      </c>
      <c r="E35">
        <f>'Costing 100 Lmin Feed Orig'!E35</f>
        <v>0</v>
      </c>
      <c r="F35">
        <f>'Costing 100 Lmin Feed Orig'!F35</f>
        <v>0</v>
      </c>
      <c r="G35">
        <f>'Costing 100 Lmin Feed Orig'!G35</f>
        <v>0</v>
      </c>
      <c r="H35">
        <f>'Costing 100 Lmin Feed Orig'!H35</f>
        <v>1.7693893431643E-5</v>
      </c>
      <c r="I35">
        <f>'Costing 100 Lmin Feed Orig'!I35</f>
        <v>3.7175600603836103E-8</v>
      </c>
      <c r="J35">
        <f>'Costing 100 Lmin Feed Orig'!J35</f>
        <v>3.36890310328726E-4</v>
      </c>
      <c r="K35">
        <f>'Costing 100 Lmin Feed Orig'!K35</f>
        <v>0.133710118829723</v>
      </c>
      <c r="L35">
        <f>'Costing 100 Lmin Feed Orig'!L35</f>
        <v>0.13525951632913</v>
      </c>
      <c r="M35">
        <f>'Costing 100 Lmin Feed Orig'!M35</f>
        <v>4.9588089642288804E-4</v>
      </c>
      <c r="N35">
        <f>'Costing 100 Lmin Feed Orig'!N35</f>
        <v>-1.72886878424538E-14</v>
      </c>
      <c r="O35">
        <f>'Costing 100 Lmin Feed Orig'!O35</f>
        <v>-1.05961268405396E-12</v>
      </c>
      <c r="P35">
        <f>'Costing 100 Lmin Feed Orig'!P35</f>
        <v>-9.6595637304880395E-18</v>
      </c>
      <c r="Q35">
        <f>'Costing 100 Lmin Feed Orig'!Q35</f>
        <v>0.11395861217105201</v>
      </c>
      <c r="R35">
        <f>'Costing 100 Lmin Feed Orig'!R35</f>
        <v>98.3502748800029</v>
      </c>
      <c r="S35">
        <f>'Costing 100 Lmin Feed Orig'!S35</f>
        <v>500</v>
      </c>
      <c r="T35">
        <f>'Costing 100 Lmin Feed Orig'!T35</f>
        <v>95</v>
      </c>
      <c r="U35">
        <f>'Costing 100 Lmin Feed Orig'!U35</f>
        <v>1</v>
      </c>
      <c r="V35">
        <f>'Costing 100 Lmin Feed Orig'!V35</f>
        <v>0.1</v>
      </c>
      <c r="W35">
        <f>'Costing 100 Lmin Feed Orig'!W35</f>
        <v>87.751156402202497</v>
      </c>
      <c r="X35" t="str">
        <f>'Costing 100 Lmin Feed Orig'!X35</f>
        <v>ddFc</v>
      </c>
      <c r="Y35">
        <f>'Costing 100 Lmin Feed Orig'!Y35</f>
        <v>1</v>
      </c>
      <c r="Z35">
        <f>'Costing 100 Lmin Feed Orig'!Z35</f>
        <v>0.28318429382522198</v>
      </c>
      <c r="AA35">
        <f>'Costing 100 Lmin Feed Orig'!AA35</f>
        <v>0.56945642916197003</v>
      </c>
      <c r="AB35">
        <f>'Costing 100 Lmin Feed Orig'!AB35</f>
        <v>3.7698628972227502E-3</v>
      </c>
      <c r="AC35">
        <f>'Costing 100 Lmin Feed Orig'!AC35</f>
        <v>1822.2107908876901</v>
      </c>
      <c r="AD35">
        <f>'Costing 100 Lmin Feed Orig'!AD35</f>
        <v>2662.6059073104898</v>
      </c>
      <c r="AE35">
        <f>'Costing 100 Lmin Feed Orig'!AE35</f>
        <v>2401.5030938442701</v>
      </c>
      <c r="AF35">
        <f>'Costing 100 Lmin Feed Orig'!AF35</f>
        <v>7</v>
      </c>
      <c r="AG35">
        <f>'Costing 100 Lmin Feed Orig'!AG35</f>
        <v>1.64951815726537E-3</v>
      </c>
      <c r="AH35">
        <f>'Costing 100 Lmin Feed Orig'!AH35</f>
        <v>1.6686323374819601E-3</v>
      </c>
      <c r="AI35">
        <f>'Costing 100 Lmin Feed Orig'!AI35</f>
        <v>6.1174468293775103E-6</v>
      </c>
      <c r="AJ35">
        <f>'Costing 100 Lmin Feed Orig'!AJ35</f>
        <v>0</v>
      </c>
      <c r="AK35">
        <f>'Costing 100 Lmin Feed Orig'!AK35</f>
        <v>0</v>
      </c>
      <c r="AL35">
        <f>'Costing 100 Lmin Feed Orig'!AL35</f>
        <v>0</v>
      </c>
      <c r="AM35">
        <f>'Costing 100 Lmin Feed Orig'!AM35</f>
        <v>1.61236068920583E-3</v>
      </c>
      <c r="AN35">
        <f>'Costing 100 Lmin Feed Orig'!AN35</f>
        <v>7.8784098873371198E-5</v>
      </c>
      <c r="AO35">
        <f>'Costing 100 Lmin Feed Orig'!AO35</f>
        <v>6.0769898417647796E-6</v>
      </c>
      <c r="AP35">
        <f>'Costing 100 Lmin Feed Orig'!AP35</f>
        <v>1.7396945907611301E-3</v>
      </c>
      <c r="AQ35">
        <f>'Costing 100 Lmin Feed Orig'!AQ35</f>
        <v>7.4435921644561601E-2</v>
      </c>
      <c r="AR35">
        <f>'Costing 100 Lmin Feed Orig'!AR35</f>
        <v>1.8941764922222101E-6</v>
      </c>
      <c r="AS35">
        <f>'Costing 100 Lmin Feed Orig'!AS35</f>
        <v>2.4732006807109899E-16</v>
      </c>
      <c r="AT35">
        <f>'Costing 100 Lmin Feed Orig'!AT35</f>
        <v>-7.0015824735203402E-14</v>
      </c>
      <c r="AU35">
        <f>'Costing 100 Lmin Feed Orig'!AU35</f>
        <v>-9.2578054156934797E-21</v>
      </c>
      <c r="AV35">
        <f>'Costing 100 Lmin Feed Orig'!AV35</f>
        <v>0.197300154776898</v>
      </c>
      <c r="AW35">
        <f>'Costing 100 Lmin Feed Orig'!AW35</f>
        <v>99.338662210867994</v>
      </c>
      <c r="AX35">
        <f>'Costing 100 Lmin Feed Orig'!AX35</f>
        <v>500</v>
      </c>
      <c r="AY35">
        <f>'Costing 100 Lmin Feed Orig'!AY35</f>
        <v>95</v>
      </c>
      <c r="AZ35">
        <f>'Costing 100 Lmin Feed Orig'!AZ35</f>
        <v>0.92374973309314701</v>
      </c>
      <c r="BA35">
        <f>'Costing 100 Lmin Feed Orig'!BA35</f>
        <v>0.1</v>
      </c>
      <c r="BB35">
        <f>'Costing 100 Lmin Feed Orig'!BB35</f>
        <v>46.819513858856197</v>
      </c>
      <c r="BC35" t="str">
        <f>'Costing 100 Lmin Feed Orig'!BC35</f>
        <v>coeFc</v>
      </c>
      <c r="BD35">
        <f>'Costing 100 Lmin Feed Orig'!BD35</f>
        <v>1</v>
      </c>
      <c r="BE35">
        <f>'Costing 100 Lmin Feed Orig'!BE35</f>
        <v>1.8775014999999999E-2</v>
      </c>
      <c r="BF35">
        <f>'Costing 100 Lmin Feed Orig'!BF35</f>
        <v>0.10492961100000001</v>
      </c>
      <c r="BG35">
        <f>'Costing 100 Lmin Feed Orig'!BG35</f>
        <v>1.814625E-3</v>
      </c>
      <c r="BH35">
        <f>'Costing 100 Lmin Feed Orig'!BH35</f>
        <v>285.1951444</v>
      </c>
      <c r="BI35">
        <f>'Costing 100 Lmin Feed Orig'!BI35</f>
        <v>2169.8944889999998</v>
      </c>
      <c r="BJ35">
        <f>'Costing 100 Lmin Feed Orig'!BJ35</f>
        <v>866.49409060000005</v>
      </c>
      <c r="BK35">
        <f>'Costing 100 Lmin Feed Orig'!BK35</f>
        <v>100</v>
      </c>
      <c r="BL35">
        <f>'Costing 100 Lmin Feed Orig'!BL35</f>
        <v>11.395861217105201</v>
      </c>
      <c r="BM35">
        <f>'Costing 100 Lmin Feed Orig'!BM35</f>
        <v>92.374973309314697</v>
      </c>
      <c r="BN35">
        <f>'Costing 100 Lmin Feed Orig'!BN35</f>
        <v>19.7300154776898</v>
      </c>
      <c r="BO35">
        <f t="shared" si="1"/>
        <v>182.33377947368322</v>
      </c>
      <c r="BP35">
        <f t="shared" si="2"/>
        <v>355.14027859841639</v>
      </c>
      <c r="BQ35">
        <f t="shared" si="3"/>
        <v>18.233377947368322</v>
      </c>
      <c r="BR35">
        <f t="shared" si="4"/>
        <v>35.51402785984164</v>
      </c>
      <c r="BS35">
        <f>1.2*0.5*BL35*V35/'Oxidant Feed Composition'!$N$22</f>
        <v>6.837516730263121</v>
      </c>
      <c r="BT35">
        <f>1.2*0.5*BN35*BA35/'Oxidant Feed Composition'!$N$22</f>
        <v>11.838009286613881</v>
      </c>
      <c r="BU35">
        <f t="shared" si="5"/>
        <v>5.6979306085525998</v>
      </c>
      <c r="BV35">
        <f t="shared" si="6"/>
        <v>9.8650077388449002</v>
      </c>
      <c r="BW35">
        <f t="shared" si="7"/>
        <v>86.677042700762101</v>
      </c>
      <c r="BX35">
        <f t="shared" si="20"/>
        <v>36.466755894736643</v>
      </c>
      <c r="BY35">
        <f t="shared" si="8"/>
        <v>207.54166905283981</v>
      </c>
      <c r="BZ35">
        <f t="shared" si="9"/>
        <v>63.136049528607359</v>
      </c>
      <c r="CA35">
        <f t="shared" si="10"/>
        <v>59.190046433069398</v>
      </c>
      <c r="CB35">
        <f>BO35*'Reagent cost'!$G$11*'Reagent cost'!$H$11</f>
        <v>2406.8058890526186</v>
      </c>
      <c r="CC35">
        <f>BP35*'Reagent cost'!$G$11*'Reagent cost'!$H$11</f>
        <v>4687.8516774990967</v>
      </c>
      <c r="CD35">
        <f>BQ35*'Reagent cost'!$C$18/1000*'Reagent cost'!$H$18</f>
        <v>2907.8673690603878</v>
      </c>
      <c r="CE35">
        <f>BR35*'Ligand cost'!$B$56*'Ligand cost'!$J$56</f>
        <v>36157.816636844051</v>
      </c>
      <c r="CF35">
        <f t="shared" si="11"/>
        <v>10</v>
      </c>
      <c r="CG35">
        <f t="shared" si="12"/>
        <v>2.2791722434210402</v>
      </c>
      <c r="CH35">
        <f t="shared" si="13"/>
        <v>3.9460030955379604</v>
      </c>
      <c r="CI35">
        <f>7963.6*(BX35/1000)^0.6*1.7*('CAPEX+OPEX'!$G$116/'CAPEX+OPEX'!$G$115)</f>
        <v>2189.6727102460782</v>
      </c>
      <c r="CJ35">
        <f>7963.6*(BY35/1000)^0.6*1.7*('CAPEX+OPEX'!$G$116/'CAPEX+OPEX'!$G$115)</f>
        <v>6215.9013146876341</v>
      </c>
      <c r="CK35">
        <f>7963.6*(BZ35/1000)^0.6*1.7*('CAPEX+OPEX'!$G$116/'CAPEX+OPEX'!$G$115)</f>
        <v>3043.7387294113364</v>
      </c>
      <c r="CL35">
        <f>7963.6*(CA35/1000)^0.6*1.7*('CAPEX+OPEX'!$G$116/'CAPEX+OPEX'!$G$115)</f>
        <v>2928.1285308872516</v>
      </c>
      <c r="CM35">
        <f>'Costing 100 Lmin Feed Orig'!DE35</f>
        <v>39625.826528698344</v>
      </c>
      <c r="CN35">
        <f>'Costing 100 Lmin Feed Orig'!DF35</f>
        <v>4586243.4239371875</v>
      </c>
      <c r="CO35">
        <f>'Costing 100 Lmin Feed Orig'!DG35</f>
        <v>11794834.586807497</v>
      </c>
      <c r="CP35">
        <f>'Costing 100 Lmin Feed Orig'!DH35</f>
        <v>2275209.1661185985</v>
      </c>
      <c r="CQ35">
        <f>'Costing 100 Lmin Feed Orig'!DI35</f>
        <v>14083914.336508472</v>
      </c>
      <c r="CR35">
        <f>'Costing 100 Lmin Feed Orig'!DJ35</f>
        <v>1662824.8986326549</v>
      </c>
      <c r="CS35">
        <f>CN35*(BK35/10000)^0.72*((A35+1)/3)^0.6*('CAPEX+OPEX'!$G$116/'CAPEX+OPEX'!$G$114)</f>
        <v>646135.89638675924</v>
      </c>
      <c r="CT35">
        <f>CO35*(BK35/10000)^0.72*((A35+1)/3)^0.6*('CAPEX+OPEX'!$G$116/'CAPEX+OPEX'!$G$114)</f>
        <v>1661722.9645298459</v>
      </c>
      <c r="CU35">
        <f>CP35*(BK35/10000)^0.72*((A35+1)/3)^0.6*('CAPEX+OPEX'!$G$116/'CAPEX+OPEX'!$G$114)</f>
        <v>320544.32748695416</v>
      </c>
      <c r="CV35">
        <f>CQ35*(BK35/10000)^0.72*((A35+1)/3)^0.6*('CAPEX+OPEX'!$G$116/'CAPEX+OPEX'!$G$114)</f>
        <v>1984221.4582325809</v>
      </c>
      <c r="CW35">
        <f>CR35*(BK35/10000)^0.72*((A35+1)/3)^0.6*('CAPEX+OPEX'!$G$116/'CAPEX+OPEX'!$G$114)</f>
        <v>234268.17050410178</v>
      </c>
      <c r="CX35">
        <f t="shared" si="14"/>
        <v>4846892.8171402421</v>
      </c>
      <c r="CY35">
        <f>CN35*(BM35/10000)^0.72*((AF35+1)/3)^0.6*('CAPEX+OPEX'!$G$116/'CAPEX+OPEX'!$G$114)</f>
        <v>661177.63088250696</v>
      </c>
      <c r="CZ35">
        <f>CO35*(BM35/10000)^0.72*((AF35+1)/3)^0.6*('CAPEX+OPEX'!$G$116/'CAPEX+OPEX'!$G$114)</f>
        <v>1700407.0800196673</v>
      </c>
      <c r="DA35">
        <f>CP35*(BM35/10000)^0.72*((AF35+1)/3)^0.6*('CAPEX+OPEX'!$G$116/'CAPEX+OPEX'!$G$114)</f>
        <v>328006.44605231972</v>
      </c>
      <c r="DB35">
        <f>CQ35*(BM35/10000)^0.72*((AF35+1)/3)^0.6*('CAPEX+OPEX'!$G$116/'CAPEX+OPEX'!$G$114)</f>
        <v>2030413.1843422146</v>
      </c>
      <c r="DC35">
        <f>CR35*(BM35/10000)^0.72*((AF35+1)/3)^0.6*('CAPEX+OPEX'!$G$116/'CAPEX+OPEX'!$G$114)</f>
        <v>239721.8214175282</v>
      </c>
      <c r="DD35">
        <f t="shared" si="15"/>
        <v>4959726.1627142364</v>
      </c>
      <c r="DE35">
        <f>CX35+DD35+1.15*(SUM(CI35:CL35)+SUM(CB35:CE35))</f>
        <v>9876237.4301408213</v>
      </c>
      <c r="DF35">
        <f t="shared" si="16"/>
        <v>658415.82867605472</v>
      </c>
      <c r="DG35">
        <f>(BS35+BT35)*'Oxidant Feed Composition'!$N$25*60*7200</f>
        <v>15040394.651327485</v>
      </c>
      <c r="DH35">
        <f>((CG35+CH35)*'Reagent cost'!$C$17/1000*'Reagent cost'!$H$17+(CG35+CH35)*0.5*'Reagent cost'!$C$16/1000*'Reagent cost'!$H$16)*60*7200</f>
        <v>5993938.4619162194</v>
      </c>
      <c r="DI35">
        <f>CF35*'Reagent cost'!$C$17/1000*'Reagent cost'!$H$17*60*7200</f>
        <v>504921.59999999998</v>
      </c>
      <c r="DJ35">
        <f t="shared" si="17"/>
        <v>70.946575665517159</v>
      </c>
      <c r="DK35">
        <f t="shared" si="18"/>
        <v>781.31368011808888</v>
      </c>
      <c r="DL35">
        <f t="shared" si="19"/>
        <v>25848128.368199389</v>
      </c>
      <c r="DM35">
        <f>BK35*(B35*(409.81+2)/1000+C35*(248.2+2*22.99)/1000+D35*(315.6+3*22.99)/1000+0.1*58.44/1000)</f>
        <v>0.70639694042110623</v>
      </c>
      <c r="DN35">
        <f>(BS35+BT35)/1000*('Oxidant Feed Composition'!$B$11*'Oxidant Feed Composition'!$O$20+'Oxidant Feed Composition'!$D$11*'Oxidant Feed Composition'!$O$21+'Oxidant Feed Composition'!$F$11*'Oxidant Feed Composition'!$O$27-'Oxidant Feed Composition'!$J$15*18.015)</f>
        <v>2.1810127151390124</v>
      </c>
      <c r="DO35">
        <f>(BU35+BV35)/1000*(0.2*368.34+0.4*58.44)</f>
        <v>1.510289788984843</v>
      </c>
      <c r="DP35">
        <f>BK35/1000*(B35*195.08+C35*106.42+D35*102.91)</f>
        <v>4.999938342565946E-2</v>
      </c>
      <c r="DQ35">
        <f>SUM(DM35:DO35)-DP35</f>
        <v>4.3477000611193022</v>
      </c>
      <c r="DR35">
        <f>DQ35*60*7200*0.33</f>
        <v>619808.12071316771</v>
      </c>
      <c r="DS35">
        <v>1.2</v>
      </c>
      <c r="DT35">
        <f>BM35/60*(AM35*4+AN35*2+AO35*3)*96485/DV35</f>
        <v>1405.9393233749126</v>
      </c>
      <c r="DU35">
        <f>BN35*BA35*(AP35*4+AQ35*2+AR35*3)*96485/DV35/60</f>
        <v>706.32825031277434</v>
      </c>
      <c r="DV35">
        <v>0.7</v>
      </c>
      <c r="DW35">
        <f>0.499*((BK35/3.78541*15)^(-0.146))*BK35/3.78541*15*300*(1+(A35-2)/9)</f>
        <v>35776.359048024235</v>
      </c>
      <c r="DX35">
        <f>0.248*((BK35/3.78541*15)^(-0.144))*BK35/3.78541*15*300*(1+(A35-2)/3)</f>
        <v>29068.269280606211</v>
      </c>
      <c r="DY35">
        <f>0.105*((BK35/3.78541*15)^(-0.144))*BK35/3.78541*15*300*(1+(A35-2)/3)</f>
        <v>12307.130138966339</v>
      </c>
      <c r="DZ35">
        <f>0.058*((BK35/3.78541*15)^(-0.151))*BK35/3.78541*15*300*(1+(A35-2)/3)</f>
        <v>6519.4301878820042</v>
      </c>
      <c r="EA35">
        <f>0.056*((BK35/3.78541*15)^(-0.144))*BK35/3.78541*15*300*(1+(A35-2)/3)</f>
        <v>6563.8027407820491</v>
      </c>
      <c r="EB35">
        <f>DS35*DT35/(3.6*10^6)*3600*7200*0.07</f>
        <v>850.31210277714717</v>
      </c>
      <c r="EC35">
        <f>0.499*((BM35/3.78541*15)^(-0.146))*BM35/3.78541*15*300*(1+(AF35-2)/9)</f>
        <v>36005.116305178919</v>
      </c>
      <c r="ED35">
        <f>0.248*((BM35/3.78541*15)^(-0.144))*BM35/3.78541*15*300*(1+(AF35-2)/3)</f>
        <v>31040.279608141645</v>
      </c>
      <c r="EE35">
        <f>0.105*((BM35/3.78541*15)^(-0.144))*BM35/3.78541*15*300*(1+(AF35-2)/3)</f>
        <v>13142.053866350294</v>
      </c>
      <c r="EF35">
        <f>0.058*((BM35/3.78541*15)^(-0.151))*BM35/3.78541*15*300*(1+(AF35-2)/3)</f>
        <v>6965.5787863064152</v>
      </c>
      <c r="EG35">
        <f>0.056*((BM35/3.78541*15)^(-0.144))*BM35/3.78541*15*300*(1+(AF35-2)/3)</f>
        <v>7009.0953953868229</v>
      </c>
      <c r="EH35">
        <f>DS35*DU35/(3.6*10^6)*3600*7200*0.07</f>
        <v>427.18732578916593</v>
      </c>
      <c r="EI35">
        <f>SUM(DW35:EH35)</f>
        <v>185674.61478619123</v>
      </c>
      <c r="EJ35">
        <f>EI35+DR35+DL35</f>
        <v>26653611.103698749</v>
      </c>
      <c r="EK35">
        <f>EJ35+DF35</f>
        <v>27312026.932374805</v>
      </c>
      <c r="EL35">
        <f>EK35/(BK35*60*7200)</f>
        <v>0.63222284565682418</v>
      </c>
      <c r="EM35">
        <f>EK35/(BM35*(AM35*195.084/1000+AN35*106.42/1000+AO35*102.911/1000)*60*7200)</f>
        <v>2115.2770284936632</v>
      </c>
      <c r="EN35">
        <f>EK35/(BN35*BA35*(AP35*195.084/1000+AQ35*106.42/1000+AR35*102.911/1000)*60*7200)</f>
        <v>3878.8893232563523</v>
      </c>
    </row>
    <row r="36" spans="1:144">
      <c r="A36">
        <f>'Costing 100 Lmin Feed Orig'!A36</f>
        <v>6</v>
      </c>
      <c r="B36">
        <f>'Costing 100 Lmin Feed Orig'!B36</f>
        <v>1.54143585092054E-3</v>
      </c>
      <c r="C36">
        <f>'Costing 100 Lmin Feed Orig'!C36</f>
        <v>1.54143585092054E-3</v>
      </c>
      <c r="D36">
        <f>'Costing 100 Lmin Feed Orig'!D36</f>
        <v>3.4254130020456501E-4</v>
      </c>
      <c r="E36">
        <f>'Costing 100 Lmin Feed Orig'!E36</f>
        <v>0</v>
      </c>
      <c r="F36">
        <f>'Costing 100 Lmin Feed Orig'!F36</f>
        <v>0</v>
      </c>
      <c r="G36">
        <f>'Costing 100 Lmin Feed Orig'!G36</f>
        <v>0</v>
      </c>
      <c r="H36">
        <f>'Costing 100 Lmin Feed Orig'!H36</f>
        <v>1.7693893431643E-5</v>
      </c>
      <c r="I36">
        <f>'Costing 100 Lmin Feed Orig'!I36</f>
        <v>3.7175600603836103E-8</v>
      </c>
      <c r="J36">
        <f>'Costing 100 Lmin Feed Orig'!J36</f>
        <v>3.36890310328726E-4</v>
      </c>
      <c r="K36">
        <f>'Costing 100 Lmin Feed Orig'!K36</f>
        <v>0.133710118829723</v>
      </c>
      <c r="L36">
        <f>'Costing 100 Lmin Feed Orig'!L36</f>
        <v>0.13525951632913</v>
      </c>
      <c r="M36">
        <f>'Costing 100 Lmin Feed Orig'!M36</f>
        <v>4.9588089642288804E-4</v>
      </c>
      <c r="N36">
        <f>'Costing 100 Lmin Feed Orig'!N36</f>
        <v>-1.72886878424538E-14</v>
      </c>
      <c r="O36">
        <f>'Costing 100 Lmin Feed Orig'!O36</f>
        <v>-1.05961268405396E-12</v>
      </c>
      <c r="P36">
        <f>'Costing 100 Lmin Feed Orig'!P36</f>
        <v>-9.6595637304880395E-18</v>
      </c>
      <c r="Q36">
        <f>'Costing 100 Lmin Feed Orig'!Q36</f>
        <v>0.11395861217105201</v>
      </c>
      <c r="R36">
        <f>'Costing 100 Lmin Feed Orig'!R36</f>
        <v>98.3502748800029</v>
      </c>
      <c r="S36">
        <f>'Costing 100 Lmin Feed Orig'!S36</f>
        <v>500</v>
      </c>
      <c r="T36">
        <f>'Costing 100 Lmin Feed Orig'!T36</f>
        <v>95</v>
      </c>
      <c r="U36">
        <f>'Costing 100 Lmin Feed Orig'!U36</f>
        <v>1</v>
      </c>
      <c r="V36">
        <f>'Costing 100 Lmin Feed Orig'!V36</f>
        <v>0.1</v>
      </c>
      <c r="W36">
        <f>'Costing 100 Lmin Feed Orig'!W36</f>
        <v>87.751156402202497</v>
      </c>
      <c r="X36" t="str">
        <f>'Costing 100 Lmin Feed Orig'!X36</f>
        <v>ddFc</v>
      </c>
      <c r="Y36">
        <f>'Costing 100 Lmin Feed Orig'!Y36</f>
        <v>1</v>
      </c>
      <c r="Z36">
        <f>'Costing 100 Lmin Feed Orig'!Z36</f>
        <v>0.28318429382522198</v>
      </c>
      <c r="AA36">
        <f>'Costing 100 Lmin Feed Orig'!AA36</f>
        <v>0.56945642916197003</v>
      </c>
      <c r="AB36">
        <f>'Costing 100 Lmin Feed Orig'!AB36</f>
        <v>3.7698628972227502E-3</v>
      </c>
      <c r="AC36">
        <f>'Costing 100 Lmin Feed Orig'!AC36</f>
        <v>1822.2107908876901</v>
      </c>
      <c r="AD36">
        <f>'Costing 100 Lmin Feed Orig'!AD36</f>
        <v>2662.6059073104898</v>
      </c>
      <c r="AE36">
        <f>'Costing 100 Lmin Feed Orig'!AE36</f>
        <v>2401.5030938442701</v>
      </c>
      <c r="AF36">
        <f>'Costing 100 Lmin Feed Orig'!AF36</f>
        <v>8</v>
      </c>
      <c r="AG36">
        <f>'Costing 100 Lmin Feed Orig'!AG36</f>
        <v>1.64951815726537E-3</v>
      </c>
      <c r="AH36">
        <f>'Costing 100 Lmin Feed Orig'!AH36</f>
        <v>1.6686323374819601E-3</v>
      </c>
      <c r="AI36">
        <f>'Costing 100 Lmin Feed Orig'!AI36</f>
        <v>6.1174468293775103E-6</v>
      </c>
      <c r="AJ36">
        <f>'Costing 100 Lmin Feed Orig'!AJ36</f>
        <v>0</v>
      </c>
      <c r="AK36">
        <f>'Costing 100 Lmin Feed Orig'!AK36</f>
        <v>0</v>
      </c>
      <c r="AL36">
        <f>'Costing 100 Lmin Feed Orig'!AL36</f>
        <v>0</v>
      </c>
      <c r="AM36">
        <f>'Costing 100 Lmin Feed Orig'!AM36</f>
        <v>1.6125021937551699E-3</v>
      </c>
      <c r="AN36">
        <f>'Costing 100 Lmin Feed Orig'!AN36</f>
        <v>7.8791398968760994E-5</v>
      </c>
      <c r="AO36">
        <f>'Costing 100 Lmin Feed Orig'!AO36</f>
        <v>6.0771375446680096E-6</v>
      </c>
      <c r="AP36">
        <f>'Costing 100 Lmin Feed Orig'!AP36</f>
        <v>1.73492050588017E-3</v>
      </c>
      <c r="AQ36">
        <f>'Costing 100 Lmin Feed Orig'!AQ36</f>
        <v>7.4515084509212501E-2</v>
      </c>
      <c r="AR36">
        <f>'Costing 100 Lmin Feed Orig'!AR36</f>
        <v>1.8892768957738701E-6</v>
      </c>
      <c r="AS36">
        <f>'Costing 100 Lmin Feed Orig'!AS36</f>
        <v>7.2525806974615906E-15</v>
      </c>
      <c r="AT36">
        <f>'Costing 100 Lmin Feed Orig'!AT36</f>
        <v>-1.73205959123901E-12</v>
      </c>
      <c r="AU36">
        <f>'Costing 100 Lmin Feed Orig'!AU36</f>
        <v>4.3225150089571002E-20</v>
      </c>
      <c r="AV36">
        <f>'Costing 100 Lmin Feed Orig'!AV36</f>
        <v>0.19708964352883601</v>
      </c>
      <c r="AW36">
        <f>'Costing 100 Lmin Feed Orig'!AW36</f>
        <v>99.341076664272293</v>
      </c>
      <c r="AX36">
        <f>'Costing 100 Lmin Feed Orig'!AX36</f>
        <v>500</v>
      </c>
      <c r="AY36">
        <f>'Costing 100 Lmin Feed Orig'!AY36</f>
        <v>95</v>
      </c>
      <c r="AZ36">
        <f>'Costing 100 Lmin Feed Orig'!AZ36</f>
        <v>0.92374973309314701</v>
      </c>
      <c r="BA36">
        <f>'Costing 100 Lmin Feed Orig'!BA36</f>
        <v>0.1</v>
      </c>
      <c r="BB36">
        <f>'Costing 100 Lmin Feed Orig'!BB36</f>
        <v>46.869521734052398</v>
      </c>
      <c r="BC36" t="str">
        <f>'Costing 100 Lmin Feed Orig'!BC36</f>
        <v>coeFc</v>
      </c>
      <c r="BD36">
        <f>'Costing 100 Lmin Feed Orig'!BD36</f>
        <v>1</v>
      </c>
      <c r="BE36">
        <f>'Costing 100 Lmin Feed Orig'!BE36</f>
        <v>1.8775014999999999E-2</v>
      </c>
      <c r="BF36">
        <f>'Costing 100 Lmin Feed Orig'!BF36</f>
        <v>0.10492961100000001</v>
      </c>
      <c r="BG36">
        <f>'Costing 100 Lmin Feed Orig'!BG36</f>
        <v>1.814625E-3</v>
      </c>
      <c r="BH36">
        <f>'Costing 100 Lmin Feed Orig'!BH36</f>
        <v>285.1951444</v>
      </c>
      <c r="BI36">
        <f>'Costing 100 Lmin Feed Orig'!BI36</f>
        <v>2169.8944889999998</v>
      </c>
      <c r="BJ36">
        <f>'Costing 100 Lmin Feed Orig'!BJ36</f>
        <v>866.49409060000005</v>
      </c>
      <c r="BK36">
        <f>'Costing 100 Lmin Feed Orig'!BK36</f>
        <v>100</v>
      </c>
      <c r="BL36">
        <f>'Costing 100 Lmin Feed Orig'!BL36</f>
        <v>11.395861217105201</v>
      </c>
      <c r="BM36">
        <f>'Costing 100 Lmin Feed Orig'!BM36</f>
        <v>92.374973309314697</v>
      </c>
      <c r="BN36">
        <f>'Costing 100 Lmin Feed Orig'!BN36</f>
        <v>19.708964352883601</v>
      </c>
      <c r="BO36">
        <f t="shared" si="1"/>
        <v>182.33377947368322</v>
      </c>
      <c r="BP36">
        <f t="shared" si="2"/>
        <v>394.17928705767201</v>
      </c>
      <c r="BQ36">
        <f t="shared" si="3"/>
        <v>18.233377947368322</v>
      </c>
      <c r="BR36">
        <f t="shared" si="4"/>
        <v>39.417928705767203</v>
      </c>
      <c r="BS36">
        <f>1.2*0.5*BL36*V36/'Oxidant Feed Composition'!$N$22</f>
        <v>6.837516730263121</v>
      </c>
      <c r="BT36">
        <f>1.2*0.5*BN36*BA36/'Oxidant Feed Composition'!$N$22</f>
        <v>11.82537861173016</v>
      </c>
      <c r="BU36">
        <f t="shared" si="5"/>
        <v>5.6979306085525998</v>
      </c>
      <c r="BV36">
        <f t="shared" si="6"/>
        <v>9.8544821764418007</v>
      </c>
      <c r="BW36">
        <f t="shared" si="7"/>
        <v>86.677042700762101</v>
      </c>
      <c r="BX36">
        <f t="shared" si="20"/>
        <v>36.466755894736643</v>
      </c>
      <c r="BY36">
        <f t="shared" si="8"/>
        <v>207.54166905283981</v>
      </c>
      <c r="BZ36">
        <f t="shared" si="9"/>
        <v>63.068685929227527</v>
      </c>
      <c r="CA36">
        <f t="shared" si="10"/>
        <v>59.126893058650808</v>
      </c>
      <c r="CB36">
        <f>BO36*'Reagent cost'!$G$11*'Reagent cost'!$H$11</f>
        <v>2406.8058890526186</v>
      </c>
      <c r="CC36">
        <f>BP36*'Reagent cost'!$G$11*'Reagent cost'!$H$11</f>
        <v>5203.1665891612702</v>
      </c>
      <c r="CD36">
        <f>BQ36*'Reagent cost'!$C$18/1000*'Reagent cost'!$H$18</f>
        <v>2907.8673690603878</v>
      </c>
      <c r="CE36">
        <f>BR36*'Ligand cost'!$B$56*'Ligand cost'!$J$56</f>
        <v>40132.486350808351</v>
      </c>
      <c r="CF36">
        <f t="shared" si="11"/>
        <v>10</v>
      </c>
      <c r="CG36">
        <f t="shared" si="12"/>
        <v>2.2791722434210402</v>
      </c>
      <c r="CH36">
        <f t="shared" si="13"/>
        <v>3.9417928705767205</v>
      </c>
      <c r="CI36">
        <f>7963.6*(BX36/1000)^0.6*1.7*('CAPEX+OPEX'!$G$116/'CAPEX+OPEX'!$G$115)</f>
        <v>2189.6727102460782</v>
      </c>
      <c r="CJ36">
        <f>7963.6*(BY36/1000)^0.6*1.7*('CAPEX+OPEX'!$G$116/'CAPEX+OPEX'!$G$115)</f>
        <v>6215.9013146876341</v>
      </c>
      <c r="CK36">
        <f>7963.6*(BZ36/1000)^0.6*1.7*('CAPEX+OPEX'!$G$116/'CAPEX+OPEX'!$G$115)</f>
        <v>3041.7897860771859</v>
      </c>
      <c r="CL36">
        <f>7963.6*(CA36/1000)^0.6*1.7*('CAPEX+OPEX'!$G$116/'CAPEX+OPEX'!$G$115)</f>
        <v>2926.2536141847536</v>
      </c>
      <c r="CM36">
        <f>'Costing 100 Lmin Feed Orig'!DE36</f>
        <v>39625.826528698344</v>
      </c>
      <c r="CN36">
        <f>'Costing 100 Lmin Feed Orig'!DF36</f>
        <v>4586243.4239371875</v>
      </c>
      <c r="CO36">
        <f>'Costing 100 Lmin Feed Orig'!DG36</f>
        <v>11794834.586807497</v>
      </c>
      <c r="CP36">
        <f>'Costing 100 Lmin Feed Orig'!DH36</f>
        <v>2275209.1661185985</v>
      </c>
      <c r="CQ36">
        <f>'Costing 100 Lmin Feed Orig'!DI36</f>
        <v>14083914.336508472</v>
      </c>
      <c r="CR36">
        <f>'Costing 100 Lmin Feed Orig'!DJ36</f>
        <v>1662824.8986326549</v>
      </c>
      <c r="CS36">
        <f>CN36*(BK36/10000)^0.72*((A36+1)/3)^0.6*('CAPEX+OPEX'!$G$116/'CAPEX+OPEX'!$G$114)</f>
        <v>646135.89638675924</v>
      </c>
      <c r="CT36">
        <f>CO36*(BK36/10000)^0.72*((A36+1)/3)^0.6*('CAPEX+OPEX'!$G$116/'CAPEX+OPEX'!$G$114)</f>
        <v>1661722.9645298459</v>
      </c>
      <c r="CU36">
        <f>CP36*(BK36/10000)^0.72*((A36+1)/3)^0.6*('CAPEX+OPEX'!$G$116/'CAPEX+OPEX'!$G$114)</f>
        <v>320544.32748695416</v>
      </c>
      <c r="CV36">
        <f>CQ36*(BK36/10000)^0.72*((A36+1)/3)^0.6*('CAPEX+OPEX'!$G$116/'CAPEX+OPEX'!$G$114)</f>
        <v>1984221.4582325809</v>
      </c>
      <c r="CW36">
        <f>CR36*(BK36/10000)^0.72*((A36+1)/3)^0.6*('CAPEX+OPEX'!$G$116/'CAPEX+OPEX'!$G$114)</f>
        <v>234268.17050410178</v>
      </c>
      <c r="CX36">
        <f t="shared" si="14"/>
        <v>4846892.8171402421</v>
      </c>
      <c r="CY36">
        <f>CN36*(BM36/10000)^0.72*((AF36+1)/3)^0.6*('CAPEX+OPEX'!$G$116/'CAPEX+OPEX'!$G$114)</f>
        <v>709593.56018346804</v>
      </c>
      <c r="CZ36">
        <f>CO36*(BM36/10000)^0.72*((AF36+1)/3)^0.6*('CAPEX+OPEX'!$G$116/'CAPEX+OPEX'!$G$114)</f>
        <v>1824922.4676004604</v>
      </c>
      <c r="DA36">
        <f>CP36*(BM36/10000)^0.72*((AF36+1)/3)^0.6*('CAPEX+OPEX'!$G$116/'CAPEX+OPEX'!$G$114)</f>
        <v>352025.31202806637</v>
      </c>
      <c r="DB36">
        <f>CQ36*(BM36/10000)^0.72*((AF36+1)/3)^0.6*('CAPEX+OPEX'!$G$116/'CAPEX+OPEX'!$G$114)</f>
        <v>2179093.8664966309</v>
      </c>
      <c r="DC36">
        <f>CR36*(BM36/10000)^0.72*((AF36+1)/3)^0.6*('CAPEX+OPEX'!$G$116/'CAPEX+OPEX'!$G$114)</f>
        <v>257275.88588603889</v>
      </c>
      <c r="DD36">
        <f t="shared" si="15"/>
        <v>5322911.0921946643</v>
      </c>
      <c r="DE36">
        <f>CX36+DD36+1.15*(SUM(CI36:CL36)+SUM(CB36:CE36))</f>
        <v>10244581.444501676</v>
      </c>
      <c r="DF36">
        <f t="shared" si="16"/>
        <v>682972.09630011173</v>
      </c>
      <c r="DG36">
        <f>(BS36+BT36)*'Oxidant Feed Composition'!$N$25*60*7200</f>
        <v>15030222.496883636</v>
      </c>
      <c r="DH36">
        <f>((CG36+CH36)*'Reagent cost'!$C$17/1000*'Reagent cost'!$H$17+(CG36+CH36)*0.5*'Reagent cost'!$C$16/1000*'Reagent cost'!$H$16)*60*7200</f>
        <v>5989884.6276136627</v>
      </c>
      <c r="DI36">
        <f>CF36*'Reagent cost'!$C$17/1000*'Reagent cost'!$H$17*60*7200</f>
        <v>504921.59999999998</v>
      </c>
      <c r="DJ36">
        <f t="shared" si="17"/>
        <v>76.099724782138892</v>
      </c>
      <c r="DK36">
        <f t="shared" si="18"/>
        <v>860.80707439737489</v>
      </c>
      <c r="DL36">
        <f t="shared" si="19"/>
        <v>25831158.757555772</v>
      </c>
      <c r="DM36">
        <f>BK36*(B36*(409.81+2)/1000+C36*(248.2+2*22.99)/1000+D36*(315.6+3*22.99)/1000+0.1*58.44/1000)</f>
        <v>0.70639694042110623</v>
      </c>
      <c r="DN36">
        <f>(BS36+BT36)/1000*('Oxidant Feed Composition'!$B$11*'Oxidant Feed Composition'!$O$20+'Oxidant Feed Composition'!$D$11*'Oxidant Feed Composition'!$O$21+'Oxidant Feed Composition'!$F$11*'Oxidant Feed Composition'!$O$27-'Oxidant Feed Composition'!$J$15*18.015)</f>
        <v>2.1795376475828276</v>
      </c>
      <c r="DO36">
        <f>(BU36+BV36)/1000*(0.2*368.34+0.4*58.44)</f>
        <v>1.5092683463069967</v>
      </c>
      <c r="DP36">
        <f>BK36/1000*(B36*195.08+C36*106.42+D36*102.91)</f>
        <v>4.999938342565946E-2</v>
      </c>
      <c r="DQ36">
        <f>SUM(DM36:DO36)-DP36</f>
        <v>4.3452035508852704</v>
      </c>
      <c r="DR36">
        <f>DQ36*60*7200*0.33</f>
        <v>619452.21821420419</v>
      </c>
      <c r="DS36">
        <v>1.2</v>
      </c>
      <c r="DT36">
        <f>BM36/60*(AM36*4+AN36*2+AO36*3)*96485/DV36</f>
        <v>1406.0626301487753</v>
      </c>
      <c r="DU36">
        <f>BN36*BA36*(AP36*4+AQ36*2+AR36*3)*96485/DV36/60</f>
        <v>706.20494429610153</v>
      </c>
      <c r="DV36">
        <v>0.7</v>
      </c>
      <c r="DW36">
        <f>0.499*((BK36/3.78541*15)^(-0.146))*BK36/3.78541*15*300*(1+(A36-2)/9)</f>
        <v>35776.359048024235</v>
      </c>
      <c r="DX36">
        <f>0.248*((BK36/3.78541*15)^(-0.144))*BK36/3.78541*15*300*(1+(A36-2)/3)</f>
        <v>29068.269280606211</v>
      </c>
      <c r="DY36">
        <f>0.105*((BK36/3.78541*15)^(-0.144))*BK36/3.78541*15*300*(1+(A36-2)/3)</f>
        <v>12307.130138966339</v>
      </c>
      <c r="DZ36">
        <f>0.058*((BK36/3.78541*15)^(-0.151))*BK36/3.78541*15*300*(1+(A36-2)/3)</f>
        <v>6519.4301878820042</v>
      </c>
      <c r="EA36">
        <f>0.056*((BK36/3.78541*15)^(-0.144))*BK36/3.78541*15*300*(1+(A36-2)/3)</f>
        <v>6563.8027407820491</v>
      </c>
      <c r="EB36">
        <f>DS36*DT36/(3.6*10^6)*3600*7200*0.07</f>
        <v>850.38667871397934</v>
      </c>
      <c r="EC36">
        <f>0.499*((BM36/3.78541*15)^(-0.146))*BM36/3.78541*15*300*(1+(AF36-2)/9)</f>
        <v>38576.910326977413</v>
      </c>
      <c r="ED36">
        <f>0.248*((BM36/3.78541*15)^(-0.144))*BM36/3.78541*15*300*(1+(AF36-2)/3)</f>
        <v>34920.314559159349</v>
      </c>
      <c r="EE36">
        <f>0.105*((BM36/3.78541*15)^(-0.144))*BM36/3.78541*15*300*(1+(AF36-2)/3)</f>
        <v>14784.810599644079</v>
      </c>
      <c r="EF36">
        <f>0.058*((BM36/3.78541*15)^(-0.151))*BM36/3.78541*15*300*(1+(AF36-2)/3)</f>
        <v>7836.2761345947165</v>
      </c>
      <c r="EG36">
        <f>0.056*((BM36/3.78541*15)^(-0.144))*BM36/3.78541*15*300*(1+(AF36-2)/3)</f>
        <v>7885.2323198101749</v>
      </c>
      <c r="EH36">
        <f>DS36*DU36/(3.6*10^6)*3600*7200*0.07</f>
        <v>427.11275031028225</v>
      </c>
      <c r="EI36">
        <f>SUM(DW36:EH36)</f>
        <v>195516.03476547083</v>
      </c>
      <c r="EJ36">
        <f>EI36+DR36+DL36</f>
        <v>26646127.010535445</v>
      </c>
      <c r="EK36">
        <f>EJ36+DF36</f>
        <v>27329099.106835555</v>
      </c>
      <c r="EL36">
        <f>EK36/(BK36*60*7200)</f>
        <v>0.63261803488045265</v>
      </c>
      <c r="EM36">
        <f>EK36/(BM36*(AM36*195.084/1000+AN36*106.42/1000+AO36*102.911/1000)*60*7200)</f>
        <v>2116.4134933541936</v>
      </c>
      <c r="EN36">
        <f>EK36/(BN36*BA36*(AP36*195.084/1000+AQ36*106.42/1000+AR36*102.911/1000)*60*7200)</f>
        <v>3881.9386982350147</v>
      </c>
    </row>
    <row r="37" spans="1:144">
      <c r="A37">
        <f>'Costing 100 Lmin Feed Orig'!A37</f>
        <v>6</v>
      </c>
      <c r="B37">
        <f>'Costing 100 Lmin Feed Orig'!B37</f>
        <v>1.54143585092054E-3</v>
      </c>
      <c r="C37">
        <f>'Costing 100 Lmin Feed Orig'!C37</f>
        <v>1.54143585092054E-3</v>
      </c>
      <c r="D37">
        <f>'Costing 100 Lmin Feed Orig'!D37</f>
        <v>3.4254130020456501E-4</v>
      </c>
      <c r="E37">
        <f>'Costing 100 Lmin Feed Orig'!E37</f>
        <v>0</v>
      </c>
      <c r="F37">
        <f>'Costing 100 Lmin Feed Orig'!F37</f>
        <v>0</v>
      </c>
      <c r="G37">
        <f>'Costing 100 Lmin Feed Orig'!G37</f>
        <v>0</v>
      </c>
      <c r="H37">
        <f>'Costing 100 Lmin Feed Orig'!H37</f>
        <v>1.7693893431643E-5</v>
      </c>
      <c r="I37">
        <f>'Costing 100 Lmin Feed Orig'!I37</f>
        <v>3.7175600603836103E-8</v>
      </c>
      <c r="J37">
        <f>'Costing 100 Lmin Feed Orig'!J37</f>
        <v>3.36890310328726E-4</v>
      </c>
      <c r="K37">
        <f>'Costing 100 Lmin Feed Orig'!K37</f>
        <v>0.133710118829723</v>
      </c>
      <c r="L37">
        <f>'Costing 100 Lmin Feed Orig'!L37</f>
        <v>0.13525951632913</v>
      </c>
      <c r="M37">
        <f>'Costing 100 Lmin Feed Orig'!M37</f>
        <v>4.9588089642288804E-4</v>
      </c>
      <c r="N37">
        <f>'Costing 100 Lmin Feed Orig'!N37</f>
        <v>-1.72886878424538E-14</v>
      </c>
      <c r="O37">
        <f>'Costing 100 Lmin Feed Orig'!O37</f>
        <v>-1.05961268405396E-12</v>
      </c>
      <c r="P37">
        <f>'Costing 100 Lmin Feed Orig'!P37</f>
        <v>-9.6595637304880395E-18</v>
      </c>
      <c r="Q37">
        <f>'Costing 100 Lmin Feed Orig'!Q37</f>
        <v>0.11395861217105201</v>
      </c>
      <c r="R37">
        <f>'Costing 100 Lmin Feed Orig'!R37</f>
        <v>98.3502748800029</v>
      </c>
      <c r="S37">
        <f>'Costing 100 Lmin Feed Orig'!S37</f>
        <v>500</v>
      </c>
      <c r="T37">
        <f>'Costing 100 Lmin Feed Orig'!T37</f>
        <v>95</v>
      </c>
      <c r="U37">
        <f>'Costing 100 Lmin Feed Orig'!U37</f>
        <v>1</v>
      </c>
      <c r="V37">
        <f>'Costing 100 Lmin Feed Orig'!V37</f>
        <v>0.1</v>
      </c>
      <c r="W37">
        <f>'Costing 100 Lmin Feed Orig'!W37</f>
        <v>87.751156402202497</v>
      </c>
      <c r="X37" t="str">
        <f>'Costing 100 Lmin Feed Orig'!X37</f>
        <v>ddFc</v>
      </c>
      <c r="Y37">
        <f>'Costing 100 Lmin Feed Orig'!Y37</f>
        <v>1</v>
      </c>
      <c r="Z37">
        <f>'Costing 100 Lmin Feed Orig'!Z37</f>
        <v>0.28318429382522198</v>
      </c>
      <c r="AA37">
        <f>'Costing 100 Lmin Feed Orig'!AA37</f>
        <v>0.56945642916197003</v>
      </c>
      <c r="AB37">
        <f>'Costing 100 Lmin Feed Orig'!AB37</f>
        <v>3.7698628972227502E-3</v>
      </c>
      <c r="AC37">
        <f>'Costing 100 Lmin Feed Orig'!AC37</f>
        <v>1822.2107908876901</v>
      </c>
      <c r="AD37">
        <f>'Costing 100 Lmin Feed Orig'!AD37</f>
        <v>2662.6059073104898</v>
      </c>
      <c r="AE37">
        <f>'Costing 100 Lmin Feed Orig'!AE37</f>
        <v>2401.5030938442701</v>
      </c>
      <c r="AF37">
        <f>'Costing 100 Lmin Feed Orig'!AF37</f>
        <v>9</v>
      </c>
      <c r="AG37">
        <f>'Costing 100 Lmin Feed Orig'!AG37</f>
        <v>1.64951815726537E-3</v>
      </c>
      <c r="AH37">
        <f>'Costing 100 Lmin Feed Orig'!AH37</f>
        <v>1.6686323374819601E-3</v>
      </c>
      <c r="AI37">
        <f>'Costing 100 Lmin Feed Orig'!AI37</f>
        <v>6.1174468293775103E-6</v>
      </c>
      <c r="AJ37">
        <f>'Costing 100 Lmin Feed Orig'!AJ37</f>
        <v>0</v>
      </c>
      <c r="AK37">
        <f>'Costing 100 Lmin Feed Orig'!AK37</f>
        <v>0</v>
      </c>
      <c r="AL37">
        <f>'Costing 100 Lmin Feed Orig'!AL37</f>
        <v>0</v>
      </c>
      <c r="AM37">
        <f>'Costing 100 Lmin Feed Orig'!AM37</f>
        <v>1.6125422035540001E-3</v>
      </c>
      <c r="AN37">
        <f>'Costing 100 Lmin Feed Orig'!AN37</f>
        <v>7.8793462951453095E-5</v>
      </c>
      <c r="AO37">
        <f>'Costing 100 Lmin Feed Orig'!AO37</f>
        <v>6.0771793070157197E-6</v>
      </c>
      <c r="AP37">
        <f>'Costing 100 Lmin Feed Orig'!AP37</f>
        <v>1.7335688061823E-3</v>
      </c>
      <c r="AQ37">
        <f>'Costing 100 Lmin Feed Orig'!AQ37</f>
        <v>7.4537498106893293E-2</v>
      </c>
      <c r="AR37">
        <f>'Costing 100 Lmin Feed Orig'!AR37</f>
        <v>1.8878896596870901E-6</v>
      </c>
      <c r="AS37">
        <f>'Costing 100 Lmin Feed Orig'!AS37</f>
        <v>6.1243870218274895E-17</v>
      </c>
      <c r="AT37">
        <f>'Costing 100 Lmin Feed Orig'!AT37</f>
        <v>-7.9610797121265604E-15</v>
      </c>
      <c r="AU37">
        <f>'Costing 100 Lmin Feed Orig'!AU37</f>
        <v>8.7350272685599704E-22</v>
      </c>
      <c r="AV37">
        <f>'Costing 100 Lmin Feed Orig'!AV37</f>
        <v>0.19703012219574401</v>
      </c>
      <c r="AW37">
        <f>'Costing 100 Lmin Feed Orig'!AW37</f>
        <v>99.341759340376896</v>
      </c>
      <c r="AX37">
        <f>'Costing 100 Lmin Feed Orig'!AX37</f>
        <v>500</v>
      </c>
      <c r="AY37">
        <f>'Costing 100 Lmin Feed Orig'!AY37</f>
        <v>95</v>
      </c>
      <c r="AZ37">
        <f>'Costing 100 Lmin Feed Orig'!AZ37</f>
        <v>0.92374973309314701</v>
      </c>
      <c r="BA37">
        <f>'Costing 100 Lmin Feed Orig'!BA37</f>
        <v>0.1</v>
      </c>
      <c r="BB37">
        <f>'Costing 100 Lmin Feed Orig'!BB37</f>
        <v>46.883680667640498</v>
      </c>
      <c r="BC37" t="str">
        <f>'Costing 100 Lmin Feed Orig'!BC37</f>
        <v>coeFc</v>
      </c>
      <c r="BD37">
        <f>'Costing 100 Lmin Feed Orig'!BD37</f>
        <v>1</v>
      </c>
      <c r="BE37">
        <f>'Costing 100 Lmin Feed Orig'!BE37</f>
        <v>1.8775014999999999E-2</v>
      </c>
      <c r="BF37">
        <f>'Costing 100 Lmin Feed Orig'!BF37</f>
        <v>0.10492961100000001</v>
      </c>
      <c r="BG37">
        <f>'Costing 100 Lmin Feed Orig'!BG37</f>
        <v>1.814625E-3</v>
      </c>
      <c r="BH37">
        <f>'Costing 100 Lmin Feed Orig'!BH37</f>
        <v>285.1951444</v>
      </c>
      <c r="BI37">
        <f>'Costing 100 Lmin Feed Orig'!BI37</f>
        <v>2169.8944889999998</v>
      </c>
      <c r="BJ37">
        <f>'Costing 100 Lmin Feed Orig'!BJ37</f>
        <v>866.49409060000005</v>
      </c>
      <c r="BK37">
        <f>'Costing 100 Lmin Feed Orig'!BK37</f>
        <v>100</v>
      </c>
      <c r="BL37">
        <f>'Costing 100 Lmin Feed Orig'!BL37</f>
        <v>11.395861217105201</v>
      </c>
      <c r="BM37">
        <f>'Costing 100 Lmin Feed Orig'!BM37</f>
        <v>92.374973309314697</v>
      </c>
      <c r="BN37">
        <f>'Costing 100 Lmin Feed Orig'!BN37</f>
        <v>19.703012219574401</v>
      </c>
      <c r="BO37">
        <f t="shared" si="1"/>
        <v>182.33377947368322</v>
      </c>
      <c r="BP37">
        <f t="shared" si="2"/>
        <v>433.46626883063681</v>
      </c>
      <c r="BQ37">
        <f t="shared" si="3"/>
        <v>18.233377947368322</v>
      </c>
      <c r="BR37">
        <f t="shared" si="4"/>
        <v>43.346626883063685</v>
      </c>
      <c r="BS37">
        <f>1.2*0.5*BL37*V37/'Oxidant Feed Composition'!$N$22</f>
        <v>6.837516730263121</v>
      </c>
      <c r="BT37">
        <f>1.2*0.5*BN37*BA37/'Oxidant Feed Composition'!$N$22</f>
        <v>11.82180733174464</v>
      </c>
      <c r="BU37">
        <f t="shared" si="5"/>
        <v>5.6979306085525998</v>
      </c>
      <c r="BV37">
        <f t="shared" si="6"/>
        <v>9.8515061097872003</v>
      </c>
      <c r="BW37">
        <f t="shared" si="7"/>
        <v>86.677042700762101</v>
      </c>
      <c r="BX37">
        <f t="shared" si="20"/>
        <v>36.466755894736643</v>
      </c>
      <c r="BY37">
        <f t="shared" si="8"/>
        <v>207.54166905283981</v>
      </c>
      <c r="BZ37">
        <f t="shared" si="9"/>
        <v>63.049639102638082</v>
      </c>
      <c r="CA37">
        <f t="shared" si="10"/>
        <v>59.109036658723198</v>
      </c>
      <c r="CB37">
        <f>BO37*'Reagent cost'!$G$11*'Reagent cost'!$H$11</f>
        <v>2406.8058890526186</v>
      </c>
      <c r="CC37">
        <f>BP37*'Reagent cost'!$G$11*'Reagent cost'!$H$11</f>
        <v>5721.7547485644063</v>
      </c>
      <c r="CD37">
        <f>BQ37*'Reagent cost'!$C$18/1000*'Reagent cost'!$H$18</f>
        <v>2907.8673690603878</v>
      </c>
      <c r="CE37">
        <f>BR37*'Ligand cost'!$B$56*'Ligand cost'!$J$56</f>
        <v>44132.402915519386</v>
      </c>
      <c r="CF37">
        <f t="shared" si="11"/>
        <v>10</v>
      </c>
      <c r="CG37">
        <f t="shared" si="12"/>
        <v>2.2791722434210402</v>
      </c>
      <c r="CH37">
        <f t="shared" si="13"/>
        <v>3.9406024439148801</v>
      </c>
      <c r="CI37">
        <f>7963.6*(BX37/1000)^0.6*1.7*('CAPEX+OPEX'!$G$116/'CAPEX+OPEX'!$G$115)</f>
        <v>2189.6727102460782</v>
      </c>
      <c r="CJ37">
        <f>7963.6*(BY37/1000)^0.6*1.7*('CAPEX+OPEX'!$G$116/'CAPEX+OPEX'!$G$115)</f>
        <v>6215.9013146876341</v>
      </c>
      <c r="CK37">
        <f>7963.6*(BZ37/1000)^0.6*1.7*('CAPEX+OPEX'!$G$116/'CAPEX+OPEX'!$G$115)</f>
        <v>3041.2385780576142</v>
      </c>
      <c r="CL37">
        <f>7963.6*(CA37/1000)^0.6*1.7*('CAPEX+OPEX'!$G$116/'CAPEX+OPEX'!$G$115)</f>
        <v>2925.723342675914</v>
      </c>
      <c r="CM37">
        <f>'Costing 100 Lmin Feed Orig'!DE37</f>
        <v>39625.826528698344</v>
      </c>
      <c r="CN37">
        <f>'Costing 100 Lmin Feed Orig'!DF37</f>
        <v>4586243.4239371875</v>
      </c>
      <c r="CO37">
        <f>'Costing 100 Lmin Feed Orig'!DG37</f>
        <v>11794834.586807497</v>
      </c>
      <c r="CP37">
        <f>'Costing 100 Lmin Feed Orig'!DH37</f>
        <v>2275209.1661185985</v>
      </c>
      <c r="CQ37">
        <f>'Costing 100 Lmin Feed Orig'!DI37</f>
        <v>14083914.336508472</v>
      </c>
      <c r="CR37">
        <f>'Costing 100 Lmin Feed Orig'!DJ37</f>
        <v>1662824.8986326549</v>
      </c>
      <c r="CS37">
        <f>CN37*(BK37/10000)^0.72*((A37+1)/3)^0.6*('CAPEX+OPEX'!$G$116/'CAPEX+OPEX'!$G$114)</f>
        <v>646135.89638675924</v>
      </c>
      <c r="CT37">
        <f>CO37*(BK37/10000)^0.72*((A37+1)/3)^0.6*('CAPEX+OPEX'!$G$116/'CAPEX+OPEX'!$G$114)</f>
        <v>1661722.9645298459</v>
      </c>
      <c r="CU37">
        <f>CP37*(BK37/10000)^0.72*((A37+1)/3)^0.6*('CAPEX+OPEX'!$G$116/'CAPEX+OPEX'!$G$114)</f>
        <v>320544.32748695416</v>
      </c>
      <c r="CV37">
        <f>CQ37*(BK37/10000)^0.72*((A37+1)/3)^0.6*('CAPEX+OPEX'!$G$116/'CAPEX+OPEX'!$G$114)</f>
        <v>1984221.4582325809</v>
      </c>
      <c r="CW37">
        <f>CR37*(BK37/10000)^0.72*((A37+1)/3)^0.6*('CAPEX+OPEX'!$G$116/'CAPEX+OPEX'!$G$114)</f>
        <v>234268.17050410178</v>
      </c>
      <c r="CX37">
        <f t="shared" si="14"/>
        <v>4846892.8171402421</v>
      </c>
      <c r="CY37">
        <f>CN37*(BM37/10000)^0.72*((AF37+1)/3)^0.6*('CAPEX+OPEX'!$G$116/'CAPEX+OPEX'!$G$114)</f>
        <v>755899.67705977859</v>
      </c>
      <c r="CZ37">
        <f>CO37*(BM37/10000)^0.72*((AF37+1)/3)^0.6*('CAPEX+OPEX'!$G$116/'CAPEX+OPEX'!$G$114)</f>
        <v>1944011.8700649682</v>
      </c>
      <c r="DA37">
        <f>CP37*(BM37/10000)^0.72*((AF37+1)/3)^0.6*('CAPEX+OPEX'!$G$116/'CAPEX+OPEX'!$G$114)</f>
        <v>374997.51211113459</v>
      </c>
      <c r="DB37">
        <f>CQ37*(BM37/10000)^0.72*((AF37+1)/3)^0.6*('CAPEX+OPEX'!$G$116/'CAPEX+OPEX'!$G$114)</f>
        <v>2321295.5167488609</v>
      </c>
      <c r="DC37">
        <f>CR37*(BM37/10000)^0.72*((AF37+1)/3)^0.6*('CAPEX+OPEX'!$G$116/'CAPEX+OPEX'!$G$114)</f>
        <v>274064.99997864</v>
      </c>
      <c r="DD37">
        <f t="shared" si="15"/>
        <v>5670269.5759633826</v>
      </c>
      <c r="DE37">
        <f>CX37+DD37+1.15*(SUM(CI37:CL37)+SUM(CB37:CE37))</f>
        <v>10597134.965001669</v>
      </c>
      <c r="DF37">
        <f t="shared" si="16"/>
        <v>706475.66433344455</v>
      </c>
      <c r="DG37">
        <f>(BS37+BT37)*'Oxidant Feed Composition'!$N$25*60*7200</f>
        <v>15027346.355116917</v>
      </c>
      <c r="DH37">
        <f>((CG37+CH37)*'Reagent cost'!$C$17/1000*'Reagent cost'!$H$17+(CG37+CH37)*0.5*'Reagent cost'!$C$16/1000*'Reagent cost'!$H$16)*60*7200</f>
        <v>5988738.419873965</v>
      </c>
      <c r="DI37">
        <f>CF37*'Reagent cost'!$C$17/1000*'Reagent cost'!$H$17*60*7200</f>
        <v>504921.59999999998</v>
      </c>
      <c r="DJ37">
        <f t="shared" si="17"/>
        <v>81.28560637617025</v>
      </c>
      <c r="DK37">
        <f t="shared" si="18"/>
        <v>940.80540569159552</v>
      </c>
      <c r="DL37">
        <f t="shared" si="19"/>
        <v>25826434.159203541</v>
      </c>
      <c r="DM37">
        <f>BK37*(B37*(409.81+2)/1000+C37*(248.2+2*22.99)/1000+D37*(315.6+3*22.99)/1000+0.1*58.44/1000)</f>
        <v>0.70639694042110623</v>
      </c>
      <c r="DN37">
        <f>(BS37+BT37)/1000*('Oxidant Feed Composition'!$B$11*'Oxidant Feed Composition'!$O$20+'Oxidant Feed Composition'!$D$11*'Oxidant Feed Composition'!$O$21+'Oxidant Feed Composition'!$F$11*'Oxidant Feed Composition'!$O$27-'Oxidant Feed Composition'!$J$15*18.015)</f>
        <v>2.1791205772925073</v>
      </c>
      <c r="DO37">
        <f>(BU37+BV37)/1000*(0.2*368.34+0.4*58.44)</f>
        <v>1.5089795368945675</v>
      </c>
      <c r="DP37">
        <f>BK37/1000*(B37*195.08+C37*106.42+D37*102.91)</f>
        <v>4.999938342565946E-2</v>
      </c>
      <c r="DQ37">
        <f>SUM(DM37:DO37)-DP37</f>
        <v>4.3444976711825207</v>
      </c>
      <c r="DR37">
        <f>DQ37*60*7200*0.33</f>
        <v>619351.58800378023</v>
      </c>
      <c r="DS37">
        <v>1.2</v>
      </c>
      <c r="DT37">
        <f>BM37/60*(AM37*4+AN37*2+AO37*3)*96485/DV37</f>
        <v>1406.097494568138</v>
      </c>
      <c r="DU37">
        <f>BN37*BA37*(AP37*4+AQ37*2+AR37*3)*96485/DV37/60</f>
        <v>706.1700790912098</v>
      </c>
      <c r="DV37">
        <v>0.7</v>
      </c>
      <c r="DW37">
        <f>0.499*((BK37/3.78541*15)^(-0.146))*BK37/3.78541*15*300*(1+(A37-2)/9)</f>
        <v>35776.359048024235</v>
      </c>
      <c r="DX37">
        <f>0.248*((BK37/3.78541*15)^(-0.144))*BK37/3.78541*15*300*(1+(A37-2)/3)</f>
        <v>29068.269280606211</v>
      </c>
      <c r="DY37">
        <f>0.105*((BK37/3.78541*15)^(-0.144))*BK37/3.78541*15*300*(1+(A37-2)/3)</f>
        <v>12307.130138966339</v>
      </c>
      <c r="DZ37">
        <f>0.058*((BK37/3.78541*15)^(-0.151))*BK37/3.78541*15*300*(1+(A37-2)/3)</f>
        <v>6519.4301878820042</v>
      </c>
      <c r="EA37">
        <f>0.056*((BK37/3.78541*15)^(-0.144))*BK37/3.78541*15*300*(1+(A37-2)/3)</f>
        <v>6563.8027407820491</v>
      </c>
      <c r="EB37">
        <f>DS37*DT37/(3.6*10^6)*3600*7200*0.07</f>
        <v>850.4077647148099</v>
      </c>
      <c r="EC37">
        <f>0.499*((BM37/3.78541*15)^(-0.146))*BM37/3.78541*15*300*(1+(AF37-2)/9)</f>
        <v>41148.704348775907</v>
      </c>
      <c r="ED37">
        <f>0.248*((BM37/3.78541*15)^(-0.144))*BM37/3.78541*15*300*(1+(AF37-2)/3)</f>
        <v>38800.349510177053</v>
      </c>
      <c r="EE37">
        <f>0.105*((BM37/3.78541*15)^(-0.144))*BM37/3.78541*15*300*(1+(AF37-2)/3)</f>
        <v>16427.567332937866</v>
      </c>
      <c r="EF37">
        <f>0.058*((BM37/3.78541*15)^(-0.151))*BM37/3.78541*15*300*(1+(AF37-2)/3)</f>
        <v>8706.9734828830187</v>
      </c>
      <c r="EG37">
        <f>0.056*((BM37/3.78541*15)^(-0.144))*BM37/3.78541*15*300*(1+(AF37-2)/3)</f>
        <v>8761.3692442335268</v>
      </c>
      <c r="EH37">
        <f>DS37*DU37/(3.6*10^6)*3600*7200*0.07</f>
        <v>427.09166383436366</v>
      </c>
      <c r="EI37">
        <f>SUM(DW37:EH37)</f>
        <v>205357.45474381739</v>
      </c>
      <c r="EJ37">
        <f>EI37+DR37+DL37</f>
        <v>26651143.201951139</v>
      </c>
      <c r="EK37">
        <f>EJ37+DF37</f>
        <v>27357618.866284583</v>
      </c>
      <c r="EL37">
        <f>EK37/(BK37*60*7200)</f>
        <v>0.63327821449732835</v>
      </c>
      <c r="EM37">
        <f>EK37/(BM37*(AM37*195.084/1000+AN37*106.42/1000+AO37*102.911/1000)*60*7200)</f>
        <v>2118.5695447313401</v>
      </c>
      <c r="EN37">
        <f>EK37/(BN37*BA37*(AP37*195.084/1000+AQ37*106.42/1000+AR37*102.911/1000)*60*7200)</f>
        <v>3886.1666384061468</v>
      </c>
    </row>
    <row r="38" spans="1:144">
      <c r="A38">
        <f>'Costing 100 Lmin Feed Orig'!A38</f>
        <v>6</v>
      </c>
      <c r="B38">
        <f>'Costing 100 Lmin Feed Orig'!B38</f>
        <v>1.54143585092054E-3</v>
      </c>
      <c r="C38">
        <f>'Costing 100 Lmin Feed Orig'!C38</f>
        <v>1.54143585092054E-3</v>
      </c>
      <c r="D38">
        <f>'Costing 100 Lmin Feed Orig'!D38</f>
        <v>3.4254130020456501E-4</v>
      </c>
      <c r="E38">
        <f>'Costing 100 Lmin Feed Orig'!E38</f>
        <v>0</v>
      </c>
      <c r="F38">
        <f>'Costing 100 Lmin Feed Orig'!F38</f>
        <v>0</v>
      </c>
      <c r="G38">
        <f>'Costing 100 Lmin Feed Orig'!G38</f>
        <v>0</v>
      </c>
      <c r="H38">
        <f>'Costing 100 Lmin Feed Orig'!H38</f>
        <v>1.7693893431643E-5</v>
      </c>
      <c r="I38">
        <f>'Costing 100 Lmin Feed Orig'!I38</f>
        <v>3.7175600603836103E-8</v>
      </c>
      <c r="J38">
        <f>'Costing 100 Lmin Feed Orig'!J38</f>
        <v>3.36890310328726E-4</v>
      </c>
      <c r="K38">
        <f>'Costing 100 Lmin Feed Orig'!K38</f>
        <v>0.133710118829723</v>
      </c>
      <c r="L38">
        <f>'Costing 100 Lmin Feed Orig'!L38</f>
        <v>0.13525951632913</v>
      </c>
      <c r="M38">
        <f>'Costing 100 Lmin Feed Orig'!M38</f>
        <v>4.9588089642288804E-4</v>
      </c>
      <c r="N38">
        <f>'Costing 100 Lmin Feed Orig'!N38</f>
        <v>-1.72886878424538E-14</v>
      </c>
      <c r="O38">
        <f>'Costing 100 Lmin Feed Orig'!O38</f>
        <v>-1.05961268405396E-12</v>
      </c>
      <c r="P38">
        <f>'Costing 100 Lmin Feed Orig'!P38</f>
        <v>-9.6595637304880395E-18</v>
      </c>
      <c r="Q38">
        <f>'Costing 100 Lmin Feed Orig'!Q38</f>
        <v>0.11395861217105201</v>
      </c>
      <c r="R38">
        <f>'Costing 100 Lmin Feed Orig'!R38</f>
        <v>98.3502748800029</v>
      </c>
      <c r="S38">
        <f>'Costing 100 Lmin Feed Orig'!S38</f>
        <v>500</v>
      </c>
      <c r="T38">
        <f>'Costing 100 Lmin Feed Orig'!T38</f>
        <v>95</v>
      </c>
      <c r="U38">
        <f>'Costing 100 Lmin Feed Orig'!U38</f>
        <v>1</v>
      </c>
      <c r="V38">
        <f>'Costing 100 Lmin Feed Orig'!V38</f>
        <v>0.1</v>
      </c>
      <c r="W38">
        <f>'Costing 100 Lmin Feed Orig'!W38</f>
        <v>87.751156402202497</v>
      </c>
      <c r="X38" t="str">
        <f>'Costing 100 Lmin Feed Orig'!X38</f>
        <v>ddFc</v>
      </c>
      <c r="Y38">
        <f>'Costing 100 Lmin Feed Orig'!Y38</f>
        <v>1</v>
      </c>
      <c r="Z38">
        <f>'Costing 100 Lmin Feed Orig'!Z38</f>
        <v>0.28318429382522198</v>
      </c>
      <c r="AA38">
        <f>'Costing 100 Lmin Feed Orig'!AA38</f>
        <v>0.56945642916197003</v>
      </c>
      <c r="AB38">
        <f>'Costing 100 Lmin Feed Orig'!AB38</f>
        <v>3.7698628972227502E-3</v>
      </c>
      <c r="AC38">
        <f>'Costing 100 Lmin Feed Orig'!AC38</f>
        <v>1822.2107908876901</v>
      </c>
      <c r="AD38">
        <f>'Costing 100 Lmin Feed Orig'!AD38</f>
        <v>2662.6059073104898</v>
      </c>
      <c r="AE38">
        <f>'Costing 100 Lmin Feed Orig'!AE38</f>
        <v>2401.5030938442701</v>
      </c>
      <c r="AF38">
        <f>'Costing 100 Lmin Feed Orig'!AF38</f>
        <v>10</v>
      </c>
      <c r="AG38">
        <f>'Costing 100 Lmin Feed Orig'!AG38</f>
        <v>1.64951815726537E-3</v>
      </c>
      <c r="AH38">
        <f>'Costing 100 Lmin Feed Orig'!AH38</f>
        <v>1.6686323374819601E-3</v>
      </c>
      <c r="AI38">
        <f>'Costing 100 Lmin Feed Orig'!AI38</f>
        <v>6.1174468293775103E-6</v>
      </c>
      <c r="AJ38">
        <f>'Costing 100 Lmin Feed Orig'!AJ38</f>
        <v>0</v>
      </c>
      <c r="AK38">
        <f>'Costing 100 Lmin Feed Orig'!AK38</f>
        <v>0</v>
      </c>
      <c r="AL38">
        <f>'Costing 100 Lmin Feed Orig'!AL38</f>
        <v>0</v>
      </c>
      <c r="AM38">
        <f>'Costing 100 Lmin Feed Orig'!AM38</f>
        <v>1.61255347742774E-3</v>
      </c>
      <c r="AN38">
        <f>'Costing 100 Lmin Feed Orig'!AN38</f>
        <v>7.8794044578505199E-5</v>
      </c>
      <c r="AO38">
        <f>'Costing 100 Lmin Feed Orig'!AO38</f>
        <v>6.07719107473002E-6</v>
      </c>
      <c r="AP38">
        <f>'Costing 100 Lmin Feed Orig'!AP38</f>
        <v>1.7331877781333199E-3</v>
      </c>
      <c r="AQ38">
        <f>'Costing 100 Lmin Feed Orig'!AQ38</f>
        <v>7.4543816233418506E-2</v>
      </c>
      <c r="AR38">
        <f>'Costing 100 Lmin Feed Orig'!AR38</f>
        <v>1.88749861433376E-6</v>
      </c>
      <c r="AS38">
        <f>'Costing 100 Lmin Feed Orig'!AS38</f>
        <v>9.0192949137902997E-15</v>
      </c>
      <c r="AT38">
        <f>'Costing 100 Lmin Feed Orig'!AT38</f>
        <v>-9.3119934506391495E-13</v>
      </c>
      <c r="AU38">
        <f>'Costing 100 Lmin Feed Orig'!AU38</f>
        <v>9.0473706678599895E-20</v>
      </c>
      <c r="AV38">
        <f>'Costing 100 Lmin Feed Orig'!AV38</f>
        <v>0.19701335051902499</v>
      </c>
      <c r="AW38">
        <f>'Costing 100 Lmin Feed Orig'!AW38</f>
        <v>99.341951703541199</v>
      </c>
      <c r="AX38">
        <f>'Costing 100 Lmin Feed Orig'!AX38</f>
        <v>500</v>
      </c>
      <c r="AY38">
        <f>'Costing 100 Lmin Feed Orig'!AY38</f>
        <v>95</v>
      </c>
      <c r="AZ38">
        <f>'Costing 100 Lmin Feed Orig'!AZ38</f>
        <v>0.92374973309314701</v>
      </c>
      <c r="BA38">
        <f>'Costing 100 Lmin Feed Orig'!BA38</f>
        <v>0.1</v>
      </c>
      <c r="BB38">
        <f>'Costing 100 Lmin Feed Orig'!BB38</f>
        <v>46.887671858762701</v>
      </c>
      <c r="BC38" t="str">
        <f>'Costing 100 Lmin Feed Orig'!BC38</f>
        <v>coeFc</v>
      </c>
      <c r="BD38">
        <f>'Costing 100 Lmin Feed Orig'!BD38</f>
        <v>1</v>
      </c>
      <c r="BE38">
        <f>'Costing 100 Lmin Feed Orig'!BE38</f>
        <v>1.8775014999999999E-2</v>
      </c>
      <c r="BF38">
        <f>'Costing 100 Lmin Feed Orig'!BF38</f>
        <v>0.10492961100000001</v>
      </c>
      <c r="BG38">
        <f>'Costing 100 Lmin Feed Orig'!BG38</f>
        <v>1.814625E-3</v>
      </c>
      <c r="BH38">
        <f>'Costing 100 Lmin Feed Orig'!BH38</f>
        <v>285.1951444</v>
      </c>
      <c r="BI38">
        <f>'Costing 100 Lmin Feed Orig'!BI38</f>
        <v>2169.8944889999998</v>
      </c>
      <c r="BJ38">
        <f>'Costing 100 Lmin Feed Orig'!BJ38</f>
        <v>866.49409060000005</v>
      </c>
      <c r="BK38">
        <f>'Costing 100 Lmin Feed Orig'!BK38</f>
        <v>100</v>
      </c>
      <c r="BL38">
        <f>'Costing 100 Lmin Feed Orig'!BL38</f>
        <v>11.395861217105201</v>
      </c>
      <c r="BM38">
        <f>'Costing 100 Lmin Feed Orig'!BM38</f>
        <v>92.374973309314697</v>
      </c>
      <c r="BN38">
        <f>'Costing 100 Lmin Feed Orig'!BN38</f>
        <v>19.7013350519025</v>
      </c>
      <c r="BO38">
        <f t="shared" si="1"/>
        <v>182.33377947368322</v>
      </c>
      <c r="BP38">
        <f t="shared" si="2"/>
        <v>472.83204124565998</v>
      </c>
      <c r="BQ38">
        <f t="shared" si="3"/>
        <v>18.233377947368322</v>
      </c>
      <c r="BR38">
        <f t="shared" si="4"/>
        <v>47.283204124565998</v>
      </c>
      <c r="BS38">
        <f>1.2*0.5*BL38*V38/'Oxidant Feed Composition'!$N$22</f>
        <v>6.837516730263121</v>
      </c>
      <c r="BT38">
        <f>1.2*0.5*BN38*BA38/'Oxidant Feed Composition'!$N$22</f>
        <v>11.820801031141498</v>
      </c>
      <c r="BU38">
        <f t="shared" si="5"/>
        <v>5.6979306085525998</v>
      </c>
      <c r="BV38">
        <f t="shared" si="6"/>
        <v>9.8506675259512502</v>
      </c>
      <c r="BW38">
        <f t="shared" si="7"/>
        <v>86.677042700762101</v>
      </c>
      <c r="BX38">
        <f t="shared" si="20"/>
        <v>36.466755894736643</v>
      </c>
      <c r="BY38">
        <f t="shared" si="8"/>
        <v>207.54166905283981</v>
      </c>
      <c r="BZ38">
        <f t="shared" si="9"/>
        <v>63.044272166087993</v>
      </c>
      <c r="CA38">
        <f t="shared" si="10"/>
        <v>59.104005155707497</v>
      </c>
      <c r="CB38">
        <f>BO38*'Reagent cost'!$G$11*'Reagent cost'!$H$11</f>
        <v>2406.8058890526186</v>
      </c>
      <c r="CC38">
        <f>BP38*'Reagent cost'!$G$11*'Reagent cost'!$H$11</f>
        <v>6241.382944442712</v>
      </c>
      <c r="CD38">
        <f>BQ38*'Reagent cost'!$C$18/1000*'Reagent cost'!$H$18</f>
        <v>2907.8673690603878</v>
      </c>
      <c r="CE38">
        <f>BR38*'Ligand cost'!$B$56*'Ligand cost'!$J$56</f>
        <v>48140.341374000076</v>
      </c>
      <c r="CF38">
        <f t="shared" si="11"/>
        <v>10</v>
      </c>
      <c r="CG38">
        <f t="shared" si="12"/>
        <v>2.2791722434210402</v>
      </c>
      <c r="CH38">
        <f t="shared" si="13"/>
        <v>3.9402670103805004</v>
      </c>
      <c r="CI38">
        <f>7963.6*(BX38/1000)^0.6*1.7*('CAPEX+OPEX'!$G$116/'CAPEX+OPEX'!$G$115)</f>
        <v>2189.6727102460782</v>
      </c>
      <c r="CJ38">
        <f>7963.6*(BY38/1000)^0.6*1.7*('CAPEX+OPEX'!$G$116/'CAPEX+OPEX'!$G$115)</f>
        <v>6215.9013146876341</v>
      </c>
      <c r="CK38">
        <f>7963.6*(BZ38/1000)^0.6*1.7*('CAPEX+OPEX'!$G$116/'CAPEX+OPEX'!$G$115)</f>
        <v>3041.0832488985457</v>
      </c>
      <c r="CL38">
        <f>7963.6*(CA38/1000)^0.6*1.7*('CAPEX+OPEX'!$G$116/'CAPEX+OPEX'!$G$115)</f>
        <v>2925.5739133776788</v>
      </c>
      <c r="CM38">
        <f>'Costing 100 Lmin Feed Orig'!DE38</f>
        <v>39625.826528698344</v>
      </c>
      <c r="CN38">
        <f>'Costing 100 Lmin Feed Orig'!DF38</f>
        <v>4586243.4239371875</v>
      </c>
      <c r="CO38">
        <f>'Costing 100 Lmin Feed Orig'!DG38</f>
        <v>11794834.586807497</v>
      </c>
      <c r="CP38">
        <f>'Costing 100 Lmin Feed Orig'!DH38</f>
        <v>2275209.1661185985</v>
      </c>
      <c r="CQ38">
        <f>'Costing 100 Lmin Feed Orig'!DI38</f>
        <v>14083914.336508472</v>
      </c>
      <c r="CR38">
        <f>'Costing 100 Lmin Feed Orig'!DJ38</f>
        <v>1662824.8986326549</v>
      </c>
      <c r="CS38">
        <f>CN38*(BK38/10000)^0.72*((A38+1)/3)^0.6*('CAPEX+OPEX'!$G$116/'CAPEX+OPEX'!$G$114)</f>
        <v>646135.89638675924</v>
      </c>
      <c r="CT38">
        <f>CO38*(BK38/10000)^0.72*((A38+1)/3)^0.6*('CAPEX+OPEX'!$G$116/'CAPEX+OPEX'!$G$114)</f>
        <v>1661722.9645298459</v>
      </c>
      <c r="CU38">
        <f>CP38*(BK38/10000)^0.72*((A38+1)/3)^0.6*('CAPEX+OPEX'!$G$116/'CAPEX+OPEX'!$G$114)</f>
        <v>320544.32748695416</v>
      </c>
      <c r="CV38">
        <f>CQ38*(BK38/10000)^0.72*((A38+1)/3)^0.6*('CAPEX+OPEX'!$G$116/'CAPEX+OPEX'!$G$114)</f>
        <v>1984221.4582325809</v>
      </c>
      <c r="CW38">
        <f>CR38*(BK38/10000)^0.72*((A38+1)/3)^0.6*('CAPEX+OPEX'!$G$116/'CAPEX+OPEX'!$G$114)</f>
        <v>234268.17050410178</v>
      </c>
      <c r="CX38">
        <f t="shared" si="14"/>
        <v>4846892.8171402421</v>
      </c>
      <c r="CY38">
        <f>CN38*(BM38/10000)^0.72*((AF38+1)/3)^0.6*('CAPEX+OPEX'!$G$116/'CAPEX+OPEX'!$G$114)</f>
        <v>800386.52957740228</v>
      </c>
      <c r="CZ38">
        <f>CO38*(BM38/10000)^0.72*((AF38+1)/3)^0.6*('CAPEX+OPEX'!$G$116/'CAPEX+OPEX'!$G$114)</f>
        <v>2058422.5147321052</v>
      </c>
      <c r="DA38">
        <f>CP38*(BM38/10000)^0.72*((AF38+1)/3)^0.6*('CAPEX+OPEX'!$G$116/'CAPEX+OPEX'!$G$114)</f>
        <v>397067.18553744635</v>
      </c>
      <c r="DB38">
        <f>CQ38*(BM38/10000)^0.72*((AF38+1)/3)^0.6*('CAPEX+OPEX'!$G$116/'CAPEX+OPEX'!$G$114)</f>
        <v>2457910.3803840801</v>
      </c>
      <c r="DC38">
        <f>CR38*(BM38/10000)^0.72*((AF38+1)/3)^0.6*('CAPEX+OPEX'!$G$116/'CAPEX+OPEX'!$G$114)</f>
        <v>290194.50711339182</v>
      </c>
      <c r="DD38">
        <f t="shared" si="15"/>
        <v>6003981.117344426</v>
      </c>
      <c r="DE38">
        <f>CX38+DD38+1.15*(SUM(CI38:CL38)+SUM(CB38:CE38))</f>
        <v>10936052.857562998</v>
      </c>
      <c r="DF38">
        <f t="shared" si="16"/>
        <v>729070.19050419994</v>
      </c>
      <c r="DG38">
        <f>(BS38+BT38)*'Oxidant Feed Composition'!$N$25*60*7200</f>
        <v>15026535.927705368</v>
      </c>
      <c r="DH38">
        <f>((CG38+CH38)*'Reagent cost'!$C$17/1000*'Reagent cost'!$H$17+(CG38+CH38)*0.5*'Reagent cost'!$C$16/1000*'Reagent cost'!$H$16)*60*7200</f>
        <v>5988415.4461658113</v>
      </c>
      <c r="DI38">
        <f>CF38*'Reagent cost'!$C$17/1000*'Reagent cost'!$H$17*60*7200</f>
        <v>504921.59999999998</v>
      </c>
      <c r="DJ38">
        <f t="shared" si="17"/>
        <v>86.481888334953311</v>
      </c>
      <c r="DK38">
        <f t="shared" si="18"/>
        <v>1020.9641748612094</v>
      </c>
      <c r="DL38">
        <f t="shared" si="19"/>
        <v>25825176.503921252</v>
      </c>
      <c r="DM38">
        <f>BK38*(B38*(409.81+2)/1000+C38*(248.2+2*22.99)/1000+D38*(315.6+3*22.99)/1000+0.1*58.44/1000)</f>
        <v>0.70639694042110623</v>
      </c>
      <c r="DN38">
        <f>(BS38+BT38)/1000*('Oxidant Feed Composition'!$B$11*'Oxidant Feed Composition'!$O$20+'Oxidant Feed Composition'!$D$11*'Oxidant Feed Composition'!$O$21+'Oxidant Feed Composition'!$F$11*'Oxidant Feed Composition'!$O$27-'Oxidant Feed Composition'!$J$15*18.015)</f>
        <v>2.1790030569394676</v>
      </c>
      <c r="DO38">
        <f>(BU38+BV38)/1000*(0.2*368.34+0.4*58.44)</f>
        <v>1.5088981573647915</v>
      </c>
      <c r="DP38">
        <f>BK38/1000*(B38*195.08+C38*106.42+D38*102.91)</f>
        <v>4.999938342565946E-2</v>
      </c>
      <c r="DQ38">
        <f>SUM(DM38:DO38)-DP38</f>
        <v>4.3442987712997052</v>
      </c>
      <c r="DR38">
        <f>DQ38*60*7200*0.33</f>
        <v>619323.23283648596</v>
      </c>
      <c r="DS38">
        <v>1.2</v>
      </c>
      <c r="DT38">
        <f>BM38/60*(AM38*4+AN38*2+AO38*3)*96485/DV38</f>
        <v>1406.1073186061401</v>
      </c>
      <c r="DU38">
        <f>BN38*BA38*(AP38*4+AQ38*2+AR38*3)*96485/DV38/60</f>
        <v>706.16025546916046</v>
      </c>
      <c r="DV38">
        <v>0.7</v>
      </c>
      <c r="DW38">
        <f>0.499*((BK38/3.78541*15)^(-0.146))*BK38/3.78541*15*300*(1+(A38-2)/9)</f>
        <v>35776.359048024235</v>
      </c>
      <c r="DX38">
        <f>0.248*((BK38/3.78541*15)^(-0.144))*BK38/3.78541*15*300*(1+(A38-2)/3)</f>
        <v>29068.269280606211</v>
      </c>
      <c r="DY38">
        <f>0.105*((BK38/3.78541*15)^(-0.144))*BK38/3.78541*15*300*(1+(A38-2)/3)</f>
        <v>12307.130138966339</v>
      </c>
      <c r="DZ38">
        <f>0.058*((BK38/3.78541*15)^(-0.151))*BK38/3.78541*15*300*(1+(A38-2)/3)</f>
        <v>6519.4301878820042</v>
      </c>
      <c r="EA38">
        <f>0.056*((BK38/3.78541*15)^(-0.144))*BK38/3.78541*15*300*(1+(A38-2)/3)</f>
        <v>6563.8027407820491</v>
      </c>
      <c r="EB38">
        <f>DS38*DT38/(3.6*10^6)*3600*7200*0.07</f>
        <v>850.41370629299365</v>
      </c>
      <c r="EC38">
        <f>0.499*((BM38/3.78541*15)^(-0.146))*BM38/3.78541*15*300*(1+(AF38-2)/9)</f>
        <v>43720.498370574402</v>
      </c>
      <c r="ED38">
        <f>0.248*((BM38/3.78541*15)^(-0.144))*BM38/3.78541*15*300*(1+(AF38-2)/3)</f>
        <v>42680.384461194757</v>
      </c>
      <c r="EE38">
        <f>0.105*((BM38/3.78541*15)^(-0.144))*BM38/3.78541*15*300*(1+(AF38-2)/3)</f>
        <v>18070.324066231653</v>
      </c>
      <c r="EF38">
        <f>0.058*((BM38/3.78541*15)^(-0.151))*BM38/3.78541*15*300*(1+(AF38-2)/3)</f>
        <v>9577.6708311713192</v>
      </c>
      <c r="EG38">
        <f>0.056*((BM38/3.78541*15)^(-0.144))*BM38/3.78541*15*300*(1+(AF38-2)/3)</f>
        <v>9637.5061686568788</v>
      </c>
      <c r="EH38">
        <f>DS38*DU38/(3.6*10^6)*3600*7200*0.07</f>
        <v>427.0857225077483</v>
      </c>
      <c r="EI38">
        <f>SUM(DW38:EH38)</f>
        <v>215198.87472289061</v>
      </c>
      <c r="EJ38">
        <f>EI38+DR38+DL38</f>
        <v>26659698.611480627</v>
      </c>
      <c r="EK38">
        <f>EJ38+DF38</f>
        <v>27388768.801984828</v>
      </c>
      <c r="EL38">
        <f>EK38/(BK38*60*7200)</f>
        <v>0.6339992778237229</v>
      </c>
      <c r="EM38">
        <f>EK38/(BM38*(AM38*195.084/1000+AN38*106.42/1000+AO38*102.911/1000)*60*7200)</f>
        <v>2120.9669614862264</v>
      </c>
      <c r="EN38">
        <f>EK38/(BN38*BA38*(AP38*195.084/1000+AQ38*106.42/1000+AR38*102.911/1000)*60*7200)</f>
        <v>3890.6414017098159</v>
      </c>
    </row>
    <row r="39" spans="1:144">
      <c r="A39">
        <f>'Costing 100 Lmin Feed Orig'!A39</f>
        <v>6</v>
      </c>
      <c r="B39">
        <f>'Costing 100 Lmin Feed Orig'!B39</f>
        <v>1.54143585092054E-3</v>
      </c>
      <c r="C39">
        <f>'Costing 100 Lmin Feed Orig'!C39</f>
        <v>1.54143585092054E-3</v>
      </c>
      <c r="D39">
        <f>'Costing 100 Lmin Feed Orig'!D39</f>
        <v>3.4254130020456501E-4</v>
      </c>
      <c r="E39">
        <f>'Costing 100 Lmin Feed Orig'!E39</f>
        <v>0</v>
      </c>
      <c r="F39">
        <f>'Costing 100 Lmin Feed Orig'!F39</f>
        <v>0</v>
      </c>
      <c r="G39">
        <f>'Costing 100 Lmin Feed Orig'!G39</f>
        <v>0</v>
      </c>
      <c r="H39">
        <f>'Costing 100 Lmin Feed Orig'!H39</f>
        <v>1.7693893431643E-5</v>
      </c>
      <c r="I39">
        <f>'Costing 100 Lmin Feed Orig'!I39</f>
        <v>3.7175600603836103E-8</v>
      </c>
      <c r="J39">
        <f>'Costing 100 Lmin Feed Orig'!J39</f>
        <v>3.36890310328726E-4</v>
      </c>
      <c r="K39">
        <f>'Costing 100 Lmin Feed Orig'!K39</f>
        <v>0.133710118829723</v>
      </c>
      <c r="L39">
        <f>'Costing 100 Lmin Feed Orig'!L39</f>
        <v>0.13525951632913</v>
      </c>
      <c r="M39">
        <f>'Costing 100 Lmin Feed Orig'!M39</f>
        <v>4.9588089642288804E-4</v>
      </c>
      <c r="N39">
        <f>'Costing 100 Lmin Feed Orig'!N39</f>
        <v>-1.72886878424538E-14</v>
      </c>
      <c r="O39">
        <f>'Costing 100 Lmin Feed Orig'!O39</f>
        <v>-1.05961268405396E-12</v>
      </c>
      <c r="P39">
        <f>'Costing 100 Lmin Feed Orig'!P39</f>
        <v>-9.6595637304880395E-18</v>
      </c>
      <c r="Q39">
        <f>'Costing 100 Lmin Feed Orig'!Q39</f>
        <v>0.11395861217105201</v>
      </c>
      <c r="R39">
        <f>'Costing 100 Lmin Feed Orig'!R39</f>
        <v>98.3502748800029</v>
      </c>
      <c r="S39">
        <f>'Costing 100 Lmin Feed Orig'!S39</f>
        <v>500</v>
      </c>
      <c r="T39">
        <f>'Costing 100 Lmin Feed Orig'!T39</f>
        <v>95</v>
      </c>
      <c r="U39">
        <f>'Costing 100 Lmin Feed Orig'!U39</f>
        <v>1</v>
      </c>
      <c r="V39">
        <f>'Costing 100 Lmin Feed Orig'!V39</f>
        <v>0.1</v>
      </c>
      <c r="W39">
        <f>'Costing 100 Lmin Feed Orig'!W39</f>
        <v>87.751156402202497</v>
      </c>
      <c r="X39" t="str">
        <f>'Costing 100 Lmin Feed Orig'!X39</f>
        <v>ddFc</v>
      </c>
      <c r="Y39">
        <f>'Costing 100 Lmin Feed Orig'!Y39</f>
        <v>1</v>
      </c>
      <c r="Z39">
        <f>'Costing 100 Lmin Feed Orig'!Z39</f>
        <v>0.28318429382522198</v>
      </c>
      <c r="AA39">
        <f>'Costing 100 Lmin Feed Orig'!AA39</f>
        <v>0.56945642916197003</v>
      </c>
      <c r="AB39">
        <f>'Costing 100 Lmin Feed Orig'!AB39</f>
        <v>3.7698628972227502E-3</v>
      </c>
      <c r="AC39">
        <f>'Costing 100 Lmin Feed Orig'!AC39</f>
        <v>1822.2107908876901</v>
      </c>
      <c r="AD39">
        <f>'Costing 100 Lmin Feed Orig'!AD39</f>
        <v>2662.6059073104898</v>
      </c>
      <c r="AE39">
        <f>'Costing 100 Lmin Feed Orig'!AE39</f>
        <v>2401.5030938442701</v>
      </c>
      <c r="AF39">
        <f>'Costing 100 Lmin Feed Orig'!AF39</f>
        <v>11</v>
      </c>
      <c r="AG39">
        <f>'Costing 100 Lmin Feed Orig'!AG39</f>
        <v>1.64951815726537E-3</v>
      </c>
      <c r="AH39">
        <f>'Costing 100 Lmin Feed Orig'!AH39</f>
        <v>1.6686323374819601E-3</v>
      </c>
      <c r="AI39">
        <f>'Costing 100 Lmin Feed Orig'!AI39</f>
        <v>6.1174468293775103E-6</v>
      </c>
      <c r="AJ39">
        <f>'Costing 100 Lmin Feed Orig'!AJ39</f>
        <v>0</v>
      </c>
      <c r="AK39">
        <f>'Costing 100 Lmin Feed Orig'!AK39</f>
        <v>0</v>
      </c>
      <c r="AL39">
        <f>'Costing 100 Lmin Feed Orig'!AL39</f>
        <v>0</v>
      </c>
      <c r="AM39">
        <f>'Costing 100 Lmin Feed Orig'!AM39</f>
        <v>1.61255664991154E-3</v>
      </c>
      <c r="AN39">
        <f>'Costing 100 Lmin Feed Orig'!AN39</f>
        <v>7.87942082405777E-5</v>
      </c>
      <c r="AO39">
        <f>'Costing 100 Lmin Feed Orig'!AO39</f>
        <v>6.0771943863253104E-6</v>
      </c>
      <c r="AP39">
        <f>'Costing 100 Lmin Feed Orig'!AP39</f>
        <v>1.7330805296501401E-3</v>
      </c>
      <c r="AQ39">
        <f>'Costing 100 Lmin Feed Orig'!AQ39</f>
        <v>7.4545594606665405E-2</v>
      </c>
      <c r="AR39">
        <f>'Costing 100 Lmin Feed Orig'!AR39</f>
        <v>1.8873885461363599E-6</v>
      </c>
      <c r="AS39">
        <f>'Costing 100 Lmin Feed Orig'!AS39</f>
        <v>1.4982685366893601E-13</v>
      </c>
      <c r="AT39">
        <f>'Costing 100 Lmin Feed Orig'!AT39</f>
        <v>-1.2832369715443101E-11</v>
      </c>
      <c r="AU39">
        <f>'Costing 100 Lmin Feed Orig'!AU39</f>
        <v>1.70440234344306E-18</v>
      </c>
      <c r="AV39">
        <f>'Costing 100 Lmin Feed Orig'!AV39</f>
        <v>0.19700863184865999</v>
      </c>
      <c r="AW39">
        <f>'Costing 100 Lmin Feed Orig'!AW39</f>
        <v>99.342005837158993</v>
      </c>
      <c r="AX39">
        <f>'Costing 100 Lmin Feed Orig'!AX39</f>
        <v>500</v>
      </c>
      <c r="AY39">
        <f>'Costing 100 Lmin Feed Orig'!AY39</f>
        <v>95</v>
      </c>
      <c r="AZ39">
        <f>'Costing 100 Lmin Feed Orig'!AZ39</f>
        <v>0.92374973309314701</v>
      </c>
      <c r="BA39">
        <f>'Costing 100 Lmin Feed Orig'!BA39</f>
        <v>0.1</v>
      </c>
      <c r="BB39">
        <f>'Costing 100 Lmin Feed Orig'!BB39</f>
        <v>46.888794893147498</v>
      </c>
      <c r="BC39" t="str">
        <f>'Costing 100 Lmin Feed Orig'!BC39</f>
        <v>coeFc</v>
      </c>
      <c r="BD39">
        <f>'Costing 100 Lmin Feed Orig'!BD39</f>
        <v>1</v>
      </c>
      <c r="BE39">
        <f>'Costing 100 Lmin Feed Orig'!BE39</f>
        <v>1.8775014999999999E-2</v>
      </c>
      <c r="BF39">
        <f>'Costing 100 Lmin Feed Orig'!BF39</f>
        <v>0.10492961100000001</v>
      </c>
      <c r="BG39">
        <f>'Costing 100 Lmin Feed Orig'!BG39</f>
        <v>1.814625E-3</v>
      </c>
      <c r="BH39">
        <f>'Costing 100 Lmin Feed Orig'!BH39</f>
        <v>285.1951444</v>
      </c>
      <c r="BI39">
        <f>'Costing 100 Lmin Feed Orig'!BI39</f>
        <v>2169.8944889999998</v>
      </c>
      <c r="BJ39">
        <f>'Costing 100 Lmin Feed Orig'!BJ39</f>
        <v>866.49409060000005</v>
      </c>
      <c r="BK39">
        <f>'Costing 100 Lmin Feed Orig'!BK39</f>
        <v>100</v>
      </c>
      <c r="BL39">
        <f>'Costing 100 Lmin Feed Orig'!BL39</f>
        <v>11.395861217105201</v>
      </c>
      <c r="BM39">
        <f>'Costing 100 Lmin Feed Orig'!BM39</f>
        <v>92.374973309314697</v>
      </c>
      <c r="BN39">
        <f>'Costing 100 Lmin Feed Orig'!BN39</f>
        <v>19.700863184865998</v>
      </c>
      <c r="BO39">
        <f t="shared" si="1"/>
        <v>182.33377947368322</v>
      </c>
      <c r="BP39">
        <f t="shared" si="2"/>
        <v>512.22244280651591</v>
      </c>
      <c r="BQ39">
        <f t="shared" si="3"/>
        <v>18.233377947368322</v>
      </c>
      <c r="BR39">
        <f t="shared" si="4"/>
        <v>51.222244280651594</v>
      </c>
      <c r="BS39">
        <f>1.2*0.5*BL39*V39/'Oxidant Feed Composition'!$N$22</f>
        <v>6.837516730263121</v>
      </c>
      <c r="BT39">
        <f>1.2*0.5*BN39*BA39/'Oxidant Feed Composition'!$N$22</f>
        <v>11.820517910919598</v>
      </c>
      <c r="BU39">
        <f t="shared" si="5"/>
        <v>5.6979306085525998</v>
      </c>
      <c r="BV39">
        <f t="shared" si="6"/>
        <v>9.850431592432999</v>
      </c>
      <c r="BW39">
        <f t="shared" si="7"/>
        <v>86.677042700762101</v>
      </c>
      <c r="BX39">
        <f t="shared" si="20"/>
        <v>36.466755894736643</v>
      </c>
      <c r="BY39">
        <f t="shared" si="8"/>
        <v>207.54166905283981</v>
      </c>
      <c r="BZ39">
        <f t="shared" si="9"/>
        <v>63.042762191571192</v>
      </c>
      <c r="CA39">
        <f t="shared" si="10"/>
        <v>59.102589554597998</v>
      </c>
      <c r="CB39">
        <f>BO39*'Reagent cost'!$G$11*'Reagent cost'!$H$11</f>
        <v>2406.8058890526186</v>
      </c>
      <c r="CC39">
        <f>BP39*'Reagent cost'!$G$11*'Reagent cost'!$H$11</f>
        <v>6761.3362450460099</v>
      </c>
      <c r="CD39">
        <f>BQ39*'Reagent cost'!$C$18/1000*'Reagent cost'!$H$18</f>
        <v>2907.8673690603878</v>
      </c>
      <c r="CE39">
        <f>BR39*'Ligand cost'!$B$56*'Ligand cost'!$J$56</f>
        <v>52150.787394119398</v>
      </c>
      <c r="CF39">
        <f t="shared" si="11"/>
        <v>10</v>
      </c>
      <c r="CG39">
        <f t="shared" si="12"/>
        <v>2.2791722434210402</v>
      </c>
      <c r="CH39">
        <f t="shared" si="13"/>
        <v>3.9401726369732</v>
      </c>
      <c r="CI39">
        <f>7963.6*(BX39/1000)^0.6*1.7*('CAPEX+OPEX'!$G$116/'CAPEX+OPEX'!$G$115)</f>
        <v>2189.6727102460782</v>
      </c>
      <c r="CJ39">
        <f>7963.6*(BY39/1000)^0.6*1.7*('CAPEX+OPEX'!$G$116/'CAPEX+OPEX'!$G$115)</f>
        <v>6215.9013146876341</v>
      </c>
      <c r="CK39">
        <f>7963.6*(BZ39/1000)^0.6*1.7*('CAPEX+OPEX'!$G$116/'CAPEX+OPEX'!$G$115)</f>
        <v>3041.0395464648595</v>
      </c>
      <c r="CL39">
        <f>7963.6*(CA39/1000)^0.6*1.7*('CAPEX+OPEX'!$G$116/'CAPEX+OPEX'!$G$115)</f>
        <v>2925.5318708916702</v>
      </c>
      <c r="CM39">
        <f>'Costing 100 Lmin Feed Orig'!DE39</f>
        <v>39625.826528698344</v>
      </c>
      <c r="CN39">
        <f>'Costing 100 Lmin Feed Orig'!DF39</f>
        <v>4586243.4239371875</v>
      </c>
      <c r="CO39">
        <f>'Costing 100 Lmin Feed Orig'!DG39</f>
        <v>11794834.586807497</v>
      </c>
      <c r="CP39">
        <f>'Costing 100 Lmin Feed Orig'!DH39</f>
        <v>2275209.1661185985</v>
      </c>
      <c r="CQ39">
        <f>'Costing 100 Lmin Feed Orig'!DI39</f>
        <v>14083914.336508472</v>
      </c>
      <c r="CR39">
        <f>'Costing 100 Lmin Feed Orig'!DJ39</f>
        <v>1662824.8986326549</v>
      </c>
      <c r="CS39">
        <f>CN39*(BK39/10000)^0.72*((A39+1)/3)^0.6*('CAPEX+OPEX'!$G$116/'CAPEX+OPEX'!$G$114)</f>
        <v>646135.89638675924</v>
      </c>
      <c r="CT39">
        <f>CO39*(BK39/10000)^0.72*((A39+1)/3)^0.6*('CAPEX+OPEX'!$G$116/'CAPEX+OPEX'!$G$114)</f>
        <v>1661722.9645298459</v>
      </c>
      <c r="CU39">
        <f>CP39*(BK39/10000)^0.72*((A39+1)/3)^0.6*('CAPEX+OPEX'!$G$116/'CAPEX+OPEX'!$G$114)</f>
        <v>320544.32748695416</v>
      </c>
      <c r="CV39">
        <f>CQ39*(BK39/10000)^0.72*((A39+1)/3)^0.6*('CAPEX+OPEX'!$G$116/'CAPEX+OPEX'!$G$114)</f>
        <v>1984221.4582325809</v>
      </c>
      <c r="CW39">
        <f>CR39*(BK39/10000)^0.72*((A39+1)/3)^0.6*('CAPEX+OPEX'!$G$116/'CAPEX+OPEX'!$G$114)</f>
        <v>234268.17050410178</v>
      </c>
      <c r="CX39">
        <f t="shared" si="14"/>
        <v>4846892.8171402421</v>
      </c>
      <c r="CY39">
        <f>CN39*(BM39/10000)^0.72*((AF39+1)/3)^0.6*('CAPEX+OPEX'!$G$116/'CAPEX+OPEX'!$G$114)</f>
        <v>843282.14969326498</v>
      </c>
      <c r="CZ39">
        <f>CO39*(BM39/10000)^0.72*((AF39+1)/3)^0.6*('CAPEX+OPEX'!$G$116/'CAPEX+OPEX'!$G$114)</f>
        <v>2168740.8508946435</v>
      </c>
      <c r="DA39">
        <f>CP39*(BM39/10000)^0.72*((AF39+1)/3)^0.6*('CAPEX+OPEX'!$G$116/'CAPEX+OPEX'!$G$114)</f>
        <v>418347.45765832032</v>
      </c>
      <c r="DB39">
        <f>CQ39*(BM39/10000)^0.72*((AF39+1)/3)^0.6*('CAPEX+OPEX'!$G$116/'CAPEX+OPEX'!$G$114)</f>
        <v>2589638.7217036909</v>
      </c>
      <c r="DC39">
        <f>CR39*(BM39/10000)^0.72*((AF39+1)/3)^0.6*('CAPEX+OPEX'!$G$116/'CAPEX+OPEX'!$G$114)</f>
        <v>305747.08437055594</v>
      </c>
      <c r="DD39">
        <f t="shared" si="15"/>
        <v>6325756.264320476</v>
      </c>
      <c r="DE39">
        <f>CX39+DD39+1.15*(SUM(CI39:CL39)+SUM(CB39:CE39))</f>
        <v>11263037.865151223</v>
      </c>
      <c r="DF39">
        <f t="shared" si="16"/>
        <v>750869.19101008156</v>
      </c>
      <c r="DG39">
        <f>(BS39+BT39)*'Oxidant Feed Composition'!$N$25*60*7200</f>
        <v>15026307.915928498</v>
      </c>
      <c r="DH39">
        <f>((CG39+CH39)*'Reagent cost'!$C$17/1000*'Reagent cost'!$H$17+(CG39+CH39)*0.5*'Reagent cost'!$C$16/1000*'Reagent cost'!$H$16)*60*7200</f>
        <v>5988324.5783002488</v>
      </c>
      <c r="DI39">
        <f>CF39*'Reagent cost'!$C$17/1000*'Reagent cost'!$H$17*60*7200</f>
        <v>504921.59999999998</v>
      </c>
      <c r="DJ39">
        <f t="shared" si="17"/>
        <v>91.68142134098629</v>
      </c>
      <c r="DK39">
        <f t="shared" si="18"/>
        <v>1101.1730952635958</v>
      </c>
      <c r="DL39">
        <f t="shared" si="19"/>
        <v>25824896.33849442</v>
      </c>
      <c r="DM39">
        <f>BK39*(B39*(409.81+2)/1000+C39*(248.2+2*22.99)/1000+D39*(315.6+3*22.99)/1000+0.1*58.44/1000)</f>
        <v>0.70639694042110623</v>
      </c>
      <c r="DN39">
        <f>(BS39+BT39)/1000*('Oxidant Feed Composition'!$B$11*'Oxidant Feed Composition'!$O$20+'Oxidant Feed Composition'!$D$11*'Oxidant Feed Composition'!$O$21+'Oxidant Feed Composition'!$F$11*'Oxidant Feed Composition'!$O$27-'Oxidant Feed Composition'!$J$15*18.015)</f>
        <v>2.1789699928745883</v>
      </c>
      <c r="DO39">
        <f>(BU39+BV39)/1000*(0.2*368.34+0.4*58.44)</f>
        <v>1.5088752614324465</v>
      </c>
      <c r="DP39">
        <f>BK39/1000*(B39*195.08+C39*106.42+D39*102.91)</f>
        <v>4.999938342565946E-2</v>
      </c>
      <c r="DQ39">
        <f>SUM(DM39:DO39)-DP39</f>
        <v>4.3442428113024816</v>
      </c>
      <c r="DR39">
        <f>DQ39*60*7200*0.33</f>
        <v>619315.25517928181</v>
      </c>
      <c r="DS39">
        <v>1.2</v>
      </c>
      <c r="DT39">
        <f>BM39/60*(AM39*4+AN39*2+AO39*3)*96485/DV39</f>
        <v>1406.1100831005861</v>
      </c>
      <c r="DU39">
        <f>BN39*BA39*(AP39*4+AQ39*2+AR39*3)*96485/DV39/60</f>
        <v>706.15749631334222</v>
      </c>
      <c r="DV39">
        <v>0.7</v>
      </c>
      <c r="DW39">
        <f>0.499*((BK39/3.78541*15)^(-0.146))*BK39/3.78541*15*300*(1+(A39-2)/9)</f>
        <v>35776.359048024235</v>
      </c>
      <c r="DX39">
        <f>0.248*((BK39/3.78541*15)^(-0.144))*BK39/3.78541*15*300*(1+(A39-2)/3)</f>
        <v>29068.269280606211</v>
      </c>
      <c r="DY39">
        <f>0.105*((BK39/3.78541*15)^(-0.144))*BK39/3.78541*15*300*(1+(A39-2)/3)</f>
        <v>12307.130138966339</v>
      </c>
      <c r="DZ39">
        <f>0.058*((BK39/3.78541*15)^(-0.151))*BK39/3.78541*15*300*(1+(A39-2)/3)</f>
        <v>6519.4301878820042</v>
      </c>
      <c r="EA39">
        <f>0.056*((BK39/3.78541*15)^(-0.144))*BK39/3.78541*15*300*(1+(A39-2)/3)</f>
        <v>6563.8027407820491</v>
      </c>
      <c r="EB39">
        <f>DS39*DT39/(3.6*10^6)*3600*7200*0.07</f>
        <v>850.41537825923444</v>
      </c>
      <c r="EC39">
        <f>0.499*((BM39/3.78541*15)^(-0.146))*BM39/3.78541*15*300*(1+(AF39-2)/9)</f>
        <v>46292.292392372896</v>
      </c>
      <c r="ED39">
        <f>0.248*((BM39/3.78541*15)^(-0.144))*BM39/3.78541*15*300*(1+(AF39-2)/3)</f>
        <v>46560.419412212461</v>
      </c>
      <c r="EE39">
        <f>0.105*((BM39/3.78541*15)^(-0.144))*BM39/3.78541*15*300*(1+(AF39-2)/3)</f>
        <v>19713.08079952544</v>
      </c>
      <c r="EF39">
        <f>0.058*((BM39/3.78541*15)^(-0.151))*BM39/3.78541*15*300*(1+(AF39-2)/3)</f>
        <v>10448.368179459621</v>
      </c>
      <c r="EG39">
        <f>0.056*((BM39/3.78541*15)^(-0.144))*BM39/3.78541*15*300*(1+(AF39-2)/3)</f>
        <v>10513.643093080233</v>
      </c>
      <c r="EH39">
        <f>DS39*DU39/(3.6*10^6)*3600*7200*0.07</f>
        <v>427.08405377030942</v>
      </c>
      <c r="EI39">
        <f>SUM(DW39:EH39)</f>
        <v>225040.29470494101</v>
      </c>
      <c r="EJ39">
        <f>EI39+DR39+DL39</f>
        <v>26669251.888378642</v>
      </c>
      <c r="EK39">
        <f>EJ39+DF39</f>
        <v>27420121.079388723</v>
      </c>
      <c r="EL39">
        <f>EK39/(BK39*60*7200)</f>
        <v>0.63472502498585004</v>
      </c>
      <c r="EM39">
        <f>EK39/(BM39*(AM39*195.084/1000+AN39*106.42/1000+AO39*102.911/1000)*60*7200)</f>
        <v>2123.3906820742086</v>
      </c>
      <c r="EN39">
        <f>EK39/(BN39*BA39*(AP39*195.084/1000+AQ39*106.42/1000+AR39*102.911/1000)*60*7200)</f>
        <v>3895.1090972150305</v>
      </c>
    </row>
    <row r="40" spans="1:144">
      <c r="A40">
        <f>'Costing 100 Lmin Feed Orig'!A40</f>
        <v>6</v>
      </c>
      <c r="B40">
        <f>'Costing 100 Lmin Feed Orig'!B40</f>
        <v>1.54143585092054E-3</v>
      </c>
      <c r="C40">
        <f>'Costing 100 Lmin Feed Orig'!C40</f>
        <v>1.54143585092054E-3</v>
      </c>
      <c r="D40">
        <f>'Costing 100 Lmin Feed Orig'!D40</f>
        <v>3.4254130020456501E-4</v>
      </c>
      <c r="E40">
        <f>'Costing 100 Lmin Feed Orig'!E40</f>
        <v>0</v>
      </c>
      <c r="F40">
        <f>'Costing 100 Lmin Feed Orig'!F40</f>
        <v>0</v>
      </c>
      <c r="G40">
        <f>'Costing 100 Lmin Feed Orig'!G40</f>
        <v>0</v>
      </c>
      <c r="H40">
        <f>'Costing 100 Lmin Feed Orig'!H40</f>
        <v>1.7693893431643E-5</v>
      </c>
      <c r="I40">
        <f>'Costing 100 Lmin Feed Orig'!I40</f>
        <v>3.7175600603836103E-8</v>
      </c>
      <c r="J40">
        <f>'Costing 100 Lmin Feed Orig'!J40</f>
        <v>3.36890310328726E-4</v>
      </c>
      <c r="K40">
        <f>'Costing 100 Lmin Feed Orig'!K40</f>
        <v>0.133710118829723</v>
      </c>
      <c r="L40">
        <f>'Costing 100 Lmin Feed Orig'!L40</f>
        <v>0.13525951632913</v>
      </c>
      <c r="M40">
        <f>'Costing 100 Lmin Feed Orig'!M40</f>
        <v>4.9588089642288804E-4</v>
      </c>
      <c r="N40">
        <f>'Costing 100 Lmin Feed Orig'!N40</f>
        <v>-1.72886878424538E-14</v>
      </c>
      <c r="O40">
        <f>'Costing 100 Lmin Feed Orig'!O40</f>
        <v>-1.05961268405396E-12</v>
      </c>
      <c r="P40">
        <f>'Costing 100 Lmin Feed Orig'!P40</f>
        <v>-9.6595637304880395E-18</v>
      </c>
      <c r="Q40">
        <f>'Costing 100 Lmin Feed Orig'!Q40</f>
        <v>0.11395861217105201</v>
      </c>
      <c r="R40">
        <f>'Costing 100 Lmin Feed Orig'!R40</f>
        <v>98.3502748800029</v>
      </c>
      <c r="S40">
        <f>'Costing 100 Lmin Feed Orig'!S40</f>
        <v>500</v>
      </c>
      <c r="T40">
        <f>'Costing 100 Lmin Feed Orig'!T40</f>
        <v>95</v>
      </c>
      <c r="U40">
        <f>'Costing 100 Lmin Feed Orig'!U40</f>
        <v>1</v>
      </c>
      <c r="V40">
        <f>'Costing 100 Lmin Feed Orig'!V40</f>
        <v>0.1</v>
      </c>
      <c r="W40">
        <f>'Costing 100 Lmin Feed Orig'!W40</f>
        <v>87.751156402202497</v>
      </c>
      <c r="X40" t="str">
        <f>'Costing 100 Lmin Feed Orig'!X40</f>
        <v>ddFc</v>
      </c>
      <c r="Y40">
        <f>'Costing 100 Lmin Feed Orig'!Y40</f>
        <v>1</v>
      </c>
      <c r="Z40">
        <f>'Costing 100 Lmin Feed Orig'!Z40</f>
        <v>0.28318429382522198</v>
      </c>
      <c r="AA40">
        <f>'Costing 100 Lmin Feed Orig'!AA40</f>
        <v>0.56945642916197003</v>
      </c>
      <c r="AB40">
        <f>'Costing 100 Lmin Feed Orig'!AB40</f>
        <v>3.7698628972227502E-3</v>
      </c>
      <c r="AC40">
        <f>'Costing 100 Lmin Feed Orig'!AC40</f>
        <v>1822.2107908876901</v>
      </c>
      <c r="AD40">
        <f>'Costing 100 Lmin Feed Orig'!AD40</f>
        <v>2662.6059073104898</v>
      </c>
      <c r="AE40">
        <f>'Costing 100 Lmin Feed Orig'!AE40</f>
        <v>2401.5030938442701</v>
      </c>
      <c r="AF40">
        <f>'Costing 100 Lmin Feed Orig'!AF40</f>
        <v>12</v>
      </c>
      <c r="AG40">
        <f>'Costing 100 Lmin Feed Orig'!AG40</f>
        <v>1.64951815726537E-3</v>
      </c>
      <c r="AH40">
        <f>'Costing 100 Lmin Feed Orig'!AH40</f>
        <v>1.6686323374819601E-3</v>
      </c>
      <c r="AI40">
        <f>'Costing 100 Lmin Feed Orig'!AI40</f>
        <v>6.1174468293775103E-6</v>
      </c>
      <c r="AJ40">
        <f>'Costing 100 Lmin Feed Orig'!AJ40</f>
        <v>0</v>
      </c>
      <c r="AK40">
        <f>'Costing 100 Lmin Feed Orig'!AK40</f>
        <v>0</v>
      </c>
      <c r="AL40">
        <f>'Costing 100 Lmin Feed Orig'!AL40</f>
        <v>0</v>
      </c>
      <c r="AM40">
        <f>'Costing 100 Lmin Feed Orig'!AM40</f>
        <v>1.6125575429752001E-3</v>
      </c>
      <c r="AN40">
        <f>'Costing 100 Lmin Feed Orig'!AN40</f>
        <v>7.8794254311918995E-5</v>
      </c>
      <c r="AO40">
        <f>'Costing 100 Lmin Feed Orig'!AO40</f>
        <v>6.0771953183527996E-6</v>
      </c>
      <c r="AP40">
        <f>'Costing 100 Lmin Feed Orig'!AP40</f>
        <v>1.7330503585533999E-3</v>
      </c>
      <c r="AQ40">
        <f>'Costing 100 Lmin Feed Orig'!AQ40</f>
        <v>7.4546094895645801E-2</v>
      </c>
      <c r="AR40">
        <f>'Costing 100 Lmin Feed Orig'!AR40</f>
        <v>1.8873575819805E-6</v>
      </c>
      <c r="AS40">
        <f>'Costing 100 Lmin Feed Orig'!AS40</f>
        <v>7.3561084524067997E-16</v>
      </c>
      <c r="AT40">
        <f>'Costing 100 Lmin Feed Orig'!AT40</f>
        <v>-7.3104283043745598E-14</v>
      </c>
      <c r="AU40">
        <f>'Costing 100 Lmin Feed Orig'!AU40</f>
        <v>-3.93076227085198E-21</v>
      </c>
      <c r="AV40">
        <f>'Costing 100 Lmin Feed Orig'!AV40</f>
        <v>0.197007302276343</v>
      </c>
      <c r="AW40">
        <f>'Costing 100 Lmin Feed Orig'!AW40</f>
        <v>99.342021072722403</v>
      </c>
      <c r="AX40">
        <f>'Costing 100 Lmin Feed Orig'!AX40</f>
        <v>500</v>
      </c>
      <c r="AY40">
        <f>'Costing 100 Lmin Feed Orig'!AY40</f>
        <v>95</v>
      </c>
      <c r="AZ40">
        <f>'Costing 100 Lmin Feed Orig'!AZ40</f>
        <v>0.92374973309314701</v>
      </c>
      <c r="BA40">
        <f>'Costing 100 Lmin Feed Orig'!BA40</f>
        <v>0.1</v>
      </c>
      <c r="BB40">
        <f>'Costing 100 Lmin Feed Orig'!BB40</f>
        <v>46.889111338492199</v>
      </c>
      <c r="BC40" t="str">
        <f>'Costing 100 Lmin Feed Orig'!BC40</f>
        <v>coeFc</v>
      </c>
      <c r="BD40">
        <f>'Costing 100 Lmin Feed Orig'!BD40</f>
        <v>1</v>
      </c>
      <c r="BE40">
        <f>'Costing 100 Lmin Feed Orig'!BE40</f>
        <v>1.8775014999999999E-2</v>
      </c>
      <c r="BF40">
        <f>'Costing 100 Lmin Feed Orig'!BF40</f>
        <v>0.10492961100000001</v>
      </c>
      <c r="BG40">
        <f>'Costing 100 Lmin Feed Orig'!BG40</f>
        <v>1.814625E-3</v>
      </c>
      <c r="BH40">
        <f>'Costing 100 Lmin Feed Orig'!BH40</f>
        <v>285.1951444</v>
      </c>
      <c r="BI40">
        <f>'Costing 100 Lmin Feed Orig'!BI40</f>
        <v>2169.8944889999998</v>
      </c>
      <c r="BJ40">
        <f>'Costing 100 Lmin Feed Orig'!BJ40</f>
        <v>866.49409060000005</v>
      </c>
      <c r="BK40">
        <f>'Costing 100 Lmin Feed Orig'!BK40</f>
        <v>100</v>
      </c>
      <c r="BL40">
        <f>'Costing 100 Lmin Feed Orig'!BL40</f>
        <v>11.395861217105201</v>
      </c>
      <c r="BM40">
        <f>'Costing 100 Lmin Feed Orig'!BM40</f>
        <v>92.374973309314697</v>
      </c>
      <c r="BN40">
        <f>'Costing 100 Lmin Feed Orig'!BN40</f>
        <v>19.700730227634299</v>
      </c>
      <c r="BO40">
        <f t="shared" si="1"/>
        <v>182.33377947368322</v>
      </c>
      <c r="BP40">
        <f t="shared" si="2"/>
        <v>551.62044637376039</v>
      </c>
      <c r="BQ40">
        <f t="shared" si="3"/>
        <v>18.233377947368322</v>
      </c>
      <c r="BR40">
        <f t="shared" si="4"/>
        <v>55.162044637376042</v>
      </c>
      <c r="BS40">
        <f>1.2*0.5*BL40*V40/'Oxidant Feed Composition'!$N$22</f>
        <v>6.837516730263121</v>
      </c>
      <c r="BT40">
        <f>1.2*0.5*BN40*BA40/'Oxidant Feed Composition'!$N$22</f>
        <v>11.820438136580579</v>
      </c>
      <c r="BU40">
        <f t="shared" si="5"/>
        <v>5.6979306085525998</v>
      </c>
      <c r="BV40">
        <f t="shared" si="6"/>
        <v>9.8503651138171495</v>
      </c>
      <c r="BW40">
        <f t="shared" si="7"/>
        <v>86.677042700762101</v>
      </c>
      <c r="BX40">
        <f t="shared" si="20"/>
        <v>36.466755894736643</v>
      </c>
      <c r="BY40">
        <f t="shared" si="8"/>
        <v>207.54166905283981</v>
      </c>
      <c r="BZ40">
        <f t="shared" si="9"/>
        <v>63.04233672842976</v>
      </c>
      <c r="CA40">
        <f t="shared" si="10"/>
        <v>59.102190682902901</v>
      </c>
      <c r="CB40">
        <f>BO40*'Reagent cost'!$G$11*'Reagent cost'!$H$11</f>
        <v>2406.8058890526186</v>
      </c>
      <c r="CC40">
        <f>BP40*'Reagent cost'!$G$11*'Reagent cost'!$H$11</f>
        <v>7281.3898921336377</v>
      </c>
      <c r="CD40">
        <f>BQ40*'Reagent cost'!$C$18/1000*'Reagent cost'!$H$18</f>
        <v>2907.8673690603878</v>
      </c>
      <c r="CE40">
        <f>BR40*'Ligand cost'!$B$56*'Ligand cost'!$J$56</f>
        <v>56162.007395590961</v>
      </c>
      <c r="CF40">
        <f t="shared" si="11"/>
        <v>10</v>
      </c>
      <c r="CG40">
        <f t="shared" si="12"/>
        <v>2.2791722434210402</v>
      </c>
      <c r="CH40">
        <f t="shared" si="13"/>
        <v>3.94014604552686</v>
      </c>
      <c r="CI40">
        <f>7963.6*(BX40/1000)^0.6*1.7*('CAPEX+OPEX'!$G$116/'CAPEX+OPEX'!$G$115)</f>
        <v>2189.6727102460782</v>
      </c>
      <c r="CJ40">
        <f>7963.6*(BY40/1000)^0.6*1.7*('CAPEX+OPEX'!$G$116/'CAPEX+OPEX'!$G$115)</f>
        <v>6215.9013146876341</v>
      </c>
      <c r="CK40">
        <f>7963.6*(BZ40/1000)^0.6*1.7*('CAPEX+OPEX'!$G$116/'CAPEX+OPEX'!$G$115)</f>
        <v>3041.0272324233424</v>
      </c>
      <c r="CL40">
        <f>7963.6*(CA40/1000)^0.6*1.7*('CAPEX+OPEX'!$G$116/'CAPEX+OPEX'!$G$115)</f>
        <v>2925.520024573867</v>
      </c>
      <c r="CM40">
        <f>'Costing 100 Lmin Feed Orig'!DE40</f>
        <v>39625.826528698344</v>
      </c>
      <c r="CN40">
        <f>'Costing 100 Lmin Feed Orig'!DF40</f>
        <v>4586243.4239371875</v>
      </c>
      <c r="CO40">
        <f>'Costing 100 Lmin Feed Orig'!DG40</f>
        <v>11794834.586807497</v>
      </c>
      <c r="CP40">
        <f>'Costing 100 Lmin Feed Orig'!DH40</f>
        <v>2275209.1661185985</v>
      </c>
      <c r="CQ40">
        <f>'Costing 100 Lmin Feed Orig'!DI40</f>
        <v>14083914.336508472</v>
      </c>
      <c r="CR40">
        <f>'Costing 100 Lmin Feed Orig'!DJ40</f>
        <v>1662824.8986326549</v>
      </c>
      <c r="CS40">
        <f>CN40*(BK40/10000)^0.72*((A40+1)/3)^0.6*('CAPEX+OPEX'!$G$116/'CAPEX+OPEX'!$G$114)</f>
        <v>646135.89638675924</v>
      </c>
      <c r="CT40">
        <f>CO40*(BK40/10000)^0.72*((A40+1)/3)^0.6*('CAPEX+OPEX'!$G$116/'CAPEX+OPEX'!$G$114)</f>
        <v>1661722.9645298459</v>
      </c>
      <c r="CU40">
        <f>CP40*(BK40/10000)^0.72*((A40+1)/3)^0.6*('CAPEX+OPEX'!$G$116/'CAPEX+OPEX'!$G$114)</f>
        <v>320544.32748695416</v>
      </c>
      <c r="CV40">
        <f>CQ40*(BK40/10000)^0.72*((A40+1)/3)^0.6*('CAPEX+OPEX'!$G$116/'CAPEX+OPEX'!$G$114)</f>
        <v>1984221.4582325809</v>
      </c>
      <c r="CW40">
        <f>CR40*(BK40/10000)^0.72*((A40+1)/3)^0.6*('CAPEX+OPEX'!$G$116/'CAPEX+OPEX'!$G$114)</f>
        <v>234268.17050410178</v>
      </c>
      <c r="CX40">
        <f t="shared" si="14"/>
        <v>4846892.8171402421</v>
      </c>
      <c r="CY40">
        <f>CN40*(BM40/10000)^0.72*((AF40+1)/3)^0.6*('CAPEX+OPEX'!$G$116/'CAPEX+OPEX'!$G$114)</f>
        <v>884769.55719627661</v>
      </c>
      <c r="CZ40">
        <f>CO40*(BM40/10000)^0.72*((AF40+1)/3)^0.6*('CAPEX+OPEX'!$G$116/'CAPEX+OPEX'!$G$114)</f>
        <v>2275437.5662018773</v>
      </c>
      <c r="DA40">
        <f>CP40*(BM40/10000)^0.72*((AF40+1)/3)^0.6*('CAPEX+OPEX'!$G$116/'CAPEX+OPEX'!$G$114)</f>
        <v>438929.12354563072</v>
      </c>
      <c r="DB40">
        <f>CQ40*(BM40/10000)^0.72*((AF40+1)/3)^0.6*('CAPEX+OPEX'!$G$116/'CAPEX+OPEX'!$G$114)</f>
        <v>2717042.5769518763</v>
      </c>
      <c r="DC40">
        <f>CR40*(BM40/10000)^0.72*((AF40+1)/3)^0.6*('CAPEX+OPEX'!$G$116/'CAPEX+OPEX'!$G$114)</f>
        <v>320789.08886069356</v>
      </c>
      <c r="DD40">
        <f t="shared" si="15"/>
        <v>6636967.9127563545</v>
      </c>
      <c r="DE40">
        <f>CX40+DD40+1.15*(SUM(CI40:CL40)+SUM(CB40:CE40))</f>
        <v>11579460.450498531</v>
      </c>
      <c r="DF40">
        <f t="shared" si="16"/>
        <v>771964.03003323532</v>
      </c>
      <c r="DG40">
        <f>(BS40+BT40)*'Oxidant Feed Composition'!$N$25*60*7200</f>
        <v>15026243.66940924</v>
      </c>
      <c r="DH40">
        <f>((CG40+CH40)*'Reagent cost'!$C$17/1000*'Reagent cost'!$H$17+(CG40+CH40)*0.5*'Reagent cost'!$C$16/1000*'Reagent cost'!$H$16)*60*7200</f>
        <v>5988298.9746048832</v>
      </c>
      <c r="DI40">
        <f>CF40*'Reagent cost'!$C$17/1000*'Reagent cost'!$H$17*60*7200</f>
        <v>504921.59999999998</v>
      </c>
      <c r="DJ40">
        <f t="shared" si="17"/>
        <v>96.881957811862563</v>
      </c>
      <c r="DK40">
        <f t="shared" si="18"/>
        <v>1181.3974952930271</v>
      </c>
      <c r="DL40">
        <f t="shared" si="19"/>
        <v>25824891.028160673</v>
      </c>
      <c r="DM40">
        <f>BK40*(B40*(409.81+2)/1000+C40*(248.2+2*22.99)/1000+D40*(315.6+3*22.99)/1000+0.1*58.44/1000)</f>
        <v>0.70639694042110623</v>
      </c>
      <c r="DN40">
        <f>(BS40+BT40)/1000*('Oxidant Feed Composition'!$B$11*'Oxidant Feed Composition'!$O$20+'Oxidant Feed Composition'!$D$11*'Oxidant Feed Composition'!$O$21+'Oxidant Feed Composition'!$F$11*'Oxidant Feed Composition'!$O$27-'Oxidant Feed Composition'!$J$15*18.015)</f>
        <v>2.1789606764651022</v>
      </c>
      <c r="DO40">
        <f>(BU40+BV40)/1000*(0.2*368.34+0.4*58.44)</f>
        <v>1.5088688100816499</v>
      </c>
      <c r="DP40">
        <f>BK40/1000*(B40*195.08+C40*106.42+D40*102.91)</f>
        <v>4.999938342565946E-2</v>
      </c>
      <c r="DQ40">
        <f>SUM(DM40:DO40)-DP40</f>
        <v>4.3442270435421984</v>
      </c>
      <c r="DR40">
        <f>DQ40*60*7200*0.33</f>
        <v>619313.00732737582</v>
      </c>
      <c r="DS40">
        <v>1.2</v>
      </c>
      <c r="DT40">
        <f>BM40/60*(AM40*4+AN40*2+AO40*3)*96485/DV40</f>
        <v>1406.1108613138913</v>
      </c>
      <c r="DU40">
        <f>BN40*BA40*(AP40*4+AQ40*2+AR40*3)*96485/DV40/60</f>
        <v>706.15671237476283</v>
      </c>
      <c r="DV40">
        <v>0.7</v>
      </c>
      <c r="DW40">
        <f>0.499*((BK40/3.78541*15)^(-0.146))*BK40/3.78541*15*300*(1+(A40-2)/9)</f>
        <v>35776.359048024235</v>
      </c>
      <c r="DX40">
        <f>0.248*((BK40/3.78541*15)^(-0.144))*BK40/3.78541*15*300*(1+(A40-2)/3)</f>
        <v>29068.269280606211</v>
      </c>
      <c r="DY40">
        <f>0.105*((BK40/3.78541*15)^(-0.144))*BK40/3.78541*15*300*(1+(A40-2)/3)</f>
        <v>12307.130138966339</v>
      </c>
      <c r="DZ40">
        <f>0.058*((BK40/3.78541*15)^(-0.151))*BK40/3.78541*15*300*(1+(A40-2)/3)</f>
        <v>6519.4301878820042</v>
      </c>
      <c r="EA40">
        <f>0.056*((BK40/3.78541*15)^(-0.144))*BK40/3.78541*15*300*(1+(A40-2)/3)</f>
        <v>6563.8027407820491</v>
      </c>
      <c r="EB40">
        <f>DS40*DT40/(3.6*10^6)*3600*7200*0.07</f>
        <v>850.41584892264143</v>
      </c>
      <c r="EC40">
        <f>0.499*((BM40/3.78541*15)^(-0.146))*BM40/3.78541*15*300*(1+(AF40-2)/9)</f>
        <v>48864.08641417139</v>
      </c>
      <c r="ED40">
        <f>0.248*((BM40/3.78541*15)^(-0.144))*BM40/3.78541*15*300*(1+(AF40-2)/3)</f>
        <v>50440.454363230172</v>
      </c>
      <c r="EE40">
        <f>0.105*((BM40/3.78541*15)^(-0.144))*BM40/3.78541*15*300*(1+(AF40-2)/3)</f>
        <v>21355.837532819231</v>
      </c>
      <c r="EF40">
        <f>0.058*((BM40/3.78541*15)^(-0.151))*BM40/3.78541*15*300*(1+(AF40-2)/3)</f>
        <v>11319.065527747925</v>
      </c>
      <c r="EG40">
        <f>0.056*((BM40/3.78541*15)^(-0.144))*BM40/3.78541*15*300*(1+(AF40-2)/3)</f>
        <v>11389.780017503586</v>
      </c>
      <c r="EH40">
        <f>DS40*DU40/(3.6*10^6)*3600*7200*0.07</f>
        <v>427.08357964425659</v>
      </c>
      <c r="EI40">
        <f>SUM(DW40:EH40)</f>
        <v>234881.71468030007</v>
      </c>
      <c r="EJ40">
        <f>EI40+DR40+DL40</f>
        <v>26679085.75016835</v>
      </c>
      <c r="EK40">
        <f>EJ40+DF40</f>
        <v>27451049.780201584</v>
      </c>
      <c r="EL40">
        <f>EK40/(BK40*60*7200)</f>
        <v>0.63544096713429588</v>
      </c>
      <c r="EM40">
        <f>EK40/(BM40*(AM40*195.084/1000+AN40*106.42/1000+AO40*102.911/1000)*60*7200)</f>
        <v>2125.7845968097058</v>
      </c>
      <c r="EN40">
        <f>EK40/(BN40*BA40*(AP40*195.084/1000+AQ40*106.42/1000+AR40*102.911/1000)*60*7200)</f>
        <v>3899.5066039660737</v>
      </c>
    </row>
    <row r="41" spans="1:144">
      <c r="A41">
        <f>'Costing 100 Lmin Feed Orig'!A41</f>
        <v>6</v>
      </c>
      <c r="B41">
        <f>'Costing 100 Lmin Feed Orig'!B41</f>
        <v>1.54143585092054E-3</v>
      </c>
      <c r="C41">
        <f>'Costing 100 Lmin Feed Orig'!C41</f>
        <v>1.54143585092054E-3</v>
      </c>
      <c r="D41">
        <f>'Costing 100 Lmin Feed Orig'!D41</f>
        <v>3.4254130020456501E-4</v>
      </c>
      <c r="E41">
        <f>'Costing 100 Lmin Feed Orig'!E41</f>
        <v>0</v>
      </c>
      <c r="F41">
        <f>'Costing 100 Lmin Feed Orig'!F41</f>
        <v>0</v>
      </c>
      <c r="G41">
        <f>'Costing 100 Lmin Feed Orig'!G41</f>
        <v>0</v>
      </c>
      <c r="H41">
        <f>'Costing 100 Lmin Feed Orig'!H41</f>
        <v>1.7693893431643E-5</v>
      </c>
      <c r="I41">
        <f>'Costing 100 Lmin Feed Orig'!I41</f>
        <v>3.7175600603836103E-8</v>
      </c>
      <c r="J41">
        <f>'Costing 100 Lmin Feed Orig'!J41</f>
        <v>3.36890310328726E-4</v>
      </c>
      <c r="K41">
        <f>'Costing 100 Lmin Feed Orig'!K41</f>
        <v>0.133710118829723</v>
      </c>
      <c r="L41">
        <f>'Costing 100 Lmin Feed Orig'!L41</f>
        <v>0.13525951632913</v>
      </c>
      <c r="M41">
        <f>'Costing 100 Lmin Feed Orig'!M41</f>
        <v>4.9588089642288804E-4</v>
      </c>
      <c r="N41">
        <f>'Costing 100 Lmin Feed Orig'!N41</f>
        <v>-1.72886878424538E-14</v>
      </c>
      <c r="O41">
        <f>'Costing 100 Lmin Feed Orig'!O41</f>
        <v>-1.05961268405396E-12</v>
      </c>
      <c r="P41">
        <f>'Costing 100 Lmin Feed Orig'!P41</f>
        <v>-9.6595637304880395E-18</v>
      </c>
      <c r="Q41">
        <f>'Costing 100 Lmin Feed Orig'!Q41</f>
        <v>0.11395861217105201</v>
      </c>
      <c r="R41">
        <f>'Costing 100 Lmin Feed Orig'!R41</f>
        <v>98.3502748800029</v>
      </c>
      <c r="S41">
        <f>'Costing 100 Lmin Feed Orig'!S41</f>
        <v>500</v>
      </c>
      <c r="T41">
        <f>'Costing 100 Lmin Feed Orig'!T41</f>
        <v>95</v>
      </c>
      <c r="U41">
        <f>'Costing 100 Lmin Feed Orig'!U41</f>
        <v>1</v>
      </c>
      <c r="V41">
        <f>'Costing 100 Lmin Feed Orig'!V41</f>
        <v>0.1</v>
      </c>
      <c r="W41">
        <f>'Costing 100 Lmin Feed Orig'!W41</f>
        <v>87.751156402202497</v>
      </c>
      <c r="X41" t="str">
        <f>'Costing 100 Lmin Feed Orig'!X41</f>
        <v>ddFc</v>
      </c>
      <c r="Y41">
        <f>'Costing 100 Lmin Feed Orig'!Y41</f>
        <v>1</v>
      </c>
      <c r="Z41">
        <f>'Costing 100 Lmin Feed Orig'!Z41</f>
        <v>0.28318429382522198</v>
      </c>
      <c r="AA41">
        <f>'Costing 100 Lmin Feed Orig'!AA41</f>
        <v>0.56945642916197003</v>
      </c>
      <c r="AB41">
        <f>'Costing 100 Lmin Feed Orig'!AB41</f>
        <v>3.7698628972227502E-3</v>
      </c>
      <c r="AC41">
        <f>'Costing 100 Lmin Feed Orig'!AC41</f>
        <v>1822.2107908876901</v>
      </c>
      <c r="AD41">
        <f>'Costing 100 Lmin Feed Orig'!AD41</f>
        <v>2662.6059073104898</v>
      </c>
      <c r="AE41">
        <f>'Costing 100 Lmin Feed Orig'!AE41</f>
        <v>2401.5030938442701</v>
      </c>
      <c r="AF41">
        <f>'Costing 100 Lmin Feed Orig'!AF41</f>
        <v>13</v>
      </c>
      <c r="AG41">
        <f>'Costing 100 Lmin Feed Orig'!AG41</f>
        <v>1.64951815726537E-3</v>
      </c>
      <c r="AH41">
        <f>'Costing 100 Lmin Feed Orig'!AH41</f>
        <v>1.6686323374819601E-3</v>
      </c>
      <c r="AI41">
        <f>'Costing 100 Lmin Feed Orig'!AI41</f>
        <v>6.1174468293775103E-6</v>
      </c>
      <c r="AJ41">
        <f>'Costing 100 Lmin Feed Orig'!AJ41</f>
        <v>0</v>
      </c>
      <c r="AK41">
        <f>'Costing 100 Lmin Feed Orig'!AK41</f>
        <v>0</v>
      </c>
      <c r="AL41">
        <f>'Costing 100 Lmin Feed Orig'!AL41</f>
        <v>0</v>
      </c>
      <c r="AM41">
        <f>'Costing 100 Lmin Feed Orig'!AM41</f>
        <v>1.6125577940565899E-3</v>
      </c>
      <c r="AN41">
        <f>'Costing 100 Lmin Feed Orig'!AN41</f>
        <v>7.87942672646522E-5</v>
      </c>
      <c r="AO41">
        <f>'Costing 100 Lmin Feed Orig'!AO41</f>
        <v>6.0771955804315697E-6</v>
      </c>
      <c r="AP41">
        <f>'Costing 100 Lmin Feed Orig'!AP41</f>
        <v>1.73304187149951E-3</v>
      </c>
      <c r="AQ41">
        <f>'Costing 100 Lmin Feed Orig'!AQ41</f>
        <v>7.4546235626165996E-2</v>
      </c>
      <c r="AR41">
        <f>'Costing 100 Lmin Feed Orig'!AR41</f>
        <v>1.8873488718012801E-6</v>
      </c>
      <c r="AS41">
        <f>'Costing 100 Lmin Feed Orig'!AS41</f>
        <v>3.5914196963582301E-19</v>
      </c>
      <c r="AT41">
        <f>'Costing 100 Lmin Feed Orig'!AT41</f>
        <v>-3.7730235602495499E-17</v>
      </c>
      <c r="AU41">
        <f>'Costing 100 Lmin Feed Orig'!AU41</f>
        <v>-5.6910026143648304E-22</v>
      </c>
      <c r="AV41">
        <f>'Costing 100 Lmin Feed Orig'!AV41</f>
        <v>0.197006928745454</v>
      </c>
      <c r="AW41">
        <f>'Costing 100 Lmin Feed Orig'!AW41</f>
        <v>99.342025356842598</v>
      </c>
      <c r="AX41">
        <f>'Costing 100 Lmin Feed Orig'!AX41</f>
        <v>500</v>
      </c>
      <c r="AY41">
        <f>'Costing 100 Lmin Feed Orig'!AY41</f>
        <v>95</v>
      </c>
      <c r="AZ41">
        <f>'Costing 100 Lmin Feed Orig'!AZ41</f>
        <v>0.92374973309314701</v>
      </c>
      <c r="BA41">
        <f>'Costing 100 Lmin Feed Orig'!BA41</f>
        <v>0.1</v>
      </c>
      <c r="BB41">
        <f>'Costing 100 Lmin Feed Orig'!BB41</f>
        <v>46.889200241616201</v>
      </c>
      <c r="BC41" t="str">
        <f>'Costing 100 Lmin Feed Orig'!BC41</f>
        <v>coeFc</v>
      </c>
      <c r="BD41">
        <f>'Costing 100 Lmin Feed Orig'!BD41</f>
        <v>1</v>
      </c>
      <c r="BE41">
        <f>'Costing 100 Lmin Feed Orig'!BE41</f>
        <v>1.8775014999999999E-2</v>
      </c>
      <c r="BF41">
        <f>'Costing 100 Lmin Feed Orig'!BF41</f>
        <v>0.10492961100000001</v>
      </c>
      <c r="BG41">
        <f>'Costing 100 Lmin Feed Orig'!BG41</f>
        <v>1.814625E-3</v>
      </c>
      <c r="BH41">
        <f>'Costing 100 Lmin Feed Orig'!BH41</f>
        <v>285.1951444</v>
      </c>
      <c r="BI41">
        <f>'Costing 100 Lmin Feed Orig'!BI41</f>
        <v>2169.8944889999998</v>
      </c>
      <c r="BJ41">
        <f>'Costing 100 Lmin Feed Orig'!BJ41</f>
        <v>866.49409060000005</v>
      </c>
      <c r="BK41">
        <f>'Costing 100 Lmin Feed Orig'!BK41</f>
        <v>100</v>
      </c>
      <c r="BL41">
        <f>'Costing 100 Lmin Feed Orig'!BL41</f>
        <v>11.395861217105201</v>
      </c>
      <c r="BM41">
        <f>'Costing 100 Lmin Feed Orig'!BM41</f>
        <v>92.374973309314697</v>
      </c>
      <c r="BN41">
        <f>'Costing 100 Lmin Feed Orig'!BN41</f>
        <v>19.7006928745454</v>
      </c>
      <c r="BO41">
        <f t="shared" si="1"/>
        <v>182.33377947368322</v>
      </c>
      <c r="BP41">
        <f t="shared" si="2"/>
        <v>591.02078623636203</v>
      </c>
      <c r="BQ41">
        <f t="shared" si="3"/>
        <v>18.233377947368322</v>
      </c>
      <c r="BR41">
        <f t="shared" si="4"/>
        <v>59.102078623636203</v>
      </c>
      <c r="BS41">
        <f>1.2*0.5*BL41*V41/'Oxidant Feed Composition'!$N$22</f>
        <v>6.837516730263121</v>
      </c>
      <c r="BT41">
        <f>1.2*0.5*BN41*BA41/'Oxidant Feed Composition'!$N$22</f>
        <v>11.820415724727239</v>
      </c>
      <c r="BU41">
        <f t="shared" si="5"/>
        <v>5.6979306085525998</v>
      </c>
      <c r="BV41">
        <f t="shared" si="6"/>
        <v>9.8503464372726999</v>
      </c>
      <c r="BW41">
        <f t="shared" si="7"/>
        <v>86.677042700762101</v>
      </c>
      <c r="BX41">
        <f t="shared" si="20"/>
        <v>36.466755894736643</v>
      </c>
      <c r="BY41">
        <f t="shared" si="8"/>
        <v>207.54166905283981</v>
      </c>
      <c r="BZ41">
        <f t="shared" si="9"/>
        <v>63.042217198545274</v>
      </c>
      <c r="CA41">
        <f t="shared" si="10"/>
        <v>59.102078623636203</v>
      </c>
      <c r="CB41">
        <f>BO41*'Reagent cost'!$G$11*'Reagent cost'!$H$11</f>
        <v>2406.8058890526186</v>
      </c>
      <c r="CC41">
        <f>BP41*'Reagent cost'!$G$11*'Reagent cost'!$H$11</f>
        <v>7801.4743783199792</v>
      </c>
      <c r="CD41">
        <f>BQ41*'Reagent cost'!$C$18/1000*'Reagent cost'!$H$18</f>
        <v>2907.8673690603878</v>
      </c>
      <c r="CE41">
        <f>BR41*'Ligand cost'!$B$56*'Ligand cost'!$J$56</f>
        <v>60173.465261771846</v>
      </c>
      <c r="CF41">
        <f t="shared" si="11"/>
        <v>10</v>
      </c>
      <c r="CG41">
        <f t="shared" si="12"/>
        <v>2.2791722434210402</v>
      </c>
      <c r="CH41">
        <f t="shared" si="13"/>
        <v>3.94013857490908</v>
      </c>
      <c r="CI41">
        <f>7963.6*(BX41/1000)^0.6*1.7*('CAPEX+OPEX'!$G$116/'CAPEX+OPEX'!$G$115)</f>
        <v>2189.6727102460782</v>
      </c>
      <c r="CJ41">
        <f>7963.6*(BY41/1000)^0.6*1.7*('CAPEX+OPEX'!$G$116/'CAPEX+OPEX'!$G$115)</f>
        <v>6215.9013146876341</v>
      </c>
      <c r="CK41">
        <f>7963.6*(BZ41/1000)^0.6*1.7*('CAPEX+OPEX'!$G$116/'CAPEX+OPEX'!$G$115)</f>
        <v>3041.0237729027358</v>
      </c>
      <c r="CL41">
        <f>7963.6*(CA41/1000)^0.6*1.7*('CAPEX+OPEX'!$G$116/'CAPEX+OPEX'!$G$115)</f>
        <v>2925.5166964560844</v>
      </c>
      <c r="CM41">
        <f>'Costing 100 Lmin Feed Orig'!DE41</f>
        <v>39625.826528698344</v>
      </c>
      <c r="CN41">
        <f>'Costing 100 Lmin Feed Orig'!DF41</f>
        <v>4586243.4239371875</v>
      </c>
      <c r="CO41">
        <f>'Costing 100 Lmin Feed Orig'!DG41</f>
        <v>11794834.586807497</v>
      </c>
      <c r="CP41">
        <f>'Costing 100 Lmin Feed Orig'!DH41</f>
        <v>2275209.1661185985</v>
      </c>
      <c r="CQ41">
        <f>'Costing 100 Lmin Feed Orig'!DI41</f>
        <v>14083914.336508472</v>
      </c>
      <c r="CR41">
        <f>'Costing 100 Lmin Feed Orig'!DJ41</f>
        <v>1662824.8986326549</v>
      </c>
      <c r="CS41">
        <f>CN41*(BK41/10000)^0.72*((A41+1)/3)^0.6*('CAPEX+OPEX'!$G$116/'CAPEX+OPEX'!$G$114)</f>
        <v>646135.89638675924</v>
      </c>
      <c r="CT41">
        <f>CO41*(BK41/10000)^0.72*((A41+1)/3)^0.6*('CAPEX+OPEX'!$G$116/'CAPEX+OPEX'!$G$114)</f>
        <v>1661722.9645298459</v>
      </c>
      <c r="CU41">
        <f>CP41*(BK41/10000)^0.72*((A41+1)/3)^0.6*('CAPEX+OPEX'!$G$116/'CAPEX+OPEX'!$G$114)</f>
        <v>320544.32748695416</v>
      </c>
      <c r="CV41">
        <f>CQ41*(BK41/10000)^0.72*((A41+1)/3)^0.6*('CAPEX+OPEX'!$G$116/'CAPEX+OPEX'!$G$114)</f>
        <v>1984221.4582325809</v>
      </c>
      <c r="CW41">
        <f>CR41*(BK41/10000)^0.72*((A41+1)/3)^0.6*('CAPEX+OPEX'!$G$116/'CAPEX+OPEX'!$G$114)</f>
        <v>234268.17050410178</v>
      </c>
      <c r="CX41">
        <f t="shared" si="14"/>
        <v>4846892.8171402421</v>
      </c>
      <c r="CY41">
        <f>CN41*(BM41/10000)^0.72*((AF41+1)/3)^0.6*('CAPEX+OPEX'!$G$116/'CAPEX+OPEX'!$G$114)</f>
        <v>924998.39931869402</v>
      </c>
      <c r="CZ41">
        <f>CO41*(BM41/10000)^0.72*((AF41+1)/3)^0.6*('CAPEX+OPEX'!$G$116/'CAPEX+OPEX'!$G$114)</f>
        <v>2378897.5212439853</v>
      </c>
      <c r="DA41">
        <f>CP41*(BM41/10000)^0.72*((AF41+1)/3)^0.6*('CAPEX+OPEX'!$G$116/'CAPEX+OPEX'!$G$114)</f>
        <v>458886.42233651923</v>
      </c>
      <c r="DB41">
        <f>CQ41*(BM41/10000)^0.72*((AF41+1)/3)^0.6*('CAPEX+OPEX'!$G$116/'CAPEX+OPEX'!$G$114)</f>
        <v>2840581.498447381</v>
      </c>
      <c r="DC41">
        <f>CR41*(BM41/10000)^0.72*((AF41+1)/3)^0.6*('CAPEX+OPEX'!$G$116/'CAPEX+OPEX'!$G$114)</f>
        <v>335374.77787475183</v>
      </c>
      <c r="DD41">
        <f t="shared" si="15"/>
        <v>6938738.6192213316</v>
      </c>
      <c r="DE41">
        <f>CX41+DD41+1.15*(SUM(CI41:CL41)+SUM(CB41:CE41))</f>
        <v>11886442.422862945</v>
      </c>
      <c r="DF41">
        <f t="shared" si="16"/>
        <v>792429.49485752964</v>
      </c>
      <c r="DG41">
        <f>(BS41+BT41)*'Oxidant Feed Composition'!$N$25*60*7200</f>
        <v>15026225.619951421</v>
      </c>
      <c r="DH41">
        <f>((CG41+CH41)*'Reagent cost'!$C$17/1000*'Reagent cost'!$H$17+(CG41+CH41)*0.5*'Reagent cost'!$C$16/1000*'Reagent cost'!$H$16)*60*7200</f>
        <v>5988291.7814864889</v>
      </c>
      <c r="DI41">
        <f>CF41*'Reagent cost'!$C$17/1000*'Reagent cost'!$H$17*60*7200</f>
        <v>504921.59999999998</v>
      </c>
      <c r="DJ41">
        <f t="shared" si="17"/>
        <v>102.08280267372598</v>
      </c>
      <c r="DK41">
        <f t="shared" si="18"/>
        <v>1261.6266526166448</v>
      </c>
      <c r="DL41">
        <f t="shared" si="19"/>
        <v>25824963.253071837</v>
      </c>
      <c r="DM41">
        <f>BK41*(B41*(409.81+2)/1000+C41*(248.2+2*22.99)/1000+D41*(315.6+3*22.99)/1000+0.1*58.44/1000)</f>
        <v>0.70639694042110623</v>
      </c>
      <c r="DN41">
        <f>(BS41+BT41)/1000*('Oxidant Feed Composition'!$B$11*'Oxidant Feed Composition'!$O$20+'Oxidant Feed Composition'!$D$11*'Oxidant Feed Composition'!$O$21+'Oxidant Feed Composition'!$F$11*'Oxidant Feed Composition'!$O$27-'Oxidant Feed Composition'!$J$15*18.015)</f>
        <v>2.1789580591071194</v>
      </c>
      <c r="DO41">
        <f>(BU41+BV41)/1000*(0.2*368.34+0.4*58.44)</f>
        <v>1.5088669976350704</v>
      </c>
      <c r="DP41">
        <f>BK41/1000*(B41*195.08+C41*106.42+D41*102.91)</f>
        <v>4.999938342565946E-2</v>
      </c>
      <c r="DQ41">
        <f>SUM(DM41:DO41)-DP41</f>
        <v>4.3442226137376361</v>
      </c>
      <c r="DR41">
        <f>DQ41*60*7200*0.33</f>
        <v>619312.3758144374</v>
      </c>
      <c r="DS41">
        <v>1.2</v>
      </c>
      <c r="DT41">
        <f>BM41/60*(AM41*4+AN41*2+AO41*3)*96485/DV41</f>
        <v>1406.1110801055565</v>
      </c>
      <c r="DU41">
        <f>BN41*BA41*(AP41*4+AQ41*2+AR41*3)*96485/DV41/60</f>
        <v>706.15649355020639</v>
      </c>
      <c r="DV41">
        <v>0.7</v>
      </c>
      <c r="DW41">
        <f>0.499*((BK41/3.78541*15)^(-0.146))*BK41/3.78541*15*300*(1+(A41-2)/9)</f>
        <v>35776.359048024235</v>
      </c>
      <c r="DX41">
        <f>0.248*((BK41/3.78541*15)^(-0.144))*BK41/3.78541*15*300*(1+(A41-2)/3)</f>
        <v>29068.269280606211</v>
      </c>
      <c r="DY41">
        <f>0.105*((BK41/3.78541*15)^(-0.144))*BK41/3.78541*15*300*(1+(A41-2)/3)</f>
        <v>12307.130138966339</v>
      </c>
      <c r="DZ41">
        <f>0.058*((BK41/3.78541*15)^(-0.151))*BK41/3.78541*15*300*(1+(A41-2)/3)</f>
        <v>6519.4301878820042</v>
      </c>
      <c r="EA41">
        <f>0.056*((BK41/3.78541*15)^(-0.144))*BK41/3.78541*15*300*(1+(A41-2)/3)</f>
        <v>6563.8027407820491</v>
      </c>
      <c r="EB41">
        <f>DS41*DT41/(3.6*10^6)*3600*7200*0.07</f>
        <v>850.4159812478407</v>
      </c>
      <c r="EC41">
        <f>0.499*((BM41/3.78541*15)^(-0.146))*BM41/3.78541*15*300*(1+(AF41-2)/9)</f>
        <v>51435.880435969884</v>
      </c>
      <c r="ED41">
        <f>0.248*((BM41/3.78541*15)^(-0.144))*BM41/3.78541*15*300*(1+(AF41-2)/3)</f>
        <v>54320.489314247861</v>
      </c>
      <c r="EE41">
        <f>0.105*((BM41/3.78541*15)^(-0.144))*BM41/3.78541*15*300*(1+(AF41-2)/3)</f>
        <v>22998.59426611301</v>
      </c>
      <c r="EF41">
        <f>0.058*((BM41/3.78541*15)^(-0.151))*BM41/3.78541*15*300*(1+(AF41-2)/3)</f>
        <v>12189.762876036224</v>
      </c>
      <c r="EG41">
        <f>0.056*((BM41/3.78541*15)^(-0.144))*BM41/3.78541*15*300*(1+(AF41-2)/3)</f>
        <v>12265.916941926936</v>
      </c>
      <c r="EH41">
        <f>DS41*DU41/(3.6*10^6)*3600*7200*0.07</f>
        <v>427.08344729916485</v>
      </c>
      <c r="EI41">
        <f>SUM(DW41:EH41)</f>
        <v>244723.13465910175</v>
      </c>
      <c r="EJ41">
        <f>EI41+DR41+DL41</f>
        <v>26688998.763545375</v>
      </c>
      <c r="EK41">
        <f>EJ41+DF41</f>
        <v>27481428.258402906</v>
      </c>
      <c r="EL41">
        <f>EK41/(BK41*60*7200)</f>
        <v>0.63614417264821543</v>
      </c>
      <c r="EM41">
        <f>EK41/(BM41*(AM41*195.084/1000+AN41*106.42/1000+AO41*102.911/1000)*60*7200)</f>
        <v>2128.1367474547528</v>
      </c>
      <c r="EN41">
        <f>EK41/(BN41*BA41*(AP41*195.084/1000+AQ41*106.42/1000+AR41*102.911/1000)*60*7200)</f>
        <v>3903.823076088675</v>
      </c>
    </row>
    <row r="42" spans="1:144">
      <c r="A42">
        <f>'Costing 100 Lmin Feed Orig'!A42</f>
        <v>7</v>
      </c>
      <c r="B42">
        <f>'Costing 100 Lmin Feed Orig'!B42</f>
        <v>1.54143585092054E-3</v>
      </c>
      <c r="C42">
        <f>'Costing 100 Lmin Feed Orig'!C42</f>
        <v>1.54143585092054E-3</v>
      </c>
      <c r="D42">
        <f>'Costing 100 Lmin Feed Orig'!D42</f>
        <v>3.4254130020456501E-4</v>
      </c>
      <c r="E42">
        <f>'Costing 100 Lmin Feed Orig'!E42</f>
        <v>0</v>
      </c>
      <c r="F42">
        <f>'Costing 100 Lmin Feed Orig'!F42</f>
        <v>0</v>
      </c>
      <c r="G42">
        <f>'Costing 100 Lmin Feed Orig'!G42</f>
        <v>0</v>
      </c>
      <c r="H42">
        <f>'Costing 100 Lmin Feed Orig'!H42</f>
        <v>1.7744466230058299E-5</v>
      </c>
      <c r="I42">
        <f>'Costing 100 Lmin Feed Orig'!I42</f>
        <v>1.2927742824924801E-8</v>
      </c>
      <c r="J42">
        <f>'Costing 100 Lmin Feed Orig'!J42</f>
        <v>3.3739048286900598E-4</v>
      </c>
      <c r="K42">
        <f>'Costing 100 Lmin Feed Orig'!K42</f>
        <v>0.13716795306346499</v>
      </c>
      <c r="L42">
        <f>'Costing 100 Lmin Feed Orig'!L42</f>
        <v>0.138764207307677</v>
      </c>
      <c r="M42">
        <f>'Costing 100 Lmin Feed Orig'!M42</f>
        <v>4.6369433969460899E-4</v>
      </c>
      <c r="N42">
        <f>'Costing 100 Lmin Feed Orig'!N42</f>
        <v>-1.1037178115902399E-16</v>
      </c>
      <c r="O42">
        <f>'Costing 100 Lmin Feed Orig'!O42</f>
        <v>-5.3700533603207003E-15</v>
      </c>
      <c r="P42">
        <f>'Costing 100 Lmin Feed Orig'!P42</f>
        <v>-3.4304834363799101E-19</v>
      </c>
      <c r="Q42">
        <f>'Costing 100 Lmin Feed Orig'!Q42</f>
        <v>0.111082169753281</v>
      </c>
      <c r="R42">
        <f>'Costing 100 Lmin Feed Orig'!R42</f>
        <v>98.496293050653193</v>
      </c>
      <c r="S42">
        <f>'Costing 100 Lmin Feed Orig'!S42</f>
        <v>500</v>
      </c>
      <c r="T42">
        <f>'Costing 100 Lmin Feed Orig'!T42</f>
        <v>95</v>
      </c>
      <c r="U42">
        <f>'Costing 100 Lmin Feed Orig'!U42</f>
        <v>1</v>
      </c>
      <c r="V42">
        <f>'Costing 100 Lmin Feed Orig'!V42</f>
        <v>0.1</v>
      </c>
      <c r="W42">
        <f>'Costing 100 Lmin Feed Orig'!W42</f>
        <v>90.023448607553206</v>
      </c>
      <c r="X42" t="str">
        <f>'Costing 100 Lmin Feed Orig'!X42</f>
        <v>ddFc</v>
      </c>
      <c r="Y42">
        <f>'Costing 100 Lmin Feed Orig'!Y42</f>
        <v>1</v>
      </c>
      <c r="Z42">
        <f>'Costing 100 Lmin Feed Orig'!Z42</f>
        <v>0.28318429382522198</v>
      </c>
      <c r="AA42">
        <f>'Costing 100 Lmin Feed Orig'!AA42</f>
        <v>0.56945642916197003</v>
      </c>
      <c r="AB42">
        <f>'Costing 100 Lmin Feed Orig'!AB42</f>
        <v>3.7698628972227502E-3</v>
      </c>
      <c r="AC42">
        <f>'Costing 100 Lmin Feed Orig'!AC42</f>
        <v>1822.2107908876901</v>
      </c>
      <c r="AD42">
        <f>'Costing 100 Lmin Feed Orig'!AD42</f>
        <v>2662.6059073104898</v>
      </c>
      <c r="AE42">
        <f>'Costing 100 Lmin Feed Orig'!AE42</f>
        <v>2401.5030938442701</v>
      </c>
      <c r="AF42">
        <f>'Costing 100 Lmin Feed Orig'!AF42</f>
        <v>4</v>
      </c>
      <c r="AG42">
        <f>'Costing 100 Lmin Feed Orig'!AG42</f>
        <v>1.64967327652189E-3</v>
      </c>
      <c r="AH42">
        <f>'Costing 100 Lmin Feed Orig'!AH42</f>
        <v>1.66887089455438E-3</v>
      </c>
      <c r="AI42">
        <f>'Costing 100 Lmin Feed Orig'!AI42</f>
        <v>5.5766973522943398E-6</v>
      </c>
      <c r="AJ42">
        <f>'Costing 100 Lmin Feed Orig'!AJ42</f>
        <v>0</v>
      </c>
      <c r="AK42">
        <f>'Costing 100 Lmin Feed Orig'!AK42</f>
        <v>0</v>
      </c>
      <c r="AL42">
        <f>'Costing 100 Lmin Feed Orig'!AL42</f>
        <v>0</v>
      </c>
      <c r="AM42">
        <f>'Costing 100 Lmin Feed Orig'!AM42</f>
        <v>1.6047223792851101E-3</v>
      </c>
      <c r="AN42">
        <f>'Costing 100 Lmin Feed Orig'!AN42</f>
        <v>7.8926667299838998E-5</v>
      </c>
      <c r="AO42">
        <f>'Costing 100 Lmin Feed Orig'!AO42</f>
        <v>5.5324052965634797E-6</v>
      </c>
      <c r="AP42">
        <f>'Costing 100 Lmin Feed Orig'!AP42</f>
        <v>1.9882830340612E-3</v>
      </c>
      <c r="AQ42">
        <f>'Costing 100 Lmin Feed Orig'!AQ42</f>
        <v>7.0326941752228797E-2</v>
      </c>
      <c r="AR42">
        <f>'Costing 100 Lmin Feed Orig'!AR42</f>
        <v>1.9591409371835302E-6</v>
      </c>
      <c r="AS42">
        <f>'Costing 100 Lmin Feed Orig'!AS42</f>
        <v>-9.7615058397559906E-15</v>
      </c>
      <c r="AT42">
        <f>'Costing 100 Lmin Feed Orig'!AT42</f>
        <v>-1.25855922905593E-13</v>
      </c>
      <c r="AU42">
        <f>'Costing 100 Lmin Feed Orig'!AU42</f>
        <v>-3.2733654421091398E-18</v>
      </c>
      <c r="AV42">
        <f>'Costing 100 Lmin Feed Orig'!AV42</f>
        <v>0.20881381645079999</v>
      </c>
      <c r="AW42">
        <f>'Costing 100 Lmin Feed Orig'!AW42</f>
        <v>99.205765474925002</v>
      </c>
      <c r="AX42">
        <f>'Costing 100 Lmin Feed Orig'!AX42</f>
        <v>500</v>
      </c>
      <c r="AY42">
        <f>'Costing 100 Lmin Feed Orig'!AY42</f>
        <v>95</v>
      </c>
      <c r="AZ42">
        <f>'Costing 100 Lmin Feed Orig'!AZ42</f>
        <v>0.92363221637625403</v>
      </c>
      <c r="BA42">
        <f>'Costing 100 Lmin Feed Orig'!BA42</f>
        <v>0.1</v>
      </c>
      <c r="BB42">
        <f>'Costing 100 Lmin Feed Orig'!BB42</f>
        <v>44.232332518757197</v>
      </c>
      <c r="BC42" t="str">
        <f>'Costing 100 Lmin Feed Orig'!BC42</f>
        <v>coeFc</v>
      </c>
      <c r="BD42">
        <f>'Costing 100 Lmin Feed Orig'!BD42</f>
        <v>1</v>
      </c>
      <c r="BE42">
        <f>'Costing 100 Lmin Feed Orig'!BE42</f>
        <v>1.8775014999999999E-2</v>
      </c>
      <c r="BF42">
        <f>'Costing 100 Lmin Feed Orig'!BF42</f>
        <v>0.10492961100000001</v>
      </c>
      <c r="BG42">
        <f>'Costing 100 Lmin Feed Orig'!BG42</f>
        <v>1.814625E-3</v>
      </c>
      <c r="BH42">
        <f>'Costing 100 Lmin Feed Orig'!BH42</f>
        <v>285.1951444</v>
      </c>
      <c r="BI42">
        <f>'Costing 100 Lmin Feed Orig'!BI42</f>
        <v>2169.8944889999998</v>
      </c>
      <c r="BJ42">
        <f>'Costing 100 Lmin Feed Orig'!BJ42</f>
        <v>866.49409060000005</v>
      </c>
      <c r="BK42">
        <f>'Costing 100 Lmin Feed Orig'!BK42</f>
        <v>100</v>
      </c>
      <c r="BL42">
        <f>'Costing 100 Lmin Feed Orig'!BL42</f>
        <v>11.1082169753281</v>
      </c>
      <c r="BM42">
        <f>'Costing 100 Lmin Feed Orig'!BM42</f>
        <v>92.363221637625401</v>
      </c>
      <c r="BN42">
        <f>'Costing 100 Lmin Feed Orig'!BN42</f>
        <v>20.881381645079998</v>
      </c>
      <c r="BO42">
        <f t="shared" si="1"/>
        <v>199.94790555590581</v>
      </c>
      <c r="BP42">
        <f t="shared" si="2"/>
        <v>250.57657974095997</v>
      </c>
      <c r="BQ42">
        <f t="shared" si="3"/>
        <v>19.994790555590583</v>
      </c>
      <c r="BR42">
        <f t="shared" si="4"/>
        <v>25.057657974095999</v>
      </c>
      <c r="BS42">
        <f>1.2*0.5*BL42*V42/'Oxidant Feed Composition'!$N$22</f>
        <v>6.6649301851968596</v>
      </c>
      <c r="BT42">
        <f>1.2*0.5*BN42*BA42/'Oxidant Feed Composition'!$N$22</f>
        <v>12.528828987048</v>
      </c>
      <c r="BU42">
        <f t="shared" si="5"/>
        <v>5.5541084876640499</v>
      </c>
      <c r="BV42">
        <f t="shared" si="6"/>
        <v>10.440690822539999</v>
      </c>
      <c r="BW42">
        <f t="shared" si="7"/>
        <v>86.809113149961348</v>
      </c>
      <c r="BX42">
        <f t="shared" si="20"/>
        <v>35.54629432104992</v>
      </c>
      <c r="BY42">
        <f t="shared" si="8"/>
        <v>206.94287722590701</v>
      </c>
      <c r="BZ42">
        <f t="shared" si="9"/>
        <v>66.820421264255998</v>
      </c>
      <c r="CA42">
        <f t="shared" si="10"/>
        <v>62.644144935239993</v>
      </c>
      <c r="CB42">
        <f>BO42*'Reagent cost'!$G$11*'Reagent cost'!$H$11</f>
        <v>2639.3123533379567</v>
      </c>
      <c r="CC42">
        <f>BP42*'Reagent cost'!$G$11*'Reagent cost'!$H$11</f>
        <v>3307.6108525806717</v>
      </c>
      <c r="CD42">
        <f>BQ42*'Reagent cost'!$C$18/1000*'Reagent cost'!$H$18</f>
        <v>3188.7782491883527</v>
      </c>
      <c r="CE42">
        <f>BR42*'Ligand cost'!$B$56*'Ligand cost'!$J$56</f>
        <v>25511.896480788433</v>
      </c>
      <c r="CF42">
        <f t="shared" si="11"/>
        <v>10</v>
      </c>
      <c r="CG42">
        <f t="shared" si="12"/>
        <v>2.22164339506562</v>
      </c>
      <c r="CH42">
        <f t="shared" si="13"/>
        <v>4.1762763290159999</v>
      </c>
      <c r="CI42">
        <f>7963.6*(BX42/1000)^0.6*1.7*('CAPEX+OPEX'!$G$116/'CAPEX+OPEX'!$G$115)</f>
        <v>2156.3414312027717</v>
      </c>
      <c r="CJ42">
        <f>7963.6*(BY42/1000)^0.6*1.7*('CAPEX+OPEX'!$G$116/'CAPEX+OPEX'!$G$115)</f>
        <v>6205.1347590783025</v>
      </c>
      <c r="CK42">
        <f>7963.6*(BZ42/1000)^0.6*1.7*('CAPEX+OPEX'!$G$116/'CAPEX+OPEX'!$G$115)</f>
        <v>3149.1000109774004</v>
      </c>
      <c r="CL42">
        <f>7963.6*(CA42/1000)^0.6*1.7*('CAPEX+OPEX'!$G$116/'CAPEX+OPEX'!$G$115)</f>
        <v>3029.4878793830085</v>
      </c>
      <c r="CM42">
        <f>'Costing 100 Lmin Feed Orig'!DE42</f>
        <v>39625.826528698344</v>
      </c>
      <c r="CN42">
        <f>'Costing 100 Lmin Feed Orig'!DF42</f>
        <v>4586243.4239371875</v>
      </c>
      <c r="CO42">
        <f>'Costing 100 Lmin Feed Orig'!DG42</f>
        <v>11794834.586807497</v>
      </c>
      <c r="CP42">
        <f>'Costing 100 Lmin Feed Orig'!DH42</f>
        <v>2275209.1661185985</v>
      </c>
      <c r="CQ42">
        <f>'Costing 100 Lmin Feed Orig'!DI42</f>
        <v>14083914.336508472</v>
      </c>
      <c r="CR42">
        <f>'Costing 100 Lmin Feed Orig'!DJ42</f>
        <v>1662824.8986326549</v>
      </c>
      <c r="CS42">
        <f>CN42*(BK42/10000)^0.72*((A42+1)/3)^0.6*('CAPEX+OPEX'!$G$116/'CAPEX+OPEX'!$G$114)</f>
        <v>700033.84449786716</v>
      </c>
      <c r="CT42">
        <f>CO42*(BK42/10000)^0.72*((A42+1)/3)^0.6*('CAPEX+OPEX'!$G$116/'CAPEX+OPEX'!$G$114)</f>
        <v>1800336.9288957189</v>
      </c>
      <c r="CU42">
        <f>CP42*(BK42/10000)^0.72*((A42+1)/3)^0.6*('CAPEX+OPEX'!$G$116/'CAPEX+OPEX'!$G$114)</f>
        <v>347282.79168127343</v>
      </c>
      <c r="CV42">
        <f>CQ42*(BK42/10000)^0.72*((A42+1)/3)^0.6*('CAPEX+OPEX'!$G$116/'CAPEX+OPEX'!$G$114)</f>
        <v>2149736.8951473436</v>
      </c>
      <c r="CW42">
        <f>CR42*(BK42/10000)^0.72*((A42+1)/3)^0.6*('CAPEX+OPEX'!$G$116/'CAPEX+OPEX'!$G$114)</f>
        <v>253809.83932102245</v>
      </c>
      <c r="CX42">
        <f t="shared" si="14"/>
        <v>5251200.2995432261</v>
      </c>
      <c r="CY42">
        <f>CN42*(BM42/10000)^0.72*((AF42+1)/3)^0.6*('CAPEX+OPEX'!$G$116/'CAPEX+OPEX'!$G$114)</f>
        <v>498662.12122409587</v>
      </c>
      <c r="CZ42">
        <f>CO42*(BM42/10000)^0.72*((AF42+1)/3)^0.6*('CAPEX+OPEX'!$G$116/'CAPEX+OPEX'!$G$114)</f>
        <v>1282452.0399084061</v>
      </c>
      <c r="DA42">
        <f>CP42*(BM42/10000)^0.72*((AF42+1)/3)^0.6*('CAPEX+OPEX'!$G$116/'CAPEX+OPEX'!$G$114)</f>
        <v>247383.42999491547</v>
      </c>
      <c r="DB42">
        <f>CQ42*(BM42/10000)^0.72*((AF42+1)/3)^0.6*('CAPEX+OPEX'!$G$116/'CAPEX+OPEX'!$G$114)</f>
        <v>1531343.6180743722</v>
      </c>
      <c r="DC42">
        <f>CR42*(BM42/10000)^0.72*((AF42+1)/3)^0.6*('CAPEX+OPEX'!$G$116/'CAPEX+OPEX'!$G$114)</f>
        <v>180798.90545028303</v>
      </c>
      <c r="DD42">
        <f t="shared" si="15"/>
        <v>3740640.1146520725</v>
      </c>
      <c r="DE42">
        <f>CX42+DD42+1.15*(SUM(CI42:CL42)+SUM(CB42:CE42))</f>
        <v>9048406.2255143169</v>
      </c>
      <c r="DF42">
        <f t="shared" si="16"/>
        <v>603227.08170095447</v>
      </c>
      <c r="DG42">
        <f>(BS42+BT42)*'Oxidant Feed Composition'!$N$25*60*7200</f>
        <v>15457755.381680755</v>
      </c>
      <c r="DH42">
        <f>((CG42+CH42)*'Reagent cost'!$C$17/1000*'Reagent cost'!$H$17+(CG42+CH42)*0.5*'Reagent cost'!$C$16/1000*'Reagent cost'!$H$16)*60*7200</f>
        <v>6160266.1808459284</v>
      </c>
      <c r="DI42">
        <f>CF42*'Reagent cost'!$C$17/1000*'Reagent cost'!$H$17*60*7200</f>
        <v>504921.59999999998</v>
      </c>
      <c r="DJ42">
        <f t="shared" si="17"/>
        <v>59.46923205918629</v>
      </c>
      <c r="DK42">
        <f t="shared" si="18"/>
        <v>574.01349459953576</v>
      </c>
      <c r="DL42">
        <f t="shared" si="19"/>
        <v>26548291.974304013</v>
      </c>
      <c r="DM42">
        <f>BK42*(B42*(409.81+2)/1000+C42*(248.2+2*22.99)/1000+D42*(315.6+3*22.99)/1000+0.1*58.44/1000)</f>
        <v>0.70639694042110623</v>
      </c>
      <c r="DN42">
        <f>(BS42+BT42)/1000*('Oxidant Feed Composition'!$B$11*'Oxidant Feed Composition'!$O$20+'Oxidant Feed Composition'!$D$11*'Oxidant Feed Composition'!$O$21+'Oxidant Feed Composition'!$F$11*'Oxidant Feed Composition'!$O$27-'Oxidant Feed Composition'!$J$15*18.015)</f>
        <v>2.2415343358013962</v>
      </c>
      <c r="DO42">
        <f>(BU42+BV42)/1000*(0.2*368.34+0.4*58.44)</f>
        <v>1.5521993042594415</v>
      </c>
      <c r="DP42">
        <f>BK42/1000*(B42*195.08+C42*106.42+D42*102.91)</f>
        <v>4.999938342565946E-2</v>
      </c>
      <c r="DQ42">
        <f>SUM(DM42:DO42)-DP42</f>
        <v>4.450131197056284</v>
      </c>
      <c r="DR42">
        <f>DQ42*60*7200*0.33</f>
        <v>634410.70345234394</v>
      </c>
      <c r="DS42">
        <v>1.2</v>
      </c>
      <c r="DT42">
        <f>BM42/60*(AM42*4+AN42*2+AO42*3)*96485/DV42</f>
        <v>1398.9914479268402</v>
      </c>
      <c r="DU42">
        <f>BN42*BA42*(AP42*4+AQ42*2+AR42*3)*96485/DV42/60</f>
        <v>712.89608624945879</v>
      </c>
      <c r="DV42">
        <v>0.7</v>
      </c>
      <c r="DW42">
        <f>0.499*((BK42/3.78541*15)^(-0.146))*BK42/3.78541*15*300*(1+(A42-2)/9)</f>
        <v>38528.386667103026</v>
      </c>
      <c r="DX42">
        <f>0.248*((BK42/3.78541*15)^(-0.144))*BK42/3.78541*15*300*(1+(A42-2)/3)</f>
        <v>33220.879177835675</v>
      </c>
      <c r="DY42">
        <f>0.105*((BK42/3.78541*15)^(-0.144))*BK42/3.78541*15*300*(1+(A42-2)/3)</f>
        <v>14065.291587390104</v>
      </c>
      <c r="DZ42">
        <f>0.058*((BK42/3.78541*15)^(-0.151))*BK42/3.78541*15*300*(1+(A42-2)/3)</f>
        <v>7450.7773575794354</v>
      </c>
      <c r="EA42">
        <f>0.056*((BK42/3.78541*15)^(-0.144))*BK42/3.78541*15*300*(1+(A42-2)/3)</f>
        <v>7501.4888466080574</v>
      </c>
      <c r="EB42">
        <f>DS42*DT42/(3.6*10^6)*3600*7200*0.07</f>
        <v>846.11002770615301</v>
      </c>
      <c r="EC42">
        <f>0.499*((BM42/3.78541*15)^(-0.146))*BM42/3.78541*15*300*(1+(AF42-2)/9)</f>
        <v>28286.660719414074</v>
      </c>
      <c r="ED42">
        <f>0.248*((BM42/3.78541*15)^(-0.144))*BM42/3.78541*15*300*(1+(AF42-2)/3)</f>
        <v>19398.062099470691</v>
      </c>
      <c r="EE42">
        <f>0.105*((BM42/3.78541*15)^(-0.144))*BM42/3.78541*15*300*(1+(AF42-2)/3)</f>
        <v>8212.8891953404127</v>
      </c>
      <c r="EF42">
        <f>0.058*((BM42/3.78541*15)^(-0.151))*BM42/3.78541*15*300*(1+(AF42-2)/3)</f>
        <v>4353.0165286796973</v>
      </c>
      <c r="EG42">
        <f>0.056*((BM42/3.78541*15)^(-0.144))*BM42/3.78541*15*300*(1+(AF42-2)/3)</f>
        <v>4380.2075708482198</v>
      </c>
      <c r="EH42">
        <f>DS42*DU42/(3.6*10^6)*3600*7200*0.07</f>
        <v>431.1595529636727</v>
      </c>
      <c r="EI42">
        <f>SUM(DW42:EH42)</f>
        <v>166674.92933093925</v>
      </c>
      <c r="EJ42">
        <f>EI42+DR42+DL42</f>
        <v>27349377.607087296</v>
      </c>
      <c r="EK42">
        <f>EJ42+DF42</f>
        <v>27952604.68878825</v>
      </c>
      <c r="EL42">
        <f>EK42/(BK42*60*7200)</f>
        <v>0.64705103446269097</v>
      </c>
      <c r="EM42">
        <f>EK42/(BM42*(AM42*195.084/1000+AN42*106.42/1000+AO42*102.911/1000)*60*7200)</f>
        <v>2175.4580233727097</v>
      </c>
      <c r="EN42">
        <f>EK42/(BN42*BA42*(AP42*195.084/1000+AQ42*106.42/1000+AR42*102.911/1000)*60*7200)</f>
        <v>3936.2161570692942</v>
      </c>
    </row>
    <row r="43" spans="1:144">
      <c r="A43">
        <f>'Costing 100 Lmin Feed Orig'!A43</f>
        <v>7</v>
      </c>
      <c r="B43">
        <f>'Costing 100 Lmin Feed Orig'!B43</f>
        <v>1.54143585092054E-3</v>
      </c>
      <c r="C43">
        <f>'Costing 100 Lmin Feed Orig'!C43</f>
        <v>1.54143585092054E-3</v>
      </c>
      <c r="D43">
        <f>'Costing 100 Lmin Feed Orig'!D43</f>
        <v>3.4254130020456501E-4</v>
      </c>
      <c r="E43">
        <f>'Costing 100 Lmin Feed Orig'!E43</f>
        <v>0</v>
      </c>
      <c r="F43">
        <f>'Costing 100 Lmin Feed Orig'!F43</f>
        <v>0</v>
      </c>
      <c r="G43">
        <f>'Costing 100 Lmin Feed Orig'!G43</f>
        <v>0</v>
      </c>
      <c r="H43">
        <f>'Costing 100 Lmin Feed Orig'!H43</f>
        <v>1.7744466230058299E-5</v>
      </c>
      <c r="I43">
        <f>'Costing 100 Lmin Feed Orig'!I43</f>
        <v>1.2927742824924801E-8</v>
      </c>
      <c r="J43">
        <f>'Costing 100 Lmin Feed Orig'!J43</f>
        <v>3.3739048286900598E-4</v>
      </c>
      <c r="K43">
        <f>'Costing 100 Lmin Feed Orig'!K43</f>
        <v>0.13716795306346499</v>
      </c>
      <c r="L43">
        <f>'Costing 100 Lmin Feed Orig'!L43</f>
        <v>0.138764207307677</v>
      </c>
      <c r="M43">
        <f>'Costing 100 Lmin Feed Orig'!M43</f>
        <v>4.6369433969460899E-4</v>
      </c>
      <c r="N43">
        <f>'Costing 100 Lmin Feed Orig'!N43</f>
        <v>-1.1037178115902399E-16</v>
      </c>
      <c r="O43">
        <f>'Costing 100 Lmin Feed Orig'!O43</f>
        <v>-5.3700533603207003E-15</v>
      </c>
      <c r="P43">
        <f>'Costing 100 Lmin Feed Orig'!P43</f>
        <v>-3.4304834363799101E-19</v>
      </c>
      <c r="Q43">
        <f>'Costing 100 Lmin Feed Orig'!Q43</f>
        <v>0.111082169753281</v>
      </c>
      <c r="R43">
        <f>'Costing 100 Lmin Feed Orig'!R43</f>
        <v>98.496293050653193</v>
      </c>
      <c r="S43">
        <f>'Costing 100 Lmin Feed Orig'!S43</f>
        <v>500</v>
      </c>
      <c r="T43">
        <f>'Costing 100 Lmin Feed Orig'!T43</f>
        <v>95</v>
      </c>
      <c r="U43">
        <f>'Costing 100 Lmin Feed Orig'!U43</f>
        <v>1</v>
      </c>
      <c r="V43">
        <f>'Costing 100 Lmin Feed Orig'!V43</f>
        <v>0.1</v>
      </c>
      <c r="W43">
        <f>'Costing 100 Lmin Feed Orig'!W43</f>
        <v>90.023448607553206</v>
      </c>
      <c r="X43" t="str">
        <f>'Costing 100 Lmin Feed Orig'!X43</f>
        <v>ddFc</v>
      </c>
      <c r="Y43">
        <f>'Costing 100 Lmin Feed Orig'!Y43</f>
        <v>1</v>
      </c>
      <c r="Z43">
        <f>'Costing 100 Lmin Feed Orig'!Z43</f>
        <v>0.28318429382522198</v>
      </c>
      <c r="AA43">
        <f>'Costing 100 Lmin Feed Orig'!AA43</f>
        <v>0.56945642916197003</v>
      </c>
      <c r="AB43">
        <f>'Costing 100 Lmin Feed Orig'!AB43</f>
        <v>3.7698628972227502E-3</v>
      </c>
      <c r="AC43">
        <f>'Costing 100 Lmin Feed Orig'!AC43</f>
        <v>1822.2107908876901</v>
      </c>
      <c r="AD43">
        <f>'Costing 100 Lmin Feed Orig'!AD43</f>
        <v>2662.6059073104898</v>
      </c>
      <c r="AE43">
        <f>'Costing 100 Lmin Feed Orig'!AE43</f>
        <v>2401.5030938442701</v>
      </c>
      <c r="AF43">
        <f>'Costing 100 Lmin Feed Orig'!AF43</f>
        <v>5</v>
      </c>
      <c r="AG43">
        <f>'Costing 100 Lmin Feed Orig'!AG43</f>
        <v>1.64967327652189E-3</v>
      </c>
      <c r="AH43">
        <f>'Costing 100 Lmin Feed Orig'!AH43</f>
        <v>1.66887089455438E-3</v>
      </c>
      <c r="AI43">
        <f>'Costing 100 Lmin Feed Orig'!AI43</f>
        <v>5.5766973522943398E-6</v>
      </c>
      <c r="AJ43">
        <f>'Costing 100 Lmin Feed Orig'!AJ43</f>
        <v>0</v>
      </c>
      <c r="AK43">
        <f>'Costing 100 Lmin Feed Orig'!AK43</f>
        <v>0</v>
      </c>
      <c r="AL43">
        <f>'Costing 100 Lmin Feed Orig'!AL43</f>
        <v>0</v>
      </c>
      <c r="AM43">
        <f>'Costing 100 Lmin Feed Orig'!AM43</f>
        <v>1.6103462731678301E-3</v>
      </c>
      <c r="AN43">
        <f>'Costing 100 Lmin Feed Orig'!AN43</f>
        <v>7.9217310821158102E-5</v>
      </c>
      <c r="AO43">
        <f>'Costing 100 Lmin Feed Orig'!AO43</f>
        <v>5.5377562230767902E-6</v>
      </c>
      <c r="AP43">
        <f>'Costing 100 Lmin Feed Orig'!AP43</f>
        <v>1.8120934755895301E-3</v>
      </c>
      <c r="AQ43">
        <f>'Costing 100 Lmin Feed Orig'!AQ43</f>
        <v>7.3247403612026599E-2</v>
      </c>
      <c r="AR43">
        <f>'Costing 100 Lmin Feed Orig'!AR43</f>
        <v>1.7943133259324499E-6</v>
      </c>
      <c r="AS43">
        <f>'Costing 100 Lmin Feed Orig'!AS43</f>
        <v>-4.8687453808177097E-17</v>
      </c>
      <c r="AT43">
        <f>'Costing 100 Lmin Feed Orig'!AT43</f>
        <v>1.6631661325927601E-16</v>
      </c>
      <c r="AU43">
        <f>'Costing 100 Lmin Feed Orig'!AU43</f>
        <v>-3.9301005263619403E-20</v>
      </c>
      <c r="AV43">
        <f>'Costing 100 Lmin Feed Orig'!AV43</f>
        <v>0.200451509597636</v>
      </c>
      <c r="AW43">
        <f>'Costing 100 Lmin Feed Orig'!AW43</f>
        <v>99.301717006365394</v>
      </c>
      <c r="AX43">
        <f>'Costing 100 Lmin Feed Orig'!AX43</f>
        <v>500</v>
      </c>
      <c r="AY43">
        <f>'Costing 100 Lmin Feed Orig'!AY43</f>
        <v>95</v>
      </c>
      <c r="AZ43">
        <f>'Costing 100 Lmin Feed Orig'!AZ43</f>
        <v>0.92363221637625403</v>
      </c>
      <c r="BA43">
        <f>'Costing 100 Lmin Feed Orig'!BA43</f>
        <v>0.1</v>
      </c>
      <c r="BB43">
        <f>'Costing 100 Lmin Feed Orig'!BB43</f>
        <v>46.0775884517032</v>
      </c>
      <c r="BC43" t="str">
        <f>'Costing 100 Lmin Feed Orig'!BC43</f>
        <v>coeFc</v>
      </c>
      <c r="BD43">
        <f>'Costing 100 Lmin Feed Orig'!BD43</f>
        <v>1</v>
      </c>
      <c r="BE43">
        <f>'Costing 100 Lmin Feed Orig'!BE43</f>
        <v>1.8775014999999999E-2</v>
      </c>
      <c r="BF43">
        <f>'Costing 100 Lmin Feed Orig'!BF43</f>
        <v>0.10492961100000001</v>
      </c>
      <c r="BG43">
        <f>'Costing 100 Lmin Feed Orig'!BG43</f>
        <v>1.814625E-3</v>
      </c>
      <c r="BH43">
        <f>'Costing 100 Lmin Feed Orig'!BH43</f>
        <v>285.1951444</v>
      </c>
      <c r="BI43">
        <f>'Costing 100 Lmin Feed Orig'!BI43</f>
        <v>2169.8944889999998</v>
      </c>
      <c r="BJ43">
        <f>'Costing 100 Lmin Feed Orig'!BJ43</f>
        <v>866.49409060000005</v>
      </c>
      <c r="BK43">
        <f>'Costing 100 Lmin Feed Orig'!BK43</f>
        <v>100</v>
      </c>
      <c r="BL43">
        <f>'Costing 100 Lmin Feed Orig'!BL43</f>
        <v>11.1082169753281</v>
      </c>
      <c r="BM43">
        <f>'Costing 100 Lmin Feed Orig'!BM43</f>
        <v>92.363221637625401</v>
      </c>
      <c r="BN43">
        <f>'Costing 100 Lmin Feed Orig'!BN43</f>
        <v>20.0451509597636</v>
      </c>
      <c r="BO43">
        <f t="shared" si="1"/>
        <v>199.94790555590581</v>
      </c>
      <c r="BP43">
        <f t="shared" si="2"/>
        <v>280.63211343669042</v>
      </c>
      <c r="BQ43">
        <f t="shared" si="3"/>
        <v>19.994790555590583</v>
      </c>
      <c r="BR43">
        <f t="shared" si="4"/>
        <v>28.063211343669042</v>
      </c>
      <c r="BS43">
        <f>1.2*0.5*BL43*V43/'Oxidant Feed Composition'!$N$22</f>
        <v>6.6649301851968596</v>
      </c>
      <c r="BT43">
        <f>1.2*0.5*BN43*BA43/'Oxidant Feed Composition'!$N$22</f>
        <v>12.027090575858159</v>
      </c>
      <c r="BU43">
        <f t="shared" si="5"/>
        <v>5.5541084876640499</v>
      </c>
      <c r="BV43">
        <f t="shared" si="6"/>
        <v>10.0225754798818</v>
      </c>
      <c r="BW43">
        <f t="shared" si="7"/>
        <v>86.809113149961348</v>
      </c>
      <c r="BX43">
        <f t="shared" si="20"/>
        <v>35.54629432104992</v>
      </c>
      <c r="BY43">
        <f t="shared" si="8"/>
        <v>206.94287722590701</v>
      </c>
      <c r="BZ43">
        <f t="shared" si="9"/>
        <v>64.144483071243513</v>
      </c>
      <c r="CA43">
        <f t="shared" si="10"/>
        <v>60.135452879290796</v>
      </c>
      <c r="CB43">
        <f>BO43*'Reagent cost'!$G$11*'Reagent cost'!$H$11</f>
        <v>2639.3123533379567</v>
      </c>
      <c r="CC43">
        <f>BP43*'Reagent cost'!$G$11*'Reagent cost'!$H$11</f>
        <v>3704.3438973643133</v>
      </c>
      <c r="CD43">
        <f>BQ43*'Reagent cost'!$C$18/1000*'Reagent cost'!$H$18</f>
        <v>3188.7782491883527</v>
      </c>
      <c r="CE43">
        <f>BR43*'Ligand cost'!$B$56*'Ligand cost'!$J$56</f>
        <v>28571.933716163727</v>
      </c>
      <c r="CF43">
        <f t="shared" si="11"/>
        <v>10</v>
      </c>
      <c r="CG43">
        <f t="shared" si="12"/>
        <v>2.22164339506562</v>
      </c>
      <c r="CH43">
        <f t="shared" si="13"/>
        <v>4.0090301919527205</v>
      </c>
      <c r="CI43">
        <f>7963.6*(BX43/1000)^0.6*1.7*('CAPEX+OPEX'!$G$116/'CAPEX+OPEX'!$G$115)</f>
        <v>2156.3414312027717</v>
      </c>
      <c r="CJ43">
        <f>7963.6*(BY43/1000)^0.6*1.7*('CAPEX+OPEX'!$G$116/'CAPEX+OPEX'!$G$115)</f>
        <v>6205.1347590783025</v>
      </c>
      <c r="CK43">
        <f>7963.6*(BZ43/1000)^0.6*1.7*('CAPEX+OPEX'!$G$116/'CAPEX+OPEX'!$G$115)</f>
        <v>3072.8157035530007</v>
      </c>
      <c r="CL43">
        <f>7963.6*(CA43/1000)^0.6*1.7*('CAPEX+OPEX'!$G$116/'CAPEX+OPEX'!$G$115)</f>
        <v>2956.1010755585025</v>
      </c>
      <c r="CM43">
        <f>'Costing 100 Lmin Feed Orig'!DE43</f>
        <v>39625.826528698344</v>
      </c>
      <c r="CN43">
        <f>'Costing 100 Lmin Feed Orig'!DF43</f>
        <v>4586243.4239371875</v>
      </c>
      <c r="CO43">
        <f>'Costing 100 Lmin Feed Orig'!DG43</f>
        <v>11794834.586807497</v>
      </c>
      <c r="CP43">
        <f>'Costing 100 Lmin Feed Orig'!DH43</f>
        <v>2275209.1661185985</v>
      </c>
      <c r="CQ43">
        <f>'Costing 100 Lmin Feed Orig'!DI43</f>
        <v>14083914.336508472</v>
      </c>
      <c r="CR43">
        <f>'Costing 100 Lmin Feed Orig'!DJ43</f>
        <v>1662824.8986326549</v>
      </c>
      <c r="CS43">
        <f>CN43*(BK43/10000)^0.72*((A43+1)/3)^0.6*('CAPEX+OPEX'!$G$116/'CAPEX+OPEX'!$G$114)</f>
        <v>700033.84449786716</v>
      </c>
      <c r="CT43">
        <f>CO43*(BK43/10000)^0.72*((A43+1)/3)^0.6*('CAPEX+OPEX'!$G$116/'CAPEX+OPEX'!$G$114)</f>
        <v>1800336.9288957189</v>
      </c>
      <c r="CU43">
        <f>CP43*(BK43/10000)^0.72*((A43+1)/3)^0.6*('CAPEX+OPEX'!$G$116/'CAPEX+OPEX'!$G$114)</f>
        <v>347282.79168127343</v>
      </c>
      <c r="CV43">
        <f>CQ43*(BK43/10000)^0.72*((A43+1)/3)^0.6*('CAPEX+OPEX'!$G$116/'CAPEX+OPEX'!$G$114)</f>
        <v>2149736.8951473436</v>
      </c>
      <c r="CW43">
        <f>CR43*(BK43/10000)^0.72*((A43+1)/3)^0.6*('CAPEX+OPEX'!$G$116/'CAPEX+OPEX'!$G$114)</f>
        <v>253809.83932102245</v>
      </c>
      <c r="CX43">
        <f t="shared" si="14"/>
        <v>5251200.2995432261</v>
      </c>
      <c r="CY43">
        <f>CN43*(BM43/10000)^0.72*((AF43+1)/3)^0.6*('CAPEX+OPEX'!$G$116/'CAPEX+OPEX'!$G$114)</f>
        <v>556307.77247071592</v>
      </c>
      <c r="CZ43">
        <f>CO43*(BM43/10000)^0.72*((AF43+1)/3)^0.6*('CAPEX+OPEX'!$G$116/'CAPEX+OPEX'!$G$114)</f>
        <v>1430704.293060503</v>
      </c>
      <c r="DA43">
        <f>CP43*(BM43/10000)^0.72*((AF43+1)/3)^0.6*('CAPEX+OPEX'!$G$116/'CAPEX+OPEX'!$G$114)</f>
        <v>275981.10830798495</v>
      </c>
      <c r="DB43">
        <f>CQ43*(BM43/10000)^0.72*((AF43+1)/3)^0.6*('CAPEX+OPEX'!$G$116/'CAPEX+OPEX'!$G$114)</f>
        <v>1708367.8924057726</v>
      </c>
      <c r="DC43">
        <f>CR43*(BM43/10000)^0.72*((AF43+1)/3)^0.6*('CAPEX+OPEX'!$G$116/'CAPEX+OPEX'!$G$114)</f>
        <v>201699.37132840801</v>
      </c>
      <c r="DD43">
        <f t="shared" si="15"/>
        <v>4173060.4375733845</v>
      </c>
      <c r="DE43">
        <f>CX43+DD43+1.15*(SUM(CI43:CL43)+SUM(CB43:CE43))</f>
        <v>9484629.7124798745</v>
      </c>
      <c r="DF43">
        <f t="shared" si="16"/>
        <v>632308.64749865828</v>
      </c>
      <c r="DG43">
        <f>(BS43+BT43)*'Oxidant Feed Composition'!$N$25*60*7200</f>
        <v>15053678.746344987</v>
      </c>
      <c r="DH43">
        <f>((CG43+CH43)*'Reagent cost'!$C$17/1000*'Reagent cost'!$H$17+(CG43+CH43)*0.5*'Reagent cost'!$C$16/1000*'Reagent cost'!$H$16)*60*7200</f>
        <v>5999232.4751321664</v>
      </c>
      <c r="DI43">
        <f>CF43*'Reagent cost'!$C$17/1000*'Reagent cost'!$H$17*60*7200</f>
        <v>504921.59999999998</v>
      </c>
      <c r="DJ43">
        <f t="shared" si="17"/>
        <v>63.4365625070227</v>
      </c>
      <c r="DK43">
        <f t="shared" si="18"/>
        <v>635.21423930704157</v>
      </c>
      <c r="DL43">
        <f t="shared" si="19"/>
        <v>25870237.766734764</v>
      </c>
      <c r="DM43">
        <f>BK43*(B43*(409.81+2)/1000+C43*(248.2+2*22.99)/1000+D43*(315.6+3*22.99)/1000+0.1*58.44/1000)</f>
        <v>0.70639694042110623</v>
      </c>
      <c r="DN43">
        <f>(BS43+BT43)/1000*('Oxidant Feed Composition'!$B$11*'Oxidant Feed Composition'!$O$20+'Oxidant Feed Composition'!$D$11*'Oxidant Feed Composition'!$O$21+'Oxidant Feed Composition'!$F$11*'Oxidant Feed Composition'!$O$27-'Oxidant Feed Composition'!$J$15*18.015)</f>
        <v>2.1829390462502598</v>
      </c>
      <c r="DO43">
        <f>(BU43+BV43)/1000*(0.2*368.34+0.4*58.44)</f>
        <v>1.5116237189465194</v>
      </c>
      <c r="DP43">
        <f>BK43/1000*(B43*195.08+C43*106.42+D43*102.91)</f>
        <v>4.999938342565946E-2</v>
      </c>
      <c r="DQ43">
        <f>SUM(DM43:DO43)-DP43</f>
        <v>4.3509603221922255</v>
      </c>
      <c r="DR43">
        <f>DQ43*60*7200*0.33</f>
        <v>620272.90353172366</v>
      </c>
      <c r="DS43">
        <v>1.2</v>
      </c>
      <c r="DT43">
        <f>BM43/60*(AM43*4+AN43*2+AO43*3)*96485/DV43</f>
        <v>1403.8913606805047</v>
      </c>
      <c r="DU43">
        <f>BN43*BA43*(AP43*4+AQ43*2+AR43*3)*96485/DV43/60</f>
        <v>707.99617342896511</v>
      </c>
      <c r="DV43">
        <v>0.7</v>
      </c>
      <c r="DW43">
        <f>0.499*((BK43/3.78541*15)^(-0.146))*BK43/3.78541*15*300*(1+(A43-2)/9)</f>
        <v>38528.386667103026</v>
      </c>
      <c r="DX43">
        <f>0.248*((BK43/3.78541*15)^(-0.144))*BK43/3.78541*15*300*(1+(A43-2)/3)</f>
        <v>33220.879177835675</v>
      </c>
      <c r="DY43">
        <f>0.105*((BK43/3.78541*15)^(-0.144))*BK43/3.78541*15*300*(1+(A43-2)/3)</f>
        <v>14065.291587390104</v>
      </c>
      <c r="DZ43">
        <f>0.058*((BK43/3.78541*15)^(-0.151))*BK43/3.78541*15*300*(1+(A43-2)/3)</f>
        <v>7450.7773575794354</v>
      </c>
      <c r="EA43">
        <f>0.056*((BK43/3.78541*15)^(-0.144))*BK43/3.78541*15*300*(1+(A43-2)/3)</f>
        <v>7501.4888466080574</v>
      </c>
      <c r="EB43">
        <f>DS43*DT43/(3.6*10^6)*3600*7200*0.07</f>
        <v>849.07349493956929</v>
      </c>
      <c r="EC43">
        <f>0.499*((BM43/3.78541*15)^(-0.146))*BM43/3.78541*15*300*(1+(AF43-2)/9)</f>
        <v>30858.175330269896</v>
      </c>
      <c r="ED43">
        <f>0.248*((BM43/3.78541*15)^(-0.144))*BM43/3.78541*15*300*(1+(AF43-2)/3)</f>
        <v>23277.674519364831</v>
      </c>
      <c r="EE43">
        <f>0.105*((BM43/3.78541*15)^(-0.144))*BM43/3.78541*15*300*(1+(AF43-2)/3)</f>
        <v>9855.4670344084952</v>
      </c>
      <c r="EF43">
        <f>0.058*((BM43/3.78541*15)^(-0.151))*BM43/3.78541*15*300*(1+(AF43-2)/3)</f>
        <v>5223.6198344156373</v>
      </c>
      <c r="EG43">
        <f>0.056*((BM43/3.78541*15)^(-0.144))*BM43/3.78541*15*300*(1+(AF43-2)/3)</f>
        <v>5256.2490850178647</v>
      </c>
      <c r="EH43">
        <f>DS43*DU43/(3.6*10^6)*3600*7200*0.07</f>
        <v>428.19608568983807</v>
      </c>
      <c r="EI43">
        <f>SUM(DW43:EH43)</f>
        <v>176515.27902062246</v>
      </c>
      <c r="EJ43">
        <f>EI43+DR43+DL43</f>
        <v>26667025.949287109</v>
      </c>
      <c r="EK43">
        <f>EJ43+DF43</f>
        <v>27299334.596785769</v>
      </c>
      <c r="EL43">
        <f>EK43/(BK43*60*7200)</f>
        <v>0.63192904159226315</v>
      </c>
      <c r="EM43">
        <f>EK43/(BM43*(AM43*195.084/1000+AN43*106.42/1000+AO43*102.911/1000)*60*7200)</f>
        <v>2117.1959627217548</v>
      </c>
      <c r="EN43">
        <f>EK43/(BN43*BA43*(AP43*195.084/1000+AQ43*106.42/1000+AR43*102.911/1000)*60*7200)</f>
        <v>3868.7575874059812</v>
      </c>
    </row>
    <row r="44" spans="1:144">
      <c r="A44">
        <f>'Costing 100 Lmin Feed Orig'!A44</f>
        <v>7</v>
      </c>
      <c r="B44">
        <f>'Costing 100 Lmin Feed Orig'!B44</f>
        <v>1.54143585092054E-3</v>
      </c>
      <c r="C44">
        <f>'Costing 100 Lmin Feed Orig'!C44</f>
        <v>1.54143585092054E-3</v>
      </c>
      <c r="D44">
        <f>'Costing 100 Lmin Feed Orig'!D44</f>
        <v>3.4254130020456501E-4</v>
      </c>
      <c r="E44">
        <f>'Costing 100 Lmin Feed Orig'!E44</f>
        <v>0</v>
      </c>
      <c r="F44">
        <f>'Costing 100 Lmin Feed Orig'!F44</f>
        <v>0</v>
      </c>
      <c r="G44">
        <f>'Costing 100 Lmin Feed Orig'!G44</f>
        <v>0</v>
      </c>
      <c r="H44">
        <f>'Costing 100 Lmin Feed Orig'!H44</f>
        <v>1.7744466230058299E-5</v>
      </c>
      <c r="I44">
        <f>'Costing 100 Lmin Feed Orig'!I44</f>
        <v>1.2927742824924801E-8</v>
      </c>
      <c r="J44">
        <f>'Costing 100 Lmin Feed Orig'!J44</f>
        <v>3.3739048286900598E-4</v>
      </c>
      <c r="K44">
        <f>'Costing 100 Lmin Feed Orig'!K44</f>
        <v>0.13716795306346499</v>
      </c>
      <c r="L44">
        <f>'Costing 100 Lmin Feed Orig'!L44</f>
        <v>0.138764207307677</v>
      </c>
      <c r="M44">
        <f>'Costing 100 Lmin Feed Orig'!M44</f>
        <v>4.6369433969460899E-4</v>
      </c>
      <c r="N44">
        <f>'Costing 100 Lmin Feed Orig'!N44</f>
        <v>-1.1037178115902399E-16</v>
      </c>
      <c r="O44">
        <f>'Costing 100 Lmin Feed Orig'!O44</f>
        <v>-5.3700533603207003E-15</v>
      </c>
      <c r="P44">
        <f>'Costing 100 Lmin Feed Orig'!P44</f>
        <v>-3.4304834363799101E-19</v>
      </c>
      <c r="Q44">
        <f>'Costing 100 Lmin Feed Orig'!Q44</f>
        <v>0.111082169753281</v>
      </c>
      <c r="R44">
        <f>'Costing 100 Lmin Feed Orig'!R44</f>
        <v>98.496293050653193</v>
      </c>
      <c r="S44">
        <f>'Costing 100 Lmin Feed Orig'!S44</f>
        <v>500</v>
      </c>
      <c r="T44">
        <f>'Costing 100 Lmin Feed Orig'!T44</f>
        <v>95</v>
      </c>
      <c r="U44">
        <f>'Costing 100 Lmin Feed Orig'!U44</f>
        <v>1</v>
      </c>
      <c r="V44">
        <f>'Costing 100 Lmin Feed Orig'!V44</f>
        <v>0.1</v>
      </c>
      <c r="W44">
        <f>'Costing 100 Lmin Feed Orig'!W44</f>
        <v>90.023448607553206</v>
      </c>
      <c r="X44" t="str">
        <f>'Costing 100 Lmin Feed Orig'!X44</f>
        <v>ddFc</v>
      </c>
      <c r="Y44">
        <f>'Costing 100 Lmin Feed Orig'!Y44</f>
        <v>1</v>
      </c>
      <c r="Z44">
        <f>'Costing 100 Lmin Feed Orig'!Z44</f>
        <v>0.28318429382522198</v>
      </c>
      <c r="AA44">
        <f>'Costing 100 Lmin Feed Orig'!AA44</f>
        <v>0.56945642916197003</v>
      </c>
      <c r="AB44">
        <f>'Costing 100 Lmin Feed Orig'!AB44</f>
        <v>3.7698628972227502E-3</v>
      </c>
      <c r="AC44">
        <f>'Costing 100 Lmin Feed Orig'!AC44</f>
        <v>1822.2107908876901</v>
      </c>
      <c r="AD44">
        <f>'Costing 100 Lmin Feed Orig'!AD44</f>
        <v>2662.6059073104898</v>
      </c>
      <c r="AE44">
        <f>'Costing 100 Lmin Feed Orig'!AE44</f>
        <v>2401.5030938442701</v>
      </c>
      <c r="AF44">
        <f>'Costing 100 Lmin Feed Orig'!AF44</f>
        <v>6</v>
      </c>
      <c r="AG44">
        <f>'Costing 100 Lmin Feed Orig'!AG44</f>
        <v>1.64967327652189E-3</v>
      </c>
      <c r="AH44">
        <f>'Costing 100 Lmin Feed Orig'!AH44</f>
        <v>1.66887089455438E-3</v>
      </c>
      <c r="AI44">
        <f>'Costing 100 Lmin Feed Orig'!AI44</f>
        <v>5.5766973522943398E-6</v>
      </c>
      <c r="AJ44">
        <f>'Costing 100 Lmin Feed Orig'!AJ44</f>
        <v>0</v>
      </c>
      <c r="AK44">
        <f>'Costing 100 Lmin Feed Orig'!AK44</f>
        <v>0</v>
      </c>
      <c r="AL44">
        <f>'Costing 100 Lmin Feed Orig'!AL44</f>
        <v>0</v>
      </c>
      <c r="AM44">
        <f>'Costing 100 Lmin Feed Orig'!AM44</f>
        <v>1.6120355192372701E-3</v>
      </c>
      <c r="AN44">
        <f>'Costing 100 Lmin Feed Orig'!AN44</f>
        <v>7.9304611498975396E-5</v>
      </c>
      <c r="AO44">
        <f>'Costing 100 Lmin Feed Orig'!AO44</f>
        <v>5.5393634244761098E-6</v>
      </c>
      <c r="AP44">
        <f>'Costing 100 Lmin Feed Orig'!AP44</f>
        <v>1.7562637605677701E-3</v>
      </c>
      <c r="AQ44">
        <f>'Costing 100 Lmin Feed Orig'!AQ44</f>
        <v>7.4172795069579203E-2</v>
      </c>
      <c r="AR44">
        <f>'Costing 100 Lmin Feed Orig'!AR44</f>
        <v>1.7420863833882601E-6</v>
      </c>
      <c r="AS44">
        <f>'Costing 100 Lmin Feed Orig'!AS44</f>
        <v>-2.1751806085490402E-18</v>
      </c>
      <c r="AT44">
        <f>'Costing 100 Lmin Feed Orig'!AT44</f>
        <v>-1.83013326715553E-16</v>
      </c>
      <c r="AU44">
        <f>'Costing 100 Lmin Feed Orig'!AU44</f>
        <v>-3.08372932359768E-21</v>
      </c>
      <c r="AV44">
        <f>'Costing 100 Lmin Feed Orig'!AV44</f>
        <v>0.197939773972164</v>
      </c>
      <c r="AW44">
        <f>'Costing 100 Lmin Feed Orig'!AW44</f>
        <v>99.330536956557793</v>
      </c>
      <c r="AX44">
        <f>'Costing 100 Lmin Feed Orig'!AX44</f>
        <v>500</v>
      </c>
      <c r="AY44">
        <f>'Costing 100 Lmin Feed Orig'!AY44</f>
        <v>95</v>
      </c>
      <c r="AZ44">
        <f>'Costing 100 Lmin Feed Orig'!AZ44</f>
        <v>0.92363221637625403</v>
      </c>
      <c r="BA44">
        <f>'Costing 100 Lmin Feed Orig'!BA44</f>
        <v>0.1</v>
      </c>
      <c r="BB44">
        <f>'Costing 100 Lmin Feed Orig'!BB44</f>
        <v>46.6622850901175</v>
      </c>
      <c r="BC44" t="str">
        <f>'Costing 100 Lmin Feed Orig'!BC44</f>
        <v>coeFc</v>
      </c>
      <c r="BD44">
        <f>'Costing 100 Lmin Feed Orig'!BD44</f>
        <v>1</v>
      </c>
      <c r="BE44">
        <f>'Costing 100 Lmin Feed Orig'!BE44</f>
        <v>1.8775014999999999E-2</v>
      </c>
      <c r="BF44">
        <f>'Costing 100 Lmin Feed Orig'!BF44</f>
        <v>0.10492961100000001</v>
      </c>
      <c r="BG44">
        <f>'Costing 100 Lmin Feed Orig'!BG44</f>
        <v>1.814625E-3</v>
      </c>
      <c r="BH44">
        <f>'Costing 100 Lmin Feed Orig'!BH44</f>
        <v>285.1951444</v>
      </c>
      <c r="BI44">
        <f>'Costing 100 Lmin Feed Orig'!BI44</f>
        <v>2169.8944889999998</v>
      </c>
      <c r="BJ44">
        <f>'Costing 100 Lmin Feed Orig'!BJ44</f>
        <v>866.49409060000005</v>
      </c>
      <c r="BK44">
        <f>'Costing 100 Lmin Feed Orig'!BK44</f>
        <v>100</v>
      </c>
      <c r="BL44">
        <f>'Costing 100 Lmin Feed Orig'!BL44</f>
        <v>11.1082169753281</v>
      </c>
      <c r="BM44">
        <f>'Costing 100 Lmin Feed Orig'!BM44</f>
        <v>92.363221637625401</v>
      </c>
      <c r="BN44">
        <f>'Costing 100 Lmin Feed Orig'!BN44</f>
        <v>19.793977397216402</v>
      </c>
      <c r="BO44">
        <f t="shared" si="1"/>
        <v>199.94790555590581</v>
      </c>
      <c r="BP44">
        <f t="shared" si="2"/>
        <v>316.70363835546243</v>
      </c>
      <c r="BQ44">
        <f t="shared" si="3"/>
        <v>19.994790555590583</v>
      </c>
      <c r="BR44">
        <f t="shared" si="4"/>
        <v>31.670363835546244</v>
      </c>
      <c r="BS44">
        <f>1.2*0.5*BL44*V44/'Oxidant Feed Composition'!$N$22</f>
        <v>6.6649301851968596</v>
      </c>
      <c r="BT44">
        <f>1.2*0.5*BN44*BA44/'Oxidant Feed Composition'!$N$22</f>
        <v>11.87638643832984</v>
      </c>
      <c r="BU44">
        <f t="shared" si="5"/>
        <v>5.5541084876640499</v>
      </c>
      <c r="BV44">
        <f t="shared" si="6"/>
        <v>9.896988698608201</v>
      </c>
      <c r="BW44">
        <f t="shared" si="7"/>
        <v>86.809113149961348</v>
      </c>
      <c r="BX44">
        <f t="shared" si="20"/>
        <v>35.54629432104992</v>
      </c>
      <c r="BY44">
        <f t="shared" si="8"/>
        <v>206.94287722590701</v>
      </c>
      <c r="BZ44">
        <f t="shared" si="9"/>
        <v>63.34072767109248</v>
      </c>
      <c r="CA44">
        <f t="shared" si="10"/>
        <v>59.381932191649206</v>
      </c>
      <c r="CB44">
        <f>BO44*'Reagent cost'!$G$11*'Reagent cost'!$H$11</f>
        <v>2639.3123533379567</v>
      </c>
      <c r="CC44">
        <f>BP44*'Reagent cost'!$G$11*'Reagent cost'!$H$11</f>
        <v>4180.4880262921042</v>
      </c>
      <c r="CD44">
        <f>BQ44*'Reagent cost'!$C$18/1000*'Reagent cost'!$H$18</f>
        <v>3188.7782491883527</v>
      </c>
      <c r="CE44">
        <f>BR44*'Ligand cost'!$B$56*'Ligand cost'!$J$56</f>
        <v>32244.475701465093</v>
      </c>
      <c r="CF44">
        <f t="shared" si="11"/>
        <v>10</v>
      </c>
      <c r="CG44">
        <f t="shared" si="12"/>
        <v>2.22164339506562</v>
      </c>
      <c r="CH44">
        <f t="shared" si="13"/>
        <v>3.9587954794432805</v>
      </c>
      <c r="CI44">
        <f>7963.6*(BX44/1000)^0.6*1.7*('CAPEX+OPEX'!$G$116/'CAPEX+OPEX'!$G$115)</f>
        <v>2156.3414312027717</v>
      </c>
      <c r="CJ44">
        <f>7963.6*(BY44/1000)^0.6*1.7*('CAPEX+OPEX'!$G$116/'CAPEX+OPEX'!$G$115)</f>
        <v>6205.1347590783025</v>
      </c>
      <c r="CK44">
        <f>7963.6*(BZ44/1000)^0.6*1.7*('CAPEX+OPEX'!$G$116/'CAPEX+OPEX'!$G$115)</f>
        <v>3049.6553188421171</v>
      </c>
      <c r="CL44">
        <f>7963.6*(CA44/1000)^0.6*1.7*('CAPEX+OPEX'!$G$116/'CAPEX+OPEX'!$G$115)</f>
        <v>2933.8203907536749</v>
      </c>
      <c r="CM44">
        <f>'Costing 100 Lmin Feed Orig'!DE44</f>
        <v>39625.826528698344</v>
      </c>
      <c r="CN44">
        <f>'Costing 100 Lmin Feed Orig'!DF44</f>
        <v>4586243.4239371875</v>
      </c>
      <c r="CO44">
        <f>'Costing 100 Lmin Feed Orig'!DG44</f>
        <v>11794834.586807497</v>
      </c>
      <c r="CP44">
        <f>'Costing 100 Lmin Feed Orig'!DH44</f>
        <v>2275209.1661185985</v>
      </c>
      <c r="CQ44">
        <f>'Costing 100 Lmin Feed Orig'!DI44</f>
        <v>14083914.336508472</v>
      </c>
      <c r="CR44">
        <f>'Costing 100 Lmin Feed Orig'!DJ44</f>
        <v>1662824.8986326549</v>
      </c>
      <c r="CS44">
        <f>CN44*(BK44/10000)^0.72*((A44+1)/3)^0.6*('CAPEX+OPEX'!$G$116/'CAPEX+OPEX'!$G$114)</f>
        <v>700033.84449786716</v>
      </c>
      <c r="CT44">
        <f>CO44*(BK44/10000)^0.72*((A44+1)/3)^0.6*('CAPEX+OPEX'!$G$116/'CAPEX+OPEX'!$G$114)</f>
        <v>1800336.9288957189</v>
      </c>
      <c r="CU44">
        <f>CP44*(BK44/10000)^0.72*((A44+1)/3)^0.6*('CAPEX+OPEX'!$G$116/'CAPEX+OPEX'!$G$114)</f>
        <v>347282.79168127343</v>
      </c>
      <c r="CV44">
        <f>CQ44*(BK44/10000)^0.72*((A44+1)/3)^0.6*('CAPEX+OPEX'!$G$116/'CAPEX+OPEX'!$G$114)</f>
        <v>2149736.8951473436</v>
      </c>
      <c r="CW44">
        <f>CR44*(BK44/10000)^0.72*((A44+1)/3)^0.6*('CAPEX+OPEX'!$G$116/'CAPEX+OPEX'!$G$114)</f>
        <v>253809.83932102245</v>
      </c>
      <c r="CX44">
        <f t="shared" si="14"/>
        <v>5251200.2995432261</v>
      </c>
      <c r="CY44">
        <f>CN44*(BM44/10000)^0.72*((AF44+1)/3)^0.6*('CAPEX+OPEX'!$G$116/'CAPEX+OPEX'!$G$114)</f>
        <v>610215.4530973233</v>
      </c>
      <c r="CZ44">
        <f>CO44*(BM44/10000)^0.72*((AF44+1)/3)^0.6*('CAPEX+OPEX'!$G$116/'CAPEX+OPEX'!$G$114)</f>
        <v>1569343.2873691465</v>
      </c>
      <c r="DA44">
        <f>CP44*(BM44/10000)^0.72*((AF44+1)/3)^0.6*('CAPEX+OPEX'!$G$116/'CAPEX+OPEX'!$G$114)</f>
        <v>302724.40074765182</v>
      </c>
      <c r="DB44">
        <f>CQ44*(BM44/10000)^0.72*((AF44+1)/3)^0.6*('CAPEX+OPEX'!$G$116/'CAPEX+OPEX'!$G$114)</f>
        <v>1873913.2169435648</v>
      </c>
      <c r="DC44">
        <f>CR44*(BM44/10000)^0.72*((AF44+1)/3)^0.6*('CAPEX+OPEX'!$G$116/'CAPEX+OPEX'!$G$114)</f>
        <v>221244.56884356888</v>
      </c>
      <c r="DD44">
        <f t="shared" si="15"/>
        <v>4577440.9270012556</v>
      </c>
      <c r="DE44">
        <f>CX44+DD44+1.15*(SUM(CI44:CL44)+SUM(CB44:CE44))</f>
        <v>9893728.9337091651</v>
      </c>
      <c r="DF44">
        <f t="shared" si="16"/>
        <v>659581.92891394428</v>
      </c>
      <c r="DG44">
        <f>(BS44+BT44)*'Oxidant Feed Composition'!$N$25*60*7200</f>
        <v>14932308.686836865</v>
      </c>
      <c r="DH44">
        <f>((CG44+CH44)*'Reagent cost'!$C$17/1000*'Reagent cost'!$H$17+(CG44+CH44)*0.5*'Reagent cost'!$C$16/1000*'Reagent cost'!$H$16)*60*7200</f>
        <v>5950863.7531221621</v>
      </c>
      <c r="DI44">
        <f>CF44*'Reagent cost'!$C$17/1000*'Reagent cost'!$H$17*60*7200</f>
        <v>504921.59999999998</v>
      </c>
      <c r="DJ44">
        <f t="shared" si="17"/>
        <v>68.198003796300611</v>
      </c>
      <c r="DK44">
        <f t="shared" si="18"/>
        <v>708.66507901306886</v>
      </c>
      <c r="DL44">
        <f t="shared" si="19"/>
        <v>25666645.083650202</v>
      </c>
      <c r="DM44">
        <f>BK44*(B44*(409.81+2)/1000+C44*(248.2+2*22.99)/1000+D44*(315.6+3*22.99)/1000+0.1*58.44/1000)</f>
        <v>0.70639694042110623</v>
      </c>
      <c r="DN44">
        <f>(BS44+BT44)/1000*('Oxidant Feed Composition'!$B$11*'Oxidant Feed Composition'!$O$20+'Oxidant Feed Composition'!$D$11*'Oxidant Feed Composition'!$O$21+'Oxidant Feed Composition'!$F$11*'Oxidant Feed Composition'!$O$27-'Oxidant Feed Composition'!$J$15*18.015)</f>
        <v>2.1653391328729188</v>
      </c>
      <c r="DO44">
        <f>(BU44+BV44)/1000*(0.2*368.34+0.4*58.44)</f>
        <v>1.4994362753446042</v>
      </c>
      <c r="DP44">
        <f>BK44/1000*(B44*195.08+C44*106.42+D44*102.91)</f>
        <v>4.999938342565946E-2</v>
      </c>
      <c r="DQ44">
        <f>SUM(DM44:DO44)-DP44</f>
        <v>4.3211729652129689</v>
      </c>
      <c r="DR44">
        <f>DQ44*60*7200*0.33</f>
        <v>616026.41792076093</v>
      </c>
      <c r="DS44">
        <v>1.2</v>
      </c>
      <c r="DT44">
        <f>BM44/60*(AM44*4+AN44*2+AO44*3)*96485/DV44</f>
        <v>1405.3631449818135</v>
      </c>
      <c r="DU44">
        <f>BN44*BA44*(AP44*4+AQ44*2+AR44*3)*96485/DV44/60</f>
        <v>706.52438912777689</v>
      </c>
      <c r="DV44">
        <v>0.7</v>
      </c>
      <c r="DW44">
        <f>0.499*((BK44/3.78541*15)^(-0.146))*BK44/3.78541*15*300*(1+(A44-2)/9)</f>
        <v>38528.386667103026</v>
      </c>
      <c r="DX44">
        <f>0.248*((BK44/3.78541*15)^(-0.144))*BK44/3.78541*15*300*(1+(A44-2)/3)</f>
        <v>33220.879177835675</v>
      </c>
      <c r="DY44">
        <f>0.105*((BK44/3.78541*15)^(-0.144))*BK44/3.78541*15*300*(1+(A44-2)/3)</f>
        <v>14065.291587390104</v>
      </c>
      <c r="DZ44">
        <f>0.058*((BK44/3.78541*15)^(-0.151))*BK44/3.78541*15*300*(1+(A44-2)/3)</f>
        <v>7450.7773575794354</v>
      </c>
      <c r="EA44">
        <f>0.056*((BK44/3.78541*15)^(-0.144))*BK44/3.78541*15*300*(1+(A44-2)/3)</f>
        <v>7501.4888466080574</v>
      </c>
      <c r="EB44">
        <f>DS44*DT44/(3.6*10^6)*3600*7200*0.07</f>
        <v>849.96363008500089</v>
      </c>
      <c r="EC44">
        <f>0.499*((BM44/3.78541*15)^(-0.146))*BM44/3.78541*15*300*(1+(AF44-2)/9)</f>
        <v>33429.689941125718</v>
      </c>
      <c r="ED44">
        <f>0.248*((BM44/3.78541*15)^(-0.144))*BM44/3.78541*15*300*(1+(AF44-2)/3)</f>
        <v>27157.286939258967</v>
      </c>
      <c r="EE44">
        <f>0.105*((BM44/3.78541*15)^(-0.144))*BM44/3.78541*15*300*(1+(AF44-2)/3)</f>
        <v>11498.044873476576</v>
      </c>
      <c r="EF44">
        <f>0.058*((BM44/3.78541*15)^(-0.151))*BM44/3.78541*15*300*(1+(AF44-2)/3)</f>
        <v>6094.2231401515764</v>
      </c>
      <c r="EG44">
        <f>0.056*((BM44/3.78541*15)^(-0.144))*BM44/3.78541*15*300*(1+(AF44-2)/3)</f>
        <v>6132.2905991875077</v>
      </c>
      <c r="EH44">
        <f>DS44*DU44/(3.6*10^6)*3600*7200*0.07</f>
        <v>427.30595054447951</v>
      </c>
      <c r="EI44">
        <f>SUM(DW44:EH44)</f>
        <v>186355.62871034618</v>
      </c>
      <c r="EJ44">
        <f>EI44+DR44+DL44</f>
        <v>26469027.130281307</v>
      </c>
      <c r="EK44">
        <f>EJ44+DF44</f>
        <v>27128609.05919525</v>
      </c>
      <c r="EL44">
        <f>EK44/(BK44*60*7200)</f>
        <v>0.62797706155544564</v>
      </c>
      <c r="EM44">
        <f>EK44/(BM44*(AM44*195.084/1000+AN44*106.42/1000+AO44*102.911/1000)*60*7200)</f>
        <v>2101.7505452527039</v>
      </c>
      <c r="EN44">
        <f>EK44/(BN44*BA44*(AP44*195.084/1000+AQ44*106.42/1000+AR44*102.911/1000)*60*7200)</f>
        <v>3851.9468728647894</v>
      </c>
    </row>
    <row r="45" spans="1:144">
      <c r="A45">
        <f>'Costing 100 Lmin Feed Orig'!A45</f>
        <v>7</v>
      </c>
      <c r="B45">
        <f>'Costing 100 Lmin Feed Orig'!B45</f>
        <v>1.54143585092054E-3</v>
      </c>
      <c r="C45">
        <f>'Costing 100 Lmin Feed Orig'!C45</f>
        <v>1.54143585092054E-3</v>
      </c>
      <c r="D45">
        <f>'Costing 100 Lmin Feed Orig'!D45</f>
        <v>3.4254130020456501E-4</v>
      </c>
      <c r="E45">
        <f>'Costing 100 Lmin Feed Orig'!E45</f>
        <v>0</v>
      </c>
      <c r="F45">
        <f>'Costing 100 Lmin Feed Orig'!F45</f>
        <v>0</v>
      </c>
      <c r="G45">
        <f>'Costing 100 Lmin Feed Orig'!G45</f>
        <v>0</v>
      </c>
      <c r="H45">
        <f>'Costing 100 Lmin Feed Orig'!H45</f>
        <v>1.7744466230058299E-5</v>
      </c>
      <c r="I45">
        <f>'Costing 100 Lmin Feed Orig'!I45</f>
        <v>1.2927742824924801E-8</v>
      </c>
      <c r="J45">
        <f>'Costing 100 Lmin Feed Orig'!J45</f>
        <v>3.3739048286900598E-4</v>
      </c>
      <c r="K45">
        <f>'Costing 100 Lmin Feed Orig'!K45</f>
        <v>0.13716795306346499</v>
      </c>
      <c r="L45">
        <f>'Costing 100 Lmin Feed Orig'!L45</f>
        <v>0.138764207307677</v>
      </c>
      <c r="M45">
        <f>'Costing 100 Lmin Feed Orig'!M45</f>
        <v>4.6369433969460899E-4</v>
      </c>
      <c r="N45">
        <f>'Costing 100 Lmin Feed Orig'!N45</f>
        <v>-1.1037178115902399E-16</v>
      </c>
      <c r="O45">
        <f>'Costing 100 Lmin Feed Orig'!O45</f>
        <v>-5.3700533603207003E-15</v>
      </c>
      <c r="P45">
        <f>'Costing 100 Lmin Feed Orig'!P45</f>
        <v>-3.4304834363799101E-19</v>
      </c>
      <c r="Q45">
        <f>'Costing 100 Lmin Feed Orig'!Q45</f>
        <v>0.111082169753281</v>
      </c>
      <c r="R45">
        <f>'Costing 100 Lmin Feed Orig'!R45</f>
        <v>98.496293050653193</v>
      </c>
      <c r="S45">
        <f>'Costing 100 Lmin Feed Orig'!S45</f>
        <v>500</v>
      </c>
      <c r="T45">
        <f>'Costing 100 Lmin Feed Orig'!T45</f>
        <v>95</v>
      </c>
      <c r="U45">
        <f>'Costing 100 Lmin Feed Orig'!U45</f>
        <v>1</v>
      </c>
      <c r="V45">
        <f>'Costing 100 Lmin Feed Orig'!V45</f>
        <v>0.1</v>
      </c>
      <c r="W45">
        <f>'Costing 100 Lmin Feed Orig'!W45</f>
        <v>90.023448607553206</v>
      </c>
      <c r="X45" t="str">
        <f>'Costing 100 Lmin Feed Orig'!X45</f>
        <v>ddFc</v>
      </c>
      <c r="Y45">
        <f>'Costing 100 Lmin Feed Orig'!Y45</f>
        <v>1</v>
      </c>
      <c r="Z45">
        <f>'Costing 100 Lmin Feed Orig'!Z45</f>
        <v>0.28318429382522198</v>
      </c>
      <c r="AA45">
        <f>'Costing 100 Lmin Feed Orig'!AA45</f>
        <v>0.56945642916197003</v>
      </c>
      <c r="AB45">
        <f>'Costing 100 Lmin Feed Orig'!AB45</f>
        <v>3.7698628972227502E-3</v>
      </c>
      <c r="AC45">
        <f>'Costing 100 Lmin Feed Orig'!AC45</f>
        <v>1822.2107908876901</v>
      </c>
      <c r="AD45">
        <f>'Costing 100 Lmin Feed Orig'!AD45</f>
        <v>2662.6059073104898</v>
      </c>
      <c r="AE45">
        <f>'Costing 100 Lmin Feed Orig'!AE45</f>
        <v>2401.5030938442701</v>
      </c>
      <c r="AF45">
        <f>'Costing 100 Lmin Feed Orig'!AF45</f>
        <v>7</v>
      </c>
      <c r="AG45">
        <f>'Costing 100 Lmin Feed Orig'!AG45</f>
        <v>1.64967327652189E-3</v>
      </c>
      <c r="AH45">
        <f>'Costing 100 Lmin Feed Orig'!AH45</f>
        <v>1.66887089455438E-3</v>
      </c>
      <c r="AI45">
        <f>'Costing 100 Lmin Feed Orig'!AI45</f>
        <v>5.5766973522943398E-6</v>
      </c>
      <c r="AJ45">
        <f>'Costing 100 Lmin Feed Orig'!AJ45</f>
        <v>0</v>
      </c>
      <c r="AK45">
        <f>'Costing 100 Lmin Feed Orig'!AK45</f>
        <v>0</v>
      </c>
      <c r="AL45">
        <f>'Costing 100 Lmin Feed Orig'!AL45</f>
        <v>0</v>
      </c>
      <c r="AM45">
        <f>'Costing 100 Lmin Feed Orig'!AM45</f>
        <v>1.6125268282720601E-3</v>
      </c>
      <c r="AN45">
        <f>'Costing 100 Lmin Feed Orig'!AN45</f>
        <v>7.9330002196474706E-5</v>
      </c>
      <c r="AO45">
        <f>'Costing 100 Lmin Feed Orig'!AO45</f>
        <v>5.5398308704750104E-6</v>
      </c>
      <c r="AP45">
        <f>'Costing 100 Lmin Feed Orig'!AP45</f>
        <v>1.7397589915908601E-3</v>
      </c>
      <c r="AQ45">
        <f>'Costing 100 Lmin Feed Orig'!AQ45</f>
        <v>7.4446365407150494E-2</v>
      </c>
      <c r="AR45">
        <f>'Costing 100 Lmin Feed Orig'!AR45</f>
        <v>1.7266467254719899E-6</v>
      </c>
      <c r="AS45">
        <f>'Costing 100 Lmin Feed Orig'!AS45</f>
        <v>-4.8721335126067302E-18</v>
      </c>
      <c r="AT45">
        <f>'Costing 100 Lmin Feed Orig'!AT45</f>
        <v>-2.21068822969794E-15</v>
      </c>
      <c r="AU45">
        <f>'Costing 100 Lmin Feed Orig'!AU45</f>
        <v>-5.2476338060364E-21</v>
      </c>
      <c r="AV45">
        <f>'Costing 100 Lmin Feed Orig'!AV45</f>
        <v>0.19720924848406601</v>
      </c>
      <c r="AW45">
        <f>'Costing 100 Lmin Feed Orig'!AW45</f>
        <v>99.338919086147698</v>
      </c>
      <c r="AX45">
        <f>'Costing 100 Lmin Feed Orig'!AX45</f>
        <v>500</v>
      </c>
      <c r="AY45">
        <f>'Costing 100 Lmin Feed Orig'!AY45</f>
        <v>95</v>
      </c>
      <c r="AZ45">
        <f>'Costing 100 Lmin Feed Orig'!AZ45</f>
        <v>0.92363221637625403</v>
      </c>
      <c r="BA45">
        <f>'Costing 100 Lmin Feed Orig'!BA45</f>
        <v>0.1</v>
      </c>
      <c r="BB45">
        <f>'Costing 100 Lmin Feed Orig'!BB45</f>
        <v>46.835136966250197</v>
      </c>
      <c r="BC45" t="str">
        <f>'Costing 100 Lmin Feed Orig'!BC45</f>
        <v>coeFc</v>
      </c>
      <c r="BD45">
        <f>'Costing 100 Lmin Feed Orig'!BD45</f>
        <v>1</v>
      </c>
      <c r="BE45">
        <f>'Costing 100 Lmin Feed Orig'!BE45</f>
        <v>1.8775014999999999E-2</v>
      </c>
      <c r="BF45">
        <f>'Costing 100 Lmin Feed Orig'!BF45</f>
        <v>0.10492961100000001</v>
      </c>
      <c r="BG45">
        <f>'Costing 100 Lmin Feed Orig'!BG45</f>
        <v>1.814625E-3</v>
      </c>
      <c r="BH45">
        <f>'Costing 100 Lmin Feed Orig'!BH45</f>
        <v>285.1951444</v>
      </c>
      <c r="BI45">
        <f>'Costing 100 Lmin Feed Orig'!BI45</f>
        <v>2169.8944889999998</v>
      </c>
      <c r="BJ45">
        <f>'Costing 100 Lmin Feed Orig'!BJ45</f>
        <v>866.49409060000005</v>
      </c>
      <c r="BK45">
        <f>'Costing 100 Lmin Feed Orig'!BK45</f>
        <v>100</v>
      </c>
      <c r="BL45">
        <f>'Costing 100 Lmin Feed Orig'!BL45</f>
        <v>11.1082169753281</v>
      </c>
      <c r="BM45">
        <f>'Costing 100 Lmin Feed Orig'!BM45</f>
        <v>92.363221637625401</v>
      </c>
      <c r="BN45">
        <f>'Costing 100 Lmin Feed Orig'!BN45</f>
        <v>19.7209248484066</v>
      </c>
      <c r="BO45">
        <f t="shared" si="1"/>
        <v>199.94790555590581</v>
      </c>
      <c r="BP45">
        <f t="shared" si="2"/>
        <v>354.97664727131883</v>
      </c>
      <c r="BQ45">
        <f t="shared" si="3"/>
        <v>19.994790555590583</v>
      </c>
      <c r="BR45">
        <f t="shared" si="4"/>
        <v>35.497664727131884</v>
      </c>
      <c r="BS45">
        <f>1.2*0.5*BL45*V45/'Oxidant Feed Composition'!$N$22</f>
        <v>6.6649301851968596</v>
      </c>
      <c r="BT45">
        <f>1.2*0.5*BN45*BA45/'Oxidant Feed Composition'!$N$22</f>
        <v>11.832554909043958</v>
      </c>
      <c r="BU45">
        <f t="shared" si="5"/>
        <v>5.5541084876640499</v>
      </c>
      <c r="BV45">
        <f t="shared" si="6"/>
        <v>9.8604624242033001</v>
      </c>
      <c r="BW45">
        <f t="shared" si="7"/>
        <v>86.809113149961348</v>
      </c>
      <c r="BX45">
        <f t="shared" si="20"/>
        <v>35.54629432104992</v>
      </c>
      <c r="BY45">
        <f t="shared" si="8"/>
        <v>206.94287722590701</v>
      </c>
      <c r="BZ45">
        <f t="shared" si="9"/>
        <v>63.106959514901121</v>
      </c>
      <c r="CA45">
        <f t="shared" si="10"/>
        <v>59.162774545219804</v>
      </c>
      <c r="CB45">
        <f>BO45*'Reagent cost'!$G$11*'Reagent cost'!$H$11</f>
        <v>2639.3123533379567</v>
      </c>
      <c r="CC45">
        <f>BP45*'Reagent cost'!$G$11*'Reagent cost'!$H$11</f>
        <v>4685.6917439814088</v>
      </c>
      <c r="CD45">
        <f>BQ45*'Reagent cost'!$C$18/1000*'Reagent cost'!$H$18</f>
        <v>3188.7782491883527</v>
      </c>
      <c r="CE45">
        <f>BR45*'Ligand cost'!$B$56*'Ligand cost'!$J$56</f>
        <v>36141.156877650901</v>
      </c>
      <c r="CF45">
        <f t="shared" si="11"/>
        <v>10</v>
      </c>
      <c r="CG45">
        <f t="shared" si="12"/>
        <v>2.22164339506562</v>
      </c>
      <c r="CH45">
        <f t="shared" si="13"/>
        <v>3.94418496968132</v>
      </c>
      <c r="CI45">
        <f>7963.6*(BX45/1000)^0.6*1.7*('CAPEX+OPEX'!$G$116/'CAPEX+OPEX'!$G$115)</f>
        <v>2156.3414312027717</v>
      </c>
      <c r="CJ45">
        <f>7963.6*(BY45/1000)^0.6*1.7*('CAPEX+OPEX'!$G$116/'CAPEX+OPEX'!$G$115)</f>
        <v>6205.1347590783025</v>
      </c>
      <c r="CK45">
        <f>7963.6*(BZ45/1000)^0.6*1.7*('CAPEX+OPEX'!$G$116/'CAPEX+OPEX'!$G$115)</f>
        <v>3042.8972080018357</v>
      </c>
      <c r="CL45">
        <f>7963.6*(CA45/1000)^0.6*1.7*('CAPEX+OPEX'!$G$116/'CAPEX+OPEX'!$G$115)</f>
        <v>2927.3189729496066</v>
      </c>
      <c r="CM45">
        <f>'Costing 100 Lmin Feed Orig'!DE45</f>
        <v>39625.826528698344</v>
      </c>
      <c r="CN45">
        <f>'Costing 100 Lmin Feed Orig'!DF45</f>
        <v>4586243.4239371875</v>
      </c>
      <c r="CO45">
        <f>'Costing 100 Lmin Feed Orig'!DG45</f>
        <v>11794834.586807497</v>
      </c>
      <c r="CP45">
        <f>'Costing 100 Lmin Feed Orig'!DH45</f>
        <v>2275209.1661185985</v>
      </c>
      <c r="CQ45">
        <f>'Costing 100 Lmin Feed Orig'!DI45</f>
        <v>14083914.336508472</v>
      </c>
      <c r="CR45">
        <f>'Costing 100 Lmin Feed Orig'!DJ45</f>
        <v>1662824.8986326549</v>
      </c>
      <c r="CS45">
        <f>CN45*(BK45/10000)^0.72*((A45+1)/3)^0.6*('CAPEX+OPEX'!$G$116/'CAPEX+OPEX'!$G$114)</f>
        <v>700033.84449786716</v>
      </c>
      <c r="CT45">
        <f>CO45*(BK45/10000)^0.72*((A45+1)/3)^0.6*('CAPEX+OPEX'!$G$116/'CAPEX+OPEX'!$G$114)</f>
        <v>1800336.9288957189</v>
      </c>
      <c r="CU45">
        <f>CP45*(BK45/10000)^0.72*((A45+1)/3)^0.6*('CAPEX+OPEX'!$G$116/'CAPEX+OPEX'!$G$114)</f>
        <v>347282.79168127343</v>
      </c>
      <c r="CV45">
        <f>CQ45*(BK45/10000)^0.72*((A45+1)/3)^0.6*('CAPEX+OPEX'!$G$116/'CAPEX+OPEX'!$G$114)</f>
        <v>2149736.8951473436</v>
      </c>
      <c r="CW45">
        <f>CR45*(BK45/10000)^0.72*((A45+1)/3)^0.6*('CAPEX+OPEX'!$G$116/'CAPEX+OPEX'!$G$114)</f>
        <v>253809.83932102245</v>
      </c>
      <c r="CX45">
        <f t="shared" si="14"/>
        <v>5251200.2995432261</v>
      </c>
      <c r="CY45">
        <f>CN45*(BM45/10000)^0.72*((AF45+1)/3)^0.6*('CAPEX+OPEX'!$G$116/'CAPEX+OPEX'!$G$114)</f>
        <v>661117.06839459355</v>
      </c>
      <c r="CZ45">
        <f>CO45*(BM45/10000)^0.72*((AF45+1)/3)^0.6*('CAPEX+OPEX'!$G$116/'CAPEX+OPEX'!$G$114)</f>
        <v>1700251.3262881106</v>
      </c>
      <c r="DA45">
        <f>CP45*(BM45/10000)^0.72*((AF45+1)/3)^0.6*('CAPEX+OPEX'!$G$116/'CAPEX+OPEX'!$G$114)</f>
        <v>327976.40134799713</v>
      </c>
      <c r="DB45">
        <f>CQ45*(BM45/10000)^0.72*((AF45+1)/3)^0.6*('CAPEX+OPEX'!$G$116/'CAPEX+OPEX'!$G$114)</f>
        <v>2030227.2027418208</v>
      </c>
      <c r="DC45">
        <f>CR45*(BM45/10000)^0.72*((AF45+1)/3)^0.6*('CAPEX+OPEX'!$G$116/'CAPEX+OPEX'!$G$114)</f>
        <v>239699.86340014514</v>
      </c>
      <c r="DD45">
        <f t="shared" si="15"/>
        <v>4959271.8621726679</v>
      </c>
      <c r="DE45">
        <f>CX45+DD45+1.15*(SUM(CI45:CL45)+SUM(CB45:CE45))</f>
        <v>10280606.788050596</v>
      </c>
      <c r="DF45">
        <f t="shared" si="16"/>
        <v>685373.78587003972</v>
      </c>
      <c r="DG45">
        <f>(BS45+BT45)*'Oxidant Feed Composition'!$N$25*60*7200</f>
        <v>14897008.824437536</v>
      </c>
      <c r="DH45">
        <f>((CG45+CH45)*'Reagent cost'!$C$17/1000*'Reagent cost'!$H$17+(CG45+CH45)*0.5*'Reagent cost'!$C$16/1000*'Reagent cost'!$H$16)*60*7200</f>
        <v>5936795.9571739342</v>
      </c>
      <c r="DI45">
        <f>CF45*'Reagent cost'!$C$17/1000*'Reagent cost'!$H$17*60*7200</f>
        <v>504921.59999999998</v>
      </c>
      <c r="DJ45">
        <f t="shared" si="17"/>
        <v>73.250040973193663</v>
      </c>
      <c r="DK45">
        <f t="shared" si="18"/>
        <v>786.59870253678514</v>
      </c>
      <c r="DL45">
        <f t="shared" si="19"/>
        <v>25607503.476425979</v>
      </c>
      <c r="DM45">
        <f>BK45*(B45*(409.81+2)/1000+C45*(248.2+2*22.99)/1000+D45*(315.6+3*22.99)/1000+0.1*58.44/1000)</f>
        <v>0.70639694042110623</v>
      </c>
      <c r="DN45">
        <f>(BS45+BT45)/1000*('Oxidant Feed Composition'!$B$11*'Oxidant Feed Composition'!$O$20+'Oxidant Feed Composition'!$D$11*'Oxidant Feed Composition'!$O$21+'Oxidant Feed Composition'!$F$11*'Oxidant Feed Composition'!$O$27-'Oxidant Feed Composition'!$J$15*18.015)</f>
        <v>2.1602202878877703</v>
      </c>
      <c r="DO45">
        <f>(BU45+BV45)/1000*(0.2*368.34+0.4*58.44)</f>
        <v>1.4958916195712553</v>
      </c>
      <c r="DP45">
        <f>BK45/1000*(B45*195.08+C45*106.42+D45*102.91)</f>
        <v>4.999938342565946E-2</v>
      </c>
      <c r="DQ45">
        <f>SUM(DM45:DO45)-DP45</f>
        <v>4.3125094644544717</v>
      </c>
      <c r="DR45">
        <f>DQ45*60*7200*0.33</f>
        <v>614791.34925262944</v>
      </c>
      <c r="DS45">
        <v>1.2</v>
      </c>
      <c r="DT45">
        <f>BM45/60*(AM45*4+AN45*2+AO45*3)*96485/DV45</f>
        <v>1405.7912061949582</v>
      </c>
      <c r="DU45">
        <f>BN45*BA45*(AP45*4+AQ45*2+AR45*3)*96485/DV45/60</f>
        <v>706.09632791556498</v>
      </c>
      <c r="DV45">
        <v>0.7</v>
      </c>
      <c r="DW45">
        <f>0.499*((BK45/3.78541*15)^(-0.146))*BK45/3.78541*15*300*(1+(A45-2)/9)</f>
        <v>38528.386667103026</v>
      </c>
      <c r="DX45">
        <f>0.248*((BK45/3.78541*15)^(-0.144))*BK45/3.78541*15*300*(1+(A45-2)/3)</f>
        <v>33220.879177835675</v>
      </c>
      <c r="DY45">
        <f>0.105*((BK45/3.78541*15)^(-0.144))*BK45/3.78541*15*300*(1+(A45-2)/3)</f>
        <v>14065.291587390104</v>
      </c>
      <c r="DZ45">
        <f>0.058*((BK45/3.78541*15)^(-0.151))*BK45/3.78541*15*300*(1+(A45-2)/3)</f>
        <v>7450.7773575794354</v>
      </c>
      <c r="EA45">
        <f>0.056*((BK45/3.78541*15)^(-0.144))*BK45/3.78541*15*300*(1+(A45-2)/3)</f>
        <v>7501.4888466080574</v>
      </c>
      <c r="EB45">
        <f>DS45*DT45/(3.6*10^6)*3600*7200*0.07</f>
        <v>850.2225215067109</v>
      </c>
      <c r="EC45">
        <f>0.499*((BM45/3.78541*15)^(-0.146))*BM45/3.78541*15*300*(1+(AF45-2)/9)</f>
        <v>36001.204551981551</v>
      </c>
      <c r="ED45">
        <f>0.248*((BM45/3.78541*15)^(-0.144))*BM45/3.78541*15*300*(1+(AF45-2)/3)</f>
        <v>31036.899359153111</v>
      </c>
      <c r="EE45">
        <f>0.105*((BM45/3.78541*15)^(-0.144))*BM45/3.78541*15*300*(1+(AF45-2)/3)</f>
        <v>13140.622712544662</v>
      </c>
      <c r="EF45">
        <f>0.058*((BM45/3.78541*15)^(-0.151))*BM45/3.78541*15*300*(1+(AF45-2)/3)</f>
        <v>6964.8264458875174</v>
      </c>
      <c r="EG45">
        <f>0.056*((BM45/3.78541*15)^(-0.144))*BM45/3.78541*15*300*(1+(AF45-2)/3)</f>
        <v>7008.3321133571535</v>
      </c>
      <c r="EH45">
        <f>DS45*DU45/(3.6*10^6)*3600*7200*0.07</f>
        <v>427.04705912333372</v>
      </c>
      <c r="EI45">
        <f>SUM(DW45:EH45)</f>
        <v>196195.97840007034</v>
      </c>
      <c r="EJ45">
        <f>EI45+DR45+DL45</f>
        <v>26418490.80407868</v>
      </c>
      <c r="EK45">
        <f>EJ45+DF45</f>
        <v>27103864.589948718</v>
      </c>
      <c r="EL45">
        <f>EK45/(BK45*60*7200)</f>
        <v>0.62740427291547962</v>
      </c>
      <c r="EM45">
        <f>EK45/(BM45*(AM45*195.084/1000+AN45*106.42/1000+AO45*102.911/1000)*60*7200)</f>
        <v>2099.1936919774143</v>
      </c>
      <c r="EN45">
        <f>EK45/(BN45*BA45*(AP45*195.084/1000+AQ45*106.42/1000+AR45*102.911/1000)*60*7200)</f>
        <v>3850.5843681469132</v>
      </c>
    </row>
    <row r="46" spans="1:144">
      <c r="A46">
        <f>'Costing 100 Lmin Feed Orig'!A46</f>
        <v>7</v>
      </c>
      <c r="B46">
        <f>'Costing 100 Lmin Feed Orig'!B46</f>
        <v>1.54143585092054E-3</v>
      </c>
      <c r="C46">
        <f>'Costing 100 Lmin Feed Orig'!C46</f>
        <v>1.54143585092054E-3</v>
      </c>
      <c r="D46">
        <f>'Costing 100 Lmin Feed Orig'!D46</f>
        <v>3.4254130020456501E-4</v>
      </c>
      <c r="E46">
        <f>'Costing 100 Lmin Feed Orig'!E46</f>
        <v>0</v>
      </c>
      <c r="F46">
        <f>'Costing 100 Lmin Feed Orig'!F46</f>
        <v>0</v>
      </c>
      <c r="G46">
        <f>'Costing 100 Lmin Feed Orig'!G46</f>
        <v>0</v>
      </c>
      <c r="H46">
        <f>'Costing 100 Lmin Feed Orig'!H46</f>
        <v>1.7744466230058299E-5</v>
      </c>
      <c r="I46">
        <f>'Costing 100 Lmin Feed Orig'!I46</f>
        <v>1.2927742824924801E-8</v>
      </c>
      <c r="J46">
        <f>'Costing 100 Lmin Feed Orig'!J46</f>
        <v>3.3739048286900598E-4</v>
      </c>
      <c r="K46">
        <f>'Costing 100 Lmin Feed Orig'!K46</f>
        <v>0.13716795306346499</v>
      </c>
      <c r="L46">
        <f>'Costing 100 Lmin Feed Orig'!L46</f>
        <v>0.138764207307677</v>
      </c>
      <c r="M46">
        <f>'Costing 100 Lmin Feed Orig'!M46</f>
        <v>4.6369433969460899E-4</v>
      </c>
      <c r="N46">
        <f>'Costing 100 Lmin Feed Orig'!N46</f>
        <v>-1.1037178115902399E-16</v>
      </c>
      <c r="O46">
        <f>'Costing 100 Lmin Feed Orig'!O46</f>
        <v>-5.3700533603207003E-15</v>
      </c>
      <c r="P46">
        <f>'Costing 100 Lmin Feed Orig'!P46</f>
        <v>-3.4304834363799101E-19</v>
      </c>
      <c r="Q46">
        <f>'Costing 100 Lmin Feed Orig'!Q46</f>
        <v>0.111082169753281</v>
      </c>
      <c r="R46">
        <f>'Costing 100 Lmin Feed Orig'!R46</f>
        <v>98.496293050653193</v>
      </c>
      <c r="S46">
        <f>'Costing 100 Lmin Feed Orig'!S46</f>
        <v>500</v>
      </c>
      <c r="T46">
        <f>'Costing 100 Lmin Feed Orig'!T46</f>
        <v>95</v>
      </c>
      <c r="U46">
        <f>'Costing 100 Lmin Feed Orig'!U46</f>
        <v>1</v>
      </c>
      <c r="V46">
        <f>'Costing 100 Lmin Feed Orig'!V46</f>
        <v>0.1</v>
      </c>
      <c r="W46">
        <f>'Costing 100 Lmin Feed Orig'!W46</f>
        <v>90.023448607553206</v>
      </c>
      <c r="X46" t="str">
        <f>'Costing 100 Lmin Feed Orig'!X46</f>
        <v>ddFc</v>
      </c>
      <c r="Y46">
        <f>'Costing 100 Lmin Feed Orig'!Y46</f>
        <v>1</v>
      </c>
      <c r="Z46">
        <f>'Costing 100 Lmin Feed Orig'!Z46</f>
        <v>0.28318429382522198</v>
      </c>
      <c r="AA46">
        <f>'Costing 100 Lmin Feed Orig'!AA46</f>
        <v>0.56945642916197003</v>
      </c>
      <c r="AB46">
        <f>'Costing 100 Lmin Feed Orig'!AB46</f>
        <v>3.7698628972227502E-3</v>
      </c>
      <c r="AC46">
        <f>'Costing 100 Lmin Feed Orig'!AC46</f>
        <v>1822.2107908876901</v>
      </c>
      <c r="AD46">
        <f>'Costing 100 Lmin Feed Orig'!AD46</f>
        <v>2662.6059073104898</v>
      </c>
      <c r="AE46">
        <f>'Costing 100 Lmin Feed Orig'!AE46</f>
        <v>2401.5030938442701</v>
      </c>
      <c r="AF46">
        <f>'Costing 100 Lmin Feed Orig'!AF46</f>
        <v>8</v>
      </c>
      <c r="AG46">
        <f>'Costing 100 Lmin Feed Orig'!AG46</f>
        <v>1.64967327652189E-3</v>
      </c>
      <c r="AH46">
        <f>'Costing 100 Lmin Feed Orig'!AH46</f>
        <v>1.66887089455438E-3</v>
      </c>
      <c r="AI46">
        <f>'Costing 100 Lmin Feed Orig'!AI46</f>
        <v>5.5766973522943398E-6</v>
      </c>
      <c r="AJ46">
        <f>'Costing 100 Lmin Feed Orig'!AJ46</f>
        <v>0</v>
      </c>
      <c r="AK46">
        <f>'Costing 100 Lmin Feed Orig'!AK46</f>
        <v>0</v>
      </c>
      <c r="AL46">
        <f>'Costing 100 Lmin Feed Orig'!AL46</f>
        <v>0</v>
      </c>
      <c r="AM46">
        <f>'Costing 100 Lmin Feed Orig'!AM46</f>
        <v>1.6126668855832699E-3</v>
      </c>
      <c r="AN46">
        <f>'Costing 100 Lmin Feed Orig'!AN46</f>
        <v>7.9337240379229206E-5</v>
      </c>
      <c r="AO46">
        <f>'Costing 100 Lmin Feed Orig'!AO46</f>
        <v>5.5399641251523699E-6</v>
      </c>
      <c r="AP46">
        <f>'Costing 100 Lmin Feed Orig'!AP46</f>
        <v>1.7350315599837401E-3</v>
      </c>
      <c r="AQ46">
        <f>'Costing 100 Lmin Feed Orig'!AQ46</f>
        <v>7.4524723667687906E-2</v>
      </c>
      <c r="AR46">
        <f>'Costing 100 Lmin Feed Orig'!AR46</f>
        <v>1.7222243722089301E-6</v>
      </c>
      <c r="AS46">
        <f>'Costing 100 Lmin Feed Orig'!AS46</f>
        <v>5.7278333009773403E-15</v>
      </c>
      <c r="AT46">
        <f>'Costing 100 Lmin Feed Orig'!AT46</f>
        <v>-1.34509916226155E-12</v>
      </c>
      <c r="AU46">
        <f>'Costing 100 Lmin Feed Orig'!AU46</f>
        <v>2.7085201977436299E-20</v>
      </c>
      <c r="AV46">
        <f>'Costing 100 Lmin Feed Orig'!AV46</f>
        <v>0.19700099793756001</v>
      </c>
      <c r="AW46">
        <f>'Costing 100 Lmin Feed Orig'!AW46</f>
        <v>99.341308577076504</v>
      </c>
      <c r="AX46">
        <f>'Costing 100 Lmin Feed Orig'!AX46</f>
        <v>500</v>
      </c>
      <c r="AY46">
        <f>'Costing 100 Lmin Feed Orig'!AY46</f>
        <v>95</v>
      </c>
      <c r="AZ46">
        <f>'Costing 100 Lmin Feed Orig'!AZ46</f>
        <v>0.92363221637625403</v>
      </c>
      <c r="BA46">
        <f>'Costing 100 Lmin Feed Orig'!BA46</f>
        <v>0.1</v>
      </c>
      <c r="BB46">
        <f>'Costing 100 Lmin Feed Orig'!BB46</f>
        <v>46.884646577729498</v>
      </c>
      <c r="BC46" t="str">
        <f>'Costing 100 Lmin Feed Orig'!BC46</f>
        <v>coeFc</v>
      </c>
      <c r="BD46">
        <f>'Costing 100 Lmin Feed Orig'!BD46</f>
        <v>1</v>
      </c>
      <c r="BE46">
        <f>'Costing 100 Lmin Feed Orig'!BE46</f>
        <v>1.8775014999999999E-2</v>
      </c>
      <c r="BF46">
        <f>'Costing 100 Lmin Feed Orig'!BF46</f>
        <v>0.10492961100000001</v>
      </c>
      <c r="BG46">
        <f>'Costing 100 Lmin Feed Orig'!BG46</f>
        <v>1.814625E-3</v>
      </c>
      <c r="BH46">
        <f>'Costing 100 Lmin Feed Orig'!BH46</f>
        <v>285.1951444</v>
      </c>
      <c r="BI46">
        <f>'Costing 100 Lmin Feed Orig'!BI46</f>
        <v>2169.8944889999998</v>
      </c>
      <c r="BJ46">
        <f>'Costing 100 Lmin Feed Orig'!BJ46</f>
        <v>866.49409060000005</v>
      </c>
      <c r="BK46">
        <f>'Costing 100 Lmin Feed Orig'!BK46</f>
        <v>100</v>
      </c>
      <c r="BL46">
        <f>'Costing 100 Lmin Feed Orig'!BL46</f>
        <v>11.1082169753281</v>
      </c>
      <c r="BM46">
        <f>'Costing 100 Lmin Feed Orig'!BM46</f>
        <v>92.363221637625401</v>
      </c>
      <c r="BN46">
        <f>'Costing 100 Lmin Feed Orig'!BN46</f>
        <v>19.700099793756003</v>
      </c>
      <c r="BO46">
        <f t="shared" si="1"/>
        <v>199.94790555590581</v>
      </c>
      <c r="BP46">
        <f t="shared" si="2"/>
        <v>394.00199587512009</v>
      </c>
      <c r="BQ46">
        <f t="shared" si="3"/>
        <v>19.994790555590583</v>
      </c>
      <c r="BR46">
        <f t="shared" si="4"/>
        <v>39.400199587512013</v>
      </c>
      <c r="BS46">
        <f>1.2*0.5*BL46*V46/'Oxidant Feed Composition'!$N$22</f>
        <v>6.6649301851968596</v>
      </c>
      <c r="BT46">
        <f>1.2*0.5*BN46*BA46/'Oxidant Feed Composition'!$N$22</f>
        <v>11.8200598762536</v>
      </c>
      <c r="BU46">
        <f t="shared" si="5"/>
        <v>5.5541084876640499</v>
      </c>
      <c r="BV46">
        <f t="shared" si="6"/>
        <v>9.8500498968780015</v>
      </c>
      <c r="BW46">
        <f t="shared" si="7"/>
        <v>86.809113149961348</v>
      </c>
      <c r="BX46">
        <f t="shared" si="20"/>
        <v>35.54629432104992</v>
      </c>
      <c r="BY46">
        <f t="shared" si="8"/>
        <v>206.94287722590701</v>
      </c>
      <c r="BZ46">
        <f t="shared" si="9"/>
        <v>63.040319340019209</v>
      </c>
      <c r="CA46">
        <f t="shared" si="10"/>
        <v>59.100299381268009</v>
      </c>
      <c r="CB46">
        <f>BO46*'Reagent cost'!$G$11*'Reagent cost'!$H$11</f>
        <v>2639.3123533379567</v>
      </c>
      <c r="CC46">
        <f>BP46*'Reagent cost'!$G$11*'Reagent cost'!$H$11</f>
        <v>5200.8263455515853</v>
      </c>
      <c r="CD46">
        <f>BQ46*'Reagent cost'!$C$18/1000*'Reagent cost'!$H$18</f>
        <v>3188.7782491883527</v>
      </c>
      <c r="CE46">
        <f>BR46*'Ligand cost'!$B$56*'Ligand cost'!$J$56</f>
        <v>40114.435843849977</v>
      </c>
      <c r="CF46">
        <f t="shared" si="11"/>
        <v>10</v>
      </c>
      <c r="CG46">
        <f t="shared" si="12"/>
        <v>2.22164339506562</v>
      </c>
      <c r="CH46">
        <f t="shared" si="13"/>
        <v>3.9400199587512006</v>
      </c>
      <c r="CI46">
        <f>7963.6*(BX46/1000)^0.6*1.7*('CAPEX+OPEX'!$G$116/'CAPEX+OPEX'!$G$115)</f>
        <v>2156.3414312027717</v>
      </c>
      <c r="CJ46">
        <f>7963.6*(BY46/1000)^0.6*1.7*('CAPEX+OPEX'!$G$116/'CAPEX+OPEX'!$G$115)</f>
        <v>6205.1347590783025</v>
      </c>
      <c r="CK46">
        <f>7963.6*(BZ46/1000)^0.6*1.7*('CAPEX+OPEX'!$G$116/'CAPEX+OPEX'!$G$115)</f>
        <v>3040.9688433532851</v>
      </c>
      <c r="CL46">
        <f>7963.6*(CA46/1000)^0.6*1.7*('CAPEX+OPEX'!$G$116/'CAPEX+OPEX'!$G$115)</f>
        <v>2925.4638532933714</v>
      </c>
      <c r="CM46">
        <f>'Costing 100 Lmin Feed Orig'!DE46</f>
        <v>39625.826528698344</v>
      </c>
      <c r="CN46">
        <f>'Costing 100 Lmin Feed Orig'!DF46</f>
        <v>4586243.4239371875</v>
      </c>
      <c r="CO46">
        <f>'Costing 100 Lmin Feed Orig'!DG46</f>
        <v>11794834.586807497</v>
      </c>
      <c r="CP46">
        <f>'Costing 100 Lmin Feed Orig'!DH46</f>
        <v>2275209.1661185985</v>
      </c>
      <c r="CQ46">
        <f>'Costing 100 Lmin Feed Orig'!DI46</f>
        <v>14083914.336508472</v>
      </c>
      <c r="CR46">
        <f>'Costing 100 Lmin Feed Orig'!DJ46</f>
        <v>1662824.8986326549</v>
      </c>
      <c r="CS46">
        <f>CN46*(BK46/10000)^0.72*((A46+1)/3)^0.6*('CAPEX+OPEX'!$G$116/'CAPEX+OPEX'!$G$114)</f>
        <v>700033.84449786716</v>
      </c>
      <c r="CT46">
        <f>CO46*(BK46/10000)^0.72*((A46+1)/3)^0.6*('CAPEX+OPEX'!$G$116/'CAPEX+OPEX'!$G$114)</f>
        <v>1800336.9288957189</v>
      </c>
      <c r="CU46">
        <f>CP46*(BK46/10000)^0.72*((A46+1)/3)^0.6*('CAPEX+OPEX'!$G$116/'CAPEX+OPEX'!$G$114)</f>
        <v>347282.79168127343</v>
      </c>
      <c r="CV46">
        <f>CQ46*(BK46/10000)^0.72*((A46+1)/3)^0.6*('CAPEX+OPEX'!$G$116/'CAPEX+OPEX'!$G$114)</f>
        <v>2149736.8951473436</v>
      </c>
      <c r="CW46">
        <f>CR46*(BK46/10000)^0.72*((A46+1)/3)^0.6*('CAPEX+OPEX'!$G$116/'CAPEX+OPEX'!$G$114)</f>
        <v>253809.83932102245</v>
      </c>
      <c r="CX46">
        <f t="shared" si="14"/>
        <v>5251200.2995432261</v>
      </c>
      <c r="CY46">
        <f>CN46*(BM46/10000)^0.72*((AF46+1)/3)^0.6*('CAPEX+OPEX'!$G$116/'CAPEX+OPEX'!$G$114)</f>
        <v>709528.56289770885</v>
      </c>
      <c r="CZ46">
        <f>CO46*(BM46/10000)^0.72*((AF46+1)/3)^0.6*('CAPEX+OPEX'!$G$116/'CAPEX+OPEX'!$G$114)</f>
        <v>1824755.3085198672</v>
      </c>
      <c r="DA46">
        <f>CP46*(BM46/10000)^0.72*((AF46+1)/3)^0.6*('CAPEX+OPEX'!$G$116/'CAPEX+OPEX'!$G$114)</f>
        <v>351993.06724586396</v>
      </c>
      <c r="DB46">
        <f>CQ46*(BM46/10000)^0.72*((AF46+1)/3)^0.6*('CAPEX+OPEX'!$G$116/'CAPEX+OPEX'!$G$114)</f>
        <v>2178894.2660567677</v>
      </c>
      <c r="DC46">
        <f>CR46*(BM46/10000)^0.72*((AF46+1)/3)^0.6*('CAPEX+OPEX'!$G$116/'CAPEX+OPEX'!$G$114)</f>
        <v>257252.31995307075</v>
      </c>
      <c r="DD46">
        <f t="shared" si="15"/>
        <v>5322423.5246732784</v>
      </c>
      <c r="DE46">
        <f>CX46+DD46+1.15*(SUM(CI46:CL46)+SUM(CB46:CE46))</f>
        <v>10648915.775147188</v>
      </c>
      <c r="DF46">
        <f t="shared" si="16"/>
        <v>709927.71834314591</v>
      </c>
      <c r="DG46">
        <f>(BS46+BT46)*'Oxidant Feed Composition'!$N$25*60*7200</f>
        <v>14886945.909787718</v>
      </c>
      <c r="DH46">
        <f>((CG46+CH46)*'Reagent cost'!$C$17/1000*'Reagent cost'!$H$17+(CG46+CH46)*0.5*'Reagent cost'!$C$16/1000*'Reagent cost'!$H$16)*60*7200</f>
        <v>5932785.6574074188</v>
      </c>
      <c r="DI46">
        <f>CF46*'Reagent cost'!$C$17/1000*'Reagent cost'!$H$17*60*7200</f>
        <v>504921.59999999998</v>
      </c>
      <c r="DJ46">
        <f t="shared" si="17"/>
        <v>78.401386988895425</v>
      </c>
      <c r="DK46">
        <f t="shared" si="18"/>
        <v>866.06428186076664</v>
      </c>
      <c r="DL46">
        <f t="shared" si="19"/>
        <v>25590717.159436785</v>
      </c>
      <c r="DM46">
        <f>BK46*(B46*(409.81+2)/1000+C46*(248.2+2*22.99)/1000+D46*(315.6+3*22.99)/1000+0.1*58.44/1000)</f>
        <v>0.70639694042110623</v>
      </c>
      <c r="DN46">
        <f>(BS46+BT46)/1000*('Oxidant Feed Composition'!$B$11*'Oxidant Feed Composition'!$O$20+'Oxidant Feed Composition'!$D$11*'Oxidant Feed Composition'!$O$21+'Oxidant Feed Composition'!$F$11*'Oxidant Feed Composition'!$O$27-'Oxidant Feed Composition'!$J$15*18.015)</f>
        <v>2.158761061231063</v>
      </c>
      <c r="DO46">
        <f>(BU46+BV46)/1000*(0.2*368.34+0.4*58.44)</f>
        <v>1.4948811462694986</v>
      </c>
      <c r="DP46">
        <f>BK46/1000*(B46*195.08+C46*106.42+D46*102.91)</f>
        <v>4.999938342565946E-2</v>
      </c>
      <c r="DQ46">
        <f>SUM(DM46:DO46)-DP46</f>
        <v>4.3100397644960085</v>
      </c>
      <c r="DR46">
        <f>DQ46*60*7200*0.33</f>
        <v>614439.26882655104</v>
      </c>
      <c r="DS46">
        <v>1.2</v>
      </c>
      <c r="DT46">
        <f>BM46/60*(AM46*4+AN46*2+AO46*3)*96485/DV46</f>
        <v>1405.9132334970786</v>
      </c>
      <c r="DU46">
        <f>BN46*BA46*(AP46*4+AQ46*2+AR46*3)*96485/DV46/60</f>
        <v>705.97430122516892</v>
      </c>
      <c r="DV46">
        <v>0.7</v>
      </c>
      <c r="DW46">
        <f>0.499*((BK46/3.78541*15)^(-0.146))*BK46/3.78541*15*300*(1+(A46-2)/9)</f>
        <v>38528.386667103026</v>
      </c>
      <c r="DX46">
        <f>0.248*((BK46/3.78541*15)^(-0.144))*BK46/3.78541*15*300*(1+(A46-2)/3)</f>
        <v>33220.879177835675</v>
      </c>
      <c r="DY46">
        <f>0.105*((BK46/3.78541*15)^(-0.144))*BK46/3.78541*15*300*(1+(A46-2)/3)</f>
        <v>14065.291587390104</v>
      </c>
      <c r="DZ46">
        <f>0.058*((BK46/3.78541*15)^(-0.151))*BK46/3.78541*15*300*(1+(A46-2)/3)</f>
        <v>7450.7773575794354</v>
      </c>
      <c r="EA46">
        <f>0.056*((BK46/3.78541*15)^(-0.144))*BK46/3.78541*15*300*(1+(A46-2)/3)</f>
        <v>7501.4888466080574</v>
      </c>
      <c r="EB46">
        <f>DS46*DT46/(3.6*10^6)*3600*7200*0.07</f>
        <v>850.29632361903327</v>
      </c>
      <c r="EC46">
        <f>0.499*((BM46/3.78541*15)^(-0.146))*BM46/3.78541*15*300*(1+(AF46-2)/9)</f>
        <v>38572.719162837369</v>
      </c>
      <c r="ED46">
        <f>0.248*((BM46/3.78541*15)^(-0.144))*BM46/3.78541*15*300*(1+(AF46-2)/3)</f>
        <v>34916.511779047243</v>
      </c>
      <c r="EE46">
        <f>0.105*((BM46/3.78541*15)^(-0.144))*BM46/3.78541*15*300*(1+(AF46-2)/3)</f>
        <v>14783.200551612743</v>
      </c>
      <c r="EF46">
        <f>0.058*((BM46/3.78541*15)^(-0.151))*BM46/3.78541*15*300*(1+(AF46-2)/3)</f>
        <v>7835.4297516234565</v>
      </c>
      <c r="EG46">
        <f>0.056*((BM46/3.78541*15)^(-0.144))*BM46/3.78541*15*300*(1+(AF46-2)/3)</f>
        <v>7884.3736275267966</v>
      </c>
      <c r="EH46">
        <f>DS46*DU46/(3.6*10^6)*3600*7200*0.07</f>
        <v>426.9732573809822</v>
      </c>
      <c r="EI46">
        <f>SUM(DW46:EH46)</f>
        <v>206036.32809016391</v>
      </c>
      <c r="EJ46">
        <f>EI46+DR46+DL46</f>
        <v>26411192.756353501</v>
      </c>
      <c r="EK46">
        <f>EJ46+DF46</f>
        <v>27121120.474696647</v>
      </c>
      <c r="EL46">
        <f>EK46/(BK46*60*7200)</f>
        <v>0.62780371469205198</v>
      </c>
      <c r="EM46">
        <f>EK46/(BM46*(AM46*195.084/1000+AN46*106.42/1000+AO46*102.911/1000)*60*7200)</f>
        <v>2100.3477245455488</v>
      </c>
      <c r="EN46">
        <f>EK46/(BN46*BA46*(AP46*195.084/1000+AQ46*106.42/1000+AR46*102.911/1000)*60*7200)</f>
        <v>3853.6498630119618</v>
      </c>
    </row>
    <row r="47" spans="1:144">
      <c r="A47">
        <f>'Costing 100 Lmin Feed Orig'!A47</f>
        <v>7</v>
      </c>
      <c r="B47">
        <f>'Costing 100 Lmin Feed Orig'!B47</f>
        <v>1.54143585092054E-3</v>
      </c>
      <c r="C47">
        <f>'Costing 100 Lmin Feed Orig'!C47</f>
        <v>1.54143585092054E-3</v>
      </c>
      <c r="D47">
        <f>'Costing 100 Lmin Feed Orig'!D47</f>
        <v>3.4254130020456501E-4</v>
      </c>
      <c r="E47">
        <f>'Costing 100 Lmin Feed Orig'!E47</f>
        <v>0</v>
      </c>
      <c r="F47">
        <f>'Costing 100 Lmin Feed Orig'!F47</f>
        <v>0</v>
      </c>
      <c r="G47">
        <f>'Costing 100 Lmin Feed Orig'!G47</f>
        <v>0</v>
      </c>
      <c r="H47">
        <f>'Costing 100 Lmin Feed Orig'!H47</f>
        <v>1.7744466230058299E-5</v>
      </c>
      <c r="I47">
        <f>'Costing 100 Lmin Feed Orig'!I47</f>
        <v>1.2927742824924801E-8</v>
      </c>
      <c r="J47">
        <f>'Costing 100 Lmin Feed Orig'!J47</f>
        <v>3.3739048286900598E-4</v>
      </c>
      <c r="K47">
        <f>'Costing 100 Lmin Feed Orig'!K47</f>
        <v>0.13716795306346499</v>
      </c>
      <c r="L47">
        <f>'Costing 100 Lmin Feed Orig'!L47</f>
        <v>0.138764207307677</v>
      </c>
      <c r="M47">
        <f>'Costing 100 Lmin Feed Orig'!M47</f>
        <v>4.6369433969460899E-4</v>
      </c>
      <c r="N47">
        <f>'Costing 100 Lmin Feed Orig'!N47</f>
        <v>-1.1037178115902399E-16</v>
      </c>
      <c r="O47">
        <f>'Costing 100 Lmin Feed Orig'!O47</f>
        <v>-5.3700533603207003E-15</v>
      </c>
      <c r="P47">
        <f>'Costing 100 Lmin Feed Orig'!P47</f>
        <v>-3.4304834363799101E-19</v>
      </c>
      <c r="Q47">
        <f>'Costing 100 Lmin Feed Orig'!Q47</f>
        <v>0.111082169753281</v>
      </c>
      <c r="R47">
        <f>'Costing 100 Lmin Feed Orig'!R47</f>
        <v>98.496293050653193</v>
      </c>
      <c r="S47">
        <f>'Costing 100 Lmin Feed Orig'!S47</f>
        <v>500</v>
      </c>
      <c r="T47">
        <f>'Costing 100 Lmin Feed Orig'!T47</f>
        <v>95</v>
      </c>
      <c r="U47">
        <f>'Costing 100 Lmin Feed Orig'!U47</f>
        <v>1</v>
      </c>
      <c r="V47">
        <f>'Costing 100 Lmin Feed Orig'!V47</f>
        <v>0.1</v>
      </c>
      <c r="W47">
        <f>'Costing 100 Lmin Feed Orig'!W47</f>
        <v>90.023448607553206</v>
      </c>
      <c r="X47" t="str">
        <f>'Costing 100 Lmin Feed Orig'!X47</f>
        <v>ddFc</v>
      </c>
      <c r="Y47">
        <f>'Costing 100 Lmin Feed Orig'!Y47</f>
        <v>1</v>
      </c>
      <c r="Z47">
        <f>'Costing 100 Lmin Feed Orig'!Z47</f>
        <v>0.28318429382522198</v>
      </c>
      <c r="AA47">
        <f>'Costing 100 Lmin Feed Orig'!AA47</f>
        <v>0.56945642916197003</v>
      </c>
      <c r="AB47">
        <f>'Costing 100 Lmin Feed Orig'!AB47</f>
        <v>3.7698628972227502E-3</v>
      </c>
      <c r="AC47">
        <f>'Costing 100 Lmin Feed Orig'!AC47</f>
        <v>1822.2107908876901</v>
      </c>
      <c r="AD47">
        <f>'Costing 100 Lmin Feed Orig'!AD47</f>
        <v>2662.6059073104898</v>
      </c>
      <c r="AE47">
        <f>'Costing 100 Lmin Feed Orig'!AE47</f>
        <v>2401.5030938442701</v>
      </c>
      <c r="AF47">
        <f>'Costing 100 Lmin Feed Orig'!AF47</f>
        <v>9</v>
      </c>
      <c r="AG47">
        <f>'Costing 100 Lmin Feed Orig'!AG47</f>
        <v>1.64967327652189E-3</v>
      </c>
      <c r="AH47">
        <f>'Costing 100 Lmin Feed Orig'!AH47</f>
        <v>1.66887089455438E-3</v>
      </c>
      <c r="AI47">
        <f>'Costing 100 Lmin Feed Orig'!AI47</f>
        <v>5.5766973522943398E-6</v>
      </c>
      <c r="AJ47">
        <f>'Costing 100 Lmin Feed Orig'!AJ47</f>
        <v>0</v>
      </c>
      <c r="AK47">
        <f>'Costing 100 Lmin Feed Orig'!AK47</f>
        <v>0</v>
      </c>
      <c r="AL47">
        <f>'Costing 100 Lmin Feed Orig'!AL47</f>
        <v>0</v>
      </c>
      <c r="AM47">
        <f>'Costing 100 Lmin Feed Orig'!AM47</f>
        <v>1.6127064588001699E-3</v>
      </c>
      <c r="AN47">
        <f>'Costing 100 Lmin Feed Orig'!AN47</f>
        <v>7.9339285496144799E-5</v>
      </c>
      <c r="AO47">
        <f>'Costing 100 Lmin Feed Orig'!AO47</f>
        <v>5.5400017762774897E-6</v>
      </c>
      <c r="AP47">
        <f>'Costing 100 Lmin Feed Orig'!AP47</f>
        <v>1.7336940135680801E-3</v>
      </c>
      <c r="AQ47">
        <f>'Costing 100 Lmin Feed Orig'!AQ47</f>
        <v>7.4546893805151004E-2</v>
      </c>
      <c r="AR47">
        <f>'Costing 100 Lmin Feed Orig'!AR47</f>
        <v>1.7209731425580199E-6</v>
      </c>
      <c r="AS47">
        <f>'Costing 100 Lmin Feed Orig'!AS47</f>
        <v>4.4438736544749601E-17</v>
      </c>
      <c r="AT47">
        <f>'Costing 100 Lmin Feed Orig'!AT47</f>
        <v>-5.7289242794133999E-15</v>
      </c>
      <c r="AU47">
        <f>'Costing 100 Lmin Feed Orig'!AU47</f>
        <v>-1.43598554339205E-21</v>
      </c>
      <c r="AV47">
        <f>'Costing 100 Lmin Feed Orig'!AV47</f>
        <v>0.19694215655956099</v>
      </c>
      <c r="AW47">
        <f>'Costing 100 Lmin Feed Orig'!AW47</f>
        <v>99.341983728025795</v>
      </c>
      <c r="AX47">
        <f>'Costing 100 Lmin Feed Orig'!AX47</f>
        <v>500</v>
      </c>
      <c r="AY47">
        <f>'Costing 100 Lmin Feed Orig'!AY47</f>
        <v>95</v>
      </c>
      <c r="AZ47">
        <f>'Costing 100 Lmin Feed Orig'!AZ47</f>
        <v>0.92363221637625403</v>
      </c>
      <c r="BA47">
        <f>'Costing 100 Lmin Feed Orig'!BA47</f>
        <v>0.1</v>
      </c>
      <c r="BB47">
        <f>'Costing 100 Lmin Feed Orig'!BB47</f>
        <v>46.898654534480997</v>
      </c>
      <c r="BC47" t="str">
        <f>'Costing 100 Lmin Feed Orig'!BC47</f>
        <v>coeFc</v>
      </c>
      <c r="BD47">
        <f>'Costing 100 Lmin Feed Orig'!BD47</f>
        <v>1</v>
      </c>
      <c r="BE47">
        <f>'Costing 100 Lmin Feed Orig'!BE47</f>
        <v>1.8775014999999999E-2</v>
      </c>
      <c r="BF47">
        <f>'Costing 100 Lmin Feed Orig'!BF47</f>
        <v>0.10492961100000001</v>
      </c>
      <c r="BG47">
        <f>'Costing 100 Lmin Feed Orig'!BG47</f>
        <v>1.814625E-3</v>
      </c>
      <c r="BH47">
        <f>'Costing 100 Lmin Feed Orig'!BH47</f>
        <v>285.1951444</v>
      </c>
      <c r="BI47">
        <f>'Costing 100 Lmin Feed Orig'!BI47</f>
        <v>2169.8944889999998</v>
      </c>
      <c r="BJ47">
        <f>'Costing 100 Lmin Feed Orig'!BJ47</f>
        <v>866.49409060000005</v>
      </c>
      <c r="BK47">
        <f>'Costing 100 Lmin Feed Orig'!BK47</f>
        <v>100</v>
      </c>
      <c r="BL47">
        <f>'Costing 100 Lmin Feed Orig'!BL47</f>
        <v>11.1082169753281</v>
      </c>
      <c r="BM47">
        <f>'Costing 100 Lmin Feed Orig'!BM47</f>
        <v>92.363221637625401</v>
      </c>
      <c r="BN47">
        <f>'Costing 100 Lmin Feed Orig'!BN47</f>
        <v>19.6942156559561</v>
      </c>
      <c r="BO47">
        <f t="shared" si="1"/>
        <v>199.94790555590581</v>
      </c>
      <c r="BP47">
        <f t="shared" si="2"/>
        <v>433.2727444310342</v>
      </c>
      <c r="BQ47">
        <f t="shared" si="3"/>
        <v>19.994790555590583</v>
      </c>
      <c r="BR47">
        <f t="shared" si="4"/>
        <v>43.32727444310342</v>
      </c>
      <c r="BS47">
        <f>1.2*0.5*BL47*V47/'Oxidant Feed Composition'!$N$22</f>
        <v>6.6649301851968596</v>
      </c>
      <c r="BT47">
        <f>1.2*0.5*BN47*BA47/'Oxidant Feed Composition'!$N$22</f>
        <v>11.81652939357366</v>
      </c>
      <c r="BU47">
        <f t="shared" si="5"/>
        <v>5.5541084876640499</v>
      </c>
      <c r="BV47">
        <f t="shared" si="6"/>
        <v>9.84710782797805</v>
      </c>
      <c r="BW47">
        <f t="shared" si="7"/>
        <v>86.809113149961348</v>
      </c>
      <c r="BX47">
        <f t="shared" si="20"/>
        <v>35.54629432104992</v>
      </c>
      <c r="BY47">
        <f t="shared" si="8"/>
        <v>206.94287722590701</v>
      </c>
      <c r="BZ47">
        <f t="shared" si="9"/>
        <v>63.02149009905952</v>
      </c>
      <c r="CA47">
        <f t="shared" si="10"/>
        <v>59.0826469678683</v>
      </c>
      <c r="CB47">
        <f>BO47*'Reagent cost'!$G$11*'Reagent cost'!$H$11</f>
        <v>2639.3123533379567</v>
      </c>
      <c r="CC47">
        <f>BP47*'Reagent cost'!$G$11*'Reagent cost'!$H$11</f>
        <v>5719.2002264896519</v>
      </c>
      <c r="CD47">
        <f>BQ47*'Reagent cost'!$C$18/1000*'Reagent cost'!$H$18</f>
        <v>3188.7782491883527</v>
      </c>
      <c r="CE47">
        <f>BR47*'Ligand cost'!$B$56*'Ligand cost'!$J$56</f>
        <v>44112.69965971521</v>
      </c>
      <c r="CF47">
        <f t="shared" si="11"/>
        <v>10</v>
      </c>
      <c r="CG47">
        <f t="shared" si="12"/>
        <v>2.22164339506562</v>
      </c>
      <c r="CH47">
        <f t="shared" si="13"/>
        <v>3.93884313119122</v>
      </c>
      <c r="CI47">
        <f>7963.6*(BX47/1000)^0.6*1.7*('CAPEX+OPEX'!$G$116/'CAPEX+OPEX'!$G$115)</f>
        <v>2156.3414312027717</v>
      </c>
      <c r="CJ47">
        <f>7963.6*(BY47/1000)^0.6*1.7*('CAPEX+OPEX'!$G$116/'CAPEX+OPEX'!$G$115)</f>
        <v>6205.1347590783025</v>
      </c>
      <c r="CK47">
        <f>7963.6*(BZ47/1000)^0.6*1.7*('CAPEX+OPEX'!$G$116/'CAPEX+OPEX'!$G$115)</f>
        <v>3040.4238344763421</v>
      </c>
      <c r="CL47">
        <f>7963.6*(CA47/1000)^0.6*1.7*('CAPEX+OPEX'!$G$116/'CAPEX+OPEX'!$G$115)</f>
        <v>2924.9395454653882</v>
      </c>
      <c r="CM47">
        <f>'Costing 100 Lmin Feed Orig'!DE47</f>
        <v>39625.826528698344</v>
      </c>
      <c r="CN47">
        <f>'Costing 100 Lmin Feed Orig'!DF47</f>
        <v>4586243.4239371875</v>
      </c>
      <c r="CO47">
        <f>'Costing 100 Lmin Feed Orig'!DG47</f>
        <v>11794834.586807497</v>
      </c>
      <c r="CP47">
        <f>'Costing 100 Lmin Feed Orig'!DH47</f>
        <v>2275209.1661185985</v>
      </c>
      <c r="CQ47">
        <f>'Costing 100 Lmin Feed Orig'!DI47</f>
        <v>14083914.336508472</v>
      </c>
      <c r="CR47">
        <f>'Costing 100 Lmin Feed Orig'!DJ47</f>
        <v>1662824.8986326549</v>
      </c>
      <c r="CS47">
        <f>CN47*(BK47/10000)^0.72*((A47+1)/3)^0.6*('CAPEX+OPEX'!$G$116/'CAPEX+OPEX'!$G$114)</f>
        <v>700033.84449786716</v>
      </c>
      <c r="CT47">
        <f>CO47*(BK47/10000)^0.72*((A47+1)/3)^0.6*('CAPEX+OPEX'!$G$116/'CAPEX+OPEX'!$G$114)</f>
        <v>1800336.9288957189</v>
      </c>
      <c r="CU47">
        <f>CP47*(BK47/10000)^0.72*((A47+1)/3)^0.6*('CAPEX+OPEX'!$G$116/'CAPEX+OPEX'!$G$114)</f>
        <v>347282.79168127343</v>
      </c>
      <c r="CV47">
        <f>CQ47*(BK47/10000)^0.72*((A47+1)/3)^0.6*('CAPEX+OPEX'!$G$116/'CAPEX+OPEX'!$G$114)</f>
        <v>2149736.8951473436</v>
      </c>
      <c r="CW47">
        <f>CR47*(BK47/10000)^0.72*((A47+1)/3)^0.6*('CAPEX+OPEX'!$G$116/'CAPEX+OPEX'!$G$114)</f>
        <v>253809.83932102245</v>
      </c>
      <c r="CX47">
        <f t="shared" si="14"/>
        <v>5251200.2995432261</v>
      </c>
      <c r="CY47">
        <f>CN47*(BM47/10000)^0.72*((AF47+1)/3)^0.6*('CAPEX+OPEX'!$G$116/'CAPEX+OPEX'!$G$114)</f>
        <v>755830.43823057832</v>
      </c>
      <c r="CZ47">
        <f>CO47*(BM47/10000)^0.72*((AF47+1)/3)^0.6*('CAPEX+OPEX'!$G$116/'CAPEX+OPEX'!$G$114)</f>
        <v>1943833.8026442246</v>
      </c>
      <c r="DA47">
        <f>CP47*(BM47/10000)^0.72*((AF47+1)/3)^0.6*('CAPEX+OPEX'!$G$116/'CAPEX+OPEX'!$G$114)</f>
        <v>374963.16312345862</v>
      </c>
      <c r="DB47">
        <f>CQ47*(BM47/10000)^0.72*((AF47+1)/3)^0.6*('CAPEX+OPEX'!$G$116/'CAPEX+OPEX'!$G$114)</f>
        <v>2321082.8909352971</v>
      </c>
      <c r="DC47">
        <f>CR47*(BM47/10000)^0.72*((AF47+1)/3)^0.6*('CAPEX+OPEX'!$G$116/'CAPEX+OPEX'!$G$114)</f>
        <v>274039.89619794104</v>
      </c>
      <c r="DD47">
        <f t="shared" si="15"/>
        <v>5669750.1911314996</v>
      </c>
      <c r="DE47">
        <f>CX47+DD47+1.15*(SUM(CI47:CL47)+SUM(CB47:CE47))</f>
        <v>11001435.345242525</v>
      </c>
      <c r="DF47">
        <f t="shared" si="16"/>
        <v>733429.02301616827</v>
      </c>
      <c r="DG47">
        <f>(BS47+BT47)*'Oxidant Feed Composition'!$N$25*60*7200</f>
        <v>14884102.624261623</v>
      </c>
      <c r="DH47">
        <f>((CG47+CH47)*'Reagent cost'!$C$17/1000*'Reagent cost'!$H$17+(CG47+CH47)*0.5*'Reagent cost'!$C$16/1000*'Reagent cost'!$H$16)*60*7200</f>
        <v>5931652.5436249571</v>
      </c>
      <c r="DI47">
        <f>CF47*'Reagent cost'!$C$17/1000*'Reagent cost'!$H$17*60*7200</f>
        <v>504921.59999999998</v>
      </c>
      <c r="DJ47">
        <f t="shared" si="17"/>
        <v>83.585125798276096</v>
      </c>
      <c r="DK47">
        <f t="shared" si="18"/>
        <v>946.02955817807128</v>
      </c>
      <c r="DL47">
        <f t="shared" si="19"/>
        <v>25586047.659084667</v>
      </c>
      <c r="DM47">
        <f>BK47*(B47*(409.81+2)/1000+C47*(248.2+2*22.99)/1000+D47*(315.6+3*22.99)/1000+0.1*58.44/1000)</f>
        <v>0.70639694042110623</v>
      </c>
      <c r="DN47">
        <f>(BS47+BT47)/1000*('Oxidant Feed Composition'!$B$11*'Oxidant Feed Composition'!$O$20+'Oxidant Feed Composition'!$D$11*'Oxidant Feed Composition'!$O$21+'Oxidant Feed Composition'!$F$11*'Oxidant Feed Composition'!$O$27-'Oxidant Feed Composition'!$J$15*18.015)</f>
        <v>2.1583487554353087</v>
      </c>
      <c r="DO47">
        <f>(BU47+BV47)/1000*(0.2*368.34+0.4*58.44)</f>
        <v>1.4945956361351718</v>
      </c>
      <c r="DP47">
        <f>BK47/1000*(B47*195.08+C47*106.42+D47*102.91)</f>
        <v>4.999938342565946E-2</v>
      </c>
      <c r="DQ47">
        <f>SUM(DM47:DO47)-DP47</f>
        <v>4.309341948565927</v>
      </c>
      <c r="DR47">
        <f>DQ47*60*7200*0.33</f>
        <v>614339.78818755853</v>
      </c>
      <c r="DS47">
        <v>1.2</v>
      </c>
      <c r="DT47">
        <f>BM47/60*(AM47*4+AN47*2+AO47*3)*96485/DV47</f>
        <v>1405.9477123179286</v>
      </c>
      <c r="DU47">
        <f>BN47*BA47*(AP47*4+AQ47*2+AR47*3)*96485/DV47/60</f>
        <v>705.93982179416889</v>
      </c>
      <c r="DV47">
        <v>0.7</v>
      </c>
      <c r="DW47">
        <f>0.499*((BK47/3.78541*15)^(-0.146))*BK47/3.78541*15*300*(1+(A47-2)/9)</f>
        <v>38528.386667103026</v>
      </c>
      <c r="DX47">
        <f>0.248*((BK47/3.78541*15)^(-0.144))*BK47/3.78541*15*300*(1+(A47-2)/3)</f>
        <v>33220.879177835675</v>
      </c>
      <c r="DY47">
        <f>0.105*((BK47/3.78541*15)^(-0.144))*BK47/3.78541*15*300*(1+(A47-2)/3)</f>
        <v>14065.291587390104</v>
      </c>
      <c r="DZ47">
        <f>0.058*((BK47/3.78541*15)^(-0.151))*BK47/3.78541*15*300*(1+(A47-2)/3)</f>
        <v>7450.7773575794354</v>
      </c>
      <c r="EA47">
        <f>0.056*((BK47/3.78541*15)^(-0.144))*BK47/3.78541*15*300*(1+(A47-2)/3)</f>
        <v>7501.4888466080574</v>
      </c>
      <c r="EB47">
        <f>DS47*DT47/(3.6*10^6)*3600*7200*0.07</f>
        <v>850.31717640988325</v>
      </c>
      <c r="EC47">
        <f>0.499*((BM47/3.78541*15)^(-0.146))*BM47/3.78541*15*300*(1+(AF47-2)/9)</f>
        <v>41144.233773693195</v>
      </c>
      <c r="ED47">
        <f>0.248*((BM47/3.78541*15)^(-0.144))*BM47/3.78541*15*300*(1+(AF47-2)/3)</f>
        <v>38796.12419894139</v>
      </c>
      <c r="EE47">
        <f>0.105*((BM47/3.78541*15)^(-0.144))*BM47/3.78541*15*300*(1+(AF47-2)/3)</f>
        <v>16425.778390680825</v>
      </c>
      <c r="EF47">
        <f>0.058*((BM47/3.78541*15)^(-0.151))*BM47/3.78541*15*300*(1+(AF47-2)/3)</f>
        <v>8706.0330573593965</v>
      </c>
      <c r="EG47">
        <f>0.056*((BM47/3.78541*15)^(-0.144))*BM47/3.78541*15*300*(1+(AF47-2)/3)</f>
        <v>8760.4151416964414</v>
      </c>
      <c r="EH47">
        <f>DS47*DU47/(3.6*10^6)*3600*7200*0.07</f>
        <v>426.95240422111334</v>
      </c>
      <c r="EI47">
        <f>SUM(DW47:EH47)</f>
        <v>215876.67777951853</v>
      </c>
      <c r="EJ47">
        <f>EI47+DR47+DL47</f>
        <v>26416264.125051744</v>
      </c>
      <c r="EK47">
        <f>EJ47+DF47</f>
        <v>27149693.148067914</v>
      </c>
      <c r="EL47">
        <f>EK47/(BK47*60*7200)</f>
        <v>0.62846511916823877</v>
      </c>
      <c r="EM47">
        <f>EK47/(BM47*(AM47*195.084/1000+AN47*106.42/1000+AO47*102.911/1000)*60*7200)</f>
        <v>2102.5088895813756</v>
      </c>
      <c r="EN47">
        <f>EK47/(BN47*BA47*(AP47*195.084/1000+AQ47*106.42/1000+AR47*102.911/1000)*60*7200)</f>
        <v>3857.8834701813007</v>
      </c>
    </row>
    <row r="48" spans="1:144">
      <c r="A48">
        <f>'Costing 100 Lmin Feed Orig'!A48</f>
        <v>7</v>
      </c>
      <c r="B48">
        <f>'Costing 100 Lmin Feed Orig'!B48</f>
        <v>1.54143585092054E-3</v>
      </c>
      <c r="C48">
        <f>'Costing 100 Lmin Feed Orig'!C48</f>
        <v>1.54143585092054E-3</v>
      </c>
      <c r="D48">
        <f>'Costing 100 Lmin Feed Orig'!D48</f>
        <v>3.4254130020456501E-4</v>
      </c>
      <c r="E48">
        <f>'Costing 100 Lmin Feed Orig'!E48</f>
        <v>0</v>
      </c>
      <c r="F48">
        <f>'Costing 100 Lmin Feed Orig'!F48</f>
        <v>0</v>
      </c>
      <c r="G48">
        <f>'Costing 100 Lmin Feed Orig'!G48</f>
        <v>0</v>
      </c>
      <c r="H48">
        <f>'Costing 100 Lmin Feed Orig'!H48</f>
        <v>1.7744466230058299E-5</v>
      </c>
      <c r="I48">
        <f>'Costing 100 Lmin Feed Orig'!I48</f>
        <v>1.2927742824924801E-8</v>
      </c>
      <c r="J48">
        <f>'Costing 100 Lmin Feed Orig'!J48</f>
        <v>3.3739048286900598E-4</v>
      </c>
      <c r="K48">
        <f>'Costing 100 Lmin Feed Orig'!K48</f>
        <v>0.13716795306346499</v>
      </c>
      <c r="L48">
        <f>'Costing 100 Lmin Feed Orig'!L48</f>
        <v>0.138764207307677</v>
      </c>
      <c r="M48">
        <f>'Costing 100 Lmin Feed Orig'!M48</f>
        <v>4.6369433969460899E-4</v>
      </c>
      <c r="N48">
        <f>'Costing 100 Lmin Feed Orig'!N48</f>
        <v>-1.1037178115902399E-16</v>
      </c>
      <c r="O48">
        <f>'Costing 100 Lmin Feed Orig'!O48</f>
        <v>-5.3700533603207003E-15</v>
      </c>
      <c r="P48">
        <f>'Costing 100 Lmin Feed Orig'!P48</f>
        <v>-3.4304834363799101E-19</v>
      </c>
      <c r="Q48">
        <f>'Costing 100 Lmin Feed Orig'!Q48</f>
        <v>0.111082169753281</v>
      </c>
      <c r="R48">
        <f>'Costing 100 Lmin Feed Orig'!R48</f>
        <v>98.496293050653193</v>
      </c>
      <c r="S48">
        <f>'Costing 100 Lmin Feed Orig'!S48</f>
        <v>500</v>
      </c>
      <c r="T48">
        <f>'Costing 100 Lmin Feed Orig'!T48</f>
        <v>95</v>
      </c>
      <c r="U48">
        <f>'Costing 100 Lmin Feed Orig'!U48</f>
        <v>1</v>
      </c>
      <c r="V48">
        <f>'Costing 100 Lmin Feed Orig'!V48</f>
        <v>0.1</v>
      </c>
      <c r="W48">
        <f>'Costing 100 Lmin Feed Orig'!W48</f>
        <v>90.023448607553206</v>
      </c>
      <c r="X48" t="str">
        <f>'Costing 100 Lmin Feed Orig'!X48</f>
        <v>ddFc</v>
      </c>
      <c r="Y48">
        <f>'Costing 100 Lmin Feed Orig'!Y48</f>
        <v>1</v>
      </c>
      <c r="Z48">
        <f>'Costing 100 Lmin Feed Orig'!Z48</f>
        <v>0.28318429382522198</v>
      </c>
      <c r="AA48">
        <f>'Costing 100 Lmin Feed Orig'!AA48</f>
        <v>0.56945642916197003</v>
      </c>
      <c r="AB48">
        <f>'Costing 100 Lmin Feed Orig'!AB48</f>
        <v>3.7698628972227502E-3</v>
      </c>
      <c r="AC48">
        <f>'Costing 100 Lmin Feed Orig'!AC48</f>
        <v>1822.2107908876901</v>
      </c>
      <c r="AD48">
        <f>'Costing 100 Lmin Feed Orig'!AD48</f>
        <v>2662.6059073104898</v>
      </c>
      <c r="AE48">
        <f>'Costing 100 Lmin Feed Orig'!AE48</f>
        <v>2401.5030938442701</v>
      </c>
      <c r="AF48">
        <f>'Costing 100 Lmin Feed Orig'!AF48</f>
        <v>10</v>
      </c>
      <c r="AG48">
        <f>'Costing 100 Lmin Feed Orig'!AG48</f>
        <v>1.64967327652189E-3</v>
      </c>
      <c r="AH48">
        <f>'Costing 100 Lmin Feed Orig'!AH48</f>
        <v>1.66887089455438E-3</v>
      </c>
      <c r="AI48">
        <f>'Costing 100 Lmin Feed Orig'!AI48</f>
        <v>5.5766973522943398E-6</v>
      </c>
      <c r="AJ48">
        <f>'Costing 100 Lmin Feed Orig'!AJ48</f>
        <v>0</v>
      </c>
      <c r="AK48">
        <f>'Costing 100 Lmin Feed Orig'!AK48</f>
        <v>0</v>
      </c>
      <c r="AL48">
        <f>'Costing 100 Lmin Feed Orig'!AL48</f>
        <v>0</v>
      </c>
      <c r="AM48">
        <f>'Costing 100 Lmin Feed Orig'!AM48</f>
        <v>1.6127176023782901E-3</v>
      </c>
      <c r="AN48">
        <f>'Costing 100 Lmin Feed Orig'!AN48</f>
        <v>7.93398614299424E-5</v>
      </c>
      <c r="AO48">
        <f>'Costing 100 Lmin Feed Orig'!AO48</f>
        <v>5.5400123786141803E-6</v>
      </c>
      <c r="AP48">
        <f>'Costing 100 Lmin Feed Orig'!AP48</f>
        <v>1.73331722315182E-3</v>
      </c>
      <c r="AQ48">
        <f>'Costing 100 Lmin Feed Orig'!AQ48</f>
        <v>7.4553139192579998E-2</v>
      </c>
      <c r="AR48">
        <f>'Costing 100 Lmin Feed Orig'!AR48</f>
        <v>1.72062066779231E-6</v>
      </c>
      <c r="AS48">
        <f>'Costing 100 Lmin Feed Orig'!AS48</f>
        <v>7.0422590285265596E-15</v>
      </c>
      <c r="AT48">
        <f>'Costing 100 Lmin Feed Orig'!AT48</f>
        <v>-7.2813760229606304E-13</v>
      </c>
      <c r="AU48">
        <f>'Costing 100 Lmin Feed Orig'!AU48</f>
        <v>6.7531025208829095E-20</v>
      </c>
      <c r="AV48">
        <f>'Costing 100 Lmin Feed Orig'!AV48</f>
        <v>0.19692558727263099</v>
      </c>
      <c r="AW48">
        <f>'Costing 100 Lmin Feed Orig'!AW48</f>
        <v>99.342173846585595</v>
      </c>
      <c r="AX48">
        <f>'Costing 100 Lmin Feed Orig'!AX48</f>
        <v>500</v>
      </c>
      <c r="AY48">
        <f>'Costing 100 Lmin Feed Orig'!AY48</f>
        <v>95</v>
      </c>
      <c r="AZ48">
        <f>'Costing 100 Lmin Feed Orig'!AZ48</f>
        <v>0.92363221637625403</v>
      </c>
      <c r="BA48">
        <f>'Costing 100 Lmin Feed Orig'!BA48</f>
        <v>0.1</v>
      </c>
      <c r="BB48">
        <f>'Costing 100 Lmin Feed Orig'!BB48</f>
        <v>46.9026005796566</v>
      </c>
      <c r="BC48" t="str">
        <f>'Costing 100 Lmin Feed Orig'!BC48</f>
        <v>coeFc</v>
      </c>
      <c r="BD48">
        <f>'Costing 100 Lmin Feed Orig'!BD48</f>
        <v>1</v>
      </c>
      <c r="BE48">
        <f>'Costing 100 Lmin Feed Orig'!BE48</f>
        <v>1.8775014999999999E-2</v>
      </c>
      <c r="BF48">
        <f>'Costing 100 Lmin Feed Orig'!BF48</f>
        <v>0.10492961100000001</v>
      </c>
      <c r="BG48">
        <f>'Costing 100 Lmin Feed Orig'!BG48</f>
        <v>1.814625E-3</v>
      </c>
      <c r="BH48">
        <f>'Costing 100 Lmin Feed Orig'!BH48</f>
        <v>285.1951444</v>
      </c>
      <c r="BI48">
        <f>'Costing 100 Lmin Feed Orig'!BI48</f>
        <v>2169.8944889999998</v>
      </c>
      <c r="BJ48">
        <f>'Costing 100 Lmin Feed Orig'!BJ48</f>
        <v>866.49409060000005</v>
      </c>
      <c r="BK48">
        <f>'Costing 100 Lmin Feed Orig'!BK48</f>
        <v>100</v>
      </c>
      <c r="BL48">
        <f>'Costing 100 Lmin Feed Orig'!BL48</f>
        <v>11.1082169753281</v>
      </c>
      <c r="BM48">
        <f>'Costing 100 Lmin Feed Orig'!BM48</f>
        <v>92.363221637625401</v>
      </c>
      <c r="BN48">
        <f>'Costing 100 Lmin Feed Orig'!BN48</f>
        <v>19.692558727263098</v>
      </c>
      <c r="BO48">
        <f t="shared" si="1"/>
        <v>199.94790555590581</v>
      </c>
      <c r="BP48">
        <f t="shared" si="2"/>
        <v>472.62140945431435</v>
      </c>
      <c r="BQ48">
        <f t="shared" si="3"/>
        <v>19.994790555590583</v>
      </c>
      <c r="BR48">
        <f t="shared" si="4"/>
        <v>47.26214094543144</v>
      </c>
      <c r="BS48">
        <f>1.2*0.5*BL48*V48/'Oxidant Feed Composition'!$N$22</f>
        <v>6.6649301851968596</v>
      </c>
      <c r="BT48">
        <f>1.2*0.5*BN48*BA48/'Oxidant Feed Composition'!$N$22</f>
        <v>11.815535236357858</v>
      </c>
      <c r="BU48">
        <f t="shared" si="5"/>
        <v>5.5541084876640499</v>
      </c>
      <c r="BV48">
        <f t="shared" si="6"/>
        <v>9.8462793636315489</v>
      </c>
      <c r="BW48">
        <f t="shared" si="7"/>
        <v>86.809113149961348</v>
      </c>
      <c r="BX48">
        <f t="shared" si="20"/>
        <v>35.54629432104992</v>
      </c>
      <c r="BY48">
        <f t="shared" si="8"/>
        <v>206.94287722590701</v>
      </c>
      <c r="BZ48">
        <f t="shared" si="9"/>
        <v>63.016187927241916</v>
      </c>
      <c r="CA48">
        <f t="shared" si="10"/>
        <v>59.077676181789293</v>
      </c>
      <c r="CB48">
        <f>BO48*'Reagent cost'!$G$11*'Reagent cost'!$H$11</f>
        <v>2639.3123533379567</v>
      </c>
      <c r="CC48">
        <f>BP48*'Reagent cost'!$G$11*'Reagent cost'!$H$11</f>
        <v>6238.6026047969499</v>
      </c>
      <c r="CD48">
        <f>BQ48*'Reagent cost'!$C$18/1000*'Reagent cost'!$H$18</f>
        <v>3188.7782491883527</v>
      </c>
      <c r="CE48">
        <f>BR48*'Ligand cost'!$B$56*'Ligand cost'!$J$56</f>
        <v>48118.896367200447</v>
      </c>
      <c r="CF48">
        <f t="shared" si="11"/>
        <v>10</v>
      </c>
      <c r="CG48">
        <f t="shared" si="12"/>
        <v>2.22164339506562</v>
      </c>
      <c r="CH48">
        <f t="shared" si="13"/>
        <v>3.9385117454526197</v>
      </c>
      <c r="CI48">
        <f>7963.6*(BX48/1000)^0.6*1.7*('CAPEX+OPEX'!$G$116/'CAPEX+OPEX'!$G$115)</f>
        <v>2156.3414312027717</v>
      </c>
      <c r="CJ48">
        <f>7963.6*(BY48/1000)^0.6*1.7*('CAPEX+OPEX'!$G$116/'CAPEX+OPEX'!$G$115)</f>
        <v>6205.1347590783025</v>
      </c>
      <c r="CK48">
        <f>7963.6*(BZ48/1000)^0.6*1.7*('CAPEX+OPEX'!$G$116/'CAPEX+OPEX'!$G$115)</f>
        <v>3040.2703523468736</v>
      </c>
      <c r="CL48">
        <f>7963.6*(CA48/1000)^0.6*1.7*('CAPEX+OPEX'!$G$116/'CAPEX+OPEX'!$G$115)</f>
        <v>2924.7918930411074</v>
      </c>
      <c r="CM48">
        <f>'Costing 100 Lmin Feed Orig'!DE48</f>
        <v>39625.826528698344</v>
      </c>
      <c r="CN48">
        <f>'Costing 100 Lmin Feed Orig'!DF48</f>
        <v>4586243.4239371875</v>
      </c>
      <c r="CO48">
        <f>'Costing 100 Lmin Feed Orig'!DG48</f>
        <v>11794834.586807497</v>
      </c>
      <c r="CP48">
        <f>'Costing 100 Lmin Feed Orig'!DH48</f>
        <v>2275209.1661185985</v>
      </c>
      <c r="CQ48">
        <f>'Costing 100 Lmin Feed Orig'!DI48</f>
        <v>14083914.336508472</v>
      </c>
      <c r="CR48">
        <f>'Costing 100 Lmin Feed Orig'!DJ48</f>
        <v>1662824.8986326549</v>
      </c>
      <c r="CS48">
        <f>CN48*(BK48/10000)^0.72*((A48+1)/3)^0.6*('CAPEX+OPEX'!$G$116/'CAPEX+OPEX'!$G$114)</f>
        <v>700033.84449786716</v>
      </c>
      <c r="CT48">
        <f>CO48*(BK48/10000)^0.72*((A48+1)/3)^0.6*('CAPEX+OPEX'!$G$116/'CAPEX+OPEX'!$G$114)</f>
        <v>1800336.9288957189</v>
      </c>
      <c r="CU48">
        <f>CP48*(BK48/10000)^0.72*((A48+1)/3)^0.6*('CAPEX+OPEX'!$G$116/'CAPEX+OPEX'!$G$114)</f>
        <v>347282.79168127343</v>
      </c>
      <c r="CV48">
        <f>CQ48*(BK48/10000)^0.72*((A48+1)/3)^0.6*('CAPEX+OPEX'!$G$116/'CAPEX+OPEX'!$G$114)</f>
        <v>2149736.8951473436</v>
      </c>
      <c r="CW48">
        <f>CR48*(BK48/10000)^0.72*((A48+1)/3)^0.6*('CAPEX+OPEX'!$G$116/'CAPEX+OPEX'!$G$114)</f>
        <v>253809.83932102245</v>
      </c>
      <c r="CX48">
        <f t="shared" si="14"/>
        <v>5251200.2995432261</v>
      </c>
      <c r="CY48">
        <f>CN48*(BM48/10000)^0.72*((AF48+1)/3)^0.6*('CAPEX+OPEX'!$G$116/'CAPEX+OPEX'!$G$114)</f>
        <v>800313.21584557055</v>
      </c>
      <c r="CZ48">
        <f>CO48*(BM48/10000)^0.72*((AF48+1)/3)^0.6*('CAPEX+OPEX'!$G$116/'CAPEX+OPEX'!$G$114)</f>
        <v>2058233.9675356387</v>
      </c>
      <c r="DA48">
        <f>CP48*(BM48/10000)^0.72*((AF48+1)/3)^0.6*('CAPEX+OPEX'!$G$116/'CAPEX+OPEX'!$G$114)</f>
        <v>397030.81501385069</v>
      </c>
      <c r="DB48">
        <f>CQ48*(BM48/10000)^0.72*((AF48+1)/3)^0.6*('CAPEX+OPEX'!$G$116/'CAPEX+OPEX'!$G$114)</f>
        <v>2457685.2409347831</v>
      </c>
      <c r="DC48">
        <f>CR48*(BM48/10000)^0.72*((AF48+1)/3)^0.6*('CAPEX+OPEX'!$G$116/'CAPEX+OPEX'!$G$114)</f>
        <v>290167.92590357957</v>
      </c>
      <c r="DD48">
        <f t="shared" si="15"/>
        <v>6003431.1652334221</v>
      </c>
      <c r="DE48">
        <f>CX48+DD48+1.15*(SUM(CI48:CL48)+SUM(CB48:CE48))</f>
        <v>11340320.41198837</v>
      </c>
      <c r="DF48">
        <f t="shared" si="16"/>
        <v>756021.3607992247</v>
      </c>
      <c r="DG48">
        <f>(BS48+BT48)*'Oxidant Feed Composition'!$N$25*60*7200</f>
        <v>14883301.97656594</v>
      </c>
      <c r="DH48">
        <f>((CG48+CH48)*'Reagent cost'!$C$17/1000*'Reagent cost'!$H$17+(CG48+CH48)*0.5*'Reagent cost'!$C$16/1000*'Reagent cost'!$H$16)*60*7200</f>
        <v>5931333.4673554283</v>
      </c>
      <c r="DI48">
        <f>CF48*'Reagent cost'!$C$17/1000*'Reagent cost'!$H$17*60*7200</f>
        <v>504921.59999999998</v>
      </c>
      <c r="DJ48">
        <f t="shared" si="17"/>
        <v>88.779149581349074</v>
      </c>
      <c r="DK48">
        <f t="shared" si="18"/>
        <v>1026.1534923277761</v>
      </c>
      <c r="DL48">
        <f t="shared" si="19"/>
        <v>25584806.371875934</v>
      </c>
      <c r="DM48">
        <f>BK48*(B48*(409.81+2)/1000+C48*(248.2+2*22.99)/1000+D48*(315.6+3*22.99)/1000+0.1*58.44/1000)</f>
        <v>0.70639694042110623</v>
      </c>
      <c r="DN48">
        <f>(BS48+BT48)/1000*('Oxidant Feed Composition'!$B$11*'Oxidant Feed Composition'!$O$20+'Oxidant Feed Composition'!$D$11*'Oxidant Feed Composition'!$O$21+'Oxidant Feed Composition'!$F$11*'Oxidant Feed Composition'!$O$27-'Oxidant Feed Composition'!$J$15*18.015)</f>
        <v>2.1582326532421736</v>
      </c>
      <c r="DO48">
        <f>(BU48+BV48)/1000*(0.2*368.34+0.4*58.44)</f>
        <v>1.49451523864113</v>
      </c>
      <c r="DP48">
        <f>BK48/1000*(B48*195.08+C48*106.42+D48*102.91)</f>
        <v>4.999938342565946E-2</v>
      </c>
      <c r="DQ48">
        <f>SUM(DM48:DO48)-DP48</f>
        <v>4.3091454488787502</v>
      </c>
      <c r="DR48">
        <f>DQ48*60*7200*0.33</f>
        <v>614311.77519215469</v>
      </c>
      <c r="DS48">
        <v>1.2</v>
      </c>
      <c r="DT48">
        <f>BM48/60*(AM48*4+AN48*2+AO48*3)*96485/DV48</f>
        <v>1405.9574213625024</v>
      </c>
      <c r="DU48">
        <f>BN48*BA48*(AP48*4+AQ48*2+AR48*3)*96485/DV48/60</f>
        <v>705.93011307507709</v>
      </c>
      <c r="DV48">
        <v>0.7</v>
      </c>
      <c r="DW48">
        <f>0.499*((BK48/3.78541*15)^(-0.146))*BK48/3.78541*15*300*(1+(A48-2)/9)</f>
        <v>38528.386667103026</v>
      </c>
      <c r="DX48">
        <f>0.248*((BK48/3.78541*15)^(-0.144))*BK48/3.78541*15*300*(1+(A48-2)/3)</f>
        <v>33220.879177835675</v>
      </c>
      <c r="DY48">
        <f>0.105*((BK48/3.78541*15)^(-0.144))*BK48/3.78541*15*300*(1+(A48-2)/3)</f>
        <v>14065.291587390104</v>
      </c>
      <c r="DZ48">
        <f>0.058*((BK48/3.78541*15)^(-0.151))*BK48/3.78541*15*300*(1+(A48-2)/3)</f>
        <v>7450.7773575794354</v>
      </c>
      <c r="EA48">
        <f>0.056*((BK48/3.78541*15)^(-0.144))*BK48/3.78541*15*300*(1+(A48-2)/3)</f>
        <v>7501.4888466080574</v>
      </c>
      <c r="EB48">
        <f>DS48*DT48/(3.6*10^6)*3600*7200*0.07</f>
        <v>850.32304844004148</v>
      </c>
      <c r="EC48">
        <f>0.499*((BM48/3.78541*15)^(-0.146))*BM48/3.78541*15*300*(1+(AF48-2)/9)</f>
        <v>43715.748384549021</v>
      </c>
      <c r="ED48">
        <f>0.248*((BM48/3.78541*15)^(-0.144))*BM48/3.78541*15*300*(1+(AF48-2)/3)</f>
        <v>42675.736618835523</v>
      </c>
      <c r="EE48">
        <f>0.105*((BM48/3.78541*15)^(-0.144))*BM48/3.78541*15*300*(1+(AF48-2)/3)</f>
        <v>18068.356229748908</v>
      </c>
      <c r="EF48">
        <f>0.058*((BM48/3.78541*15)^(-0.151))*BM48/3.78541*15*300*(1+(AF48-2)/3)</f>
        <v>9576.6363630953347</v>
      </c>
      <c r="EG48">
        <f>0.056*((BM48/3.78541*15)^(-0.144))*BM48/3.78541*15*300*(1+(AF48-2)/3)</f>
        <v>9636.4566558660845</v>
      </c>
      <c r="EH48">
        <f>DS48*DU48/(3.6*10^6)*3600*7200*0.07</f>
        <v>426.94653238780671</v>
      </c>
      <c r="EI48">
        <f>SUM(DW48:EH48)</f>
        <v>225717.02746943905</v>
      </c>
      <c r="EJ48">
        <f>EI48+DR48+DL48</f>
        <v>26424835.174537528</v>
      </c>
      <c r="EK48">
        <f>EJ48+DF48</f>
        <v>27180856.535336751</v>
      </c>
      <c r="EL48">
        <f>EK48/(BK48*60*7200)</f>
        <v>0.62918649387353587</v>
      </c>
      <c r="EM48">
        <f>EK48/(BM48*(AM48*195.084/1000+AN48*106.42/1000+AO48*102.911/1000)*60*7200)</f>
        <v>2104.9076790879694</v>
      </c>
      <c r="EN48">
        <f>EK48/(BN48*BA48*(AP48*195.084/1000+AQ48*106.42/1000+AR48*102.911/1000)*60*7200)</f>
        <v>3862.3606573731217</v>
      </c>
    </row>
    <row r="49" spans="1:144">
      <c r="A49">
        <f>'Costing 100 Lmin Feed Orig'!A49</f>
        <v>7</v>
      </c>
      <c r="B49">
        <f>'Costing 100 Lmin Feed Orig'!B49</f>
        <v>1.54143585092054E-3</v>
      </c>
      <c r="C49">
        <f>'Costing 100 Lmin Feed Orig'!C49</f>
        <v>1.54143585092054E-3</v>
      </c>
      <c r="D49">
        <f>'Costing 100 Lmin Feed Orig'!D49</f>
        <v>3.4254130020456501E-4</v>
      </c>
      <c r="E49">
        <f>'Costing 100 Lmin Feed Orig'!E49</f>
        <v>0</v>
      </c>
      <c r="F49">
        <f>'Costing 100 Lmin Feed Orig'!F49</f>
        <v>0</v>
      </c>
      <c r="G49">
        <f>'Costing 100 Lmin Feed Orig'!G49</f>
        <v>0</v>
      </c>
      <c r="H49">
        <f>'Costing 100 Lmin Feed Orig'!H49</f>
        <v>1.7744466230058299E-5</v>
      </c>
      <c r="I49">
        <f>'Costing 100 Lmin Feed Orig'!I49</f>
        <v>1.2927742824924801E-8</v>
      </c>
      <c r="J49">
        <f>'Costing 100 Lmin Feed Orig'!J49</f>
        <v>3.3739048286900598E-4</v>
      </c>
      <c r="K49">
        <f>'Costing 100 Lmin Feed Orig'!K49</f>
        <v>0.13716795306346499</v>
      </c>
      <c r="L49">
        <f>'Costing 100 Lmin Feed Orig'!L49</f>
        <v>0.138764207307677</v>
      </c>
      <c r="M49">
        <f>'Costing 100 Lmin Feed Orig'!M49</f>
        <v>4.6369433969460899E-4</v>
      </c>
      <c r="N49">
        <f>'Costing 100 Lmin Feed Orig'!N49</f>
        <v>-1.1037178115902399E-16</v>
      </c>
      <c r="O49">
        <f>'Costing 100 Lmin Feed Orig'!O49</f>
        <v>-5.3700533603207003E-15</v>
      </c>
      <c r="P49">
        <f>'Costing 100 Lmin Feed Orig'!P49</f>
        <v>-3.4304834363799101E-19</v>
      </c>
      <c r="Q49">
        <f>'Costing 100 Lmin Feed Orig'!Q49</f>
        <v>0.111082169753281</v>
      </c>
      <c r="R49">
        <f>'Costing 100 Lmin Feed Orig'!R49</f>
        <v>98.496293050653193</v>
      </c>
      <c r="S49">
        <f>'Costing 100 Lmin Feed Orig'!S49</f>
        <v>500</v>
      </c>
      <c r="T49">
        <f>'Costing 100 Lmin Feed Orig'!T49</f>
        <v>95</v>
      </c>
      <c r="U49">
        <f>'Costing 100 Lmin Feed Orig'!U49</f>
        <v>1</v>
      </c>
      <c r="V49">
        <f>'Costing 100 Lmin Feed Orig'!V49</f>
        <v>0.1</v>
      </c>
      <c r="W49">
        <f>'Costing 100 Lmin Feed Orig'!W49</f>
        <v>90.023448607553206</v>
      </c>
      <c r="X49" t="str">
        <f>'Costing 100 Lmin Feed Orig'!X49</f>
        <v>ddFc</v>
      </c>
      <c r="Y49">
        <f>'Costing 100 Lmin Feed Orig'!Y49</f>
        <v>1</v>
      </c>
      <c r="Z49">
        <f>'Costing 100 Lmin Feed Orig'!Z49</f>
        <v>0.28318429382522198</v>
      </c>
      <c r="AA49">
        <f>'Costing 100 Lmin Feed Orig'!AA49</f>
        <v>0.56945642916197003</v>
      </c>
      <c r="AB49">
        <f>'Costing 100 Lmin Feed Orig'!AB49</f>
        <v>3.7698628972227502E-3</v>
      </c>
      <c r="AC49">
        <f>'Costing 100 Lmin Feed Orig'!AC49</f>
        <v>1822.2107908876901</v>
      </c>
      <c r="AD49">
        <f>'Costing 100 Lmin Feed Orig'!AD49</f>
        <v>2662.6059073104898</v>
      </c>
      <c r="AE49">
        <f>'Costing 100 Lmin Feed Orig'!AE49</f>
        <v>2401.5030938442701</v>
      </c>
      <c r="AF49">
        <f>'Costing 100 Lmin Feed Orig'!AF49</f>
        <v>11</v>
      </c>
      <c r="AG49">
        <f>'Costing 100 Lmin Feed Orig'!AG49</f>
        <v>1.64967327652189E-3</v>
      </c>
      <c r="AH49">
        <f>'Costing 100 Lmin Feed Orig'!AH49</f>
        <v>1.66887089455438E-3</v>
      </c>
      <c r="AI49">
        <f>'Costing 100 Lmin Feed Orig'!AI49</f>
        <v>5.5766973522943398E-6</v>
      </c>
      <c r="AJ49">
        <f>'Costing 100 Lmin Feed Orig'!AJ49</f>
        <v>0</v>
      </c>
      <c r="AK49">
        <f>'Costing 100 Lmin Feed Orig'!AK49</f>
        <v>0</v>
      </c>
      <c r="AL49">
        <f>'Costing 100 Lmin Feed Orig'!AL49</f>
        <v>0</v>
      </c>
      <c r="AM49">
        <f>'Costing 100 Lmin Feed Orig'!AM49</f>
        <v>1.6127207366253499E-3</v>
      </c>
      <c r="AN49">
        <f>'Costing 100 Lmin Feed Orig'!AN49</f>
        <v>7.9340023409112399E-5</v>
      </c>
      <c r="AO49">
        <f>'Costing 100 Lmin Feed Orig'!AO49</f>
        <v>5.5400153606251003E-6</v>
      </c>
      <c r="AP49">
        <f>'Costing 100 Lmin Feed Orig'!AP49</f>
        <v>1.7332112363545699E-3</v>
      </c>
      <c r="AQ49">
        <f>'Costing 100 Lmin Feed Orig'!AQ49</f>
        <v>7.4554895947902003E-2</v>
      </c>
      <c r="AR49">
        <f>'Costing 100 Lmin Feed Orig'!AR49</f>
        <v>1.7205215207154199E-6</v>
      </c>
      <c r="AS49">
        <f>'Costing 100 Lmin Feed Orig'!AS49</f>
        <v>2.2210084791272899E-15</v>
      </c>
      <c r="AT49">
        <f>'Costing 100 Lmin Feed Orig'!AT49</f>
        <v>-2.21852267459632E-13</v>
      </c>
      <c r="AU49">
        <f>'Costing 100 Lmin Feed Orig'!AU49</f>
        <v>1.5524525736395199E-20</v>
      </c>
      <c r="AV49">
        <f>'Costing 100 Lmin Feed Orig'!AV49</f>
        <v>0.19692092693176799</v>
      </c>
      <c r="AW49">
        <f>'Costing 100 Lmin Feed Orig'!AW49</f>
        <v>99.3422273192906</v>
      </c>
      <c r="AX49">
        <f>'Costing 100 Lmin Feed Orig'!AX49</f>
        <v>500</v>
      </c>
      <c r="AY49">
        <f>'Costing 100 Lmin Feed Orig'!AY49</f>
        <v>95</v>
      </c>
      <c r="AZ49">
        <f>'Costing 100 Lmin Feed Orig'!AZ49</f>
        <v>0.92363221637625403</v>
      </c>
      <c r="BA49">
        <f>'Costing 100 Lmin Feed Orig'!BA49</f>
        <v>0.1</v>
      </c>
      <c r="BB49">
        <f>'Costing 100 Lmin Feed Orig'!BB49</f>
        <v>46.903710579032897</v>
      </c>
      <c r="BC49" t="str">
        <f>'Costing 100 Lmin Feed Orig'!BC49</f>
        <v>coeFc</v>
      </c>
      <c r="BD49">
        <f>'Costing 100 Lmin Feed Orig'!BD49</f>
        <v>1</v>
      </c>
      <c r="BE49">
        <f>'Costing 100 Lmin Feed Orig'!BE49</f>
        <v>1.8775014999999999E-2</v>
      </c>
      <c r="BF49">
        <f>'Costing 100 Lmin Feed Orig'!BF49</f>
        <v>0.10492961100000001</v>
      </c>
      <c r="BG49">
        <f>'Costing 100 Lmin Feed Orig'!BG49</f>
        <v>1.814625E-3</v>
      </c>
      <c r="BH49">
        <f>'Costing 100 Lmin Feed Orig'!BH49</f>
        <v>285.1951444</v>
      </c>
      <c r="BI49">
        <f>'Costing 100 Lmin Feed Orig'!BI49</f>
        <v>2169.8944889999998</v>
      </c>
      <c r="BJ49">
        <f>'Costing 100 Lmin Feed Orig'!BJ49</f>
        <v>866.49409060000005</v>
      </c>
      <c r="BK49">
        <f>'Costing 100 Lmin Feed Orig'!BK49</f>
        <v>100</v>
      </c>
      <c r="BL49">
        <f>'Costing 100 Lmin Feed Orig'!BL49</f>
        <v>11.1082169753281</v>
      </c>
      <c r="BM49">
        <f>'Costing 100 Lmin Feed Orig'!BM49</f>
        <v>92.363221637625401</v>
      </c>
      <c r="BN49">
        <f>'Costing 100 Lmin Feed Orig'!BN49</f>
        <v>19.6920926931768</v>
      </c>
      <c r="BO49">
        <f t="shared" si="1"/>
        <v>199.94790555590581</v>
      </c>
      <c r="BP49">
        <f t="shared" si="2"/>
        <v>511.99441002259681</v>
      </c>
      <c r="BQ49">
        <f t="shared" si="3"/>
        <v>19.994790555590583</v>
      </c>
      <c r="BR49">
        <f t="shared" si="4"/>
        <v>51.199441002259682</v>
      </c>
      <c r="BS49">
        <f>1.2*0.5*BL49*V49/'Oxidant Feed Composition'!$N$22</f>
        <v>6.6649301851968596</v>
      </c>
      <c r="BT49">
        <f>1.2*0.5*BN49*BA49/'Oxidant Feed Composition'!$N$22</f>
        <v>11.81525561590608</v>
      </c>
      <c r="BU49">
        <f t="shared" si="5"/>
        <v>5.5541084876640499</v>
      </c>
      <c r="BV49">
        <f t="shared" si="6"/>
        <v>9.8460463465884001</v>
      </c>
      <c r="BW49">
        <f t="shared" si="7"/>
        <v>86.809113149961348</v>
      </c>
      <c r="BX49">
        <f t="shared" si="20"/>
        <v>35.54629432104992</v>
      </c>
      <c r="BY49">
        <f t="shared" si="8"/>
        <v>206.94287722590701</v>
      </c>
      <c r="BZ49">
        <f t="shared" si="9"/>
        <v>63.014696618165758</v>
      </c>
      <c r="CA49">
        <f t="shared" si="10"/>
        <v>59.076278079530397</v>
      </c>
      <c r="CB49">
        <f>BO49*'Reagent cost'!$G$11*'Reagent cost'!$H$11</f>
        <v>2639.3123533379567</v>
      </c>
      <c r="CC49">
        <f>BP49*'Reagent cost'!$G$11*'Reagent cost'!$H$11</f>
        <v>6758.3262122982787</v>
      </c>
      <c r="CD49">
        <f>BQ49*'Reagent cost'!$C$18/1000*'Reagent cost'!$H$18</f>
        <v>3188.7782491883527</v>
      </c>
      <c r="CE49">
        <f>BR49*'Ligand cost'!$B$56*'Ligand cost'!$J$56</f>
        <v>52127.570744009543</v>
      </c>
      <c r="CF49">
        <f t="shared" si="11"/>
        <v>10</v>
      </c>
      <c r="CG49">
        <f t="shared" si="12"/>
        <v>2.22164339506562</v>
      </c>
      <c r="CH49">
        <f t="shared" si="13"/>
        <v>3.9384185386353603</v>
      </c>
      <c r="CI49">
        <f>7963.6*(BX49/1000)^0.6*1.7*('CAPEX+OPEX'!$G$116/'CAPEX+OPEX'!$G$115)</f>
        <v>2156.3414312027717</v>
      </c>
      <c r="CJ49">
        <f>7963.6*(BY49/1000)^0.6*1.7*('CAPEX+OPEX'!$G$116/'CAPEX+OPEX'!$G$115)</f>
        <v>6205.1347590783025</v>
      </c>
      <c r="CK49">
        <f>7963.6*(BZ49/1000)^0.6*1.7*('CAPEX+OPEX'!$G$116/'CAPEX+OPEX'!$G$115)</f>
        <v>3040.2271824467625</v>
      </c>
      <c r="CL49">
        <f>7963.6*(CA49/1000)^0.6*1.7*('CAPEX+OPEX'!$G$116/'CAPEX+OPEX'!$G$115)</f>
        <v>2924.7503628614727</v>
      </c>
      <c r="CM49">
        <f>'Costing 100 Lmin Feed Orig'!DE49</f>
        <v>39625.826528698344</v>
      </c>
      <c r="CN49">
        <f>'Costing 100 Lmin Feed Orig'!DF49</f>
        <v>4586243.4239371875</v>
      </c>
      <c r="CO49">
        <f>'Costing 100 Lmin Feed Orig'!DG49</f>
        <v>11794834.586807497</v>
      </c>
      <c r="CP49">
        <f>'Costing 100 Lmin Feed Orig'!DH49</f>
        <v>2275209.1661185985</v>
      </c>
      <c r="CQ49">
        <f>'Costing 100 Lmin Feed Orig'!DI49</f>
        <v>14083914.336508472</v>
      </c>
      <c r="CR49">
        <f>'Costing 100 Lmin Feed Orig'!DJ49</f>
        <v>1662824.8986326549</v>
      </c>
      <c r="CS49">
        <f>CN49*(BK49/10000)^0.72*((A49+1)/3)^0.6*('CAPEX+OPEX'!$G$116/'CAPEX+OPEX'!$G$114)</f>
        <v>700033.84449786716</v>
      </c>
      <c r="CT49">
        <f>CO49*(BK49/10000)^0.72*((A49+1)/3)^0.6*('CAPEX+OPEX'!$G$116/'CAPEX+OPEX'!$G$114)</f>
        <v>1800336.9288957189</v>
      </c>
      <c r="CU49">
        <f>CP49*(BK49/10000)^0.72*((A49+1)/3)^0.6*('CAPEX+OPEX'!$G$116/'CAPEX+OPEX'!$G$114)</f>
        <v>347282.79168127343</v>
      </c>
      <c r="CV49">
        <f>CQ49*(BK49/10000)^0.72*((A49+1)/3)^0.6*('CAPEX+OPEX'!$G$116/'CAPEX+OPEX'!$G$114)</f>
        <v>2149736.8951473436</v>
      </c>
      <c r="CW49">
        <f>CR49*(BK49/10000)^0.72*((A49+1)/3)^0.6*('CAPEX+OPEX'!$G$116/'CAPEX+OPEX'!$G$114)</f>
        <v>253809.83932102245</v>
      </c>
      <c r="CX49">
        <f t="shared" si="14"/>
        <v>5251200.2995432261</v>
      </c>
      <c r="CY49">
        <f>CN49*(BM49/10000)^0.72*((AF49+1)/3)^0.6*('CAPEX+OPEX'!$G$116/'CAPEX+OPEX'!$G$114)</f>
        <v>843204.90681236121</v>
      </c>
      <c r="CZ49">
        <f>CO49*(BM49/10000)^0.72*((AF49+1)/3)^0.6*('CAPEX+OPEX'!$G$116/'CAPEX+OPEX'!$G$114)</f>
        <v>2168542.1987693524</v>
      </c>
      <c r="DA49">
        <f>CP49*(BM49/10000)^0.72*((AF49+1)/3)^0.6*('CAPEX+OPEX'!$G$116/'CAPEX+OPEX'!$G$114)</f>
        <v>418309.13790631329</v>
      </c>
      <c r="DB49">
        <f>CQ49*(BM49/10000)^0.72*((AF49+1)/3)^0.6*('CAPEX+OPEX'!$G$116/'CAPEX+OPEX'!$G$114)</f>
        <v>2589401.5162138832</v>
      </c>
      <c r="DC49">
        <f>CR49*(BM49/10000)^0.72*((AF49+1)/3)^0.6*('CAPEX+OPEX'!$G$116/'CAPEX+OPEX'!$G$114)</f>
        <v>305719.07857720047</v>
      </c>
      <c r="DD49">
        <f t="shared" si="15"/>
        <v>6325176.8382791113</v>
      </c>
      <c r="DE49">
        <f>CX49+DD49+1.15*(SUM(CI49:CL49)+SUM(CB49:CE49))</f>
        <v>11667273.645310923</v>
      </c>
      <c r="DF49">
        <f t="shared" si="16"/>
        <v>777818.24302072823</v>
      </c>
      <c r="DG49">
        <f>(BS49+BT49)*'Oxidant Feed Composition'!$N$25*60*7200</f>
        <v>14883076.783340136</v>
      </c>
      <c r="DH49">
        <f>((CG49+CH49)*'Reagent cost'!$C$17/1000*'Reagent cost'!$H$17+(CG49+CH49)*0.5*'Reagent cost'!$C$16/1000*'Reagent cost'!$H$16)*60*7200</f>
        <v>5931243.7227464067</v>
      </c>
      <c r="DI49">
        <f>CF49*'Reagent cost'!$C$17/1000*'Reagent cost'!$H$17*60*7200</f>
        <v>504921.59999999998</v>
      </c>
      <c r="DJ49">
        <f t="shared" si="17"/>
        <v>93.976385656362368</v>
      </c>
      <c r="DK49">
        <f t="shared" si="18"/>
        <v>1106.3269798639581</v>
      </c>
      <c r="DL49">
        <f t="shared" si="19"/>
        <v>25584530.89134248</v>
      </c>
      <c r="DM49">
        <f>BK49*(B49*(409.81+2)/1000+C49*(248.2+2*22.99)/1000+D49*(315.6+3*22.99)/1000+0.1*58.44/1000)</f>
        <v>0.70639694042110623</v>
      </c>
      <c r="DN49">
        <f>(BS49+BT49)/1000*('Oxidant Feed Composition'!$B$11*'Oxidant Feed Composition'!$O$20+'Oxidant Feed Composition'!$D$11*'Oxidant Feed Composition'!$O$21+'Oxidant Feed Composition'!$F$11*'Oxidant Feed Composition'!$O$27-'Oxidant Feed Composition'!$J$15*18.015)</f>
        <v>2.1581999978963382</v>
      </c>
      <c r="DO49">
        <f>(BU49+BV49)/1000*(0.2*368.34+0.4*58.44)</f>
        <v>1.4944926257351949</v>
      </c>
      <c r="DP49">
        <f>BK49/1000*(B49*195.08+C49*106.42+D49*102.91)</f>
        <v>4.999938342565946E-2</v>
      </c>
      <c r="DQ49">
        <f>SUM(DM49:DO49)-DP49</f>
        <v>4.3090901806269795</v>
      </c>
      <c r="DR49">
        <f>DQ49*60*7200*0.33</f>
        <v>614303.89615018223</v>
      </c>
      <c r="DS49">
        <v>1.2</v>
      </c>
      <c r="DT49">
        <f>BM49/60*(AM49*4+AN49*2+AO49*3)*96485/DV49</f>
        <v>1405.9601521286265</v>
      </c>
      <c r="DU49">
        <f>BN49*BA49*(AP49*4+AQ49*2+AR49*3)*96485/DV49/60</f>
        <v>705.927382080764</v>
      </c>
      <c r="DV49">
        <v>0.7</v>
      </c>
      <c r="DW49">
        <f>0.499*((BK49/3.78541*15)^(-0.146))*BK49/3.78541*15*300*(1+(A49-2)/9)</f>
        <v>38528.386667103026</v>
      </c>
      <c r="DX49">
        <f>0.248*((BK49/3.78541*15)^(-0.144))*BK49/3.78541*15*300*(1+(A49-2)/3)</f>
        <v>33220.879177835675</v>
      </c>
      <c r="DY49">
        <f>0.105*((BK49/3.78541*15)^(-0.144))*BK49/3.78541*15*300*(1+(A49-2)/3)</f>
        <v>14065.291587390104</v>
      </c>
      <c r="DZ49">
        <f>0.058*((BK49/3.78541*15)^(-0.151))*BK49/3.78541*15*300*(1+(A49-2)/3)</f>
        <v>7450.7773575794354</v>
      </c>
      <c r="EA49">
        <f>0.056*((BK49/3.78541*15)^(-0.144))*BK49/3.78541*15*300*(1+(A49-2)/3)</f>
        <v>7501.4888466080574</v>
      </c>
      <c r="EB49">
        <f>DS49*DT49/(3.6*10^6)*3600*7200*0.07</f>
        <v>850.3247000073934</v>
      </c>
      <c r="EC49">
        <f>0.499*((BM49/3.78541*15)^(-0.146))*BM49/3.78541*15*300*(1+(AF49-2)/9)</f>
        <v>46287.262995404846</v>
      </c>
      <c r="ED49">
        <f>0.248*((BM49/3.78541*15)^(-0.144))*BM49/3.78541*15*300*(1+(AF49-2)/3)</f>
        <v>46555.349038729662</v>
      </c>
      <c r="EE49">
        <f>0.105*((BM49/3.78541*15)^(-0.144))*BM49/3.78541*15*300*(1+(AF49-2)/3)</f>
        <v>19710.93406881699</v>
      </c>
      <c r="EF49">
        <f>0.058*((BM49/3.78541*15)^(-0.151))*BM49/3.78541*15*300*(1+(AF49-2)/3)</f>
        <v>10447.239668831275</v>
      </c>
      <c r="EG49">
        <f>0.056*((BM49/3.78541*15)^(-0.144))*BM49/3.78541*15*300*(1+(AF49-2)/3)</f>
        <v>10512.498170035729</v>
      </c>
      <c r="EH49">
        <f>DS49*DU49/(3.6*10^6)*3600*7200*0.07</f>
        <v>426.94488068244613</v>
      </c>
      <c r="EI49">
        <f>SUM(DW49:EH49)</f>
        <v>235557.37715902465</v>
      </c>
      <c r="EJ49">
        <f>EI49+DR49+DL49</f>
        <v>26434392.164651688</v>
      </c>
      <c r="EK49">
        <f>EJ49+DF49</f>
        <v>27212210.407672416</v>
      </c>
      <c r="EL49">
        <f>EK49/(BK49*60*7200)</f>
        <v>0.62991227795537996</v>
      </c>
      <c r="EM49">
        <f>EK49/(BM49*(AM49*195.084/1000+AN49*106.42/1000+AO49*102.911/1000)*60*7200)</f>
        <v>2107.3316528245632</v>
      </c>
      <c r="EN49">
        <f>EK49/(BN49*BA49*(AP49*195.084/1000+AQ49*106.42/1000+AR49*102.911/1000)*60*7200)</f>
        <v>3866.8297889753253</v>
      </c>
    </row>
    <row r="50" spans="1:144">
      <c r="A50">
        <f>'Costing 100 Lmin Feed Orig'!A50</f>
        <v>7</v>
      </c>
      <c r="B50">
        <f>'Costing 100 Lmin Feed Orig'!B50</f>
        <v>1.54143585092054E-3</v>
      </c>
      <c r="C50">
        <f>'Costing 100 Lmin Feed Orig'!C50</f>
        <v>1.54143585092054E-3</v>
      </c>
      <c r="D50">
        <f>'Costing 100 Lmin Feed Orig'!D50</f>
        <v>3.4254130020456501E-4</v>
      </c>
      <c r="E50">
        <f>'Costing 100 Lmin Feed Orig'!E50</f>
        <v>0</v>
      </c>
      <c r="F50">
        <f>'Costing 100 Lmin Feed Orig'!F50</f>
        <v>0</v>
      </c>
      <c r="G50">
        <f>'Costing 100 Lmin Feed Orig'!G50</f>
        <v>0</v>
      </c>
      <c r="H50">
        <f>'Costing 100 Lmin Feed Orig'!H50</f>
        <v>1.7744466230058299E-5</v>
      </c>
      <c r="I50">
        <f>'Costing 100 Lmin Feed Orig'!I50</f>
        <v>1.2927742824924801E-8</v>
      </c>
      <c r="J50">
        <f>'Costing 100 Lmin Feed Orig'!J50</f>
        <v>3.3739048286900598E-4</v>
      </c>
      <c r="K50">
        <f>'Costing 100 Lmin Feed Orig'!K50</f>
        <v>0.13716795306346499</v>
      </c>
      <c r="L50">
        <f>'Costing 100 Lmin Feed Orig'!L50</f>
        <v>0.138764207307677</v>
      </c>
      <c r="M50">
        <f>'Costing 100 Lmin Feed Orig'!M50</f>
        <v>4.6369433969460899E-4</v>
      </c>
      <c r="N50">
        <f>'Costing 100 Lmin Feed Orig'!N50</f>
        <v>-1.1037178115902399E-16</v>
      </c>
      <c r="O50">
        <f>'Costing 100 Lmin Feed Orig'!O50</f>
        <v>-5.3700533603207003E-15</v>
      </c>
      <c r="P50">
        <f>'Costing 100 Lmin Feed Orig'!P50</f>
        <v>-3.4304834363799101E-19</v>
      </c>
      <c r="Q50">
        <f>'Costing 100 Lmin Feed Orig'!Q50</f>
        <v>0.111082169753281</v>
      </c>
      <c r="R50">
        <f>'Costing 100 Lmin Feed Orig'!R50</f>
        <v>98.496293050653193</v>
      </c>
      <c r="S50">
        <f>'Costing 100 Lmin Feed Orig'!S50</f>
        <v>500</v>
      </c>
      <c r="T50">
        <f>'Costing 100 Lmin Feed Orig'!T50</f>
        <v>95</v>
      </c>
      <c r="U50">
        <f>'Costing 100 Lmin Feed Orig'!U50</f>
        <v>1</v>
      </c>
      <c r="V50">
        <f>'Costing 100 Lmin Feed Orig'!V50</f>
        <v>0.1</v>
      </c>
      <c r="W50">
        <f>'Costing 100 Lmin Feed Orig'!W50</f>
        <v>90.023448607553206</v>
      </c>
      <c r="X50" t="str">
        <f>'Costing 100 Lmin Feed Orig'!X50</f>
        <v>ddFc</v>
      </c>
      <c r="Y50">
        <f>'Costing 100 Lmin Feed Orig'!Y50</f>
        <v>1</v>
      </c>
      <c r="Z50">
        <f>'Costing 100 Lmin Feed Orig'!Z50</f>
        <v>0.28318429382522198</v>
      </c>
      <c r="AA50">
        <f>'Costing 100 Lmin Feed Orig'!AA50</f>
        <v>0.56945642916197003</v>
      </c>
      <c r="AB50">
        <f>'Costing 100 Lmin Feed Orig'!AB50</f>
        <v>3.7698628972227502E-3</v>
      </c>
      <c r="AC50">
        <f>'Costing 100 Lmin Feed Orig'!AC50</f>
        <v>1822.2107908876901</v>
      </c>
      <c r="AD50">
        <f>'Costing 100 Lmin Feed Orig'!AD50</f>
        <v>2662.6059073104898</v>
      </c>
      <c r="AE50">
        <f>'Costing 100 Lmin Feed Orig'!AE50</f>
        <v>2401.5030938442701</v>
      </c>
      <c r="AF50">
        <f>'Costing 100 Lmin Feed Orig'!AF50</f>
        <v>12</v>
      </c>
      <c r="AG50">
        <f>'Costing 100 Lmin Feed Orig'!AG50</f>
        <v>1.64967327652189E-3</v>
      </c>
      <c r="AH50">
        <f>'Costing 100 Lmin Feed Orig'!AH50</f>
        <v>1.66887089455438E-3</v>
      </c>
      <c r="AI50">
        <f>'Costing 100 Lmin Feed Orig'!AI50</f>
        <v>5.5766973522943398E-6</v>
      </c>
      <c r="AJ50">
        <f>'Costing 100 Lmin Feed Orig'!AJ50</f>
        <v>0</v>
      </c>
      <c r="AK50">
        <f>'Costing 100 Lmin Feed Orig'!AK50</f>
        <v>0</v>
      </c>
      <c r="AL50">
        <f>'Costing 100 Lmin Feed Orig'!AL50</f>
        <v>0</v>
      </c>
      <c r="AM50">
        <f>'Costing 100 Lmin Feed Orig'!AM50</f>
        <v>1.6127216178039401E-3</v>
      </c>
      <c r="AN50">
        <f>'Costing 100 Lmin Feed Orig'!AN50</f>
        <v>7.9340068948572E-5</v>
      </c>
      <c r="AO50">
        <f>'Costing 100 Lmin Feed Orig'!AO50</f>
        <v>5.5400161990028701E-6</v>
      </c>
      <c r="AP50">
        <f>'Costing 100 Lmin Feed Orig'!AP50</f>
        <v>1.7331814378101901E-3</v>
      </c>
      <c r="AQ50">
        <f>'Costing 100 Lmin Feed Orig'!AQ50</f>
        <v>7.4555389865565105E-2</v>
      </c>
      <c r="AR50">
        <f>'Costing 100 Lmin Feed Orig'!AR50</f>
        <v>1.7204936451815799E-6</v>
      </c>
      <c r="AS50">
        <f>'Costing 100 Lmin Feed Orig'!AS50</f>
        <v>4.8772157102902604E-16</v>
      </c>
      <c r="AT50">
        <f>'Costing 100 Lmin Feed Orig'!AT50</f>
        <v>-4.7916531853431302E-14</v>
      </c>
      <c r="AU50">
        <f>'Costing 100 Lmin Feed Orig'!AU50</f>
        <v>-4.0829635035617401E-21</v>
      </c>
      <c r="AV50">
        <f>'Costing 100 Lmin Feed Orig'!AV50</f>
        <v>0.19691961669677699</v>
      </c>
      <c r="AW50">
        <f>'Costing 100 Lmin Feed Orig'!AW50</f>
        <v>99.342242352879694</v>
      </c>
      <c r="AX50">
        <f>'Costing 100 Lmin Feed Orig'!AX50</f>
        <v>500</v>
      </c>
      <c r="AY50">
        <f>'Costing 100 Lmin Feed Orig'!AY50</f>
        <v>95</v>
      </c>
      <c r="AZ50">
        <f>'Costing 100 Lmin Feed Orig'!AZ50</f>
        <v>0.92363221637625403</v>
      </c>
      <c r="BA50">
        <f>'Costing 100 Lmin Feed Orig'!BA50</f>
        <v>0.1</v>
      </c>
      <c r="BB50">
        <f>'Costing 100 Lmin Feed Orig'!BB50</f>
        <v>46.904022660093197</v>
      </c>
      <c r="BC50" t="str">
        <f>'Costing 100 Lmin Feed Orig'!BC50</f>
        <v>coeFc</v>
      </c>
      <c r="BD50">
        <f>'Costing 100 Lmin Feed Orig'!BD50</f>
        <v>1</v>
      </c>
      <c r="BE50">
        <f>'Costing 100 Lmin Feed Orig'!BE50</f>
        <v>1.8775014999999999E-2</v>
      </c>
      <c r="BF50">
        <f>'Costing 100 Lmin Feed Orig'!BF50</f>
        <v>0.10492961100000001</v>
      </c>
      <c r="BG50">
        <f>'Costing 100 Lmin Feed Orig'!BG50</f>
        <v>1.814625E-3</v>
      </c>
      <c r="BH50">
        <f>'Costing 100 Lmin Feed Orig'!BH50</f>
        <v>285.1951444</v>
      </c>
      <c r="BI50">
        <f>'Costing 100 Lmin Feed Orig'!BI50</f>
        <v>2169.8944889999998</v>
      </c>
      <c r="BJ50">
        <f>'Costing 100 Lmin Feed Orig'!BJ50</f>
        <v>866.49409060000005</v>
      </c>
      <c r="BK50">
        <f>'Costing 100 Lmin Feed Orig'!BK50</f>
        <v>100</v>
      </c>
      <c r="BL50">
        <f>'Costing 100 Lmin Feed Orig'!BL50</f>
        <v>11.1082169753281</v>
      </c>
      <c r="BM50">
        <f>'Costing 100 Lmin Feed Orig'!BM50</f>
        <v>92.363221637625401</v>
      </c>
      <c r="BN50">
        <f>'Costing 100 Lmin Feed Orig'!BN50</f>
        <v>19.691961669677699</v>
      </c>
      <c r="BO50">
        <f t="shared" si="1"/>
        <v>199.94790555590581</v>
      </c>
      <c r="BP50">
        <f t="shared" si="2"/>
        <v>551.37492675097553</v>
      </c>
      <c r="BQ50">
        <f t="shared" si="3"/>
        <v>19.994790555590583</v>
      </c>
      <c r="BR50">
        <f t="shared" si="4"/>
        <v>55.137492675097555</v>
      </c>
      <c r="BS50">
        <f>1.2*0.5*BL50*V50/'Oxidant Feed Composition'!$N$22</f>
        <v>6.6649301851968596</v>
      </c>
      <c r="BT50">
        <f>1.2*0.5*BN50*BA50/'Oxidant Feed Composition'!$N$22</f>
        <v>11.815177001806619</v>
      </c>
      <c r="BU50">
        <f t="shared" si="5"/>
        <v>5.5541084876640499</v>
      </c>
      <c r="BV50">
        <f t="shared" si="6"/>
        <v>9.8459808348388496</v>
      </c>
      <c r="BW50">
        <f t="shared" si="7"/>
        <v>86.809113149961348</v>
      </c>
      <c r="BX50">
        <f t="shared" si="20"/>
        <v>35.54629432104992</v>
      </c>
      <c r="BY50">
        <f t="shared" si="8"/>
        <v>206.94287722590701</v>
      </c>
      <c r="BZ50">
        <f t="shared" si="9"/>
        <v>63.01427734296864</v>
      </c>
      <c r="CA50">
        <f t="shared" si="10"/>
        <v>59.075885009033101</v>
      </c>
      <c r="CB50">
        <f>BO50*'Reagent cost'!$G$11*'Reagent cost'!$H$11</f>
        <v>2639.3123533379567</v>
      </c>
      <c r="CC50">
        <f>BP50*'Reagent cost'!$G$11*'Reagent cost'!$H$11</f>
        <v>7278.1490331128771</v>
      </c>
      <c r="CD50">
        <f>BQ50*'Reagent cost'!$C$18/1000*'Reagent cost'!$H$18</f>
        <v>3188.7782491883527</v>
      </c>
      <c r="CE50">
        <f>BR50*'Ligand cost'!$B$56*'Ligand cost'!$J$56</f>
        <v>56137.010361921792</v>
      </c>
      <c r="CF50">
        <f t="shared" si="11"/>
        <v>10</v>
      </c>
      <c r="CG50">
        <f t="shared" si="12"/>
        <v>2.22164339506562</v>
      </c>
      <c r="CH50">
        <f t="shared" si="13"/>
        <v>3.93839233393554</v>
      </c>
      <c r="CI50">
        <f>7963.6*(BX50/1000)^0.6*1.7*('CAPEX+OPEX'!$G$116/'CAPEX+OPEX'!$G$115)</f>
        <v>2156.3414312027717</v>
      </c>
      <c r="CJ50">
        <f>7963.6*(BY50/1000)^0.6*1.7*('CAPEX+OPEX'!$G$116/'CAPEX+OPEX'!$G$115)</f>
        <v>6205.1347590783025</v>
      </c>
      <c r="CK50">
        <f>7963.6*(BZ50/1000)^0.6*1.7*('CAPEX+OPEX'!$G$116/'CAPEX+OPEX'!$G$115)</f>
        <v>3040.2150453395552</v>
      </c>
      <c r="CL50">
        <f>7963.6*(CA50/1000)^0.6*1.7*('CAPEX+OPEX'!$G$116/'CAPEX+OPEX'!$G$115)</f>
        <v>2924.7386867574915</v>
      </c>
      <c r="CM50">
        <f>'Costing 100 Lmin Feed Orig'!DE50</f>
        <v>39625.826528698344</v>
      </c>
      <c r="CN50">
        <f>'Costing 100 Lmin Feed Orig'!DF50</f>
        <v>4586243.4239371875</v>
      </c>
      <c r="CO50">
        <f>'Costing 100 Lmin Feed Orig'!DG50</f>
        <v>11794834.586807497</v>
      </c>
      <c r="CP50">
        <f>'Costing 100 Lmin Feed Orig'!DH50</f>
        <v>2275209.1661185985</v>
      </c>
      <c r="CQ50">
        <f>'Costing 100 Lmin Feed Orig'!DI50</f>
        <v>14083914.336508472</v>
      </c>
      <c r="CR50">
        <f>'Costing 100 Lmin Feed Orig'!DJ50</f>
        <v>1662824.8986326549</v>
      </c>
      <c r="CS50">
        <f>CN50*(BK50/10000)^0.72*((A50+1)/3)^0.6*('CAPEX+OPEX'!$G$116/'CAPEX+OPEX'!$G$114)</f>
        <v>700033.84449786716</v>
      </c>
      <c r="CT50">
        <f>CO50*(BK50/10000)^0.72*((A50+1)/3)^0.6*('CAPEX+OPEX'!$G$116/'CAPEX+OPEX'!$G$114)</f>
        <v>1800336.9288957189</v>
      </c>
      <c r="CU50">
        <f>CP50*(BK50/10000)^0.72*((A50+1)/3)^0.6*('CAPEX+OPEX'!$G$116/'CAPEX+OPEX'!$G$114)</f>
        <v>347282.79168127343</v>
      </c>
      <c r="CV50">
        <f>CQ50*(BK50/10000)^0.72*((A50+1)/3)^0.6*('CAPEX+OPEX'!$G$116/'CAPEX+OPEX'!$G$114)</f>
        <v>2149736.8951473436</v>
      </c>
      <c r="CW50">
        <f>CR50*(BK50/10000)^0.72*((A50+1)/3)^0.6*('CAPEX+OPEX'!$G$116/'CAPEX+OPEX'!$G$114)</f>
        <v>253809.83932102245</v>
      </c>
      <c r="CX50">
        <f t="shared" si="14"/>
        <v>5251200.2995432261</v>
      </c>
      <c r="CY50">
        <f>CN50*(BM50/10000)^0.72*((AF50+1)/3)^0.6*('CAPEX+OPEX'!$G$116/'CAPEX+OPEX'!$G$114)</f>
        <v>884688.5141556306</v>
      </c>
      <c r="CZ50">
        <f>CO50*(BM50/10000)^0.72*((AF50+1)/3)^0.6*('CAPEX+OPEX'!$G$116/'CAPEX+OPEX'!$G$114)</f>
        <v>2275229.140880656</v>
      </c>
      <c r="DA50">
        <f>CP50*(BM50/10000)^0.72*((AF50+1)/3)^0.6*('CAPEX+OPEX'!$G$116/'CAPEX+OPEX'!$G$114)</f>
        <v>438888.91855608189</v>
      </c>
      <c r="DB50">
        <f>CQ50*(BM50/10000)^0.72*((AF50+1)/3)^0.6*('CAPEX+OPEX'!$G$116/'CAPEX+OPEX'!$G$114)</f>
        <v>2716793.7015354363</v>
      </c>
      <c r="DC50">
        <f>CR50*(BM50/10000)^0.72*((AF50+1)/3)^0.6*('CAPEX+OPEX'!$G$116/'CAPEX+OPEX'!$G$114)</f>
        <v>320759.70525119215</v>
      </c>
      <c r="DD50">
        <f t="shared" si="15"/>
        <v>6636359.9803789966</v>
      </c>
      <c r="DE50">
        <f>CX50+DD50+1.15*(SUM(CI50:CL50)+SUM(CB50:CE50))</f>
        <v>11983665.411830153</v>
      </c>
      <c r="DF50">
        <f t="shared" si="16"/>
        <v>798911.02745534352</v>
      </c>
      <c r="DG50">
        <f>(BS50+BT50)*'Oxidant Feed Composition'!$N$25*60*7200</f>
        <v>14883013.471223522</v>
      </c>
      <c r="DH50">
        <f>((CG50+CH50)*'Reagent cost'!$C$17/1000*'Reagent cost'!$H$17+(CG50+CH50)*0.5*'Reagent cost'!$C$16/1000*'Reagent cost'!$H$16)*60*7200</f>
        <v>5931218.4914316898</v>
      </c>
      <c r="DI50">
        <f>CF50*'Reagent cost'!$C$17/1000*'Reagent cost'!$H$17*60*7200</f>
        <v>504921.59999999998</v>
      </c>
      <c r="DJ50">
        <f t="shared" si="17"/>
        <v>99.174613864508345</v>
      </c>
      <c r="DK50">
        <f t="shared" si="18"/>
        <v>1186.5157722222029</v>
      </c>
      <c r="DL50">
        <f t="shared" si="19"/>
        <v>25584527.10364956</v>
      </c>
      <c r="DM50">
        <f>BK50*(B50*(409.81+2)/1000+C50*(248.2+2*22.99)/1000+D50*(315.6+3*22.99)/1000+0.1*58.44/1000)</f>
        <v>0.70639694042110623</v>
      </c>
      <c r="DN50">
        <f>(BS50+BT50)/1000*('Oxidant Feed Composition'!$B$11*'Oxidant Feed Composition'!$O$20+'Oxidant Feed Composition'!$D$11*'Oxidant Feed Composition'!$O$21+'Oxidant Feed Composition'!$F$11*'Oxidant Feed Composition'!$O$27-'Oxidant Feed Composition'!$J$15*18.015)</f>
        <v>2.1581908169848951</v>
      </c>
      <c r="DO50">
        <f>(BU50+BV50)/1000*(0.2*368.34+0.4*58.44)</f>
        <v>1.4944862682129714</v>
      </c>
      <c r="DP50">
        <f>BK50/1000*(B50*195.08+C50*106.42+D50*102.91)</f>
        <v>4.999938342565946E-2</v>
      </c>
      <c r="DQ50">
        <f>SUM(DM50:DO50)-DP50</f>
        <v>4.3090746421933126</v>
      </c>
      <c r="DR50">
        <f>DQ50*60*7200*0.33</f>
        <v>614301.68099107873</v>
      </c>
      <c r="DS50">
        <v>1.2</v>
      </c>
      <c r="DT50">
        <f>BM50/60*(AM50*4+AN50*2+AO50*3)*96485/DV50</f>
        <v>1405.960919870389</v>
      </c>
      <c r="DU50">
        <f>BN50*BA50*(AP50*4+AQ50*2+AR50*3)*96485/DV50/60</f>
        <v>705.92661426068241</v>
      </c>
      <c r="DV50">
        <v>0.7</v>
      </c>
      <c r="DW50">
        <f>0.499*((BK50/3.78541*15)^(-0.146))*BK50/3.78541*15*300*(1+(A50-2)/9)</f>
        <v>38528.386667103026</v>
      </c>
      <c r="DX50">
        <f>0.248*((BK50/3.78541*15)^(-0.144))*BK50/3.78541*15*300*(1+(A50-2)/3)</f>
        <v>33220.879177835675</v>
      </c>
      <c r="DY50">
        <f>0.105*((BK50/3.78541*15)^(-0.144))*BK50/3.78541*15*300*(1+(A50-2)/3)</f>
        <v>14065.291587390104</v>
      </c>
      <c r="DZ50">
        <f>0.058*((BK50/3.78541*15)^(-0.151))*BK50/3.78541*15*300*(1+(A50-2)/3)</f>
        <v>7450.7773575794354</v>
      </c>
      <c r="EA50">
        <f>0.056*((BK50/3.78541*15)^(-0.144))*BK50/3.78541*15*300*(1+(A50-2)/3)</f>
        <v>7501.4888466080574</v>
      </c>
      <c r="EB50">
        <f>DS50*DT50/(3.6*10^6)*3600*7200*0.07</f>
        <v>850.32516433761134</v>
      </c>
      <c r="EC50">
        <f>0.499*((BM50/3.78541*15)^(-0.146))*BM50/3.78541*15*300*(1+(AF50-2)/9)</f>
        <v>48858.777606260672</v>
      </c>
      <c r="ED50">
        <f>0.248*((BM50/3.78541*15)^(-0.144))*BM50/3.78541*15*300*(1+(AF50-2)/3)</f>
        <v>50434.961458623809</v>
      </c>
      <c r="EE50">
        <f>0.105*((BM50/3.78541*15)^(-0.144))*BM50/3.78541*15*300*(1+(AF50-2)/3)</f>
        <v>21353.511907885077</v>
      </c>
      <c r="EF50">
        <f>0.058*((BM50/3.78541*15)^(-0.151))*BM50/3.78541*15*300*(1+(AF50-2)/3)</f>
        <v>11317.842974567217</v>
      </c>
      <c r="EG50">
        <f>0.056*((BM50/3.78541*15)^(-0.144))*BM50/3.78541*15*300*(1+(AF50-2)/3)</f>
        <v>11388.539684205374</v>
      </c>
      <c r="EH50">
        <f>DS50*DU50/(3.6*10^6)*3600*7200*0.07</f>
        <v>426.94441630486074</v>
      </c>
      <c r="EI50">
        <f>SUM(DW50:EH50)</f>
        <v>245397.72684870093</v>
      </c>
      <c r="EJ50">
        <f>EI50+DR50+DL50</f>
        <v>26444226.511489339</v>
      </c>
      <c r="EK50">
        <f>EJ50+DF50</f>
        <v>27243137.538944684</v>
      </c>
      <c r="EL50">
        <f>EK50/(BK50*60*7200)</f>
        <v>0.63062818377186769</v>
      </c>
      <c r="EM50">
        <f>EK50/(BM50*(AM50*195.084/1000+AN50*106.42/1000+AO50*102.911/1000)*60*7200)</f>
        <v>2109.7255176288322</v>
      </c>
      <c r="EN50">
        <f>EK50/(BN50*BA50*(AP50*195.084/1000+AQ50*106.42/1000+AR50*102.911/1000)*60*7200)</f>
        <v>3871.2283874510786</v>
      </c>
    </row>
    <row r="51" spans="1:144">
      <c r="A51">
        <f>'Costing 100 Lmin Feed Orig'!A51</f>
        <v>7</v>
      </c>
      <c r="B51">
        <f>'Costing 100 Lmin Feed Orig'!B51</f>
        <v>1.54143585092054E-3</v>
      </c>
      <c r="C51">
        <f>'Costing 100 Lmin Feed Orig'!C51</f>
        <v>1.54143585092054E-3</v>
      </c>
      <c r="D51">
        <f>'Costing 100 Lmin Feed Orig'!D51</f>
        <v>3.4254130020456501E-4</v>
      </c>
      <c r="E51">
        <f>'Costing 100 Lmin Feed Orig'!E51</f>
        <v>0</v>
      </c>
      <c r="F51">
        <f>'Costing 100 Lmin Feed Orig'!F51</f>
        <v>0</v>
      </c>
      <c r="G51">
        <f>'Costing 100 Lmin Feed Orig'!G51</f>
        <v>0</v>
      </c>
      <c r="H51">
        <f>'Costing 100 Lmin Feed Orig'!H51</f>
        <v>1.7744466230058299E-5</v>
      </c>
      <c r="I51">
        <f>'Costing 100 Lmin Feed Orig'!I51</f>
        <v>1.2927742824924801E-8</v>
      </c>
      <c r="J51">
        <f>'Costing 100 Lmin Feed Orig'!J51</f>
        <v>3.3739048286900598E-4</v>
      </c>
      <c r="K51">
        <f>'Costing 100 Lmin Feed Orig'!K51</f>
        <v>0.13716795306346499</v>
      </c>
      <c r="L51">
        <f>'Costing 100 Lmin Feed Orig'!L51</f>
        <v>0.138764207307677</v>
      </c>
      <c r="M51">
        <f>'Costing 100 Lmin Feed Orig'!M51</f>
        <v>4.6369433969460899E-4</v>
      </c>
      <c r="N51">
        <f>'Costing 100 Lmin Feed Orig'!N51</f>
        <v>-1.1037178115902399E-16</v>
      </c>
      <c r="O51">
        <f>'Costing 100 Lmin Feed Orig'!O51</f>
        <v>-5.3700533603207003E-15</v>
      </c>
      <c r="P51">
        <f>'Costing 100 Lmin Feed Orig'!P51</f>
        <v>-3.4304834363799101E-19</v>
      </c>
      <c r="Q51">
        <f>'Costing 100 Lmin Feed Orig'!Q51</f>
        <v>0.111082169753281</v>
      </c>
      <c r="R51">
        <f>'Costing 100 Lmin Feed Orig'!R51</f>
        <v>98.496293050653193</v>
      </c>
      <c r="S51">
        <f>'Costing 100 Lmin Feed Orig'!S51</f>
        <v>500</v>
      </c>
      <c r="T51">
        <f>'Costing 100 Lmin Feed Orig'!T51</f>
        <v>95</v>
      </c>
      <c r="U51">
        <f>'Costing 100 Lmin Feed Orig'!U51</f>
        <v>1</v>
      </c>
      <c r="V51">
        <f>'Costing 100 Lmin Feed Orig'!V51</f>
        <v>0.1</v>
      </c>
      <c r="W51">
        <f>'Costing 100 Lmin Feed Orig'!W51</f>
        <v>90.023448607553206</v>
      </c>
      <c r="X51" t="str">
        <f>'Costing 100 Lmin Feed Orig'!X51</f>
        <v>ddFc</v>
      </c>
      <c r="Y51">
        <f>'Costing 100 Lmin Feed Orig'!Y51</f>
        <v>1</v>
      </c>
      <c r="Z51">
        <f>'Costing 100 Lmin Feed Orig'!Z51</f>
        <v>0.28318429382522198</v>
      </c>
      <c r="AA51">
        <f>'Costing 100 Lmin Feed Orig'!AA51</f>
        <v>0.56945642916197003</v>
      </c>
      <c r="AB51">
        <f>'Costing 100 Lmin Feed Orig'!AB51</f>
        <v>3.7698628972227502E-3</v>
      </c>
      <c r="AC51">
        <f>'Costing 100 Lmin Feed Orig'!AC51</f>
        <v>1822.2107908876901</v>
      </c>
      <c r="AD51">
        <f>'Costing 100 Lmin Feed Orig'!AD51</f>
        <v>2662.6059073104898</v>
      </c>
      <c r="AE51">
        <f>'Costing 100 Lmin Feed Orig'!AE51</f>
        <v>2401.5030938442701</v>
      </c>
      <c r="AF51">
        <f>'Costing 100 Lmin Feed Orig'!AF51</f>
        <v>13</v>
      </c>
      <c r="AG51">
        <f>'Costing 100 Lmin Feed Orig'!AG51</f>
        <v>1.64967327652189E-3</v>
      </c>
      <c r="AH51">
        <f>'Costing 100 Lmin Feed Orig'!AH51</f>
        <v>1.66887089455438E-3</v>
      </c>
      <c r="AI51">
        <f>'Costing 100 Lmin Feed Orig'!AI51</f>
        <v>5.5766973522943398E-6</v>
      </c>
      <c r="AJ51">
        <f>'Costing 100 Lmin Feed Orig'!AJ51</f>
        <v>0</v>
      </c>
      <c r="AK51">
        <f>'Costing 100 Lmin Feed Orig'!AK51</f>
        <v>0</v>
      </c>
      <c r="AL51">
        <f>'Costing 100 Lmin Feed Orig'!AL51</f>
        <v>0</v>
      </c>
      <c r="AM51">
        <f>'Costing 100 Lmin Feed Orig'!AM51</f>
        <v>1.61272186550998E-3</v>
      </c>
      <c r="AN51">
        <f>'Costing 100 Lmin Feed Orig'!AN51</f>
        <v>7.93400817500593E-5</v>
      </c>
      <c r="AO51">
        <f>'Costing 100 Lmin Feed Orig'!AO51</f>
        <v>5.54001643467726E-6</v>
      </c>
      <c r="AP51">
        <f>'Costing 100 Lmin Feed Orig'!AP51</f>
        <v>1.7331730611392299E-3</v>
      </c>
      <c r="AQ51">
        <f>'Costing 100 Lmin Feed Orig'!AQ51</f>
        <v>7.4555528710795793E-2</v>
      </c>
      <c r="AR51">
        <f>'Costing 100 Lmin Feed Orig'!AR51</f>
        <v>1.7204858090881901E-6</v>
      </c>
      <c r="AS51">
        <f>'Costing 100 Lmin Feed Orig'!AS51</f>
        <v>5.6920614055488896E-19</v>
      </c>
      <c r="AT51">
        <f>'Costing 100 Lmin Feed Orig'!AT51</f>
        <v>-1.9298798670241899E-17</v>
      </c>
      <c r="AU51">
        <f>'Costing 100 Lmin Feed Orig'!AU51</f>
        <v>2.0514079191314999E-22</v>
      </c>
      <c r="AV51">
        <f>'Costing 100 Lmin Feed Orig'!AV51</f>
        <v>0.19691924837979699</v>
      </c>
      <c r="AW51">
        <f>'Costing 100 Lmin Feed Orig'!AW51</f>
        <v>99.342246578936397</v>
      </c>
      <c r="AX51">
        <f>'Costing 100 Lmin Feed Orig'!AX51</f>
        <v>500</v>
      </c>
      <c r="AY51">
        <f>'Costing 100 Lmin Feed Orig'!AY51</f>
        <v>95</v>
      </c>
      <c r="AZ51">
        <f>'Costing 100 Lmin Feed Orig'!AZ51</f>
        <v>0.92363221637625403</v>
      </c>
      <c r="BA51">
        <f>'Costing 100 Lmin Feed Orig'!BA51</f>
        <v>0.1</v>
      </c>
      <c r="BB51">
        <f>'Costing 100 Lmin Feed Orig'!BB51</f>
        <v>46.904110389191104</v>
      </c>
      <c r="BC51" t="str">
        <f>'Costing 100 Lmin Feed Orig'!BC51</f>
        <v>coeFc</v>
      </c>
      <c r="BD51">
        <f>'Costing 100 Lmin Feed Orig'!BD51</f>
        <v>1</v>
      </c>
      <c r="BE51">
        <f>'Costing 100 Lmin Feed Orig'!BE51</f>
        <v>1.8775014999999999E-2</v>
      </c>
      <c r="BF51">
        <f>'Costing 100 Lmin Feed Orig'!BF51</f>
        <v>0.10492961100000001</v>
      </c>
      <c r="BG51">
        <f>'Costing 100 Lmin Feed Orig'!BG51</f>
        <v>1.814625E-3</v>
      </c>
      <c r="BH51">
        <f>'Costing 100 Lmin Feed Orig'!BH51</f>
        <v>285.1951444</v>
      </c>
      <c r="BI51">
        <f>'Costing 100 Lmin Feed Orig'!BI51</f>
        <v>2169.8944889999998</v>
      </c>
      <c r="BJ51">
        <f>'Costing 100 Lmin Feed Orig'!BJ51</f>
        <v>866.49409060000005</v>
      </c>
      <c r="BK51">
        <f>'Costing 100 Lmin Feed Orig'!BK51</f>
        <v>100</v>
      </c>
      <c r="BL51">
        <f>'Costing 100 Lmin Feed Orig'!BL51</f>
        <v>11.1082169753281</v>
      </c>
      <c r="BM51">
        <f>'Costing 100 Lmin Feed Orig'!BM51</f>
        <v>92.363221637625401</v>
      </c>
      <c r="BN51">
        <f>'Costing 100 Lmin Feed Orig'!BN51</f>
        <v>19.691924837979698</v>
      </c>
      <c r="BO51">
        <f t="shared" si="1"/>
        <v>199.94790555590581</v>
      </c>
      <c r="BP51">
        <f t="shared" si="2"/>
        <v>590.75774513939098</v>
      </c>
      <c r="BQ51">
        <f t="shared" si="3"/>
        <v>19.994790555590583</v>
      </c>
      <c r="BR51">
        <f t="shared" si="4"/>
        <v>59.075774513939102</v>
      </c>
      <c r="BS51">
        <f>1.2*0.5*BL51*V51/'Oxidant Feed Composition'!$N$22</f>
        <v>6.6649301851968596</v>
      </c>
      <c r="BT51">
        <f>1.2*0.5*BN51*BA51/'Oxidant Feed Composition'!$N$22</f>
        <v>11.815154902787818</v>
      </c>
      <c r="BU51">
        <f t="shared" si="5"/>
        <v>5.5541084876640499</v>
      </c>
      <c r="BV51">
        <f t="shared" si="6"/>
        <v>9.8459624189898491</v>
      </c>
      <c r="BW51">
        <f t="shared" si="7"/>
        <v>86.809113149961348</v>
      </c>
      <c r="BX51">
        <f t="shared" si="20"/>
        <v>35.54629432104992</v>
      </c>
      <c r="BY51">
        <f t="shared" si="8"/>
        <v>206.94287722590701</v>
      </c>
      <c r="BZ51">
        <f t="shared" si="9"/>
        <v>63.014159481535032</v>
      </c>
      <c r="CA51">
        <f t="shared" si="10"/>
        <v>59.075774513939095</v>
      </c>
      <c r="CB51">
        <f>BO51*'Reagent cost'!$G$11*'Reagent cost'!$H$11</f>
        <v>2639.3123533379567</v>
      </c>
      <c r="CC51">
        <f>BP51*'Reagent cost'!$G$11*'Reagent cost'!$H$11</f>
        <v>7798.0022358399619</v>
      </c>
      <c r="CD51">
        <f>BQ51*'Reagent cost'!$C$18/1000*'Reagent cost'!$H$18</f>
        <v>3188.7782491883527</v>
      </c>
      <c r="CE51">
        <f>BR51*'Ligand cost'!$B$56*'Ligand cost'!$J$56</f>
        <v>60146.684318225351</v>
      </c>
      <c r="CF51">
        <f t="shared" si="11"/>
        <v>10</v>
      </c>
      <c r="CG51">
        <f t="shared" si="12"/>
        <v>2.22164339506562</v>
      </c>
      <c r="CH51">
        <f t="shared" si="13"/>
        <v>3.9383849675959399</v>
      </c>
      <c r="CI51">
        <f>7963.6*(BX51/1000)^0.6*1.7*('CAPEX+OPEX'!$G$116/'CAPEX+OPEX'!$G$115)</f>
        <v>2156.3414312027717</v>
      </c>
      <c r="CJ51">
        <f>7963.6*(BY51/1000)^0.6*1.7*('CAPEX+OPEX'!$G$116/'CAPEX+OPEX'!$G$115)</f>
        <v>6205.1347590783025</v>
      </c>
      <c r="CK51">
        <f>7963.6*(BZ51/1000)^0.6*1.7*('CAPEX+OPEX'!$G$116/'CAPEX+OPEX'!$G$115)</f>
        <v>3040.2116335009732</v>
      </c>
      <c r="CL51">
        <f>7963.6*(CA51/1000)^0.6*1.7*('CAPEX+OPEX'!$G$116/'CAPEX+OPEX'!$G$115)</f>
        <v>2924.7354045106295</v>
      </c>
      <c r="CM51">
        <f>'Costing 100 Lmin Feed Orig'!DE51</f>
        <v>39625.826528698344</v>
      </c>
      <c r="CN51">
        <f>'Costing 100 Lmin Feed Orig'!DF51</f>
        <v>4586243.4239371875</v>
      </c>
      <c r="CO51">
        <f>'Costing 100 Lmin Feed Orig'!DG51</f>
        <v>11794834.586807497</v>
      </c>
      <c r="CP51">
        <f>'Costing 100 Lmin Feed Orig'!DH51</f>
        <v>2275209.1661185985</v>
      </c>
      <c r="CQ51">
        <f>'Costing 100 Lmin Feed Orig'!DI51</f>
        <v>14083914.336508472</v>
      </c>
      <c r="CR51">
        <f>'Costing 100 Lmin Feed Orig'!DJ51</f>
        <v>1662824.8986326549</v>
      </c>
      <c r="CS51">
        <f>CN51*(BK51/10000)^0.72*((A51+1)/3)^0.6*('CAPEX+OPEX'!$G$116/'CAPEX+OPEX'!$G$114)</f>
        <v>700033.84449786716</v>
      </c>
      <c r="CT51">
        <f>CO51*(BK51/10000)^0.72*((A51+1)/3)^0.6*('CAPEX+OPEX'!$G$116/'CAPEX+OPEX'!$G$114)</f>
        <v>1800336.9288957189</v>
      </c>
      <c r="CU51">
        <f>CP51*(BK51/10000)^0.72*((A51+1)/3)^0.6*('CAPEX+OPEX'!$G$116/'CAPEX+OPEX'!$G$114)</f>
        <v>347282.79168127343</v>
      </c>
      <c r="CV51">
        <f>CQ51*(BK51/10000)^0.72*((A51+1)/3)^0.6*('CAPEX+OPEX'!$G$116/'CAPEX+OPEX'!$G$114)</f>
        <v>2149736.8951473436</v>
      </c>
      <c r="CW51">
        <f>CR51*(BK51/10000)^0.72*((A51+1)/3)^0.6*('CAPEX+OPEX'!$G$116/'CAPEX+OPEX'!$G$114)</f>
        <v>253809.83932102245</v>
      </c>
      <c r="CX51">
        <f t="shared" si="14"/>
        <v>5251200.2995432261</v>
      </c>
      <c r="CY51">
        <f>CN51*(BM51/10000)^0.72*((AF51+1)/3)^0.6*('CAPEX+OPEX'!$G$116/'CAPEX+OPEX'!$G$114)</f>
        <v>924913.67140026169</v>
      </c>
      <c r="CZ51">
        <f>CO51*(BM51/10000)^0.72*((AF51+1)/3)^0.6*('CAPEX+OPEX'!$G$116/'CAPEX+OPEX'!$G$114)</f>
        <v>2378679.619207304</v>
      </c>
      <c r="DA51">
        <f>CP51*(BM51/10000)^0.72*((AF51+1)/3)^0.6*('CAPEX+OPEX'!$G$116/'CAPEX+OPEX'!$G$114)</f>
        <v>458844.38930014853</v>
      </c>
      <c r="DB51">
        <f>CQ51*(BM51/10000)^0.72*((AF51+1)/3)^0.6*('CAPEX+OPEX'!$G$116/'CAPEX+OPEX'!$G$114)</f>
        <v>2840321.3071241546</v>
      </c>
      <c r="DC51">
        <f>CR51*(BM51/10000)^0.72*((AF51+1)/3)^0.6*('CAPEX+OPEX'!$G$116/'CAPEX+OPEX'!$G$114)</f>
        <v>335344.05824664765</v>
      </c>
      <c r="DD51">
        <f t="shared" si="15"/>
        <v>6938103.0452785166</v>
      </c>
      <c r="DE51">
        <f>CX51+DD51+1.15*(SUM(CI51:CL51)+SUM(CB51:CE51))</f>
        <v>12290617.42526436</v>
      </c>
      <c r="DF51">
        <f t="shared" si="16"/>
        <v>819374.49501762399</v>
      </c>
      <c r="DG51">
        <f>(BS51+BT51)*'Oxidant Feed Composition'!$N$25*60*7200</f>
        <v>14882995.673707996</v>
      </c>
      <c r="DH51">
        <f>((CG51+CH51)*'Reagent cost'!$C$17/1000*'Reagent cost'!$H$17+(CG51+CH51)*0.5*'Reagent cost'!$C$16/1000*'Reagent cost'!$H$16)*60*7200</f>
        <v>5931211.3987180162</v>
      </c>
      <c r="DI51">
        <f>CF51*'Reagent cost'!$C$17/1000*'Reagent cost'!$H$17*60*7200</f>
        <v>504921.59999999998</v>
      </c>
      <c r="DJ51">
        <f t="shared" si="17"/>
        <v>104.37314589177919</v>
      </c>
      <c r="DK51">
        <f t="shared" si="18"/>
        <v>1266.7092513482742</v>
      </c>
      <c r="DL51">
        <f t="shared" si="19"/>
        <v>25584599.705787908</v>
      </c>
      <c r="DM51">
        <f>BK51*(B51*(409.81+2)/1000+C51*(248.2+2*22.99)/1000+D51*(315.6+3*22.99)/1000+0.1*58.44/1000)</f>
        <v>0.70639694042110623</v>
      </c>
      <c r="DN51">
        <f>(BS51+BT51)/1000*('Oxidant Feed Composition'!$B$11*'Oxidant Feed Composition'!$O$20+'Oxidant Feed Composition'!$D$11*'Oxidant Feed Composition'!$O$21+'Oxidant Feed Composition'!$F$11*'Oxidant Feed Composition'!$O$27-'Oxidant Feed Composition'!$J$15*18.015)</f>
        <v>2.1581882361611493</v>
      </c>
      <c r="DO51">
        <f>(BU51+BV51)/1000*(0.2*368.34+0.4*58.44)</f>
        <v>1.4944844810653208</v>
      </c>
      <c r="DP51">
        <f>BK51/1000*(B51*195.08+C51*106.42+D51*102.91)</f>
        <v>4.999938342565946E-2</v>
      </c>
      <c r="DQ51">
        <f>SUM(DM51:DO51)-DP51</f>
        <v>4.3090702742219165</v>
      </c>
      <c r="DR51">
        <f>DQ51*60*7200*0.33</f>
        <v>614301.05829307646</v>
      </c>
      <c r="DS51">
        <v>1.2</v>
      </c>
      <c r="DT51">
        <f>BM51/60*(AM51*4+AN51*2+AO51*3)*96485/DV51</f>
        <v>1405.9611356884682</v>
      </c>
      <c r="DU51">
        <f>BN51*BA51*(AP51*4+AQ51*2+AR51*3)*96485/DV51/60</f>
        <v>705.92639842104836</v>
      </c>
      <c r="DV51">
        <v>0.7</v>
      </c>
      <c r="DW51">
        <f>0.499*((BK51/3.78541*15)^(-0.146))*BK51/3.78541*15*300*(1+(A51-2)/9)</f>
        <v>38528.386667103026</v>
      </c>
      <c r="DX51">
        <f>0.248*((BK51/3.78541*15)^(-0.144))*BK51/3.78541*15*300*(1+(A51-2)/3)</f>
        <v>33220.879177835675</v>
      </c>
      <c r="DY51">
        <f>0.105*((BK51/3.78541*15)^(-0.144))*BK51/3.78541*15*300*(1+(A51-2)/3)</f>
        <v>14065.291587390104</v>
      </c>
      <c r="DZ51">
        <f>0.058*((BK51/3.78541*15)^(-0.151))*BK51/3.78541*15*300*(1+(A51-2)/3)</f>
        <v>7450.7773575794354</v>
      </c>
      <c r="EA51">
        <f>0.056*((BK51/3.78541*15)^(-0.144))*BK51/3.78541*15*300*(1+(A51-2)/3)</f>
        <v>7501.4888466080574</v>
      </c>
      <c r="EB51">
        <f>DS51*DT51/(3.6*10^6)*3600*7200*0.07</f>
        <v>850.32529486438557</v>
      </c>
      <c r="EC51">
        <f>0.499*((BM51/3.78541*15)^(-0.146))*BM51/3.78541*15*300*(1+(AF51-2)/9)</f>
        <v>51430.292217116497</v>
      </c>
      <c r="ED51">
        <f>0.248*((BM51/3.78541*15)^(-0.144))*BM51/3.78541*15*300*(1+(AF51-2)/3)</f>
        <v>54314.573878517935</v>
      </c>
      <c r="EE51">
        <f>0.105*((BM51/3.78541*15)^(-0.144))*BM51/3.78541*15*300*(1+(AF51-2)/3)</f>
        <v>22996.089746953152</v>
      </c>
      <c r="EF51">
        <f>0.058*((BM51/3.78541*15)^(-0.151))*BM51/3.78541*15*300*(1+(AF51-2)/3)</f>
        <v>12188.446280303153</v>
      </c>
      <c r="EG51">
        <f>0.056*((BM51/3.78541*15)^(-0.144))*BM51/3.78541*15*300*(1+(AF51-2)/3)</f>
        <v>12264.581198375015</v>
      </c>
      <c r="EH51">
        <f>DS51*DU51/(3.6*10^6)*3600*7200*0.07</f>
        <v>426.94428576505004</v>
      </c>
      <c r="EI51">
        <f>SUM(DW51:EH51)</f>
        <v>255238.07653841146</v>
      </c>
      <c r="EJ51">
        <f>EI51+DR51+DL51</f>
        <v>26454138.840619396</v>
      </c>
      <c r="EK51">
        <f>EJ51+DF51</f>
        <v>27273513.335637022</v>
      </c>
      <c r="EL51">
        <f>EK51/(BK51*60*7200)</f>
        <v>0.6313313272138199</v>
      </c>
      <c r="EM51">
        <f>EK51/(BM51*(AM51*195.084/1000+AN51*106.42/1000+AO51*102.911/1000)*60*7200)</f>
        <v>2112.0775138012536</v>
      </c>
      <c r="EN51">
        <f>EK51/(BN51*BA51*(AP51*195.084/1000+AQ51*106.42/1000+AR51*102.911/1000)*60*7200)</f>
        <v>3875.5458566806515</v>
      </c>
    </row>
    <row r="52" spans="1:144">
      <c r="A52">
        <f>'Costing 100 Lmin Feed Orig'!A52</f>
        <v>8</v>
      </c>
      <c r="B52">
        <f>'Costing 100 Lmin Feed Orig'!B52</f>
        <v>1.54143585092054E-3</v>
      </c>
      <c r="C52">
        <f>'Costing 100 Lmin Feed Orig'!C52</f>
        <v>1.54143585092054E-3</v>
      </c>
      <c r="D52">
        <f>'Costing 100 Lmin Feed Orig'!D52</f>
        <v>3.4254130020456501E-4</v>
      </c>
      <c r="E52">
        <f>'Costing 100 Lmin Feed Orig'!E52</f>
        <v>0</v>
      </c>
      <c r="F52">
        <f>'Costing 100 Lmin Feed Orig'!F52</f>
        <v>0</v>
      </c>
      <c r="G52">
        <f>'Costing 100 Lmin Feed Orig'!G52</f>
        <v>0</v>
      </c>
      <c r="H52">
        <f>'Costing 100 Lmin Feed Orig'!H52</f>
        <v>1.7762434284205799E-5</v>
      </c>
      <c r="I52">
        <f>'Costing 100 Lmin Feed Orig'!I52</f>
        <v>4.4591984978445998E-9</v>
      </c>
      <c r="J52">
        <f>'Costing 100 Lmin Feed Orig'!J52</f>
        <v>3.37570976171142E-4</v>
      </c>
      <c r="K52">
        <f>'Costing 100 Lmin Feed Orig'!K52</f>
        <v>0.13846015972746001</v>
      </c>
      <c r="L52">
        <f>'Costing 100 Lmin Feed Orig'!L52</f>
        <v>0.14007387303476199</v>
      </c>
      <c r="M52">
        <f>'Costing 100 Lmin Feed Orig'!M52</f>
        <v>4.5166625081916902E-4</v>
      </c>
      <c r="N52">
        <f>'Costing 100 Lmin Feed Orig'!N52</f>
        <v>-2.6107588313450902E-16</v>
      </c>
      <c r="O52">
        <f>'Costing 100 Lmin Feed Orig'!O52</f>
        <v>-1.18524981496115E-14</v>
      </c>
      <c r="P52">
        <f>'Costing 100 Lmin Feed Orig'!P52</f>
        <v>-2.5241581828178102E-19</v>
      </c>
      <c r="Q52">
        <f>'Costing 100 Lmin Feed Orig'!Q52</f>
        <v>0.110044175857931</v>
      </c>
      <c r="R52">
        <f>'Costing 100 Lmin Feed Orig'!R52</f>
        <v>98.548985471108097</v>
      </c>
      <c r="S52">
        <f>'Costing 100 Lmin Feed Orig'!S52</f>
        <v>500</v>
      </c>
      <c r="T52">
        <f>'Costing 100 Lmin Feed Orig'!T52</f>
        <v>95</v>
      </c>
      <c r="U52">
        <f>'Costing 100 Lmin Feed Orig'!U52</f>
        <v>1</v>
      </c>
      <c r="V52">
        <f>'Costing 100 Lmin Feed Orig'!V52</f>
        <v>0.1</v>
      </c>
      <c r="W52">
        <f>'Costing 100 Lmin Feed Orig'!W52</f>
        <v>90.872596591664205</v>
      </c>
      <c r="X52" t="str">
        <f>'Costing 100 Lmin Feed Orig'!X52</f>
        <v>ddFc</v>
      </c>
      <c r="Y52">
        <f>'Costing 100 Lmin Feed Orig'!Y52</f>
        <v>1</v>
      </c>
      <c r="Z52">
        <f>'Costing 100 Lmin Feed Orig'!Z52</f>
        <v>0.28318429382522198</v>
      </c>
      <c r="AA52">
        <f>'Costing 100 Lmin Feed Orig'!AA52</f>
        <v>0.56945642916197003</v>
      </c>
      <c r="AB52">
        <f>'Costing 100 Lmin Feed Orig'!AB52</f>
        <v>3.7698628972227502E-3</v>
      </c>
      <c r="AC52">
        <f>'Costing 100 Lmin Feed Orig'!AC52</f>
        <v>1822.2107908876901</v>
      </c>
      <c r="AD52">
        <f>'Costing 100 Lmin Feed Orig'!AD52</f>
        <v>2662.6059073104898</v>
      </c>
      <c r="AE52">
        <f>'Costing 100 Lmin Feed Orig'!AE52</f>
        <v>2401.5030938442701</v>
      </c>
      <c r="AF52">
        <f>'Costing 100 Lmin Feed Orig'!AF52</f>
        <v>4</v>
      </c>
      <c r="AG52">
        <f>'Costing 100 Lmin Feed Orig'!AG52</f>
        <v>1.6497294784823999E-3</v>
      </c>
      <c r="AH52">
        <f>'Costing 100 Lmin Feed Orig'!AH52</f>
        <v>1.66895660069658E-3</v>
      </c>
      <c r="AI52">
        <f>'Costing 100 Lmin Feed Orig'!AI52</f>
        <v>5.38152729188446E-6</v>
      </c>
      <c r="AJ52">
        <f>'Costing 100 Lmin Feed Orig'!AJ52</f>
        <v>0</v>
      </c>
      <c r="AK52">
        <f>'Costing 100 Lmin Feed Orig'!AK52</f>
        <v>0</v>
      </c>
      <c r="AL52">
        <f>'Costing 100 Lmin Feed Orig'!AL52</f>
        <v>0</v>
      </c>
      <c r="AM52">
        <f>'Costing 100 Lmin Feed Orig'!AM52</f>
        <v>1.6048042794156499E-3</v>
      </c>
      <c r="AN52">
        <f>'Costing 100 Lmin Feed Orig'!AN52</f>
        <v>7.91245725580603E-5</v>
      </c>
      <c r="AO52">
        <f>'Costing 100 Lmin Feed Orig'!AO52</f>
        <v>5.33881057128359E-6</v>
      </c>
      <c r="AP52">
        <f>'Costing 100 Lmin Feed Orig'!AP52</f>
        <v>1.9876957232607701E-3</v>
      </c>
      <c r="AQ52">
        <f>'Costing 100 Lmin Feed Orig'!AQ52</f>
        <v>7.0341420588359904E-2</v>
      </c>
      <c r="AR52">
        <f>'Costing 100 Lmin Feed Orig'!AR52</f>
        <v>1.8899825621476501E-6</v>
      </c>
      <c r="AS52">
        <f>'Costing 100 Lmin Feed Orig'!AS52</f>
        <v>-9.5823143256984394E-15</v>
      </c>
      <c r="AT52">
        <f>'Costing 100 Lmin Feed Orig'!AT52</f>
        <v>-1.23568690002517E-13</v>
      </c>
      <c r="AU52">
        <f>'Costing 100 Lmin Feed Orig'!AU52</f>
        <v>-3.11350782564959E-18</v>
      </c>
      <c r="AV52">
        <f>'Costing 100 Lmin Feed Orig'!AV52</f>
        <v>0.208746528965852</v>
      </c>
      <c r="AW52">
        <f>'Costing 100 Lmin Feed Orig'!AW52</f>
        <v>99.206234247565902</v>
      </c>
      <c r="AX52">
        <f>'Costing 100 Lmin Feed Orig'!AX52</f>
        <v>499.99999999999898</v>
      </c>
      <c r="AY52">
        <f>'Costing 100 Lmin Feed Orig'!AY52</f>
        <v>95</v>
      </c>
      <c r="AZ52">
        <f>'Costing 100 Lmin Feed Orig'!AZ52</f>
        <v>0.92358985913147196</v>
      </c>
      <c r="BA52">
        <f>'Costing 100 Lmin Feed Orig'!BA52</f>
        <v>0.1</v>
      </c>
      <c r="BB52">
        <f>'Costing 100 Lmin Feed Orig'!BB52</f>
        <v>44.244561272803402</v>
      </c>
      <c r="BC52" t="str">
        <f>'Costing 100 Lmin Feed Orig'!BC52</f>
        <v>coeFc</v>
      </c>
      <c r="BD52">
        <f>'Costing 100 Lmin Feed Orig'!BD52</f>
        <v>1</v>
      </c>
      <c r="BE52">
        <f>'Costing 100 Lmin Feed Orig'!BE52</f>
        <v>1.8775014999999999E-2</v>
      </c>
      <c r="BF52">
        <f>'Costing 100 Lmin Feed Orig'!BF52</f>
        <v>0.10492961100000001</v>
      </c>
      <c r="BG52">
        <f>'Costing 100 Lmin Feed Orig'!BG52</f>
        <v>1.814625E-3</v>
      </c>
      <c r="BH52">
        <f>'Costing 100 Lmin Feed Orig'!BH52</f>
        <v>285.1951444</v>
      </c>
      <c r="BI52">
        <f>'Costing 100 Lmin Feed Orig'!BI52</f>
        <v>2169.8944889999998</v>
      </c>
      <c r="BJ52">
        <f>'Costing 100 Lmin Feed Orig'!BJ52</f>
        <v>866.49409060000005</v>
      </c>
      <c r="BK52">
        <f>'Costing 100 Lmin Feed Orig'!BK52</f>
        <v>100</v>
      </c>
      <c r="BL52">
        <f>'Costing 100 Lmin Feed Orig'!BL52</f>
        <v>11.004417585793099</v>
      </c>
      <c r="BM52">
        <f>'Costing 100 Lmin Feed Orig'!BM52</f>
        <v>92.358985913147194</v>
      </c>
      <c r="BN52">
        <f>'Costing 100 Lmin Feed Orig'!BN52</f>
        <v>20.8746528965852</v>
      </c>
      <c r="BO52">
        <f t="shared" si="1"/>
        <v>220.08835171586199</v>
      </c>
      <c r="BP52">
        <f t="shared" si="2"/>
        <v>250.49583475902239</v>
      </c>
      <c r="BQ52">
        <f t="shared" si="3"/>
        <v>22.008835171586199</v>
      </c>
      <c r="BR52">
        <f t="shared" si="4"/>
        <v>25.049583475902239</v>
      </c>
      <c r="BS52">
        <f>1.2*0.5*BL52*V52/'Oxidant Feed Composition'!$N$22</f>
        <v>6.6026505514758593</v>
      </c>
      <c r="BT52">
        <f>1.2*0.5*BN52*BA52/'Oxidant Feed Composition'!$N$22</f>
        <v>12.524791737951119</v>
      </c>
      <c r="BU52">
        <f t="shared" si="5"/>
        <v>5.5022087928965497</v>
      </c>
      <c r="BV52">
        <f t="shared" si="6"/>
        <v>10.4373264482926</v>
      </c>
      <c r="BW52">
        <f t="shared" si="7"/>
        <v>86.856777120250641</v>
      </c>
      <c r="BX52">
        <f t="shared" si="20"/>
        <v>35.214136274537921</v>
      </c>
      <c r="BY52">
        <f t="shared" si="8"/>
        <v>206.7268069978806</v>
      </c>
      <c r="BZ52">
        <f t="shared" si="9"/>
        <v>66.798889269072646</v>
      </c>
      <c r="CA52">
        <f t="shared" si="10"/>
        <v>62.623958689755597</v>
      </c>
      <c r="CB52">
        <f>BO52*'Reagent cost'!$G$11*'Reagent cost'!$H$11</f>
        <v>2905.1662426493785</v>
      </c>
      <c r="CC52">
        <f>BP52*'Reagent cost'!$G$11*'Reagent cost'!$H$11</f>
        <v>3306.5450188190953</v>
      </c>
      <c r="CD52">
        <f>BQ52*'Reagent cost'!$C$18/1000*'Reagent cost'!$H$18</f>
        <v>3509.9789962792502</v>
      </c>
      <c r="CE52">
        <f>BR52*'Ligand cost'!$B$56*'Ligand cost'!$J$56</f>
        <v>25503.675610255905</v>
      </c>
      <c r="CF52">
        <f t="shared" si="11"/>
        <v>10</v>
      </c>
      <c r="CG52">
        <f t="shared" si="12"/>
        <v>2.2008835171586201</v>
      </c>
      <c r="CH52">
        <f t="shared" si="13"/>
        <v>4.1749305793170404</v>
      </c>
      <c r="CI52">
        <f>7963.6*(BX52/1000)^0.6*1.7*('CAPEX+OPEX'!$G$116/'CAPEX+OPEX'!$G$115)</f>
        <v>2144.228934815284</v>
      </c>
      <c r="CJ52">
        <f>7963.6*(BY52/1000)^0.6*1.7*('CAPEX+OPEX'!$G$116/'CAPEX+OPEX'!$G$115)</f>
        <v>6201.2466571653367</v>
      </c>
      <c r="CK52">
        <f>7963.6*(BZ52/1000)^0.6*1.7*('CAPEX+OPEX'!$G$116/'CAPEX+OPEX'!$G$115)</f>
        <v>3148.491118286343</v>
      </c>
      <c r="CL52">
        <f>7963.6*(CA52/1000)^0.6*1.7*('CAPEX+OPEX'!$G$116/'CAPEX+OPEX'!$G$115)</f>
        <v>3028.9021142371016</v>
      </c>
      <c r="CM52">
        <f>'Costing 100 Lmin Feed Orig'!DE52</f>
        <v>39625.826528698344</v>
      </c>
      <c r="CN52">
        <f>'Costing 100 Lmin Feed Orig'!DF52</f>
        <v>4586243.4239371875</v>
      </c>
      <c r="CO52">
        <f>'Costing 100 Lmin Feed Orig'!DG52</f>
        <v>11794834.586807497</v>
      </c>
      <c r="CP52">
        <f>'Costing 100 Lmin Feed Orig'!DH52</f>
        <v>2275209.1661185985</v>
      </c>
      <c r="CQ52">
        <f>'Costing 100 Lmin Feed Orig'!DI52</f>
        <v>14083914.336508472</v>
      </c>
      <c r="CR52">
        <f>'Costing 100 Lmin Feed Orig'!DJ52</f>
        <v>1662824.8986326549</v>
      </c>
      <c r="CS52">
        <f>CN52*(BK52/10000)^0.72*((A52+1)/3)^0.6*('CAPEX+OPEX'!$G$116/'CAPEX+OPEX'!$G$114)</f>
        <v>751295.09040276916</v>
      </c>
      <c r="CT52">
        <f>CO52*(BK52/10000)^0.72*((A52+1)/3)^0.6*('CAPEX+OPEX'!$G$116/'CAPEX+OPEX'!$G$114)</f>
        <v>1932169.8606163235</v>
      </c>
      <c r="CU52">
        <f>CP52*(BK52/10000)^0.72*((A52+1)/3)^0.6*('CAPEX+OPEX'!$G$116/'CAPEX+OPEX'!$G$114)</f>
        <v>372713.20297186484</v>
      </c>
      <c r="CV52">
        <f>CQ52*(BK52/10000)^0.72*((A52+1)/3)^0.6*('CAPEX+OPEX'!$G$116/'CAPEX+OPEX'!$G$114)</f>
        <v>2307155.2721002945</v>
      </c>
      <c r="CW52">
        <f>CR52*(BK52/10000)^0.72*((A52+1)/3)^0.6*('CAPEX+OPEX'!$G$116/'CAPEX+OPEX'!$G$114)</f>
        <v>272395.52441150707</v>
      </c>
      <c r="CX52">
        <f t="shared" si="14"/>
        <v>5635728.9505027588</v>
      </c>
      <c r="CY52">
        <f>CN52*(BM52/10000)^0.72*((AF52+1)/3)^0.6*('CAPEX+OPEX'!$G$116/'CAPEX+OPEX'!$G$114)</f>
        <v>498645.65589957108</v>
      </c>
      <c r="CZ52">
        <f>CO52*(BM52/10000)^0.72*((AF52+1)/3)^0.6*('CAPEX+OPEX'!$G$116/'CAPEX+OPEX'!$G$114)</f>
        <v>1282409.694624644</v>
      </c>
      <c r="DA52">
        <f>CP52*(BM52/10000)^0.72*((AF52+1)/3)^0.6*('CAPEX+OPEX'!$G$116/'CAPEX+OPEX'!$G$114)</f>
        <v>247375.26164146824</v>
      </c>
      <c r="DB52">
        <f>CQ52*(BM52/10000)^0.72*((AF52+1)/3)^0.6*('CAPEX+OPEX'!$G$116/'CAPEX+OPEX'!$G$114)</f>
        <v>1531293.0546396186</v>
      </c>
      <c r="DC52">
        <f>CR52*(BM52/10000)^0.72*((AF52+1)/3)^0.6*('CAPEX+OPEX'!$G$116/'CAPEX+OPEX'!$G$114)</f>
        <v>180792.93565124425</v>
      </c>
      <c r="DD52">
        <f t="shared" si="15"/>
        <v>3740516.6024565459</v>
      </c>
      <c r="DE52">
        <f>CX52+DD52+1.15*(SUM(CI52:CL52)+SUM(CB52:CE52))</f>
        <v>9433456.0228556879</v>
      </c>
      <c r="DF52">
        <f t="shared" si="16"/>
        <v>628897.06819037918</v>
      </c>
      <c r="DG52">
        <f>(BS52+BT52)*'Oxidant Feed Composition'!$N$25*60*7200</f>
        <v>15404346.867846906</v>
      </c>
      <c r="DH52">
        <f>((CG52+CH52)*'Reagent cost'!$C$17/1000*'Reagent cost'!$H$17+(CG52+CH52)*0.5*'Reagent cost'!$C$16/1000*'Reagent cost'!$H$16)*60*7200</f>
        <v>6138981.6765038688</v>
      </c>
      <c r="DI52">
        <f>CF52*'Reagent cost'!$C$17/1000*'Reagent cost'!$H$17*60*7200</f>
        <v>504921.59999999998</v>
      </c>
      <c r="DJ52">
        <f t="shared" si="17"/>
        <v>62.117112614684743</v>
      </c>
      <c r="DK52">
        <f t="shared" si="18"/>
        <v>580.27309213070305</v>
      </c>
      <c r="DL52">
        <f t="shared" si="19"/>
        <v>26458671.041466624</v>
      </c>
      <c r="DM52">
        <f>BK52*(B52*(409.81+2)/1000+C52*(248.2+2*22.99)/1000+D52*(315.6+3*22.99)/1000+0.1*58.44/1000)</f>
        <v>0.70639694042110623</v>
      </c>
      <c r="DN52">
        <f>(BS52+BT52)/1000*('Oxidant Feed Composition'!$B$11*'Oxidant Feed Composition'!$O$20+'Oxidant Feed Composition'!$D$11*'Oxidant Feed Composition'!$O$21+'Oxidant Feed Composition'!$F$11*'Oxidant Feed Composition'!$O$27-'Oxidant Feed Composition'!$J$15*18.015)</f>
        <v>2.2337895491472763</v>
      </c>
      <c r="DO52">
        <f>(BU52+BV52)/1000*(0.2*368.34+0.4*58.44)</f>
        <v>1.5468362579459598</v>
      </c>
      <c r="DP52">
        <f>BK52/1000*(B52*195.08+C52*106.42+D52*102.91)</f>
        <v>4.999938342565946E-2</v>
      </c>
      <c r="DQ52">
        <f>SUM(DM52:DO52)-DP52</f>
        <v>4.4370233640886827</v>
      </c>
      <c r="DR52">
        <f>DQ52*60*7200*0.33</f>
        <v>632542.05078448262</v>
      </c>
      <c r="DS52">
        <v>1.2</v>
      </c>
      <c r="DT52">
        <f>BM52/60*(AM52*4+AN52*2+AO52*3)*96485/DV52</f>
        <v>1398.9575525177422</v>
      </c>
      <c r="DU52">
        <f>BN52*BA52*(AP52*4+AQ52*2+AR52*3)*96485/DV52/60</f>
        <v>712.79296950667776</v>
      </c>
      <c r="DV52">
        <v>0.7</v>
      </c>
      <c r="DW52">
        <f>0.499*((BK52/3.78541*15)^(-0.146))*BK52/3.78541*15*300*(1+(A52-2)/9)</f>
        <v>41280.414286181804</v>
      </c>
      <c r="DX52">
        <f>0.248*((BK52/3.78541*15)^(-0.144))*BK52/3.78541*15*300*(1+(A52-2)/3)</f>
        <v>37373.489075065132</v>
      </c>
      <c r="DY52">
        <f>0.105*((BK52/3.78541*15)^(-0.144))*BK52/3.78541*15*300*(1+(A52-2)/3)</f>
        <v>15823.453035813865</v>
      </c>
      <c r="DZ52">
        <f>0.058*((BK52/3.78541*15)^(-0.151))*BK52/3.78541*15*300*(1+(A52-2)/3)</f>
        <v>8382.1245272768647</v>
      </c>
      <c r="EA52">
        <f>0.056*((BK52/3.78541*15)^(-0.144))*BK52/3.78541*15*300*(1+(A52-2)/3)</f>
        <v>8439.174952434063</v>
      </c>
      <c r="EB52">
        <f>DS52*DT52/(3.6*10^6)*3600*7200*0.07</f>
        <v>846.08952776273043</v>
      </c>
      <c r="EC52">
        <f>0.499*((BM52/3.78541*15)^(-0.146))*BM52/3.78541*15*300*(1+(AF52-2)/9)</f>
        <v>28285.552898305465</v>
      </c>
      <c r="ED52">
        <f>0.248*((BM52/3.78541*15)^(-0.144))*BM52/3.78541*15*300*(1+(AF52-2)/3)</f>
        <v>19397.30061303094</v>
      </c>
      <c r="EE52">
        <f>0.105*((BM52/3.78541*15)^(-0.144))*BM52/3.78541*15*300*(1+(AF52-2)/3)</f>
        <v>8212.5667918074541</v>
      </c>
      <c r="EF52">
        <f>0.058*((BM52/3.78541*15)^(-0.151))*BM52/3.78541*15*300*(1+(AF52-2)/3)</f>
        <v>4352.8470449002243</v>
      </c>
      <c r="EG52">
        <f>0.056*((BM52/3.78541*15)^(-0.144))*BM52/3.78541*15*300*(1+(AF52-2)/3)</f>
        <v>4380.0356222973096</v>
      </c>
      <c r="EH52">
        <f>DS52*DU52/(3.6*10^6)*3600*7200*0.07</f>
        <v>431.09718795763877</v>
      </c>
      <c r="EI52">
        <f>SUM(DW52:EH52)</f>
        <v>177204.1455628335</v>
      </c>
      <c r="EJ52">
        <f>EI52+DR52+DL52</f>
        <v>27268417.237813938</v>
      </c>
      <c r="EK52">
        <f>EJ52+DF52</f>
        <v>27897314.306004319</v>
      </c>
      <c r="EL52">
        <f>EK52/(BK52*60*7200)</f>
        <v>0.64577116449084071</v>
      </c>
      <c r="EM52">
        <f>EK52/(BM52*(AM52*195.084/1000+AN52*106.42/1000+AO52*102.911/1000)*60*7200)</f>
        <v>2171.1391346188411</v>
      </c>
      <c r="EN52">
        <f>EK52/(BN52*BA52*(AP52*195.084/1000+AQ52*106.42/1000+AR52*102.911/1000)*60*7200)</f>
        <v>3928.988311901242</v>
      </c>
    </row>
    <row r="53" spans="1:144">
      <c r="A53">
        <f>'Costing 100 Lmin Feed Orig'!A53</f>
        <v>8</v>
      </c>
      <c r="B53">
        <f>'Costing 100 Lmin Feed Orig'!B53</f>
        <v>1.54143585092054E-3</v>
      </c>
      <c r="C53">
        <f>'Costing 100 Lmin Feed Orig'!C53</f>
        <v>1.54143585092054E-3</v>
      </c>
      <c r="D53">
        <f>'Costing 100 Lmin Feed Orig'!D53</f>
        <v>3.4254130020456501E-4</v>
      </c>
      <c r="E53">
        <f>'Costing 100 Lmin Feed Orig'!E53</f>
        <v>0</v>
      </c>
      <c r="F53">
        <f>'Costing 100 Lmin Feed Orig'!F53</f>
        <v>0</v>
      </c>
      <c r="G53">
        <f>'Costing 100 Lmin Feed Orig'!G53</f>
        <v>0</v>
      </c>
      <c r="H53">
        <f>'Costing 100 Lmin Feed Orig'!H53</f>
        <v>1.7762434284205799E-5</v>
      </c>
      <c r="I53">
        <f>'Costing 100 Lmin Feed Orig'!I53</f>
        <v>4.4591984978445998E-9</v>
      </c>
      <c r="J53">
        <f>'Costing 100 Lmin Feed Orig'!J53</f>
        <v>3.37570976171142E-4</v>
      </c>
      <c r="K53">
        <f>'Costing 100 Lmin Feed Orig'!K53</f>
        <v>0.13846015972746001</v>
      </c>
      <c r="L53">
        <f>'Costing 100 Lmin Feed Orig'!L53</f>
        <v>0.14007387303476199</v>
      </c>
      <c r="M53">
        <f>'Costing 100 Lmin Feed Orig'!M53</f>
        <v>4.5166625081916902E-4</v>
      </c>
      <c r="N53">
        <f>'Costing 100 Lmin Feed Orig'!N53</f>
        <v>-2.6107588313450902E-16</v>
      </c>
      <c r="O53">
        <f>'Costing 100 Lmin Feed Orig'!O53</f>
        <v>-1.18524981496115E-14</v>
      </c>
      <c r="P53">
        <f>'Costing 100 Lmin Feed Orig'!P53</f>
        <v>-2.5241581828178102E-19</v>
      </c>
      <c r="Q53">
        <f>'Costing 100 Lmin Feed Orig'!Q53</f>
        <v>0.110044175857931</v>
      </c>
      <c r="R53">
        <f>'Costing 100 Lmin Feed Orig'!R53</f>
        <v>98.548985471108097</v>
      </c>
      <c r="S53">
        <f>'Costing 100 Lmin Feed Orig'!S53</f>
        <v>500</v>
      </c>
      <c r="T53">
        <f>'Costing 100 Lmin Feed Orig'!T53</f>
        <v>95</v>
      </c>
      <c r="U53">
        <f>'Costing 100 Lmin Feed Orig'!U53</f>
        <v>1</v>
      </c>
      <c r="V53">
        <f>'Costing 100 Lmin Feed Orig'!V53</f>
        <v>0.1</v>
      </c>
      <c r="W53">
        <f>'Costing 100 Lmin Feed Orig'!W53</f>
        <v>90.872596591664205</v>
      </c>
      <c r="X53" t="str">
        <f>'Costing 100 Lmin Feed Orig'!X53</f>
        <v>ddFc</v>
      </c>
      <c r="Y53">
        <f>'Costing 100 Lmin Feed Orig'!Y53</f>
        <v>1</v>
      </c>
      <c r="Z53">
        <f>'Costing 100 Lmin Feed Orig'!Z53</f>
        <v>0.28318429382522198</v>
      </c>
      <c r="AA53">
        <f>'Costing 100 Lmin Feed Orig'!AA53</f>
        <v>0.56945642916197003</v>
      </c>
      <c r="AB53">
        <f>'Costing 100 Lmin Feed Orig'!AB53</f>
        <v>3.7698628972227502E-3</v>
      </c>
      <c r="AC53">
        <f>'Costing 100 Lmin Feed Orig'!AC53</f>
        <v>1822.2107908876901</v>
      </c>
      <c r="AD53">
        <f>'Costing 100 Lmin Feed Orig'!AD53</f>
        <v>2662.6059073104898</v>
      </c>
      <c r="AE53">
        <f>'Costing 100 Lmin Feed Orig'!AE53</f>
        <v>2401.5030938442701</v>
      </c>
      <c r="AF53">
        <f>'Costing 100 Lmin Feed Orig'!AF53</f>
        <v>5</v>
      </c>
      <c r="AG53">
        <f>'Costing 100 Lmin Feed Orig'!AG53</f>
        <v>1.6497294784823999E-3</v>
      </c>
      <c r="AH53">
        <f>'Costing 100 Lmin Feed Orig'!AH53</f>
        <v>1.66895660069658E-3</v>
      </c>
      <c r="AI53">
        <f>'Costing 100 Lmin Feed Orig'!AI53</f>
        <v>5.38152729188446E-6</v>
      </c>
      <c r="AJ53">
        <f>'Costing 100 Lmin Feed Orig'!AJ53</f>
        <v>0</v>
      </c>
      <c r="AK53">
        <f>'Costing 100 Lmin Feed Orig'!AK53</f>
        <v>0</v>
      </c>
      <c r="AL53">
        <f>'Costing 100 Lmin Feed Orig'!AL53</f>
        <v>0</v>
      </c>
      <c r="AM53">
        <f>'Costing 100 Lmin Feed Orig'!AM53</f>
        <v>1.6104132966485E-3</v>
      </c>
      <c r="AN53">
        <f>'Costing 100 Lmin Feed Orig'!AN53</f>
        <v>7.9414634231904594E-5</v>
      </c>
      <c r="AO53">
        <f>'Costing 100 Lmin Feed Orig'!AO53</f>
        <v>5.3439603602742398E-6</v>
      </c>
      <c r="AP53">
        <f>'Costing 100 Lmin Feed Orig'!AP53</f>
        <v>1.8119059661181E-3</v>
      </c>
      <c r="AQ53">
        <f>'Costing 100 Lmin Feed Orig'!AQ53</f>
        <v>7.3254839053204804E-2</v>
      </c>
      <c r="AR53">
        <f>'Costing 100 Lmin Feed Orig'!AR53</f>
        <v>1.7312908918998299E-6</v>
      </c>
      <c r="AS53">
        <f>'Costing 100 Lmin Feed Orig'!AS53</f>
        <v>-4.56313589344836E-17</v>
      </c>
      <c r="AT53">
        <f>'Costing 100 Lmin Feed Orig'!AT53</f>
        <v>1.8236280541206101E-16</v>
      </c>
      <c r="AU53">
        <f>'Costing 100 Lmin Feed Orig'!AU53</f>
        <v>-3.5912873474602201E-20</v>
      </c>
      <c r="AV53">
        <f>'Costing 100 Lmin Feed Orig'!AV53</f>
        <v>0.20040789930945399</v>
      </c>
      <c r="AW53">
        <f>'Costing 100 Lmin Feed Orig'!AW53</f>
        <v>99.301928066649793</v>
      </c>
      <c r="AX53">
        <f>'Costing 100 Lmin Feed Orig'!AX53</f>
        <v>499.99999999999898</v>
      </c>
      <c r="AY53">
        <f>'Costing 100 Lmin Feed Orig'!AY53</f>
        <v>95</v>
      </c>
      <c r="AZ53">
        <f>'Costing 100 Lmin Feed Orig'!AZ53</f>
        <v>0.92358985913147196</v>
      </c>
      <c r="BA53">
        <f>'Costing 100 Lmin Feed Orig'!BA53</f>
        <v>0.1</v>
      </c>
      <c r="BB53">
        <f>'Costing 100 Lmin Feed Orig'!BB53</f>
        <v>46.085501734905897</v>
      </c>
      <c r="BC53" t="str">
        <f>'Costing 100 Lmin Feed Orig'!BC53</f>
        <v>coeFc</v>
      </c>
      <c r="BD53">
        <f>'Costing 100 Lmin Feed Orig'!BD53</f>
        <v>1</v>
      </c>
      <c r="BE53">
        <f>'Costing 100 Lmin Feed Orig'!BE53</f>
        <v>1.8775014999999999E-2</v>
      </c>
      <c r="BF53">
        <f>'Costing 100 Lmin Feed Orig'!BF53</f>
        <v>0.10492961100000001</v>
      </c>
      <c r="BG53">
        <f>'Costing 100 Lmin Feed Orig'!BG53</f>
        <v>1.814625E-3</v>
      </c>
      <c r="BH53">
        <f>'Costing 100 Lmin Feed Orig'!BH53</f>
        <v>285.1951444</v>
      </c>
      <c r="BI53">
        <f>'Costing 100 Lmin Feed Orig'!BI53</f>
        <v>2169.8944889999998</v>
      </c>
      <c r="BJ53">
        <f>'Costing 100 Lmin Feed Orig'!BJ53</f>
        <v>866.49409060000005</v>
      </c>
      <c r="BK53">
        <f>'Costing 100 Lmin Feed Orig'!BK53</f>
        <v>100</v>
      </c>
      <c r="BL53">
        <f>'Costing 100 Lmin Feed Orig'!BL53</f>
        <v>11.004417585793099</v>
      </c>
      <c r="BM53">
        <f>'Costing 100 Lmin Feed Orig'!BM53</f>
        <v>92.358985913147194</v>
      </c>
      <c r="BN53">
        <f>'Costing 100 Lmin Feed Orig'!BN53</f>
        <v>20.040789930945397</v>
      </c>
      <c r="BO53">
        <f t="shared" si="1"/>
        <v>220.08835171586199</v>
      </c>
      <c r="BP53">
        <f t="shared" si="2"/>
        <v>280.57105903323554</v>
      </c>
      <c r="BQ53">
        <f t="shared" si="3"/>
        <v>22.008835171586199</v>
      </c>
      <c r="BR53">
        <f t="shared" si="4"/>
        <v>28.057105903323556</v>
      </c>
      <c r="BS53">
        <f>1.2*0.5*BL53*V53/'Oxidant Feed Composition'!$N$22</f>
        <v>6.6026505514758593</v>
      </c>
      <c r="BT53">
        <f>1.2*0.5*BN53*BA53/'Oxidant Feed Composition'!$N$22</f>
        <v>12.024473958567238</v>
      </c>
      <c r="BU53">
        <f t="shared" si="5"/>
        <v>5.5022087928965497</v>
      </c>
      <c r="BV53">
        <f t="shared" si="6"/>
        <v>10.020394965472699</v>
      </c>
      <c r="BW53">
        <f t="shared" si="7"/>
        <v>86.856777120250641</v>
      </c>
      <c r="BX53">
        <f t="shared" si="20"/>
        <v>35.214136274537921</v>
      </c>
      <c r="BY53">
        <f t="shared" si="8"/>
        <v>206.7268069978806</v>
      </c>
      <c r="BZ53">
        <f t="shared" si="9"/>
        <v>64.130527779025272</v>
      </c>
      <c r="CA53">
        <f t="shared" si="10"/>
        <v>60.122369792836196</v>
      </c>
      <c r="CB53">
        <f>BO53*'Reagent cost'!$G$11*'Reagent cost'!$H$11</f>
        <v>2905.1662426493785</v>
      </c>
      <c r="CC53">
        <f>BP53*'Reagent cost'!$G$11*'Reagent cost'!$H$11</f>
        <v>3703.5379792387093</v>
      </c>
      <c r="CD53">
        <f>BQ53*'Reagent cost'!$C$18/1000*'Reagent cost'!$H$18</f>
        <v>3509.9789962792502</v>
      </c>
      <c r="CE53">
        <f>BR53*'Ligand cost'!$B$56*'Ligand cost'!$J$56</f>
        <v>28565.717598032308</v>
      </c>
      <c r="CF53">
        <f t="shared" si="11"/>
        <v>10</v>
      </c>
      <c r="CG53">
        <f t="shared" si="12"/>
        <v>2.2008835171586201</v>
      </c>
      <c r="CH53">
        <f t="shared" si="13"/>
        <v>4.0081579861890795</v>
      </c>
      <c r="CI53">
        <f>7963.6*(BX53/1000)^0.6*1.7*('CAPEX+OPEX'!$G$116/'CAPEX+OPEX'!$G$115)</f>
        <v>2144.228934815284</v>
      </c>
      <c r="CJ53">
        <f>7963.6*(BY53/1000)^0.6*1.7*('CAPEX+OPEX'!$G$116/'CAPEX+OPEX'!$G$115)</f>
        <v>6201.2466571653367</v>
      </c>
      <c r="CK53">
        <f>7963.6*(BZ53/1000)^0.6*1.7*('CAPEX+OPEX'!$G$116/'CAPEX+OPEX'!$G$115)</f>
        <v>3072.4145724960686</v>
      </c>
      <c r="CL53">
        <f>7963.6*(CA53/1000)^0.6*1.7*('CAPEX+OPEX'!$G$116/'CAPEX+OPEX'!$G$115)</f>
        <v>2955.7151806454222</v>
      </c>
      <c r="CM53">
        <f>'Costing 100 Lmin Feed Orig'!DE53</f>
        <v>39625.826528698344</v>
      </c>
      <c r="CN53">
        <f>'Costing 100 Lmin Feed Orig'!DF53</f>
        <v>4586243.4239371875</v>
      </c>
      <c r="CO53">
        <f>'Costing 100 Lmin Feed Orig'!DG53</f>
        <v>11794834.586807497</v>
      </c>
      <c r="CP53">
        <f>'Costing 100 Lmin Feed Orig'!DH53</f>
        <v>2275209.1661185985</v>
      </c>
      <c r="CQ53">
        <f>'Costing 100 Lmin Feed Orig'!DI53</f>
        <v>14083914.336508472</v>
      </c>
      <c r="CR53">
        <f>'Costing 100 Lmin Feed Orig'!DJ53</f>
        <v>1662824.8986326549</v>
      </c>
      <c r="CS53">
        <f>CN53*(BK53/10000)^0.72*((A53+1)/3)^0.6*('CAPEX+OPEX'!$G$116/'CAPEX+OPEX'!$G$114)</f>
        <v>751295.09040276916</v>
      </c>
      <c r="CT53">
        <f>CO53*(BK53/10000)^0.72*((A53+1)/3)^0.6*('CAPEX+OPEX'!$G$116/'CAPEX+OPEX'!$G$114)</f>
        <v>1932169.8606163235</v>
      </c>
      <c r="CU53">
        <f>CP53*(BK53/10000)^0.72*((A53+1)/3)^0.6*('CAPEX+OPEX'!$G$116/'CAPEX+OPEX'!$G$114)</f>
        <v>372713.20297186484</v>
      </c>
      <c r="CV53">
        <f>CQ53*(BK53/10000)^0.72*((A53+1)/3)^0.6*('CAPEX+OPEX'!$G$116/'CAPEX+OPEX'!$G$114)</f>
        <v>2307155.2721002945</v>
      </c>
      <c r="CW53">
        <f>CR53*(BK53/10000)^0.72*((A53+1)/3)^0.6*('CAPEX+OPEX'!$G$116/'CAPEX+OPEX'!$G$114)</f>
        <v>272395.52441150707</v>
      </c>
      <c r="CX53">
        <f t="shared" si="14"/>
        <v>5635728.9505027588</v>
      </c>
      <c r="CY53">
        <f>CN53*(BM53/10000)^0.72*((AF53+1)/3)^0.6*('CAPEX+OPEX'!$G$116/'CAPEX+OPEX'!$G$114)</f>
        <v>556289.40374443913</v>
      </c>
      <c r="CZ53">
        <f>CO53*(BM53/10000)^0.72*((AF53+1)/3)^0.6*('CAPEX+OPEX'!$G$116/'CAPEX+OPEX'!$G$114)</f>
        <v>1430657.052635611</v>
      </c>
      <c r="DA53">
        <f>CP53*(BM53/10000)^0.72*((AF53+1)/3)^0.6*('CAPEX+OPEX'!$G$116/'CAPEX+OPEX'!$G$114)</f>
        <v>275971.99568780069</v>
      </c>
      <c r="DB53">
        <f>CQ53*(BM53/10000)^0.72*((AF53+1)/3)^0.6*('CAPEX+OPEX'!$G$116/'CAPEX+OPEX'!$G$114)</f>
        <v>1708311.4838065251</v>
      </c>
      <c r="DC53">
        <f>CR53*(BM53/10000)^0.72*((AF53+1)/3)^0.6*('CAPEX+OPEX'!$G$116/'CAPEX+OPEX'!$G$114)</f>
        <v>201692.71141688875</v>
      </c>
      <c r="DD53">
        <f t="shared" si="15"/>
        <v>4172922.6472912654</v>
      </c>
      <c r="DE53">
        <f>CX53+DD53+1.15*(SUM(CI53:CL53)+SUM(CB53:CE53))</f>
        <v>9869668.3048795443</v>
      </c>
      <c r="DF53">
        <f t="shared" si="16"/>
        <v>657977.88699196966</v>
      </c>
      <c r="DG53">
        <f>(BS53+BT53)*'Oxidant Feed Composition'!$N$25*60*7200</f>
        <v>15001414.342882998</v>
      </c>
      <c r="DH53">
        <f>((CG53+CH53)*'Reagent cost'!$C$17/1000*'Reagent cost'!$H$17+(CG53+CH53)*0.5*'Reagent cost'!$C$16/1000*'Reagent cost'!$H$16)*60*7200</f>
        <v>5978403.924727587</v>
      </c>
      <c r="DI53">
        <f>CF53*'Reagent cost'!$C$17/1000*'Reagent cost'!$H$17*60*7200</f>
        <v>504921.59999999998</v>
      </c>
      <c r="DJ53">
        <f t="shared" si="17"/>
        <v>66.087042218880882</v>
      </c>
      <c r="DK53">
        <f t="shared" si="18"/>
        <v>641.51393188623115</v>
      </c>
      <c r="DL53">
        <f t="shared" si="19"/>
        <v>25782536.962301631</v>
      </c>
      <c r="DM53">
        <f>BK53*(B53*(409.81+2)/1000+C53*(248.2+2*22.99)/1000+D53*(315.6+3*22.99)/1000+0.1*58.44/1000)</f>
        <v>0.70639694042110623</v>
      </c>
      <c r="DN53">
        <f>(BS53+BT53)/1000*('Oxidant Feed Composition'!$B$11*'Oxidant Feed Composition'!$O$20+'Oxidant Feed Composition'!$D$11*'Oxidant Feed Composition'!$O$21+'Oxidant Feed Composition'!$F$11*'Oxidant Feed Composition'!$O$27-'Oxidant Feed Composition'!$J$15*18.015)</f>
        <v>2.1753601674281078</v>
      </c>
      <c r="DO53">
        <f>(BU53+BV53)/1000*(0.2*368.34+0.4*58.44)</f>
        <v>1.5063755591271852</v>
      </c>
      <c r="DP53">
        <f>BK53/1000*(B53*195.08+C53*106.42+D53*102.91)</f>
        <v>4.999938342565946E-2</v>
      </c>
      <c r="DQ53">
        <f>SUM(DM53:DO53)-DP53</f>
        <v>4.3381332835507393</v>
      </c>
      <c r="DR53">
        <f>DQ53*60*7200*0.33</f>
        <v>618444.2809029934</v>
      </c>
      <c r="DS53">
        <v>1.2</v>
      </c>
      <c r="DT53">
        <f>BM53/60*(AM53*4+AN53*2+AO53*3)*96485/DV53</f>
        <v>1403.844239951464</v>
      </c>
      <c r="DU53">
        <f>BN53*BA53*(AP53*4+AQ53*2+AR53*3)*96485/DV53/60</f>
        <v>707.90628200732976</v>
      </c>
      <c r="DV53">
        <v>0.7</v>
      </c>
      <c r="DW53">
        <f>0.499*((BK53/3.78541*15)^(-0.146))*BK53/3.78541*15*300*(1+(A53-2)/9)</f>
        <v>41280.414286181804</v>
      </c>
      <c r="DX53">
        <f>0.248*((BK53/3.78541*15)^(-0.144))*BK53/3.78541*15*300*(1+(A53-2)/3)</f>
        <v>37373.489075065132</v>
      </c>
      <c r="DY53">
        <f>0.105*((BK53/3.78541*15)^(-0.144))*BK53/3.78541*15*300*(1+(A53-2)/3)</f>
        <v>15823.453035813865</v>
      </c>
      <c r="DZ53">
        <f>0.058*((BK53/3.78541*15)^(-0.151))*BK53/3.78541*15*300*(1+(A53-2)/3)</f>
        <v>8382.1245272768647</v>
      </c>
      <c r="EA53">
        <f>0.056*((BK53/3.78541*15)^(-0.144))*BK53/3.78541*15*300*(1+(A53-2)/3)</f>
        <v>8439.174952434063</v>
      </c>
      <c r="EB53">
        <f>DS53*DT53/(3.6*10^6)*3600*7200*0.07</f>
        <v>849.04499632264549</v>
      </c>
      <c r="EC53">
        <f>0.499*((BM53/3.78541*15)^(-0.146))*BM53/3.78541*15*300*(1+(AF53-2)/9)</f>
        <v>30856.96679815141</v>
      </c>
      <c r="ED53">
        <f>0.248*((BM53/3.78541*15)^(-0.144))*BM53/3.78541*15*300*(1+(AF53-2)/3)</f>
        <v>23276.76073563713</v>
      </c>
      <c r="EE53">
        <f>0.105*((BM53/3.78541*15)^(-0.144))*BM53/3.78541*15*300*(1+(AF53-2)/3)</f>
        <v>9855.0801501689457</v>
      </c>
      <c r="EF53">
        <f>0.058*((BM53/3.78541*15)^(-0.151))*BM53/3.78541*15*300*(1+(AF53-2)/3)</f>
        <v>5223.4164538802697</v>
      </c>
      <c r="EG53">
        <f>0.056*((BM53/3.78541*15)^(-0.144))*BM53/3.78541*15*300*(1+(AF53-2)/3)</f>
        <v>5256.0427467567724</v>
      </c>
      <c r="EH53">
        <f>DS53*DU53/(3.6*10^6)*3600*7200*0.07</f>
        <v>428.14171935803307</v>
      </c>
      <c r="EI53">
        <f>SUM(DW53:EH53)</f>
        <v>187044.10947704694</v>
      </c>
      <c r="EJ53">
        <f>EI53+DR53+DL53</f>
        <v>26588025.35268167</v>
      </c>
      <c r="EK53">
        <f>EJ53+DF53</f>
        <v>27246003.239673641</v>
      </c>
      <c r="EL53">
        <f>EK53/(BK53*60*7200)</f>
        <v>0.63069451943688981</v>
      </c>
      <c r="EM53">
        <f>EK53/(BM53*(AM53*195.084/1000+AN53*106.42/1000+AO53*102.911/1000)*60*7200)</f>
        <v>2113.0643663526507</v>
      </c>
      <c r="EN53">
        <f>EK53/(BN53*BA53*(AP53*195.084/1000+AQ53*106.42/1000+AR53*102.911/1000)*60*7200)</f>
        <v>3861.6853166251731</v>
      </c>
    </row>
    <row r="54" spans="1:144">
      <c r="A54">
        <f>'Costing 100 Lmin Feed Orig'!A54</f>
        <v>8</v>
      </c>
      <c r="B54">
        <f>'Costing 100 Lmin Feed Orig'!B54</f>
        <v>1.54143585092054E-3</v>
      </c>
      <c r="C54">
        <f>'Costing 100 Lmin Feed Orig'!C54</f>
        <v>1.54143585092054E-3</v>
      </c>
      <c r="D54">
        <f>'Costing 100 Lmin Feed Orig'!D54</f>
        <v>3.4254130020456501E-4</v>
      </c>
      <c r="E54">
        <f>'Costing 100 Lmin Feed Orig'!E54</f>
        <v>0</v>
      </c>
      <c r="F54">
        <f>'Costing 100 Lmin Feed Orig'!F54</f>
        <v>0</v>
      </c>
      <c r="G54">
        <f>'Costing 100 Lmin Feed Orig'!G54</f>
        <v>0</v>
      </c>
      <c r="H54">
        <f>'Costing 100 Lmin Feed Orig'!H54</f>
        <v>1.7762434284205799E-5</v>
      </c>
      <c r="I54">
        <f>'Costing 100 Lmin Feed Orig'!I54</f>
        <v>4.4591984978445998E-9</v>
      </c>
      <c r="J54">
        <f>'Costing 100 Lmin Feed Orig'!J54</f>
        <v>3.37570976171142E-4</v>
      </c>
      <c r="K54">
        <f>'Costing 100 Lmin Feed Orig'!K54</f>
        <v>0.13846015972746001</v>
      </c>
      <c r="L54">
        <f>'Costing 100 Lmin Feed Orig'!L54</f>
        <v>0.14007387303476199</v>
      </c>
      <c r="M54">
        <f>'Costing 100 Lmin Feed Orig'!M54</f>
        <v>4.5166625081916902E-4</v>
      </c>
      <c r="N54">
        <f>'Costing 100 Lmin Feed Orig'!N54</f>
        <v>-2.6107588313450902E-16</v>
      </c>
      <c r="O54">
        <f>'Costing 100 Lmin Feed Orig'!O54</f>
        <v>-1.18524981496115E-14</v>
      </c>
      <c r="P54">
        <f>'Costing 100 Lmin Feed Orig'!P54</f>
        <v>-2.5241581828178102E-19</v>
      </c>
      <c r="Q54">
        <f>'Costing 100 Lmin Feed Orig'!Q54</f>
        <v>0.110044175857931</v>
      </c>
      <c r="R54">
        <f>'Costing 100 Lmin Feed Orig'!R54</f>
        <v>98.548985471108097</v>
      </c>
      <c r="S54">
        <f>'Costing 100 Lmin Feed Orig'!S54</f>
        <v>500</v>
      </c>
      <c r="T54">
        <f>'Costing 100 Lmin Feed Orig'!T54</f>
        <v>95</v>
      </c>
      <c r="U54">
        <f>'Costing 100 Lmin Feed Orig'!U54</f>
        <v>1</v>
      </c>
      <c r="V54">
        <f>'Costing 100 Lmin Feed Orig'!V54</f>
        <v>0.1</v>
      </c>
      <c r="W54">
        <f>'Costing 100 Lmin Feed Orig'!W54</f>
        <v>90.872596591664205</v>
      </c>
      <c r="X54" t="str">
        <f>'Costing 100 Lmin Feed Orig'!X54</f>
        <v>ddFc</v>
      </c>
      <c r="Y54">
        <f>'Costing 100 Lmin Feed Orig'!Y54</f>
        <v>1</v>
      </c>
      <c r="Z54">
        <f>'Costing 100 Lmin Feed Orig'!Z54</f>
        <v>0.28318429382522198</v>
      </c>
      <c r="AA54">
        <f>'Costing 100 Lmin Feed Orig'!AA54</f>
        <v>0.56945642916197003</v>
      </c>
      <c r="AB54">
        <f>'Costing 100 Lmin Feed Orig'!AB54</f>
        <v>3.7698628972227502E-3</v>
      </c>
      <c r="AC54">
        <f>'Costing 100 Lmin Feed Orig'!AC54</f>
        <v>1822.2107908876901</v>
      </c>
      <c r="AD54">
        <f>'Costing 100 Lmin Feed Orig'!AD54</f>
        <v>2662.6059073104898</v>
      </c>
      <c r="AE54">
        <f>'Costing 100 Lmin Feed Orig'!AE54</f>
        <v>2401.5030938442701</v>
      </c>
      <c r="AF54">
        <f>'Costing 100 Lmin Feed Orig'!AF54</f>
        <v>6</v>
      </c>
      <c r="AG54">
        <f>'Costing 100 Lmin Feed Orig'!AG54</f>
        <v>1.6497294784823999E-3</v>
      </c>
      <c r="AH54">
        <f>'Costing 100 Lmin Feed Orig'!AH54</f>
        <v>1.66895660069658E-3</v>
      </c>
      <c r="AI54">
        <f>'Costing 100 Lmin Feed Orig'!AI54</f>
        <v>5.38152729188446E-6</v>
      </c>
      <c r="AJ54">
        <f>'Costing 100 Lmin Feed Orig'!AJ54</f>
        <v>0</v>
      </c>
      <c r="AK54">
        <f>'Costing 100 Lmin Feed Orig'!AK54</f>
        <v>0</v>
      </c>
      <c r="AL54">
        <f>'Costing 100 Lmin Feed Orig'!AL54</f>
        <v>0</v>
      </c>
      <c r="AM54">
        <f>'Costing 100 Lmin Feed Orig'!AM54</f>
        <v>1.6120973624594601E-3</v>
      </c>
      <c r="AN54">
        <f>'Costing 100 Lmin Feed Orig'!AN54</f>
        <v>7.9501723318735999E-5</v>
      </c>
      <c r="AO54">
        <f>'Costing 100 Lmin Feed Orig'!AO54</f>
        <v>5.3455064946735699E-6</v>
      </c>
      <c r="AP54">
        <f>'Costing 100 Lmin Feed Orig'!AP54</f>
        <v>1.7562344447916399E-3</v>
      </c>
      <c r="AQ54">
        <f>'Costing 100 Lmin Feed Orig'!AQ54</f>
        <v>7.4177476557294494E-2</v>
      </c>
      <c r="AR54">
        <f>'Costing 100 Lmin Feed Orig'!AR54</f>
        <v>1.6810366111767E-6</v>
      </c>
      <c r="AS54">
        <f>'Costing 100 Lmin Feed Orig'!AS54</f>
        <v>-2.1616280813929698E-18</v>
      </c>
      <c r="AT54">
        <f>'Costing 100 Lmin Feed Orig'!AT54</f>
        <v>-1.5872719805187701E-16</v>
      </c>
      <c r="AU54">
        <f>'Costing 100 Lmin Feed Orig'!AU54</f>
        <v>-1.13158307797254E-21</v>
      </c>
      <c r="AV54">
        <f>'Costing 100 Lmin Feed Orig'!AV54</f>
        <v>0.19790433355595599</v>
      </c>
      <c r="AW54">
        <f>'Costing 100 Lmin Feed Orig'!AW54</f>
        <v>99.330658468178498</v>
      </c>
      <c r="AX54">
        <f>'Costing 100 Lmin Feed Orig'!AX54</f>
        <v>499.99999999999898</v>
      </c>
      <c r="AY54">
        <f>'Costing 100 Lmin Feed Orig'!AY54</f>
        <v>95</v>
      </c>
      <c r="AZ54">
        <f>'Costing 100 Lmin Feed Orig'!AZ54</f>
        <v>0.92358985913147196</v>
      </c>
      <c r="BA54">
        <f>'Costing 100 Lmin Feed Orig'!BA54</f>
        <v>0.1</v>
      </c>
      <c r="BB54">
        <f>'Costing 100 Lmin Feed Orig'!BB54</f>
        <v>46.668501014422198</v>
      </c>
      <c r="BC54" t="str">
        <f>'Costing 100 Lmin Feed Orig'!BC54</f>
        <v>coeFc</v>
      </c>
      <c r="BD54">
        <f>'Costing 100 Lmin Feed Orig'!BD54</f>
        <v>1</v>
      </c>
      <c r="BE54">
        <f>'Costing 100 Lmin Feed Orig'!BE54</f>
        <v>1.8775014999999999E-2</v>
      </c>
      <c r="BF54">
        <f>'Costing 100 Lmin Feed Orig'!BF54</f>
        <v>0.10492961100000001</v>
      </c>
      <c r="BG54">
        <f>'Costing 100 Lmin Feed Orig'!BG54</f>
        <v>1.814625E-3</v>
      </c>
      <c r="BH54">
        <f>'Costing 100 Lmin Feed Orig'!BH54</f>
        <v>285.1951444</v>
      </c>
      <c r="BI54">
        <f>'Costing 100 Lmin Feed Orig'!BI54</f>
        <v>2169.8944889999998</v>
      </c>
      <c r="BJ54">
        <f>'Costing 100 Lmin Feed Orig'!BJ54</f>
        <v>866.49409060000005</v>
      </c>
      <c r="BK54">
        <f>'Costing 100 Lmin Feed Orig'!BK54</f>
        <v>100</v>
      </c>
      <c r="BL54">
        <f>'Costing 100 Lmin Feed Orig'!BL54</f>
        <v>11.004417585793099</v>
      </c>
      <c r="BM54">
        <f>'Costing 100 Lmin Feed Orig'!BM54</f>
        <v>92.358985913147194</v>
      </c>
      <c r="BN54">
        <f>'Costing 100 Lmin Feed Orig'!BN54</f>
        <v>19.790433355595599</v>
      </c>
      <c r="BO54">
        <f t="shared" si="1"/>
        <v>220.08835171586199</v>
      </c>
      <c r="BP54">
        <f t="shared" si="2"/>
        <v>316.64693368952959</v>
      </c>
      <c r="BQ54">
        <f t="shared" si="3"/>
        <v>22.008835171586199</v>
      </c>
      <c r="BR54">
        <f t="shared" si="4"/>
        <v>31.66469336895296</v>
      </c>
      <c r="BS54">
        <f>1.2*0.5*BL54*V54/'Oxidant Feed Composition'!$N$22</f>
        <v>6.6026505514758593</v>
      </c>
      <c r="BT54">
        <f>1.2*0.5*BN54*BA54/'Oxidant Feed Composition'!$N$22</f>
        <v>11.874260013357359</v>
      </c>
      <c r="BU54">
        <f t="shared" si="5"/>
        <v>5.5022087928965497</v>
      </c>
      <c r="BV54">
        <f t="shared" si="6"/>
        <v>9.8952166777977997</v>
      </c>
      <c r="BW54">
        <f t="shared" si="7"/>
        <v>86.856777120250641</v>
      </c>
      <c r="BX54">
        <f t="shared" si="20"/>
        <v>35.214136274537921</v>
      </c>
      <c r="BY54">
        <f t="shared" si="8"/>
        <v>206.7268069978806</v>
      </c>
      <c r="BZ54">
        <f t="shared" si="9"/>
        <v>63.329386737905921</v>
      </c>
      <c r="CA54">
        <f t="shared" si="10"/>
        <v>59.371300066786802</v>
      </c>
      <c r="CB54">
        <f>BO54*'Reagent cost'!$G$11*'Reagent cost'!$H$11</f>
        <v>2905.1662426493785</v>
      </c>
      <c r="CC54">
        <f>BP54*'Reagent cost'!$G$11*'Reagent cost'!$H$11</f>
        <v>4179.7395247017912</v>
      </c>
      <c r="CD54">
        <f>BQ54*'Reagent cost'!$C$18/1000*'Reagent cost'!$H$18</f>
        <v>3509.9789962792502</v>
      </c>
      <c r="CE54">
        <f>BR54*'Ligand cost'!$B$56*'Ligand cost'!$J$56</f>
        <v>32238.702442173457</v>
      </c>
      <c r="CF54">
        <f t="shared" si="11"/>
        <v>10</v>
      </c>
      <c r="CG54">
        <f t="shared" si="12"/>
        <v>2.2008835171586201</v>
      </c>
      <c r="CH54">
        <f t="shared" si="13"/>
        <v>3.95808667111912</v>
      </c>
      <c r="CI54">
        <f>7963.6*(BX54/1000)^0.6*1.7*('CAPEX+OPEX'!$G$116/'CAPEX+OPEX'!$G$115)</f>
        <v>2144.228934815284</v>
      </c>
      <c r="CJ54">
        <f>7963.6*(BY54/1000)^0.6*1.7*('CAPEX+OPEX'!$G$116/'CAPEX+OPEX'!$G$115)</f>
        <v>6201.2466571653367</v>
      </c>
      <c r="CK54">
        <f>7963.6*(BZ54/1000)^0.6*1.7*('CAPEX+OPEX'!$G$116/'CAPEX+OPEX'!$G$115)</f>
        <v>3049.3276891123733</v>
      </c>
      <c r="CL54">
        <f>7963.6*(CA54/1000)^0.6*1.7*('CAPEX+OPEX'!$G$116/'CAPEX+OPEX'!$G$115)</f>
        <v>2933.505205370001</v>
      </c>
      <c r="CM54">
        <f>'Costing 100 Lmin Feed Orig'!DE54</f>
        <v>39625.826528698344</v>
      </c>
      <c r="CN54">
        <f>'Costing 100 Lmin Feed Orig'!DF54</f>
        <v>4586243.4239371875</v>
      </c>
      <c r="CO54">
        <f>'Costing 100 Lmin Feed Orig'!DG54</f>
        <v>11794834.586807497</v>
      </c>
      <c r="CP54">
        <f>'Costing 100 Lmin Feed Orig'!DH54</f>
        <v>2275209.1661185985</v>
      </c>
      <c r="CQ54">
        <f>'Costing 100 Lmin Feed Orig'!DI54</f>
        <v>14083914.336508472</v>
      </c>
      <c r="CR54">
        <f>'Costing 100 Lmin Feed Orig'!DJ54</f>
        <v>1662824.8986326549</v>
      </c>
      <c r="CS54">
        <f>CN54*(BK54/10000)^0.72*((A54+1)/3)^0.6*('CAPEX+OPEX'!$G$116/'CAPEX+OPEX'!$G$114)</f>
        <v>751295.09040276916</v>
      </c>
      <c r="CT54">
        <f>CO54*(BK54/10000)^0.72*((A54+1)/3)^0.6*('CAPEX+OPEX'!$G$116/'CAPEX+OPEX'!$G$114)</f>
        <v>1932169.8606163235</v>
      </c>
      <c r="CU54">
        <f>CP54*(BK54/10000)^0.72*((A54+1)/3)^0.6*('CAPEX+OPEX'!$G$116/'CAPEX+OPEX'!$G$114)</f>
        <v>372713.20297186484</v>
      </c>
      <c r="CV54">
        <f>CQ54*(BK54/10000)^0.72*((A54+1)/3)^0.6*('CAPEX+OPEX'!$G$116/'CAPEX+OPEX'!$G$114)</f>
        <v>2307155.2721002945</v>
      </c>
      <c r="CW54">
        <f>CR54*(BK54/10000)^0.72*((A54+1)/3)^0.6*('CAPEX+OPEX'!$G$116/'CAPEX+OPEX'!$G$114)</f>
        <v>272395.52441150707</v>
      </c>
      <c r="CX54">
        <f t="shared" si="14"/>
        <v>5635728.9505027588</v>
      </c>
      <c r="CY54">
        <f>CN54*(BM54/10000)^0.72*((AF54+1)/3)^0.6*('CAPEX+OPEX'!$G$116/'CAPEX+OPEX'!$G$114)</f>
        <v>610195.30439334596</v>
      </c>
      <c r="CZ54">
        <f>CO54*(BM54/10000)^0.72*((AF54+1)/3)^0.6*('CAPEX+OPEX'!$G$116/'CAPEX+OPEX'!$G$114)</f>
        <v>1569291.469223317</v>
      </c>
      <c r="DA54">
        <f>CP54*(BM54/10000)^0.72*((AF54+1)/3)^0.6*('CAPEX+OPEX'!$G$116/'CAPEX+OPEX'!$G$114)</f>
        <v>302714.40509069752</v>
      </c>
      <c r="DB54">
        <f>CQ54*(BM54/10000)^0.72*((AF54+1)/3)^0.6*('CAPEX+OPEX'!$G$116/'CAPEX+OPEX'!$G$114)</f>
        <v>1873851.3422032651</v>
      </c>
      <c r="DC54">
        <f>CR54*(BM54/10000)^0.72*((AF54+1)/3)^0.6*('CAPEX+OPEX'!$G$116/'CAPEX+OPEX'!$G$114)</f>
        <v>221237.26356917509</v>
      </c>
      <c r="DD54">
        <f t="shared" si="15"/>
        <v>4577289.7844798015</v>
      </c>
      <c r="DE54">
        <f>CX54+DD54+1.15*(SUM(CI54:CL54)+SUM(CB54:CE54))</f>
        <v>10278754.915028669</v>
      </c>
      <c r="DF54">
        <f t="shared" si="16"/>
        <v>685250.3276685779</v>
      </c>
      <c r="DG54">
        <f>(BS54+BT54)*'Oxidant Feed Composition'!$N$25*60*7200</f>
        <v>14880439.061327463</v>
      </c>
      <c r="DH54">
        <f>((CG54+CH54)*'Reagent cost'!$C$17/1000*'Reagent cost'!$H$17+(CG54+CH54)*0.5*'Reagent cost'!$C$16/1000*'Reagent cost'!$H$16)*60*7200</f>
        <v>5930192.5306872809</v>
      </c>
      <c r="DI54">
        <f>CF54*'Reagent cost'!$C$17/1000*'Reagent cost'!$H$17*60*7200</f>
        <v>504921.59999999998</v>
      </c>
      <c r="DJ54">
        <f t="shared" si="17"/>
        <v>70.849057673511695</v>
      </c>
      <c r="DK54">
        <f t="shared" si="18"/>
        <v>714.97362876905424</v>
      </c>
      <c r="DL54">
        <f t="shared" si="19"/>
        <v>25579606.81764143</v>
      </c>
      <c r="DM54">
        <f>BK54*(B54*(409.81+2)/1000+C54*(248.2+2*22.99)/1000+D54*(315.6+3*22.99)/1000+0.1*58.44/1000)</f>
        <v>0.70639694042110623</v>
      </c>
      <c r="DN54">
        <f>(BS54+BT54)/1000*('Oxidant Feed Composition'!$B$11*'Oxidant Feed Composition'!$O$20+'Oxidant Feed Composition'!$D$11*'Oxidant Feed Composition'!$O$21+'Oxidant Feed Composition'!$F$11*'Oxidant Feed Composition'!$O$27-'Oxidant Feed Composition'!$J$15*18.015)</f>
        <v>2.1578175009351872</v>
      </c>
      <c r="DO54">
        <f>(BU54+BV54)/1000*(0.2*368.34+0.4*58.44)</f>
        <v>1.4942277573780625</v>
      </c>
      <c r="DP54">
        <f>BK54/1000*(B54*195.08+C54*106.42+D54*102.91)</f>
        <v>4.999938342565946E-2</v>
      </c>
      <c r="DQ54">
        <f>SUM(DM54:DO54)-DP54</f>
        <v>4.3084428153086956</v>
      </c>
      <c r="DR54">
        <f>DQ54*60*7200*0.33</f>
        <v>614211.60775040765</v>
      </c>
      <c r="DS54">
        <v>1.2</v>
      </c>
      <c r="DT54">
        <f>BM54/60*(AM54*4+AN54*2+AO54*3)*96485/DV54</f>
        <v>1405.3114316602573</v>
      </c>
      <c r="DU54">
        <f>BN54*BA54*(AP54*4+AQ54*2+AR54*3)*96485/DV54/60</f>
        <v>706.4390902986579</v>
      </c>
      <c r="DV54">
        <v>0.7</v>
      </c>
      <c r="DW54">
        <f>0.499*((BK54/3.78541*15)^(-0.146))*BK54/3.78541*15*300*(1+(A54-2)/9)</f>
        <v>41280.414286181804</v>
      </c>
      <c r="DX54">
        <f>0.248*((BK54/3.78541*15)^(-0.144))*BK54/3.78541*15*300*(1+(A54-2)/3)</f>
        <v>37373.489075065132</v>
      </c>
      <c r="DY54">
        <f>0.105*((BK54/3.78541*15)^(-0.144))*BK54/3.78541*15*300*(1+(A54-2)/3)</f>
        <v>15823.453035813865</v>
      </c>
      <c r="DZ54">
        <f>0.058*((BK54/3.78541*15)^(-0.151))*BK54/3.78541*15*300*(1+(A54-2)/3)</f>
        <v>8382.1245272768647</v>
      </c>
      <c r="EA54">
        <f>0.056*((BK54/3.78541*15)^(-0.144))*BK54/3.78541*15*300*(1+(A54-2)/3)</f>
        <v>8439.174952434063</v>
      </c>
      <c r="EB54">
        <f>DS54*DT54/(3.6*10^6)*3600*7200*0.07</f>
        <v>849.93235386812376</v>
      </c>
      <c r="EC54">
        <f>0.499*((BM54/3.78541*15)^(-0.146))*BM54/3.78541*15*300*(1+(AF54-2)/9)</f>
        <v>33428.38069799736</v>
      </c>
      <c r="ED54">
        <f>0.248*((BM54/3.78541*15)^(-0.144))*BM54/3.78541*15*300*(1+(AF54-2)/3)</f>
        <v>27156.220858243316</v>
      </c>
      <c r="EE54">
        <f>0.105*((BM54/3.78541*15)^(-0.144))*BM54/3.78541*15*300*(1+(AF54-2)/3)</f>
        <v>11497.593508530435</v>
      </c>
      <c r="EF54">
        <f>0.058*((BM54/3.78541*15)^(-0.151))*BM54/3.78541*15*300*(1+(AF54-2)/3)</f>
        <v>6093.9858628603142</v>
      </c>
      <c r="EG54">
        <f>0.056*((BM54/3.78541*15)^(-0.144))*BM54/3.78541*15*300*(1+(AF54-2)/3)</f>
        <v>6132.0498712162334</v>
      </c>
      <c r="EH54">
        <f>DS54*DU54/(3.6*10^6)*3600*7200*0.07</f>
        <v>427.2543618126283</v>
      </c>
      <c r="EI54">
        <f>SUM(DW54:EH54)</f>
        <v>196884.07339130016</v>
      </c>
      <c r="EJ54">
        <f>EI54+DR54+DL54</f>
        <v>26390702.498783138</v>
      </c>
      <c r="EK54">
        <f>EJ54+DF54</f>
        <v>27075952.826451715</v>
      </c>
      <c r="EL54">
        <f>EK54/(BK54*60*7200)</f>
        <v>0.62675816727897493</v>
      </c>
      <c r="EM54">
        <f>EK54/(BM54*(AM54*195.084/1000+AN54*106.42/1000+AO54*102.911/1000)*60*7200)</f>
        <v>2097.6823904741937</v>
      </c>
      <c r="EN54">
        <f>EK54/(BN54*BA54*(AP54*195.084/1000+AQ54*106.42/1000+AR54*102.911/1000)*60*7200)</f>
        <v>3844.9317890018224</v>
      </c>
    </row>
    <row r="55" spans="1:144">
      <c r="A55" s="8">
        <f>'Costing 100 Lmin Feed Orig'!A55</f>
        <v>8</v>
      </c>
      <c r="B55" s="8">
        <f>'Costing 100 Lmin Feed Orig'!B55</f>
        <v>1.54143585092054E-3</v>
      </c>
      <c r="C55" s="8">
        <f>'Costing 100 Lmin Feed Orig'!C55</f>
        <v>1.54143585092054E-3</v>
      </c>
      <c r="D55" s="8">
        <f>'Costing 100 Lmin Feed Orig'!D55</f>
        <v>3.4254130020456501E-4</v>
      </c>
      <c r="E55" s="8">
        <f>'Costing 100 Lmin Feed Orig'!E55</f>
        <v>0</v>
      </c>
      <c r="F55" s="8">
        <f>'Costing 100 Lmin Feed Orig'!F55</f>
        <v>0</v>
      </c>
      <c r="G55" s="8">
        <f>'Costing 100 Lmin Feed Orig'!G55</f>
        <v>0</v>
      </c>
      <c r="H55" s="8">
        <f>'Costing 100 Lmin Feed Orig'!H55</f>
        <v>1.7762434284205799E-5</v>
      </c>
      <c r="I55" s="8">
        <f>'Costing 100 Lmin Feed Orig'!I55</f>
        <v>4.4591984978445998E-9</v>
      </c>
      <c r="J55" s="8">
        <f>'Costing 100 Lmin Feed Orig'!J55</f>
        <v>3.37570976171142E-4</v>
      </c>
      <c r="K55" s="8">
        <f>'Costing 100 Lmin Feed Orig'!K55</f>
        <v>0.13846015972746001</v>
      </c>
      <c r="L55" s="8">
        <f>'Costing 100 Lmin Feed Orig'!L55</f>
        <v>0.14007387303476199</v>
      </c>
      <c r="M55" s="8">
        <f>'Costing 100 Lmin Feed Orig'!M55</f>
        <v>4.5166625081916902E-4</v>
      </c>
      <c r="N55" s="8">
        <f>'Costing 100 Lmin Feed Orig'!N55</f>
        <v>-2.6107588313450902E-16</v>
      </c>
      <c r="O55" s="8">
        <f>'Costing 100 Lmin Feed Orig'!O55</f>
        <v>-1.18524981496115E-14</v>
      </c>
      <c r="P55" s="8">
        <f>'Costing 100 Lmin Feed Orig'!P55</f>
        <v>-2.5241581828178102E-19</v>
      </c>
      <c r="Q55" s="8">
        <f>'Costing 100 Lmin Feed Orig'!Q55</f>
        <v>0.110044175857931</v>
      </c>
      <c r="R55" s="8">
        <f>'Costing 100 Lmin Feed Orig'!R55</f>
        <v>98.548985471108097</v>
      </c>
      <c r="S55" s="8">
        <f>'Costing 100 Lmin Feed Orig'!S55</f>
        <v>500</v>
      </c>
      <c r="T55" s="8">
        <f>'Costing 100 Lmin Feed Orig'!T55</f>
        <v>95</v>
      </c>
      <c r="U55" s="8">
        <f>'Costing 100 Lmin Feed Orig'!U55</f>
        <v>1</v>
      </c>
      <c r="V55" s="8">
        <f>'Costing 100 Lmin Feed Orig'!V55</f>
        <v>0.1</v>
      </c>
      <c r="W55" s="8">
        <f>'Costing 100 Lmin Feed Orig'!W55</f>
        <v>90.872596591664205</v>
      </c>
      <c r="X55" s="8" t="str">
        <f>'Costing 100 Lmin Feed Orig'!X55</f>
        <v>ddFc</v>
      </c>
      <c r="Y55" s="8">
        <f>'Costing 100 Lmin Feed Orig'!Y55</f>
        <v>1</v>
      </c>
      <c r="Z55" s="8">
        <f>'Costing 100 Lmin Feed Orig'!Z55</f>
        <v>0.28318429382522198</v>
      </c>
      <c r="AA55" s="8">
        <f>'Costing 100 Lmin Feed Orig'!AA55</f>
        <v>0.56945642916197003</v>
      </c>
      <c r="AB55" s="8">
        <f>'Costing 100 Lmin Feed Orig'!AB55</f>
        <v>3.7698628972227502E-3</v>
      </c>
      <c r="AC55" s="8">
        <f>'Costing 100 Lmin Feed Orig'!AC55</f>
        <v>1822.2107908876901</v>
      </c>
      <c r="AD55" s="8">
        <f>'Costing 100 Lmin Feed Orig'!AD55</f>
        <v>2662.6059073104898</v>
      </c>
      <c r="AE55" s="8">
        <f>'Costing 100 Lmin Feed Orig'!AE55</f>
        <v>2401.5030938442701</v>
      </c>
      <c r="AF55" s="8">
        <f>'Costing 100 Lmin Feed Orig'!AF55</f>
        <v>7</v>
      </c>
      <c r="AG55" s="8">
        <f>'Costing 100 Lmin Feed Orig'!AG55</f>
        <v>1.6497294784823999E-3</v>
      </c>
      <c r="AH55" s="8">
        <f>'Costing 100 Lmin Feed Orig'!AH55</f>
        <v>1.66895660069658E-3</v>
      </c>
      <c r="AI55" s="8">
        <f>'Costing 100 Lmin Feed Orig'!AI55</f>
        <v>5.38152729188446E-6</v>
      </c>
      <c r="AJ55" s="8">
        <f>'Costing 100 Lmin Feed Orig'!AJ55</f>
        <v>0</v>
      </c>
      <c r="AK55" s="8">
        <f>'Costing 100 Lmin Feed Orig'!AK55</f>
        <v>0</v>
      </c>
      <c r="AL55" s="8">
        <f>'Costing 100 Lmin Feed Orig'!AL55</f>
        <v>0</v>
      </c>
      <c r="AM55" s="8">
        <f>'Costing 100 Lmin Feed Orig'!AM55</f>
        <v>1.6125869955133201E-3</v>
      </c>
      <c r="AN55" s="8">
        <f>'Costing 100 Lmin Feed Orig'!AN55</f>
        <v>7.9527043739658596E-5</v>
      </c>
      <c r="AO55" s="8">
        <f>'Costing 100 Lmin Feed Orig'!AO55</f>
        <v>5.3459560242007103E-6</v>
      </c>
      <c r="AP55" s="8">
        <f>'Costing 100 Lmin Feed Orig'!AP55</f>
        <v>1.7397829738956801E-3</v>
      </c>
      <c r="AQ55" s="8">
        <f>'Costing 100 Lmin Feed Orig'!AQ55</f>
        <v>7.4450124503133999E-2</v>
      </c>
      <c r="AR55" s="8">
        <f>'Costing 100 Lmin Feed Orig'!AR55</f>
        <v>1.6661860201321599E-6</v>
      </c>
      <c r="AS55" s="8">
        <f>'Costing 100 Lmin Feed Orig'!AS55</f>
        <v>-4.4926627522367998E-18</v>
      </c>
      <c r="AT55" s="8">
        <f>'Costing 100 Lmin Feed Orig'!AT55</f>
        <v>-1.8262301393345801E-15</v>
      </c>
      <c r="AU55" s="8">
        <f>'Costing 100 Lmin Feed Orig'!AU55</f>
        <v>-5.4726269326508303E-21</v>
      </c>
      <c r="AV55" s="8">
        <f>'Costing 100 Lmin Feed Orig'!AV55</f>
        <v>0.197176435957374</v>
      </c>
      <c r="AW55" s="8">
        <f>'Costing 100 Lmin Feed Orig'!AW55</f>
        <v>99.339011664265001</v>
      </c>
      <c r="AX55" s="8">
        <f>'Costing 100 Lmin Feed Orig'!AX55</f>
        <v>499.99999999999898</v>
      </c>
      <c r="AY55" s="8">
        <f>'Costing 100 Lmin Feed Orig'!AY55</f>
        <v>95</v>
      </c>
      <c r="AZ55" s="8">
        <f>'Costing 100 Lmin Feed Orig'!AZ55</f>
        <v>0.92358985913147196</v>
      </c>
      <c r="BA55" s="8">
        <f>'Costing 100 Lmin Feed Orig'!BA55</f>
        <v>0.1</v>
      </c>
      <c r="BB55" s="8">
        <f>'Costing 100 Lmin Feed Orig'!BB55</f>
        <v>46.840782705451403</v>
      </c>
      <c r="BC55" s="8" t="str">
        <f>'Costing 100 Lmin Feed Orig'!BC55</f>
        <v>coeFc</v>
      </c>
      <c r="BD55" s="8">
        <f>'Costing 100 Lmin Feed Orig'!BD55</f>
        <v>1</v>
      </c>
      <c r="BE55" s="8">
        <f>'Costing 100 Lmin Feed Orig'!BE55</f>
        <v>1.8775014999999999E-2</v>
      </c>
      <c r="BF55" s="8">
        <f>'Costing 100 Lmin Feed Orig'!BF55</f>
        <v>0.10492961100000001</v>
      </c>
      <c r="BG55" s="8">
        <f>'Costing 100 Lmin Feed Orig'!BG55</f>
        <v>1.814625E-3</v>
      </c>
      <c r="BH55" s="8">
        <f>'Costing 100 Lmin Feed Orig'!BH55</f>
        <v>285.1951444</v>
      </c>
      <c r="BI55" s="8">
        <f>'Costing 100 Lmin Feed Orig'!BI55</f>
        <v>2169.8944889999998</v>
      </c>
      <c r="BJ55" s="8">
        <f>'Costing 100 Lmin Feed Orig'!BJ55</f>
        <v>866.49409060000005</v>
      </c>
      <c r="BK55" s="8">
        <f>'Costing 100 Lmin Feed Orig'!BK55</f>
        <v>100</v>
      </c>
      <c r="BL55" s="8">
        <f>'Costing 100 Lmin Feed Orig'!BL55</f>
        <v>11.004417585793099</v>
      </c>
      <c r="BM55" s="8">
        <f>'Costing 100 Lmin Feed Orig'!BM55</f>
        <v>92.358985913147194</v>
      </c>
      <c r="BN55" s="8">
        <f>'Costing 100 Lmin Feed Orig'!BN55</f>
        <v>19.7176435957374</v>
      </c>
      <c r="BO55" s="8">
        <f t="shared" si="1"/>
        <v>220.08835171586199</v>
      </c>
      <c r="BP55" s="8">
        <f t="shared" si="2"/>
        <v>354.91758472327319</v>
      </c>
      <c r="BQ55" s="8">
        <f t="shared" si="3"/>
        <v>22.008835171586199</v>
      </c>
      <c r="BR55" s="8">
        <f t="shared" si="4"/>
        <v>35.491758472327319</v>
      </c>
      <c r="BS55" s="8">
        <f>1.2*0.5*BL55*V55/'Oxidant Feed Composition'!$N$22</f>
        <v>6.6026505514758593</v>
      </c>
      <c r="BT55" s="8">
        <f>1.2*0.5*BN55*BA55/'Oxidant Feed Composition'!$N$22</f>
        <v>11.83058615744244</v>
      </c>
      <c r="BU55" s="8">
        <f t="shared" si="5"/>
        <v>5.5022087928965497</v>
      </c>
      <c r="BV55" s="8">
        <f t="shared" si="6"/>
        <v>9.8588217978686998</v>
      </c>
      <c r="BW55" s="8">
        <f t="shared" si="7"/>
        <v>86.856777120250641</v>
      </c>
      <c r="BX55" s="8">
        <f t="shared" si="20"/>
        <v>35.214136274537921</v>
      </c>
      <c r="BY55" s="8">
        <f t="shared" si="8"/>
        <v>206.7268069978806</v>
      </c>
      <c r="BZ55" s="8">
        <f t="shared" si="9"/>
        <v>63.096459506359679</v>
      </c>
      <c r="CA55" s="8">
        <f t="shared" si="10"/>
        <v>59.152930787212199</v>
      </c>
      <c r="CB55" s="8">
        <f>BO55*'Reagent cost'!$G$11*'Reagent cost'!$H$11</f>
        <v>2905.1662426493785</v>
      </c>
      <c r="CC55" s="8">
        <f>BP55*'Reagent cost'!$G$11*'Reagent cost'!$H$11</f>
        <v>4684.9121183472062</v>
      </c>
      <c r="CD55" s="8">
        <f>BQ55*'Reagent cost'!$C$18/1000*'Reagent cost'!$H$18</f>
        <v>3509.9789962792502</v>
      </c>
      <c r="CE55" s="8">
        <f>BR55*'Ligand cost'!$B$56*'Ligand cost'!$J$56</f>
        <v>36135.1435558425</v>
      </c>
      <c r="CF55" s="8">
        <f t="shared" si="11"/>
        <v>10</v>
      </c>
      <c r="CG55" s="8">
        <f t="shared" si="12"/>
        <v>2.2008835171586201</v>
      </c>
      <c r="CH55" s="8">
        <f t="shared" si="13"/>
        <v>3.9435287191474799</v>
      </c>
      <c r="CI55" s="8">
        <f>7963.6*(BX55/1000)^0.6*1.7*('CAPEX+OPEX'!$G$116/'CAPEX+OPEX'!$G$115)</f>
        <v>2144.228934815284</v>
      </c>
      <c r="CJ55" s="8">
        <f>7963.6*(BY55/1000)^0.6*1.7*('CAPEX+OPEX'!$G$116/'CAPEX+OPEX'!$G$115)</f>
        <v>6201.2466571653367</v>
      </c>
      <c r="CK55" s="8">
        <f>7963.6*(BZ55/1000)^0.6*1.7*('CAPEX+OPEX'!$G$116/'CAPEX+OPEX'!$G$115)</f>
        <v>3042.5934236628641</v>
      </c>
      <c r="CL55" s="8">
        <f>7963.6*(CA55/1000)^0.6*1.7*('CAPEX+OPEX'!$G$116/'CAPEX+OPEX'!$G$115)</f>
        <v>2927.0267272382434</v>
      </c>
      <c r="CM55" s="8">
        <f>'Costing 100 Lmin Feed Orig'!DE55</f>
        <v>39625.826528698344</v>
      </c>
      <c r="CN55" s="8">
        <f>'Costing 100 Lmin Feed Orig'!DF55</f>
        <v>4586243.4239371875</v>
      </c>
      <c r="CO55" s="8">
        <f>'Costing 100 Lmin Feed Orig'!DG55</f>
        <v>11794834.586807497</v>
      </c>
      <c r="CP55" s="8">
        <f>'Costing 100 Lmin Feed Orig'!DH55</f>
        <v>2275209.1661185985</v>
      </c>
      <c r="CQ55" s="8">
        <f>'Costing 100 Lmin Feed Orig'!DI55</f>
        <v>14083914.336508472</v>
      </c>
      <c r="CR55" s="8">
        <f>'Costing 100 Lmin Feed Orig'!DJ55</f>
        <v>1662824.8986326549</v>
      </c>
      <c r="CS55" s="8">
        <f>CN55*(BK55/10000)^0.72*((A55+1)/3)^0.6*('CAPEX+OPEX'!$G$116/'CAPEX+OPEX'!$G$114)</f>
        <v>751295.09040276916</v>
      </c>
      <c r="CT55" s="8">
        <f>CO55*(BK55/10000)^0.72*((A55+1)/3)^0.6*('CAPEX+OPEX'!$G$116/'CAPEX+OPEX'!$G$114)</f>
        <v>1932169.8606163235</v>
      </c>
      <c r="CU55" s="8">
        <f>CP55*(BK55/10000)^0.72*((A55+1)/3)^0.6*('CAPEX+OPEX'!$G$116/'CAPEX+OPEX'!$G$114)</f>
        <v>372713.20297186484</v>
      </c>
      <c r="CV55" s="8">
        <f>CQ55*(BK55/10000)^0.72*((A55+1)/3)^0.6*('CAPEX+OPEX'!$G$116/'CAPEX+OPEX'!$G$114)</f>
        <v>2307155.2721002945</v>
      </c>
      <c r="CW55" s="8">
        <f>CR55*(BK55/10000)^0.72*((A55+1)/3)^0.6*('CAPEX+OPEX'!$G$116/'CAPEX+OPEX'!$G$114)</f>
        <v>272395.52441150707</v>
      </c>
      <c r="CX55" s="8">
        <f t="shared" si="14"/>
        <v>5635728.9505027588</v>
      </c>
      <c r="CY55" s="8">
        <f>CN55*(BM55/10000)^0.72*((AF55+1)/3)^0.6*('CAPEX+OPEX'!$G$116/'CAPEX+OPEX'!$G$114)</f>
        <v>661095.23897018633</v>
      </c>
      <c r="CZ55" s="8">
        <f>CO55*(BM55/10000)^0.72*((AF55+1)/3)^0.6*('CAPEX+OPEX'!$G$116/'CAPEX+OPEX'!$G$114)</f>
        <v>1700195.1856897587</v>
      </c>
      <c r="DA55" s="8">
        <f>CP55*(BM55/10000)^0.72*((AF55+1)/3)^0.6*('CAPEX+OPEX'!$G$116/'CAPEX+OPEX'!$G$114)</f>
        <v>327965.57189523784</v>
      </c>
      <c r="DB55" s="8">
        <f>CQ55*(BM55/10000)^0.72*((AF55+1)/3)^0.6*('CAPEX+OPEX'!$G$116/'CAPEX+OPEX'!$G$114)</f>
        <v>2030160.1666700414</v>
      </c>
      <c r="DC55" s="8">
        <f>CR55*(BM55/10000)^0.72*((AF55+1)/3)^0.6*('CAPEX+OPEX'!$G$116/'CAPEX+OPEX'!$G$114)</f>
        <v>239691.94875038246</v>
      </c>
      <c r="DD55" s="8">
        <f t="shared" si="15"/>
        <v>4959108.1119756065</v>
      </c>
      <c r="DE55" s="8">
        <f>CX55+DD55+1.15*(SUM(CI55:CL55)+SUM(CB55:CE55))</f>
        <v>10665619.903632766</v>
      </c>
      <c r="DF55" s="8">
        <f t="shared" si="16"/>
        <v>711041.32690885104</v>
      </c>
      <c r="DG55" s="8">
        <f>(BS55+BT55)*'Oxidant Feed Composition'!$N$25*60*7200</f>
        <v>14845266.181682095</v>
      </c>
      <c r="DH55" s="8">
        <f>((CG55+CH55)*'Reagent cost'!$C$17/1000*'Reagent cost'!$H$17+(CG55+CH55)*0.5*'Reagent cost'!$C$16/1000*'Reagent cost'!$H$16)*60*7200</f>
        <v>5916175.3402471263</v>
      </c>
      <c r="DI55" s="8">
        <f>CF55*'Reagent cost'!$C$17/1000*'Reagent cost'!$H$17*60*7200</f>
        <v>504921.59999999998</v>
      </c>
      <c r="DJ55" s="8">
        <f t="shared" si="17"/>
        <v>75.900783609965842</v>
      </c>
      <c r="DK55" s="8">
        <f t="shared" si="18"/>
        <v>792.90245104243502</v>
      </c>
      <c r="DL55" s="8">
        <f t="shared" si="19"/>
        <v>25520678.310196646</v>
      </c>
      <c r="DM55" s="8">
        <f>BK55*(B55*(409.81+2)/1000+C55*(248.2+2*22.99)/1000+D55*(315.6+3*22.99)/1000+0.1*58.44/1000)</f>
        <v>0.70639694042110623</v>
      </c>
      <c r="DN55" s="8">
        <f>(BS55+BT55)/1000*('Oxidant Feed Composition'!$B$11*'Oxidant Feed Composition'!$O$20+'Oxidant Feed Composition'!$D$11*'Oxidant Feed Composition'!$O$21+'Oxidant Feed Composition'!$F$11*'Oxidant Feed Composition'!$O$27-'Oxidant Feed Composition'!$J$15*18.015)</f>
        <v>2.1527170697621374</v>
      </c>
      <c r="DO55" s="8">
        <f>(BU55+BV55)/1000*(0.2*368.34+0.4*58.44)</f>
        <v>1.490695852650223</v>
      </c>
      <c r="DP55" s="8">
        <f>BK55/1000*(B55*195.08+C55*106.42+D55*102.91)</f>
        <v>4.999938342565946E-2</v>
      </c>
      <c r="DQ55" s="8">
        <f>SUM(DM55:DO55)-DP55</f>
        <v>4.2998104794078067</v>
      </c>
      <c r="DR55" s="8">
        <f>DQ55*60*7200*0.33</f>
        <v>612980.98194437695</v>
      </c>
      <c r="DS55" s="8">
        <v>1.2</v>
      </c>
      <c r="DT55" s="8">
        <f>BM55/60*(AM55*4+AN55*2+AO55*3)*96485/DV55</f>
        <v>1405.7380096269114</v>
      </c>
      <c r="DU55" s="8">
        <f>BN55*BA55*(AP55*4+AQ55*2+AR55*3)*96485/DV55/60</f>
        <v>706.0125123327706</v>
      </c>
      <c r="DV55" s="8">
        <v>0.7</v>
      </c>
      <c r="DW55" s="8">
        <f>0.499*((BK55/3.78541*15)^(-0.146))*BK55/3.78541*15*300*(1+(A55-2)/9)</f>
        <v>41280.414286181804</v>
      </c>
      <c r="DX55" s="8">
        <f>0.248*((BK55/3.78541*15)^(-0.144))*BK55/3.78541*15*300*(1+(A55-2)/3)</f>
        <v>37373.489075065132</v>
      </c>
      <c r="DY55" s="8">
        <f>0.105*((BK55/3.78541*15)^(-0.144))*BK55/3.78541*15*300*(1+(A55-2)/3)</f>
        <v>15823.453035813865</v>
      </c>
      <c r="DZ55" s="8">
        <f>0.058*((BK55/3.78541*15)^(-0.151))*BK55/3.78541*15*300*(1+(A55-2)/3)</f>
        <v>8382.1245272768647</v>
      </c>
      <c r="EA55" s="8">
        <f>0.056*((BK55/3.78541*15)^(-0.144))*BK55/3.78541*15*300*(1+(A55-2)/3)</f>
        <v>8439.174952434063</v>
      </c>
      <c r="EB55" s="8">
        <f>DS55*DT55/(3.6*10^6)*3600*7200*0.07</f>
        <v>850.19034822235619</v>
      </c>
      <c r="EC55" s="8">
        <f>0.499*((BM55/3.78541*15)^(-0.146))*BM55/3.78541*15*300*(1+(AF55-2)/9)</f>
        <v>35999.794597843313</v>
      </c>
      <c r="ED55" s="8">
        <f>0.248*((BM55/3.78541*15)^(-0.144))*BM55/3.78541*15*300*(1+(AF55-2)/3)</f>
        <v>31035.680980849509</v>
      </c>
      <c r="EE55" s="8">
        <f>0.105*((BM55/3.78541*15)^(-0.144))*BM55/3.78541*15*300*(1+(AF55-2)/3)</f>
        <v>13140.106866891929</v>
      </c>
      <c r="EF55" s="8">
        <f>0.058*((BM55/3.78541*15)^(-0.151))*BM55/3.78541*15*300*(1+(AF55-2)/3)</f>
        <v>6964.5552718403605</v>
      </c>
      <c r="EG55" s="8">
        <f>0.056*((BM55/3.78541*15)^(-0.144))*BM55/3.78541*15*300*(1+(AF55-2)/3)</f>
        <v>7008.0569956756972</v>
      </c>
      <c r="EH55" s="8">
        <f>DS55*DU55/(3.6*10^6)*3600*7200*0.07</f>
        <v>426.99636745885965</v>
      </c>
      <c r="EI55" s="8">
        <f>SUM(DW55:EH55)</f>
        <v>206724.03730555376</v>
      </c>
      <c r="EJ55" s="8">
        <f>EI55+DR55+DL55</f>
        <v>26340383.329446577</v>
      </c>
      <c r="EK55" s="8">
        <f>EJ55+DF55</f>
        <v>27051424.656355426</v>
      </c>
      <c r="EL55" s="8">
        <f>EK55/(BK55*60*7200)</f>
        <v>0.62619038556378304</v>
      </c>
      <c r="EM55" s="8">
        <f>EK55/(BM55*(AM55*195.084/1000+AN55*106.42/1000+AO55*102.911/1000)*60*7200)</f>
        <v>2095.1457219172994</v>
      </c>
      <c r="EN55" s="8">
        <f>EK55/(BN55*BA55*(AP55*195.084/1000+AQ55*106.42/1000+AR55*102.911/1000)*60*7200)</f>
        <v>3843.5885063011115</v>
      </c>
    </row>
    <row r="56" spans="1:144">
      <c r="A56">
        <f>'Costing 100 Lmin Feed Orig'!A56</f>
        <v>8</v>
      </c>
      <c r="B56">
        <f>'Costing 100 Lmin Feed Orig'!B56</f>
        <v>1.54143585092054E-3</v>
      </c>
      <c r="C56">
        <f>'Costing 100 Lmin Feed Orig'!C56</f>
        <v>1.54143585092054E-3</v>
      </c>
      <c r="D56">
        <f>'Costing 100 Lmin Feed Orig'!D56</f>
        <v>3.4254130020456501E-4</v>
      </c>
      <c r="E56">
        <f>'Costing 100 Lmin Feed Orig'!E56</f>
        <v>0</v>
      </c>
      <c r="F56">
        <f>'Costing 100 Lmin Feed Orig'!F56</f>
        <v>0</v>
      </c>
      <c r="G56">
        <f>'Costing 100 Lmin Feed Orig'!G56</f>
        <v>0</v>
      </c>
      <c r="H56">
        <f>'Costing 100 Lmin Feed Orig'!H56</f>
        <v>1.7762434284205799E-5</v>
      </c>
      <c r="I56">
        <f>'Costing 100 Lmin Feed Orig'!I56</f>
        <v>4.4591984978445998E-9</v>
      </c>
      <c r="J56">
        <f>'Costing 100 Lmin Feed Orig'!J56</f>
        <v>3.37570976171142E-4</v>
      </c>
      <c r="K56">
        <f>'Costing 100 Lmin Feed Orig'!K56</f>
        <v>0.13846015972746001</v>
      </c>
      <c r="L56">
        <f>'Costing 100 Lmin Feed Orig'!L56</f>
        <v>0.14007387303476199</v>
      </c>
      <c r="M56">
        <f>'Costing 100 Lmin Feed Orig'!M56</f>
        <v>4.5166625081916902E-4</v>
      </c>
      <c r="N56">
        <f>'Costing 100 Lmin Feed Orig'!N56</f>
        <v>-2.6107588313450902E-16</v>
      </c>
      <c r="O56">
        <f>'Costing 100 Lmin Feed Orig'!O56</f>
        <v>-1.18524981496115E-14</v>
      </c>
      <c r="P56">
        <f>'Costing 100 Lmin Feed Orig'!P56</f>
        <v>-2.5241581828178102E-19</v>
      </c>
      <c r="Q56">
        <f>'Costing 100 Lmin Feed Orig'!Q56</f>
        <v>0.110044175857931</v>
      </c>
      <c r="R56">
        <f>'Costing 100 Lmin Feed Orig'!R56</f>
        <v>98.548985471108097</v>
      </c>
      <c r="S56">
        <f>'Costing 100 Lmin Feed Orig'!S56</f>
        <v>500</v>
      </c>
      <c r="T56">
        <f>'Costing 100 Lmin Feed Orig'!T56</f>
        <v>95</v>
      </c>
      <c r="U56">
        <f>'Costing 100 Lmin Feed Orig'!U56</f>
        <v>1</v>
      </c>
      <c r="V56">
        <f>'Costing 100 Lmin Feed Orig'!V56</f>
        <v>0.1</v>
      </c>
      <c r="W56">
        <f>'Costing 100 Lmin Feed Orig'!W56</f>
        <v>90.872596591664205</v>
      </c>
      <c r="X56" t="str">
        <f>'Costing 100 Lmin Feed Orig'!X56</f>
        <v>ddFc</v>
      </c>
      <c r="Y56">
        <f>'Costing 100 Lmin Feed Orig'!Y56</f>
        <v>1</v>
      </c>
      <c r="Z56">
        <f>'Costing 100 Lmin Feed Orig'!Z56</f>
        <v>0.28318429382522198</v>
      </c>
      <c r="AA56">
        <f>'Costing 100 Lmin Feed Orig'!AA56</f>
        <v>0.56945642916197003</v>
      </c>
      <c r="AB56">
        <f>'Costing 100 Lmin Feed Orig'!AB56</f>
        <v>3.7698628972227502E-3</v>
      </c>
      <c r="AC56">
        <f>'Costing 100 Lmin Feed Orig'!AC56</f>
        <v>1822.2107908876901</v>
      </c>
      <c r="AD56">
        <f>'Costing 100 Lmin Feed Orig'!AD56</f>
        <v>2662.6059073104898</v>
      </c>
      <c r="AE56">
        <f>'Costing 100 Lmin Feed Orig'!AE56</f>
        <v>2401.5030938442701</v>
      </c>
      <c r="AF56">
        <f>'Costing 100 Lmin Feed Orig'!AF56</f>
        <v>8</v>
      </c>
      <c r="AG56">
        <f>'Costing 100 Lmin Feed Orig'!AG56</f>
        <v>1.6497294784823999E-3</v>
      </c>
      <c r="AH56">
        <f>'Costing 100 Lmin Feed Orig'!AH56</f>
        <v>1.66895660069658E-3</v>
      </c>
      <c r="AI56">
        <f>'Costing 100 Lmin Feed Orig'!AI56</f>
        <v>5.38152729188446E-6</v>
      </c>
      <c r="AJ56">
        <f>'Costing 100 Lmin Feed Orig'!AJ56</f>
        <v>0</v>
      </c>
      <c r="AK56">
        <f>'Costing 100 Lmin Feed Orig'!AK56</f>
        <v>0</v>
      </c>
      <c r="AL56">
        <f>'Costing 100 Lmin Feed Orig'!AL56</f>
        <v>0</v>
      </c>
      <c r="AM56">
        <f>'Costing 100 Lmin Feed Orig'!AM56</f>
        <v>1.6127265357375701E-3</v>
      </c>
      <c r="AN56">
        <f>'Costing 100 Lmin Feed Orig'!AN56</f>
        <v>7.9534259850848901E-5</v>
      </c>
      <c r="AO56">
        <f>'Costing 100 Lmin Feed Orig'!AO56</f>
        <v>5.3460841353395197E-6</v>
      </c>
      <c r="AP56">
        <f>'Costing 100 Lmin Feed Orig'!AP56</f>
        <v>1.7350722139013899E-3</v>
      </c>
      <c r="AQ56">
        <f>'Costing 100 Lmin Feed Orig'!AQ56</f>
        <v>7.4528195270851597E-2</v>
      </c>
      <c r="AR56">
        <f>'Costing 100 Lmin Feed Orig'!AR56</f>
        <v>1.6619336609946501E-6</v>
      </c>
      <c r="AS56">
        <f>'Costing 100 Lmin Feed Orig'!AS56</f>
        <v>5.2535422843599799E-15</v>
      </c>
      <c r="AT56">
        <f>'Costing 100 Lmin Feed Orig'!AT56</f>
        <v>-1.2261545945246801E-12</v>
      </c>
      <c r="AU56">
        <f>'Costing 100 Lmin Feed Orig'!AU56</f>
        <v>2.5556572205438301E-20</v>
      </c>
      <c r="AV56">
        <f>'Costing 100 Lmin Feed Orig'!AV56</f>
        <v>0.19696899297954801</v>
      </c>
      <c r="AW56">
        <f>'Costing 100 Lmin Feed Orig'!AW56</f>
        <v>99.341392236393602</v>
      </c>
      <c r="AX56">
        <f>'Costing 100 Lmin Feed Orig'!AX56</f>
        <v>499.99999999999898</v>
      </c>
      <c r="AY56">
        <f>'Costing 100 Lmin Feed Orig'!AY56</f>
        <v>95</v>
      </c>
      <c r="AZ56">
        <f>'Costing 100 Lmin Feed Orig'!AZ56</f>
        <v>0.92358985913147196</v>
      </c>
      <c r="BA56">
        <f>'Costing 100 Lmin Feed Orig'!BA56</f>
        <v>0.1</v>
      </c>
      <c r="BB56">
        <f>'Costing 100 Lmin Feed Orig'!BB56</f>
        <v>46.890114284504001</v>
      </c>
      <c r="BC56" t="str">
        <f>'Costing 100 Lmin Feed Orig'!BC56</f>
        <v>coeFc</v>
      </c>
      <c r="BD56">
        <f>'Costing 100 Lmin Feed Orig'!BD56</f>
        <v>1</v>
      </c>
      <c r="BE56">
        <f>'Costing 100 Lmin Feed Orig'!BE56</f>
        <v>1.8775014999999999E-2</v>
      </c>
      <c r="BF56">
        <f>'Costing 100 Lmin Feed Orig'!BF56</f>
        <v>0.10492961100000001</v>
      </c>
      <c r="BG56">
        <f>'Costing 100 Lmin Feed Orig'!BG56</f>
        <v>1.814625E-3</v>
      </c>
      <c r="BH56">
        <f>'Costing 100 Lmin Feed Orig'!BH56</f>
        <v>285.1951444</v>
      </c>
      <c r="BI56">
        <f>'Costing 100 Lmin Feed Orig'!BI56</f>
        <v>2169.8944889999998</v>
      </c>
      <c r="BJ56">
        <f>'Costing 100 Lmin Feed Orig'!BJ56</f>
        <v>866.49409060000005</v>
      </c>
      <c r="BK56">
        <f>'Costing 100 Lmin Feed Orig'!BK56</f>
        <v>100</v>
      </c>
      <c r="BL56">
        <f>'Costing 100 Lmin Feed Orig'!BL56</f>
        <v>11.004417585793099</v>
      </c>
      <c r="BM56">
        <f>'Costing 100 Lmin Feed Orig'!BM56</f>
        <v>92.358985913147194</v>
      </c>
      <c r="BN56">
        <f>'Costing 100 Lmin Feed Orig'!BN56</f>
        <v>19.696899297954801</v>
      </c>
      <c r="BO56">
        <f t="shared" si="1"/>
        <v>220.08835171586199</v>
      </c>
      <c r="BP56">
        <f t="shared" si="2"/>
        <v>393.93798595909601</v>
      </c>
      <c r="BQ56">
        <f t="shared" si="3"/>
        <v>22.008835171586199</v>
      </c>
      <c r="BR56">
        <f t="shared" si="4"/>
        <v>39.393798595909601</v>
      </c>
      <c r="BS56">
        <f>1.2*0.5*BL56*V56/'Oxidant Feed Composition'!$N$22</f>
        <v>6.6026505514758593</v>
      </c>
      <c r="BT56">
        <f>1.2*0.5*BN56*BA56/'Oxidant Feed Composition'!$N$22</f>
        <v>11.818139578772881</v>
      </c>
      <c r="BU56">
        <f t="shared" si="5"/>
        <v>5.5022087928965497</v>
      </c>
      <c r="BV56">
        <f t="shared" si="6"/>
        <v>9.8484496489774003</v>
      </c>
      <c r="BW56">
        <f t="shared" si="7"/>
        <v>86.856777120250641</v>
      </c>
      <c r="BX56">
        <f t="shared" si="20"/>
        <v>35.214136274537921</v>
      </c>
      <c r="BY56">
        <f t="shared" si="8"/>
        <v>206.7268069978806</v>
      </c>
      <c r="BZ56">
        <f t="shared" si="9"/>
        <v>63.030077753455359</v>
      </c>
      <c r="CA56">
        <f t="shared" si="10"/>
        <v>59.090697893864402</v>
      </c>
      <c r="CB56">
        <f>BO56*'Reagent cost'!$G$11*'Reagent cost'!$H$11</f>
        <v>2905.1662426493785</v>
      </c>
      <c r="CC56">
        <f>BP56*'Reagent cost'!$G$11*'Reagent cost'!$H$11</f>
        <v>5199.9814146600684</v>
      </c>
      <c r="CD56">
        <f>BQ56*'Reagent cost'!$C$18/1000*'Reagent cost'!$H$18</f>
        <v>3509.9789962792502</v>
      </c>
      <c r="CE56">
        <f>BR56*'Ligand cost'!$B$56*'Ligand cost'!$J$56</f>
        <v>40107.918816787671</v>
      </c>
      <c r="CF56">
        <f t="shared" si="11"/>
        <v>10</v>
      </c>
      <c r="CG56">
        <f t="shared" si="12"/>
        <v>2.2008835171586201</v>
      </c>
      <c r="CH56">
        <f t="shared" si="13"/>
        <v>3.9393798595909604</v>
      </c>
      <c r="CI56">
        <f>7963.6*(BX56/1000)^0.6*1.7*('CAPEX+OPEX'!$G$116/'CAPEX+OPEX'!$G$115)</f>
        <v>2144.228934815284</v>
      </c>
      <c r="CJ56">
        <f>7963.6*(BY56/1000)^0.6*1.7*('CAPEX+OPEX'!$G$116/'CAPEX+OPEX'!$G$115)</f>
        <v>6201.2466571653367</v>
      </c>
      <c r="CK56">
        <f>7963.6*(BZ56/1000)^0.6*1.7*('CAPEX+OPEX'!$G$116/'CAPEX+OPEX'!$G$115)</f>
        <v>3040.6724106131192</v>
      </c>
      <c r="CL56">
        <f>7963.6*(CA56/1000)^0.6*1.7*('CAPEX+OPEX'!$G$116/'CAPEX+OPEX'!$G$115)</f>
        <v>2925.1786799453498</v>
      </c>
      <c r="CM56">
        <f>'Costing 100 Lmin Feed Orig'!DE56</f>
        <v>39625.826528698344</v>
      </c>
      <c r="CN56">
        <f>'Costing 100 Lmin Feed Orig'!DF56</f>
        <v>4586243.4239371875</v>
      </c>
      <c r="CO56">
        <f>'Costing 100 Lmin Feed Orig'!DG56</f>
        <v>11794834.586807497</v>
      </c>
      <c r="CP56">
        <f>'Costing 100 Lmin Feed Orig'!DH56</f>
        <v>2275209.1661185985</v>
      </c>
      <c r="CQ56">
        <f>'Costing 100 Lmin Feed Orig'!DI56</f>
        <v>14083914.336508472</v>
      </c>
      <c r="CR56">
        <f>'Costing 100 Lmin Feed Orig'!DJ56</f>
        <v>1662824.8986326549</v>
      </c>
      <c r="CS56">
        <f>CN56*(BK56/10000)^0.72*((A56+1)/3)^0.6*('CAPEX+OPEX'!$G$116/'CAPEX+OPEX'!$G$114)</f>
        <v>751295.09040276916</v>
      </c>
      <c r="CT56">
        <f>CO56*(BK56/10000)^0.72*((A56+1)/3)^0.6*('CAPEX+OPEX'!$G$116/'CAPEX+OPEX'!$G$114)</f>
        <v>1932169.8606163235</v>
      </c>
      <c r="CU56">
        <f>CP56*(BK56/10000)^0.72*((A56+1)/3)^0.6*('CAPEX+OPEX'!$G$116/'CAPEX+OPEX'!$G$114)</f>
        <v>372713.20297186484</v>
      </c>
      <c r="CV56">
        <f>CQ56*(BK56/10000)^0.72*((A56+1)/3)^0.6*('CAPEX+OPEX'!$G$116/'CAPEX+OPEX'!$G$114)</f>
        <v>2307155.2721002945</v>
      </c>
      <c r="CW56">
        <f>CR56*(BK56/10000)^0.72*((A56+1)/3)^0.6*('CAPEX+OPEX'!$G$116/'CAPEX+OPEX'!$G$114)</f>
        <v>272395.52441150707</v>
      </c>
      <c r="CX56">
        <f t="shared" si="14"/>
        <v>5635728.9505027588</v>
      </c>
      <c r="CY56">
        <f>CN56*(BM56/10000)^0.72*((AF56+1)/3)^0.6*('CAPEX+OPEX'!$G$116/'CAPEX+OPEX'!$G$114)</f>
        <v>709505.13497417013</v>
      </c>
      <c r="CZ56">
        <f>CO56*(BM56/10000)^0.72*((AF56+1)/3)^0.6*('CAPEX+OPEX'!$G$116/'CAPEX+OPEX'!$G$114)</f>
        <v>1824695.0569245399</v>
      </c>
      <c r="DA56">
        <f>CP56*(BM56/10000)^0.72*((AF56+1)/3)^0.6*('CAPEX+OPEX'!$G$116/'CAPEX+OPEX'!$G$114)</f>
        <v>351981.44478681608</v>
      </c>
      <c r="DB56">
        <f>CQ56*(BM56/10000)^0.72*((AF56+1)/3)^0.6*('CAPEX+OPEX'!$G$116/'CAPEX+OPEX'!$G$114)</f>
        <v>2178822.3211472412</v>
      </c>
      <c r="DC56">
        <f>CR56*(BM56/10000)^0.72*((AF56+1)/3)^0.6*('CAPEX+OPEX'!$G$116/'CAPEX+OPEX'!$G$114)</f>
        <v>257243.82573874708</v>
      </c>
      <c r="DD56">
        <f t="shared" si="15"/>
        <v>5322247.7835715134</v>
      </c>
      <c r="DE56">
        <f>CX56+DD56+1.15*(SUM(CI56:CL56)+SUM(CB56:CE56))</f>
        <v>11033916.262050126</v>
      </c>
      <c r="DF56">
        <f t="shared" si="16"/>
        <v>735594.41747000837</v>
      </c>
      <c r="DG56">
        <f>(BS56+BT56)*'Oxidant Feed Composition'!$N$25*60*7200</f>
        <v>14835242.289713547</v>
      </c>
      <c r="DH56">
        <f>((CG56+CH56)*'Reagent cost'!$C$17/1000*'Reagent cost'!$H$17+(CG56+CH56)*0.5*'Reagent cost'!$C$16/1000*'Reagent cost'!$H$16)*60*7200</f>
        <v>5912180.5919043319</v>
      </c>
      <c r="DI56">
        <f>CF56*'Reagent cost'!$C$17/1000*'Reagent cost'!$H$17*60*7200</f>
        <v>504921.59999999998</v>
      </c>
      <c r="DJ56">
        <f t="shared" si="17"/>
        <v>81.051476573094476</v>
      </c>
      <c r="DK56">
        <f t="shared" si="18"/>
        <v>872.35795626133847</v>
      </c>
      <c r="DL56">
        <f t="shared" si="19"/>
        <v>25503957.469260853</v>
      </c>
      <c r="DM56">
        <f>BK56*(B56*(409.81+2)/1000+C56*(248.2+2*22.99)/1000+D56*(315.6+3*22.99)/1000+0.1*58.44/1000)</f>
        <v>0.70639694042110623</v>
      </c>
      <c r="DN56">
        <f>(BS56+BT56)/1000*('Oxidant Feed Composition'!$B$11*'Oxidant Feed Composition'!$O$20+'Oxidant Feed Composition'!$D$11*'Oxidant Feed Composition'!$O$21+'Oxidant Feed Composition'!$F$11*'Oxidant Feed Composition'!$O$27-'Oxidant Feed Composition'!$J$15*18.015)</f>
        <v>2.1512635017976391</v>
      </c>
      <c r="DO56">
        <f>(BU56+BV56)/1000*(0.2*368.34+0.4*58.44)</f>
        <v>1.4896892978332157</v>
      </c>
      <c r="DP56">
        <f>BK56/1000*(B56*195.08+C56*106.42+D56*102.91)</f>
        <v>4.999938342565946E-2</v>
      </c>
      <c r="DQ56">
        <f>SUM(DM56:DO56)-DP56</f>
        <v>4.2973503566263007</v>
      </c>
      <c r="DR56">
        <f>DQ56*60*7200*0.33</f>
        <v>612630.26684064558</v>
      </c>
      <c r="DS56">
        <v>1.2</v>
      </c>
      <c r="DT56">
        <f>BM56/60*(AM56*4+AN56*2+AO56*3)*96485/DV56</f>
        <v>1405.8595798458919</v>
      </c>
      <c r="DU56">
        <f>BN56*BA56*(AP56*4+AQ56*2+AR56*3)*96485/DV56/60</f>
        <v>705.89094267147937</v>
      </c>
      <c r="DV56">
        <v>0.7</v>
      </c>
      <c r="DW56">
        <f>0.499*((BK56/3.78541*15)^(-0.146))*BK56/3.78541*15*300*(1+(A56-2)/9)</f>
        <v>41280.414286181804</v>
      </c>
      <c r="DX56">
        <f>0.248*((BK56/3.78541*15)^(-0.144))*BK56/3.78541*15*300*(1+(A56-2)/3)</f>
        <v>37373.489075065132</v>
      </c>
      <c r="DY56">
        <f>0.105*((BK56/3.78541*15)^(-0.144))*BK56/3.78541*15*300*(1+(A56-2)/3)</f>
        <v>15823.453035813865</v>
      </c>
      <c r="DZ56">
        <f>0.058*((BK56/3.78541*15)^(-0.151))*BK56/3.78541*15*300*(1+(A56-2)/3)</f>
        <v>8382.1245272768647</v>
      </c>
      <c r="EA56">
        <f>0.056*((BK56/3.78541*15)^(-0.144))*BK56/3.78541*15*300*(1+(A56-2)/3)</f>
        <v>8439.174952434063</v>
      </c>
      <c r="EB56">
        <f>DS56*DT56/(3.6*10^6)*3600*7200*0.07</f>
        <v>850.26387389079548</v>
      </c>
      <c r="EC56">
        <f>0.499*((BM56/3.78541*15)^(-0.146))*BM56/3.78541*15*300*(1+(AF56-2)/9)</f>
        <v>38571.208497689258</v>
      </c>
      <c r="ED56">
        <f>0.248*((BM56/3.78541*15)^(-0.144))*BM56/3.78541*15*300*(1+(AF56-2)/3)</f>
        <v>34915.141103455695</v>
      </c>
      <c r="EE56">
        <f>0.105*((BM56/3.78541*15)^(-0.144))*BM56/3.78541*15*300*(1+(AF56-2)/3)</f>
        <v>14782.620225253419</v>
      </c>
      <c r="EF56">
        <f>0.058*((BM56/3.78541*15)^(-0.151))*BM56/3.78541*15*300*(1+(AF56-2)/3)</f>
        <v>7835.124680820405</v>
      </c>
      <c r="EG56">
        <f>0.056*((BM56/3.78541*15)^(-0.144))*BM56/3.78541*15*300*(1+(AF56-2)/3)</f>
        <v>7884.0641201351591</v>
      </c>
      <c r="EH56">
        <f>DS56*DU56/(3.6*10^6)*3600*7200*0.07</f>
        <v>426.92284212771074</v>
      </c>
      <c r="EI56">
        <f>SUM(DW56:EH56)</f>
        <v>216564.00122014419</v>
      </c>
      <c r="EJ56">
        <f>EI56+DR56+DL56</f>
        <v>26333151.737321641</v>
      </c>
      <c r="EK56">
        <f>EJ56+DF56</f>
        <v>27068746.154791649</v>
      </c>
      <c r="EL56">
        <f>EK56/(BK56*60*7200)</f>
        <v>0.62659134617573264</v>
      </c>
      <c r="EM56">
        <f>EK56/(BM56*(AM56*195.084/1000+AN56*106.42/1000+AO56*102.911/1000)*60*7200)</f>
        <v>2096.3058752763868</v>
      </c>
      <c r="EN56">
        <f>EK56/(BN56*BA56*(AP56*195.084/1000+AQ56*106.42/1000+AR56*102.911/1000)*60*7200)</f>
        <v>3846.6602820020089</v>
      </c>
    </row>
    <row r="57" spans="1:144">
      <c r="A57">
        <f>'Costing 100 Lmin Feed Orig'!A57</f>
        <v>8</v>
      </c>
      <c r="B57">
        <f>'Costing 100 Lmin Feed Orig'!B57</f>
        <v>1.54143585092054E-3</v>
      </c>
      <c r="C57">
        <f>'Costing 100 Lmin Feed Orig'!C57</f>
        <v>1.54143585092054E-3</v>
      </c>
      <c r="D57">
        <f>'Costing 100 Lmin Feed Orig'!D57</f>
        <v>3.4254130020456501E-4</v>
      </c>
      <c r="E57">
        <f>'Costing 100 Lmin Feed Orig'!E57</f>
        <v>0</v>
      </c>
      <c r="F57">
        <f>'Costing 100 Lmin Feed Orig'!F57</f>
        <v>0</v>
      </c>
      <c r="G57">
        <f>'Costing 100 Lmin Feed Orig'!G57</f>
        <v>0</v>
      </c>
      <c r="H57">
        <f>'Costing 100 Lmin Feed Orig'!H57</f>
        <v>1.7762434284205799E-5</v>
      </c>
      <c r="I57">
        <f>'Costing 100 Lmin Feed Orig'!I57</f>
        <v>4.4591984978445998E-9</v>
      </c>
      <c r="J57">
        <f>'Costing 100 Lmin Feed Orig'!J57</f>
        <v>3.37570976171142E-4</v>
      </c>
      <c r="K57">
        <f>'Costing 100 Lmin Feed Orig'!K57</f>
        <v>0.13846015972746001</v>
      </c>
      <c r="L57">
        <f>'Costing 100 Lmin Feed Orig'!L57</f>
        <v>0.14007387303476199</v>
      </c>
      <c r="M57">
        <f>'Costing 100 Lmin Feed Orig'!M57</f>
        <v>4.5166625081916902E-4</v>
      </c>
      <c r="N57">
        <f>'Costing 100 Lmin Feed Orig'!N57</f>
        <v>-2.6107588313450902E-16</v>
      </c>
      <c r="O57">
        <f>'Costing 100 Lmin Feed Orig'!O57</f>
        <v>-1.18524981496115E-14</v>
      </c>
      <c r="P57">
        <f>'Costing 100 Lmin Feed Orig'!P57</f>
        <v>-2.5241581828178102E-19</v>
      </c>
      <c r="Q57">
        <f>'Costing 100 Lmin Feed Orig'!Q57</f>
        <v>0.110044175857931</v>
      </c>
      <c r="R57">
        <f>'Costing 100 Lmin Feed Orig'!R57</f>
        <v>98.548985471108097</v>
      </c>
      <c r="S57">
        <f>'Costing 100 Lmin Feed Orig'!S57</f>
        <v>500</v>
      </c>
      <c r="T57">
        <f>'Costing 100 Lmin Feed Orig'!T57</f>
        <v>95</v>
      </c>
      <c r="U57">
        <f>'Costing 100 Lmin Feed Orig'!U57</f>
        <v>1</v>
      </c>
      <c r="V57">
        <f>'Costing 100 Lmin Feed Orig'!V57</f>
        <v>0.1</v>
      </c>
      <c r="W57">
        <f>'Costing 100 Lmin Feed Orig'!W57</f>
        <v>90.872596591664205</v>
      </c>
      <c r="X57" t="str">
        <f>'Costing 100 Lmin Feed Orig'!X57</f>
        <v>ddFc</v>
      </c>
      <c r="Y57">
        <f>'Costing 100 Lmin Feed Orig'!Y57</f>
        <v>1</v>
      </c>
      <c r="Z57">
        <f>'Costing 100 Lmin Feed Orig'!Z57</f>
        <v>0.28318429382522198</v>
      </c>
      <c r="AA57">
        <f>'Costing 100 Lmin Feed Orig'!AA57</f>
        <v>0.56945642916197003</v>
      </c>
      <c r="AB57">
        <f>'Costing 100 Lmin Feed Orig'!AB57</f>
        <v>3.7698628972227502E-3</v>
      </c>
      <c r="AC57">
        <f>'Costing 100 Lmin Feed Orig'!AC57</f>
        <v>1822.2107908876901</v>
      </c>
      <c r="AD57">
        <f>'Costing 100 Lmin Feed Orig'!AD57</f>
        <v>2662.6059073104898</v>
      </c>
      <c r="AE57">
        <f>'Costing 100 Lmin Feed Orig'!AE57</f>
        <v>2401.5030938442701</v>
      </c>
      <c r="AF57">
        <f>'Costing 100 Lmin Feed Orig'!AF57</f>
        <v>9</v>
      </c>
      <c r="AG57">
        <f>'Costing 100 Lmin Feed Orig'!AG57</f>
        <v>1.6497294784823999E-3</v>
      </c>
      <c r="AH57">
        <f>'Costing 100 Lmin Feed Orig'!AH57</f>
        <v>1.66895660069658E-3</v>
      </c>
      <c r="AI57">
        <f>'Costing 100 Lmin Feed Orig'!AI57</f>
        <v>5.38152729188446E-6</v>
      </c>
      <c r="AJ57">
        <f>'Costing 100 Lmin Feed Orig'!AJ57</f>
        <v>0</v>
      </c>
      <c r="AK57">
        <f>'Costing 100 Lmin Feed Orig'!AK57</f>
        <v>0</v>
      </c>
      <c r="AL57">
        <f>'Costing 100 Lmin Feed Orig'!AL57</f>
        <v>0</v>
      </c>
      <c r="AM57">
        <f>'Costing 100 Lmin Feed Orig'!AM57</f>
        <v>1.61276595302466E-3</v>
      </c>
      <c r="AN57">
        <f>'Costing 100 Lmin Feed Orig'!AN57</f>
        <v>7.9536298223616001E-5</v>
      </c>
      <c r="AO57">
        <f>'Costing 100 Lmin Feed Orig'!AO57</f>
        <v>5.3461203241357404E-6</v>
      </c>
      <c r="AP57">
        <f>'Costing 100 Lmin Feed Orig'!AP57</f>
        <v>1.7337397232919901E-3</v>
      </c>
      <c r="AQ57">
        <f>'Costing 100 Lmin Feed Orig'!AQ57</f>
        <v>7.4550278451312305E-2</v>
      </c>
      <c r="AR57">
        <f>'Costing 100 Lmin Feed Orig'!AR57</f>
        <v>1.66073083417147E-6</v>
      </c>
      <c r="AS57">
        <f>'Costing 100 Lmin Feed Orig'!AS57</f>
        <v>3.9512392923518602E-17</v>
      </c>
      <c r="AT57">
        <f>'Costing 100 Lmin Feed Orig'!AT57</f>
        <v>-5.1148321689176102E-15</v>
      </c>
      <c r="AU57">
        <f>'Costing 100 Lmin Feed Orig'!AU57</f>
        <v>-1.7734752333136898E-21</v>
      </c>
      <c r="AV57">
        <f>'Costing 100 Lmin Feed Orig'!AV57</f>
        <v>0.19691039440255501</v>
      </c>
      <c r="AW57">
        <f>'Costing 100 Lmin Feed Orig'!AW57</f>
        <v>99.342064699697403</v>
      </c>
      <c r="AX57">
        <f>'Costing 100 Lmin Feed Orig'!AX57</f>
        <v>499.99999999999898</v>
      </c>
      <c r="AY57">
        <f>'Costing 100 Lmin Feed Orig'!AY57</f>
        <v>95</v>
      </c>
      <c r="AZ57">
        <f>'Costing 100 Lmin Feed Orig'!AZ57</f>
        <v>0.92358985913147196</v>
      </c>
      <c r="BA57">
        <f>'Costing 100 Lmin Feed Orig'!BA57</f>
        <v>0.1</v>
      </c>
      <c r="BB57">
        <f>'Costing 100 Lmin Feed Orig'!BB57</f>
        <v>46.904068316643603</v>
      </c>
      <c r="BC57" t="str">
        <f>'Costing 100 Lmin Feed Orig'!BC57</f>
        <v>coeFc</v>
      </c>
      <c r="BD57">
        <f>'Costing 100 Lmin Feed Orig'!BD57</f>
        <v>1</v>
      </c>
      <c r="BE57">
        <f>'Costing 100 Lmin Feed Orig'!BE57</f>
        <v>1.8775014999999999E-2</v>
      </c>
      <c r="BF57">
        <f>'Costing 100 Lmin Feed Orig'!BF57</f>
        <v>0.10492961100000001</v>
      </c>
      <c r="BG57">
        <f>'Costing 100 Lmin Feed Orig'!BG57</f>
        <v>1.814625E-3</v>
      </c>
      <c r="BH57">
        <f>'Costing 100 Lmin Feed Orig'!BH57</f>
        <v>285.1951444</v>
      </c>
      <c r="BI57">
        <f>'Costing 100 Lmin Feed Orig'!BI57</f>
        <v>2169.8944889999998</v>
      </c>
      <c r="BJ57">
        <f>'Costing 100 Lmin Feed Orig'!BJ57</f>
        <v>866.49409060000005</v>
      </c>
      <c r="BK57">
        <f>'Costing 100 Lmin Feed Orig'!BK57</f>
        <v>100</v>
      </c>
      <c r="BL57">
        <f>'Costing 100 Lmin Feed Orig'!BL57</f>
        <v>11.004417585793099</v>
      </c>
      <c r="BM57">
        <f>'Costing 100 Lmin Feed Orig'!BM57</f>
        <v>92.358985913147194</v>
      </c>
      <c r="BN57">
        <f>'Costing 100 Lmin Feed Orig'!BN57</f>
        <v>19.691039440255501</v>
      </c>
      <c r="BO57">
        <f t="shared" si="1"/>
        <v>220.08835171586199</v>
      </c>
      <c r="BP57">
        <f t="shared" si="2"/>
        <v>433.20286768562102</v>
      </c>
      <c r="BQ57">
        <f t="shared" si="3"/>
        <v>22.008835171586199</v>
      </c>
      <c r="BR57">
        <f t="shared" si="4"/>
        <v>43.320286768562106</v>
      </c>
      <c r="BS57">
        <f>1.2*0.5*BL57*V57/'Oxidant Feed Composition'!$N$22</f>
        <v>6.6026505514758593</v>
      </c>
      <c r="BT57">
        <f>1.2*0.5*BN57*BA57/'Oxidant Feed Composition'!$N$22</f>
        <v>11.8146236641533</v>
      </c>
      <c r="BU57">
        <f t="shared" si="5"/>
        <v>5.5022087928965497</v>
      </c>
      <c r="BV57">
        <f t="shared" si="6"/>
        <v>9.8455197201277507</v>
      </c>
      <c r="BW57">
        <f t="shared" si="7"/>
        <v>86.856777120250641</v>
      </c>
      <c r="BX57">
        <f t="shared" si="20"/>
        <v>35.214136274537921</v>
      </c>
      <c r="BY57">
        <f t="shared" si="8"/>
        <v>206.7268069978806</v>
      </c>
      <c r="BZ57">
        <f t="shared" si="9"/>
        <v>63.011326208817607</v>
      </c>
      <c r="CA57">
        <f t="shared" si="10"/>
        <v>59.073118320766504</v>
      </c>
      <c r="CB57">
        <f>BO57*'Reagent cost'!$G$11*'Reagent cost'!$H$11</f>
        <v>2905.1662426493785</v>
      </c>
      <c r="CC57">
        <f>BP57*'Reagent cost'!$G$11*'Reagent cost'!$H$11</f>
        <v>5718.2778534501977</v>
      </c>
      <c r="CD57">
        <f>BQ57*'Reagent cost'!$C$18/1000*'Reagent cost'!$H$18</f>
        <v>3509.9789962792502</v>
      </c>
      <c r="CE57">
        <f>BR57*'Ligand cost'!$B$56*'Ligand cost'!$J$56</f>
        <v>44105.585314482967</v>
      </c>
      <c r="CF57">
        <f t="shared" si="11"/>
        <v>10</v>
      </c>
      <c r="CG57">
        <f t="shared" si="12"/>
        <v>2.2008835171586201</v>
      </c>
      <c r="CH57">
        <f t="shared" si="13"/>
        <v>3.9382078880511004</v>
      </c>
      <c r="CI57">
        <f>7963.6*(BX57/1000)^0.6*1.7*('CAPEX+OPEX'!$G$116/'CAPEX+OPEX'!$G$115)</f>
        <v>2144.228934815284</v>
      </c>
      <c r="CJ57">
        <f>7963.6*(BY57/1000)^0.6*1.7*('CAPEX+OPEX'!$G$116/'CAPEX+OPEX'!$G$115)</f>
        <v>6201.2466571653367</v>
      </c>
      <c r="CK57">
        <f>7963.6*(BZ57/1000)^0.6*1.7*('CAPEX+OPEX'!$G$116/'CAPEX+OPEX'!$G$115)</f>
        <v>3040.1296154954202</v>
      </c>
      <c r="CL57">
        <f>7963.6*(CA57/1000)^0.6*1.7*('CAPEX+OPEX'!$G$116/'CAPEX+OPEX'!$G$115)</f>
        <v>2924.6565017914877</v>
      </c>
      <c r="CM57">
        <f>'Costing 100 Lmin Feed Orig'!DE57</f>
        <v>39625.826528698344</v>
      </c>
      <c r="CN57">
        <f>'Costing 100 Lmin Feed Orig'!DF57</f>
        <v>4586243.4239371875</v>
      </c>
      <c r="CO57">
        <f>'Costing 100 Lmin Feed Orig'!DG57</f>
        <v>11794834.586807497</v>
      </c>
      <c r="CP57">
        <f>'Costing 100 Lmin Feed Orig'!DH57</f>
        <v>2275209.1661185985</v>
      </c>
      <c r="CQ57">
        <f>'Costing 100 Lmin Feed Orig'!DI57</f>
        <v>14083914.336508472</v>
      </c>
      <c r="CR57">
        <f>'Costing 100 Lmin Feed Orig'!DJ57</f>
        <v>1662824.8986326549</v>
      </c>
      <c r="CS57">
        <f>CN57*(BK57/10000)^0.72*((A57+1)/3)^0.6*('CAPEX+OPEX'!$G$116/'CAPEX+OPEX'!$G$114)</f>
        <v>751295.09040276916</v>
      </c>
      <c r="CT57">
        <f>CO57*(BK57/10000)^0.72*((A57+1)/3)^0.6*('CAPEX+OPEX'!$G$116/'CAPEX+OPEX'!$G$114)</f>
        <v>1932169.8606163235</v>
      </c>
      <c r="CU57">
        <f>CP57*(BK57/10000)^0.72*((A57+1)/3)^0.6*('CAPEX+OPEX'!$G$116/'CAPEX+OPEX'!$G$114)</f>
        <v>372713.20297186484</v>
      </c>
      <c r="CV57">
        <f>CQ57*(BK57/10000)^0.72*((A57+1)/3)^0.6*('CAPEX+OPEX'!$G$116/'CAPEX+OPEX'!$G$114)</f>
        <v>2307155.2721002945</v>
      </c>
      <c r="CW57">
        <f>CR57*(BK57/10000)^0.72*((A57+1)/3)^0.6*('CAPEX+OPEX'!$G$116/'CAPEX+OPEX'!$G$114)</f>
        <v>272395.52441150707</v>
      </c>
      <c r="CX57">
        <f t="shared" si="14"/>
        <v>5635728.9505027588</v>
      </c>
      <c r="CY57">
        <f>CN57*(BM57/10000)^0.72*((AF57+1)/3)^0.6*('CAPEX+OPEX'!$G$116/'CAPEX+OPEX'!$G$114)</f>
        <v>755805.48146542325</v>
      </c>
      <c r="CZ57">
        <f>CO57*(BM57/10000)^0.72*((AF57+1)/3)^0.6*('CAPEX+OPEX'!$G$116/'CAPEX+OPEX'!$G$114)</f>
        <v>1943769.6191961134</v>
      </c>
      <c r="DA57">
        <f>CP57*(BM57/10000)^0.72*((AF57+1)/3)^0.6*('CAPEX+OPEX'!$G$116/'CAPEX+OPEX'!$G$114)</f>
        <v>374950.78221481753</v>
      </c>
      <c r="DB57">
        <f>CQ57*(BM57/10000)^0.72*((AF57+1)/3)^0.6*('CAPEX+OPEX'!$G$116/'CAPEX+OPEX'!$G$114)</f>
        <v>2321006.2510995818</v>
      </c>
      <c r="DC57">
        <f>CR57*(BM57/10000)^0.72*((AF57+1)/3)^0.6*('CAPEX+OPEX'!$G$116/'CAPEX+OPEX'!$G$114)</f>
        <v>274030.84767463926</v>
      </c>
      <c r="DD57">
        <f t="shared" si="15"/>
        <v>5669562.9816505751</v>
      </c>
      <c r="DE57">
        <f>CX57+DD57+1.15*(SUM(CI57:CL57)+SUM(CB57:CE57))</f>
        <v>11386423.592786882</v>
      </c>
      <c r="DF57">
        <f t="shared" si="16"/>
        <v>759094.90618579218</v>
      </c>
      <c r="DG57">
        <f>(BS57+BT57)*'Oxidant Feed Composition'!$N$25*60*7200</f>
        <v>14832410.73662149</v>
      </c>
      <c r="DH57">
        <f>((CG57+CH57)*'Reagent cost'!$C$17/1000*'Reagent cost'!$H$17+(CG57+CH57)*0.5*'Reagent cost'!$C$16/1000*'Reagent cost'!$H$16)*60*7200</f>
        <v>5911052.1537629869</v>
      </c>
      <c r="DI57">
        <f>CF57*'Reagent cost'!$C$17/1000*'Reagent cost'!$H$17*60*7200</f>
        <v>504921.59999999998</v>
      </c>
      <c r="DJ57">
        <f t="shared" si="17"/>
        <v>86.234440960995769</v>
      </c>
      <c r="DK57">
        <f t="shared" si="18"/>
        <v>952.31128621524431</v>
      </c>
      <c r="DL57">
        <f t="shared" si="19"/>
        <v>25499307.643333983</v>
      </c>
      <c r="DM57">
        <f>BK57*(B57*(409.81+2)/1000+C57*(248.2+2*22.99)/1000+D57*(315.6+3*22.99)/1000+0.1*58.44/1000)</f>
        <v>0.70639694042110623</v>
      </c>
      <c r="DN57">
        <f>(BS57+BT57)/1000*('Oxidant Feed Composition'!$B$11*'Oxidant Feed Composition'!$O$20+'Oxidant Feed Composition'!$D$11*'Oxidant Feed Composition'!$O$21+'Oxidant Feed Composition'!$F$11*'Oxidant Feed Composition'!$O$27-'Oxidant Feed Composition'!$J$15*18.015)</f>
        <v>2.1508528973261121</v>
      </c>
      <c r="DO57">
        <f>(BU57+BV57)/1000*(0.2*368.34+0.4*58.44)</f>
        <v>1.48940496581793</v>
      </c>
      <c r="DP57">
        <f>BK57/1000*(B57*195.08+C57*106.42+D57*102.91)</f>
        <v>4.999938342565946E-2</v>
      </c>
      <c r="DQ57">
        <f>SUM(DM57:DO57)-DP57</f>
        <v>4.296655420139488</v>
      </c>
      <c r="DR57">
        <f>DQ57*60*7200*0.33</f>
        <v>612531.19669508538</v>
      </c>
      <c r="DS57">
        <v>1.2</v>
      </c>
      <c r="DT57">
        <f>BM57/60*(AM57*4+AN57*2+AO57*3)*96485/DV57</f>
        <v>1405.8939209566693</v>
      </c>
      <c r="DU57">
        <f>BN57*BA57*(AP57*4+AQ57*2+AR57*3)*96485/DV57/60</f>
        <v>705.85660100448581</v>
      </c>
      <c r="DV57">
        <v>0.7</v>
      </c>
      <c r="DW57">
        <f>0.499*((BK57/3.78541*15)^(-0.146))*BK57/3.78541*15*300*(1+(A57-2)/9)</f>
        <v>41280.414286181804</v>
      </c>
      <c r="DX57">
        <f>0.248*((BK57/3.78541*15)^(-0.144))*BK57/3.78541*15*300*(1+(A57-2)/3)</f>
        <v>37373.489075065132</v>
      </c>
      <c r="DY57">
        <f>0.105*((BK57/3.78541*15)^(-0.144))*BK57/3.78541*15*300*(1+(A57-2)/3)</f>
        <v>15823.453035813865</v>
      </c>
      <c r="DZ57">
        <f>0.058*((BK57/3.78541*15)^(-0.151))*BK57/3.78541*15*300*(1+(A57-2)/3)</f>
        <v>8382.1245272768647</v>
      </c>
      <c r="EA57">
        <f>0.056*((BK57/3.78541*15)^(-0.144))*BK57/3.78541*15*300*(1+(A57-2)/3)</f>
        <v>8439.174952434063</v>
      </c>
      <c r="EB57">
        <f>DS57*DT57/(3.6*10^6)*3600*7200*0.07</f>
        <v>850.28464339459367</v>
      </c>
      <c r="EC57">
        <f>0.499*((BM57/3.78541*15)^(-0.146))*BM57/3.78541*15*300*(1+(AF57-2)/9)</f>
        <v>41142.622397535211</v>
      </c>
      <c r="ED57">
        <f>0.248*((BM57/3.78541*15)^(-0.144))*BM57/3.78541*15*300*(1+(AF57-2)/3)</f>
        <v>38794.601226061888</v>
      </c>
      <c r="EE57">
        <f>0.105*((BM57/3.78541*15)^(-0.144))*BM57/3.78541*15*300*(1+(AF57-2)/3)</f>
        <v>16425.133583614912</v>
      </c>
      <c r="EF57">
        <f>0.058*((BM57/3.78541*15)^(-0.151))*BM57/3.78541*15*300*(1+(AF57-2)/3)</f>
        <v>8705.6940898004505</v>
      </c>
      <c r="EG57">
        <f>0.056*((BM57/3.78541*15)^(-0.144))*BM57/3.78541*15*300*(1+(AF57-2)/3)</f>
        <v>8760.071244594621</v>
      </c>
      <c r="EH57">
        <f>DS57*DU57/(3.6*10^6)*3600*7200*0.07</f>
        <v>426.90207228751308</v>
      </c>
      <c r="EI57">
        <f>SUM(DW57:EH57)</f>
        <v>226403.96513406091</v>
      </c>
      <c r="EJ57">
        <f>EI57+DR57+DL57</f>
        <v>26338242.80516313</v>
      </c>
      <c r="EK57">
        <f>EJ57+DF57</f>
        <v>27097337.711348921</v>
      </c>
      <c r="EL57">
        <f>EK57/(BK57*60*7200)</f>
        <v>0.62725318776270655</v>
      </c>
      <c r="EM57">
        <f>EK57/(BM57*(AM57*195.084/1000+AN57*106.42/1000+AO57*102.911/1000)*60*7200)</f>
        <v>2098.4688217035882</v>
      </c>
      <c r="EN57">
        <f>EK57/(BN57*BA57*(AP57*195.084/1000+AQ57*106.42/1000+AR57*102.911/1000)*60*7200)</f>
        <v>3850.8960644222529</v>
      </c>
    </row>
    <row r="58" spans="1:144">
      <c r="A58">
        <f>'Costing 100 Lmin Feed Orig'!A58</f>
        <v>8</v>
      </c>
      <c r="B58">
        <f>'Costing 100 Lmin Feed Orig'!B58</f>
        <v>1.54143585092054E-3</v>
      </c>
      <c r="C58">
        <f>'Costing 100 Lmin Feed Orig'!C58</f>
        <v>1.54143585092054E-3</v>
      </c>
      <c r="D58">
        <f>'Costing 100 Lmin Feed Orig'!D58</f>
        <v>3.4254130020456501E-4</v>
      </c>
      <c r="E58">
        <f>'Costing 100 Lmin Feed Orig'!E58</f>
        <v>0</v>
      </c>
      <c r="F58">
        <f>'Costing 100 Lmin Feed Orig'!F58</f>
        <v>0</v>
      </c>
      <c r="G58">
        <f>'Costing 100 Lmin Feed Orig'!G58</f>
        <v>0</v>
      </c>
      <c r="H58">
        <f>'Costing 100 Lmin Feed Orig'!H58</f>
        <v>1.7762434284205799E-5</v>
      </c>
      <c r="I58">
        <f>'Costing 100 Lmin Feed Orig'!I58</f>
        <v>4.4591984978445998E-9</v>
      </c>
      <c r="J58">
        <f>'Costing 100 Lmin Feed Orig'!J58</f>
        <v>3.37570976171142E-4</v>
      </c>
      <c r="K58">
        <f>'Costing 100 Lmin Feed Orig'!K58</f>
        <v>0.13846015972746001</v>
      </c>
      <c r="L58">
        <f>'Costing 100 Lmin Feed Orig'!L58</f>
        <v>0.14007387303476199</v>
      </c>
      <c r="M58">
        <f>'Costing 100 Lmin Feed Orig'!M58</f>
        <v>4.5166625081916902E-4</v>
      </c>
      <c r="N58">
        <f>'Costing 100 Lmin Feed Orig'!N58</f>
        <v>-2.6107588313450902E-16</v>
      </c>
      <c r="O58">
        <f>'Costing 100 Lmin Feed Orig'!O58</f>
        <v>-1.18524981496115E-14</v>
      </c>
      <c r="P58">
        <f>'Costing 100 Lmin Feed Orig'!P58</f>
        <v>-2.5241581828178102E-19</v>
      </c>
      <c r="Q58">
        <f>'Costing 100 Lmin Feed Orig'!Q58</f>
        <v>0.110044175857931</v>
      </c>
      <c r="R58">
        <f>'Costing 100 Lmin Feed Orig'!R58</f>
        <v>98.548985471108097</v>
      </c>
      <c r="S58">
        <f>'Costing 100 Lmin Feed Orig'!S58</f>
        <v>500</v>
      </c>
      <c r="T58">
        <f>'Costing 100 Lmin Feed Orig'!T58</f>
        <v>95</v>
      </c>
      <c r="U58">
        <f>'Costing 100 Lmin Feed Orig'!U58</f>
        <v>1</v>
      </c>
      <c r="V58">
        <f>'Costing 100 Lmin Feed Orig'!V58</f>
        <v>0.1</v>
      </c>
      <c r="W58">
        <f>'Costing 100 Lmin Feed Orig'!W58</f>
        <v>90.872596591664205</v>
      </c>
      <c r="X58" t="str">
        <f>'Costing 100 Lmin Feed Orig'!X58</f>
        <v>ddFc</v>
      </c>
      <c r="Y58">
        <f>'Costing 100 Lmin Feed Orig'!Y58</f>
        <v>1</v>
      </c>
      <c r="Z58">
        <f>'Costing 100 Lmin Feed Orig'!Z58</f>
        <v>0.28318429382522198</v>
      </c>
      <c r="AA58">
        <f>'Costing 100 Lmin Feed Orig'!AA58</f>
        <v>0.56945642916197003</v>
      </c>
      <c r="AB58">
        <f>'Costing 100 Lmin Feed Orig'!AB58</f>
        <v>3.7698628972227502E-3</v>
      </c>
      <c r="AC58">
        <f>'Costing 100 Lmin Feed Orig'!AC58</f>
        <v>1822.2107908876901</v>
      </c>
      <c r="AD58">
        <f>'Costing 100 Lmin Feed Orig'!AD58</f>
        <v>2662.6059073104898</v>
      </c>
      <c r="AE58">
        <f>'Costing 100 Lmin Feed Orig'!AE58</f>
        <v>2401.5030938442701</v>
      </c>
      <c r="AF58">
        <f>'Costing 100 Lmin Feed Orig'!AF58</f>
        <v>10</v>
      </c>
      <c r="AG58">
        <f>'Costing 100 Lmin Feed Orig'!AG58</f>
        <v>1.6497294784823999E-3</v>
      </c>
      <c r="AH58">
        <f>'Costing 100 Lmin Feed Orig'!AH58</f>
        <v>1.66895660069658E-3</v>
      </c>
      <c r="AI58">
        <f>'Costing 100 Lmin Feed Orig'!AI58</f>
        <v>5.38152729188446E-6</v>
      </c>
      <c r="AJ58">
        <f>'Costing 100 Lmin Feed Orig'!AJ58</f>
        <v>0</v>
      </c>
      <c r="AK58">
        <f>'Costing 100 Lmin Feed Orig'!AK58</f>
        <v>0</v>
      </c>
      <c r="AL58">
        <f>'Costing 100 Lmin Feed Orig'!AL58</f>
        <v>0</v>
      </c>
      <c r="AM58">
        <f>'Costing 100 Lmin Feed Orig'!AM58</f>
        <v>1.61277705008137E-3</v>
      </c>
      <c r="AN58">
        <f>'Costing 100 Lmin Feed Orig'!AN58</f>
        <v>7.9536872122754404E-5</v>
      </c>
      <c r="AO58">
        <f>'Costing 100 Lmin Feed Orig'!AO58</f>
        <v>5.3461305122899801E-6</v>
      </c>
      <c r="AP58">
        <f>'Costing 100 Lmin Feed Orig'!AP58</f>
        <v>1.73336444614092E-3</v>
      </c>
      <c r="AQ58">
        <f>'Costing 100 Lmin Feed Orig'!AQ58</f>
        <v>7.4556497867205695E-2</v>
      </c>
      <c r="AR58">
        <f>'Costing 100 Lmin Feed Orig'!AR58</f>
        <v>1.6603920749814E-6</v>
      </c>
      <c r="AS58">
        <f>'Costing 100 Lmin Feed Orig'!AS58</f>
        <v>6.41926968395281E-15</v>
      </c>
      <c r="AT58">
        <f>'Costing 100 Lmin Feed Orig'!AT58</f>
        <v>-6.6401007955962902E-13</v>
      </c>
      <c r="AU58">
        <f>'Costing 100 Lmin Feed Orig'!AU58</f>
        <v>6.1661351582152895E-20</v>
      </c>
      <c r="AV58">
        <f>'Costing 100 Lmin Feed Orig'!AV58</f>
        <v>0.19689389736263299</v>
      </c>
      <c r="AW58">
        <f>'Costing 100 Lmin Feed Orig'!AW58</f>
        <v>99.342254016850205</v>
      </c>
      <c r="AX58">
        <f>'Costing 100 Lmin Feed Orig'!AX58</f>
        <v>499.99999999999898</v>
      </c>
      <c r="AY58">
        <f>'Costing 100 Lmin Feed Orig'!AY58</f>
        <v>95</v>
      </c>
      <c r="AZ58">
        <f>'Costing 100 Lmin Feed Orig'!AZ58</f>
        <v>0.92358985913147196</v>
      </c>
      <c r="BA58">
        <f>'Costing 100 Lmin Feed Orig'!BA58</f>
        <v>0.1</v>
      </c>
      <c r="BB58">
        <f>'Costing 100 Lmin Feed Orig'!BB58</f>
        <v>46.907998241836403</v>
      </c>
      <c r="BC58" t="str">
        <f>'Costing 100 Lmin Feed Orig'!BC58</f>
        <v>coeFc</v>
      </c>
      <c r="BD58">
        <f>'Costing 100 Lmin Feed Orig'!BD58</f>
        <v>1</v>
      </c>
      <c r="BE58">
        <f>'Costing 100 Lmin Feed Orig'!BE58</f>
        <v>1.8775014999999999E-2</v>
      </c>
      <c r="BF58">
        <f>'Costing 100 Lmin Feed Orig'!BF58</f>
        <v>0.10492961100000001</v>
      </c>
      <c r="BG58">
        <f>'Costing 100 Lmin Feed Orig'!BG58</f>
        <v>1.814625E-3</v>
      </c>
      <c r="BH58">
        <f>'Costing 100 Lmin Feed Orig'!BH58</f>
        <v>285.1951444</v>
      </c>
      <c r="BI58">
        <f>'Costing 100 Lmin Feed Orig'!BI58</f>
        <v>2169.8944889999998</v>
      </c>
      <c r="BJ58">
        <f>'Costing 100 Lmin Feed Orig'!BJ58</f>
        <v>866.49409060000005</v>
      </c>
      <c r="BK58">
        <f>'Costing 100 Lmin Feed Orig'!BK58</f>
        <v>100</v>
      </c>
      <c r="BL58">
        <f>'Costing 100 Lmin Feed Orig'!BL58</f>
        <v>11.004417585793099</v>
      </c>
      <c r="BM58">
        <f>'Costing 100 Lmin Feed Orig'!BM58</f>
        <v>92.358985913147194</v>
      </c>
      <c r="BN58">
        <f>'Costing 100 Lmin Feed Orig'!BN58</f>
        <v>19.689389736263298</v>
      </c>
      <c r="BO58">
        <f t="shared" si="1"/>
        <v>220.08835171586199</v>
      </c>
      <c r="BP58">
        <f t="shared" si="2"/>
        <v>472.54535367031917</v>
      </c>
      <c r="BQ58">
        <f t="shared" si="3"/>
        <v>22.008835171586199</v>
      </c>
      <c r="BR58">
        <f t="shared" si="4"/>
        <v>47.25453536703192</v>
      </c>
      <c r="BS58">
        <f>1.2*0.5*BL58*V58/'Oxidant Feed Composition'!$N$22</f>
        <v>6.6026505514758593</v>
      </c>
      <c r="BT58">
        <f>1.2*0.5*BN58*BA58/'Oxidant Feed Composition'!$N$22</f>
        <v>11.813633841757976</v>
      </c>
      <c r="BU58">
        <f t="shared" si="5"/>
        <v>5.5022087928965497</v>
      </c>
      <c r="BV58">
        <f t="shared" si="6"/>
        <v>9.8446948681316488</v>
      </c>
      <c r="BW58">
        <f t="shared" si="7"/>
        <v>86.856777120250641</v>
      </c>
      <c r="BX58">
        <f t="shared" si="20"/>
        <v>35.214136274537921</v>
      </c>
      <c r="BY58">
        <f t="shared" si="8"/>
        <v>206.7268069978806</v>
      </c>
      <c r="BZ58">
        <f t="shared" si="9"/>
        <v>63.006047156042548</v>
      </c>
      <c r="CA58">
        <f t="shared" si="10"/>
        <v>59.068169208789897</v>
      </c>
      <c r="CB58">
        <f>BO58*'Reagent cost'!$G$11*'Reagent cost'!$H$11</f>
        <v>2905.1662426493785</v>
      </c>
      <c r="CC58">
        <f>BP58*'Reagent cost'!$G$11*'Reagent cost'!$H$11</f>
        <v>6237.5986684482132</v>
      </c>
      <c r="CD58">
        <f>BQ58*'Reagent cost'!$C$18/1000*'Reagent cost'!$H$18</f>
        <v>3509.9789962792502</v>
      </c>
      <c r="CE58">
        <f>BR58*'Ligand cost'!$B$56*'Ligand cost'!$J$56</f>
        <v>48111.152916914485</v>
      </c>
      <c r="CF58">
        <f t="shared" si="11"/>
        <v>10</v>
      </c>
      <c r="CG58">
        <f t="shared" si="12"/>
        <v>2.2008835171586201</v>
      </c>
      <c r="CH58">
        <f t="shared" si="13"/>
        <v>3.9378779472526597</v>
      </c>
      <c r="CI58">
        <f>7963.6*(BX58/1000)^0.6*1.7*('CAPEX+OPEX'!$G$116/'CAPEX+OPEX'!$G$115)</f>
        <v>2144.228934815284</v>
      </c>
      <c r="CJ58">
        <f>7963.6*(BY58/1000)^0.6*1.7*('CAPEX+OPEX'!$G$116/'CAPEX+OPEX'!$G$115)</f>
        <v>6201.2466571653367</v>
      </c>
      <c r="CK58">
        <f>7963.6*(BZ58/1000)^0.6*1.7*('CAPEX+OPEX'!$G$116/'CAPEX+OPEX'!$G$115)</f>
        <v>3039.9767927452131</v>
      </c>
      <c r="CL58">
        <f>7963.6*(CA58/1000)^0.6*1.7*('CAPEX+OPEX'!$G$116/'CAPEX+OPEX'!$G$115)</f>
        <v>2924.5094837012939</v>
      </c>
      <c r="CM58">
        <f>'Costing 100 Lmin Feed Orig'!DE58</f>
        <v>39625.826528698344</v>
      </c>
      <c r="CN58">
        <f>'Costing 100 Lmin Feed Orig'!DF58</f>
        <v>4586243.4239371875</v>
      </c>
      <c r="CO58">
        <f>'Costing 100 Lmin Feed Orig'!DG58</f>
        <v>11794834.586807497</v>
      </c>
      <c r="CP58">
        <f>'Costing 100 Lmin Feed Orig'!DH58</f>
        <v>2275209.1661185985</v>
      </c>
      <c r="CQ58">
        <f>'Costing 100 Lmin Feed Orig'!DI58</f>
        <v>14083914.336508472</v>
      </c>
      <c r="CR58">
        <f>'Costing 100 Lmin Feed Orig'!DJ58</f>
        <v>1662824.8986326549</v>
      </c>
      <c r="CS58">
        <f>CN58*(BK58/10000)^0.72*((A58+1)/3)^0.6*('CAPEX+OPEX'!$G$116/'CAPEX+OPEX'!$G$114)</f>
        <v>751295.09040276916</v>
      </c>
      <c r="CT58">
        <f>CO58*(BK58/10000)^0.72*((A58+1)/3)^0.6*('CAPEX+OPEX'!$G$116/'CAPEX+OPEX'!$G$114)</f>
        <v>1932169.8606163235</v>
      </c>
      <c r="CU58">
        <f>CP58*(BK58/10000)^0.72*((A58+1)/3)^0.6*('CAPEX+OPEX'!$G$116/'CAPEX+OPEX'!$G$114)</f>
        <v>372713.20297186484</v>
      </c>
      <c r="CV58">
        <f>CQ58*(BK58/10000)^0.72*((A58+1)/3)^0.6*('CAPEX+OPEX'!$G$116/'CAPEX+OPEX'!$G$114)</f>
        <v>2307155.2721002945</v>
      </c>
      <c r="CW58">
        <f>CR58*(BK58/10000)^0.72*((A58+1)/3)^0.6*('CAPEX+OPEX'!$G$116/'CAPEX+OPEX'!$G$114)</f>
        <v>272395.52441150707</v>
      </c>
      <c r="CX58">
        <f t="shared" si="14"/>
        <v>5635728.9505027588</v>
      </c>
      <c r="CY58">
        <f>CN58*(BM58/10000)^0.72*((AF58+1)/3)^0.6*('CAPEX+OPEX'!$G$116/'CAPEX+OPEX'!$G$114)</f>
        <v>800286.7903035864</v>
      </c>
      <c r="CZ58">
        <f>CO58*(BM58/10000)^0.72*((AF58+1)/3)^0.6*('CAPEX+OPEX'!$G$116/'CAPEX+OPEX'!$G$114)</f>
        <v>2058166.0067084958</v>
      </c>
      <c r="DA58">
        <f>CP58*(BM58/10000)^0.72*((AF58+1)/3)^0.6*('CAPEX+OPEX'!$G$116/'CAPEX+OPEX'!$G$114)</f>
        <v>397017.70545341435</v>
      </c>
      <c r="DB58">
        <f>CQ58*(BM58/10000)^0.72*((AF58+1)/3)^0.6*('CAPEX+OPEX'!$G$116/'CAPEX+OPEX'!$G$114)</f>
        <v>2457604.0906260884</v>
      </c>
      <c r="DC58">
        <f>CR58*(BM58/10000)^0.72*((AF58+1)/3)^0.6*('CAPEX+OPEX'!$G$116/'CAPEX+OPEX'!$G$114)</f>
        <v>290158.34484886675</v>
      </c>
      <c r="DD58">
        <f t="shared" si="15"/>
        <v>6003232.9379404513</v>
      </c>
      <c r="DE58">
        <f>CX58+DD58+1.15*(SUM(CI58:CL58)+SUM(CB58:CE58))</f>
        <v>11725296.825939836</v>
      </c>
      <c r="DF58">
        <f t="shared" si="16"/>
        <v>781686.45506265573</v>
      </c>
      <c r="DG58">
        <f>(BS58+BT58)*'Oxidant Feed Composition'!$N$25*60*7200</f>
        <v>14831613.579987351</v>
      </c>
      <c r="DH58">
        <f>((CG58+CH58)*'Reagent cost'!$C$17/1000*'Reagent cost'!$H$17+(CG58+CH58)*0.5*'Reagent cost'!$C$16/1000*'Reagent cost'!$H$16)*60*7200</f>
        <v>5910734.4687606776</v>
      </c>
      <c r="DI58">
        <f>CF58*'Reagent cost'!$C$17/1000*'Reagent cost'!$H$17*60*7200</f>
        <v>504921.59999999998</v>
      </c>
      <c r="DJ58">
        <f t="shared" si="17"/>
        <v>91.427649110975906</v>
      </c>
      <c r="DK58">
        <f t="shared" si="18"/>
        <v>1032.4226382638747</v>
      </c>
      <c r="DL58">
        <f t="shared" si="19"/>
        <v>25498072.198842485</v>
      </c>
      <c r="DM58">
        <f>BK58*(B58*(409.81+2)/1000+C58*(248.2+2*22.99)/1000+D58*(315.6+3*22.99)/1000+0.1*58.44/1000)</f>
        <v>0.70639694042110623</v>
      </c>
      <c r="DN58">
        <f>(BS58+BT58)/1000*('Oxidant Feed Composition'!$B$11*'Oxidant Feed Composition'!$O$20+'Oxidant Feed Composition'!$D$11*'Oxidant Feed Composition'!$O$21+'Oxidant Feed Composition'!$F$11*'Oxidant Feed Composition'!$O$27-'Oxidant Feed Composition'!$J$15*18.015)</f>
        <v>2.1507373013729922</v>
      </c>
      <c r="DO58">
        <f>(BU58+BV58)/1000*(0.2*368.34+0.4*58.44)</f>
        <v>1.4893249188808204</v>
      </c>
      <c r="DP58">
        <f>BK58/1000*(B58*195.08+C58*106.42+D58*102.91)</f>
        <v>4.999938342565946E-2</v>
      </c>
      <c r="DQ58">
        <f>SUM(DM58:DO58)-DP58</f>
        <v>4.2964597772492592</v>
      </c>
      <c r="DR58">
        <f>DQ58*60*7200*0.33</f>
        <v>612503.30584465445</v>
      </c>
      <c r="DS58">
        <v>1.2</v>
      </c>
      <c r="DT58">
        <f>BM58/60*(AM58*4+AN58*2+AO58*3)*96485/DV58</f>
        <v>1405.9035889466509</v>
      </c>
      <c r="DU58">
        <f>BN58*BA58*(AP58*4+AQ58*2+AR58*3)*96485/DV58/60</f>
        <v>705.84693331136953</v>
      </c>
      <c r="DV58">
        <v>0.7</v>
      </c>
      <c r="DW58">
        <f>0.499*((BK58/3.78541*15)^(-0.146))*BK58/3.78541*15*300*(1+(A58-2)/9)</f>
        <v>41280.414286181804</v>
      </c>
      <c r="DX58">
        <f>0.248*((BK58/3.78541*15)^(-0.144))*BK58/3.78541*15*300*(1+(A58-2)/3)</f>
        <v>37373.489075065132</v>
      </c>
      <c r="DY58">
        <f>0.105*((BK58/3.78541*15)^(-0.144))*BK58/3.78541*15*300*(1+(A58-2)/3)</f>
        <v>15823.453035813865</v>
      </c>
      <c r="DZ58">
        <f>0.058*((BK58/3.78541*15)^(-0.151))*BK58/3.78541*15*300*(1+(A58-2)/3)</f>
        <v>8382.1245272768647</v>
      </c>
      <c r="EA58">
        <f>0.056*((BK58/3.78541*15)^(-0.144))*BK58/3.78541*15*300*(1+(A58-2)/3)</f>
        <v>8439.174952434063</v>
      </c>
      <c r="EB58">
        <f>DS58*DT58/(3.6*10^6)*3600*7200*0.07</f>
        <v>850.29049059493457</v>
      </c>
      <c r="EC58">
        <f>0.499*((BM58/3.78541*15)^(-0.146))*BM58/3.78541*15*300*(1+(AF58-2)/9)</f>
        <v>43714.036297381164</v>
      </c>
      <c r="ED58">
        <f>0.248*((BM58/3.78541*15)^(-0.144))*BM58/3.78541*15*300*(1+(AF58-2)/3)</f>
        <v>42674.061348668067</v>
      </c>
      <c r="EE58">
        <f>0.105*((BM58/3.78541*15)^(-0.144))*BM58/3.78541*15*300*(1+(AF58-2)/3)</f>
        <v>18067.6469419764</v>
      </c>
      <c r="EF58">
        <f>0.058*((BM58/3.78541*15)^(-0.151))*BM58/3.78541*15*300*(1+(AF58-2)/3)</f>
        <v>9576.263498780494</v>
      </c>
      <c r="EG58">
        <f>0.056*((BM58/3.78541*15)^(-0.144))*BM58/3.78541*15*300*(1+(AF58-2)/3)</f>
        <v>9636.0783690540829</v>
      </c>
      <c r="EH58">
        <f>DS58*DU58/(3.6*10^6)*3600*7200*0.07</f>
        <v>426.89622526671633</v>
      </c>
      <c r="EI58">
        <f>SUM(DW58:EH58)</f>
        <v>236243.92904849356</v>
      </c>
      <c r="EJ58">
        <f>EI58+DR58+DL58</f>
        <v>26346819.433735631</v>
      </c>
      <c r="EK58">
        <f>EJ58+DF58</f>
        <v>27128505.888798289</v>
      </c>
      <c r="EL58">
        <f>EK58/(BK58*60*7200)</f>
        <v>0.62797467335181223</v>
      </c>
      <c r="EM58">
        <f>EK58/(BM58*(AM58*195.084/1000+AN58*106.42/1000+AO58*102.911/1000)*60*7200)</f>
        <v>2100.8680878162895</v>
      </c>
      <c r="EN58">
        <f>EK58/(BN58*BA58*(AP58*195.084/1000+AQ58*106.42/1000+AR58*102.911/1000)*60*7200)</f>
        <v>3855.3741633486952</v>
      </c>
    </row>
    <row r="59" spans="1:144">
      <c r="A59">
        <f>'Costing 100 Lmin Feed Orig'!A59</f>
        <v>8</v>
      </c>
      <c r="B59">
        <f>'Costing 100 Lmin Feed Orig'!B59</f>
        <v>1.54143585092054E-3</v>
      </c>
      <c r="C59">
        <f>'Costing 100 Lmin Feed Orig'!C59</f>
        <v>1.54143585092054E-3</v>
      </c>
      <c r="D59">
        <f>'Costing 100 Lmin Feed Orig'!D59</f>
        <v>3.4254130020456501E-4</v>
      </c>
      <c r="E59">
        <f>'Costing 100 Lmin Feed Orig'!E59</f>
        <v>0</v>
      </c>
      <c r="F59">
        <f>'Costing 100 Lmin Feed Orig'!F59</f>
        <v>0</v>
      </c>
      <c r="G59">
        <f>'Costing 100 Lmin Feed Orig'!G59</f>
        <v>0</v>
      </c>
      <c r="H59">
        <f>'Costing 100 Lmin Feed Orig'!H59</f>
        <v>1.7762434284205799E-5</v>
      </c>
      <c r="I59">
        <f>'Costing 100 Lmin Feed Orig'!I59</f>
        <v>4.4591984978445998E-9</v>
      </c>
      <c r="J59">
        <f>'Costing 100 Lmin Feed Orig'!J59</f>
        <v>3.37570976171142E-4</v>
      </c>
      <c r="K59">
        <f>'Costing 100 Lmin Feed Orig'!K59</f>
        <v>0.13846015972746001</v>
      </c>
      <c r="L59">
        <f>'Costing 100 Lmin Feed Orig'!L59</f>
        <v>0.14007387303476199</v>
      </c>
      <c r="M59">
        <f>'Costing 100 Lmin Feed Orig'!M59</f>
        <v>4.5166625081916902E-4</v>
      </c>
      <c r="N59">
        <f>'Costing 100 Lmin Feed Orig'!N59</f>
        <v>-2.6107588313450902E-16</v>
      </c>
      <c r="O59">
        <f>'Costing 100 Lmin Feed Orig'!O59</f>
        <v>-1.18524981496115E-14</v>
      </c>
      <c r="P59">
        <f>'Costing 100 Lmin Feed Orig'!P59</f>
        <v>-2.5241581828178102E-19</v>
      </c>
      <c r="Q59">
        <f>'Costing 100 Lmin Feed Orig'!Q59</f>
        <v>0.110044175857931</v>
      </c>
      <c r="R59">
        <f>'Costing 100 Lmin Feed Orig'!R59</f>
        <v>98.548985471108097</v>
      </c>
      <c r="S59">
        <f>'Costing 100 Lmin Feed Orig'!S59</f>
        <v>500</v>
      </c>
      <c r="T59">
        <f>'Costing 100 Lmin Feed Orig'!T59</f>
        <v>95</v>
      </c>
      <c r="U59">
        <f>'Costing 100 Lmin Feed Orig'!U59</f>
        <v>1</v>
      </c>
      <c r="V59">
        <f>'Costing 100 Lmin Feed Orig'!V59</f>
        <v>0.1</v>
      </c>
      <c r="W59">
        <f>'Costing 100 Lmin Feed Orig'!W59</f>
        <v>90.872596591664205</v>
      </c>
      <c r="X59" t="str">
        <f>'Costing 100 Lmin Feed Orig'!X59</f>
        <v>ddFc</v>
      </c>
      <c r="Y59">
        <f>'Costing 100 Lmin Feed Orig'!Y59</f>
        <v>1</v>
      </c>
      <c r="Z59">
        <f>'Costing 100 Lmin Feed Orig'!Z59</f>
        <v>0.28318429382522198</v>
      </c>
      <c r="AA59">
        <f>'Costing 100 Lmin Feed Orig'!AA59</f>
        <v>0.56945642916197003</v>
      </c>
      <c r="AB59">
        <f>'Costing 100 Lmin Feed Orig'!AB59</f>
        <v>3.7698628972227502E-3</v>
      </c>
      <c r="AC59">
        <f>'Costing 100 Lmin Feed Orig'!AC59</f>
        <v>1822.2107908876901</v>
      </c>
      <c r="AD59">
        <f>'Costing 100 Lmin Feed Orig'!AD59</f>
        <v>2662.6059073104898</v>
      </c>
      <c r="AE59">
        <f>'Costing 100 Lmin Feed Orig'!AE59</f>
        <v>2401.5030938442701</v>
      </c>
      <c r="AF59">
        <f>'Costing 100 Lmin Feed Orig'!AF59</f>
        <v>11</v>
      </c>
      <c r="AG59">
        <f>'Costing 100 Lmin Feed Orig'!AG59</f>
        <v>1.6497294784823999E-3</v>
      </c>
      <c r="AH59">
        <f>'Costing 100 Lmin Feed Orig'!AH59</f>
        <v>1.66895660069658E-3</v>
      </c>
      <c r="AI59">
        <f>'Costing 100 Lmin Feed Orig'!AI59</f>
        <v>5.38152729188446E-6</v>
      </c>
      <c r="AJ59">
        <f>'Costing 100 Lmin Feed Orig'!AJ59</f>
        <v>0</v>
      </c>
      <c r="AK59">
        <f>'Costing 100 Lmin Feed Orig'!AK59</f>
        <v>0</v>
      </c>
      <c r="AL59">
        <f>'Costing 100 Lmin Feed Orig'!AL59</f>
        <v>0</v>
      </c>
      <c r="AM59">
        <f>'Costing 100 Lmin Feed Orig'!AM59</f>
        <v>1.6127801705222199E-3</v>
      </c>
      <c r="AN59">
        <f>'Costing 100 Lmin Feed Orig'!AN59</f>
        <v>7.9537033492425895E-5</v>
      </c>
      <c r="AO59">
        <f>'Costing 100 Lmin Feed Orig'!AO59</f>
        <v>5.3461333771461197E-6</v>
      </c>
      <c r="AP59">
        <f>'Costing 100 Lmin Feed Orig'!AP59</f>
        <v>1.73325890938514E-3</v>
      </c>
      <c r="AQ59">
        <f>'Costing 100 Lmin Feed Orig'!AQ59</f>
        <v>7.4558246913040901E-2</v>
      </c>
      <c r="AR59">
        <f>'Costing 100 Lmin Feed Orig'!AR59</f>
        <v>1.6602968079419499E-6</v>
      </c>
      <c r="AS59">
        <f>'Costing 100 Lmin Feed Orig'!AS59</f>
        <v>2.06541869111204E-15</v>
      </c>
      <c r="AT59">
        <f>'Costing 100 Lmin Feed Orig'!AT59</f>
        <v>-2.05823422541606E-13</v>
      </c>
      <c r="AU59">
        <f>'Costing 100 Lmin Feed Orig'!AU59</f>
        <v>1.5676726969104899E-20</v>
      </c>
      <c r="AV59">
        <f>'Costing 100 Lmin Feed Orig'!AV59</f>
        <v>0.19688925842004401</v>
      </c>
      <c r="AW59">
        <f>'Costing 100 Lmin Feed Orig'!AW59</f>
        <v>99.342307251851594</v>
      </c>
      <c r="AX59">
        <f>'Costing 100 Lmin Feed Orig'!AX59</f>
        <v>499.99999999999898</v>
      </c>
      <c r="AY59">
        <f>'Costing 100 Lmin Feed Orig'!AY59</f>
        <v>95</v>
      </c>
      <c r="AZ59">
        <f>'Costing 100 Lmin Feed Orig'!AZ59</f>
        <v>0.92358985913147196</v>
      </c>
      <c r="BA59">
        <f>'Costing 100 Lmin Feed Orig'!BA59</f>
        <v>0.1</v>
      </c>
      <c r="BB59">
        <f>'Costing 100 Lmin Feed Orig'!BB59</f>
        <v>46.909103449467104</v>
      </c>
      <c r="BC59" t="str">
        <f>'Costing 100 Lmin Feed Orig'!BC59</f>
        <v>coeFc</v>
      </c>
      <c r="BD59">
        <f>'Costing 100 Lmin Feed Orig'!BD59</f>
        <v>1</v>
      </c>
      <c r="BE59">
        <f>'Costing 100 Lmin Feed Orig'!BE59</f>
        <v>1.8775014999999999E-2</v>
      </c>
      <c r="BF59">
        <f>'Costing 100 Lmin Feed Orig'!BF59</f>
        <v>0.10492961100000001</v>
      </c>
      <c r="BG59">
        <f>'Costing 100 Lmin Feed Orig'!BG59</f>
        <v>1.814625E-3</v>
      </c>
      <c r="BH59">
        <f>'Costing 100 Lmin Feed Orig'!BH59</f>
        <v>285.1951444</v>
      </c>
      <c r="BI59">
        <f>'Costing 100 Lmin Feed Orig'!BI59</f>
        <v>2169.8944889999998</v>
      </c>
      <c r="BJ59">
        <f>'Costing 100 Lmin Feed Orig'!BJ59</f>
        <v>866.49409060000005</v>
      </c>
      <c r="BK59">
        <f>'Costing 100 Lmin Feed Orig'!BK59</f>
        <v>100</v>
      </c>
      <c r="BL59">
        <f>'Costing 100 Lmin Feed Orig'!BL59</f>
        <v>11.004417585793099</v>
      </c>
      <c r="BM59">
        <f>'Costing 100 Lmin Feed Orig'!BM59</f>
        <v>92.358985913147194</v>
      </c>
      <c r="BN59">
        <f>'Costing 100 Lmin Feed Orig'!BN59</f>
        <v>19.688925842004402</v>
      </c>
      <c r="BO59">
        <f t="shared" si="1"/>
        <v>220.08835171586199</v>
      </c>
      <c r="BP59">
        <f t="shared" si="2"/>
        <v>511.91207189211445</v>
      </c>
      <c r="BQ59">
        <f t="shared" si="3"/>
        <v>22.008835171586199</v>
      </c>
      <c r="BR59">
        <f t="shared" si="4"/>
        <v>51.191207189211447</v>
      </c>
      <c r="BS59">
        <f>1.2*0.5*BL59*V59/'Oxidant Feed Composition'!$N$22</f>
        <v>6.6026505514758593</v>
      </c>
      <c r="BT59">
        <f>1.2*0.5*BN59*BA59/'Oxidant Feed Composition'!$N$22</f>
        <v>11.81335550520264</v>
      </c>
      <c r="BU59">
        <f t="shared" si="5"/>
        <v>5.5022087928965497</v>
      </c>
      <c r="BV59">
        <f t="shared" si="6"/>
        <v>9.8444629210022008</v>
      </c>
      <c r="BW59">
        <f t="shared" si="7"/>
        <v>86.856777120250641</v>
      </c>
      <c r="BX59">
        <f t="shared" si="20"/>
        <v>35.214136274537921</v>
      </c>
      <c r="BY59">
        <f t="shared" si="8"/>
        <v>206.7268069978806</v>
      </c>
      <c r="BZ59">
        <f t="shared" si="9"/>
        <v>63.004562694414084</v>
      </c>
      <c r="CA59">
        <f t="shared" si="10"/>
        <v>59.066777526013205</v>
      </c>
      <c r="CB59">
        <f>BO59*'Reagent cost'!$G$11*'Reagent cost'!$H$11</f>
        <v>2905.1662426493785</v>
      </c>
      <c r="CC59">
        <f>BP59*'Reagent cost'!$G$11*'Reagent cost'!$H$11</f>
        <v>6757.2393489759106</v>
      </c>
      <c r="CD59">
        <f>BQ59*'Reagent cost'!$C$18/1000*'Reagent cost'!$H$18</f>
        <v>3509.9789962792502</v>
      </c>
      <c r="CE59">
        <f>BR59*'Ligand cost'!$B$56*'Ligand cost'!$J$56</f>
        <v>52119.187670605555</v>
      </c>
      <c r="CF59">
        <f t="shared" si="11"/>
        <v>10</v>
      </c>
      <c r="CG59">
        <f t="shared" si="12"/>
        <v>2.2008835171586201</v>
      </c>
      <c r="CH59">
        <f t="shared" si="13"/>
        <v>3.9377851684008807</v>
      </c>
      <c r="CI59">
        <f>7963.6*(BX59/1000)^0.6*1.7*('CAPEX+OPEX'!$G$116/'CAPEX+OPEX'!$G$115)</f>
        <v>2144.228934815284</v>
      </c>
      <c r="CJ59">
        <f>7963.6*(BY59/1000)^0.6*1.7*('CAPEX+OPEX'!$G$116/'CAPEX+OPEX'!$G$115)</f>
        <v>6201.2466571653367</v>
      </c>
      <c r="CK59">
        <f>7963.6*(BZ59/1000)^0.6*1.7*('CAPEX+OPEX'!$G$116/'CAPEX+OPEX'!$G$115)</f>
        <v>3039.9338182971837</v>
      </c>
      <c r="CL59">
        <f>7963.6*(CA59/1000)^0.6*1.7*('CAPEX+OPEX'!$G$116/'CAPEX+OPEX'!$G$115)</f>
        <v>2924.4681415498935</v>
      </c>
      <c r="CM59">
        <f>'Costing 100 Lmin Feed Orig'!DE59</f>
        <v>39625.826528698344</v>
      </c>
      <c r="CN59">
        <f>'Costing 100 Lmin Feed Orig'!DF59</f>
        <v>4586243.4239371875</v>
      </c>
      <c r="CO59">
        <f>'Costing 100 Lmin Feed Orig'!DG59</f>
        <v>11794834.586807497</v>
      </c>
      <c r="CP59">
        <f>'Costing 100 Lmin Feed Orig'!DH59</f>
        <v>2275209.1661185985</v>
      </c>
      <c r="CQ59">
        <f>'Costing 100 Lmin Feed Orig'!DI59</f>
        <v>14083914.336508472</v>
      </c>
      <c r="CR59">
        <f>'Costing 100 Lmin Feed Orig'!DJ59</f>
        <v>1662824.8986326549</v>
      </c>
      <c r="CS59">
        <f>CN59*(BK59/10000)^0.72*((A59+1)/3)^0.6*('CAPEX+OPEX'!$G$116/'CAPEX+OPEX'!$G$114)</f>
        <v>751295.09040276916</v>
      </c>
      <c r="CT59">
        <f>CO59*(BK59/10000)^0.72*((A59+1)/3)^0.6*('CAPEX+OPEX'!$G$116/'CAPEX+OPEX'!$G$114)</f>
        <v>1932169.8606163235</v>
      </c>
      <c r="CU59">
        <f>CP59*(BK59/10000)^0.72*((A59+1)/3)^0.6*('CAPEX+OPEX'!$G$116/'CAPEX+OPEX'!$G$114)</f>
        <v>372713.20297186484</v>
      </c>
      <c r="CV59">
        <f>CQ59*(BK59/10000)^0.72*((A59+1)/3)^0.6*('CAPEX+OPEX'!$G$116/'CAPEX+OPEX'!$G$114)</f>
        <v>2307155.2721002945</v>
      </c>
      <c r="CW59">
        <f>CR59*(BK59/10000)^0.72*((A59+1)/3)^0.6*('CAPEX+OPEX'!$G$116/'CAPEX+OPEX'!$G$114)</f>
        <v>272395.52441150707</v>
      </c>
      <c r="CX59">
        <f t="shared" si="14"/>
        <v>5635728.9505027588</v>
      </c>
      <c r="CY59">
        <f>CN59*(BM59/10000)^0.72*((AF59+1)/3)^0.6*('CAPEX+OPEX'!$G$116/'CAPEX+OPEX'!$G$114)</f>
        <v>843177.06502963789</v>
      </c>
      <c r="CZ59">
        <f>CO59*(BM59/10000)^0.72*((AF59+1)/3)^0.6*('CAPEX+OPEX'!$G$116/'CAPEX+OPEX'!$G$114)</f>
        <v>2168470.5956747346</v>
      </c>
      <c r="DA59">
        <f>CP59*(BM59/10000)^0.72*((AF59+1)/3)^0.6*('CAPEX+OPEX'!$G$116/'CAPEX+OPEX'!$G$114)</f>
        <v>418295.32575693569</v>
      </c>
      <c r="DB59">
        <f>CQ59*(BM59/10000)^0.72*((AF59+1)/3)^0.6*('CAPEX+OPEX'!$G$116/'CAPEX+OPEX'!$G$114)</f>
        <v>2589316.0167655097</v>
      </c>
      <c r="DC59">
        <f>CR59*(BM59/10000)^0.72*((AF59+1)/3)^0.6*('CAPEX+OPEX'!$G$116/'CAPEX+OPEX'!$G$114)</f>
        <v>305708.98403897922</v>
      </c>
      <c r="DD59">
        <f t="shared" si="15"/>
        <v>6324967.9872657973</v>
      </c>
      <c r="DE59">
        <f>CX59+DD59+1.15*(SUM(CI59:CL59)+SUM(CB59:CE59))</f>
        <v>12052238.605050445</v>
      </c>
      <c r="DF59">
        <f t="shared" si="16"/>
        <v>803482.57367002964</v>
      </c>
      <c r="DG59">
        <f>(BS59+BT59)*'Oxidant Feed Composition'!$N$25*60*7200</f>
        <v>14831389.420751655</v>
      </c>
      <c r="DH59">
        <f>((CG59+CH59)*'Reagent cost'!$C$17/1000*'Reagent cost'!$H$17+(CG59+CH59)*0.5*'Reagent cost'!$C$16/1000*'Reagent cost'!$H$16)*60*7200</f>
        <v>5910645.1362201711</v>
      </c>
      <c r="DI59">
        <f>CF59*'Reagent cost'!$C$17/1000*'Reagent cost'!$H$17*60*7200</f>
        <v>504921.59999999998</v>
      </c>
      <c r="DJ59">
        <f t="shared" si="17"/>
        <v>96.6240559162529</v>
      </c>
      <c r="DK59">
        <f t="shared" si="18"/>
        <v>1112.5833333376961</v>
      </c>
      <c r="DL59">
        <f t="shared" si="19"/>
        <v>25497798.437233295</v>
      </c>
      <c r="DM59">
        <f>BK59*(B59*(409.81+2)/1000+C59*(248.2+2*22.99)/1000+D59*(315.6+3*22.99)/1000+0.1*58.44/1000)</f>
        <v>0.70639694042110623</v>
      </c>
      <c r="DN59">
        <f>(BS59+BT59)/1000*('Oxidant Feed Composition'!$B$11*'Oxidant Feed Composition'!$O$20+'Oxidant Feed Composition'!$D$11*'Oxidant Feed Composition'!$O$21+'Oxidant Feed Composition'!$F$11*'Oxidant Feed Composition'!$O$27-'Oxidant Feed Composition'!$J$15*18.015)</f>
        <v>2.1507047959664121</v>
      </c>
      <c r="DO59">
        <f>(BU59+BV59)/1000*(0.2*368.34+0.4*58.44)</f>
        <v>1.4893024098035903</v>
      </c>
      <c r="DP59">
        <f>BK59/1000*(B59*195.08+C59*106.42+D59*102.91)</f>
        <v>4.999938342565946E-2</v>
      </c>
      <c r="DQ59">
        <f>SUM(DM59:DO59)-DP59</f>
        <v>4.2964047627654489</v>
      </c>
      <c r="DR59">
        <f>DQ59*60*7200*0.33</f>
        <v>612495.46297984244</v>
      </c>
      <c r="DS59">
        <v>1.2</v>
      </c>
      <c r="DT59">
        <f>BM59/60*(AM59*4+AN59*2+AO59*3)*96485/DV59</f>
        <v>1405.9063075371266</v>
      </c>
      <c r="DU59">
        <f>BN59*BA59*(AP59*4+AQ59*2+AR59*3)*96485/DV59/60</f>
        <v>705.84421451437709</v>
      </c>
      <c r="DV59">
        <v>0.7</v>
      </c>
      <c r="DW59">
        <f>0.499*((BK59/3.78541*15)^(-0.146))*BK59/3.78541*15*300*(1+(A59-2)/9)</f>
        <v>41280.414286181804</v>
      </c>
      <c r="DX59">
        <f>0.248*((BK59/3.78541*15)^(-0.144))*BK59/3.78541*15*300*(1+(A59-2)/3)</f>
        <v>37373.489075065132</v>
      </c>
      <c r="DY59">
        <f>0.105*((BK59/3.78541*15)^(-0.144))*BK59/3.78541*15*300*(1+(A59-2)/3)</f>
        <v>15823.453035813865</v>
      </c>
      <c r="DZ59">
        <f>0.058*((BK59/3.78541*15)^(-0.151))*BK59/3.78541*15*300*(1+(A59-2)/3)</f>
        <v>8382.1245272768647</v>
      </c>
      <c r="EA59">
        <f>0.056*((BK59/3.78541*15)^(-0.144))*BK59/3.78541*15*300*(1+(A59-2)/3)</f>
        <v>8439.174952434063</v>
      </c>
      <c r="EB59">
        <f>DS59*DT59/(3.6*10^6)*3600*7200*0.07</f>
        <v>850.29213479845407</v>
      </c>
      <c r="EC59">
        <f>0.499*((BM59/3.78541*15)^(-0.146))*BM59/3.78541*15*300*(1+(AF59-2)/9)</f>
        <v>46285.450197227117</v>
      </c>
      <c r="ED59">
        <f>0.248*((BM59/3.78541*15)^(-0.144))*BM59/3.78541*15*300*(1+(AF59-2)/3)</f>
        <v>46553.52147127426</v>
      </c>
      <c r="EE59">
        <f>0.105*((BM59/3.78541*15)^(-0.144))*BM59/3.78541*15*300*(1+(AF59-2)/3)</f>
        <v>19710.160300337891</v>
      </c>
      <c r="EF59">
        <f>0.058*((BM59/3.78541*15)^(-0.151))*BM59/3.78541*15*300*(1+(AF59-2)/3)</f>
        <v>10446.832907760539</v>
      </c>
      <c r="EG59">
        <f>0.056*((BM59/3.78541*15)^(-0.144))*BM59/3.78541*15*300*(1+(AF59-2)/3)</f>
        <v>10512.085493513545</v>
      </c>
      <c r="EH59">
        <f>DS59*DU59/(3.6*10^6)*3600*7200*0.07</f>
        <v>426.89458093829529</v>
      </c>
      <c r="EI59">
        <f>SUM(DW59:EH59)</f>
        <v>246083.89296262185</v>
      </c>
      <c r="EJ59">
        <f>EI59+DR59+DL59</f>
        <v>26356377.793175761</v>
      </c>
      <c r="EK59">
        <f>EJ59+DF59</f>
        <v>27159860.36684579</v>
      </c>
      <c r="EL59">
        <f>EK59/(BK59*60*7200)</f>
        <v>0.62870047145476371</v>
      </c>
      <c r="EM59">
        <f>EK59/(BM59*(AM59*195.084/1000+AN59*106.42/1000+AO59*102.911/1000)*60*7200)</f>
        <v>2103.2921512155185</v>
      </c>
      <c r="EN59">
        <f>EK59/(BN59*BA59*(AP59*195.084/1000+AQ59*106.42/1000+AR59*102.911/1000)*60*7200)</f>
        <v>3859.8438192790609</v>
      </c>
    </row>
    <row r="60" spans="1:144">
      <c r="A60">
        <f>'Costing 100 Lmin Feed Orig'!A60</f>
        <v>8</v>
      </c>
      <c r="B60">
        <f>'Costing 100 Lmin Feed Orig'!B60</f>
        <v>1.54143585092054E-3</v>
      </c>
      <c r="C60">
        <f>'Costing 100 Lmin Feed Orig'!C60</f>
        <v>1.54143585092054E-3</v>
      </c>
      <c r="D60">
        <f>'Costing 100 Lmin Feed Orig'!D60</f>
        <v>3.4254130020456501E-4</v>
      </c>
      <c r="E60">
        <f>'Costing 100 Lmin Feed Orig'!E60</f>
        <v>0</v>
      </c>
      <c r="F60">
        <f>'Costing 100 Lmin Feed Orig'!F60</f>
        <v>0</v>
      </c>
      <c r="G60">
        <f>'Costing 100 Lmin Feed Orig'!G60</f>
        <v>0</v>
      </c>
      <c r="H60">
        <f>'Costing 100 Lmin Feed Orig'!H60</f>
        <v>1.7762434284205799E-5</v>
      </c>
      <c r="I60">
        <f>'Costing 100 Lmin Feed Orig'!I60</f>
        <v>4.4591984978445998E-9</v>
      </c>
      <c r="J60">
        <f>'Costing 100 Lmin Feed Orig'!J60</f>
        <v>3.37570976171142E-4</v>
      </c>
      <c r="K60">
        <f>'Costing 100 Lmin Feed Orig'!K60</f>
        <v>0.13846015972746001</v>
      </c>
      <c r="L60">
        <f>'Costing 100 Lmin Feed Orig'!L60</f>
        <v>0.14007387303476199</v>
      </c>
      <c r="M60">
        <f>'Costing 100 Lmin Feed Orig'!M60</f>
        <v>4.5166625081916902E-4</v>
      </c>
      <c r="N60">
        <f>'Costing 100 Lmin Feed Orig'!N60</f>
        <v>-2.6107588313450902E-16</v>
      </c>
      <c r="O60">
        <f>'Costing 100 Lmin Feed Orig'!O60</f>
        <v>-1.18524981496115E-14</v>
      </c>
      <c r="P60">
        <f>'Costing 100 Lmin Feed Orig'!P60</f>
        <v>-2.5241581828178102E-19</v>
      </c>
      <c r="Q60">
        <f>'Costing 100 Lmin Feed Orig'!Q60</f>
        <v>0.110044175857931</v>
      </c>
      <c r="R60">
        <f>'Costing 100 Lmin Feed Orig'!R60</f>
        <v>98.548985471108097</v>
      </c>
      <c r="S60">
        <f>'Costing 100 Lmin Feed Orig'!S60</f>
        <v>500</v>
      </c>
      <c r="T60">
        <f>'Costing 100 Lmin Feed Orig'!T60</f>
        <v>95</v>
      </c>
      <c r="U60">
        <f>'Costing 100 Lmin Feed Orig'!U60</f>
        <v>1</v>
      </c>
      <c r="V60">
        <f>'Costing 100 Lmin Feed Orig'!V60</f>
        <v>0.1</v>
      </c>
      <c r="W60">
        <f>'Costing 100 Lmin Feed Orig'!W60</f>
        <v>90.872596591664205</v>
      </c>
      <c r="X60" t="str">
        <f>'Costing 100 Lmin Feed Orig'!X60</f>
        <v>ddFc</v>
      </c>
      <c r="Y60">
        <f>'Costing 100 Lmin Feed Orig'!Y60</f>
        <v>1</v>
      </c>
      <c r="Z60">
        <f>'Costing 100 Lmin Feed Orig'!Z60</f>
        <v>0.28318429382522198</v>
      </c>
      <c r="AA60">
        <f>'Costing 100 Lmin Feed Orig'!AA60</f>
        <v>0.56945642916197003</v>
      </c>
      <c r="AB60">
        <f>'Costing 100 Lmin Feed Orig'!AB60</f>
        <v>3.7698628972227502E-3</v>
      </c>
      <c r="AC60">
        <f>'Costing 100 Lmin Feed Orig'!AC60</f>
        <v>1822.2107908876901</v>
      </c>
      <c r="AD60">
        <f>'Costing 100 Lmin Feed Orig'!AD60</f>
        <v>2662.6059073104898</v>
      </c>
      <c r="AE60">
        <f>'Costing 100 Lmin Feed Orig'!AE60</f>
        <v>2401.5030938442701</v>
      </c>
      <c r="AF60">
        <f>'Costing 100 Lmin Feed Orig'!AF60</f>
        <v>12</v>
      </c>
      <c r="AG60">
        <f>'Costing 100 Lmin Feed Orig'!AG60</f>
        <v>1.6497294784823999E-3</v>
      </c>
      <c r="AH60">
        <f>'Costing 100 Lmin Feed Orig'!AH60</f>
        <v>1.66895660069658E-3</v>
      </c>
      <c r="AI60">
        <f>'Costing 100 Lmin Feed Orig'!AI60</f>
        <v>5.38152729188446E-6</v>
      </c>
      <c r="AJ60">
        <f>'Costing 100 Lmin Feed Orig'!AJ60</f>
        <v>0</v>
      </c>
      <c r="AK60">
        <f>'Costing 100 Lmin Feed Orig'!AK60</f>
        <v>0</v>
      </c>
      <c r="AL60">
        <f>'Costing 100 Lmin Feed Orig'!AL60</f>
        <v>0</v>
      </c>
      <c r="AM60">
        <f>'Costing 100 Lmin Feed Orig'!AM60</f>
        <v>1.61278104761876E-3</v>
      </c>
      <c r="AN60">
        <f>'Costing 100 Lmin Feed Orig'!AN60</f>
        <v>7.9537078850164199E-5</v>
      </c>
      <c r="AO60">
        <f>'Costing 100 Lmin Feed Orig'!AO60</f>
        <v>5.3461341824022602E-6</v>
      </c>
      <c r="AP60">
        <f>'Costing 100 Lmin Feed Orig'!AP60</f>
        <v>1.7332292441623099E-3</v>
      </c>
      <c r="AQ60">
        <f>'Costing 100 Lmin Feed Orig'!AQ60</f>
        <v>7.4558738550610695E-2</v>
      </c>
      <c r="AR60">
        <f>'Costing 100 Lmin Feed Orig'!AR60</f>
        <v>1.6602700294237901E-6</v>
      </c>
      <c r="AS60">
        <f>'Costing 100 Lmin Feed Orig'!AS60</f>
        <v>4.1856302495160702E-16</v>
      </c>
      <c r="AT60">
        <f>'Costing 100 Lmin Feed Orig'!AT60</f>
        <v>-4.1007778769919203E-14</v>
      </c>
      <c r="AU60">
        <f>'Costing 100 Lmin Feed Orig'!AU60</f>
        <v>-1.18452263717593E-21</v>
      </c>
      <c r="AV60">
        <f>'Costing 100 Lmin Feed Orig'!AV60</f>
        <v>0.19688795449878599</v>
      </c>
      <c r="AW60">
        <f>'Costing 100 Lmin Feed Orig'!AW60</f>
        <v>99.342322215190194</v>
      </c>
      <c r="AX60">
        <f>'Costing 100 Lmin Feed Orig'!AX60</f>
        <v>499.99999999999898</v>
      </c>
      <c r="AY60">
        <f>'Costing 100 Lmin Feed Orig'!AY60</f>
        <v>95</v>
      </c>
      <c r="AZ60">
        <f>'Costing 100 Lmin Feed Orig'!AZ60</f>
        <v>0.92358985913147196</v>
      </c>
      <c r="BA60">
        <f>'Costing 100 Lmin Feed Orig'!BA60</f>
        <v>0.1</v>
      </c>
      <c r="BB60">
        <f>'Costing 100 Lmin Feed Orig'!BB60</f>
        <v>46.909414112337899</v>
      </c>
      <c r="BC60" t="str">
        <f>'Costing 100 Lmin Feed Orig'!BC60</f>
        <v>coeFc</v>
      </c>
      <c r="BD60">
        <f>'Costing 100 Lmin Feed Orig'!BD60</f>
        <v>1</v>
      </c>
      <c r="BE60">
        <f>'Costing 100 Lmin Feed Orig'!BE60</f>
        <v>1.8775014999999999E-2</v>
      </c>
      <c r="BF60">
        <f>'Costing 100 Lmin Feed Orig'!BF60</f>
        <v>0.10492961100000001</v>
      </c>
      <c r="BG60">
        <f>'Costing 100 Lmin Feed Orig'!BG60</f>
        <v>1.814625E-3</v>
      </c>
      <c r="BH60">
        <f>'Costing 100 Lmin Feed Orig'!BH60</f>
        <v>285.1951444</v>
      </c>
      <c r="BI60">
        <f>'Costing 100 Lmin Feed Orig'!BI60</f>
        <v>2169.8944889999998</v>
      </c>
      <c r="BJ60">
        <f>'Costing 100 Lmin Feed Orig'!BJ60</f>
        <v>866.49409060000005</v>
      </c>
      <c r="BK60">
        <f>'Costing 100 Lmin Feed Orig'!BK60</f>
        <v>100</v>
      </c>
      <c r="BL60">
        <f>'Costing 100 Lmin Feed Orig'!BL60</f>
        <v>11.004417585793099</v>
      </c>
      <c r="BM60">
        <f>'Costing 100 Lmin Feed Orig'!BM60</f>
        <v>92.358985913147194</v>
      </c>
      <c r="BN60">
        <f>'Costing 100 Lmin Feed Orig'!BN60</f>
        <v>19.688795449878597</v>
      </c>
      <c r="BO60">
        <f t="shared" si="1"/>
        <v>220.08835171586199</v>
      </c>
      <c r="BP60">
        <f t="shared" si="2"/>
        <v>551.28627259660072</v>
      </c>
      <c r="BQ60">
        <f t="shared" si="3"/>
        <v>22.008835171586199</v>
      </c>
      <c r="BR60">
        <f t="shared" si="4"/>
        <v>55.128627259660078</v>
      </c>
      <c r="BS60">
        <f>1.2*0.5*BL60*V60/'Oxidant Feed Composition'!$N$22</f>
        <v>6.6026505514758593</v>
      </c>
      <c r="BT60">
        <f>1.2*0.5*BN60*BA60/'Oxidant Feed Composition'!$N$22</f>
        <v>11.813277269927157</v>
      </c>
      <c r="BU60">
        <f t="shared" si="5"/>
        <v>5.5022087928965497</v>
      </c>
      <c r="BV60">
        <f t="shared" si="6"/>
        <v>9.8443977249392987</v>
      </c>
      <c r="BW60">
        <f t="shared" si="7"/>
        <v>86.856777120250641</v>
      </c>
      <c r="BX60">
        <f t="shared" si="20"/>
        <v>35.214136274537921</v>
      </c>
      <c r="BY60">
        <f t="shared" si="8"/>
        <v>206.7268069978806</v>
      </c>
      <c r="BZ60">
        <f t="shared" si="9"/>
        <v>63.004145439611506</v>
      </c>
      <c r="CA60">
        <f t="shared" si="10"/>
        <v>59.066386349635792</v>
      </c>
      <c r="CB60">
        <f>BO60*'Reagent cost'!$G$11*'Reagent cost'!$H$11</f>
        <v>2905.1662426493785</v>
      </c>
      <c r="CC60">
        <f>BP60*'Reagent cost'!$G$11*'Reagent cost'!$H$11</f>
        <v>7276.9787982751304</v>
      </c>
      <c r="CD60">
        <f>BQ60*'Reagent cost'!$C$18/1000*'Reagent cost'!$H$18</f>
        <v>3509.9789962792502</v>
      </c>
      <c r="CE60">
        <f>BR60*'Ligand cost'!$B$56*'Ligand cost'!$J$56</f>
        <v>56127.984236609766</v>
      </c>
      <c r="CF60">
        <f t="shared" si="11"/>
        <v>10</v>
      </c>
      <c r="CG60">
        <f t="shared" si="12"/>
        <v>2.2008835171586201</v>
      </c>
      <c r="CH60">
        <f t="shared" si="13"/>
        <v>3.9377590899757196</v>
      </c>
      <c r="CI60">
        <f>7963.6*(BX60/1000)^0.6*1.7*('CAPEX+OPEX'!$G$116/'CAPEX+OPEX'!$G$115)</f>
        <v>2144.228934815284</v>
      </c>
      <c r="CJ60">
        <f>7963.6*(BY60/1000)^0.6*1.7*('CAPEX+OPEX'!$G$116/'CAPEX+OPEX'!$G$115)</f>
        <v>6201.2466571653367</v>
      </c>
      <c r="CK60">
        <f>7963.6*(BZ60/1000)^0.6*1.7*('CAPEX+OPEX'!$G$116/'CAPEX+OPEX'!$G$115)</f>
        <v>3039.9217388990178</v>
      </c>
      <c r="CL60">
        <f>7963.6*(CA60/1000)^0.6*1.7*('CAPEX+OPEX'!$G$116/'CAPEX+OPEX'!$G$115)</f>
        <v>2924.4565209629927</v>
      </c>
      <c r="CM60">
        <f>'Costing 100 Lmin Feed Orig'!DE60</f>
        <v>39625.826528698344</v>
      </c>
      <c r="CN60">
        <f>'Costing 100 Lmin Feed Orig'!DF60</f>
        <v>4586243.4239371875</v>
      </c>
      <c r="CO60">
        <f>'Costing 100 Lmin Feed Orig'!DG60</f>
        <v>11794834.586807497</v>
      </c>
      <c r="CP60">
        <f>'Costing 100 Lmin Feed Orig'!DH60</f>
        <v>2275209.1661185985</v>
      </c>
      <c r="CQ60">
        <f>'Costing 100 Lmin Feed Orig'!DI60</f>
        <v>14083914.336508472</v>
      </c>
      <c r="CR60">
        <f>'Costing 100 Lmin Feed Orig'!DJ60</f>
        <v>1662824.8986326549</v>
      </c>
      <c r="CS60">
        <f>CN60*(BK60/10000)^0.72*((A60+1)/3)^0.6*('CAPEX+OPEX'!$G$116/'CAPEX+OPEX'!$G$114)</f>
        <v>751295.09040276916</v>
      </c>
      <c r="CT60">
        <f>CO60*(BK60/10000)^0.72*((A60+1)/3)^0.6*('CAPEX+OPEX'!$G$116/'CAPEX+OPEX'!$G$114)</f>
        <v>1932169.8606163235</v>
      </c>
      <c r="CU60">
        <f>CP60*(BK60/10000)^0.72*((A60+1)/3)^0.6*('CAPEX+OPEX'!$G$116/'CAPEX+OPEX'!$G$114)</f>
        <v>372713.20297186484</v>
      </c>
      <c r="CV60">
        <f>CQ60*(BK60/10000)^0.72*((A60+1)/3)^0.6*('CAPEX+OPEX'!$G$116/'CAPEX+OPEX'!$G$114)</f>
        <v>2307155.2721002945</v>
      </c>
      <c r="CW60">
        <f>CR60*(BK60/10000)^0.72*((A60+1)/3)^0.6*('CAPEX+OPEX'!$G$116/'CAPEX+OPEX'!$G$114)</f>
        <v>272395.52441150707</v>
      </c>
      <c r="CX60">
        <f t="shared" si="14"/>
        <v>5635728.9505027588</v>
      </c>
      <c r="CY60">
        <f>CN60*(BM60/10000)^0.72*((AF60+1)/3)^0.6*('CAPEX+OPEX'!$G$116/'CAPEX+OPEX'!$G$114)</f>
        <v>884659.30262568092</v>
      </c>
      <c r="CZ60">
        <f>CO60*(BM60/10000)^0.72*((AF60+1)/3)^0.6*('CAPEX+OPEX'!$G$116/'CAPEX+OPEX'!$G$114)</f>
        <v>2275154.0150899086</v>
      </c>
      <c r="DA60">
        <f>CP60*(BM60/10000)^0.72*((AF60+1)/3)^0.6*('CAPEX+OPEX'!$G$116/'CAPEX+OPEX'!$G$114)</f>
        <v>438874.42688292934</v>
      </c>
      <c r="DB60">
        <f>CQ60*(BM60/10000)^0.72*((AF60+1)/3)^0.6*('CAPEX+OPEX'!$G$116/'CAPEX+OPEX'!$G$114)</f>
        <v>2716703.9957245099</v>
      </c>
      <c r="DC60">
        <f>CR60*(BM60/10000)^0.72*((AF60+1)/3)^0.6*('CAPEX+OPEX'!$G$116/'CAPEX+OPEX'!$G$114)</f>
        <v>320749.11408652045</v>
      </c>
      <c r="DD60">
        <f t="shared" si="15"/>
        <v>6636140.8544095494</v>
      </c>
      <c r="DE60">
        <f>CX60+DD60+1.15*(SUM(CI60:CL60)+SUM(CB60:CE60))</f>
        <v>12368619.261356812</v>
      </c>
      <c r="DF60">
        <f t="shared" si="16"/>
        <v>824574.61742378748</v>
      </c>
      <c r="DG60">
        <f>(BS60+BT60)*'Oxidant Feed Composition'!$N$25*60*7200</f>
        <v>14831326.413722141</v>
      </c>
      <c r="DH60">
        <f>((CG60+CH60)*'Reagent cost'!$C$17/1000*'Reagent cost'!$H$17+(CG60+CH60)*0.5*'Reagent cost'!$C$16/1000*'Reagent cost'!$H$16)*60*7200</f>
        <v>5910620.0264895875</v>
      </c>
      <c r="DI60">
        <f>CF60*'Reagent cost'!$C$17/1000*'Reagent cost'!$H$17*60*7200</f>
        <v>504921.59999999998</v>
      </c>
      <c r="DJ60">
        <f t="shared" si="17"/>
        <v>101.82145040924509</v>
      </c>
      <c r="DK60">
        <f t="shared" si="18"/>
        <v>1192.7592646577802</v>
      </c>
      <c r="DL60">
        <f t="shared" si="19"/>
        <v>25497795.145112157</v>
      </c>
      <c r="DM60">
        <f>BK60*(B60*(409.81+2)/1000+C60*(248.2+2*22.99)/1000+D60*(315.6+3*22.99)/1000+0.1*58.44/1000)</f>
        <v>0.70639694042110623</v>
      </c>
      <c r="DN60">
        <f>(BS60+BT60)/1000*('Oxidant Feed Composition'!$B$11*'Oxidant Feed Composition'!$O$20+'Oxidant Feed Composition'!$D$11*'Oxidant Feed Composition'!$O$21+'Oxidant Feed Composition'!$F$11*'Oxidant Feed Composition'!$O$27-'Oxidant Feed Composition'!$J$15*18.015)</f>
        <v>2.1506956592957529</v>
      </c>
      <c r="DO60">
        <f>(BU60+BV60)/1000*(0.2*368.34+0.4*58.44)</f>
        <v>1.489296082916862</v>
      </c>
      <c r="DP60">
        <f>BK60/1000*(B60*195.08+C60*106.42+D60*102.91)</f>
        <v>4.999938342565946E-2</v>
      </c>
      <c r="DQ60">
        <f>SUM(DM60:DO60)-DP60</f>
        <v>4.2963892992080615</v>
      </c>
      <c r="DR60">
        <f>DQ60*60*7200*0.33</f>
        <v>612493.25849510136</v>
      </c>
      <c r="DS60">
        <v>1.2</v>
      </c>
      <c r="DT60">
        <f>BM60/60*(AM60*4+AN60*2+AO60*3)*96485/DV60</f>
        <v>1405.9070716810863</v>
      </c>
      <c r="DU60">
        <f>BN60*BA60*(AP60*4+AQ60*2+AR60*3)*96485/DV60/60</f>
        <v>705.84345029620977</v>
      </c>
      <c r="DV60">
        <v>0.7</v>
      </c>
      <c r="DW60">
        <f>0.499*((BK60/3.78541*15)^(-0.146))*BK60/3.78541*15*300*(1+(A60-2)/9)</f>
        <v>41280.414286181804</v>
      </c>
      <c r="DX60">
        <f>0.248*((BK60/3.78541*15)^(-0.144))*BK60/3.78541*15*300*(1+(A60-2)/3)</f>
        <v>37373.489075065132</v>
      </c>
      <c r="DY60">
        <f>0.105*((BK60/3.78541*15)^(-0.144))*BK60/3.78541*15*300*(1+(A60-2)/3)</f>
        <v>15823.453035813865</v>
      </c>
      <c r="DZ60">
        <f>0.058*((BK60/3.78541*15)^(-0.151))*BK60/3.78541*15*300*(1+(A60-2)/3)</f>
        <v>8382.1245272768647</v>
      </c>
      <c r="EA60">
        <f>0.056*((BK60/3.78541*15)^(-0.144))*BK60/3.78541*15*300*(1+(A60-2)/3)</f>
        <v>8439.174952434063</v>
      </c>
      <c r="EB60">
        <f>DS60*DT60/(3.6*10^6)*3600*7200*0.07</f>
        <v>850.29259695272106</v>
      </c>
      <c r="EC60">
        <f>0.499*((BM60/3.78541*15)^(-0.146))*BM60/3.78541*15*300*(1+(AF60-2)/9)</f>
        <v>48856.86409707307</v>
      </c>
      <c r="ED60">
        <f>0.248*((BM60/3.78541*15)^(-0.144))*BM60/3.78541*15*300*(1+(AF60-2)/3)</f>
        <v>50432.981593880453</v>
      </c>
      <c r="EE60">
        <f>0.105*((BM60/3.78541*15)^(-0.144))*BM60/3.78541*15*300*(1+(AF60-2)/3)</f>
        <v>21352.673658699387</v>
      </c>
      <c r="EF60">
        <f>0.058*((BM60/3.78541*15)^(-0.151))*BM60/3.78541*15*300*(1+(AF60-2)/3)</f>
        <v>11317.402316740587</v>
      </c>
      <c r="EG60">
        <f>0.056*((BM60/3.78541*15)^(-0.144))*BM60/3.78541*15*300*(1+(AF60-2)/3)</f>
        <v>11388.092617973009</v>
      </c>
      <c r="EH60">
        <f>DS60*DU60/(3.6*10^6)*3600*7200*0.07</f>
        <v>426.8941187391477</v>
      </c>
      <c r="EI60">
        <f>SUM(DW60:EH60)</f>
        <v>255923.8568768301</v>
      </c>
      <c r="EJ60">
        <f>EI60+DR60+DL60</f>
        <v>26366212.260484088</v>
      </c>
      <c r="EK60">
        <f>EJ60+DF60</f>
        <v>27190786.877907876</v>
      </c>
      <c r="EL60">
        <f>EK60/(BK60*60*7200)</f>
        <v>0.62941636291453418</v>
      </c>
      <c r="EM60">
        <f>EK60/(BM60*(AM60*195.084/1000+AN60*106.42/1000+AO60*102.911/1000)*60*7200)</f>
        <v>2105.685992105638</v>
      </c>
      <c r="EN60">
        <f>EK60/(BN60*BA60*(AP60*195.084/1000+AQ60*106.42/1000+AR60*102.911/1000)*60*7200)</f>
        <v>3864.2428206614691</v>
      </c>
    </row>
    <row r="61" spans="1:144">
      <c r="A61">
        <f>'Costing 100 Lmin Feed Orig'!A61</f>
        <v>8</v>
      </c>
      <c r="B61">
        <f>'Costing 100 Lmin Feed Orig'!B61</f>
        <v>1.54143585092054E-3</v>
      </c>
      <c r="C61">
        <f>'Costing 100 Lmin Feed Orig'!C61</f>
        <v>1.54143585092054E-3</v>
      </c>
      <c r="D61">
        <f>'Costing 100 Lmin Feed Orig'!D61</f>
        <v>3.4254130020456501E-4</v>
      </c>
      <c r="E61">
        <f>'Costing 100 Lmin Feed Orig'!E61</f>
        <v>0</v>
      </c>
      <c r="F61">
        <f>'Costing 100 Lmin Feed Orig'!F61</f>
        <v>0</v>
      </c>
      <c r="G61">
        <f>'Costing 100 Lmin Feed Orig'!G61</f>
        <v>0</v>
      </c>
      <c r="H61">
        <f>'Costing 100 Lmin Feed Orig'!H61</f>
        <v>1.7762434284205799E-5</v>
      </c>
      <c r="I61">
        <f>'Costing 100 Lmin Feed Orig'!I61</f>
        <v>4.4591984978445998E-9</v>
      </c>
      <c r="J61">
        <f>'Costing 100 Lmin Feed Orig'!J61</f>
        <v>3.37570976171142E-4</v>
      </c>
      <c r="K61">
        <f>'Costing 100 Lmin Feed Orig'!K61</f>
        <v>0.13846015972746001</v>
      </c>
      <c r="L61">
        <f>'Costing 100 Lmin Feed Orig'!L61</f>
        <v>0.14007387303476199</v>
      </c>
      <c r="M61">
        <f>'Costing 100 Lmin Feed Orig'!M61</f>
        <v>4.5166625081916902E-4</v>
      </c>
      <c r="N61">
        <f>'Costing 100 Lmin Feed Orig'!N61</f>
        <v>-2.6107588313450902E-16</v>
      </c>
      <c r="O61">
        <f>'Costing 100 Lmin Feed Orig'!O61</f>
        <v>-1.18524981496115E-14</v>
      </c>
      <c r="P61">
        <f>'Costing 100 Lmin Feed Orig'!P61</f>
        <v>-2.5241581828178102E-19</v>
      </c>
      <c r="Q61">
        <f>'Costing 100 Lmin Feed Orig'!Q61</f>
        <v>0.110044175857931</v>
      </c>
      <c r="R61">
        <f>'Costing 100 Lmin Feed Orig'!R61</f>
        <v>98.548985471108097</v>
      </c>
      <c r="S61">
        <f>'Costing 100 Lmin Feed Orig'!S61</f>
        <v>500</v>
      </c>
      <c r="T61">
        <f>'Costing 100 Lmin Feed Orig'!T61</f>
        <v>95</v>
      </c>
      <c r="U61">
        <f>'Costing 100 Lmin Feed Orig'!U61</f>
        <v>1</v>
      </c>
      <c r="V61">
        <f>'Costing 100 Lmin Feed Orig'!V61</f>
        <v>0.1</v>
      </c>
      <c r="W61">
        <f>'Costing 100 Lmin Feed Orig'!W61</f>
        <v>90.872596591664205</v>
      </c>
      <c r="X61" t="str">
        <f>'Costing 100 Lmin Feed Orig'!X61</f>
        <v>ddFc</v>
      </c>
      <c r="Y61">
        <f>'Costing 100 Lmin Feed Orig'!Y61</f>
        <v>1</v>
      </c>
      <c r="Z61">
        <f>'Costing 100 Lmin Feed Orig'!Z61</f>
        <v>0.28318429382522198</v>
      </c>
      <c r="AA61">
        <f>'Costing 100 Lmin Feed Orig'!AA61</f>
        <v>0.56945642916197003</v>
      </c>
      <c r="AB61">
        <f>'Costing 100 Lmin Feed Orig'!AB61</f>
        <v>3.7698628972227502E-3</v>
      </c>
      <c r="AC61">
        <f>'Costing 100 Lmin Feed Orig'!AC61</f>
        <v>1822.2107908876901</v>
      </c>
      <c r="AD61">
        <f>'Costing 100 Lmin Feed Orig'!AD61</f>
        <v>2662.6059073104898</v>
      </c>
      <c r="AE61">
        <f>'Costing 100 Lmin Feed Orig'!AE61</f>
        <v>2401.5030938442701</v>
      </c>
      <c r="AF61">
        <f>'Costing 100 Lmin Feed Orig'!AF61</f>
        <v>13</v>
      </c>
      <c r="AG61">
        <f>'Costing 100 Lmin Feed Orig'!AG61</f>
        <v>1.6497294784823999E-3</v>
      </c>
      <c r="AH61">
        <f>'Costing 100 Lmin Feed Orig'!AH61</f>
        <v>1.66895660069658E-3</v>
      </c>
      <c r="AI61">
        <f>'Costing 100 Lmin Feed Orig'!AI61</f>
        <v>5.38152729188446E-6</v>
      </c>
      <c r="AJ61">
        <f>'Costing 100 Lmin Feed Orig'!AJ61</f>
        <v>0</v>
      </c>
      <c r="AK61">
        <f>'Costing 100 Lmin Feed Orig'!AK61</f>
        <v>0</v>
      </c>
      <c r="AL61">
        <f>'Costing 100 Lmin Feed Orig'!AL61</f>
        <v>0</v>
      </c>
      <c r="AM61">
        <f>'Costing 100 Lmin Feed Orig'!AM61</f>
        <v>1.6127812941209201E-3</v>
      </c>
      <c r="AN61">
        <f>'Costing 100 Lmin Feed Orig'!AN61</f>
        <v>7.9537091597651401E-5</v>
      </c>
      <c r="AO61">
        <f>'Costing 100 Lmin Feed Orig'!AO61</f>
        <v>5.34613440871419E-6</v>
      </c>
      <c r="AP61">
        <f>'Costing 100 Lmin Feed Orig'!AP61</f>
        <v>1.73322090687147E-3</v>
      </c>
      <c r="AQ61">
        <f>'Costing 100 Lmin Feed Orig'!AQ61</f>
        <v>7.4558876723361894E-2</v>
      </c>
      <c r="AR61">
        <f>'Costing 100 Lmin Feed Orig'!AR61</f>
        <v>1.6602625034295099E-6</v>
      </c>
      <c r="AS61">
        <f>'Costing 100 Lmin Feed Orig'!AS61</f>
        <v>-3.2526065174565099E-19</v>
      </c>
      <c r="AT61">
        <f>'Costing 100 Lmin Feed Orig'!AT61</f>
        <v>-1.5178830414797E-17</v>
      </c>
      <c r="AU61">
        <f>'Costing 100 Lmin Feed Orig'!AU61</f>
        <v>5.3601303693436099E-22</v>
      </c>
      <c r="AV61">
        <f>'Costing 100 Lmin Feed Orig'!AV61</f>
        <v>0.19688758804081399</v>
      </c>
      <c r="AW61">
        <f>'Costing 100 Lmin Feed Orig'!AW61</f>
        <v>99.342326420537802</v>
      </c>
      <c r="AX61">
        <f>'Costing 100 Lmin Feed Orig'!AX61</f>
        <v>499.99999999999898</v>
      </c>
      <c r="AY61">
        <f>'Costing 100 Lmin Feed Orig'!AY61</f>
        <v>95</v>
      </c>
      <c r="AZ61">
        <f>'Costing 100 Lmin Feed Orig'!AZ61</f>
        <v>0.92358985913147196</v>
      </c>
      <c r="BA61">
        <f>'Costing 100 Lmin Feed Orig'!BA61</f>
        <v>0.1</v>
      </c>
      <c r="BB61">
        <f>'Costing 100 Lmin Feed Orig'!BB61</f>
        <v>46.909501422711003</v>
      </c>
      <c r="BC61" t="str">
        <f>'Costing 100 Lmin Feed Orig'!BC61</f>
        <v>coeFc</v>
      </c>
      <c r="BD61">
        <f>'Costing 100 Lmin Feed Orig'!BD61</f>
        <v>1</v>
      </c>
      <c r="BE61">
        <f>'Costing 100 Lmin Feed Orig'!BE61</f>
        <v>1.8775014999999999E-2</v>
      </c>
      <c r="BF61">
        <f>'Costing 100 Lmin Feed Orig'!BF61</f>
        <v>0.10492961100000001</v>
      </c>
      <c r="BG61">
        <f>'Costing 100 Lmin Feed Orig'!BG61</f>
        <v>1.814625E-3</v>
      </c>
      <c r="BH61">
        <f>'Costing 100 Lmin Feed Orig'!BH61</f>
        <v>285.1951444</v>
      </c>
      <c r="BI61">
        <f>'Costing 100 Lmin Feed Orig'!BI61</f>
        <v>2169.8944889999998</v>
      </c>
      <c r="BJ61">
        <f>'Costing 100 Lmin Feed Orig'!BJ61</f>
        <v>866.49409060000005</v>
      </c>
      <c r="BK61">
        <f>'Costing 100 Lmin Feed Orig'!BK61</f>
        <v>100</v>
      </c>
      <c r="BL61">
        <f>'Costing 100 Lmin Feed Orig'!BL61</f>
        <v>11.004417585793099</v>
      </c>
      <c r="BM61">
        <f>'Costing 100 Lmin Feed Orig'!BM61</f>
        <v>92.358985913147194</v>
      </c>
      <c r="BN61">
        <f>'Costing 100 Lmin Feed Orig'!BN61</f>
        <v>19.688758804081399</v>
      </c>
      <c r="BO61">
        <f t="shared" si="1"/>
        <v>220.08835171586199</v>
      </c>
      <c r="BP61">
        <f t="shared" si="2"/>
        <v>590.66276412244201</v>
      </c>
      <c r="BQ61">
        <f t="shared" si="3"/>
        <v>22.008835171586199</v>
      </c>
      <c r="BR61">
        <f t="shared" si="4"/>
        <v>59.066276412244207</v>
      </c>
      <c r="BS61">
        <f>1.2*0.5*BL61*V61/'Oxidant Feed Composition'!$N$22</f>
        <v>6.6026505514758593</v>
      </c>
      <c r="BT61">
        <f>1.2*0.5*BN61*BA61/'Oxidant Feed Composition'!$N$22</f>
        <v>11.813255282448839</v>
      </c>
      <c r="BU61">
        <f t="shared" si="5"/>
        <v>5.5022087928965497</v>
      </c>
      <c r="BV61">
        <f t="shared" si="6"/>
        <v>9.8443794020406994</v>
      </c>
      <c r="BW61">
        <f t="shared" si="7"/>
        <v>86.856777120250641</v>
      </c>
      <c r="BX61">
        <f t="shared" si="20"/>
        <v>35.214136274537921</v>
      </c>
      <c r="BY61">
        <f t="shared" si="8"/>
        <v>206.7268069978806</v>
      </c>
      <c r="BZ61">
        <f t="shared" si="9"/>
        <v>63.004028173060476</v>
      </c>
      <c r="CA61">
        <f t="shared" si="10"/>
        <v>59.066276412244193</v>
      </c>
      <c r="CB61">
        <f>BO61*'Reagent cost'!$G$11*'Reagent cost'!$H$11</f>
        <v>2905.1662426493785</v>
      </c>
      <c r="CC61">
        <f>BP61*'Reagent cost'!$G$11*'Reagent cost'!$H$11</f>
        <v>7796.7484864162352</v>
      </c>
      <c r="CD61">
        <f>BQ61*'Reagent cost'!$C$18/1000*'Reagent cost'!$H$18</f>
        <v>3509.9789962792502</v>
      </c>
      <c r="CE61">
        <f>BR61*'Ligand cost'!$B$56*'Ligand cost'!$J$56</f>
        <v>60137.014037489032</v>
      </c>
      <c r="CF61">
        <f t="shared" si="11"/>
        <v>10</v>
      </c>
      <c r="CG61">
        <f t="shared" si="12"/>
        <v>2.2008835171586201</v>
      </c>
      <c r="CH61">
        <f t="shared" si="13"/>
        <v>3.9377517608162798</v>
      </c>
      <c r="CI61">
        <f>7963.6*(BX61/1000)^0.6*1.7*('CAPEX+OPEX'!$G$116/'CAPEX+OPEX'!$G$115)</f>
        <v>2144.228934815284</v>
      </c>
      <c r="CJ61">
        <f>7963.6*(BY61/1000)^0.6*1.7*('CAPEX+OPEX'!$G$116/'CAPEX+OPEX'!$G$115)</f>
        <v>6201.2466571653367</v>
      </c>
      <c r="CK61">
        <f>7963.6*(BZ61/1000)^0.6*1.7*('CAPEX+OPEX'!$G$116/'CAPEX+OPEX'!$G$115)</f>
        <v>3039.9183440626803</v>
      </c>
      <c r="CL61">
        <f>7963.6*(CA61/1000)^0.6*1.7*('CAPEX+OPEX'!$G$116/'CAPEX+OPEX'!$G$115)</f>
        <v>2924.4532550725799</v>
      </c>
      <c r="CM61">
        <f>'Costing 100 Lmin Feed Orig'!DE61</f>
        <v>39625.826528698344</v>
      </c>
      <c r="CN61">
        <f>'Costing 100 Lmin Feed Orig'!DF61</f>
        <v>4586243.4239371875</v>
      </c>
      <c r="CO61">
        <f>'Costing 100 Lmin Feed Orig'!DG61</f>
        <v>11794834.586807497</v>
      </c>
      <c r="CP61">
        <f>'Costing 100 Lmin Feed Orig'!DH61</f>
        <v>2275209.1661185985</v>
      </c>
      <c r="CQ61">
        <f>'Costing 100 Lmin Feed Orig'!DI61</f>
        <v>14083914.336508472</v>
      </c>
      <c r="CR61">
        <f>'Costing 100 Lmin Feed Orig'!DJ61</f>
        <v>1662824.8986326549</v>
      </c>
      <c r="CS61">
        <f>CN61*(BK61/10000)^0.72*((A61+1)/3)^0.6*('CAPEX+OPEX'!$G$116/'CAPEX+OPEX'!$G$114)</f>
        <v>751295.09040276916</v>
      </c>
      <c r="CT61">
        <f>CO61*(BK61/10000)^0.72*((A61+1)/3)^0.6*('CAPEX+OPEX'!$G$116/'CAPEX+OPEX'!$G$114)</f>
        <v>1932169.8606163235</v>
      </c>
      <c r="CU61">
        <f>CP61*(BK61/10000)^0.72*((A61+1)/3)^0.6*('CAPEX+OPEX'!$G$116/'CAPEX+OPEX'!$G$114)</f>
        <v>372713.20297186484</v>
      </c>
      <c r="CV61">
        <f>CQ61*(BK61/10000)^0.72*((A61+1)/3)^0.6*('CAPEX+OPEX'!$G$116/'CAPEX+OPEX'!$G$114)</f>
        <v>2307155.2721002945</v>
      </c>
      <c r="CW61">
        <f>CR61*(BK61/10000)^0.72*((A61+1)/3)^0.6*('CAPEX+OPEX'!$G$116/'CAPEX+OPEX'!$G$114)</f>
        <v>272395.52441150707</v>
      </c>
      <c r="CX61">
        <f t="shared" si="14"/>
        <v>5635728.9505027588</v>
      </c>
      <c r="CY61">
        <f>CN61*(BM61/10000)^0.72*((AF61+1)/3)^0.6*('CAPEX+OPEX'!$G$116/'CAPEX+OPEX'!$G$114)</f>
        <v>924883.13167584944</v>
      </c>
      <c r="CZ61">
        <f>CO61*(BM61/10000)^0.72*((AF61+1)/3)^0.6*('CAPEX+OPEX'!$G$116/'CAPEX+OPEX'!$G$114)</f>
        <v>2378601.0775852241</v>
      </c>
      <c r="DA61">
        <f>CP61*(BM61/10000)^0.72*((AF61+1)/3)^0.6*('CAPEX+OPEX'!$G$116/'CAPEX+OPEX'!$G$114)</f>
        <v>458829.23871730972</v>
      </c>
      <c r="DB61">
        <f>CQ61*(BM61/10000)^0.72*((AF61+1)/3)^0.6*('CAPEX+OPEX'!$G$116/'CAPEX+OPEX'!$G$114)</f>
        <v>2840227.5225552334</v>
      </c>
      <c r="DC61">
        <f>CR61*(BM61/10000)^0.72*((AF61+1)/3)^0.6*('CAPEX+OPEX'!$G$116/'CAPEX+OPEX'!$G$114)</f>
        <v>335332.98552122596</v>
      </c>
      <c r="DD61">
        <f t="shared" si="15"/>
        <v>6937873.956054843</v>
      </c>
      <c r="DE61">
        <f>CX61+DD61+1.15*(SUM(CI61:CL61)+SUM(CB61:CE61))</f>
        <v>12675560.474754643</v>
      </c>
      <c r="DF61">
        <f t="shared" si="16"/>
        <v>845037.36498364282</v>
      </c>
      <c r="DG61">
        <f>(BS61+BT61)*'Oxidant Feed Composition'!$N$25*60*7200</f>
        <v>14831308.706036102</v>
      </c>
      <c r="DH61">
        <f>((CG61+CH61)*'Reagent cost'!$C$17/1000*'Reagent cost'!$H$17+(CG61+CH61)*0.5*'Reagent cost'!$C$16/1000*'Reagent cost'!$H$16)*60*7200</f>
        <v>5910612.9695749991</v>
      </c>
      <c r="DI61">
        <f>CF61*'Reagent cost'!$C$17/1000*'Reagent cost'!$H$17*60*7200</f>
        <v>504921.59999999998</v>
      </c>
      <c r="DJ61">
        <f t="shared" si="17"/>
        <v>107.01914729065615</v>
      </c>
      <c r="DK61">
        <f t="shared" si="18"/>
        <v>1272.9398606753657</v>
      </c>
      <c r="DL61">
        <f t="shared" si="19"/>
        <v>25497867.881542884</v>
      </c>
      <c r="DM61">
        <f>BK61*(B61*(409.81+2)/1000+C61*(248.2+2*22.99)/1000+D61*(315.6+3*22.99)/1000+0.1*58.44/1000)</f>
        <v>0.70639694042110623</v>
      </c>
      <c r="DN61">
        <f>(BS61+BT61)/1000*('Oxidant Feed Composition'!$B$11*'Oxidant Feed Composition'!$O$20+'Oxidant Feed Composition'!$D$11*'Oxidant Feed Composition'!$O$21+'Oxidant Feed Composition'!$F$11*'Oxidant Feed Composition'!$O$27-'Oxidant Feed Composition'!$J$15*18.015)</f>
        <v>2.1506930914982116</v>
      </c>
      <c r="DO61">
        <f>(BU61+BV61)/1000*(0.2*368.34+0.4*58.44)</f>
        <v>1.4892943047894904</v>
      </c>
      <c r="DP61">
        <f>BK61/1000*(B61*195.08+C61*106.42+D61*102.91)</f>
        <v>4.999938342565946E-2</v>
      </c>
      <c r="DQ61">
        <f>SUM(DM61:DO61)-DP61</f>
        <v>4.2963849532831482</v>
      </c>
      <c r="DR61">
        <f>DQ61*60*7200*0.33</f>
        <v>612492.63894004561</v>
      </c>
      <c r="DS61">
        <v>1.2</v>
      </c>
      <c r="DT61">
        <f>BM61/60*(AM61*4+AN61*2+AO61*3)*96485/DV61</f>
        <v>1405.9072864386719</v>
      </c>
      <c r="DU61">
        <f>BN61*BA61*(AP61*4+AQ61*2+AR61*3)*96485/DV61/60</f>
        <v>705.84323552017645</v>
      </c>
      <c r="DV61">
        <v>0.7</v>
      </c>
      <c r="DW61">
        <f>0.499*((BK61/3.78541*15)^(-0.146))*BK61/3.78541*15*300*(1+(A61-2)/9)</f>
        <v>41280.414286181804</v>
      </c>
      <c r="DX61">
        <f>0.248*((BK61/3.78541*15)^(-0.144))*BK61/3.78541*15*300*(1+(A61-2)/3)</f>
        <v>37373.489075065132</v>
      </c>
      <c r="DY61">
        <f>0.105*((BK61/3.78541*15)^(-0.144))*BK61/3.78541*15*300*(1+(A61-2)/3)</f>
        <v>15823.453035813865</v>
      </c>
      <c r="DZ61">
        <f>0.058*((BK61/3.78541*15)^(-0.151))*BK61/3.78541*15*300*(1+(A61-2)/3)</f>
        <v>8382.1245272768647</v>
      </c>
      <c r="EA61">
        <f>0.056*((BK61/3.78541*15)^(-0.144))*BK61/3.78541*15*300*(1+(A61-2)/3)</f>
        <v>8439.174952434063</v>
      </c>
      <c r="EB61">
        <f>DS61*DT61/(3.6*10^6)*3600*7200*0.07</f>
        <v>850.29272683810882</v>
      </c>
      <c r="EC61">
        <f>0.499*((BM61/3.78541*15)^(-0.146))*BM61/3.78541*15*300*(1+(AF61-2)/9)</f>
        <v>51428.277996919023</v>
      </c>
      <c r="ED61">
        <f>0.248*((BM61/3.78541*15)^(-0.144))*BM61/3.78541*15*300*(1+(AF61-2)/3)</f>
        <v>54312.441716486632</v>
      </c>
      <c r="EE61">
        <f>0.105*((BM61/3.78541*15)^(-0.144))*BM61/3.78541*15*300*(1+(AF61-2)/3)</f>
        <v>22995.187017060871</v>
      </c>
      <c r="EF61">
        <f>0.058*((BM61/3.78541*15)^(-0.151))*BM61/3.78541*15*300*(1+(AF61-2)/3)</f>
        <v>12187.971725720628</v>
      </c>
      <c r="EG61">
        <f>0.056*((BM61/3.78541*15)^(-0.144))*BM61/3.78541*15*300*(1+(AF61-2)/3)</f>
        <v>12264.099742432467</v>
      </c>
      <c r="EH61">
        <f>DS61*DU61/(3.6*10^6)*3600*7200*0.07</f>
        <v>426.89398884260271</v>
      </c>
      <c r="EI61">
        <f>SUM(DW61:EH61)</f>
        <v>265763.82079107204</v>
      </c>
      <c r="EJ61">
        <f>EI61+DR61+DL61</f>
        <v>26376124.341274001</v>
      </c>
      <c r="EK61">
        <f>EJ61+DF61</f>
        <v>27221161.706257645</v>
      </c>
      <c r="EL61">
        <f>EK61/(BK61*60*7200)</f>
        <v>0.63011948394114914</v>
      </c>
      <c r="EM61">
        <f>EK61/(BM61*(AM61*195.084/1000+AN61*106.42/1000+AO61*102.911/1000)*60*7200)</f>
        <v>2108.0379317406846</v>
      </c>
      <c r="EN61">
        <f>EK61/(BN61*BA61*(AP61*195.084/1000+AQ61*106.42/1000+AR61*102.911/1000)*60*7200)</f>
        <v>3868.5606515996701</v>
      </c>
    </row>
    <row r="62" spans="1:144">
      <c r="A62">
        <f>'Costing 100 Lmin Feed Orig'!A62</f>
        <v>9</v>
      </c>
      <c r="B62">
        <f>'Costing 100 Lmin Feed Orig'!B62</f>
        <v>1.54143585092054E-3</v>
      </c>
      <c r="C62">
        <f>'Costing 100 Lmin Feed Orig'!C62</f>
        <v>1.54143585092054E-3</v>
      </c>
      <c r="D62">
        <f>'Costing 100 Lmin Feed Orig'!D62</f>
        <v>3.4254130020456501E-4</v>
      </c>
      <c r="E62">
        <f>'Costing 100 Lmin Feed Orig'!E62</f>
        <v>0</v>
      </c>
      <c r="F62">
        <f>'Costing 100 Lmin Feed Orig'!F62</f>
        <v>0</v>
      </c>
      <c r="G62">
        <f>'Costing 100 Lmin Feed Orig'!G62</f>
        <v>0</v>
      </c>
      <c r="H62">
        <f>'Costing 100 Lmin Feed Orig'!H62</f>
        <v>1.7768596981705501E-5</v>
      </c>
      <c r="I62">
        <f>'Costing 100 Lmin Feed Orig'!I62</f>
        <v>1.5331283704498101E-9</v>
      </c>
      <c r="J62">
        <f>'Costing 100 Lmin Feed Orig'!J62</f>
        <v>3.3763247208936601E-4</v>
      </c>
      <c r="K62">
        <f>'Costing 100 Lmin Feed Orig'!K62</f>
        <v>0.13890601070001499</v>
      </c>
      <c r="L62">
        <f>'Costing 100 Lmin Feed Orig'!L62</f>
        <v>0.14052575540227799</v>
      </c>
      <c r="M62">
        <f>'Costing 100 Lmin Feed Orig'!M62</f>
        <v>4.4751616793740602E-4</v>
      </c>
      <c r="N62">
        <f>'Costing 100 Lmin Feed Orig'!N62</f>
        <v>-5.0090140368830299E-17</v>
      </c>
      <c r="O62">
        <f>'Costing 100 Lmin Feed Orig'!O62</f>
        <v>-6.2343793322261397E-15</v>
      </c>
      <c r="P62">
        <f>'Costing 100 Lmin Feed Orig'!P62</f>
        <v>1.7787691892340301E-20</v>
      </c>
      <c r="Q62">
        <f>'Costing 100 Lmin Feed Orig'!Q62</f>
        <v>0.10969051996097</v>
      </c>
      <c r="R62">
        <f>'Costing 100 Lmin Feed Orig'!R62</f>
        <v>98.566938318892298</v>
      </c>
      <c r="S62">
        <f>'Costing 100 Lmin Feed Orig'!S62</f>
        <v>500</v>
      </c>
      <c r="T62">
        <f>'Costing 100 Lmin Feed Orig'!T62</f>
        <v>95</v>
      </c>
      <c r="U62">
        <f>'Costing 100 Lmin Feed Orig'!U62</f>
        <v>1</v>
      </c>
      <c r="V62">
        <f>'Costing 100 Lmin Feed Orig'!V62</f>
        <v>0.1</v>
      </c>
      <c r="W62">
        <f>'Costing 100 Lmin Feed Orig'!W62</f>
        <v>91.165581160141301</v>
      </c>
      <c r="X62" t="str">
        <f>'Costing 100 Lmin Feed Orig'!X62</f>
        <v>ddFc</v>
      </c>
      <c r="Y62">
        <f>'Costing 100 Lmin Feed Orig'!Y62</f>
        <v>1</v>
      </c>
      <c r="Z62">
        <f>'Costing 100 Lmin Feed Orig'!Z62</f>
        <v>0.28318429382522198</v>
      </c>
      <c r="AA62">
        <f>'Costing 100 Lmin Feed Orig'!AA62</f>
        <v>0.56945642916197003</v>
      </c>
      <c r="AB62">
        <f>'Costing 100 Lmin Feed Orig'!AB62</f>
        <v>3.7698628972227502E-3</v>
      </c>
      <c r="AC62">
        <f>'Costing 100 Lmin Feed Orig'!AC62</f>
        <v>1822.2107908876901</v>
      </c>
      <c r="AD62">
        <f>'Costing 100 Lmin Feed Orig'!AD62</f>
        <v>2662.6059073104898</v>
      </c>
      <c r="AE62">
        <f>'Costing 100 Lmin Feed Orig'!AE62</f>
        <v>2401.5030938442701</v>
      </c>
      <c r="AF62">
        <f>'Costing 100 Lmin Feed Orig'!AF62</f>
        <v>4</v>
      </c>
      <c r="AG62">
        <f>'Costing 100 Lmin Feed Orig'!AG62</f>
        <v>1.6497485970141401E-3</v>
      </c>
      <c r="AH62">
        <f>'Costing 100 Lmin Feed Orig'!AH62</f>
        <v>1.6689858606617799E-3</v>
      </c>
      <c r="AI62">
        <f>'Costing 100 Lmin Feed Orig'!AI62</f>
        <v>5.3150268046377499E-6</v>
      </c>
      <c r="AJ62">
        <f>'Costing 100 Lmin Feed Orig'!AJ62</f>
        <v>0</v>
      </c>
      <c r="AK62">
        <f>'Costing 100 Lmin Feed Orig'!AK62</f>
        <v>0</v>
      </c>
      <c r="AL62">
        <f>'Costing 100 Lmin Feed Orig'!AL62</f>
        <v>0</v>
      </c>
      <c r="AM62">
        <f>'Costing 100 Lmin Feed Orig'!AM62</f>
        <v>1.6048321319618701E-3</v>
      </c>
      <c r="AN62">
        <f>'Costing 100 Lmin Feed Orig'!AN62</f>
        <v>7.9192002642469804E-5</v>
      </c>
      <c r="AO62">
        <f>'Costing 100 Lmin Feed Orig'!AO62</f>
        <v>5.2728464102818699E-6</v>
      </c>
      <c r="AP62">
        <f>'Costing 100 Lmin Feed Orig'!AP62</f>
        <v>1.9874961185591101E-3</v>
      </c>
      <c r="AQ62">
        <f>'Costing 100 Lmin Feed Orig'!AQ62</f>
        <v>7.0346344441502298E-2</v>
      </c>
      <c r="AR62">
        <f>'Costing 100 Lmin Feed Orig'!AR62</f>
        <v>1.86642849011818E-6</v>
      </c>
      <c r="AS62">
        <f>'Costing 100 Lmin Feed Orig'!AS62</f>
        <v>-9.5194915860664904E-15</v>
      </c>
      <c r="AT62">
        <f>'Costing 100 Lmin Feed Orig'!AT62</f>
        <v>-1.2276442883096799E-13</v>
      </c>
      <c r="AU62">
        <f>'Costing 100 Lmin Feed Orig'!AU62</f>
        <v>-3.0580668722738401E-18</v>
      </c>
      <c r="AV62">
        <f>'Costing 100 Lmin Feed Orig'!AV62</f>
        <v>0.20872364334642199</v>
      </c>
      <c r="AW62">
        <f>'Costing 100 Lmin Feed Orig'!AW62</f>
        <v>99.206393572294303</v>
      </c>
      <c r="AX62">
        <f>'Costing 100 Lmin Feed Orig'!AX62</f>
        <v>500</v>
      </c>
      <c r="AY62">
        <f>'Costing 100 Lmin Feed Orig'!AY62</f>
        <v>95</v>
      </c>
      <c r="AZ62">
        <f>'Costing 100 Lmin Feed Orig'!AZ62</f>
        <v>0.92357542033771201</v>
      </c>
      <c r="BA62">
        <f>'Costing 100 Lmin Feed Orig'!BA62</f>
        <v>0.1</v>
      </c>
      <c r="BB62">
        <f>'Costing 100 Lmin Feed Orig'!BB62</f>
        <v>44.248720726134401</v>
      </c>
      <c r="BC62" t="str">
        <f>'Costing 100 Lmin Feed Orig'!BC62</f>
        <v>coeFc</v>
      </c>
      <c r="BD62">
        <f>'Costing 100 Lmin Feed Orig'!BD62</f>
        <v>1</v>
      </c>
      <c r="BE62">
        <f>'Costing 100 Lmin Feed Orig'!BE62</f>
        <v>1.8775014999999999E-2</v>
      </c>
      <c r="BF62">
        <f>'Costing 100 Lmin Feed Orig'!BF62</f>
        <v>0.10492961100000001</v>
      </c>
      <c r="BG62">
        <f>'Costing 100 Lmin Feed Orig'!BG62</f>
        <v>1.814625E-3</v>
      </c>
      <c r="BH62">
        <f>'Costing 100 Lmin Feed Orig'!BH62</f>
        <v>285.1951444</v>
      </c>
      <c r="BI62">
        <f>'Costing 100 Lmin Feed Orig'!BI62</f>
        <v>2169.8944889999998</v>
      </c>
      <c r="BJ62">
        <f>'Costing 100 Lmin Feed Orig'!BJ62</f>
        <v>866.49409060000005</v>
      </c>
      <c r="BK62">
        <f>'Costing 100 Lmin Feed Orig'!BK62</f>
        <v>100</v>
      </c>
      <c r="BL62">
        <f>'Costing 100 Lmin Feed Orig'!BL62</f>
        <v>10.969051996096999</v>
      </c>
      <c r="BM62">
        <f>'Costing 100 Lmin Feed Orig'!BM62</f>
        <v>92.357542033771196</v>
      </c>
      <c r="BN62">
        <f>'Costing 100 Lmin Feed Orig'!BN62</f>
        <v>20.872364334642199</v>
      </c>
      <c r="BO62">
        <f t="shared" si="1"/>
        <v>241.31914391413397</v>
      </c>
      <c r="BP62">
        <f t="shared" si="2"/>
        <v>250.46837201570639</v>
      </c>
      <c r="BQ62">
        <f t="shared" si="3"/>
        <v>24.1319143914134</v>
      </c>
      <c r="BR62">
        <f t="shared" si="4"/>
        <v>25.046837201570639</v>
      </c>
      <c r="BS62">
        <f>1.2*0.5*BL62*V62/'Oxidant Feed Composition'!$N$22</f>
        <v>6.5814311976581994</v>
      </c>
      <c r="BT62">
        <f>1.2*0.5*BN62*BA62/'Oxidant Feed Composition'!$N$22</f>
        <v>12.52341860078532</v>
      </c>
      <c r="BU62">
        <f t="shared" si="5"/>
        <v>5.4845259980484995</v>
      </c>
      <c r="BV62">
        <f t="shared" si="6"/>
        <v>10.4361821673211</v>
      </c>
      <c r="BW62">
        <f t="shared" si="7"/>
        <v>86.873016035722699</v>
      </c>
      <c r="BX62">
        <f t="shared" si="20"/>
        <v>35.100966387510397</v>
      </c>
      <c r="BY62">
        <f t="shared" si="8"/>
        <v>206.65318805973638</v>
      </c>
      <c r="BZ62">
        <f t="shared" si="9"/>
        <v>66.791565870855038</v>
      </c>
      <c r="CA62">
        <f t="shared" si="10"/>
        <v>62.617093003926598</v>
      </c>
      <c r="CB62">
        <f>BO62*'Reagent cost'!$G$11*'Reagent cost'!$H$11</f>
        <v>3185.4126996665682</v>
      </c>
      <c r="CC62">
        <f>BP62*'Reagent cost'!$G$11*'Reagent cost'!$H$11</f>
        <v>3306.1825106073247</v>
      </c>
      <c r="CD62">
        <f>BQ62*'Reagent cost'!$C$18/1000*'Reagent cost'!$H$18</f>
        <v>3848.5686313477631</v>
      </c>
      <c r="CE62">
        <f>BR62*'Ligand cost'!$B$56*'Ligand cost'!$J$56</f>
        <v>25500.8795521994</v>
      </c>
      <c r="CF62">
        <f t="shared" si="11"/>
        <v>10</v>
      </c>
      <c r="CG62">
        <f t="shared" si="12"/>
        <v>2.1938103992193998</v>
      </c>
      <c r="CH62">
        <f t="shared" si="13"/>
        <v>4.1744728669284399</v>
      </c>
      <c r="CI62">
        <f>7963.6*(BX62/1000)^0.6*1.7*('CAPEX+OPEX'!$G$116/'CAPEX+OPEX'!$G$115)</f>
        <v>2140.0916471558648</v>
      </c>
      <c r="CJ62">
        <f>7963.6*(BY62/1000)^0.6*1.7*('CAPEX+OPEX'!$G$116/'CAPEX+OPEX'!$G$115)</f>
        <v>6199.9215410229135</v>
      </c>
      <c r="CK62">
        <f>7963.6*(BZ62/1000)^0.6*1.7*('CAPEX+OPEX'!$G$116/'CAPEX+OPEX'!$G$115)</f>
        <v>3148.2840056223422</v>
      </c>
      <c r="CL62">
        <f>7963.6*(CA62/1000)^0.6*1.7*('CAPEX+OPEX'!$G$116/'CAPEX+OPEX'!$G$115)</f>
        <v>3028.7028683245958</v>
      </c>
      <c r="CM62">
        <f>'Costing 100 Lmin Feed Orig'!DE62</f>
        <v>39625.826528698344</v>
      </c>
      <c r="CN62">
        <f>'Costing 100 Lmin Feed Orig'!DF62</f>
        <v>4586243.4239371875</v>
      </c>
      <c r="CO62">
        <f>'Costing 100 Lmin Feed Orig'!DG62</f>
        <v>11794834.586807497</v>
      </c>
      <c r="CP62">
        <f>'Costing 100 Lmin Feed Orig'!DH62</f>
        <v>2275209.1661185985</v>
      </c>
      <c r="CQ62">
        <f>'Costing 100 Lmin Feed Orig'!DI62</f>
        <v>14083914.336508472</v>
      </c>
      <c r="CR62">
        <f>'Costing 100 Lmin Feed Orig'!DJ62</f>
        <v>1662824.8986326549</v>
      </c>
      <c r="CS62">
        <f>CN62*(BK62/10000)^0.72*((A62+1)/3)^0.6*('CAPEX+OPEX'!$G$116/'CAPEX+OPEX'!$G$114)</f>
        <v>800322.53402245743</v>
      </c>
      <c r="CT62">
        <f>CO62*(BK62/10000)^0.72*((A62+1)/3)^0.6*('CAPEX+OPEX'!$G$116/'CAPEX+OPEX'!$G$114)</f>
        <v>2058257.9318883498</v>
      </c>
      <c r="CU62">
        <f>CP62*(BK62/10000)^0.72*((A62+1)/3)^0.6*('CAPEX+OPEX'!$G$116/'CAPEX+OPEX'!$G$114)</f>
        <v>397035.437708179</v>
      </c>
      <c r="CV62">
        <f>CQ62*(BK62/10000)^0.72*((A62+1)/3)^0.6*('CAPEX+OPEX'!$G$116/'CAPEX+OPEX'!$G$114)</f>
        <v>2457713.856163613</v>
      </c>
      <c r="CW62">
        <f>CR62*(BK62/10000)^0.72*((A62+1)/3)^0.6*('CAPEX+OPEX'!$G$116/'CAPEX+OPEX'!$G$114)</f>
        <v>290171.30437591631</v>
      </c>
      <c r="CX62">
        <f t="shared" si="14"/>
        <v>6003501.064158516</v>
      </c>
      <c r="CY62">
        <f>CN62*(BM62/10000)^0.72*((AF62+1)/3)^0.6*('CAPEX+OPEX'!$G$116/'CAPEX+OPEX'!$G$114)</f>
        <v>498640.04312959599</v>
      </c>
      <c r="CZ62">
        <f>CO62*(BM62/10000)^0.72*((AF62+1)/3)^0.6*('CAPEX+OPEX'!$G$116/'CAPEX+OPEX'!$G$114)</f>
        <v>1282395.2597839017</v>
      </c>
      <c r="DA62">
        <f>CP62*(BM62/10000)^0.72*((AF62+1)/3)^0.6*('CAPEX+OPEX'!$G$116/'CAPEX+OPEX'!$G$114)</f>
        <v>247372.47717834351</v>
      </c>
      <c r="DB62">
        <f>CQ62*(BM62/10000)^0.72*((AF62+1)/3)^0.6*('CAPEX+OPEX'!$G$116/'CAPEX+OPEX'!$G$114)</f>
        <v>1531275.8183605524</v>
      </c>
      <c r="DC62">
        <f>CR62*(BM62/10000)^0.72*((AF62+1)/3)^0.6*('CAPEX+OPEX'!$G$116/'CAPEX+OPEX'!$G$114)</f>
        <v>180790.90064071334</v>
      </c>
      <c r="DD62">
        <f t="shared" si="15"/>
        <v>3740474.4990931074</v>
      </c>
      <c r="DE62">
        <f>CX62+DD62+1.15*(SUM(CI62:CL62)+SUM(CB62:CE62))</f>
        <v>9801887.3132259622</v>
      </c>
      <c r="DF62">
        <f t="shared" si="16"/>
        <v>653459.15421506413</v>
      </c>
      <c r="DG62">
        <f>(BS62+BT62)*'Oxidant Feed Composition'!$N$25*60*7200</f>
        <v>15386151.932922944</v>
      </c>
      <c r="DH62">
        <f>((CG62+CH62)*'Reagent cost'!$C$17/1000*'Reagent cost'!$H$17+(CG62+CH62)*0.5*'Reagent cost'!$C$16/1000*'Reagent cost'!$H$16)*60*7200</f>
        <v>6131730.582182141</v>
      </c>
      <c r="DI62">
        <f>CF62*'Reagent cost'!$C$17/1000*'Reagent cost'!$H$17*60*7200</f>
        <v>504921.59999999998</v>
      </c>
      <c r="DJ62">
        <f t="shared" si="17"/>
        <v>64.915952102738927</v>
      </c>
      <c r="DK62">
        <f t="shared" si="18"/>
        <v>586.98896367094324</v>
      </c>
      <c r="DL62">
        <f t="shared" si="19"/>
        <v>26428147.22402503</v>
      </c>
      <c r="DM62">
        <f>BK62*(B62*(409.81+2)/1000+C62*(248.2+2*22.99)/1000+D62*(315.6+3*22.99)/1000+0.1*58.44/1000)</f>
        <v>0.70639694042110623</v>
      </c>
      <c r="DN62">
        <f>(BS62+BT62)/1000*('Oxidant Feed Composition'!$B$11*'Oxidant Feed Composition'!$O$20+'Oxidant Feed Composition'!$D$11*'Oxidant Feed Composition'!$O$21+'Oxidant Feed Composition'!$F$11*'Oxidant Feed Composition'!$O$27-'Oxidant Feed Composition'!$J$15*18.015)</f>
        <v>2.2311510954803184</v>
      </c>
      <c r="DO62">
        <f>(BU62+BV62)/1000*(0.2*368.34+0.4*58.44)</f>
        <v>1.5450092032001272</v>
      </c>
      <c r="DP62">
        <f>BK62/1000*(B62*195.08+C62*106.42+D62*102.91)</f>
        <v>4.999938342565946E-2</v>
      </c>
      <c r="DQ62">
        <f>SUM(DM62:DO62)-DP62</f>
        <v>4.432557855675892</v>
      </c>
      <c r="DR62">
        <f>DQ62*60*7200*0.33</f>
        <v>631905.44790515513</v>
      </c>
      <c r="DS62">
        <v>1.2</v>
      </c>
      <c r="DT62">
        <f>BM62/60*(AM62*4+AN62*2+AO62*3)*96485/DV62</f>
        <v>1398.9459464463214</v>
      </c>
      <c r="DU62">
        <f>BN62*BA62*(AP62*4+AQ62*2+AR62*3)*96485/DV62/60</f>
        <v>712.75787536363475</v>
      </c>
      <c r="DV62">
        <v>0.7</v>
      </c>
      <c r="DW62">
        <f>0.499*((BK62/3.78541*15)^(-0.146))*BK62/3.78541*15*300*(1+(A62-2)/9)</f>
        <v>44032.441905260595</v>
      </c>
      <c r="DX62">
        <f>0.248*((BK62/3.78541*15)^(-0.144))*BK62/3.78541*15*300*(1+(A62-2)/3)</f>
        <v>41526.098972294596</v>
      </c>
      <c r="DY62">
        <f>0.105*((BK62/3.78541*15)^(-0.144))*BK62/3.78541*15*300*(1+(A62-2)/3)</f>
        <v>17581.614484237631</v>
      </c>
      <c r="DZ62">
        <f>0.058*((BK62/3.78541*15)^(-0.151))*BK62/3.78541*15*300*(1+(A62-2)/3)</f>
        <v>9313.4716969742931</v>
      </c>
      <c r="EA62">
        <f>0.056*((BK62/3.78541*15)^(-0.144))*BK62/3.78541*15*300*(1+(A62-2)/3)</f>
        <v>9376.8610582600722</v>
      </c>
      <c r="EB62">
        <f>DS62*DT62/(3.6*10^6)*3600*7200*0.07</f>
        <v>846.08250841073527</v>
      </c>
      <c r="EC62">
        <f>0.499*((BM62/3.78541*15)^(-0.146))*BM62/3.78541*15*300*(1+(AF62-2)/9)</f>
        <v>28285.175261081924</v>
      </c>
      <c r="ED62">
        <f>0.248*((BM62/3.78541*15)^(-0.144))*BM62/3.78541*15*300*(1+(AF62-2)/3)</f>
        <v>19397.041035374452</v>
      </c>
      <c r="EE62">
        <f>0.105*((BM62/3.78541*15)^(-0.144))*BM62/3.78541*15*300*(1+(AF62-2)/3)</f>
        <v>8212.4568899770857</v>
      </c>
      <c r="EF62">
        <f>0.058*((BM62/3.78541*15)^(-0.151))*BM62/3.78541*15*300*(1+(AF62-2)/3)</f>
        <v>4352.7892707765368</v>
      </c>
      <c r="EG62">
        <f>0.056*((BM62/3.78541*15)^(-0.144))*BM62/3.78541*15*300*(1+(AF62-2)/3)</f>
        <v>4379.977007987779</v>
      </c>
      <c r="EH62">
        <f>DS62*DU62/(3.6*10^6)*3600*7200*0.07</f>
        <v>431.07596301992629</v>
      </c>
      <c r="EI62">
        <f>SUM(DW62:EH62)</f>
        <v>187735.08605365563</v>
      </c>
      <c r="EJ62">
        <f>EI62+DR62+DL62</f>
        <v>27247787.757983841</v>
      </c>
      <c r="EK62">
        <f>EJ62+DF62</f>
        <v>27901246.912198905</v>
      </c>
      <c r="EL62">
        <f>EK62/(BK62*60*7200)</f>
        <v>0.64586219704164127</v>
      </c>
      <c r="EM62">
        <f>EK62/(BM62*(AM62*195.084/1000+AN62*106.42/1000+AO62*102.911/1000)*60*7200)</f>
        <v>2171.439891646356</v>
      </c>
      <c r="EN62">
        <f>EK62/(BN62*BA62*(AP62*195.084/1000+AQ62*106.42/1000+AR62*102.911/1000)*60*7200)</f>
        <v>3929.7321469818826</v>
      </c>
    </row>
    <row r="63" spans="1:144">
      <c r="A63">
        <f>'Costing 100 Lmin Feed Orig'!A63</f>
        <v>9</v>
      </c>
      <c r="B63">
        <f>'Costing 100 Lmin Feed Orig'!B63</f>
        <v>1.54143585092054E-3</v>
      </c>
      <c r="C63">
        <f>'Costing 100 Lmin Feed Orig'!C63</f>
        <v>1.54143585092054E-3</v>
      </c>
      <c r="D63">
        <f>'Costing 100 Lmin Feed Orig'!D63</f>
        <v>3.4254130020456501E-4</v>
      </c>
      <c r="E63">
        <f>'Costing 100 Lmin Feed Orig'!E63</f>
        <v>0</v>
      </c>
      <c r="F63">
        <f>'Costing 100 Lmin Feed Orig'!F63</f>
        <v>0</v>
      </c>
      <c r="G63">
        <f>'Costing 100 Lmin Feed Orig'!G63</f>
        <v>0</v>
      </c>
      <c r="H63">
        <f>'Costing 100 Lmin Feed Orig'!H63</f>
        <v>1.7768596981705501E-5</v>
      </c>
      <c r="I63">
        <f>'Costing 100 Lmin Feed Orig'!I63</f>
        <v>1.5331283704498101E-9</v>
      </c>
      <c r="J63">
        <f>'Costing 100 Lmin Feed Orig'!J63</f>
        <v>3.3763247208936601E-4</v>
      </c>
      <c r="K63">
        <f>'Costing 100 Lmin Feed Orig'!K63</f>
        <v>0.13890601070001499</v>
      </c>
      <c r="L63">
        <f>'Costing 100 Lmin Feed Orig'!L63</f>
        <v>0.14052575540227799</v>
      </c>
      <c r="M63">
        <f>'Costing 100 Lmin Feed Orig'!M63</f>
        <v>4.4751616793740602E-4</v>
      </c>
      <c r="N63">
        <f>'Costing 100 Lmin Feed Orig'!N63</f>
        <v>-5.0090140368830299E-17</v>
      </c>
      <c r="O63">
        <f>'Costing 100 Lmin Feed Orig'!O63</f>
        <v>-6.2343793322261397E-15</v>
      </c>
      <c r="P63">
        <f>'Costing 100 Lmin Feed Orig'!P63</f>
        <v>1.7787691892340301E-20</v>
      </c>
      <c r="Q63">
        <f>'Costing 100 Lmin Feed Orig'!Q63</f>
        <v>0.10969051996097</v>
      </c>
      <c r="R63">
        <f>'Costing 100 Lmin Feed Orig'!R63</f>
        <v>98.566938318892298</v>
      </c>
      <c r="S63">
        <f>'Costing 100 Lmin Feed Orig'!S63</f>
        <v>500</v>
      </c>
      <c r="T63">
        <f>'Costing 100 Lmin Feed Orig'!T63</f>
        <v>95</v>
      </c>
      <c r="U63">
        <f>'Costing 100 Lmin Feed Orig'!U63</f>
        <v>1</v>
      </c>
      <c r="V63">
        <f>'Costing 100 Lmin Feed Orig'!V63</f>
        <v>0.1</v>
      </c>
      <c r="W63">
        <f>'Costing 100 Lmin Feed Orig'!W63</f>
        <v>91.165581160141301</v>
      </c>
      <c r="X63" t="str">
        <f>'Costing 100 Lmin Feed Orig'!X63</f>
        <v>ddFc</v>
      </c>
      <c r="Y63">
        <f>'Costing 100 Lmin Feed Orig'!Y63</f>
        <v>1</v>
      </c>
      <c r="Z63">
        <f>'Costing 100 Lmin Feed Orig'!Z63</f>
        <v>0.28318429382522198</v>
      </c>
      <c r="AA63">
        <f>'Costing 100 Lmin Feed Orig'!AA63</f>
        <v>0.56945642916197003</v>
      </c>
      <c r="AB63">
        <f>'Costing 100 Lmin Feed Orig'!AB63</f>
        <v>3.7698628972227502E-3</v>
      </c>
      <c r="AC63">
        <f>'Costing 100 Lmin Feed Orig'!AC63</f>
        <v>1822.2107908876901</v>
      </c>
      <c r="AD63">
        <f>'Costing 100 Lmin Feed Orig'!AD63</f>
        <v>2662.6059073104898</v>
      </c>
      <c r="AE63">
        <f>'Costing 100 Lmin Feed Orig'!AE63</f>
        <v>2401.5030938442701</v>
      </c>
      <c r="AF63">
        <f>'Costing 100 Lmin Feed Orig'!AF63</f>
        <v>5</v>
      </c>
      <c r="AG63">
        <f>'Costing 100 Lmin Feed Orig'!AG63</f>
        <v>1.6497485970141401E-3</v>
      </c>
      <c r="AH63">
        <f>'Costing 100 Lmin Feed Orig'!AH63</f>
        <v>1.6689858606617799E-3</v>
      </c>
      <c r="AI63">
        <f>'Costing 100 Lmin Feed Orig'!AI63</f>
        <v>5.3150268046377499E-6</v>
      </c>
      <c r="AJ63">
        <f>'Costing 100 Lmin Feed Orig'!AJ63</f>
        <v>0</v>
      </c>
      <c r="AK63">
        <f>'Costing 100 Lmin Feed Orig'!AK63</f>
        <v>0</v>
      </c>
      <c r="AL63">
        <f>'Costing 100 Lmin Feed Orig'!AL63</f>
        <v>0</v>
      </c>
      <c r="AM63">
        <f>'Costing 100 Lmin Feed Orig'!AM63</f>
        <v>1.6104360946851499E-3</v>
      </c>
      <c r="AN63">
        <f>'Costing 100 Lmin Feed Orig'!AN63</f>
        <v>7.9481866578997695E-5</v>
      </c>
      <c r="AO63">
        <f>'Costing 100 Lmin Feed Orig'!AO63</f>
        <v>5.2779279086813702E-6</v>
      </c>
      <c r="AP63">
        <f>'Costing 100 Lmin Feed Orig'!AP63</f>
        <v>1.8118422491867001E-3</v>
      </c>
      <c r="AQ63">
        <f>'Costing 100 Lmin Feed Orig'!AQ63</f>
        <v>7.32573690584577E-2</v>
      </c>
      <c r="AR63">
        <f>'Costing 100 Lmin Feed Orig'!AR63</f>
        <v>1.7098211283888001E-6</v>
      </c>
      <c r="AS63">
        <f>'Costing 100 Lmin Feed Orig'!AS63</f>
        <v>-4.5211230592645498E-17</v>
      </c>
      <c r="AT63">
        <f>'Costing 100 Lmin Feed Orig'!AT63</f>
        <v>1.8735013540549499E-16</v>
      </c>
      <c r="AU63">
        <f>'Costing 100 Lmin Feed Orig'!AU63</f>
        <v>-3.54430348866721E-20</v>
      </c>
      <c r="AV63">
        <f>'Costing 100 Lmin Feed Orig'!AV63</f>
        <v>0.20039305783583899</v>
      </c>
      <c r="AW63">
        <f>'Costing 100 Lmin Feed Orig'!AW63</f>
        <v>99.301999833302602</v>
      </c>
      <c r="AX63">
        <f>'Costing 100 Lmin Feed Orig'!AX63</f>
        <v>500</v>
      </c>
      <c r="AY63">
        <f>'Costing 100 Lmin Feed Orig'!AY63</f>
        <v>95</v>
      </c>
      <c r="AZ63">
        <f>'Costing 100 Lmin Feed Orig'!AZ63</f>
        <v>0.92357542033771201</v>
      </c>
      <c r="BA63">
        <f>'Costing 100 Lmin Feed Orig'!BA63</f>
        <v>0.1</v>
      </c>
      <c r="BB63">
        <f>'Costing 100 Lmin Feed Orig'!BB63</f>
        <v>46.088194387167597</v>
      </c>
      <c r="BC63" t="str">
        <f>'Costing 100 Lmin Feed Orig'!BC63</f>
        <v>coeFc</v>
      </c>
      <c r="BD63">
        <f>'Costing 100 Lmin Feed Orig'!BD63</f>
        <v>1</v>
      </c>
      <c r="BE63">
        <f>'Costing 100 Lmin Feed Orig'!BE63</f>
        <v>1.8775014999999999E-2</v>
      </c>
      <c r="BF63">
        <f>'Costing 100 Lmin Feed Orig'!BF63</f>
        <v>0.10492961100000001</v>
      </c>
      <c r="BG63">
        <f>'Costing 100 Lmin Feed Orig'!BG63</f>
        <v>1.814625E-3</v>
      </c>
      <c r="BH63">
        <f>'Costing 100 Lmin Feed Orig'!BH63</f>
        <v>285.1951444</v>
      </c>
      <c r="BI63">
        <f>'Costing 100 Lmin Feed Orig'!BI63</f>
        <v>2169.8944889999998</v>
      </c>
      <c r="BJ63">
        <f>'Costing 100 Lmin Feed Orig'!BJ63</f>
        <v>866.49409060000005</v>
      </c>
      <c r="BK63">
        <f>'Costing 100 Lmin Feed Orig'!BK63</f>
        <v>100</v>
      </c>
      <c r="BL63">
        <f>'Costing 100 Lmin Feed Orig'!BL63</f>
        <v>10.969051996096999</v>
      </c>
      <c r="BM63">
        <f>'Costing 100 Lmin Feed Orig'!BM63</f>
        <v>92.357542033771196</v>
      </c>
      <c r="BN63">
        <f>'Costing 100 Lmin Feed Orig'!BN63</f>
        <v>20.039305783583899</v>
      </c>
      <c r="BO63">
        <f t="shared" si="1"/>
        <v>241.31914391413397</v>
      </c>
      <c r="BP63">
        <f t="shared" si="2"/>
        <v>280.55028097017458</v>
      </c>
      <c r="BQ63">
        <f t="shared" si="3"/>
        <v>24.1319143914134</v>
      </c>
      <c r="BR63">
        <f t="shared" si="4"/>
        <v>28.055028097017459</v>
      </c>
      <c r="BS63">
        <f>1.2*0.5*BL63*V63/'Oxidant Feed Composition'!$N$22</f>
        <v>6.5814311976581994</v>
      </c>
      <c r="BT63">
        <f>1.2*0.5*BN63*BA63/'Oxidant Feed Composition'!$N$22</f>
        <v>12.023583470150339</v>
      </c>
      <c r="BU63">
        <f t="shared" si="5"/>
        <v>5.4845259980484995</v>
      </c>
      <c r="BV63">
        <f t="shared" si="6"/>
        <v>10.019652891791949</v>
      </c>
      <c r="BW63">
        <f t="shared" si="7"/>
        <v>86.873016035722699</v>
      </c>
      <c r="BX63">
        <f t="shared" si="20"/>
        <v>35.100966387510397</v>
      </c>
      <c r="BY63">
        <f t="shared" si="8"/>
        <v>206.65318805973638</v>
      </c>
      <c r="BZ63">
        <f t="shared" si="9"/>
        <v>64.125778507468482</v>
      </c>
      <c r="CA63">
        <f t="shared" si="10"/>
        <v>60.117917350751696</v>
      </c>
      <c r="CB63">
        <f>BO63*'Reagent cost'!$G$11*'Reagent cost'!$H$11</f>
        <v>3185.4126996665682</v>
      </c>
      <c r="CC63">
        <f>BP63*'Reagent cost'!$G$11*'Reagent cost'!$H$11</f>
        <v>3703.2637088063047</v>
      </c>
      <c r="CD63">
        <f>BQ63*'Reagent cost'!$C$18/1000*'Reagent cost'!$H$18</f>
        <v>3848.5686313477631</v>
      </c>
      <c r="CE63">
        <f>BR63*'Ligand cost'!$B$56*'Ligand cost'!$J$56</f>
        <v>28563.602125810481</v>
      </c>
      <c r="CF63">
        <f t="shared" si="11"/>
        <v>10</v>
      </c>
      <c r="CG63">
        <f t="shared" si="12"/>
        <v>2.1938103992193998</v>
      </c>
      <c r="CH63">
        <f t="shared" si="13"/>
        <v>4.0078611567167801</v>
      </c>
      <c r="CI63">
        <f>7963.6*(BX63/1000)^0.6*1.7*('CAPEX+OPEX'!$G$116/'CAPEX+OPEX'!$G$115)</f>
        <v>2140.0916471558648</v>
      </c>
      <c r="CJ63">
        <f>7963.6*(BY63/1000)^0.6*1.7*('CAPEX+OPEX'!$G$116/'CAPEX+OPEX'!$G$115)</f>
        <v>6199.9215410229135</v>
      </c>
      <c r="CK63">
        <f>7963.6*(BZ63/1000)^0.6*1.7*('CAPEX+OPEX'!$G$116/'CAPEX+OPEX'!$G$115)</f>
        <v>3072.2780514246729</v>
      </c>
      <c r="CL63">
        <f>7963.6*(CA63/1000)^0.6*1.7*('CAPEX+OPEX'!$G$116/'CAPEX+OPEX'!$G$115)</f>
        <v>2955.583845048066</v>
      </c>
      <c r="CM63">
        <f>'Costing 100 Lmin Feed Orig'!DE63</f>
        <v>39625.826528698344</v>
      </c>
      <c r="CN63">
        <f>'Costing 100 Lmin Feed Orig'!DF63</f>
        <v>4586243.4239371875</v>
      </c>
      <c r="CO63">
        <f>'Costing 100 Lmin Feed Orig'!DG63</f>
        <v>11794834.586807497</v>
      </c>
      <c r="CP63">
        <f>'Costing 100 Lmin Feed Orig'!DH63</f>
        <v>2275209.1661185985</v>
      </c>
      <c r="CQ63">
        <f>'Costing 100 Lmin Feed Orig'!DI63</f>
        <v>14083914.336508472</v>
      </c>
      <c r="CR63">
        <f>'Costing 100 Lmin Feed Orig'!DJ63</f>
        <v>1662824.8986326549</v>
      </c>
      <c r="CS63">
        <f>CN63*(BK63/10000)^0.72*((A63+1)/3)^0.6*('CAPEX+OPEX'!$G$116/'CAPEX+OPEX'!$G$114)</f>
        <v>800322.53402245743</v>
      </c>
      <c r="CT63">
        <f>CO63*(BK63/10000)^0.72*((A63+1)/3)^0.6*('CAPEX+OPEX'!$G$116/'CAPEX+OPEX'!$G$114)</f>
        <v>2058257.9318883498</v>
      </c>
      <c r="CU63">
        <f>CP63*(BK63/10000)^0.72*((A63+1)/3)^0.6*('CAPEX+OPEX'!$G$116/'CAPEX+OPEX'!$G$114)</f>
        <v>397035.437708179</v>
      </c>
      <c r="CV63">
        <f>CQ63*(BK63/10000)^0.72*((A63+1)/3)^0.6*('CAPEX+OPEX'!$G$116/'CAPEX+OPEX'!$G$114)</f>
        <v>2457713.856163613</v>
      </c>
      <c r="CW63">
        <f>CR63*(BK63/10000)^0.72*((A63+1)/3)^0.6*('CAPEX+OPEX'!$G$116/'CAPEX+OPEX'!$G$114)</f>
        <v>290171.30437591631</v>
      </c>
      <c r="CX63">
        <f t="shared" si="14"/>
        <v>6003501.064158516</v>
      </c>
      <c r="CY63">
        <f>CN63*(BM63/10000)^0.72*((AF63+1)/3)^0.6*('CAPEX+OPEX'!$G$116/'CAPEX+OPEX'!$G$114)</f>
        <v>556283.14213476516</v>
      </c>
      <c r="CZ63">
        <f>CO63*(BM63/10000)^0.72*((AF63+1)/3)^0.6*('CAPEX+OPEX'!$G$116/'CAPEX+OPEX'!$G$114)</f>
        <v>1430640.9491183041</v>
      </c>
      <c r="DA63">
        <f>CP63*(BM63/10000)^0.72*((AF63+1)/3)^0.6*('CAPEX+OPEX'!$G$116/'CAPEX+OPEX'!$G$114)</f>
        <v>275968.88933900755</v>
      </c>
      <c r="DB63">
        <f>CQ63*(BM63/10000)^0.72*((AF63+1)/3)^0.6*('CAPEX+OPEX'!$G$116/'CAPEX+OPEX'!$G$114)</f>
        <v>1708292.2550028826</v>
      </c>
      <c r="DC63">
        <f>CR63*(BM63/10000)^0.72*((AF63+1)/3)^0.6*('CAPEX+OPEX'!$G$116/'CAPEX+OPEX'!$G$114)</f>
        <v>201690.44115787523</v>
      </c>
      <c r="DD63">
        <f t="shared" si="15"/>
        <v>4172875.6767528341</v>
      </c>
      <c r="DE63">
        <f>CX63+DD63+1.15*(SUM(CI63:CL63)+SUM(CB63:CE63))</f>
        <v>10238095.771499176</v>
      </c>
      <c r="DF63">
        <f t="shared" si="16"/>
        <v>682539.71809994499</v>
      </c>
      <c r="DG63">
        <f>(BS63+BT63)*'Oxidant Feed Composition'!$N$25*60*7200</f>
        <v>14983608.110673754</v>
      </c>
      <c r="DH63">
        <f>((CG63+CH63)*'Reagent cost'!$C$17/1000*'Reagent cost'!$H$17+(CG63+CH63)*0.5*'Reagent cost'!$C$16/1000*'Reagent cost'!$H$16)*60*7200</f>
        <v>5971307.7372554457</v>
      </c>
      <c r="DI63">
        <f>CF63*'Reagent cost'!$C$17/1000*'Reagent cost'!$H$17*60*7200</f>
        <v>504921.59999999998</v>
      </c>
      <c r="DJ63">
        <f t="shared" si="17"/>
        <v>68.886764084728725</v>
      </c>
      <c r="DK63">
        <f t="shared" si="18"/>
        <v>648.24341514316495</v>
      </c>
      <c r="DL63">
        <f t="shared" si="19"/>
        <v>25752665.493730109</v>
      </c>
      <c r="DM63">
        <f>BK63*(B63*(409.81+2)/1000+C63*(248.2+2*22.99)/1000+D63*(315.6+3*22.99)/1000+0.1*58.44/1000)</f>
        <v>0.70639694042110623</v>
      </c>
      <c r="DN63">
        <f>(BS63+BT63)/1000*('Oxidant Feed Composition'!$B$11*'Oxidant Feed Composition'!$O$20+'Oxidant Feed Composition'!$D$11*'Oxidant Feed Composition'!$O$21+'Oxidant Feed Composition'!$F$11*'Oxidant Feed Composition'!$O$27-'Oxidant Feed Composition'!$J$15*18.015)</f>
        <v>2.172778079673273</v>
      </c>
      <c r="DO63">
        <f>(BU63+BV63)/1000*(0.2*368.34+0.4*58.44)</f>
        <v>1.5045875361856766</v>
      </c>
      <c r="DP63">
        <f>BK63/1000*(B63*195.08+C63*106.42+D63*102.91)</f>
        <v>4.999938342565946E-2</v>
      </c>
      <c r="DQ63">
        <f>SUM(DM63:DO63)-DP63</f>
        <v>4.3337631728543959</v>
      </c>
      <c r="DR63">
        <f>DQ63*60*7200*0.33</f>
        <v>617821.27792212274</v>
      </c>
      <c r="DS63">
        <v>1.2</v>
      </c>
      <c r="DT63">
        <f>BM63/60*(AM63*4+AN63*2+AO63*3)*96485/DV63</f>
        <v>1403.8281404593017</v>
      </c>
      <c r="DU63">
        <f>BN63*BA63*(AP63*4+AQ63*2+AR63*3)*96485/DV63/60</f>
        <v>707.87568128545342</v>
      </c>
      <c r="DV63">
        <v>0.7</v>
      </c>
      <c r="DW63">
        <f>0.499*((BK63/3.78541*15)^(-0.146))*BK63/3.78541*15*300*(1+(A63-2)/9)</f>
        <v>44032.441905260595</v>
      </c>
      <c r="DX63">
        <f>0.248*((BK63/3.78541*15)^(-0.144))*BK63/3.78541*15*300*(1+(A63-2)/3)</f>
        <v>41526.098972294596</v>
      </c>
      <c r="DY63">
        <f>0.105*((BK63/3.78541*15)^(-0.144))*BK63/3.78541*15*300*(1+(A63-2)/3)</f>
        <v>17581.614484237631</v>
      </c>
      <c r="DZ63">
        <f>0.058*((BK63/3.78541*15)^(-0.151))*BK63/3.78541*15*300*(1+(A63-2)/3)</f>
        <v>9313.4716969742931</v>
      </c>
      <c r="EA63">
        <f>0.056*((BK63/3.78541*15)^(-0.144))*BK63/3.78541*15*300*(1+(A63-2)/3)</f>
        <v>9376.8610582600722</v>
      </c>
      <c r="EB63">
        <f>DS63*DT63/(3.6*10^6)*3600*7200*0.07</f>
        <v>849.03525934978575</v>
      </c>
      <c r="EC63">
        <f>0.499*((BM63/3.78541*15)^(-0.146))*BM63/3.78541*15*300*(1+(AF63-2)/9)</f>
        <v>30856.554830271187</v>
      </c>
      <c r="ED63">
        <f>0.248*((BM63/3.78541*15)^(-0.144))*BM63/3.78541*15*300*(1+(AF63-2)/3)</f>
        <v>23276.449242449344</v>
      </c>
      <c r="EE63">
        <f>0.105*((BM63/3.78541*15)^(-0.144))*BM63/3.78541*15*300*(1+(AF63-2)/3)</f>
        <v>9854.9482679725043</v>
      </c>
      <c r="EF63">
        <f>0.058*((BM63/3.78541*15)^(-0.151))*BM63/3.78541*15*300*(1+(AF63-2)/3)</f>
        <v>5223.3471249318445</v>
      </c>
      <c r="EG63">
        <f>0.056*((BM63/3.78541*15)^(-0.144))*BM63/3.78541*15*300*(1+(AF63-2)/3)</f>
        <v>5255.9724095853353</v>
      </c>
      <c r="EH63">
        <f>DS63*DU63/(3.6*10^6)*3600*7200*0.07</f>
        <v>428.12321204144223</v>
      </c>
      <c r="EI63">
        <f>SUM(DW63:EH63)</f>
        <v>197574.91846362862</v>
      </c>
      <c r="EJ63">
        <f>EI63+DR63+DL63</f>
        <v>26568061.690115862</v>
      </c>
      <c r="EK63">
        <f>EJ63+DF63</f>
        <v>27250601.408215806</v>
      </c>
      <c r="EL63">
        <f>EK63/(BK63*60*7200)</f>
        <v>0.63080095852351403</v>
      </c>
      <c r="EM63">
        <f>EK63/(BM63*(AM63*195.084/1000+AN63*106.42/1000+AO63*102.911/1000)*60*7200)</f>
        <v>2113.4225817602296</v>
      </c>
      <c r="EN63">
        <f>EK63/(BN63*BA63*(AP63*195.084/1000+AQ63*106.42/1000+AR63*102.911/1000)*60*7200)</f>
        <v>3862.5024133715328</v>
      </c>
    </row>
    <row r="64" spans="1:144">
      <c r="A64">
        <f>'Costing 100 Lmin Feed Orig'!A64</f>
        <v>9</v>
      </c>
      <c r="B64">
        <f>'Costing 100 Lmin Feed Orig'!B64</f>
        <v>1.54143585092054E-3</v>
      </c>
      <c r="C64">
        <f>'Costing 100 Lmin Feed Orig'!C64</f>
        <v>1.54143585092054E-3</v>
      </c>
      <c r="D64">
        <f>'Costing 100 Lmin Feed Orig'!D64</f>
        <v>3.4254130020456501E-4</v>
      </c>
      <c r="E64">
        <f>'Costing 100 Lmin Feed Orig'!E64</f>
        <v>0</v>
      </c>
      <c r="F64">
        <f>'Costing 100 Lmin Feed Orig'!F64</f>
        <v>0</v>
      </c>
      <c r="G64">
        <f>'Costing 100 Lmin Feed Orig'!G64</f>
        <v>0</v>
      </c>
      <c r="H64">
        <f>'Costing 100 Lmin Feed Orig'!H64</f>
        <v>1.7768596981705501E-5</v>
      </c>
      <c r="I64">
        <f>'Costing 100 Lmin Feed Orig'!I64</f>
        <v>1.5331283704498101E-9</v>
      </c>
      <c r="J64">
        <f>'Costing 100 Lmin Feed Orig'!J64</f>
        <v>3.3763247208936601E-4</v>
      </c>
      <c r="K64">
        <f>'Costing 100 Lmin Feed Orig'!K64</f>
        <v>0.13890601070001499</v>
      </c>
      <c r="L64">
        <f>'Costing 100 Lmin Feed Orig'!L64</f>
        <v>0.14052575540227799</v>
      </c>
      <c r="M64">
        <f>'Costing 100 Lmin Feed Orig'!M64</f>
        <v>4.4751616793740602E-4</v>
      </c>
      <c r="N64">
        <f>'Costing 100 Lmin Feed Orig'!N64</f>
        <v>-5.0090140368830299E-17</v>
      </c>
      <c r="O64">
        <f>'Costing 100 Lmin Feed Orig'!O64</f>
        <v>-6.2343793322261397E-15</v>
      </c>
      <c r="P64">
        <f>'Costing 100 Lmin Feed Orig'!P64</f>
        <v>1.7787691892340301E-20</v>
      </c>
      <c r="Q64">
        <f>'Costing 100 Lmin Feed Orig'!Q64</f>
        <v>0.10969051996097</v>
      </c>
      <c r="R64">
        <f>'Costing 100 Lmin Feed Orig'!R64</f>
        <v>98.566938318892298</v>
      </c>
      <c r="S64">
        <f>'Costing 100 Lmin Feed Orig'!S64</f>
        <v>500</v>
      </c>
      <c r="T64">
        <f>'Costing 100 Lmin Feed Orig'!T64</f>
        <v>95</v>
      </c>
      <c r="U64">
        <f>'Costing 100 Lmin Feed Orig'!U64</f>
        <v>1</v>
      </c>
      <c r="V64">
        <f>'Costing 100 Lmin Feed Orig'!V64</f>
        <v>0.1</v>
      </c>
      <c r="W64">
        <f>'Costing 100 Lmin Feed Orig'!W64</f>
        <v>91.165581160141301</v>
      </c>
      <c r="X64" t="str">
        <f>'Costing 100 Lmin Feed Orig'!X64</f>
        <v>ddFc</v>
      </c>
      <c r="Y64">
        <f>'Costing 100 Lmin Feed Orig'!Y64</f>
        <v>1</v>
      </c>
      <c r="Z64">
        <f>'Costing 100 Lmin Feed Orig'!Z64</f>
        <v>0.28318429382522198</v>
      </c>
      <c r="AA64">
        <f>'Costing 100 Lmin Feed Orig'!AA64</f>
        <v>0.56945642916197003</v>
      </c>
      <c r="AB64">
        <f>'Costing 100 Lmin Feed Orig'!AB64</f>
        <v>3.7698628972227502E-3</v>
      </c>
      <c r="AC64">
        <f>'Costing 100 Lmin Feed Orig'!AC64</f>
        <v>1822.2107908876901</v>
      </c>
      <c r="AD64">
        <f>'Costing 100 Lmin Feed Orig'!AD64</f>
        <v>2662.6059073104898</v>
      </c>
      <c r="AE64">
        <f>'Costing 100 Lmin Feed Orig'!AE64</f>
        <v>2401.5030938442701</v>
      </c>
      <c r="AF64">
        <f>'Costing 100 Lmin Feed Orig'!AF64</f>
        <v>6</v>
      </c>
      <c r="AG64">
        <f>'Costing 100 Lmin Feed Orig'!AG64</f>
        <v>1.6497485970141401E-3</v>
      </c>
      <c r="AH64">
        <f>'Costing 100 Lmin Feed Orig'!AH64</f>
        <v>1.6689858606617799E-3</v>
      </c>
      <c r="AI64">
        <f>'Costing 100 Lmin Feed Orig'!AI64</f>
        <v>5.3150268046377499E-6</v>
      </c>
      <c r="AJ64">
        <f>'Costing 100 Lmin Feed Orig'!AJ64</f>
        <v>0</v>
      </c>
      <c r="AK64">
        <f>'Costing 100 Lmin Feed Orig'!AK64</f>
        <v>0</v>
      </c>
      <c r="AL64">
        <f>'Costing 100 Lmin Feed Orig'!AL64</f>
        <v>0</v>
      </c>
      <c r="AM64">
        <f>'Costing 100 Lmin Feed Orig'!AM64</f>
        <v>1.6121184009261799E-3</v>
      </c>
      <c r="AN64">
        <f>'Costing 100 Lmin Feed Orig'!AN64</f>
        <v>7.9568883775184404E-5</v>
      </c>
      <c r="AO64">
        <f>'Costing 100 Lmin Feed Orig'!AO64</f>
        <v>5.27945332060777E-6</v>
      </c>
      <c r="AP64">
        <f>'Costing 100 Lmin Feed Orig'!AP64</f>
        <v>1.7562244702796299E-3</v>
      </c>
      <c r="AQ64">
        <f>'Costing 100 Lmin Feed Orig'!AQ64</f>
        <v>7.4179071024813498E-2</v>
      </c>
      <c r="AR64">
        <f>'Costing 100 Lmin Feed Orig'!AR64</f>
        <v>1.6602364494864499E-6</v>
      </c>
      <c r="AS64">
        <f>'Costing 100 Lmin Feed Orig'!AS64</f>
        <v>-2.22939071717331E-18</v>
      </c>
      <c r="AT64">
        <f>'Costing 100 Lmin Feed Orig'!AT64</f>
        <v>-1.51137782844479E-16</v>
      </c>
      <c r="AU64">
        <f>'Costing 100 Lmin Feed Orig'!AU64</f>
        <v>-1.53524721689841E-21</v>
      </c>
      <c r="AV64">
        <f>'Costing 100 Lmin Feed Orig'!AV64</f>
        <v>0.19789226694805201</v>
      </c>
      <c r="AW64">
        <f>'Costing 100 Lmin Feed Orig'!AW64</f>
        <v>99.330699818880703</v>
      </c>
      <c r="AX64">
        <f>'Costing 100 Lmin Feed Orig'!AX64</f>
        <v>500</v>
      </c>
      <c r="AY64">
        <f>'Costing 100 Lmin Feed Orig'!AY64</f>
        <v>95</v>
      </c>
      <c r="AZ64">
        <f>'Costing 100 Lmin Feed Orig'!AZ64</f>
        <v>0.92357542033771201</v>
      </c>
      <c r="BA64">
        <f>'Costing 100 Lmin Feed Orig'!BA64</f>
        <v>0.1</v>
      </c>
      <c r="BB64">
        <f>'Costing 100 Lmin Feed Orig'!BB64</f>
        <v>46.670617027200798</v>
      </c>
      <c r="BC64" t="str">
        <f>'Costing 100 Lmin Feed Orig'!BC64</f>
        <v>coeFc</v>
      </c>
      <c r="BD64">
        <f>'Costing 100 Lmin Feed Orig'!BD64</f>
        <v>1</v>
      </c>
      <c r="BE64">
        <f>'Costing 100 Lmin Feed Orig'!BE64</f>
        <v>1.8775014999999999E-2</v>
      </c>
      <c r="BF64">
        <f>'Costing 100 Lmin Feed Orig'!BF64</f>
        <v>0.10492961100000001</v>
      </c>
      <c r="BG64">
        <f>'Costing 100 Lmin Feed Orig'!BG64</f>
        <v>1.814625E-3</v>
      </c>
      <c r="BH64">
        <f>'Costing 100 Lmin Feed Orig'!BH64</f>
        <v>285.1951444</v>
      </c>
      <c r="BI64">
        <f>'Costing 100 Lmin Feed Orig'!BI64</f>
        <v>2169.8944889999998</v>
      </c>
      <c r="BJ64">
        <f>'Costing 100 Lmin Feed Orig'!BJ64</f>
        <v>866.49409060000005</v>
      </c>
      <c r="BK64">
        <f>'Costing 100 Lmin Feed Orig'!BK64</f>
        <v>100</v>
      </c>
      <c r="BL64">
        <f>'Costing 100 Lmin Feed Orig'!BL64</f>
        <v>10.969051996096999</v>
      </c>
      <c r="BM64">
        <f>'Costing 100 Lmin Feed Orig'!BM64</f>
        <v>92.357542033771196</v>
      </c>
      <c r="BN64">
        <f>'Costing 100 Lmin Feed Orig'!BN64</f>
        <v>19.789226694805201</v>
      </c>
      <c r="BO64">
        <f t="shared" si="1"/>
        <v>241.31914391413397</v>
      </c>
      <c r="BP64">
        <f t="shared" si="2"/>
        <v>316.62762711688322</v>
      </c>
      <c r="BQ64">
        <f t="shared" si="3"/>
        <v>24.1319143914134</v>
      </c>
      <c r="BR64">
        <f t="shared" si="4"/>
        <v>31.662762711688323</v>
      </c>
      <c r="BS64">
        <f>1.2*0.5*BL64*V64/'Oxidant Feed Composition'!$N$22</f>
        <v>6.5814311976581994</v>
      </c>
      <c r="BT64">
        <f>1.2*0.5*BN64*BA64/'Oxidant Feed Composition'!$N$22</f>
        <v>11.87353601688312</v>
      </c>
      <c r="BU64">
        <f t="shared" si="5"/>
        <v>5.4845259980484995</v>
      </c>
      <c r="BV64">
        <f t="shared" si="6"/>
        <v>9.8946133474026006</v>
      </c>
      <c r="BW64">
        <f t="shared" si="7"/>
        <v>86.873016035722699</v>
      </c>
      <c r="BX64">
        <f t="shared" si="20"/>
        <v>35.100966387510397</v>
      </c>
      <c r="BY64">
        <f t="shared" si="8"/>
        <v>206.65318805973638</v>
      </c>
      <c r="BZ64">
        <f t="shared" si="9"/>
        <v>63.325525423376646</v>
      </c>
      <c r="CA64">
        <f t="shared" si="10"/>
        <v>59.367680084415603</v>
      </c>
      <c r="CB64">
        <f>BO64*'Reagent cost'!$G$11*'Reagent cost'!$H$11</f>
        <v>3185.4126996665682</v>
      </c>
      <c r="CC64">
        <f>BP64*'Reagent cost'!$G$11*'Reagent cost'!$H$11</f>
        <v>4179.484677942859</v>
      </c>
      <c r="CD64">
        <f>BQ64*'Reagent cost'!$C$18/1000*'Reagent cost'!$H$18</f>
        <v>3848.5686313477631</v>
      </c>
      <c r="CE64">
        <f>BR64*'Ligand cost'!$B$56*'Ligand cost'!$J$56</f>
        <v>32236.736786471469</v>
      </c>
      <c r="CF64">
        <f t="shared" si="11"/>
        <v>10</v>
      </c>
      <c r="CG64">
        <f t="shared" si="12"/>
        <v>2.1938103992193998</v>
      </c>
      <c r="CH64">
        <f t="shared" si="13"/>
        <v>3.9578453389610404</v>
      </c>
      <c r="CI64">
        <f>7963.6*(BX64/1000)^0.6*1.7*('CAPEX+OPEX'!$G$116/'CAPEX+OPEX'!$G$115)</f>
        <v>2140.0916471558648</v>
      </c>
      <c r="CJ64">
        <f>7963.6*(BY64/1000)^0.6*1.7*('CAPEX+OPEX'!$G$116/'CAPEX+OPEX'!$G$115)</f>
        <v>6199.9215410229135</v>
      </c>
      <c r="CK64">
        <f>7963.6*(BZ64/1000)^0.6*1.7*('CAPEX+OPEX'!$G$116/'CAPEX+OPEX'!$G$115)</f>
        <v>3049.2161337270823</v>
      </c>
      <c r="CL64">
        <f>7963.6*(CA64/1000)^0.6*1.7*('CAPEX+OPEX'!$G$116/'CAPEX+OPEX'!$G$115)</f>
        <v>2933.3978871881586</v>
      </c>
      <c r="CM64">
        <f>'Costing 100 Lmin Feed Orig'!DE64</f>
        <v>39625.826528698344</v>
      </c>
      <c r="CN64">
        <f>'Costing 100 Lmin Feed Orig'!DF64</f>
        <v>4586243.4239371875</v>
      </c>
      <c r="CO64">
        <f>'Costing 100 Lmin Feed Orig'!DG64</f>
        <v>11794834.586807497</v>
      </c>
      <c r="CP64">
        <f>'Costing 100 Lmin Feed Orig'!DH64</f>
        <v>2275209.1661185985</v>
      </c>
      <c r="CQ64">
        <f>'Costing 100 Lmin Feed Orig'!DI64</f>
        <v>14083914.336508472</v>
      </c>
      <c r="CR64">
        <f>'Costing 100 Lmin Feed Orig'!DJ64</f>
        <v>1662824.8986326549</v>
      </c>
      <c r="CS64">
        <f>CN64*(BK64/10000)^0.72*((A64+1)/3)^0.6*('CAPEX+OPEX'!$G$116/'CAPEX+OPEX'!$G$114)</f>
        <v>800322.53402245743</v>
      </c>
      <c r="CT64">
        <f>CO64*(BK64/10000)^0.72*((A64+1)/3)^0.6*('CAPEX+OPEX'!$G$116/'CAPEX+OPEX'!$G$114)</f>
        <v>2058257.9318883498</v>
      </c>
      <c r="CU64">
        <f>CP64*(BK64/10000)^0.72*((A64+1)/3)^0.6*('CAPEX+OPEX'!$G$116/'CAPEX+OPEX'!$G$114)</f>
        <v>397035.437708179</v>
      </c>
      <c r="CV64">
        <f>CQ64*(BK64/10000)^0.72*((A64+1)/3)^0.6*('CAPEX+OPEX'!$G$116/'CAPEX+OPEX'!$G$114)</f>
        <v>2457713.856163613</v>
      </c>
      <c r="CW64">
        <f>CR64*(BK64/10000)^0.72*((A64+1)/3)^0.6*('CAPEX+OPEX'!$G$116/'CAPEX+OPEX'!$G$114)</f>
        <v>290171.30437591631</v>
      </c>
      <c r="CX64">
        <f t="shared" si="14"/>
        <v>6003501.064158516</v>
      </c>
      <c r="CY64">
        <f>CN64*(BM64/10000)^0.72*((AF64+1)/3)^0.6*('CAPEX+OPEX'!$G$116/'CAPEX+OPEX'!$G$114)</f>
        <v>610188.43601728987</v>
      </c>
      <c r="CZ64">
        <f>CO64*(BM64/10000)^0.72*((AF64+1)/3)^0.6*('CAPEX+OPEX'!$G$116/'CAPEX+OPEX'!$G$114)</f>
        <v>1569273.8052329933</v>
      </c>
      <c r="DA64">
        <f>CP64*(BM64/10000)^0.72*((AF64+1)/3)^0.6*('CAPEX+OPEX'!$G$116/'CAPEX+OPEX'!$G$114)</f>
        <v>302710.99772856798</v>
      </c>
      <c r="DB64">
        <f>CQ64*(BM64/10000)^0.72*((AF64+1)/3)^0.6*('CAPEX+OPEX'!$G$116/'CAPEX+OPEX'!$G$114)</f>
        <v>1873830.2500781715</v>
      </c>
      <c r="DC64">
        <f>CR64*(BM64/10000)^0.72*((AF64+1)/3)^0.6*('CAPEX+OPEX'!$G$116/'CAPEX+OPEX'!$G$114)</f>
        <v>221234.77331611529</v>
      </c>
      <c r="DD64">
        <f t="shared" si="15"/>
        <v>4577238.2623731382</v>
      </c>
      <c r="DE64">
        <f>CX64+DD64+1.15*(SUM(CI64:CL64)+SUM(CB64:CE64))</f>
        <v>10647178.081036855</v>
      </c>
      <c r="DF64">
        <f t="shared" si="16"/>
        <v>709811.87206912367</v>
      </c>
      <c r="DG64">
        <f>(BS64+BT64)*'Oxidant Feed Composition'!$N$25*60*7200</f>
        <v>14862766.913937116</v>
      </c>
      <c r="DH64">
        <f>((CG64+CH64)*'Reagent cost'!$C$17/1000*'Reagent cost'!$H$17+(CG64+CH64)*0.5*'Reagent cost'!$C$16/1000*'Reagent cost'!$H$16)*60*7200</f>
        <v>5923149.7790572029</v>
      </c>
      <c r="DI64">
        <f>CF64*'Reagent cost'!$C$17/1000*'Reagent cost'!$H$17*60*7200</f>
        <v>504921.59999999998</v>
      </c>
      <c r="DJ64">
        <f t="shared" si="17"/>
        <v>73.64897377609428</v>
      </c>
      <c r="DK64">
        <f t="shared" si="18"/>
        <v>721.70610835638468</v>
      </c>
      <c r="DL64">
        <f t="shared" si="19"/>
        <v>25549960.377691746</v>
      </c>
      <c r="DM64">
        <f>BK64*(B64*(409.81+2)/1000+C64*(248.2+2*22.99)/1000+D64*(315.6+3*22.99)/1000+0.1*58.44/1000)</f>
        <v>0.70639694042110623</v>
      </c>
      <c r="DN64">
        <f>(BS64+BT64)/1000*('Oxidant Feed Composition'!$B$11*'Oxidant Feed Composition'!$O$20+'Oxidant Feed Composition'!$D$11*'Oxidant Feed Composition'!$O$21+'Oxidant Feed Composition'!$F$11*'Oxidant Feed Composition'!$O$27-'Oxidant Feed Composition'!$J$15*18.015)</f>
        <v>2.1552548568652892</v>
      </c>
      <c r="DO64">
        <f>(BU64+BV64)/1000*(0.2*368.34+0.4*58.44)</f>
        <v>1.4924531986399567</v>
      </c>
      <c r="DP64">
        <f>BK64/1000*(B64*195.08+C64*106.42+D64*102.91)</f>
        <v>4.999938342565946E-2</v>
      </c>
      <c r="DQ64">
        <f>SUM(DM64:DO64)-DP64</f>
        <v>4.3041056125006927</v>
      </c>
      <c r="DR64">
        <f>DQ64*60*7200*0.33</f>
        <v>613593.29611809878</v>
      </c>
      <c r="DS64">
        <v>1.2</v>
      </c>
      <c r="DT64">
        <f>BM64/60*(AM64*4+AN64*2+AO64*3)*96485/DV64</f>
        <v>1405.2937722269342</v>
      </c>
      <c r="DU64">
        <f>BN64*BA64*(AP64*4+AQ64*2+AR64*3)*96485/DV64/60</f>
        <v>706.41004951793764</v>
      </c>
      <c r="DV64">
        <v>0.7</v>
      </c>
      <c r="DW64">
        <f>0.499*((BK64/3.78541*15)^(-0.146))*BK64/3.78541*15*300*(1+(A64-2)/9)</f>
        <v>44032.441905260595</v>
      </c>
      <c r="DX64">
        <f>0.248*((BK64/3.78541*15)^(-0.144))*BK64/3.78541*15*300*(1+(A64-2)/3)</f>
        <v>41526.098972294596</v>
      </c>
      <c r="DY64">
        <f>0.105*((BK64/3.78541*15)^(-0.144))*BK64/3.78541*15*300*(1+(A64-2)/3)</f>
        <v>17581.614484237631</v>
      </c>
      <c r="DZ64">
        <f>0.058*((BK64/3.78541*15)^(-0.151))*BK64/3.78541*15*300*(1+(A64-2)/3)</f>
        <v>9313.4716969742931</v>
      </c>
      <c r="EA64">
        <f>0.056*((BK64/3.78541*15)^(-0.144))*BK64/3.78541*15*300*(1+(A64-2)/3)</f>
        <v>9376.8610582600722</v>
      </c>
      <c r="EB64">
        <f>DS64*DT64/(3.6*10^6)*3600*7200*0.07</f>
        <v>849.92167344284985</v>
      </c>
      <c r="EC64">
        <f>0.499*((BM64/3.78541*15)^(-0.146))*BM64/3.78541*15*300*(1+(AF64-2)/9)</f>
        <v>33427.93439946045</v>
      </c>
      <c r="ED64">
        <f>0.248*((BM64/3.78541*15)^(-0.144))*BM64/3.78541*15*300*(1+(AF64-2)/3)</f>
        <v>27155.857449524232</v>
      </c>
      <c r="EE64">
        <f>0.105*((BM64/3.78541*15)^(-0.144))*BM64/3.78541*15*300*(1+(AF64-2)/3)</f>
        <v>11497.439645967921</v>
      </c>
      <c r="EF64">
        <f>0.058*((BM64/3.78541*15)^(-0.151))*BM64/3.78541*15*300*(1+(AF64-2)/3)</f>
        <v>6093.9049790871513</v>
      </c>
      <c r="EG64">
        <f>0.056*((BM64/3.78541*15)^(-0.144))*BM64/3.78541*15*300*(1+(AF64-2)/3)</f>
        <v>6131.9678111828907</v>
      </c>
      <c r="EH64">
        <f>DS64*DU64/(3.6*10^6)*3600*7200*0.07</f>
        <v>427.23679794844873</v>
      </c>
      <c r="EI64">
        <f>SUM(DW64:EH64)</f>
        <v>207414.75087364111</v>
      </c>
      <c r="EJ64">
        <f>EI64+DR64+DL64</f>
        <v>26370968.424683485</v>
      </c>
      <c r="EK64">
        <f>EJ64+DF64</f>
        <v>27080780.296752609</v>
      </c>
      <c r="EL64">
        <f>EK64/(BK64*60*7200)</f>
        <v>0.62686991427668082</v>
      </c>
      <c r="EM64">
        <f>EK64/(BM64*(AM64*195.084/1000+AN64*106.42/1000+AO64*102.911/1000)*60*7200)</f>
        <v>2098.0603088157068</v>
      </c>
      <c r="EN64">
        <f>EK64/(BN64*BA64*(AP64*195.084/1000+AQ64*106.42/1000+AR64*102.911/1000)*60*7200)</f>
        <v>3845.7744870476408</v>
      </c>
    </row>
    <row r="65" spans="1:144">
      <c r="A65">
        <f>'Costing 100 Lmin Feed Orig'!A65</f>
        <v>9</v>
      </c>
      <c r="B65">
        <f>'Costing 100 Lmin Feed Orig'!B65</f>
        <v>1.54143585092054E-3</v>
      </c>
      <c r="C65">
        <f>'Costing 100 Lmin Feed Orig'!C65</f>
        <v>1.54143585092054E-3</v>
      </c>
      <c r="D65">
        <f>'Costing 100 Lmin Feed Orig'!D65</f>
        <v>3.4254130020456501E-4</v>
      </c>
      <c r="E65">
        <f>'Costing 100 Lmin Feed Orig'!E65</f>
        <v>0</v>
      </c>
      <c r="F65">
        <f>'Costing 100 Lmin Feed Orig'!F65</f>
        <v>0</v>
      </c>
      <c r="G65">
        <f>'Costing 100 Lmin Feed Orig'!G65</f>
        <v>0</v>
      </c>
      <c r="H65">
        <f>'Costing 100 Lmin Feed Orig'!H65</f>
        <v>1.7768596981705501E-5</v>
      </c>
      <c r="I65">
        <f>'Costing 100 Lmin Feed Orig'!I65</f>
        <v>1.5331283704498101E-9</v>
      </c>
      <c r="J65">
        <f>'Costing 100 Lmin Feed Orig'!J65</f>
        <v>3.3763247208936601E-4</v>
      </c>
      <c r="K65">
        <f>'Costing 100 Lmin Feed Orig'!K65</f>
        <v>0.13890601070001499</v>
      </c>
      <c r="L65">
        <f>'Costing 100 Lmin Feed Orig'!L65</f>
        <v>0.14052575540227799</v>
      </c>
      <c r="M65">
        <f>'Costing 100 Lmin Feed Orig'!M65</f>
        <v>4.4751616793740602E-4</v>
      </c>
      <c r="N65">
        <f>'Costing 100 Lmin Feed Orig'!N65</f>
        <v>-5.0090140368830299E-17</v>
      </c>
      <c r="O65">
        <f>'Costing 100 Lmin Feed Orig'!O65</f>
        <v>-6.2343793322261397E-15</v>
      </c>
      <c r="P65">
        <f>'Costing 100 Lmin Feed Orig'!P65</f>
        <v>1.7787691892340301E-20</v>
      </c>
      <c r="Q65">
        <f>'Costing 100 Lmin Feed Orig'!Q65</f>
        <v>0.10969051996097</v>
      </c>
      <c r="R65">
        <f>'Costing 100 Lmin Feed Orig'!R65</f>
        <v>98.566938318892298</v>
      </c>
      <c r="S65">
        <f>'Costing 100 Lmin Feed Orig'!S65</f>
        <v>500</v>
      </c>
      <c r="T65">
        <f>'Costing 100 Lmin Feed Orig'!T65</f>
        <v>95</v>
      </c>
      <c r="U65">
        <f>'Costing 100 Lmin Feed Orig'!U65</f>
        <v>1</v>
      </c>
      <c r="V65">
        <f>'Costing 100 Lmin Feed Orig'!V65</f>
        <v>0.1</v>
      </c>
      <c r="W65">
        <f>'Costing 100 Lmin Feed Orig'!W65</f>
        <v>91.165581160141301</v>
      </c>
      <c r="X65" t="str">
        <f>'Costing 100 Lmin Feed Orig'!X65</f>
        <v>ddFc</v>
      </c>
      <c r="Y65">
        <f>'Costing 100 Lmin Feed Orig'!Y65</f>
        <v>1</v>
      </c>
      <c r="Z65">
        <f>'Costing 100 Lmin Feed Orig'!Z65</f>
        <v>0.28318429382522198</v>
      </c>
      <c r="AA65">
        <f>'Costing 100 Lmin Feed Orig'!AA65</f>
        <v>0.56945642916197003</v>
      </c>
      <c r="AB65">
        <f>'Costing 100 Lmin Feed Orig'!AB65</f>
        <v>3.7698628972227502E-3</v>
      </c>
      <c r="AC65">
        <f>'Costing 100 Lmin Feed Orig'!AC65</f>
        <v>1822.2107908876901</v>
      </c>
      <c r="AD65">
        <f>'Costing 100 Lmin Feed Orig'!AD65</f>
        <v>2662.6059073104898</v>
      </c>
      <c r="AE65">
        <f>'Costing 100 Lmin Feed Orig'!AE65</f>
        <v>2401.5030938442701</v>
      </c>
      <c r="AF65">
        <f>'Costing 100 Lmin Feed Orig'!AF65</f>
        <v>7</v>
      </c>
      <c r="AG65">
        <f>'Costing 100 Lmin Feed Orig'!AG65</f>
        <v>1.6497485970141401E-3</v>
      </c>
      <c r="AH65">
        <f>'Costing 100 Lmin Feed Orig'!AH65</f>
        <v>1.6689858606617799E-3</v>
      </c>
      <c r="AI65">
        <f>'Costing 100 Lmin Feed Orig'!AI65</f>
        <v>5.3150268046377499E-6</v>
      </c>
      <c r="AJ65">
        <f>'Costing 100 Lmin Feed Orig'!AJ65</f>
        <v>0</v>
      </c>
      <c r="AK65">
        <f>'Costing 100 Lmin Feed Orig'!AK65</f>
        <v>0</v>
      </c>
      <c r="AL65">
        <f>'Costing 100 Lmin Feed Orig'!AL65</f>
        <v>0</v>
      </c>
      <c r="AM65">
        <f>'Costing 100 Lmin Feed Orig'!AM65</f>
        <v>1.6126074648206801E-3</v>
      </c>
      <c r="AN65">
        <f>'Costing 100 Lmin Feed Orig'!AN65</f>
        <v>7.9594180322832604E-5</v>
      </c>
      <c r="AO65">
        <f>'Costing 100 Lmin Feed Orig'!AO65</f>
        <v>5.2798967729928503E-6</v>
      </c>
      <c r="AP65">
        <f>'Costing 100 Lmin Feed Orig'!AP65</f>
        <v>1.73979110112154E-3</v>
      </c>
      <c r="AQ65">
        <f>'Costing 100 Lmin Feed Orig'!AQ65</f>
        <v>7.4451405715099297E-2</v>
      </c>
      <c r="AR65">
        <f>'Costing 100 Lmin Feed Orig'!AR65</f>
        <v>1.64558571126931E-6</v>
      </c>
      <c r="AS65">
        <f>'Costing 100 Lmin Feed Orig'!AS65</f>
        <v>-4.4791102250807402E-18</v>
      </c>
      <c r="AT65">
        <f>'Costing 100 Lmin Feed Orig'!AT65</f>
        <v>-1.7100036664441299E-15</v>
      </c>
      <c r="AU65">
        <f>'Costing 100 Lmin Feed Orig'!AU65</f>
        <v>-4.5064799771888903E-21</v>
      </c>
      <c r="AV65">
        <f>'Costing 100 Lmin Feed Orig'!AV65</f>
        <v>0.19716526171033899</v>
      </c>
      <c r="AW65">
        <f>'Costing 100 Lmin Feed Orig'!AW65</f>
        <v>99.339043189504693</v>
      </c>
      <c r="AX65">
        <f>'Costing 100 Lmin Feed Orig'!AX65</f>
        <v>500</v>
      </c>
      <c r="AY65">
        <f>'Costing 100 Lmin Feed Orig'!AY65</f>
        <v>95</v>
      </c>
      <c r="AZ65">
        <f>'Costing 100 Lmin Feed Orig'!AZ65</f>
        <v>0.92357542033771201</v>
      </c>
      <c r="BA65">
        <f>'Costing 100 Lmin Feed Orig'!BA65</f>
        <v>0.1</v>
      </c>
      <c r="BB65">
        <f>'Costing 100 Lmin Feed Orig'!BB65</f>
        <v>46.842705065081802</v>
      </c>
      <c r="BC65" t="str">
        <f>'Costing 100 Lmin Feed Orig'!BC65</f>
        <v>coeFc</v>
      </c>
      <c r="BD65">
        <f>'Costing 100 Lmin Feed Orig'!BD65</f>
        <v>1</v>
      </c>
      <c r="BE65">
        <f>'Costing 100 Lmin Feed Orig'!BE65</f>
        <v>1.8775014999999999E-2</v>
      </c>
      <c r="BF65">
        <f>'Costing 100 Lmin Feed Orig'!BF65</f>
        <v>0.10492961100000001</v>
      </c>
      <c r="BG65">
        <f>'Costing 100 Lmin Feed Orig'!BG65</f>
        <v>1.814625E-3</v>
      </c>
      <c r="BH65">
        <f>'Costing 100 Lmin Feed Orig'!BH65</f>
        <v>285.1951444</v>
      </c>
      <c r="BI65">
        <f>'Costing 100 Lmin Feed Orig'!BI65</f>
        <v>2169.8944889999998</v>
      </c>
      <c r="BJ65">
        <f>'Costing 100 Lmin Feed Orig'!BJ65</f>
        <v>866.49409060000005</v>
      </c>
      <c r="BK65">
        <f>'Costing 100 Lmin Feed Orig'!BK65</f>
        <v>100</v>
      </c>
      <c r="BL65">
        <f>'Costing 100 Lmin Feed Orig'!BL65</f>
        <v>10.969051996096999</v>
      </c>
      <c r="BM65">
        <f>'Costing 100 Lmin Feed Orig'!BM65</f>
        <v>92.357542033771196</v>
      </c>
      <c r="BN65">
        <f>'Costing 100 Lmin Feed Orig'!BN65</f>
        <v>19.716526171033898</v>
      </c>
      <c r="BO65">
        <f t="shared" si="1"/>
        <v>241.31914391413397</v>
      </c>
      <c r="BP65">
        <f t="shared" si="2"/>
        <v>354.89747107861018</v>
      </c>
      <c r="BQ65">
        <f t="shared" si="3"/>
        <v>24.1319143914134</v>
      </c>
      <c r="BR65">
        <f t="shared" si="4"/>
        <v>35.489747107861021</v>
      </c>
      <c r="BS65">
        <f>1.2*0.5*BL65*V65/'Oxidant Feed Composition'!$N$22</f>
        <v>6.5814311976581994</v>
      </c>
      <c r="BT65">
        <f>1.2*0.5*BN65*BA65/'Oxidant Feed Composition'!$N$22</f>
        <v>11.829915702620339</v>
      </c>
      <c r="BU65">
        <f t="shared" si="5"/>
        <v>5.4845259980484995</v>
      </c>
      <c r="BV65">
        <f t="shared" si="6"/>
        <v>9.8582630855169491</v>
      </c>
      <c r="BW65">
        <f t="shared" si="7"/>
        <v>86.873016035722699</v>
      </c>
      <c r="BX65">
        <f t="shared" si="20"/>
        <v>35.100966387510397</v>
      </c>
      <c r="BY65">
        <f t="shared" si="8"/>
        <v>206.65318805973638</v>
      </c>
      <c r="BZ65">
        <f t="shared" si="9"/>
        <v>63.092883747308477</v>
      </c>
      <c r="CA65">
        <f t="shared" si="10"/>
        <v>59.149578513101694</v>
      </c>
      <c r="CB65">
        <f>BO65*'Reagent cost'!$G$11*'Reagent cost'!$H$11</f>
        <v>3185.4126996665682</v>
      </c>
      <c r="CC65">
        <f>BP65*'Reagent cost'!$G$11*'Reagent cost'!$H$11</f>
        <v>4684.6466182376553</v>
      </c>
      <c r="CD65">
        <f>BQ65*'Reagent cost'!$C$18/1000*'Reagent cost'!$H$18</f>
        <v>3848.5686313477631</v>
      </c>
      <c r="CE65">
        <f>BR65*'Ligand cost'!$B$56*'Ligand cost'!$J$56</f>
        <v>36133.095729900335</v>
      </c>
      <c r="CF65">
        <f t="shared" si="11"/>
        <v>10</v>
      </c>
      <c r="CG65">
        <f t="shared" si="12"/>
        <v>2.1938103992193998</v>
      </c>
      <c r="CH65">
        <f t="shared" si="13"/>
        <v>3.9433052342067798</v>
      </c>
      <c r="CI65">
        <f>7963.6*(BX65/1000)^0.6*1.7*('CAPEX+OPEX'!$G$116/'CAPEX+OPEX'!$G$115)</f>
        <v>2140.0916471558648</v>
      </c>
      <c r="CJ65">
        <f>7963.6*(BY65/1000)^0.6*1.7*('CAPEX+OPEX'!$G$116/'CAPEX+OPEX'!$G$115)</f>
        <v>6199.9215410229135</v>
      </c>
      <c r="CK65">
        <f>7963.6*(BZ65/1000)^0.6*1.7*('CAPEX+OPEX'!$G$116/'CAPEX+OPEX'!$G$115)</f>
        <v>3042.489965836156</v>
      </c>
      <c r="CL65">
        <f>7963.6*(CA65/1000)^0.6*1.7*('CAPEX+OPEX'!$G$116/'CAPEX+OPEX'!$G$115)</f>
        <v>2926.927199045761</v>
      </c>
      <c r="CM65">
        <f>'Costing 100 Lmin Feed Orig'!DE65</f>
        <v>39625.826528698344</v>
      </c>
      <c r="CN65">
        <f>'Costing 100 Lmin Feed Orig'!DF65</f>
        <v>4586243.4239371875</v>
      </c>
      <c r="CO65">
        <f>'Costing 100 Lmin Feed Orig'!DG65</f>
        <v>11794834.586807497</v>
      </c>
      <c r="CP65">
        <f>'Costing 100 Lmin Feed Orig'!DH65</f>
        <v>2275209.1661185985</v>
      </c>
      <c r="CQ65">
        <f>'Costing 100 Lmin Feed Orig'!DI65</f>
        <v>14083914.336508472</v>
      </c>
      <c r="CR65">
        <f>'Costing 100 Lmin Feed Orig'!DJ65</f>
        <v>1662824.8986326549</v>
      </c>
      <c r="CS65">
        <f>CN65*(BK65/10000)^0.72*((A65+1)/3)^0.6*('CAPEX+OPEX'!$G$116/'CAPEX+OPEX'!$G$114)</f>
        <v>800322.53402245743</v>
      </c>
      <c r="CT65">
        <f>CO65*(BK65/10000)^0.72*((A65+1)/3)^0.6*('CAPEX+OPEX'!$G$116/'CAPEX+OPEX'!$G$114)</f>
        <v>2058257.9318883498</v>
      </c>
      <c r="CU65">
        <f>CP65*(BK65/10000)^0.72*((A65+1)/3)^0.6*('CAPEX+OPEX'!$G$116/'CAPEX+OPEX'!$G$114)</f>
        <v>397035.437708179</v>
      </c>
      <c r="CV65">
        <f>CQ65*(BK65/10000)^0.72*((A65+1)/3)^0.6*('CAPEX+OPEX'!$G$116/'CAPEX+OPEX'!$G$114)</f>
        <v>2457713.856163613</v>
      </c>
      <c r="CW65">
        <f>CR65*(BK65/10000)^0.72*((A65+1)/3)^0.6*('CAPEX+OPEX'!$G$116/'CAPEX+OPEX'!$G$114)</f>
        <v>290171.30437591631</v>
      </c>
      <c r="CX65">
        <f t="shared" si="14"/>
        <v>6003501.064158516</v>
      </c>
      <c r="CY65">
        <f>CN65*(BM65/10000)^0.72*((AF65+1)/3)^0.6*('CAPEX+OPEX'!$G$116/'CAPEX+OPEX'!$G$114)</f>
        <v>661087.79766298935</v>
      </c>
      <c r="CZ65">
        <f>CO65*(BM65/10000)^0.72*((AF65+1)/3)^0.6*('CAPEX+OPEX'!$G$116/'CAPEX+OPEX'!$G$114)</f>
        <v>1700176.0482434032</v>
      </c>
      <c r="DA65">
        <f>CP65*(BM65/10000)^0.72*((AF65+1)/3)^0.6*('CAPEX+OPEX'!$G$116/'CAPEX+OPEX'!$G$114)</f>
        <v>327961.88030524191</v>
      </c>
      <c r="DB65">
        <f>CQ65*(BM65/10000)^0.72*((AF65+1)/3)^0.6*('CAPEX+OPEX'!$G$116/'CAPEX+OPEX'!$G$114)</f>
        <v>2030137.3151282831</v>
      </c>
      <c r="DC65">
        <f>CR65*(BM65/10000)^0.72*((AF65+1)/3)^0.6*('CAPEX+OPEX'!$G$116/'CAPEX+OPEX'!$G$114)</f>
        <v>239689.25077085066</v>
      </c>
      <c r="DD65">
        <f t="shared" si="15"/>
        <v>4959052.2921107681</v>
      </c>
      <c r="DE65">
        <f>CX65+DD65+1.15*(SUM(CI65:CL65)+SUM(CB65:CE65))</f>
        <v>11034038.683406331</v>
      </c>
      <c r="DF65">
        <f t="shared" si="16"/>
        <v>735602.57889375533</v>
      </c>
      <c r="DG65">
        <f>(BS65+BT65)*'Oxidant Feed Composition'!$N$25*60*7200</f>
        <v>14827637.154232664</v>
      </c>
      <c r="DH65">
        <f>((CG65+CH65)*'Reagent cost'!$C$17/1000*'Reagent cost'!$H$17+(CG65+CH65)*0.5*'Reagent cost'!$C$16/1000*'Reagent cost'!$H$16)*60*7200</f>
        <v>5909149.7728916863</v>
      </c>
      <c r="DI65">
        <f>CF65*'Reagent cost'!$C$17/1000*'Reagent cost'!$H$17*60*7200</f>
        <v>504921.59999999998</v>
      </c>
      <c r="DJ65">
        <f t="shared" si="17"/>
        <v>78.70059317904223</v>
      </c>
      <c r="DK65">
        <f t="shared" si="18"/>
        <v>799.63328722496203</v>
      </c>
      <c r="DL65">
        <f t="shared" si="19"/>
        <v>25491104.233205706</v>
      </c>
      <c r="DM65">
        <f>BK65*(B65*(409.81+2)/1000+C65*(248.2+2*22.99)/1000+D65*(315.6+3*22.99)/1000+0.1*58.44/1000)</f>
        <v>0.70639694042110623</v>
      </c>
      <c r="DN65">
        <f>(BS65+BT65)/1000*('Oxidant Feed Composition'!$B$11*'Oxidant Feed Composition'!$O$20+'Oxidant Feed Composition'!$D$11*'Oxidant Feed Composition'!$O$21+'Oxidant Feed Composition'!$F$11*'Oxidant Feed Composition'!$O$27-'Oxidant Feed Composition'!$J$15*18.015)</f>
        <v>2.1501606785294545</v>
      </c>
      <c r="DO65">
        <f>(BU65+BV65)/1000*(0.2*368.34+0.4*58.44)</f>
        <v>1.4889256238255253</v>
      </c>
      <c r="DP65">
        <f>BK65/1000*(B65*195.08+C65*106.42+D65*102.91)</f>
        <v>4.999938342565946E-2</v>
      </c>
      <c r="DQ65">
        <f>SUM(DM65:DO65)-DP65</f>
        <v>4.2954838593504263</v>
      </c>
      <c r="DR65">
        <f>DQ65*60*7200*0.33</f>
        <v>612364.17898899678</v>
      </c>
      <c r="DS65">
        <v>1.2</v>
      </c>
      <c r="DT65">
        <f>BM65/60*(AM65*4+AN65*2+AO65*3)*96485/DV65</f>
        <v>1405.7198464932956</v>
      </c>
      <c r="DU65">
        <f>BN65*BA65*(AP65*4+AQ65*2+AR65*3)*96485/DV65/60</f>
        <v>705.98397525229223</v>
      </c>
      <c r="DV65">
        <v>0.7</v>
      </c>
      <c r="DW65">
        <f>0.499*((BK65/3.78541*15)^(-0.146))*BK65/3.78541*15*300*(1+(A65-2)/9)</f>
        <v>44032.441905260595</v>
      </c>
      <c r="DX65">
        <f>0.248*((BK65/3.78541*15)^(-0.144))*BK65/3.78541*15*300*(1+(A65-2)/3)</f>
        <v>41526.098972294596</v>
      </c>
      <c r="DY65">
        <f>0.105*((BK65/3.78541*15)^(-0.144))*BK65/3.78541*15*300*(1+(A65-2)/3)</f>
        <v>17581.614484237631</v>
      </c>
      <c r="DZ65">
        <f>0.058*((BK65/3.78541*15)^(-0.151))*BK65/3.78541*15*300*(1+(A65-2)/3)</f>
        <v>9313.4716969742931</v>
      </c>
      <c r="EA65">
        <f>0.056*((BK65/3.78541*15)^(-0.144))*BK65/3.78541*15*300*(1+(A65-2)/3)</f>
        <v>9376.8610582600722</v>
      </c>
      <c r="EB65">
        <f>DS65*DT65/(3.6*10^6)*3600*7200*0.07</f>
        <v>850.17936315914517</v>
      </c>
      <c r="EC65">
        <f>0.499*((BM65/3.78541*15)^(-0.146))*BM65/3.78541*15*300*(1+(AF65-2)/9)</f>
        <v>35999.313968649723</v>
      </c>
      <c r="ED65">
        <f>0.248*((BM65/3.78541*15)^(-0.144))*BM65/3.78541*15*300*(1+(AF65-2)/3)</f>
        <v>31035.265656599127</v>
      </c>
      <c r="EE65">
        <f>0.105*((BM65/3.78541*15)^(-0.144))*BM65/3.78541*15*300*(1+(AF65-2)/3)</f>
        <v>13139.93102396334</v>
      </c>
      <c r="EF65">
        <f>0.058*((BM65/3.78541*15)^(-0.151))*BM65/3.78541*15*300*(1+(AF65-2)/3)</f>
        <v>6964.46283324246</v>
      </c>
      <c r="EG65">
        <f>0.056*((BM65/3.78541*15)^(-0.144))*BM65/3.78541*15*300*(1+(AF65-2)/3)</f>
        <v>7007.963212780448</v>
      </c>
      <c r="EH65">
        <f>DS65*DU65/(3.6*10^6)*3600*7200*0.07</f>
        <v>426.97910823258638</v>
      </c>
      <c r="EI65">
        <f>SUM(DW65:EH65)</f>
        <v>217254.58328365404</v>
      </c>
      <c r="EJ65">
        <f>EI65+DR65+DL65</f>
        <v>26320722.995478358</v>
      </c>
      <c r="EK65">
        <f>EJ65+DF65</f>
        <v>27056325.574372113</v>
      </c>
      <c r="EL65">
        <f>EK65/(BK65*60*7200)</f>
        <v>0.62630383274009516</v>
      </c>
      <c r="EM65">
        <f>EK65/(BM65*(AM65*195.084/1000+AN65*106.42/1000+AO65*102.911/1000)*60*7200)</f>
        <v>2095.5299587964737</v>
      </c>
      <c r="EN65">
        <f>EK65/(BN65*BA65*(AP65*195.084/1000+AQ65*106.42/1000+AR65*102.911/1000)*60*7200)</f>
        <v>3844.4395326155081</v>
      </c>
    </row>
    <row r="66" spans="1:144">
      <c r="A66">
        <f>'Costing 100 Lmin Feed Orig'!A66</f>
        <v>9</v>
      </c>
      <c r="B66">
        <f>'Costing 100 Lmin Feed Orig'!B66</f>
        <v>1.54143585092054E-3</v>
      </c>
      <c r="C66">
        <f>'Costing 100 Lmin Feed Orig'!C66</f>
        <v>1.54143585092054E-3</v>
      </c>
      <c r="D66">
        <f>'Costing 100 Lmin Feed Orig'!D66</f>
        <v>3.4254130020456501E-4</v>
      </c>
      <c r="E66">
        <f>'Costing 100 Lmin Feed Orig'!E66</f>
        <v>0</v>
      </c>
      <c r="F66">
        <f>'Costing 100 Lmin Feed Orig'!F66</f>
        <v>0</v>
      </c>
      <c r="G66">
        <f>'Costing 100 Lmin Feed Orig'!G66</f>
        <v>0</v>
      </c>
      <c r="H66">
        <f>'Costing 100 Lmin Feed Orig'!H66</f>
        <v>1.7768596981705501E-5</v>
      </c>
      <c r="I66">
        <f>'Costing 100 Lmin Feed Orig'!I66</f>
        <v>1.5331283704498101E-9</v>
      </c>
      <c r="J66">
        <f>'Costing 100 Lmin Feed Orig'!J66</f>
        <v>3.3763247208936601E-4</v>
      </c>
      <c r="K66">
        <f>'Costing 100 Lmin Feed Orig'!K66</f>
        <v>0.13890601070001499</v>
      </c>
      <c r="L66">
        <f>'Costing 100 Lmin Feed Orig'!L66</f>
        <v>0.14052575540227799</v>
      </c>
      <c r="M66">
        <f>'Costing 100 Lmin Feed Orig'!M66</f>
        <v>4.4751616793740602E-4</v>
      </c>
      <c r="N66">
        <f>'Costing 100 Lmin Feed Orig'!N66</f>
        <v>-5.0090140368830299E-17</v>
      </c>
      <c r="O66">
        <f>'Costing 100 Lmin Feed Orig'!O66</f>
        <v>-6.2343793322261397E-15</v>
      </c>
      <c r="P66">
        <f>'Costing 100 Lmin Feed Orig'!P66</f>
        <v>1.7787691892340301E-20</v>
      </c>
      <c r="Q66">
        <f>'Costing 100 Lmin Feed Orig'!Q66</f>
        <v>0.10969051996097</v>
      </c>
      <c r="R66">
        <f>'Costing 100 Lmin Feed Orig'!R66</f>
        <v>98.566938318892298</v>
      </c>
      <c r="S66">
        <f>'Costing 100 Lmin Feed Orig'!S66</f>
        <v>500</v>
      </c>
      <c r="T66">
        <f>'Costing 100 Lmin Feed Orig'!T66</f>
        <v>95</v>
      </c>
      <c r="U66">
        <f>'Costing 100 Lmin Feed Orig'!U66</f>
        <v>1</v>
      </c>
      <c r="V66">
        <f>'Costing 100 Lmin Feed Orig'!V66</f>
        <v>0.1</v>
      </c>
      <c r="W66">
        <f>'Costing 100 Lmin Feed Orig'!W66</f>
        <v>91.165581160141301</v>
      </c>
      <c r="X66" t="str">
        <f>'Costing 100 Lmin Feed Orig'!X66</f>
        <v>ddFc</v>
      </c>
      <c r="Y66">
        <f>'Costing 100 Lmin Feed Orig'!Y66</f>
        <v>1</v>
      </c>
      <c r="Z66">
        <f>'Costing 100 Lmin Feed Orig'!Z66</f>
        <v>0.28318429382522198</v>
      </c>
      <c r="AA66">
        <f>'Costing 100 Lmin Feed Orig'!AA66</f>
        <v>0.56945642916197003</v>
      </c>
      <c r="AB66">
        <f>'Costing 100 Lmin Feed Orig'!AB66</f>
        <v>3.7698628972227502E-3</v>
      </c>
      <c r="AC66">
        <f>'Costing 100 Lmin Feed Orig'!AC66</f>
        <v>1822.2107908876901</v>
      </c>
      <c r="AD66">
        <f>'Costing 100 Lmin Feed Orig'!AD66</f>
        <v>2662.6059073104898</v>
      </c>
      <c r="AE66">
        <f>'Costing 100 Lmin Feed Orig'!AE66</f>
        <v>2401.5030938442701</v>
      </c>
      <c r="AF66">
        <f>'Costing 100 Lmin Feed Orig'!AF66</f>
        <v>8</v>
      </c>
      <c r="AG66">
        <f>'Costing 100 Lmin Feed Orig'!AG66</f>
        <v>1.6497485970141401E-3</v>
      </c>
      <c r="AH66">
        <f>'Costing 100 Lmin Feed Orig'!AH66</f>
        <v>1.6689858606617799E-3</v>
      </c>
      <c r="AI66">
        <f>'Costing 100 Lmin Feed Orig'!AI66</f>
        <v>5.3150268046377499E-6</v>
      </c>
      <c r="AJ66">
        <f>'Costing 100 Lmin Feed Orig'!AJ66</f>
        <v>0</v>
      </c>
      <c r="AK66">
        <f>'Costing 100 Lmin Feed Orig'!AK66</f>
        <v>0</v>
      </c>
      <c r="AL66">
        <f>'Costing 100 Lmin Feed Orig'!AL66</f>
        <v>0</v>
      </c>
      <c r="AM66">
        <f>'Costing 100 Lmin Feed Orig'!AM66</f>
        <v>1.6127468294673999E-3</v>
      </c>
      <c r="AN66">
        <f>'Costing 100 Lmin Feed Orig'!AN66</f>
        <v>7.9601388937146201E-5</v>
      </c>
      <c r="AO66">
        <f>'Costing 100 Lmin Feed Orig'!AO66</f>
        <v>5.2800231400846897E-6</v>
      </c>
      <c r="AP66">
        <f>'Costing 100 Lmin Feed Orig'!AP66</f>
        <v>1.73508600246416E-3</v>
      </c>
      <c r="AQ66">
        <f>'Costing 100 Lmin Feed Orig'!AQ66</f>
        <v>7.4529378862327897E-2</v>
      </c>
      <c r="AR66">
        <f>'Costing 100 Lmin Feed Orig'!AR66</f>
        <v>1.6413910047206701E-6</v>
      </c>
      <c r="AS66">
        <f>'Costing 100 Lmin Feed Orig'!AS66</f>
        <v>5.1001480057440096E-15</v>
      </c>
      <c r="AT66">
        <f>'Costing 100 Lmin Feed Orig'!AT66</f>
        <v>-1.1878935335385401E-12</v>
      </c>
      <c r="AU66">
        <f>'Costing 100 Lmin Feed Orig'!AU66</f>
        <v>2.3339728163796199E-20</v>
      </c>
      <c r="AV66">
        <f>'Costing 100 Lmin Feed Orig'!AV66</f>
        <v>0.19695809292209099</v>
      </c>
      <c r="AW66">
        <f>'Costing 100 Lmin Feed Orig'!AW66</f>
        <v>99.341420733334502</v>
      </c>
      <c r="AX66">
        <f>'Costing 100 Lmin Feed Orig'!AX66</f>
        <v>500</v>
      </c>
      <c r="AY66">
        <f>'Costing 100 Lmin Feed Orig'!AY66</f>
        <v>95</v>
      </c>
      <c r="AZ66">
        <f>'Costing 100 Lmin Feed Orig'!AZ66</f>
        <v>0.92357542033771201</v>
      </c>
      <c r="BA66">
        <f>'Costing 100 Lmin Feed Orig'!BA66</f>
        <v>0.1</v>
      </c>
      <c r="BB66">
        <f>'Costing 100 Lmin Feed Orig'!BB66</f>
        <v>46.891976188205703</v>
      </c>
      <c r="BC66" t="str">
        <f>'Costing 100 Lmin Feed Orig'!BC66</f>
        <v>coeFc</v>
      </c>
      <c r="BD66">
        <f>'Costing 100 Lmin Feed Orig'!BD66</f>
        <v>1</v>
      </c>
      <c r="BE66">
        <f>'Costing 100 Lmin Feed Orig'!BE66</f>
        <v>1.8775014999999999E-2</v>
      </c>
      <c r="BF66">
        <f>'Costing 100 Lmin Feed Orig'!BF66</f>
        <v>0.10492961100000001</v>
      </c>
      <c r="BG66">
        <f>'Costing 100 Lmin Feed Orig'!BG66</f>
        <v>1.814625E-3</v>
      </c>
      <c r="BH66">
        <f>'Costing 100 Lmin Feed Orig'!BH66</f>
        <v>285.1951444</v>
      </c>
      <c r="BI66">
        <f>'Costing 100 Lmin Feed Orig'!BI66</f>
        <v>2169.8944889999998</v>
      </c>
      <c r="BJ66">
        <f>'Costing 100 Lmin Feed Orig'!BJ66</f>
        <v>866.49409060000005</v>
      </c>
      <c r="BK66">
        <f>'Costing 100 Lmin Feed Orig'!BK66</f>
        <v>100</v>
      </c>
      <c r="BL66">
        <f>'Costing 100 Lmin Feed Orig'!BL66</f>
        <v>10.969051996096999</v>
      </c>
      <c r="BM66">
        <f>'Costing 100 Lmin Feed Orig'!BM66</f>
        <v>92.357542033771196</v>
      </c>
      <c r="BN66">
        <f>'Costing 100 Lmin Feed Orig'!BN66</f>
        <v>19.695809292209098</v>
      </c>
      <c r="BO66">
        <f t="shared" si="1"/>
        <v>241.31914391413397</v>
      </c>
      <c r="BP66">
        <f t="shared" si="2"/>
        <v>393.916185844182</v>
      </c>
      <c r="BQ66">
        <f t="shared" si="3"/>
        <v>24.1319143914134</v>
      </c>
      <c r="BR66">
        <f t="shared" si="4"/>
        <v>39.391618584418204</v>
      </c>
      <c r="BS66">
        <f>1.2*0.5*BL66*V66/'Oxidant Feed Composition'!$N$22</f>
        <v>6.5814311976581994</v>
      </c>
      <c r="BT66">
        <f>1.2*0.5*BN66*BA66/'Oxidant Feed Composition'!$N$22</f>
        <v>11.817485575325458</v>
      </c>
      <c r="BU66">
        <f t="shared" si="5"/>
        <v>5.4845259980484995</v>
      </c>
      <c r="BV66">
        <f t="shared" si="6"/>
        <v>9.8479046461045492</v>
      </c>
      <c r="BW66">
        <f t="shared" si="7"/>
        <v>86.873016035722699</v>
      </c>
      <c r="BX66">
        <f t="shared" ref="BX66:BX101" si="21">(BS66+BL66)*2</f>
        <v>35.100966387510397</v>
      </c>
      <c r="BY66">
        <f t="shared" si="8"/>
        <v>206.65318805973638</v>
      </c>
      <c r="BZ66">
        <f t="shared" si="9"/>
        <v>63.026589735069109</v>
      </c>
      <c r="CA66">
        <f t="shared" si="10"/>
        <v>59.087427876627295</v>
      </c>
      <c r="CB66">
        <f>BO66*'Reagent cost'!$G$11*'Reagent cost'!$H$11</f>
        <v>3185.4126996665682</v>
      </c>
      <c r="CC66">
        <f>BP66*'Reagent cost'!$G$11*'Reagent cost'!$H$11</f>
        <v>5199.6936531432029</v>
      </c>
      <c r="CD66">
        <f>BQ66*'Reagent cost'!$C$18/1000*'Reagent cost'!$H$18</f>
        <v>3848.5686313477631</v>
      </c>
      <c r="CE66">
        <f>BR66*'Ligand cost'!$B$56*'Ligand cost'!$J$56</f>
        <v>40105.699286632342</v>
      </c>
      <c r="CF66">
        <f t="shared" si="11"/>
        <v>10</v>
      </c>
      <c r="CG66">
        <f t="shared" si="12"/>
        <v>2.1938103992193998</v>
      </c>
      <c r="CH66">
        <f t="shared" si="13"/>
        <v>3.9391618584418198</v>
      </c>
      <c r="CI66">
        <f>7963.6*(BX66/1000)^0.6*1.7*('CAPEX+OPEX'!$G$116/'CAPEX+OPEX'!$G$115)</f>
        <v>2140.0916471558648</v>
      </c>
      <c r="CJ66">
        <f>7963.6*(BY66/1000)^0.6*1.7*('CAPEX+OPEX'!$G$116/'CAPEX+OPEX'!$G$115)</f>
        <v>6199.9215410229135</v>
      </c>
      <c r="CK66">
        <f>7963.6*(BZ66/1000)^0.6*1.7*('CAPEX+OPEX'!$G$116/'CAPEX+OPEX'!$G$115)</f>
        <v>3040.5714489227012</v>
      </c>
      <c r="CL66">
        <f>7963.6*(CA66/1000)^0.6*1.7*('CAPEX+OPEX'!$G$116/'CAPEX+OPEX'!$G$115)</f>
        <v>2925.0815530785185</v>
      </c>
      <c r="CM66">
        <f>'Costing 100 Lmin Feed Orig'!DE66</f>
        <v>39625.826528698344</v>
      </c>
      <c r="CN66">
        <f>'Costing 100 Lmin Feed Orig'!DF66</f>
        <v>4586243.4239371875</v>
      </c>
      <c r="CO66">
        <f>'Costing 100 Lmin Feed Orig'!DG66</f>
        <v>11794834.586807497</v>
      </c>
      <c r="CP66">
        <f>'Costing 100 Lmin Feed Orig'!DH66</f>
        <v>2275209.1661185985</v>
      </c>
      <c r="CQ66">
        <f>'Costing 100 Lmin Feed Orig'!DI66</f>
        <v>14083914.336508472</v>
      </c>
      <c r="CR66">
        <f>'Costing 100 Lmin Feed Orig'!DJ66</f>
        <v>1662824.8986326549</v>
      </c>
      <c r="CS66">
        <f>CN66*(BK66/10000)^0.72*((A66+1)/3)^0.6*('CAPEX+OPEX'!$G$116/'CAPEX+OPEX'!$G$114)</f>
        <v>800322.53402245743</v>
      </c>
      <c r="CT66">
        <f>CO66*(BK66/10000)^0.72*((A66+1)/3)^0.6*('CAPEX+OPEX'!$G$116/'CAPEX+OPEX'!$G$114)</f>
        <v>2058257.9318883498</v>
      </c>
      <c r="CU66">
        <f>CP66*(BK66/10000)^0.72*((A66+1)/3)^0.6*('CAPEX+OPEX'!$G$116/'CAPEX+OPEX'!$G$114)</f>
        <v>397035.437708179</v>
      </c>
      <c r="CV66">
        <f>CQ66*(BK66/10000)^0.72*((A66+1)/3)^0.6*('CAPEX+OPEX'!$G$116/'CAPEX+OPEX'!$G$114)</f>
        <v>2457713.856163613</v>
      </c>
      <c r="CW66">
        <f>CR66*(BK66/10000)^0.72*((A66+1)/3)^0.6*('CAPEX+OPEX'!$G$116/'CAPEX+OPEX'!$G$114)</f>
        <v>290171.30437591631</v>
      </c>
      <c r="CX66">
        <f t="shared" si="14"/>
        <v>6003501.064158516</v>
      </c>
      <c r="CY66">
        <f>CN66*(BM66/10000)^0.72*((AF66+1)/3)^0.6*('CAPEX+OPEX'!$G$116/'CAPEX+OPEX'!$G$114)</f>
        <v>709497.14876377874</v>
      </c>
      <c r="CZ66">
        <f>CO66*(BM66/10000)^0.72*((AF66+1)/3)^0.6*('CAPEX+OPEX'!$G$116/'CAPEX+OPEX'!$G$114)</f>
        <v>1824674.5181040205</v>
      </c>
      <c r="DA66">
        <f>CP66*(BM66/10000)^0.72*((AF66+1)/3)^0.6*('CAPEX+OPEX'!$G$116/'CAPEX+OPEX'!$G$114)</f>
        <v>351977.48287345789</v>
      </c>
      <c r="DB66">
        <f>CQ66*(BM66/10000)^0.72*((AF66+1)/3)^0.6*('CAPEX+OPEX'!$G$116/'CAPEX+OPEX'!$G$114)</f>
        <v>2178797.7962599574</v>
      </c>
      <c r="DC66">
        <f>CR66*(BM66/10000)^0.72*((AF66+1)/3)^0.6*('CAPEX+OPEX'!$G$116/'CAPEX+OPEX'!$G$114)</f>
        <v>257240.93019477848</v>
      </c>
      <c r="DD66">
        <f t="shared" si="15"/>
        <v>5322187.8761959933</v>
      </c>
      <c r="DE66">
        <f>CX66+DD66+1.15*(SUM(CI66:CL66)+SUM(CB66:CE66))</f>
        <v>11402330.736884624</v>
      </c>
      <c r="DF66">
        <f t="shared" si="16"/>
        <v>760155.38245897496</v>
      </c>
      <c r="DG66">
        <f>(BS66+BT66)*'Oxidant Feed Composition'!$N$25*60*7200</f>
        <v>14817626.511431368</v>
      </c>
      <c r="DH66">
        <f>((CG66+CH66)*'Reagent cost'!$C$17/1000*'Reagent cost'!$H$17+(CG66+CH66)*0.5*'Reagent cost'!$C$16/1000*'Reagent cost'!$H$16)*60*7200</f>
        <v>5905160.3046426009</v>
      </c>
      <c r="DI66">
        <f>CF66*'Reagent cost'!$C$17/1000*'Reagent cost'!$H$17*60*7200</f>
        <v>504921.59999999998</v>
      </c>
      <c r="DJ66">
        <f t="shared" si="17"/>
        <v>83.851063528097711</v>
      </c>
      <c r="DK66">
        <f t="shared" si="18"/>
        <v>879.08535835960208</v>
      </c>
      <c r="DL66">
        <f t="shared" si="19"/>
        <v>25474405.622995026</v>
      </c>
      <c r="DM66">
        <f>BK66*(B66*(409.81+2)/1000+C66*(248.2+2*22.99)/1000+D66*(315.6+3*22.99)/1000+0.1*58.44/1000)</f>
        <v>0.70639694042110623</v>
      </c>
      <c r="DN66">
        <f>(BS66+BT66)/1000*('Oxidant Feed Composition'!$B$11*'Oxidant Feed Composition'!$O$20+'Oxidant Feed Composition'!$D$11*'Oxidant Feed Composition'!$O$21+'Oxidant Feed Composition'!$F$11*'Oxidant Feed Composition'!$O$27-'Oxidant Feed Composition'!$J$15*18.015)</f>
        <v>2.1487090318311806</v>
      </c>
      <c r="DO66">
        <f>(BU66+BV66)/1000*(0.2*368.34+0.4*58.44)</f>
        <v>1.4879203994311885</v>
      </c>
      <c r="DP66">
        <f>BK66/1000*(B66*195.08+C66*106.42+D66*102.91)</f>
        <v>4.999938342565946E-2</v>
      </c>
      <c r="DQ66">
        <f>SUM(DM66:DO66)-DP66</f>
        <v>4.2930269882578154</v>
      </c>
      <c r="DR66">
        <f>DQ66*60*7200*0.33</f>
        <v>612013.92744603415</v>
      </c>
      <c r="DS66">
        <v>1.2</v>
      </c>
      <c r="DT66">
        <f>BM66/60*(AM66*4+AN66*2+AO66*3)*96485/DV66</f>
        <v>1405.8412615116492</v>
      </c>
      <c r="DU66">
        <f>BN66*BA66*(AP66*4+AQ66*2+AR66*3)*96485/DV66/60</f>
        <v>705.86256077424412</v>
      </c>
      <c r="DV66">
        <v>0.7</v>
      </c>
      <c r="DW66">
        <f>0.499*((BK66/3.78541*15)^(-0.146))*BK66/3.78541*15*300*(1+(A66-2)/9)</f>
        <v>44032.441905260595</v>
      </c>
      <c r="DX66">
        <f>0.248*((BK66/3.78541*15)^(-0.144))*BK66/3.78541*15*300*(1+(A66-2)/3)</f>
        <v>41526.098972294596</v>
      </c>
      <c r="DY66">
        <f>0.105*((BK66/3.78541*15)^(-0.144))*BK66/3.78541*15*300*(1+(A66-2)/3)</f>
        <v>17581.614484237631</v>
      </c>
      <c r="DZ66">
        <f>0.058*((BK66/3.78541*15)^(-0.151))*BK66/3.78541*15*300*(1+(A66-2)/3)</f>
        <v>9313.4716969742931</v>
      </c>
      <c r="EA66">
        <f>0.056*((BK66/3.78541*15)^(-0.144))*BK66/3.78541*15*300*(1+(A66-2)/3)</f>
        <v>9376.8610582600722</v>
      </c>
      <c r="EB66">
        <f>DS66*DT66/(3.6*10^6)*3600*7200*0.07</f>
        <v>850.25279496224562</v>
      </c>
      <c r="EC66">
        <f>0.499*((BM66/3.78541*15)^(-0.146))*BM66/3.78541*15*300*(1+(AF66-2)/9)</f>
        <v>38570.693537838983</v>
      </c>
      <c r="ED66">
        <f>0.248*((BM66/3.78541*15)^(-0.144))*BM66/3.78541*15*300*(1+(AF66-2)/3)</f>
        <v>34914.673863674019</v>
      </c>
      <c r="EE66">
        <f>0.105*((BM66/3.78541*15)^(-0.144))*BM66/3.78541*15*300*(1+(AF66-2)/3)</f>
        <v>14782.422401958756</v>
      </c>
      <c r="EF66">
        <f>0.058*((BM66/3.78541*15)^(-0.151))*BM66/3.78541*15*300*(1+(AF66-2)/3)</f>
        <v>7835.0206873977668</v>
      </c>
      <c r="EG66">
        <f>0.056*((BM66/3.78541*15)^(-0.144))*BM66/3.78541*15*300*(1+(AF66-2)/3)</f>
        <v>7883.9586143780034</v>
      </c>
      <c r="EH66">
        <f>DS66*DU66/(3.6*10^6)*3600*7200*0.07</f>
        <v>426.90567675626289</v>
      </c>
      <c r="EI66">
        <f>SUM(DW66:EH66)</f>
        <v>227094.41569399321</v>
      </c>
      <c r="EJ66">
        <f>EI66+DR66+DL66</f>
        <v>26313513.966135055</v>
      </c>
      <c r="EK66">
        <f>EJ66+DF66</f>
        <v>27073669.348594029</v>
      </c>
      <c r="EL66">
        <f>EK66/(BK66*60*7200)</f>
        <v>0.62670530899523214</v>
      </c>
      <c r="EM66">
        <f>EK66/(BM66*(AM66*195.084/1000+AN66*106.42/1000+AO66*102.911/1000)*60*7200)</f>
        <v>2096.6920376854537</v>
      </c>
      <c r="EN66">
        <f>EK66/(BN66*BA66*(AP66*195.084/1000+AQ66*106.42/1000+AR66*102.911/1000)*60*7200)</f>
        <v>3847.5139547203216</v>
      </c>
    </row>
    <row r="67" spans="1:144">
      <c r="A67">
        <f>'Costing 100 Lmin Feed Orig'!A67</f>
        <v>9</v>
      </c>
      <c r="B67">
        <f>'Costing 100 Lmin Feed Orig'!B67</f>
        <v>1.54143585092054E-3</v>
      </c>
      <c r="C67">
        <f>'Costing 100 Lmin Feed Orig'!C67</f>
        <v>1.54143585092054E-3</v>
      </c>
      <c r="D67">
        <f>'Costing 100 Lmin Feed Orig'!D67</f>
        <v>3.4254130020456501E-4</v>
      </c>
      <c r="E67">
        <f>'Costing 100 Lmin Feed Orig'!E67</f>
        <v>0</v>
      </c>
      <c r="F67">
        <f>'Costing 100 Lmin Feed Orig'!F67</f>
        <v>0</v>
      </c>
      <c r="G67">
        <f>'Costing 100 Lmin Feed Orig'!G67</f>
        <v>0</v>
      </c>
      <c r="H67">
        <f>'Costing 100 Lmin Feed Orig'!H67</f>
        <v>1.7768596981705501E-5</v>
      </c>
      <c r="I67">
        <f>'Costing 100 Lmin Feed Orig'!I67</f>
        <v>1.5331283704498101E-9</v>
      </c>
      <c r="J67">
        <f>'Costing 100 Lmin Feed Orig'!J67</f>
        <v>3.3763247208936601E-4</v>
      </c>
      <c r="K67">
        <f>'Costing 100 Lmin Feed Orig'!K67</f>
        <v>0.13890601070001499</v>
      </c>
      <c r="L67">
        <f>'Costing 100 Lmin Feed Orig'!L67</f>
        <v>0.14052575540227799</v>
      </c>
      <c r="M67">
        <f>'Costing 100 Lmin Feed Orig'!M67</f>
        <v>4.4751616793740602E-4</v>
      </c>
      <c r="N67">
        <f>'Costing 100 Lmin Feed Orig'!N67</f>
        <v>-5.0090140368830299E-17</v>
      </c>
      <c r="O67">
        <f>'Costing 100 Lmin Feed Orig'!O67</f>
        <v>-6.2343793322261397E-15</v>
      </c>
      <c r="P67">
        <f>'Costing 100 Lmin Feed Orig'!P67</f>
        <v>1.7787691892340301E-20</v>
      </c>
      <c r="Q67">
        <f>'Costing 100 Lmin Feed Orig'!Q67</f>
        <v>0.10969051996097</v>
      </c>
      <c r="R67">
        <f>'Costing 100 Lmin Feed Orig'!R67</f>
        <v>98.566938318892298</v>
      </c>
      <c r="S67">
        <f>'Costing 100 Lmin Feed Orig'!S67</f>
        <v>500</v>
      </c>
      <c r="T67">
        <f>'Costing 100 Lmin Feed Orig'!T67</f>
        <v>95</v>
      </c>
      <c r="U67">
        <f>'Costing 100 Lmin Feed Orig'!U67</f>
        <v>1</v>
      </c>
      <c r="V67">
        <f>'Costing 100 Lmin Feed Orig'!V67</f>
        <v>0.1</v>
      </c>
      <c r="W67">
        <f>'Costing 100 Lmin Feed Orig'!W67</f>
        <v>91.165581160141301</v>
      </c>
      <c r="X67" t="str">
        <f>'Costing 100 Lmin Feed Orig'!X67</f>
        <v>ddFc</v>
      </c>
      <c r="Y67">
        <f>'Costing 100 Lmin Feed Orig'!Y67</f>
        <v>1</v>
      </c>
      <c r="Z67">
        <f>'Costing 100 Lmin Feed Orig'!Z67</f>
        <v>0.28318429382522198</v>
      </c>
      <c r="AA67">
        <f>'Costing 100 Lmin Feed Orig'!AA67</f>
        <v>0.56945642916197003</v>
      </c>
      <c r="AB67">
        <f>'Costing 100 Lmin Feed Orig'!AB67</f>
        <v>3.7698628972227502E-3</v>
      </c>
      <c r="AC67">
        <f>'Costing 100 Lmin Feed Orig'!AC67</f>
        <v>1822.2107908876901</v>
      </c>
      <c r="AD67">
        <f>'Costing 100 Lmin Feed Orig'!AD67</f>
        <v>2662.6059073104898</v>
      </c>
      <c r="AE67">
        <f>'Costing 100 Lmin Feed Orig'!AE67</f>
        <v>2401.5030938442701</v>
      </c>
      <c r="AF67">
        <f>'Costing 100 Lmin Feed Orig'!AF67</f>
        <v>9</v>
      </c>
      <c r="AG67">
        <f>'Costing 100 Lmin Feed Orig'!AG67</f>
        <v>1.6497485970141401E-3</v>
      </c>
      <c r="AH67">
        <f>'Costing 100 Lmin Feed Orig'!AH67</f>
        <v>1.6689858606617799E-3</v>
      </c>
      <c r="AI67">
        <f>'Costing 100 Lmin Feed Orig'!AI67</f>
        <v>5.3150268046377499E-6</v>
      </c>
      <c r="AJ67">
        <f>'Costing 100 Lmin Feed Orig'!AJ67</f>
        <v>0</v>
      </c>
      <c r="AK67">
        <f>'Costing 100 Lmin Feed Orig'!AK67</f>
        <v>0</v>
      </c>
      <c r="AL67">
        <f>'Costing 100 Lmin Feed Orig'!AL67</f>
        <v>0</v>
      </c>
      <c r="AM67">
        <f>'Costing 100 Lmin Feed Orig'!AM67</f>
        <v>1.6127861938138701E-3</v>
      </c>
      <c r="AN67">
        <f>'Costing 100 Lmin Feed Orig'!AN67</f>
        <v>7.9603425019377403E-5</v>
      </c>
      <c r="AO67">
        <f>'Costing 100 Lmin Feed Orig'!AO67</f>
        <v>5.2800588331914901E-6</v>
      </c>
      <c r="AP67">
        <f>'Costing 100 Lmin Feed Orig'!AP67</f>
        <v>1.7337552285219199E-3</v>
      </c>
      <c r="AQ67">
        <f>'Costing 100 Lmin Feed Orig'!AQ67</f>
        <v>7.4551432519081903E-2</v>
      </c>
      <c r="AR67">
        <f>'Costing 100 Lmin Feed Orig'!AR67</f>
        <v>1.64020458835788E-6</v>
      </c>
      <c r="AS67">
        <f>'Costing 100 Lmin Feed Orig'!AS67</f>
        <v>3.7486290113686297E-17</v>
      </c>
      <c r="AT67">
        <f>'Costing 100 Lmin Feed Orig'!AT67</f>
        <v>-4.9181578948287397E-15</v>
      </c>
      <c r="AU67">
        <f>'Costing 100 Lmin Feed Orig'!AU67</f>
        <v>-2.56756862136459E-21</v>
      </c>
      <c r="AV67">
        <f>'Costing 100 Lmin Feed Orig'!AV67</f>
        <v>0.19689957677272099</v>
      </c>
      <c r="AW67">
        <f>'Costing 100 Lmin Feed Orig'!AW67</f>
        <v>99.342092284167904</v>
      </c>
      <c r="AX67">
        <f>'Costing 100 Lmin Feed Orig'!AX67</f>
        <v>500</v>
      </c>
      <c r="AY67">
        <f>'Costing 100 Lmin Feed Orig'!AY67</f>
        <v>95</v>
      </c>
      <c r="AZ67">
        <f>'Costing 100 Lmin Feed Orig'!AZ67</f>
        <v>0.92357542033771201</v>
      </c>
      <c r="BA67">
        <f>'Costing 100 Lmin Feed Orig'!BA67</f>
        <v>0.1</v>
      </c>
      <c r="BB67">
        <f>'Costing 100 Lmin Feed Orig'!BB67</f>
        <v>46.905911910810303</v>
      </c>
      <c r="BC67" t="str">
        <f>'Costing 100 Lmin Feed Orig'!BC67</f>
        <v>coeFc</v>
      </c>
      <c r="BD67">
        <f>'Costing 100 Lmin Feed Orig'!BD67</f>
        <v>1</v>
      </c>
      <c r="BE67">
        <f>'Costing 100 Lmin Feed Orig'!BE67</f>
        <v>1.8775014999999999E-2</v>
      </c>
      <c r="BF67">
        <f>'Costing 100 Lmin Feed Orig'!BF67</f>
        <v>0.10492961100000001</v>
      </c>
      <c r="BG67">
        <f>'Costing 100 Lmin Feed Orig'!BG67</f>
        <v>1.814625E-3</v>
      </c>
      <c r="BH67">
        <f>'Costing 100 Lmin Feed Orig'!BH67</f>
        <v>285.1951444</v>
      </c>
      <c r="BI67">
        <f>'Costing 100 Lmin Feed Orig'!BI67</f>
        <v>2169.8944889999998</v>
      </c>
      <c r="BJ67">
        <f>'Costing 100 Lmin Feed Orig'!BJ67</f>
        <v>866.49409060000005</v>
      </c>
      <c r="BK67">
        <f>'Costing 100 Lmin Feed Orig'!BK67</f>
        <v>100</v>
      </c>
      <c r="BL67">
        <f>'Costing 100 Lmin Feed Orig'!BL67</f>
        <v>10.969051996096999</v>
      </c>
      <c r="BM67">
        <f>'Costing 100 Lmin Feed Orig'!BM67</f>
        <v>92.357542033771196</v>
      </c>
      <c r="BN67">
        <f>'Costing 100 Lmin Feed Orig'!BN67</f>
        <v>19.689957677272098</v>
      </c>
      <c r="BO67">
        <f t="shared" ref="BO67:BO101" si="22">(A67+2)*2*BL67</f>
        <v>241.31914391413397</v>
      </c>
      <c r="BP67">
        <f t="shared" ref="BP67:BP101" si="23">(AF67+2)*2*BN67</f>
        <v>433.17906889998613</v>
      </c>
      <c r="BQ67">
        <f t="shared" ref="BQ67:BQ101" si="24">BO67*V67</f>
        <v>24.1319143914134</v>
      </c>
      <c r="BR67">
        <f t="shared" ref="BR67:BR101" si="25">BP67*BA67</f>
        <v>43.317906889998618</v>
      </c>
      <c r="BS67">
        <f>1.2*0.5*BL67*V67/'Oxidant Feed Composition'!$N$22</f>
        <v>6.5814311976581994</v>
      </c>
      <c r="BT67">
        <f>1.2*0.5*BN67*BA67/'Oxidant Feed Composition'!$N$22</f>
        <v>11.813974606363256</v>
      </c>
      <c r="BU67">
        <f t="shared" ref="BU67:BU101" si="26">V67*BL67/0.2</f>
        <v>5.4845259980484995</v>
      </c>
      <c r="BV67">
        <f t="shared" ref="BV67:BV101" si="27">BA67*BN67/0.2</f>
        <v>9.8449788386360488</v>
      </c>
      <c r="BW67">
        <f t="shared" ref="BW67:BW101" si="28">BM67-BU67</f>
        <v>86.873016035722699</v>
      </c>
      <c r="BX67">
        <f t="shared" si="21"/>
        <v>35.100966387510397</v>
      </c>
      <c r="BY67">
        <f t="shared" ref="BY67:BY101" si="29">(BU67+BW67+BL67)*2</f>
        <v>206.65318805973638</v>
      </c>
      <c r="BZ67">
        <f t="shared" ref="BZ67:BZ101" si="30">(BT67+BN67)*2</f>
        <v>63.007864567270708</v>
      </c>
      <c r="CA67">
        <f t="shared" ref="CA67:CA101" si="31">(BV67+BN67)*2</f>
        <v>59.069873031816293</v>
      </c>
      <c r="CB67">
        <f>BO67*'Reagent cost'!$G$11*'Reagent cost'!$H$11</f>
        <v>3185.4126996665682</v>
      </c>
      <c r="CC67">
        <f>BP67*'Reagent cost'!$G$11*'Reagent cost'!$H$11</f>
        <v>5717.9637094798172</v>
      </c>
      <c r="CD67">
        <f>BQ67*'Reagent cost'!$C$18/1000*'Reagent cost'!$H$18</f>
        <v>3848.5686313477631</v>
      </c>
      <c r="CE67">
        <f>BR67*'Ligand cost'!$B$56*'Ligand cost'!$J$56</f>
        <v>44103.16229411884</v>
      </c>
      <c r="CF67">
        <f t="shared" ref="CF67:CF101" si="32">BK67*0.1</f>
        <v>10</v>
      </c>
      <c r="CG67">
        <f t="shared" ref="CG67:CG101" si="33">BU67*0.4</f>
        <v>2.1938103992193998</v>
      </c>
      <c r="CH67">
        <f t="shared" ref="CH67:CH101" si="34">BV67*0.4</f>
        <v>3.9379915354544197</v>
      </c>
      <c r="CI67">
        <f>7963.6*(BX67/1000)^0.6*1.7*('CAPEX+OPEX'!$G$116/'CAPEX+OPEX'!$G$115)</f>
        <v>2140.0916471558648</v>
      </c>
      <c r="CJ67">
        <f>7963.6*(BY67/1000)^0.6*1.7*('CAPEX+OPEX'!$G$116/'CAPEX+OPEX'!$G$115)</f>
        <v>6199.9215410229135</v>
      </c>
      <c r="CK67">
        <f>7963.6*(BZ67/1000)^0.6*1.7*('CAPEX+OPEX'!$G$116/'CAPEX+OPEX'!$G$115)</f>
        <v>3040.029405372095</v>
      </c>
      <c r="CL67">
        <f>7963.6*(CA67/1000)^0.6*1.7*('CAPEX+OPEX'!$G$116/'CAPEX+OPEX'!$G$115)</f>
        <v>2924.5600979450091</v>
      </c>
      <c r="CM67">
        <f>'Costing 100 Lmin Feed Orig'!DE67</f>
        <v>39625.826528698344</v>
      </c>
      <c r="CN67">
        <f>'Costing 100 Lmin Feed Orig'!DF67</f>
        <v>4586243.4239371875</v>
      </c>
      <c r="CO67">
        <f>'Costing 100 Lmin Feed Orig'!DG67</f>
        <v>11794834.586807497</v>
      </c>
      <c r="CP67">
        <f>'Costing 100 Lmin Feed Orig'!DH67</f>
        <v>2275209.1661185985</v>
      </c>
      <c r="CQ67">
        <f>'Costing 100 Lmin Feed Orig'!DI67</f>
        <v>14083914.336508472</v>
      </c>
      <c r="CR67">
        <f>'Costing 100 Lmin Feed Orig'!DJ67</f>
        <v>1662824.8986326549</v>
      </c>
      <c r="CS67">
        <f>CN67*(BK67/10000)^0.72*((A67+1)/3)^0.6*('CAPEX+OPEX'!$G$116/'CAPEX+OPEX'!$G$114)</f>
        <v>800322.53402245743</v>
      </c>
      <c r="CT67">
        <f>CO67*(BK67/10000)^0.72*((A67+1)/3)^0.6*('CAPEX+OPEX'!$G$116/'CAPEX+OPEX'!$G$114)</f>
        <v>2058257.9318883498</v>
      </c>
      <c r="CU67">
        <f>CP67*(BK67/10000)^0.72*((A67+1)/3)^0.6*('CAPEX+OPEX'!$G$116/'CAPEX+OPEX'!$G$114)</f>
        <v>397035.437708179</v>
      </c>
      <c r="CV67">
        <f>CQ67*(BK67/10000)^0.72*((A67+1)/3)^0.6*('CAPEX+OPEX'!$G$116/'CAPEX+OPEX'!$G$114)</f>
        <v>2457713.856163613</v>
      </c>
      <c r="CW67">
        <f>CR67*(BK67/10000)^0.72*((A67+1)/3)^0.6*('CAPEX+OPEX'!$G$116/'CAPEX+OPEX'!$G$114)</f>
        <v>290171.30437591631</v>
      </c>
      <c r="CX67">
        <f t="shared" ref="CX67:CX101" si="35">SUM(CS67:CW67)</f>
        <v>6003501.064158516</v>
      </c>
      <c r="CY67">
        <f>CN67*(BM67/10000)^0.72*((AF67+1)/3)^0.6*('CAPEX+OPEX'!$G$116/'CAPEX+OPEX'!$G$114)</f>
        <v>755796.97409698786</v>
      </c>
      <c r="CZ67">
        <f>CO67*(BM67/10000)^0.72*((AF67+1)/3)^0.6*('CAPEX+OPEX'!$G$116/'CAPEX+OPEX'!$G$114)</f>
        <v>1943747.740068865</v>
      </c>
      <c r="DA67">
        <f>CP67*(BM67/10000)^0.72*((AF67+1)/3)^0.6*('CAPEX+OPEX'!$G$116/'CAPEX+OPEX'!$G$114)</f>
        <v>374946.56175793061</v>
      </c>
      <c r="DB67">
        <f>CQ67*(BM67/10000)^0.72*((AF67+1)/3)^0.6*('CAPEX+OPEX'!$G$116/'CAPEX+OPEX'!$G$114)</f>
        <v>2320980.125785856</v>
      </c>
      <c r="DC67">
        <f>CR67*(BM67/10000)^0.72*((AF67+1)/3)^0.6*('CAPEX+OPEX'!$G$116/'CAPEX+OPEX'!$G$114)</f>
        <v>274027.76317546447</v>
      </c>
      <c r="DD67">
        <f t="shared" ref="DD67:DD101" si="36">SUM(CY67:DC67)</f>
        <v>5669499.1648851037</v>
      </c>
      <c r="DE67">
        <f>CX67+DD67+1.15*(SUM(CI67:CL67)+SUM(CB67:CE67))</f>
        <v>11754833.895573646</v>
      </c>
      <c r="DF67">
        <f t="shared" ref="DF67:DF101" si="37">DE67/15</f>
        <v>783655.59303824301</v>
      </c>
      <c r="DG67">
        <f>(BS67+BT67)*'Oxidant Feed Composition'!$N$25*60*7200</f>
        <v>14814798.941340314</v>
      </c>
      <c r="DH67">
        <f>((CG67+CH67)*'Reagent cost'!$C$17/1000*'Reagent cost'!$H$17+(CG67+CH67)*0.5*'Reagent cost'!$C$16/1000*'Reagent cost'!$H$16)*60*7200</f>
        <v>5904033.4538175082</v>
      </c>
      <c r="DI67">
        <f>CF67*'Reagent cost'!$C$17/1000*'Reagent cost'!$H$17*60*7200</f>
        <v>504921.59999999998</v>
      </c>
      <c r="DJ67">
        <f t="shared" ref="DJ67:DJ101" si="38">(CB67+CC67)*0.01</f>
        <v>89.033764091463851</v>
      </c>
      <c r="DK67">
        <f t="shared" ref="DK67:DK101" si="39">(CD67+CE67)*0.02</f>
        <v>959.03461850933206</v>
      </c>
      <c r="DL67">
        <f t="shared" ref="DL67:DL101" si="40">SUM(DG67:DK67)*1.2</f>
        <v>25469762.476248506</v>
      </c>
      <c r="DM67">
        <f>BK67*(B67*(409.81+2)/1000+C67*(248.2+2*22.99)/1000+D67*(315.6+3*22.99)/1000+0.1*58.44/1000)</f>
        <v>0.70639694042110623</v>
      </c>
      <c r="DN67">
        <f>(BS67+BT67)/1000*('Oxidant Feed Composition'!$B$11*'Oxidant Feed Composition'!$O$20+'Oxidant Feed Composition'!$D$11*'Oxidant Feed Composition'!$O$21+'Oxidant Feed Composition'!$F$11*'Oxidant Feed Composition'!$O$27-'Oxidant Feed Composition'!$J$15*18.015)</f>
        <v>2.1482990049359758</v>
      </c>
      <c r="DO67">
        <f>(BU67+BV67)/1000*(0.2*368.34+0.4*58.44)</f>
        <v>1.4876364673712152</v>
      </c>
      <c r="DP67">
        <f>BK67/1000*(B67*195.08+C67*106.42+D67*102.91)</f>
        <v>4.999938342565946E-2</v>
      </c>
      <c r="DQ67">
        <f>SUM(DM67:DO67)-DP67</f>
        <v>4.2923330293026369</v>
      </c>
      <c r="DR67">
        <f>DQ67*60*7200*0.33</f>
        <v>611914.99665738398</v>
      </c>
      <c r="DS67">
        <v>1.2</v>
      </c>
      <c r="DT67">
        <f>BM67/60*(AM67*4+AN67*2+AO67*3)*96485/DV67</f>
        <v>1405.875555868555</v>
      </c>
      <c r="DU67">
        <f>BN67*BA67*(AP67*4+AQ67*2+AR67*3)*96485/DV67/60</f>
        <v>705.82826587847319</v>
      </c>
      <c r="DV67">
        <v>0.7</v>
      </c>
      <c r="DW67">
        <f>0.499*((BK67/3.78541*15)^(-0.146))*BK67/3.78541*15*300*(1+(A67-2)/9)</f>
        <v>44032.441905260595</v>
      </c>
      <c r="DX67">
        <f>0.248*((BK67/3.78541*15)^(-0.144))*BK67/3.78541*15*300*(1+(A67-2)/3)</f>
        <v>41526.098972294596</v>
      </c>
      <c r="DY67">
        <f>0.105*((BK67/3.78541*15)^(-0.144))*BK67/3.78541*15*300*(1+(A67-2)/3)</f>
        <v>17581.614484237631</v>
      </c>
      <c r="DZ67">
        <f>0.058*((BK67/3.78541*15)^(-0.151))*BK67/3.78541*15*300*(1+(A67-2)/3)</f>
        <v>9313.4716969742931</v>
      </c>
      <c r="EA67">
        <f>0.056*((BK67/3.78541*15)^(-0.144))*BK67/3.78541*15*300*(1+(A67-2)/3)</f>
        <v>9376.8610582600722</v>
      </c>
      <c r="EB67">
        <f>DS67*DT67/(3.6*10^6)*3600*7200*0.07</f>
        <v>850.27353618930215</v>
      </c>
      <c r="EC67">
        <f>0.499*((BM67/3.78541*15)^(-0.146))*BM67/3.78541*15*300*(1+(AF67-2)/9)</f>
        <v>41142.073107028249</v>
      </c>
      <c r="ED67">
        <f>0.248*((BM67/3.78541*15)^(-0.144))*BM67/3.78541*15*300*(1+(AF67-2)/3)</f>
        <v>38794.082070748911</v>
      </c>
      <c r="EE67">
        <f>0.105*((BM67/3.78541*15)^(-0.144))*BM67/3.78541*15*300*(1+(AF67-2)/3)</f>
        <v>16424.913779954175</v>
      </c>
      <c r="EF67">
        <f>0.058*((BM67/3.78541*15)^(-0.151))*BM67/3.78541*15*300*(1+(AF67-2)/3)</f>
        <v>8705.5785415530754</v>
      </c>
      <c r="EG67">
        <f>0.056*((BM67/3.78541*15)^(-0.144))*BM67/3.78541*15*300*(1+(AF67-2)/3)</f>
        <v>8759.9540159755597</v>
      </c>
      <c r="EH67">
        <f>DS67*DU67/(3.6*10^6)*3600*7200*0.07</f>
        <v>426.88493520330059</v>
      </c>
      <c r="EI67">
        <f>SUM(DW67:EH67)</f>
        <v>236934.24810367974</v>
      </c>
      <c r="EJ67">
        <f>EI67+DR67+DL67</f>
        <v>26318611.721009571</v>
      </c>
      <c r="EK67">
        <f>EJ67+DF67</f>
        <v>27102267.314047813</v>
      </c>
      <c r="EL67">
        <f>EK67/(BK67*60*7200)</f>
        <v>0.62736729893629195</v>
      </c>
      <c r="EM67">
        <f>EK67/(BM67*(AM67*195.084/1000+AN67*106.42/1000+AO67*102.911/1000)*60*7200)</f>
        <v>2098.8555457291377</v>
      </c>
      <c r="EN67">
        <f>EK67/(BN67*BA67*(AP67*195.084/1000+AQ67*106.42/1000+AR67*102.911/1000)*60*7200)</f>
        <v>3851.7506210699039</v>
      </c>
    </row>
    <row r="68" spans="1:144">
      <c r="A68">
        <f>'Costing 100 Lmin Feed Orig'!A68</f>
        <v>9</v>
      </c>
      <c r="B68">
        <f>'Costing 100 Lmin Feed Orig'!B68</f>
        <v>1.54143585092054E-3</v>
      </c>
      <c r="C68">
        <f>'Costing 100 Lmin Feed Orig'!C68</f>
        <v>1.54143585092054E-3</v>
      </c>
      <c r="D68">
        <f>'Costing 100 Lmin Feed Orig'!D68</f>
        <v>3.4254130020456501E-4</v>
      </c>
      <c r="E68">
        <f>'Costing 100 Lmin Feed Orig'!E68</f>
        <v>0</v>
      </c>
      <c r="F68">
        <f>'Costing 100 Lmin Feed Orig'!F68</f>
        <v>0</v>
      </c>
      <c r="G68">
        <f>'Costing 100 Lmin Feed Orig'!G68</f>
        <v>0</v>
      </c>
      <c r="H68">
        <f>'Costing 100 Lmin Feed Orig'!H68</f>
        <v>1.7768596981705501E-5</v>
      </c>
      <c r="I68">
        <f>'Costing 100 Lmin Feed Orig'!I68</f>
        <v>1.5331283704498101E-9</v>
      </c>
      <c r="J68">
        <f>'Costing 100 Lmin Feed Orig'!J68</f>
        <v>3.3763247208936601E-4</v>
      </c>
      <c r="K68">
        <f>'Costing 100 Lmin Feed Orig'!K68</f>
        <v>0.13890601070001499</v>
      </c>
      <c r="L68">
        <f>'Costing 100 Lmin Feed Orig'!L68</f>
        <v>0.14052575540227799</v>
      </c>
      <c r="M68">
        <f>'Costing 100 Lmin Feed Orig'!M68</f>
        <v>4.4751616793740602E-4</v>
      </c>
      <c r="N68">
        <f>'Costing 100 Lmin Feed Orig'!N68</f>
        <v>-5.0090140368830299E-17</v>
      </c>
      <c r="O68">
        <f>'Costing 100 Lmin Feed Orig'!O68</f>
        <v>-6.2343793322261397E-15</v>
      </c>
      <c r="P68">
        <f>'Costing 100 Lmin Feed Orig'!P68</f>
        <v>1.7787691892340301E-20</v>
      </c>
      <c r="Q68">
        <f>'Costing 100 Lmin Feed Orig'!Q68</f>
        <v>0.10969051996097</v>
      </c>
      <c r="R68">
        <f>'Costing 100 Lmin Feed Orig'!R68</f>
        <v>98.566938318892298</v>
      </c>
      <c r="S68">
        <f>'Costing 100 Lmin Feed Orig'!S68</f>
        <v>500</v>
      </c>
      <c r="T68">
        <f>'Costing 100 Lmin Feed Orig'!T68</f>
        <v>95</v>
      </c>
      <c r="U68">
        <f>'Costing 100 Lmin Feed Orig'!U68</f>
        <v>1</v>
      </c>
      <c r="V68">
        <f>'Costing 100 Lmin Feed Orig'!V68</f>
        <v>0.1</v>
      </c>
      <c r="W68">
        <f>'Costing 100 Lmin Feed Orig'!W68</f>
        <v>91.165581160141301</v>
      </c>
      <c r="X68" t="str">
        <f>'Costing 100 Lmin Feed Orig'!X68</f>
        <v>ddFc</v>
      </c>
      <c r="Y68">
        <f>'Costing 100 Lmin Feed Orig'!Y68</f>
        <v>1</v>
      </c>
      <c r="Z68">
        <f>'Costing 100 Lmin Feed Orig'!Z68</f>
        <v>0.28318429382522198</v>
      </c>
      <c r="AA68">
        <f>'Costing 100 Lmin Feed Orig'!AA68</f>
        <v>0.56945642916197003</v>
      </c>
      <c r="AB68">
        <f>'Costing 100 Lmin Feed Orig'!AB68</f>
        <v>3.7698628972227502E-3</v>
      </c>
      <c r="AC68">
        <f>'Costing 100 Lmin Feed Orig'!AC68</f>
        <v>1822.2107908876901</v>
      </c>
      <c r="AD68">
        <f>'Costing 100 Lmin Feed Orig'!AD68</f>
        <v>2662.6059073104898</v>
      </c>
      <c r="AE68">
        <f>'Costing 100 Lmin Feed Orig'!AE68</f>
        <v>2401.5030938442701</v>
      </c>
      <c r="AF68">
        <f>'Costing 100 Lmin Feed Orig'!AF68</f>
        <v>10</v>
      </c>
      <c r="AG68">
        <f>'Costing 100 Lmin Feed Orig'!AG68</f>
        <v>1.6497485970141401E-3</v>
      </c>
      <c r="AH68">
        <f>'Costing 100 Lmin Feed Orig'!AH68</f>
        <v>1.6689858606617799E-3</v>
      </c>
      <c r="AI68">
        <f>'Costing 100 Lmin Feed Orig'!AI68</f>
        <v>5.3150268046377499E-6</v>
      </c>
      <c r="AJ68">
        <f>'Costing 100 Lmin Feed Orig'!AJ68</f>
        <v>0</v>
      </c>
      <c r="AK68">
        <f>'Costing 100 Lmin Feed Orig'!AK68</f>
        <v>0</v>
      </c>
      <c r="AL68">
        <f>'Costing 100 Lmin Feed Orig'!AL68</f>
        <v>0</v>
      </c>
      <c r="AM68">
        <f>'Costing 100 Lmin Feed Orig'!AM68</f>
        <v>1.61279727507717E-3</v>
      </c>
      <c r="AN68">
        <f>'Costing 100 Lmin Feed Orig'!AN68</f>
        <v>7.9603998227522496E-5</v>
      </c>
      <c r="AO68">
        <f>'Costing 100 Lmin Feed Orig'!AO68</f>
        <v>5.28006888098894E-6</v>
      </c>
      <c r="AP68">
        <f>'Costing 100 Lmin Feed Orig'!AP68</f>
        <v>1.7333804651433E-3</v>
      </c>
      <c r="AQ68">
        <f>'Costing 100 Lmin Feed Orig'!AQ68</f>
        <v>7.4557643117945299E-2</v>
      </c>
      <c r="AR68">
        <f>'Costing 100 Lmin Feed Orig'!AR68</f>
        <v>1.6398704779534299E-6</v>
      </c>
      <c r="AS68">
        <f>'Costing 100 Lmin Feed Orig'!AS68</f>
        <v>6.2399223158329797E-15</v>
      </c>
      <c r="AT68">
        <f>'Costing 100 Lmin Feed Orig'!AT68</f>
        <v>-6.4600451724072805E-13</v>
      </c>
      <c r="AU68">
        <f>'Costing 100 Lmin Feed Orig'!AU68</f>
        <v>5.9854789124336998E-20</v>
      </c>
      <c r="AV68">
        <f>'Costing 100 Lmin Feed Orig'!AV68</f>
        <v>0.19688310425783201</v>
      </c>
      <c r="AW68">
        <f>'Costing 100 Lmin Feed Orig'!AW68</f>
        <v>99.342281329262306</v>
      </c>
      <c r="AX68">
        <f>'Costing 100 Lmin Feed Orig'!AX68</f>
        <v>500</v>
      </c>
      <c r="AY68">
        <f>'Costing 100 Lmin Feed Orig'!AY68</f>
        <v>95</v>
      </c>
      <c r="AZ68">
        <f>'Costing 100 Lmin Feed Orig'!AZ68</f>
        <v>0.92357542033771201</v>
      </c>
      <c r="BA68">
        <f>'Costing 100 Lmin Feed Orig'!BA68</f>
        <v>0.1</v>
      </c>
      <c r="BB68">
        <f>'Costing 100 Lmin Feed Orig'!BB68</f>
        <v>46.909836363013902</v>
      </c>
      <c r="BC68" t="str">
        <f>'Costing 100 Lmin Feed Orig'!BC68</f>
        <v>coeFc</v>
      </c>
      <c r="BD68">
        <f>'Costing 100 Lmin Feed Orig'!BD68</f>
        <v>1</v>
      </c>
      <c r="BE68">
        <f>'Costing 100 Lmin Feed Orig'!BE68</f>
        <v>1.8775014999999999E-2</v>
      </c>
      <c r="BF68">
        <f>'Costing 100 Lmin Feed Orig'!BF68</f>
        <v>0.10492961100000001</v>
      </c>
      <c r="BG68">
        <f>'Costing 100 Lmin Feed Orig'!BG68</f>
        <v>1.814625E-3</v>
      </c>
      <c r="BH68">
        <f>'Costing 100 Lmin Feed Orig'!BH68</f>
        <v>285.1951444</v>
      </c>
      <c r="BI68">
        <f>'Costing 100 Lmin Feed Orig'!BI68</f>
        <v>2169.8944889999998</v>
      </c>
      <c r="BJ68">
        <f>'Costing 100 Lmin Feed Orig'!BJ68</f>
        <v>866.49409060000005</v>
      </c>
      <c r="BK68">
        <f>'Costing 100 Lmin Feed Orig'!BK68</f>
        <v>100</v>
      </c>
      <c r="BL68">
        <f>'Costing 100 Lmin Feed Orig'!BL68</f>
        <v>10.969051996096999</v>
      </c>
      <c r="BM68">
        <f>'Costing 100 Lmin Feed Orig'!BM68</f>
        <v>92.357542033771196</v>
      </c>
      <c r="BN68">
        <f>'Costing 100 Lmin Feed Orig'!BN68</f>
        <v>19.6883104257832</v>
      </c>
      <c r="BO68">
        <f t="shared" si="22"/>
        <v>241.31914391413397</v>
      </c>
      <c r="BP68">
        <f t="shared" si="23"/>
        <v>472.51945021879681</v>
      </c>
      <c r="BQ68">
        <f t="shared" si="24"/>
        <v>24.1319143914134</v>
      </c>
      <c r="BR68">
        <f t="shared" si="25"/>
        <v>47.251945021879685</v>
      </c>
      <c r="BS68">
        <f>1.2*0.5*BL68*V68/'Oxidant Feed Composition'!$N$22</f>
        <v>6.5814311976581994</v>
      </c>
      <c r="BT68">
        <f>1.2*0.5*BN68*BA68/'Oxidant Feed Composition'!$N$22</f>
        <v>11.812986255469919</v>
      </c>
      <c r="BU68">
        <f t="shared" si="26"/>
        <v>5.4845259980484995</v>
      </c>
      <c r="BV68">
        <f t="shared" si="27"/>
        <v>9.8441552128916001</v>
      </c>
      <c r="BW68">
        <f t="shared" si="28"/>
        <v>86.873016035722699</v>
      </c>
      <c r="BX68">
        <f t="shared" si="21"/>
        <v>35.100966387510397</v>
      </c>
      <c r="BY68">
        <f t="shared" si="29"/>
        <v>206.65318805973638</v>
      </c>
      <c r="BZ68">
        <f t="shared" si="30"/>
        <v>63.002593362506239</v>
      </c>
      <c r="CA68">
        <f t="shared" si="31"/>
        <v>59.064931277349601</v>
      </c>
      <c r="CB68">
        <f>BO68*'Reagent cost'!$G$11*'Reagent cost'!$H$11</f>
        <v>3185.4126996665682</v>
      </c>
      <c r="CC68">
        <f>BP68*'Reagent cost'!$G$11*'Reagent cost'!$H$11</f>
        <v>6237.2567428881175</v>
      </c>
      <c r="CD68">
        <f>BQ68*'Reagent cost'!$C$18/1000*'Reagent cost'!$H$18</f>
        <v>3848.5686313477631</v>
      </c>
      <c r="CE68">
        <f>BR68*'Ligand cost'!$B$56*'Ligand cost'!$J$56</f>
        <v>48108.515614679709</v>
      </c>
      <c r="CF68">
        <f t="shared" si="32"/>
        <v>10</v>
      </c>
      <c r="CG68">
        <f t="shared" si="33"/>
        <v>2.1938103992193998</v>
      </c>
      <c r="CH68">
        <f t="shared" si="34"/>
        <v>3.9376620851566404</v>
      </c>
      <c r="CI68">
        <f>7963.6*(BX68/1000)^0.6*1.7*('CAPEX+OPEX'!$G$116/'CAPEX+OPEX'!$G$115)</f>
        <v>2140.0916471558648</v>
      </c>
      <c r="CJ68">
        <f>7963.6*(BY68/1000)^0.6*1.7*('CAPEX+OPEX'!$G$116/'CAPEX+OPEX'!$G$115)</f>
        <v>6199.9215410229135</v>
      </c>
      <c r="CK68">
        <f>7963.6*(BZ68/1000)^0.6*1.7*('CAPEX+OPEX'!$G$116/'CAPEX+OPEX'!$G$115)</f>
        <v>3039.8768064634182</v>
      </c>
      <c r="CL68">
        <f>7963.6*(CA68/1000)^0.6*1.7*('CAPEX+OPEX'!$G$116/'CAPEX+OPEX'!$G$115)</f>
        <v>2924.413295194181</v>
      </c>
      <c r="CM68">
        <f>'Costing 100 Lmin Feed Orig'!DE68</f>
        <v>39625.826528698344</v>
      </c>
      <c r="CN68">
        <f>'Costing 100 Lmin Feed Orig'!DF68</f>
        <v>4586243.4239371875</v>
      </c>
      <c r="CO68">
        <f>'Costing 100 Lmin Feed Orig'!DG68</f>
        <v>11794834.586807497</v>
      </c>
      <c r="CP68">
        <f>'Costing 100 Lmin Feed Orig'!DH68</f>
        <v>2275209.1661185985</v>
      </c>
      <c r="CQ68">
        <f>'Costing 100 Lmin Feed Orig'!DI68</f>
        <v>14083914.336508472</v>
      </c>
      <c r="CR68">
        <f>'Costing 100 Lmin Feed Orig'!DJ68</f>
        <v>1662824.8986326549</v>
      </c>
      <c r="CS68">
        <f>CN68*(BK68/10000)^0.72*((A68+1)/3)^0.6*('CAPEX+OPEX'!$G$116/'CAPEX+OPEX'!$G$114)</f>
        <v>800322.53402245743</v>
      </c>
      <c r="CT68">
        <f>CO68*(BK68/10000)^0.72*((A68+1)/3)^0.6*('CAPEX+OPEX'!$G$116/'CAPEX+OPEX'!$G$114)</f>
        <v>2058257.9318883498</v>
      </c>
      <c r="CU68">
        <f>CP68*(BK68/10000)^0.72*((A68+1)/3)^0.6*('CAPEX+OPEX'!$G$116/'CAPEX+OPEX'!$G$114)</f>
        <v>397035.437708179</v>
      </c>
      <c r="CV68">
        <f>CQ68*(BK68/10000)^0.72*((A68+1)/3)^0.6*('CAPEX+OPEX'!$G$116/'CAPEX+OPEX'!$G$114)</f>
        <v>2457713.856163613</v>
      </c>
      <c r="CW68">
        <f>CR68*(BK68/10000)^0.72*((A68+1)/3)^0.6*('CAPEX+OPEX'!$G$116/'CAPEX+OPEX'!$G$114)</f>
        <v>290171.30437591631</v>
      </c>
      <c r="CX68">
        <f t="shared" si="35"/>
        <v>6003501.064158516</v>
      </c>
      <c r="CY68">
        <f>CN68*(BM68/10000)^0.72*((AF68+1)/3)^0.6*('CAPEX+OPEX'!$G$116/'CAPEX+OPEX'!$G$114)</f>
        <v>800277.78225224779</v>
      </c>
      <c r="CZ68">
        <f>CO68*(BM68/10000)^0.72*((AF68+1)/3)^0.6*('CAPEX+OPEX'!$G$116/'CAPEX+OPEX'!$G$114)</f>
        <v>2058142.8399321893</v>
      </c>
      <c r="DA68">
        <f>CP68*(BM68/10000)^0.72*((AF68+1)/3)^0.6*('CAPEX+OPEX'!$G$116/'CAPEX+OPEX'!$G$114)</f>
        <v>397013.23661059892</v>
      </c>
      <c r="DB68">
        <f>CQ68*(BM68/10000)^0.72*((AF68+1)/3)^0.6*('CAPEX+OPEX'!$G$116/'CAPEX+OPEX'!$G$114)</f>
        <v>2457576.4277631165</v>
      </c>
      <c r="DC68">
        <f>CR68*(BM68/10000)^0.72*((AF68+1)/3)^0.6*('CAPEX+OPEX'!$G$116/'CAPEX+OPEX'!$G$114)</f>
        <v>290155.07881811575</v>
      </c>
      <c r="DD68">
        <f t="shared" si="36"/>
        <v>6003165.3653762685</v>
      </c>
      <c r="DE68">
        <f>CX68+DD68+1.15*(SUM(CI68:CL68)+SUM(CB68:CE68))</f>
        <v>12093703.095059967</v>
      </c>
      <c r="DF68">
        <f t="shared" si="37"/>
        <v>806246.87300399772</v>
      </c>
      <c r="DG68">
        <f>(BS68+BT68)*'Oxidant Feed Composition'!$N$25*60*7200</f>
        <v>14814002.96978501</v>
      </c>
      <c r="DH68">
        <f>((CG68+CH68)*'Reagent cost'!$C$17/1000*'Reagent cost'!$H$17+(CG68+CH68)*0.5*'Reagent cost'!$C$16/1000*'Reagent cost'!$H$16)*60*7200</f>
        <v>5903716.2410959993</v>
      </c>
      <c r="DI68">
        <f>CF68*'Reagent cost'!$C$17/1000*'Reagent cost'!$H$17*60*7200</f>
        <v>504921.59999999998</v>
      </c>
      <c r="DJ68">
        <f t="shared" si="38"/>
        <v>94.226694425546853</v>
      </c>
      <c r="DK68">
        <f t="shared" si="39"/>
        <v>1039.1416849205496</v>
      </c>
      <c r="DL68">
        <f t="shared" si="40"/>
        <v>25468529.015112426</v>
      </c>
      <c r="DM68">
        <f>BK68*(B68*(409.81+2)/1000+C68*(248.2+2*22.99)/1000+D68*(315.6+3*22.99)/1000+0.1*58.44/1000)</f>
        <v>0.70639694042110623</v>
      </c>
      <c r="DN68">
        <f>(BS68+BT68)/1000*('Oxidant Feed Composition'!$B$11*'Oxidant Feed Composition'!$O$20+'Oxidant Feed Composition'!$D$11*'Oxidant Feed Composition'!$O$21+'Oxidant Feed Composition'!$F$11*'Oxidant Feed Composition'!$O$27-'Oxidant Feed Composition'!$J$15*18.015)</f>
        <v>2.1481835808315388</v>
      </c>
      <c r="DO68">
        <f>(BU68+BV68)/1000*(0.2*368.34+0.4*58.44)</f>
        <v>1.4875565394344712</v>
      </c>
      <c r="DP68">
        <f>BK68/1000*(B68*195.08+C68*106.42+D68*102.91)</f>
        <v>4.999938342565946E-2</v>
      </c>
      <c r="DQ68">
        <f>SUM(DM68:DO68)-DP68</f>
        <v>4.2921376772614561</v>
      </c>
      <c r="DR68">
        <f>DQ68*60*7200*0.33</f>
        <v>611887.14727039333</v>
      </c>
      <c r="DS68">
        <v>1.2</v>
      </c>
      <c r="DT68">
        <f>BM68/60*(AM68*4+AN68*2+AO68*3)*96485/DV68</f>
        <v>1405.8852099213232</v>
      </c>
      <c r="DU68">
        <f>BN68*BA68*(AP68*4+AQ68*2+AR68*3)*96485/DV68/60</f>
        <v>705.81861211455293</v>
      </c>
      <c r="DV68">
        <v>0.7</v>
      </c>
      <c r="DW68">
        <f>0.499*((BK68/3.78541*15)^(-0.146))*BK68/3.78541*15*300*(1+(A68-2)/9)</f>
        <v>44032.441905260595</v>
      </c>
      <c r="DX68">
        <f>0.248*((BK68/3.78541*15)^(-0.144))*BK68/3.78541*15*300*(1+(A68-2)/3)</f>
        <v>41526.098972294596</v>
      </c>
      <c r="DY68">
        <f>0.105*((BK68/3.78541*15)^(-0.144))*BK68/3.78541*15*300*(1+(A68-2)/3)</f>
        <v>17581.614484237631</v>
      </c>
      <c r="DZ68">
        <f>0.058*((BK68/3.78541*15)^(-0.151))*BK68/3.78541*15*300*(1+(A68-2)/3)</f>
        <v>9313.4716969742931</v>
      </c>
      <c r="EA68">
        <f>0.056*((BK68/3.78541*15)^(-0.144))*BK68/3.78541*15*300*(1+(A68-2)/3)</f>
        <v>9376.8610582600722</v>
      </c>
      <c r="EB68">
        <f>DS68*DT68/(3.6*10^6)*3600*7200*0.07</f>
        <v>850.27937496041636</v>
      </c>
      <c r="EC68">
        <f>0.499*((BM68/3.78541*15)^(-0.146))*BM68/3.78541*15*300*(1+(AF68-2)/9)</f>
        <v>43713.452676217516</v>
      </c>
      <c r="ED68">
        <f>0.248*((BM68/3.78541*15)^(-0.144))*BM68/3.78541*15*300*(1+(AF68-2)/3)</f>
        <v>42673.490277823796</v>
      </c>
      <c r="EE68">
        <f>0.105*((BM68/3.78541*15)^(-0.144))*BM68/3.78541*15*300*(1+(AF68-2)/3)</f>
        <v>18067.40515794959</v>
      </c>
      <c r="EF68">
        <f>0.058*((BM68/3.78541*15)^(-0.151))*BM68/3.78541*15*300*(1+(AF68-2)/3)</f>
        <v>9576.1363957083813</v>
      </c>
      <c r="EG68">
        <f>0.056*((BM68/3.78541*15)^(-0.144))*BM68/3.78541*15*300*(1+(AF68-2)/3)</f>
        <v>9635.9494175731143</v>
      </c>
      <c r="EH68">
        <f>DS68*DU68/(3.6*10^6)*3600*7200*0.07</f>
        <v>426.87909660688166</v>
      </c>
      <c r="EI68">
        <f>SUM(DW68:EH68)</f>
        <v>246774.08051386688</v>
      </c>
      <c r="EJ68">
        <f>EI68+DR68+DL68</f>
        <v>26327190.242896687</v>
      </c>
      <c r="EK68">
        <f>EJ68+DF68</f>
        <v>27133437.115900684</v>
      </c>
      <c r="EL68">
        <f>EK68/(BK68*60*7200)</f>
        <v>0.62808882212733064</v>
      </c>
      <c r="EM68">
        <f>EK68/(BM68*(AM68*195.084/1000+AN68*106.42/1000+AO68*102.911/1000)*60*7200)</f>
        <v>2101.2549614549594</v>
      </c>
      <c r="EN68">
        <f>EK68/(BN68*BA68*(AP68*195.084/1000+AQ68*106.42/1000+AR68*102.911/1000)*60*7200)</f>
        <v>3856.229070681612</v>
      </c>
    </row>
    <row r="69" spans="1:144">
      <c r="A69">
        <f>'Costing 100 Lmin Feed Orig'!A69</f>
        <v>9</v>
      </c>
      <c r="B69">
        <f>'Costing 100 Lmin Feed Orig'!B69</f>
        <v>1.54143585092054E-3</v>
      </c>
      <c r="C69">
        <f>'Costing 100 Lmin Feed Orig'!C69</f>
        <v>1.54143585092054E-3</v>
      </c>
      <c r="D69">
        <f>'Costing 100 Lmin Feed Orig'!D69</f>
        <v>3.4254130020456501E-4</v>
      </c>
      <c r="E69">
        <f>'Costing 100 Lmin Feed Orig'!E69</f>
        <v>0</v>
      </c>
      <c r="F69">
        <f>'Costing 100 Lmin Feed Orig'!F69</f>
        <v>0</v>
      </c>
      <c r="G69">
        <f>'Costing 100 Lmin Feed Orig'!G69</f>
        <v>0</v>
      </c>
      <c r="H69">
        <f>'Costing 100 Lmin Feed Orig'!H69</f>
        <v>1.7768596981705501E-5</v>
      </c>
      <c r="I69">
        <f>'Costing 100 Lmin Feed Orig'!I69</f>
        <v>1.5331283704498101E-9</v>
      </c>
      <c r="J69">
        <f>'Costing 100 Lmin Feed Orig'!J69</f>
        <v>3.3763247208936601E-4</v>
      </c>
      <c r="K69">
        <f>'Costing 100 Lmin Feed Orig'!K69</f>
        <v>0.13890601070001499</v>
      </c>
      <c r="L69">
        <f>'Costing 100 Lmin Feed Orig'!L69</f>
        <v>0.14052575540227799</v>
      </c>
      <c r="M69">
        <f>'Costing 100 Lmin Feed Orig'!M69</f>
        <v>4.4751616793740602E-4</v>
      </c>
      <c r="N69">
        <f>'Costing 100 Lmin Feed Orig'!N69</f>
        <v>-5.0090140368830299E-17</v>
      </c>
      <c r="O69">
        <f>'Costing 100 Lmin Feed Orig'!O69</f>
        <v>-6.2343793322261397E-15</v>
      </c>
      <c r="P69">
        <f>'Costing 100 Lmin Feed Orig'!P69</f>
        <v>1.7787691892340301E-20</v>
      </c>
      <c r="Q69">
        <f>'Costing 100 Lmin Feed Orig'!Q69</f>
        <v>0.10969051996097</v>
      </c>
      <c r="R69">
        <f>'Costing 100 Lmin Feed Orig'!R69</f>
        <v>98.566938318892298</v>
      </c>
      <c r="S69">
        <f>'Costing 100 Lmin Feed Orig'!S69</f>
        <v>500</v>
      </c>
      <c r="T69">
        <f>'Costing 100 Lmin Feed Orig'!T69</f>
        <v>95</v>
      </c>
      <c r="U69">
        <f>'Costing 100 Lmin Feed Orig'!U69</f>
        <v>1</v>
      </c>
      <c r="V69">
        <f>'Costing 100 Lmin Feed Orig'!V69</f>
        <v>0.1</v>
      </c>
      <c r="W69">
        <f>'Costing 100 Lmin Feed Orig'!W69</f>
        <v>91.165581160141301</v>
      </c>
      <c r="X69" t="str">
        <f>'Costing 100 Lmin Feed Orig'!X69</f>
        <v>ddFc</v>
      </c>
      <c r="Y69">
        <f>'Costing 100 Lmin Feed Orig'!Y69</f>
        <v>1</v>
      </c>
      <c r="Z69">
        <f>'Costing 100 Lmin Feed Orig'!Z69</f>
        <v>0.28318429382522198</v>
      </c>
      <c r="AA69">
        <f>'Costing 100 Lmin Feed Orig'!AA69</f>
        <v>0.56945642916197003</v>
      </c>
      <c r="AB69">
        <f>'Costing 100 Lmin Feed Orig'!AB69</f>
        <v>3.7698628972227502E-3</v>
      </c>
      <c r="AC69">
        <f>'Costing 100 Lmin Feed Orig'!AC69</f>
        <v>1822.2107908876901</v>
      </c>
      <c r="AD69">
        <f>'Costing 100 Lmin Feed Orig'!AD69</f>
        <v>2662.6059073104898</v>
      </c>
      <c r="AE69">
        <f>'Costing 100 Lmin Feed Orig'!AE69</f>
        <v>2401.5030938442701</v>
      </c>
      <c r="AF69">
        <f>'Costing 100 Lmin Feed Orig'!AF69</f>
        <v>11</v>
      </c>
      <c r="AG69">
        <f>'Costing 100 Lmin Feed Orig'!AG69</f>
        <v>1.6497485970141401E-3</v>
      </c>
      <c r="AH69">
        <f>'Costing 100 Lmin Feed Orig'!AH69</f>
        <v>1.6689858606617799E-3</v>
      </c>
      <c r="AI69">
        <f>'Costing 100 Lmin Feed Orig'!AI69</f>
        <v>5.3150268046377499E-6</v>
      </c>
      <c r="AJ69">
        <f>'Costing 100 Lmin Feed Orig'!AJ69</f>
        <v>0</v>
      </c>
      <c r="AK69">
        <f>'Costing 100 Lmin Feed Orig'!AK69</f>
        <v>0</v>
      </c>
      <c r="AL69">
        <f>'Costing 100 Lmin Feed Orig'!AL69</f>
        <v>0</v>
      </c>
      <c r="AM69">
        <f>'Costing 100 Lmin Feed Orig'!AM69</f>
        <v>1.6128003908315799E-3</v>
      </c>
      <c r="AN69">
        <f>'Costing 100 Lmin Feed Orig'!AN69</f>
        <v>7.9604159390225403E-5</v>
      </c>
      <c r="AO69">
        <f>'Costing 100 Lmin Feed Orig'!AO69</f>
        <v>5.2800717061551003E-6</v>
      </c>
      <c r="AP69">
        <f>'Costing 100 Lmin Feed Orig'!AP69</f>
        <v>1.7332750811688499E-3</v>
      </c>
      <c r="AQ69">
        <f>'Costing 100 Lmin Feed Orig'!AQ69</f>
        <v>7.4559389546738394E-2</v>
      </c>
      <c r="AR69">
        <f>'Costing 100 Lmin Feed Orig'!AR69</f>
        <v>1.63977652565795E-6</v>
      </c>
      <c r="AS69">
        <f>'Costing 100 Lmin Feed Orig'!AS69</f>
        <v>2.01441375516017E-15</v>
      </c>
      <c r="AT69">
        <f>'Costing 100 Lmin Feed Orig'!AT69</f>
        <v>-2.0058065451633499E-13</v>
      </c>
      <c r="AU69">
        <f>'Costing 100 Lmin Feed Orig'!AU69</f>
        <v>1.2288595180087699E-20</v>
      </c>
      <c r="AV69">
        <f>'Costing 100 Lmin Feed Orig'!AV69</f>
        <v>0.196878472577803</v>
      </c>
      <c r="AW69">
        <f>'Costing 100 Lmin Feed Orig'!AW69</f>
        <v>99.342334483578696</v>
      </c>
      <c r="AX69">
        <f>'Costing 100 Lmin Feed Orig'!AX69</f>
        <v>500</v>
      </c>
      <c r="AY69">
        <f>'Costing 100 Lmin Feed Orig'!AY69</f>
        <v>95</v>
      </c>
      <c r="AZ69">
        <f>'Costing 100 Lmin Feed Orig'!AZ69</f>
        <v>0.92357542033771201</v>
      </c>
      <c r="BA69">
        <f>'Costing 100 Lmin Feed Orig'!BA69</f>
        <v>0.1</v>
      </c>
      <c r="BB69">
        <f>'Costing 100 Lmin Feed Orig'!BB69</f>
        <v>46.9109399440677</v>
      </c>
      <c r="BC69" t="str">
        <f>'Costing 100 Lmin Feed Orig'!BC69</f>
        <v>coeFc</v>
      </c>
      <c r="BD69">
        <f>'Costing 100 Lmin Feed Orig'!BD69</f>
        <v>1</v>
      </c>
      <c r="BE69">
        <f>'Costing 100 Lmin Feed Orig'!BE69</f>
        <v>1.8775014999999999E-2</v>
      </c>
      <c r="BF69">
        <f>'Costing 100 Lmin Feed Orig'!BF69</f>
        <v>0.10492961100000001</v>
      </c>
      <c r="BG69">
        <f>'Costing 100 Lmin Feed Orig'!BG69</f>
        <v>1.814625E-3</v>
      </c>
      <c r="BH69">
        <f>'Costing 100 Lmin Feed Orig'!BH69</f>
        <v>285.1951444</v>
      </c>
      <c r="BI69">
        <f>'Costing 100 Lmin Feed Orig'!BI69</f>
        <v>2169.8944889999998</v>
      </c>
      <c r="BJ69">
        <f>'Costing 100 Lmin Feed Orig'!BJ69</f>
        <v>866.49409060000005</v>
      </c>
      <c r="BK69">
        <f>'Costing 100 Lmin Feed Orig'!BK69</f>
        <v>100</v>
      </c>
      <c r="BL69">
        <f>'Costing 100 Lmin Feed Orig'!BL69</f>
        <v>10.969051996096999</v>
      </c>
      <c r="BM69">
        <f>'Costing 100 Lmin Feed Orig'!BM69</f>
        <v>92.357542033771196</v>
      </c>
      <c r="BN69">
        <f>'Costing 100 Lmin Feed Orig'!BN69</f>
        <v>19.687847257780298</v>
      </c>
      <c r="BO69">
        <f t="shared" si="22"/>
        <v>241.31914391413397</v>
      </c>
      <c r="BP69">
        <f t="shared" si="23"/>
        <v>511.88402870228776</v>
      </c>
      <c r="BQ69">
        <f t="shared" si="24"/>
        <v>24.1319143914134</v>
      </c>
      <c r="BR69">
        <f t="shared" si="25"/>
        <v>51.188402870228778</v>
      </c>
      <c r="BS69">
        <f>1.2*0.5*BL69*V69/'Oxidant Feed Composition'!$N$22</f>
        <v>6.5814311976581994</v>
      </c>
      <c r="BT69">
        <f>1.2*0.5*BN69*BA69/'Oxidant Feed Composition'!$N$22</f>
        <v>11.812708354668176</v>
      </c>
      <c r="BU69">
        <f t="shared" si="26"/>
        <v>5.4845259980484995</v>
      </c>
      <c r="BV69">
        <f t="shared" si="27"/>
        <v>9.843923628890149</v>
      </c>
      <c r="BW69">
        <f t="shared" si="28"/>
        <v>86.873016035722699</v>
      </c>
      <c r="BX69">
        <f t="shared" si="21"/>
        <v>35.100966387510397</v>
      </c>
      <c r="BY69">
        <f t="shared" si="29"/>
        <v>206.65318805973638</v>
      </c>
      <c r="BZ69">
        <f t="shared" si="30"/>
        <v>63.001111224896945</v>
      </c>
      <c r="CA69">
        <f t="shared" si="31"/>
        <v>59.063541773340894</v>
      </c>
      <c r="CB69">
        <f>BO69*'Reagent cost'!$G$11*'Reagent cost'!$H$11</f>
        <v>3185.4126996665682</v>
      </c>
      <c r="CC69">
        <f>BP69*'Reagent cost'!$G$11*'Reagent cost'!$H$11</f>
        <v>6756.8691788701981</v>
      </c>
      <c r="CD69">
        <f>BQ69*'Reagent cost'!$C$18/1000*'Reagent cost'!$H$18</f>
        <v>3848.5686313477631</v>
      </c>
      <c r="CE69">
        <f>BR69*'Ligand cost'!$B$56*'Ligand cost'!$J$56</f>
        <v>52116.332515680107</v>
      </c>
      <c r="CF69">
        <f t="shared" si="32"/>
        <v>10</v>
      </c>
      <c r="CG69">
        <f t="shared" si="33"/>
        <v>2.1938103992193998</v>
      </c>
      <c r="CH69">
        <f t="shared" si="34"/>
        <v>3.93756945155606</v>
      </c>
      <c r="CI69">
        <f>7963.6*(BX69/1000)^0.6*1.7*('CAPEX+OPEX'!$G$116/'CAPEX+OPEX'!$G$115)</f>
        <v>2140.0916471558648</v>
      </c>
      <c r="CJ69">
        <f>7963.6*(BY69/1000)^0.6*1.7*('CAPEX+OPEX'!$G$116/'CAPEX+OPEX'!$G$115)</f>
        <v>6199.9215410229135</v>
      </c>
      <c r="CK69">
        <f>7963.6*(BZ69/1000)^0.6*1.7*('CAPEX+OPEX'!$G$116/'CAPEX+OPEX'!$G$115)</f>
        <v>3039.833898354078</v>
      </c>
      <c r="CL69">
        <f>7963.6*(CA69/1000)^0.6*1.7*('CAPEX+OPEX'!$G$116/'CAPEX+OPEX'!$G$115)</f>
        <v>2924.3720168617306</v>
      </c>
      <c r="CM69">
        <f>'Costing 100 Lmin Feed Orig'!DE69</f>
        <v>39625.826528698344</v>
      </c>
      <c r="CN69">
        <f>'Costing 100 Lmin Feed Orig'!DF69</f>
        <v>4586243.4239371875</v>
      </c>
      <c r="CO69">
        <f>'Costing 100 Lmin Feed Orig'!DG69</f>
        <v>11794834.586807497</v>
      </c>
      <c r="CP69">
        <f>'Costing 100 Lmin Feed Orig'!DH69</f>
        <v>2275209.1661185985</v>
      </c>
      <c r="CQ69">
        <f>'Costing 100 Lmin Feed Orig'!DI69</f>
        <v>14083914.336508472</v>
      </c>
      <c r="CR69">
        <f>'Costing 100 Lmin Feed Orig'!DJ69</f>
        <v>1662824.8986326549</v>
      </c>
      <c r="CS69">
        <f>CN69*(BK69/10000)^0.72*((A69+1)/3)^0.6*('CAPEX+OPEX'!$G$116/'CAPEX+OPEX'!$G$114)</f>
        <v>800322.53402245743</v>
      </c>
      <c r="CT69">
        <f>CO69*(BK69/10000)^0.72*((A69+1)/3)^0.6*('CAPEX+OPEX'!$G$116/'CAPEX+OPEX'!$G$114)</f>
        <v>2058257.9318883498</v>
      </c>
      <c r="CU69">
        <f>CP69*(BK69/10000)^0.72*((A69+1)/3)^0.6*('CAPEX+OPEX'!$G$116/'CAPEX+OPEX'!$G$114)</f>
        <v>397035.437708179</v>
      </c>
      <c r="CV69">
        <f>CQ69*(BK69/10000)^0.72*((A69+1)/3)^0.6*('CAPEX+OPEX'!$G$116/'CAPEX+OPEX'!$G$114)</f>
        <v>2457713.856163613</v>
      </c>
      <c r="CW69">
        <f>CR69*(BK69/10000)^0.72*((A69+1)/3)^0.6*('CAPEX+OPEX'!$G$116/'CAPEX+OPEX'!$G$114)</f>
        <v>290171.30437591631</v>
      </c>
      <c r="CX69">
        <f t="shared" si="35"/>
        <v>6003501.064158516</v>
      </c>
      <c r="CY69">
        <f>CN69*(BM69/10000)^0.72*((AF69+1)/3)^0.6*('CAPEX+OPEX'!$G$116/'CAPEX+OPEX'!$G$114)</f>
        <v>843167.57420412218</v>
      </c>
      <c r="CZ69">
        <f>CO69*(BM69/10000)^0.72*((AF69+1)/3)^0.6*('CAPEX+OPEX'!$G$116/'CAPEX+OPEX'!$G$114)</f>
        <v>2168446.1873067734</v>
      </c>
      <c r="DA69">
        <f>CP69*(BM69/10000)^0.72*((AF69+1)/3)^0.6*('CAPEX+OPEX'!$G$116/'CAPEX+OPEX'!$G$114)</f>
        <v>418290.61741260858</v>
      </c>
      <c r="DB69">
        <f>CQ69*(BM69/10000)^0.72*((AF69+1)/3)^0.6*('CAPEX+OPEX'!$G$116/'CAPEX+OPEX'!$G$114)</f>
        <v>2589286.8713492746</v>
      </c>
      <c r="DC69">
        <f>CR69*(BM69/10000)^0.72*((AF69+1)/3)^0.6*('CAPEX+OPEX'!$G$116/'CAPEX+OPEX'!$G$114)</f>
        <v>305705.5429697822</v>
      </c>
      <c r="DD69">
        <f t="shared" si="36"/>
        <v>6324896.7932425607</v>
      </c>
      <c r="DE69">
        <f>CX69+DD69+1.15*(SUM(CI69:CL69)+SUM(CB69:CE69))</f>
        <v>12420640.96984938</v>
      </c>
      <c r="DF69">
        <f t="shared" si="37"/>
        <v>828042.73132329201</v>
      </c>
      <c r="DG69">
        <f>(BS69+BT69)*'Oxidant Feed Composition'!$N$25*60*7200</f>
        <v>14813779.161484864</v>
      </c>
      <c r="DH69">
        <f>((CG69+CH69)*'Reagent cost'!$C$17/1000*'Reagent cost'!$H$17+(CG69+CH69)*0.5*'Reagent cost'!$C$16/1000*'Reagent cost'!$H$16)*60*7200</f>
        <v>5903627.0484112697</v>
      </c>
      <c r="DI69">
        <f>CF69*'Reagent cost'!$C$17/1000*'Reagent cost'!$H$17*60*7200</f>
        <v>504921.59999999998</v>
      </c>
      <c r="DJ69">
        <f t="shared" si="38"/>
        <v>99.422818785367667</v>
      </c>
      <c r="DK69">
        <f t="shared" si="39"/>
        <v>1119.2980229405575</v>
      </c>
      <c r="DL69">
        <f t="shared" si="40"/>
        <v>25468255.83688543</v>
      </c>
      <c r="DM69">
        <f>BK69*(B69*(409.81+2)/1000+C69*(248.2+2*22.99)/1000+D69*(315.6+3*22.99)/1000+0.1*58.44/1000)</f>
        <v>0.70639694042110623</v>
      </c>
      <c r="DN69">
        <f>(BS69+BT69)/1000*('Oxidant Feed Composition'!$B$11*'Oxidant Feed Composition'!$O$20+'Oxidant Feed Composition'!$D$11*'Oxidant Feed Composition'!$O$21+'Oxidant Feed Composition'!$F$11*'Oxidant Feed Composition'!$O$27-'Oxidant Feed Composition'!$J$15*18.015)</f>
        <v>2.1481511263142412</v>
      </c>
      <c r="DO69">
        <f>(BU69+BV69)/1000*(0.2*368.34+0.4*58.44)</f>
        <v>1.4875340655966343</v>
      </c>
      <c r="DP69">
        <f>BK69/1000*(B69*195.08+C69*106.42+D69*102.91)</f>
        <v>4.999938342565946E-2</v>
      </c>
      <c r="DQ69">
        <f>SUM(DM69:DO69)-DP69</f>
        <v>4.2920827489063216</v>
      </c>
      <c r="DR69">
        <f>DQ69*60*7200*0.33</f>
        <v>611879.31668408518</v>
      </c>
      <c r="DS69">
        <v>1.2</v>
      </c>
      <c r="DT69">
        <f>BM69/60*(AM69*4+AN69*2+AO69*3)*96485/DV69</f>
        <v>1405.8879243789322</v>
      </c>
      <c r="DU69">
        <f>BN69*BA69*(AP69*4+AQ69*2+AR69*3)*96485/DV69/60</f>
        <v>705.81589745617578</v>
      </c>
      <c r="DV69">
        <v>0.7</v>
      </c>
      <c r="DW69">
        <f>0.499*((BK69/3.78541*15)^(-0.146))*BK69/3.78541*15*300*(1+(A69-2)/9)</f>
        <v>44032.441905260595</v>
      </c>
      <c r="DX69">
        <f>0.248*((BK69/3.78541*15)^(-0.144))*BK69/3.78541*15*300*(1+(A69-2)/3)</f>
        <v>41526.098972294596</v>
      </c>
      <c r="DY69">
        <f>0.105*((BK69/3.78541*15)^(-0.144))*BK69/3.78541*15*300*(1+(A69-2)/3)</f>
        <v>17581.614484237631</v>
      </c>
      <c r="DZ69">
        <f>0.058*((BK69/3.78541*15)^(-0.151))*BK69/3.78541*15*300*(1+(A69-2)/3)</f>
        <v>9313.4716969742931</v>
      </c>
      <c r="EA69">
        <f>0.056*((BK69/3.78541*15)^(-0.144))*BK69/3.78541*15*300*(1+(A69-2)/3)</f>
        <v>9376.8610582600722</v>
      </c>
      <c r="EB69">
        <f>DS69*DT69/(3.6*10^6)*3600*7200*0.07</f>
        <v>850.28101666437828</v>
      </c>
      <c r="EC69">
        <f>0.499*((BM69/3.78541*15)^(-0.146))*BM69/3.78541*15*300*(1+(AF69-2)/9)</f>
        <v>46284.832245406782</v>
      </c>
      <c r="ED69">
        <f>0.248*((BM69/3.78541*15)^(-0.144))*BM69/3.78541*15*300*(1+(AF69-2)/3)</f>
        <v>46552.898484898687</v>
      </c>
      <c r="EE69">
        <f>0.105*((BM69/3.78541*15)^(-0.144))*BM69/3.78541*15*300*(1+(AF69-2)/3)</f>
        <v>19709.896535945009</v>
      </c>
      <c r="EF69">
        <f>0.058*((BM69/3.78541*15)^(-0.151))*BM69/3.78541*15*300*(1+(AF69-2)/3)</f>
        <v>10446.694249863689</v>
      </c>
      <c r="EG69">
        <f>0.056*((BM69/3.78541*15)^(-0.144))*BM69/3.78541*15*300*(1+(AF69-2)/3)</f>
        <v>10511.944819170671</v>
      </c>
      <c r="EH69">
        <f>DS69*DU69/(3.6*10^6)*3600*7200*0.07</f>
        <v>426.8774547814952</v>
      </c>
      <c r="EI69">
        <f>SUM(DW69:EH69)</f>
        <v>256613.91292375789</v>
      </c>
      <c r="EJ69">
        <f>EI69+DR69+DL69</f>
        <v>26336749.066493273</v>
      </c>
      <c r="EK69">
        <f>EJ69+DF69</f>
        <v>27164791.797816563</v>
      </c>
      <c r="EL69">
        <f>EK69/(BK69*60*7200)</f>
        <v>0.6288146249494575</v>
      </c>
      <c r="EM69">
        <f>EK69/(BM69*(AM69*195.084/1000+AN69*106.42/1000+AO69*102.911/1000)*60*7200)</f>
        <v>2103.6790518291623</v>
      </c>
      <c r="EN69">
        <f>EK69/(BN69*BA69*(AP69*195.084/1000+AQ69*106.42/1000+AR69*102.911/1000)*60*7200)</f>
        <v>3860.6989164166198</v>
      </c>
    </row>
    <row r="70" spans="1:144">
      <c r="A70">
        <f>'Costing 100 Lmin Feed Orig'!A70</f>
        <v>9</v>
      </c>
      <c r="B70">
        <f>'Costing 100 Lmin Feed Orig'!B70</f>
        <v>1.54143585092054E-3</v>
      </c>
      <c r="C70">
        <f>'Costing 100 Lmin Feed Orig'!C70</f>
        <v>1.54143585092054E-3</v>
      </c>
      <c r="D70">
        <f>'Costing 100 Lmin Feed Orig'!D70</f>
        <v>3.4254130020456501E-4</v>
      </c>
      <c r="E70">
        <f>'Costing 100 Lmin Feed Orig'!E70</f>
        <v>0</v>
      </c>
      <c r="F70">
        <f>'Costing 100 Lmin Feed Orig'!F70</f>
        <v>0</v>
      </c>
      <c r="G70">
        <f>'Costing 100 Lmin Feed Orig'!G70</f>
        <v>0</v>
      </c>
      <c r="H70">
        <f>'Costing 100 Lmin Feed Orig'!H70</f>
        <v>1.7768596981705501E-5</v>
      </c>
      <c r="I70">
        <f>'Costing 100 Lmin Feed Orig'!I70</f>
        <v>1.5331283704498101E-9</v>
      </c>
      <c r="J70">
        <f>'Costing 100 Lmin Feed Orig'!J70</f>
        <v>3.3763247208936601E-4</v>
      </c>
      <c r="K70">
        <f>'Costing 100 Lmin Feed Orig'!K70</f>
        <v>0.13890601070001499</v>
      </c>
      <c r="L70">
        <f>'Costing 100 Lmin Feed Orig'!L70</f>
        <v>0.14052575540227799</v>
      </c>
      <c r="M70">
        <f>'Costing 100 Lmin Feed Orig'!M70</f>
        <v>4.4751616793740602E-4</v>
      </c>
      <c r="N70">
        <f>'Costing 100 Lmin Feed Orig'!N70</f>
        <v>-5.0090140368830299E-17</v>
      </c>
      <c r="O70">
        <f>'Costing 100 Lmin Feed Orig'!O70</f>
        <v>-6.2343793322261397E-15</v>
      </c>
      <c r="P70">
        <f>'Costing 100 Lmin Feed Orig'!P70</f>
        <v>1.7787691892340301E-20</v>
      </c>
      <c r="Q70">
        <f>'Costing 100 Lmin Feed Orig'!Q70</f>
        <v>0.10969051996097</v>
      </c>
      <c r="R70">
        <f>'Costing 100 Lmin Feed Orig'!R70</f>
        <v>98.566938318892298</v>
      </c>
      <c r="S70">
        <f>'Costing 100 Lmin Feed Orig'!S70</f>
        <v>500</v>
      </c>
      <c r="T70">
        <f>'Costing 100 Lmin Feed Orig'!T70</f>
        <v>95</v>
      </c>
      <c r="U70">
        <f>'Costing 100 Lmin Feed Orig'!U70</f>
        <v>1</v>
      </c>
      <c r="V70">
        <f>'Costing 100 Lmin Feed Orig'!V70</f>
        <v>0.1</v>
      </c>
      <c r="W70">
        <f>'Costing 100 Lmin Feed Orig'!W70</f>
        <v>91.165581160141301</v>
      </c>
      <c r="X70" t="str">
        <f>'Costing 100 Lmin Feed Orig'!X70</f>
        <v>ddFc</v>
      </c>
      <c r="Y70">
        <f>'Costing 100 Lmin Feed Orig'!Y70</f>
        <v>1</v>
      </c>
      <c r="Z70">
        <f>'Costing 100 Lmin Feed Orig'!Z70</f>
        <v>0.28318429382522198</v>
      </c>
      <c r="AA70">
        <f>'Costing 100 Lmin Feed Orig'!AA70</f>
        <v>0.56945642916197003</v>
      </c>
      <c r="AB70">
        <f>'Costing 100 Lmin Feed Orig'!AB70</f>
        <v>3.7698628972227502E-3</v>
      </c>
      <c r="AC70">
        <f>'Costing 100 Lmin Feed Orig'!AC70</f>
        <v>1822.2107908876901</v>
      </c>
      <c r="AD70">
        <f>'Costing 100 Lmin Feed Orig'!AD70</f>
        <v>2662.6059073104898</v>
      </c>
      <c r="AE70">
        <f>'Costing 100 Lmin Feed Orig'!AE70</f>
        <v>2401.5030938442701</v>
      </c>
      <c r="AF70">
        <f>'Costing 100 Lmin Feed Orig'!AF70</f>
        <v>12</v>
      </c>
      <c r="AG70">
        <f>'Costing 100 Lmin Feed Orig'!AG70</f>
        <v>1.6497485970141401E-3</v>
      </c>
      <c r="AH70">
        <f>'Costing 100 Lmin Feed Orig'!AH70</f>
        <v>1.6689858606617799E-3</v>
      </c>
      <c r="AI70">
        <f>'Costing 100 Lmin Feed Orig'!AI70</f>
        <v>5.3150268046377499E-6</v>
      </c>
      <c r="AJ70">
        <f>'Costing 100 Lmin Feed Orig'!AJ70</f>
        <v>0</v>
      </c>
      <c r="AK70">
        <f>'Costing 100 Lmin Feed Orig'!AK70</f>
        <v>0</v>
      </c>
      <c r="AL70">
        <f>'Costing 100 Lmin Feed Orig'!AL70</f>
        <v>0</v>
      </c>
      <c r="AM70">
        <f>'Costing 100 Lmin Feed Orig'!AM70</f>
        <v>1.61280126654258E-3</v>
      </c>
      <c r="AN70">
        <f>'Costing 100 Lmin Feed Orig'!AN70</f>
        <v>7.9604204686258806E-5</v>
      </c>
      <c r="AO70">
        <f>'Costing 100 Lmin Feed Orig'!AO70</f>
        <v>5.2800725001932601E-6</v>
      </c>
      <c r="AP70">
        <f>'Costing 100 Lmin Feed Orig'!AP70</f>
        <v>1.7332454612020299E-3</v>
      </c>
      <c r="AQ70">
        <f>'Costing 100 Lmin Feed Orig'!AQ70</f>
        <v>7.4559880410390605E-2</v>
      </c>
      <c r="AR70">
        <f>'Costing 100 Lmin Feed Orig'!AR70</f>
        <v>1.63975011876007E-6</v>
      </c>
      <c r="AS70">
        <f>'Costing 100 Lmin Feed Orig'!AS70</f>
        <v>3.97766672030619E-16</v>
      </c>
      <c r="AT70">
        <f>'Costing 100 Lmin Feed Orig'!AT70</f>
        <v>-3.8874068894467698E-14</v>
      </c>
      <c r="AU70">
        <f>'Costing 100 Lmin Feed Orig'!AU70</f>
        <v>-3.3087224502121099E-21</v>
      </c>
      <c r="AV70">
        <f>'Costing 100 Lmin Feed Orig'!AV70</f>
        <v>0.196877170799345</v>
      </c>
      <c r="AW70">
        <f>'Costing 100 Lmin Feed Orig'!AW70</f>
        <v>99.3423494230736</v>
      </c>
      <c r="AX70">
        <f>'Costing 100 Lmin Feed Orig'!AX70</f>
        <v>500</v>
      </c>
      <c r="AY70">
        <f>'Costing 100 Lmin Feed Orig'!AY70</f>
        <v>95</v>
      </c>
      <c r="AZ70">
        <f>'Costing 100 Lmin Feed Orig'!AZ70</f>
        <v>0.92357542033771201</v>
      </c>
      <c r="BA70">
        <f>'Costing 100 Lmin Feed Orig'!BA70</f>
        <v>0.1</v>
      </c>
      <c r="BB70">
        <f>'Costing 100 Lmin Feed Orig'!BB70</f>
        <v>46.911250125541898</v>
      </c>
      <c r="BC70" t="str">
        <f>'Costing 100 Lmin Feed Orig'!BC70</f>
        <v>coeFc</v>
      </c>
      <c r="BD70">
        <f>'Costing 100 Lmin Feed Orig'!BD70</f>
        <v>1</v>
      </c>
      <c r="BE70">
        <f>'Costing 100 Lmin Feed Orig'!BE70</f>
        <v>1.8775014999999999E-2</v>
      </c>
      <c r="BF70">
        <f>'Costing 100 Lmin Feed Orig'!BF70</f>
        <v>0.10492961100000001</v>
      </c>
      <c r="BG70">
        <f>'Costing 100 Lmin Feed Orig'!BG70</f>
        <v>1.814625E-3</v>
      </c>
      <c r="BH70">
        <f>'Costing 100 Lmin Feed Orig'!BH70</f>
        <v>285.1951444</v>
      </c>
      <c r="BI70">
        <f>'Costing 100 Lmin Feed Orig'!BI70</f>
        <v>2169.8944889999998</v>
      </c>
      <c r="BJ70">
        <f>'Costing 100 Lmin Feed Orig'!BJ70</f>
        <v>866.49409060000005</v>
      </c>
      <c r="BK70">
        <f>'Costing 100 Lmin Feed Orig'!BK70</f>
        <v>100</v>
      </c>
      <c r="BL70">
        <f>'Costing 100 Lmin Feed Orig'!BL70</f>
        <v>10.969051996096999</v>
      </c>
      <c r="BM70">
        <f>'Costing 100 Lmin Feed Orig'!BM70</f>
        <v>92.357542033771196</v>
      </c>
      <c r="BN70">
        <f>'Costing 100 Lmin Feed Orig'!BN70</f>
        <v>19.687717079934501</v>
      </c>
      <c r="BO70">
        <f t="shared" si="22"/>
        <v>241.31914391413397</v>
      </c>
      <c r="BP70">
        <f t="shared" si="23"/>
        <v>551.25607823816608</v>
      </c>
      <c r="BQ70">
        <f t="shared" si="24"/>
        <v>24.1319143914134</v>
      </c>
      <c r="BR70">
        <f t="shared" si="25"/>
        <v>55.125607823816608</v>
      </c>
      <c r="BS70">
        <f>1.2*0.5*BL70*V70/'Oxidant Feed Composition'!$N$22</f>
        <v>6.5814311976581994</v>
      </c>
      <c r="BT70">
        <f>1.2*0.5*BN70*BA70/'Oxidant Feed Composition'!$N$22</f>
        <v>11.812630247960699</v>
      </c>
      <c r="BU70">
        <f t="shared" si="26"/>
        <v>5.4845259980484995</v>
      </c>
      <c r="BV70">
        <f t="shared" si="27"/>
        <v>9.8438585399672505</v>
      </c>
      <c r="BW70">
        <f t="shared" si="28"/>
        <v>86.873016035722699</v>
      </c>
      <c r="BX70">
        <f t="shared" si="21"/>
        <v>35.100966387510397</v>
      </c>
      <c r="BY70">
        <f t="shared" si="29"/>
        <v>206.65318805973638</v>
      </c>
      <c r="BZ70">
        <f t="shared" si="30"/>
        <v>63.000694655790397</v>
      </c>
      <c r="CA70">
        <f t="shared" si="31"/>
        <v>59.063151239803503</v>
      </c>
      <c r="CB70">
        <f>BO70*'Reagent cost'!$G$11*'Reagent cost'!$H$11</f>
        <v>3185.4126996665682</v>
      </c>
      <c r="CC70">
        <f>BP70*'Reagent cost'!$G$11*'Reagent cost'!$H$11</f>
        <v>7276.5802327437923</v>
      </c>
      <c r="CD70">
        <f>BQ70*'Reagent cost'!$C$18/1000*'Reagent cost'!$H$18</f>
        <v>3848.5686313477631</v>
      </c>
      <c r="CE70">
        <f>BR70*'Ligand cost'!$B$56*'Ligand cost'!$J$56</f>
        <v>56124.910065242737</v>
      </c>
      <c r="CF70">
        <f t="shared" si="32"/>
        <v>10</v>
      </c>
      <c r="CG70">
        <f t="shared" si="33"/>
        <v>2.1938103992193998</v>
      </c>
      <c r="CH70">
        <f t="shared" si="34"/>
        <v>3.9375434159869003</v>
      </c>
      <c r="CI70">
        <f>7963.6*(BX70/1000)^0.6*1.7*('CAPEX+OPEX'!$G$116/'CAPEX+OPEX'!$G$115)</f>
        <v>2140.0916471558648</v>
      </c>
      <c r="CJ70">
        <f>7963.6*(BY70/1000)^0.6*1.7*('CAPEX+OPEX'!$G$116/'CAPEX+OPEX'!$G$115)</f>
        <v>6199.9215410229135</v>
      </c>
      <c r="CK70">
        <f>7963.6*(BZ70/1000)^0.6*1.7*('CAPEX+OPEX'!$G$116/'CAPEX+OPEX'!$G$115)</f>
        <v>3039.8218385423597</v>
      </c>
      <c r="CL70">
        <f>7963.6*(CA70/1000)^0.6*1.7*('CAPEX+OPEX'!$G$116/'CAPEX+OPEX'!$G$115)</f>
        <v>2924.3604151173263</v>
      </c>
      <c r="CM70">
        <f>'Costing 100 Lmin Feed Orig'!DE70</f>
        <v>39625.826528698344</v>
      </c>
      <c r="CN70">
        <f>'Costing 100 Lmin Feed Orig'!DF70</f>
        <v>4586243.4239371875</v>
      </c>
      <c r="CO70">
        <f>'Costing 100 Lmin Feed Orig'!DG70</f>
        <v>11794834.586807497</v>
      </c>
      <c r="CP70">
        <f>'Costing 100 Lmin Feed Orig'!DH70</f>
        <v>2275209.1661185985</v>
      </c>
      <c r="CQ70">
        <f>'Costing 100 Lmin Feed Orig'!DI70</f>
        <v>14083914.336508472</v>
      </c>
      <c r="CR70">
        <f>'Costing 100 Lmin Feed Orig'!DJ70</f>
        <v>1662824.8986326549</v>
      </c>
      <c r="CS70">
        <f>CN70*(BK70/10000)^0.72*((A70+1)/3)^0.6*('CAPEX+OPEX'!$G$116/'CAPEX+OPEX'!$G$114)</f>
        <v>800322.53402245743</v>
      </c>
      <c r="CT70">
        <f>CO70*(BK70/10000)^0.72*((A70+1)/3)^0.6*('CAPEX+OPEX'!$G$116/'CAPEX+OPEX'!$G$114)</f>
        <v>2058257.9318883498</v>
      </c>
      <c r="CU70">
        <f>CP70*(BK70/10000)^0.72*((A70+1)/3)^0.6*('CAPEX+OPEX'!$G$116/'CAPEX+OPEX'!$G$114)</f>
        <v>397035.437708179</v>
      </c>
      <c r="CV70">
        <f>CQ70*(BK70/10000)^0.72*((A70+1)/3)^0.6*('CAPEX+OPEX'!$G$116/'CAPEX+OPEX'!$G$114)</f>
        <v>2457713.856163613</v>
      </c>
      <c r="CW70">
        <f>CR70*(BK70/10000)^0.72*((A70+1)/3)^0.6*('CAPEX+OPEX'!$G$116/'CAPEX+OPEX'!$G$114)</f>
        <v>290171.30437591631</v>
      </c>
      <c r="CX70">
        <f t="shared" si="35"/>
        <v>6003501.064158516</v>
      </c>
      <c r="CY70">
        <f>CN70*(BM70/10000)^0.72*((AF70+1)/3)^0.6*('CAPEX+OPEX'!$G$116/'CAPEX+OPEX'!$G$114)</f>
        <v>884649.34487489494</v>
      </c>
      <c r="CZ70">
        <f>CO70*(BM70/10000)^0.72*((AF70+1)/3)^0.6*('CAPEX+OPEX'!$G$116/'CAPEX+OPEX'!$G$114)</f>
        <v>2275128.4058902822</v>
      </c>
      <c r="DA70">
        <f>CP70*(BM70/10000)^0.72*((AF70+1)/3)^0.6*('CAPEX+OPEX'!$G$116/'CAPEX+OPEX'!$G$114)</f>
        <v>438869.48689964274</v>
      </c>
      <c r="DB70">
        <f>CQ70*(BM70/10000)^0.72*((AF70+1)/3)^0.6*('CAPEX+OPEX'!$G$116/'CAPEX+OPEX'!$G$114)</f>
        <v>2716673.4164254861</v>
      </c>
      <c r="DC70">
        <f>CR70*(BM70/10000)^0.72*((AF70+1)/3)^0.6*('CAPEX+OPEX'!$G$116/'CAPEX+OPEX'!$G$114)</f>
        <v>320745.50372518308</v>
      </c>
      <c r="DD70">
        <f t="shared" si="36"/>
        <v>6636066.157815489</v>
      </c>
      <c r="DE70">
        <f>CX70+DD70+1.15*(SUM(CI70:CL70)+SUM(CB70:CE70))</f>
        <v>12737017.83910547</v>
      </c>
      <c r="DF70">
        <f t="shared" si="37"/>
        <v>849134.52260703139</v>
      </c>
      <c r="DG70">
        <f>(BS70+BT70)*'Oxidant Feed Composition'!$N$25*60*7200</f>
        <v>14813716.257998006</v>
      </c>
      <c r="DH70">
        <f>((CG70+CH70)*'Reagent cost'!$C$17/1000*'Reagent cost'!$H$17+(CG70+CH70)*0.5*'Reagent cost'!$C$16/1000*'Reagent cost'!$H$16)*60*7200</f>
        <v>5903601.9799447823</v>
      </c>
      <c r="DI70">
        <f>CF70*'Reagent cost'!$C$17/1000*'Reagent cost'!$H$17*60*7200</f>
        <v>504921.59999999998</v>
      </c>
      <c r="DJ70">
        <f t="shared" si="38"/>
        <v>104.61992932410362</v>
      </c>
      <c r="DK70">
        <f t="shared" si="39"/>
        <v>1199.4695739318101</v>
      </c>
      <c r="DL70">
        <f t="shared" si="40"/>
        <v>25468252.712935258</v>
      </c>
      <c r="DM70">
        <f>BK70*(B70*(409.81+2)/1000+C70*(248.2+2*22.99)/1000+D70*(315.6+3*22.99)/1000+0.1*58.44/1000)</f>
        <v>0.70639694042110623</v>
      </c>
      <c r="DN70">
        <f>(BS70+BT70)/1000*('Oxidant Feed Composition'!$B$11*'Oxidant Feed Composition'!$O$20+'Oxidant Feed Composition'!$D$11*'Oxidant Feed Composition'!$O$21+'Oxidant Feed Composition'!$F$11*'Oxidant Feed Composition'!$O$27-'Oxidant Feed Composition'!$J$15*18.015)</f>
        <v>2.1481420046583377</v>
      </c>
      <c r="DO70">
        <f>(BU70+BV70)/1000*(0.2*368.34+0.4*58.44)</f>
        <v>1.4875277491072005</v>
      </c>
      <c r="DP70">
        <f>BK70/1000*(B70*195.08+C70*106.42+D70*102.91)</f>
        <v>4.999938342565946E-2</v>
      </c>
      <c r="DQ70">
        <f>SUM(DM70:DO70)-DP70</f>
        <v>4.2920673107609844</v>
      </c>
      <c r="DR70">
        <f>DQ70*60*7200*0.33</f>
        <v>611877.11582208599</v>
      </c>
      <c r="DS70">
        <v>1.2</v>
      </c>
      <c r="DT70">
        <f>BM70/60*(AM70*4+AN70*2+AO70*3)*96485/DV70</f>
        <v>1405.8886873017445</v>
      </c>
      <c r="DU70">
        <f>BN70*BA70*(AP70*4+AQ70*2+AR70*3)*96485/DV70/60</f>
        <v>705.8151344605501</v>
      </c>
      <c r="DV70">
        <v>0.7</v>
      </c>
      <c r="DW70">
        <f>0.499*((BK70/3.78541*15)^(-0.146))*BK70/3.78541*15*300*(1+(A70-2)/9)</f>
        <v>44032.441905260595</v>
      </c>
      <c r="DX70">
        <f>0.248*((BK70/3.78541*15)^(-0.144))*BK70/3.78541*15*300*(1+(A70-2)/3)</f>
        <v>41526.098972294596</v>
      </c>
      <c r="DY70">
        <f>0.105*((BK70/3.78541*15)^(-0.144))*BK70/3.78541*15*300*(1+(A70-2)/3)</f>
        <v>17581.614484237631</v>
      </c>
      <c r="DZ70">
        <f>0.058*((BK70/3.78541*15)^(-0.151))*BK70/3.78541*15*300*(1+(A70-2)/3)</f>
        <v>9313.4716969742931</v>
      </c>
      <c r="EA70">
        <f>0.056*((BK70/3.78541*15)^(-0.144))*BK70/3.78541*15*300*(1+(A70-2)/3)</f>
        <v>9376.8610582600722</v>
      </c>
      <c r="EB70">
        <f>DS70*DT70/(3.6*10^6)*3600*7200*0.07</f>
        <v>850.28147808009521</v>
      </c>
      <c r="EC70">
        <f>0.499*((BM70/3.78541*15)^(-0.146))*BM70/3.78541*15*300*(1+(AF70-2)/9)</f>
        <v>48856.211814596048</v>
      </c>
      <c r="ED70">
        <f>0.248*((BM70/3.78541*15)^(-0.144))*BM70/3.78541*15*300*(1+(AF70-2)/3)</f>
        <v>50432.306691973587</v>
      </c>
      <c r="EE70">
        <f>0.105*((BM70/3.78541*15)^(-0.144))*BM70/3.78541*15*300*(1+(AF70-2)/3)</f>
        <v>21352.387913940427</v>
      </c>
      <c r="EF70">
        <f>0.058*((BM70/3.78541*15)^(-0.151))*BM70/3.78541*15*300*(1+(AF70-2)/3)</f>
        <v>11317.252104018999</v>
      </c>
      <c r="EG70">
        <f>0.056*((BM70/3.78541*15)^(-0.144))*BM70/3.78541*15*300*(1+(AF70-2)/3)</f>
        <v>11387.940220768229</v>
      </c>
      <c r="EH70">
        <f>DS70*DU70/(3.6*10^6)*3600*7200*0.07</f>
        <v>426.87699332174071</v>
      </c>
      <c r="EI70">
        <f>SUM(DW70:EH70)</f>
        <v>266453.74533372629</v>
      </c>
      <c r="EJ70">
        <f>EI70+DR70+DL70</f>
        <v>26346583.574091069</v>
      </c>
      <c r="EK70">
        <f>EJ70+DF70</f>
        <v>27195718.096698102</v>
      </c>
      <c r="EL70">
        <f>EK70/(BK70*60*7200)</f>
        <v>0.62953051149764128</v>
      </c>
      <c r="EM70">
        <f>EK70/(BM70*(AM70*195.084/1000+AN70*106.42/1000+AO70*102.911/1000)*60*7200)</f>
        <v>2106.0728835993687</v>
      </c>
      <c r="EN70">
        <f>EK70/(BN70*BA70*(AP70*195.084/1000+AQ70*106.42/1000+AR70*102.911/1000)*60*7200)</f>
        <v>3865.0980581153881</v>
      </c>
    </row>
    <row r="71" spans="1:144">
      <c r="A71">
        <f>'Costing 100 Lmin Feed Orig'!A71</f>
        <v>9</v>
      </c>
      <c r="B71">
        <f>'Costing 100 Lmin Feed Orig'!B71</f>
        <v>1.54143585092054E-3</v>
      </c>
      <c r="C71">
        <f>'Costing 100 Lmin Feed Orig'!C71</f>
        <v>1.54143585092054E-3</v>
      </c>
      <c r="D71">
        <f>'Costing 100 Lmin Feed Orig'!D71</f>
        <v>3.4254130020456501E-4</v>
      </c>
      <c r="E71">
        <f>'Costing 100 Lmin Feed Orig'!E71</f>
        <v>0</v>
      </c>
      <c r="F71">
        <f>'Costing 100 Lmin Feed Orig'!F71</f>
        <v>0</v>
      </c>
      <c r="G71">
        <f>'Costing 100 Lmin Feed Orig'!G71</f>
        <v>0</v>
      </c>
      <c r="H71">
        <f>'Costing 100 Lmin Feed Orig'!H71</f>
        <v>1.7768596981705501E-5</v>
      </c>
      <c r="I71">
        <f>'Costing 100 Lmin Feed Orig'!I71</f>
        <v>1.5331283704498101E-9</v>
      </c>
      <c r="J71">
        <f>'Costing 100 Lmin Feed Orig'!J71</f>
        <v>3.3763247208936601E-4</v>
      </c>
      <c r="K71">
        <f>'Costing 100 Lmin Feed Orig'!K71</f>
        <v>0.13890601070001499</v>
      </c>
      <c r="L71">
        <f>'Costing 100 Lmin Feed Orig'!L71</f>
        <v>0.14052575540227799</v>
      </c>
      <c r="M71">
        <f>'Costing 100 Lmin Feed Orig'!M71</f>
        <v>4.4751616793740602E-4</v>
      </c>
      <c r="N71">
        <f>'Costing 100 Lmin Feed Orig'!N71</f>
        <v>-5.0090140368830299E-17</v>
      </c>
      <c r="O71">
        <f>'Costing 100 Lmin Feed Orig'!O71</f>
        <v>-6.2343793322261397E-15</v>
      </c>
      <c r="P71">
        <f>'Costing 100 Lmin Feed Orig'!P71</f>
        <v>1.7787691892340301E-20</v>
      </c>
      <c r="Q71">
        <f>'Costing 100 Lmin Feed Orig'!Q71</f>
        <v>0.10969051996097</v>
      </c>
      <c r="R71">
        <f>'Costing 100 Lmin Feed Orig'!R71</f>
        <v>98.566938318892298</v>
      </c>
      <c r="S71">
        <f>'Costing 100 Lmin Feed Orig'!S71</f>
        <v>500</v>
      </c>
      <c r="T71">
        <f>'Costing 100 Lmin Feed Orig'!T71</f>
        <v>95</v>
      </c>
      <c r="U71">
        <f>'Costing 100 Lmin Feed Orig'!U71</f>
        <v>1</v>
      </c>
      <c r="V71">
        <f>'Costing 100 Lmin Feed Orig'!V71</f>
        <v>0.1</v>
      </c>
      <c r="W71">
        <f>'Costing 100 Lmin Feed Orig'!W71</f>
        <v>91.165581160141301</v>
      </c>
      <c r="X71" t="str">
        <f>'Costing 100 Lmin Feed Orig'!X71</f>
        <v>ddFc</v>
      </c>
      <c r="Y71">
        <f>'Costing 100 Lmin Feed Orig'!Y71</f>
        <v>1</v>
      </c>
      <c r="Z71">
        <f>'Costing 100 Lmin Feed Orig'!Z71</f>
        <v>0.28318429382522198</v>
      </c>
      <c r="AA71">
        <f>'Costing 100 Lmin Feed Orig'!AA71</f>
        <v>0.56945642916197003</v>
      </c>
      <c r="AB71">
        <f>'Costing 100 Lmin Feed Orig'!AB71</f>
        <v>3.7698628972227502E-3</v>
      </c>
      <c r="AC71">
        <f>'Costing 100 Lmin Feed Orig'!AC71</f>
        <v>1822.2107908876901</v>
      </c>
      <c r="AD71">
        <f>'Costing 100 Lmin Feed Orig'!AD71</f>
        <v>2662.6059073104898</v>
      </c>
      <c r="AE71">
        <f>'Costing 100 Lmin Feed Orig'!AE71</f>
        <v>2401.5030938442701</v>
      </c>
      <c r="AF71">
        <f>'Costing 100 Lmin Feed Orig'!AF71</f>
        <v>13</v>
      </c>
      <c r="AG71">
        <f>'Costing 100 Lmin Feed Orig'!AG71</f>
        <v>1.6497485970141401E-3</v>
      </c>
      <c r="AH71">
        <f>'Costing 100 Lmin Feed Orig'!AH71</f>
        <v>1.6689858606617799E-3</v>
      </c>
      <c r="AI71">
        <f>'Costing 100 Lmin Feed Orig'!AI71</f>
        <v>5.3150268046377499E-6</v>
      </c>
      <c r="AJ71">
        <f>'Costing 100 Lmin Feed Orig'!AJ71</f>
        <v>0</v>
      </c>
      <c r="AK71">
        <f>'Costing 100 Lmin Feed Orig'!AK71</f>
        <v>0</v>
      </c>
      <c r="AL71">
        <f>'Costing 100 Lmin Feed Orig'!AL71</f>
        <v>0</v>
      </c>
      <c r="AM71">
        <f>'Costing 100 Lmin Feed Orig'!AM71</f>
        <v>1.6128015126361699E-3</v>
      </c>
      <c r="AN71">
        <f>'Costing 100 Lmin Feed Orig'!AN71</f>
        <v>7.9604217415409805E-5</v>
      </c>
      <c r="AO71">
        <f>'Costing 100 Lmin Feed Orig'!AO71</f>
        <v>5.2800727233350599E-6</v>
      </c>
      <c r="AP71">
        <f>'Costing 100 Lmin Feed Orig'!AP71</f>
        <v>1.7332371372774599E-3</v>
      </c>
      <c r="AQ71">
        <f>'Costing 100 Lmin Feed Orig'!AQ71</f>
        <v>7.4560018354909094E-2</v>
      </c>
      <c r="AR71">
        <f>'Costing 100 Lmin Feed Orig'!AR71</f>
        <v>1.6397426977852001E-6</v>
      </c>
      <c r="AS71">
        <f>'Costing 100 Lmin Feed Orig'!AS71</f>
        <v>2.84603070277444E-19</v>
      </c>
      <c r="AT71">
        <f>'Costing 100 Lmin Feed Orig'!AT71</f>
        <v>-1.2576745200831801E-17</v>
      </c>
      <c r="AU71">
        <f>'Costing 100 Lmin Feed Orig'!AU71</f>
        <v>8.8673761665684492E-22</v>
      </c>
      <c r="AV71">
        <f>'Costing 100 Lmin Feed Orig'!AV71</f>
        <v>0.196876804972202</v>
      </c>
      <c r="AW71">
        <f>'Costing 100 Lmin Feed Orig'!AW71</f>
        <v>99.342353621393102</v>
      </c>
      <c r="AX71">
        <f>'Costing 100 Lmin Feed Orig'!AX71</f>
        <v>500</v>
      </c>
      <c r="AY71">
        <f>'Costing 100 Lmin Feed Orig'!AY71</f>
        <v>95</v>
      </c>
      <c r="AZ71">
        <f>'Costing 100 Lmin Feed Orig'!AZ71</f>
        <v>0.92357542033771201</v>
      </c>
      <c r="BA71">
        <f>'Costing 100 Lmin Feed Orig'!BA71</f>
        <v>0.1</v>
      </c>
      <c r="BB71">
        <f>'Costing 100 Lmin Feed Orig'!BB71</f>
        <v>46.911337293802198</v>
      </c>
      <c r="BC71" t="str">
        <f>'Costing 100 Lmin Feed Orig'!BC71</f>
        <v>coeFc</v>
      </c>
      <c r="BD71">
        <f>'Costing 100 Lmin Feed Orig'!BD71</f>
        <v>1</v>
      </c>
      <c r="BE71">
        <f>'Costing 100 Lmin Feed Orig'!BE71</f>
        <v>1.8775014999999999E-2</v>
      </c>
      <c r="BF71">
        <f>'Costing 100 Lmin Feed Orig'!BF71</f>
        <v>0.10492961100000001</v>
      </c>
      <c r="BG71">
        <f>'Costing 100 Lmin Feed Orig'!BG71</f>
        <v>1.814625E-3</v>
      </c>
      <c r="BH71">
        <f>'Costing 100 Lmin Feed Orig'!BH71</f>
        <v>285.1951444</v>
      </c>
      <c r="BI71">
        <f>'Costing 100 Lmin Feed Orig'!BI71</f>
        <v>2169.8944889999998</v>
      </c>
      <c r="BJ71">
        <f>'Costing 100 Lmin Feed Orig'!BJ71</f>
        <v>866.49409060000005</v>
      </c>
      <c r="BK71">
        <f>'Costing 100 Lmin Feed Orig'!BK71</f>
        <v>100</v>
      </c>
      <c r="BL71">
        <f>'Costing 100 Lmin Feed Orig'!BL71</f>
        <v>10.969051996096999</v>
      </c>
      <c r="BM71">
        <f>'Costing 100 Lmin Feed Orig'!BM71</f>
        <v>92.357542033771196</v>
      </c>
      <c r="BN71">
        <f>'Costing 100 Lmin Feed Orig'!BN71</f>
        <v>19.6876804972202</v>
      </c>
      <c r="BO71">
        <f t="shared" si="22"/>
        <v>241.31914391413397</v>
      </c>
      <c r="BP71">
        <f t="shared" si="23"/>
        <v>590.63041491660601</v>
      </c>
      <c r="BQ71">
        <f t="shared" si="24"/>
        <v>24.1319143914134</v>
      </c>
      <c r="BR71">
        <f t="shared" si="25"/>
        <v>59.063041491660606</v>
      </c>
      <c r="BS71">
        <f>1.2*0.5*BL71*V71/'Oxidant Feed Composition'!$N$22</f>
        <v>6.5814311976581994</v>
      </c>
      <c r="BT71">
        <f>1.2*0.5*BN71*BA71/'Oxidant Feed Composition'!$N$22</f>
        <v>11.812608298332119</v>
      </c>
      <c r="BU71">
        <f t="shared" si="26"/>
        <v>5.4845259980484995</v>
      </c>
      <c r="BV71">
        <f t="shared" si="27"/>
        <v>9.8438402486100998</v>
      </c>
      <c r="BW71">
        <f t="shared" si="28"/>
        <v>86.873016035722699</v>
      </c>
      <c r="BX71">
        <f t="shared" si="21"/>
        <v>35.100966387510397</v>
      </c>
      <c r="BY71">
        <f t="shared" si="29"/>
        <v>206.65318805973638</v>
      </c>
      <c r="BZ71">
        <f t="shared" si="30"/>
        <v>63.000577591104637</v>
      </c>
      <c r="CA71">
        <f t="shared" si="31"/>
        <v>59.063041491660599</v>
      </c>
      <c r="CB71">
        <f>BO71*'Reagent cost'!$G$11*'Reagent cost'!$H$11</f>
        <v>3185.4126996665682</v>
      </c>
      <c r="CC71">
        <f>BP71*'Reagent cost'!$G$11*'Reagent cost'!$H$11</f>
        <v>7796.3214768992002</v>
      </c>
      <c r="CD71">
        <f>BQ71*'Reagent cost'!$C$18/1000*'Reagent cost'!$H$18</f>
        <v>3848.5686313477631</v>
      </c>
      <c r="CE71">
        <f>BR71*'Ligand cost'!$B$56*'Ligand cost'!$J$56</f>
        <v>60133.720475132257</v>
      </c>
      <c r="CF71">
        <f t="shared" si="32"/>
        <v>10</v>
      </c>
      <c r="CG71">
        <f t="shared" si="33"/>
        <v>2.1938103992193998</v>
      </c>
      <c r="CH71">
        <f t="shared" si="34"/>
        <v>3.9375360994440403</v>
      </c>
      <c r="CI71">
        <f>7963.6*(BX71/1000)^0.6*1.7*('CAPEX+OPEX'!$G$116/'CAPEX+OPEX'!$G$115)</f>
        <v>2140.0916471558648</v>
      </c>
      <c r="CJ71">
        <f>7963.6*(BY71/1000)^0.6*1.7*('CAPEX+OPEX'!$G$116/'CAPEX+OPEX'!$G$115)</f>
        <v>6199.9215410229135</v>
      </c>
      <c r="CK71">
        <f>7963.6*(BZ71/1000)^0.6*1.7*('CAPEX+OPEX'!$G$116/'CAPEX+OPEX'!$G$115)</f>
        <v>3039.8184494757229</v>
      </c>
      <c r="CL71">
        <f>7963.6*(CA71/1000)^0.6*1.7*('CAPEX+OPEX'!$G$116/'CAPEX+OPEX'!$G$115)</f>
        <v>2924.3571547774636</v>
      </c>
      <c r="CM71">
        <f>'Costing 100 Lmin Feed Orig'!DE71</f>
        <v>39625.826528698344</v>
      </c>
      <c r="CN71">
        <f>'Costing 100 Lmin Feed Orig'!DF71</f>
        <v>4586243.4239371875</v>
      </c>
      <c r="CO71">
        <f>'Costing 100 Lmin Feed Orig'!DG71</f>
        <v>11794834.586807497</v>
      </c>
      <c r="CP71">
        <f>'Costing 100 Lmin Feed Orig'!DH71</f>
        <v>2275209.1661185985</v>
      </c>
      <c r="CQ71">
        <f>'Costing 100 Lmin Feed Orig'!DI71</f>
        <v>14083914.336508472</v>
      </c>
      <c r="CR71">
        <f>'Costing 100 Lmin Feed Orig'!DJ71</f>
        <v>1662824.8986326549</v>
      </c>
      <c r="CS71">
        <f>CN71*(BK71/10000)^0.72*((A71+1)/3)^0.6*('CAPEX+OPEX'!$G$116/'CAPEX+OPEX'!$G$114)</f>
        <v>800322.53402245743</v>
      </c>
      <c r="CT71">
        <f>CO71*(BK71/10000)^0.72*((A71+1)/3)^0.6*('CAPEX+OPEX'!$G$116/'CAPEX+OPEX'!$G$114)</f>
        <v>2058257.9318883498</v>
      </c>
      <c r="CU71">
        <f>CP71*(BK71/10000)^0.72*((A71+1)/3)^0.6*('CAPEX+OPEX'!$G$116/'CAPEX+OPEX'!$G$114)</f>
        <v>397035.437708179</v>
      </c>
      <c r="CV71">
        <f>CQ71*(BK71/10000)^0.72*((A71+1)/3)^0.6*('CAPEX+OPEX'!$G$116/'CAPEX+OPEX'!$G$114)</f>
        <v>2457713.856163613</v>
      </c>
      <c r="CW71">
        <f>CR71*(BK71/10000)^0.72*((A71+1)/3)^0.6*('CAPEX+OPEX'!$G$116/'CAPEX+OPEX'!$G$114)</f>
        <v>290171.30437591631</v>
      </c>
      <c r="CX71">
        <f t="shared" si="35"/>
        <v>6003501.064158516</v>
      </c>
      <c r="CY71">
        <f>CN71*(BM71/10000)^0.72*((AF71+1)/3)^0.6*('CAPEX+OPEX'!$G$116/'CAPEX+OPEX'!$G$114)</f>
        <v>924872.72116447624</v>
      </c>
      <c r="CZ71">
        <f>CO71*(BM71/10000)^0.72*((AF71+1)/3)^0.6*('CAPEX+OPEX'!$G$116/'CAPEX+OPEX'!$G$114)</f>
        <v>2378574.3039824599</v>
      </c>
      <c r="DA71">
        <f>CP71*(BM71/10000)^0.72*((AF71+1)/3)^0.6*('CAPEX+OPEX'!$G$116/'CAPEX+OPEX'!$G$114)</f>
        <v>458824.07412208192</v>
      </c>
      <c r="DB71">
        <f>CQ71*(BM71/10000)^0.72*((AF71+1)/3)^0.6*('CAPEX+OPEX'!$G$116/'CAPEX+OPEX'!$G$114)</f>
        <v>2840195.5528718065</v>
      </c>
      <c r="DC71">
        <f>CR71*(BM71/10000)^0.72*((AF71+1)/3)^0.6*('CAPEX+OPEX'!$G$116/'CAPEX+OPEX'!$G$114)</f>
        <v>335329.21100340848</v>
      </c>
      <c r="DD71">
        <f t="shared" si="36"/>
        <v>6937795.8631442329</v>
      </c>
      <c r="DE71">
        <f>CX71+DD71+1.15*(SUM(CI71:CL71)+SUM(CB71:CE71))</f>
        <v>13043955.371189548</v>
      </c>
      <c r="DF71">
        <f t="shared" si="37"/>
        <v>869597.0247459698</v>
      </c>
      <c r="DG71">
        <f>(BS71+BT71)*'Oxidant Feed Composition'!$N$25*60*7200</f>
        <v>14813698.580794377</v>
      </c>
      <c r="DH71">
        <f>((CG71+CH71)*'Reagent cost'!$C$17/1000*'Reagent cost'!$H$17+(CG71+CH71)*0.5*'Reagent cost'!$C$16/1000*'Reagent cost'!$H$16)*60*7200</f>
        <v>5903594.9351781262</v>
      </c>
      <c r="DI71">
        <f>CF71*'Reagent cost'!$C$17/1000*'Reagent cost'!$H$17*60*7200</f>
        <v>504921.59999999998</v>
      </c>
      <c r="DJ71">
        <f t="shared" si="38"/>
        <v>109.8173417656577</v>
      </c>
      <c r="DK71">
        <f t="shared" si="39"/>
        <v>1279.6457821296005</v>
      </c>
      <c r="DL71">
        <f t="shared" si="40"/>
        <v>25468325.494915679</v>
      </c>
      <c r="DM71">
        <f>BK71*(B71*(409.81+2)/1000+C71*(248.2+2*22.99)/1000+D71*(315.6+3*22.99)/1000+0.1*58.44/1000)</f>
        <v>0.70639694042110623</v>
      </c>
      <c r="DN71">
        <f>(BS71+BT71)/1000*('Oxidant Feed Composition'!$B$11*'Oxidant Feed Composition'!$O$20+'Oxidant Feed Composition'!$D$11*'Oxidant Feed Composition'!$O$21+'Oxidant Feed Composition'!$F$11*'Oxidant Feed Composition'!$O$27-'Oxidant Feed Composition'!$J$15*18.015)</f>
        <v>2.148139441281061</v>
      </c>
      <c r="DO71">
        <f>(BU71+BV71)/1000*(0.2*368.34+0.4*58.44)</f>
        <v>1.4875259740407372</v>
      </c>
      <c r="DP71">
        <f>BK71/1000*(B71*195.08+C71*106.42+D71*102.91)</f>
        <v>4.999938342565946E-2</v>
      </c>
      <c r="DQ71">
        <f>SUM(DM71:DO71)-DP71</f>
        <v>4.2920629723172441</v>
      </c>
      <c r="DR71">
        <f>DQ71*60*7200*0.33</f>
        <v>611876.4973335464</v>
      </c>
      <c r="DS71">
        <v>1.2</v>
      </c>
      <c r="DT71">
        <f>BM71/60*(AM71*4+AN71*2+AO71*3)*96485/DV71</f>
        <v>1405.8889016994299</v>
      </c>
      <c r="DU71">
        <f>BN71*BA71*(AP71*4+AQ71*2+AR71*3)*96485/DV71/60</f>
        <v>705.8149200453754</v>
      </c>
      <c r="DV71">
        <v>0.7</v>
      </c>
      <c r="DW71">
        <f>0.499*((BK71/3.78541*15)^(-0.146))*BK71/3.78541*15*300*(1+(A71-2)/9)</f>
        <v>44032.441905260595</v>
      </c>
      <c r="DX71">
        <f>0.248*((BK71/3.78541*15)^(-0.144))*BK71/3.78541*15*300*(1+(A71-2)/3)</f>
        <v>41526.098972294596</v>
      </c>
      <c r="DY71">
        <f>0.105*((BK71/3.78541*15)^(-0.144))*BK71/3.78541*15*300*(1+(A71-2)/3)</f>
        <v>17581.614484237631</v>
      </c>
      <c r="DZ71">
        <f>0.058*((BK71/3.78541*15)^(-0.151))*BK71/3.78541*15*300*(1+(A71-2)/3)</f>
        <v>9313.4716969742931</v>
      </c>
      <c r="EA71">
        <f>0.056*((BK71/3.78541*15)^(-0.144))*BK71/3.78541*15*300*(1+(A71-2)/3)</f>
        <v>9376.8610582600722</v>
      </c>
      <c r="EB71">
        <f>DS71*DT71/(3.6*10^6)*3600*7200*0.07</f>
        <v>850.28160774781531</v>
      </c>
      <c r="EC71">
        <f>0.499*((BM71/3.78541*15)^(-0.146))*BM71/3.78541*15*300*(1+(AF71-2)/9)</f>
        <v>51427.591383785315</v>
      </c>
      <c r="ED71">
        <f>0.248*((BM71/3.78541*15)^(-0.144))*BM71/3.78541*15*300*(1+(AF71-2)/3)</f>
        <v>54311.714899048464</v>
      </c>
      <c r="EE71">
        <f>0.105*((BM71/3.78541*15)^(-0.144))*BM71/3.78541*15*300*(1+(AF71-2)/3)</f>
        <v>22994.879291935842</v>
      </c>
      <c r="EF71">
        <f>0.058*((BM71/3.78541*15)^(-0.151))*BM71/3.78541*15*300*(1+(AF71-2)/3)</f>
        <v>12187.809958174303</v>
      </c>
      <c r="EG71">
        <f>0.056*((BM71/3.78541*15)^(-0.144))*BM71/3.78541*15*300*(1+(AF71-2)/3)</f>
        <v>12263.935622365781</v>
      </c>
      <c r="EH71">
        <f>DS71*DU71/(3.6*10^6)*3600*7200*0.07</f>
        <v>426.87686364344307</v>
      </c>
      <c r="EI71">
        <f>SUM(DW71:EH71)</f>
        <v>276293.57774372824</v>
      </c>
      <c r="EJ71">
        <f>EI71+DR71+DL71</f>
        <v>26356495.569992952</v>
      </c>
      <c r="EK71">
        <f>EJ71+DF71</f>
        <v>27226092.594738923</v>
      </c>
      <c r="EL71">
        <f>EK71/(BK71*60*7200)</f>
        <v>0.63023362487821577</v>
      </c>
      <c r="EM71">
        <f>EK71/(BM71*(AM71*195.084/1000+AN71*106.42/1000+AO71*102.911/1000)*60*7200)</f>
        <v>2108.4248037321918</v>
      </c>
      <c r="EN71">
        <f>EK71/(BN71*BA71*(AP71*195.084/1000+AQ71*106.42/1000+AR71*102.911/1000)*60*7200)</f>
        <v>3869.4160130575588</v>
      </c>
    </row>
    <row r="72" spans="1:144">
      <c r="A72">
        <f>'Costing 100 Lmin Feed Orig'!A72</f>
        <v>10</v>
      </c>
      <c r="B72">
        <f>'Costing 100 Lmin Feed Orig'!B72</f>
        <v>1.54143585092054E-3</v>
      </c>
      <c r="C72">
        <f>'Costing 100 Lmin Feed Orig'!C72</f>
        <v>1.54143585092054E-3</v>
      </c>
      <c r="D72">
        <f>'Costing 100 Lmin Feed Orig'!D72</f>
        <v>3.4254130020456501E-4</v>
      </c>
      <c r="E72">
        <f>'Costing 100 Lmin Feed Orig'!E72</f>
        <v>0</v>
      </c>
      <c r="F72">
        <f>'Costing 100 Lmin Feed Orig'!F72</f>
        <v>0</v>
      </c>
      <c r="G72">
        <f>'Costing 100 Lmin Feed Orig'!G72</f>
        <v>0</v>
      </c>
      <c r="H72">
        <f>'Costing 100 Lmin Feed Orig'!H72</f>
        <v>1.7770671970930099E-5</v>
      </c>
      <c r="I72">
        <f>'Costing 100 Lmin Feed Orig'!I72</f>
        <v>5.2649488631162003E-10</v>
      </c>
      <c r="J72">
        <f>'Costing 100 Lmin Feed Orig'!J72</f>
        <v>3.3765279177869602E-4</v>
      </c>
      <c r="K72">
        <f>'Costing 100 Lmin Feed Orig'!K72</f>
        <v>0.139053960209192</v>
      </c>
      <c r="L72">
        <f>'Costing 100 Lmin Feed Orig'!L72</f>
        <v>0.14067571356050099</v>
      </c>
      <c r="M72">
        <f>'Costing 100 Lmin Feed Orig'!M72</f>
        <v>4.4613899794023002E-4</v>
      </c>
      <c r="N72">
        <f>'Costing 100 Lmin Feed Orig'!N72</f>
        <v>-1.6046192152785399E-16</v>
      </c>
      <c r="O72">
        <f>'Costing 100 Lmin Feed Orig'!O72</f>
        <v>-5.9831913729046996E-14</v>
      </c>
      <c r="P72">
        <f>'Costing 100 Lmin Feed Orig'!P72</f>
        <v>-6.6915602833089703E-20</v>
      </c>
      <c r="Q72">
        <f>'Costing 100 Lmin Feed Orig'!Q72</f>
        <v>0.10957366310586</v>
      </c>
      <c r="R72">
        <f>'Costing 100 Lmin Feed Orig'!R72</f>
        <v>98.572870359588904</v>
      </c>
      <c r="S72">
        <f>'Costing 100 Lmin Feed Orig'!S72</f>
        <v>500</v>
      </c>
      <c r="T72">
        <f>'Costing 100 Lmin Feed Orig'!T72</f>
        <v>95</v>
      </c>
      <c r="U72">
        <f>'Costing 100 Lmin Feed Orig'!U72</f>
        <v>1</v>
      </c>
      <c r="V72">
        <f>'Costing 100 Lmin Feed Orig'!V72</f>
        <v>0.1</v>
      </c>
      <c r="W72">
        <f>'Costing 100 Lmin Feed Orig'!W72</f>
        <v>91.262806376555005</v>
      </c>
      <c r="X72" t="str">
        <f>'Costing 100 Lmin Feed Orig'!X72</f>
        <v>ddFc</v>
      </c>
      <c r="Y72">
        <f>'Costing 100 Lmin Feed Orig'!Y72</f>
        <v>1</v>
      </c>
      <c r="Z72">
        <f>'Costing 100 Lmin Feed Orig'!Z72</f>
        <v>0.28318429382522198</v>
      </c>
      <c r="AA72">
        <f>'Costing 100 Lmin Feed Orig'!AA72</f>
        <v>0.56945642916197003</v>
      </c>
      <c r="AB72">
        <f>'Costing 100 Lmin Feed Orig'!AB72</f>
        <v>3.7698628972227502E-3</v>
      </c>
      <c r="AC72">
        <f>'Costing 100 Lmin Feed Orig'!AC72</f>
        <v>1822.2107908876901</v>
      </c>
      <c r="AD72">
        <f>'Costing 100 Lmin Feed Orig'!AD72</f>
        <v>2662.6059073104898</v>
      </c>
      <c r="AE72">
        <f>'Costing 100 Lmin Feed Orig'!AE72</f>
        <v>2401.5030938442701</v>
      </c>
      <c r="AF72">
        <f>'Costing 100 Lmin Feed Orig'!AF72</f>
        <v>4</v>
      </c>
      <c r="AG72">
        <f>'Costing 100 Lmin Feed Orig'!AG72</f>
        <v>1.6497548842793E-3</v>
      </c>
      <c r="AH72">
        <f>'Costing 100 Lmin Feed Orig'!AH72</f>
        <v>1.66899558413707E-3</v>
      </c>
      <c r="AI72">
        <f>'Costing 100 Lmin Feed Orig'!AI72</f>
        <v>5.2930530695573503E-6</v>
      </c>
      <c r="AJ72">
        <f>'Costing 100 Lmin Feed Orig'!AJ72</f>
        <v>0</v>
      </c>
      <c r="AK72">
        <f>'Costing 100 Lmin Feed Orig'!AK72</f>
        <v>0</v>
      </c>
      <c r="AL72">
        <f>'Costing 100 Lmin Feed Orig'!AL72</f>
        <v>0</v>
      </c>
      <c r="AM72">
        <f>'Costing 100 Lmin Feed Orig'!AM72</f>
        <v>1.6048413033404E-3</v>
      </c>
      <c r="AN72">
        <f>'Costing 100 Lmin Feed Orig'!AN72</f>
        <v>7.9214281912587002E-5</v>
      </c>
      <c r="AO72">
        <f>'Costing 100 Lmin Feed Orig'!AO72</f>
        <v>5.2510498442721197E-6</v>
      </c>
      <c r="AP72">
        <f>'Costing 100 Lmin Feed Orig'!AP72</f>
        <v>1.9874301532163399E-3</v>
      </c>
      <c r="AQ72">
        <f>'Costing 100 Lmin Feed Orig'!AQ72</f>
        <v>7.0347971160411499E-2</v>
      </c>
      <c r="AR72">
        <f>'Costing 100 Lmin Feed Orig'!AR72</f>
        <v>1.8586466433211301E-6</v>
      </c>
      <c r="AS72">
        <f>'Costing 100 Lmin Feed Orig'!AS72</f>
        <v>-9.4990475988515606E-15</v>
      </c>
      <c r="AT72">
        <f>'Costing 100 Lmin Feed Orig'!AT72</f>
        <v>-1.2249511301132201E-13</v>
      </c>
      <c r="AU72">
        <f>'Costing 100 Lmin Feed Orig'!AU72</f>
        <v>-3.0412916494512601E-18</v>
      </c>
      <c r="AV72">
        <f>'Costing 100 Lmin Feed Orig'!AV72</f>
        <v>0.20871608876883399</v>
      </c>
      <c r="AW72">
        <f>'Costing 100 Lmin Feed Orig'!AW72</f>
        <v>99.206446171363694</v>
      </c>
      <c r="AX72">
        <f>'Costing 100 Lmin Feed Orig'!AX72</f>
        <v>500</v>
      </c>
      <c r="AY72">
        <f>'Costing 100 Lmin Feed Orig'!AY72</f>
        <v>95</v>
      </c>
      <c r="AZ72">
        <f>'Costing 100 Lmin Feed Orig'!AZ72</f>
        <v>0.92357064280818002</v>
      </c>
      <c r="BA72">
        <f>'Costing 100 Lmin Feed Orig'!BA72</f>
        <v>0.1</v>
      </c>
      <c r="BB72">
        <f>'Costing 100 Lmin Feed Orig'!BB72</f>
        <v>44.250093428642501</v>
      </c>
      <c r="BC72" t="str">
        <f>'Costing 100 Lmin Feed Orig'!BC72</f>
        <v>coeFc</v>
      </c>
      <c r="BD72">
        <f>'Costing 100 Lmin Feed Orig'!BD72</f>
        <v>1</v>
      </c>
      <c r="BE72">
        <f>'Costing 100 Lmin Feed Orig'!BE72</f>
        <v>1.8775014999999999E-2</v>
      </c>
      <c r="BF72">
        <f>'Costing 100 Lmin Feed Orig'!BF72</f>
        <v>0.10492961100000001</v>
      </c>
      <c r="BG72">
        <f>'Costing 100 Lmin Feed Orig'!BG72</f>
        <v>1.814625E-3</v>
      </c>
      <c r="BH72">
        <f>'Costing 100 Lmin Feed Orig'!BH72</f>
        <v>285.1951444</v>
      </c>
      <c r="BI72">
        <f>'Costing 100 Lmin Feed Orig'!BI72</f>
        <v>2169.8944889999998</v>
      </c>
      <c r="BJ72">
        <f>'Costing 100 Lmin Feed Orig'!BJ72</f>
        <v>866.49409060000005</v>
      </c>
      <c r="BK72">
        <f>'Costing 100 Lmin Feed Orig'!BK72</f>
        <v>100</v>
      </c>
      <c r="BL72">
        <f>'Costing 100 Lmin Feed Orig'!BL72</f>
        <v>10.957366310586</v>
      </c>
      <c r="BM72">
        <f>'Costing 100 Lmin Feed Orig'!BM72</f>
        <v>92.357064280818008</v>
      </c>
      <c r="BN72">
        <f>'Costing 100 Lmin Feed Orig'!BN72</f>
        <v>20.8716088768834</v>
      </c>
      <c r="BO72">
        <f t="shared" si="22"/>
        <v>262.97679145406403</v>
      </c>
      <c r="BP72">
        <f t="shared" si="23"/>
        <v>250.4593065226008</v>
      </c>
      <c r="BQ72">
        <f t="shared" si="24"/>
        <v>26.297679145406406</v>
      </c>
      <c r="BR72">
        <f t="shared" si="25"/>
        <v>25.045930652260083</v>
      </c>
      <c r="BS72">
        <f>1.2*0.5*BL72*V72/'Oxidant Feed Composition'!$N$22</f>
        <v>6.5744197863515996</v>
      </c>
      <c r="BT72">
        <f>1.2*0.5*BN72*BA72/'Oxidant Feed Composition'!$N$22</f>
        <v>12.52296532613004</v>
      </c>
      <c r="BU72">
        <f t="shared" si="26"/>
        <v>5.478683155293</v>
      </c>
      <c r="BV72">
        <f t="shared" si="27"/>
        <v>10.4358044384417</v>
      </c>
      <c r="BW72">
        <f t="shared" si="28"/>
        <v>86.87838112552501</v>
      </c>
      <c r="BX72">
        <f t="shared" si="21"/>
        <v>35.063572193875203</v>
      </c>
      <c r="BY72">
        <f t="shared" si="29"/>
        <v>206.62886118280801</v>
      </c>
      <c r="BZ72">
        <f t="shared" si="30"/>
        <v>66.789148406026882</v>
      </c>
      <c r="CA72">
        <f t="shared" si="31"/>
        <v>62.614826630650199</v>
      </c>
      <c r="CB72">
        <f>BO72*'Reagent cost'!$G$11*'Reagent cost'!$H$11</f>
        <v>3471.2936471936455</v>
      </c>
      <c r="CC72">
        <f>BP72*'Reagent cost'!$G$11*'Reagent cost'!$H$11</f>
        <v>3306.0628460983307</v>
      </c>
      <c r="CD72">
        <f>BQ72*'Reagent cost'!$C$18/1000*'Reagent cost'!$H$18</f>
        <v>4193.9657747282263</v>
      </c>
      <c r="CE72">
        <f>BR72*'Ligand cost'!$B$56*'Ligand cost'!$J$56</f>
        <v>25499.956569205955</v>
      </c>
      <c r="CF72">
        <f t="shared" si="32"/>
        <v>10</v>
      </c>
      <c r="CG72">
        <f t="shared" si="33"/>
        <v>2.1914732621172002</v>
      </c>
      <c r="CH72">
        <f t="shared" si="34"/>
        <v>4.1743217753766801</v>
      </c>
      <c r="CI72">
        <f>7963.6*(BX72/1000)^0.6*1.7*('CAPEX+OPEX'!$G$116/'CAPEX+OPEX'!$G$115)</f>
        <v>2138.7234102796551</v>
      </c>
      <c r="CJ72">
        <f>7963.6*(BY72/1000)^0.6*1.7*('CAPEX+OPEX'!$G$116/'CAPEX+OPEX'!$G$115)</f>
        <v>6199.4836239091055</v>
      </c>
      <c r="CK72">
        <f>7963.6*(BZ72/1000)^0.6*1.7*('CAPEX+OPEX'!$G$116/'CAPEX+OPEX'!$G$115)</f>
        <v>3148.2156354245658</v>
      </c>
      <c r="CL72">
        <f>7963.6*(CA72/1000)^0.6*1.7*('CAPEX+OPEX'!$G$116/'CAPEX+OPEX'!$G$115)</f>
        <v>3028.6370950291303</v>
      </c>
      <c r="CM72">
        <f>'Costing 100 Lmin Feed Orig'!DE72</f>
        <v>39625.826528698344</v>
      </c>
      <c r="CN72">
        <f>'Costing 100 Lmin Feed Orig'!DF72</f>
        <v>4586243.4239371875</v>
      </c>
      <c r="CO72">
        <f>'Costing 100 Lmin Feed Orig'!DG72</f>
        <v>11794834.586807497</v>
      </c>
      <c r="CP72">
        <f>'Costing 100 Lmin Feed Orig'!DH72</f>
        <v>2275209.1661185985</v>
      </c>
      <c r="CQ72">
        <f>'Costing 100 Lmin Feed Orig'!DI72</f>
        <v>14083914.336508472</v>
      </c>
      <c r="CR72">
        <f>'Costing 100 Lmin Feed Orig'!DJ72</f>
        <v>1662824.8986326549</v>
      </c>
      <c r="CS72">
        <f>CN72*(BK72/10000)^0.72*((A72+1)/3)^0.6*('CAPEX+OPEX'!$G$116/'CAPEX+OPEX'!$G$114)</f>
        <v>847423.79840727116</v>
      </c>
      <c r="CT72">
        <f>CO72*(BK72/10000)^0.72*((A72+1)/3)^0.6*('CAPEX+OPEX'!$G$116/'CAPEX+OPEX'!$G$114)</f>
        <v>2179392.2832288719</v>
      </c>
      <c r="CU72">
        <f>CP72*(BK72/10000)^0.72*((A72+1)/3)^0.6*('CAPEX+OPEX'!$G$116/'CAPEX+OPEX'!$G$114)</f>
        <v>420402.1059283549</v>
      </c>
      <c r="CV72">
        <f>CQ72*(BK72/10000)^0.72*((A72+1)/3)^0.6*('CAPEX+OPEX'!$G$116/'CAPEX+OPEX'!$G$114)</f>
        <v>2602357.3282642425</v>
      </c>
      <c r="CW72">
        <f>CR72*(BK72/10000)^0.72*((A72+1)/3)^0.6*('CAPEX+OPEX'!$G$116/'CAPEX+OPEX'!$G$114)</f>
        <v>307248.71347447456</v>
      </c>
      <c r="CX72">
        <f t="shared" si="35"/>
        <v>6356824.2293032147</v>
      </c>
      <c r="CY72">
        <f>CN72*(BM72/10000)^0.72*((AF72+1)/3)^0.6*('CAPEX+OPEX'!$G$116/'CAPEX+OPEX'!$G$114)</f>
        <v>498638.18596251757</v>
      </c>
      <c r="CZ72">
        <f>CO72*(BM72/10000)^0.72*((AF72+1)/3)^0.6*('CAPEX+OPEX'!$G$116/'CAPEX+OPEX'!$G$114)</f>
        <v>1282390.483548437</v>
      </c>
      <c r="DA72">
        <f>CP72*(BM72/10000)^0.72*((AF72+1)/3)^0.6*('CAPEX+OPEX'!$G$116/'CAPEX+OPEX'!$G$114)</f>
        <v>247371.55584836402</v>
      </c>
      <c r="DB72">
        <f>CQ72*(BM72/10000)^0.72*((AF72+1)/3)^0.6*('CAPEX+OPEX'!$G$116/'CAPEX+OPEX'!$G$114)</f>
        <v>1531270.1151783131</v>
      </c>
      <c r="DC72">
        <f>CR72*(BM72/10000)^0.72*((AF72+1)/3)^0.6*('CAPEX+OPEX'!$G$116/'CAPEX+OPEX'!$G$114)</f>
        <v>180790.22729144391</v>
      </c>
      <c r="DD72">
        <f t="shared" si="36"/>
        <v>3740460.5678290757</v>
      </c>
      <c r="DE72">
        <f>CX72+DD72+1.15*(SUM(CI72:CL72)+SUM(CB72:CE72))</f>
        <v>10155919.08652444</v>
      </c>
      <c r="DF72">
        <f t="shared" si="37"/>
        <v>677061.27243496268</v>
      </c>
      <c r="DG72">
        <f>(BS72+BT72)*'Oxidant Feed Composition'!$N$25*60*7200</f>
        <v>15380140.224191772</v>
      </c>
      <c r="DH72">
        <f>((CG72+CH72)*'Reagent cost'!$C$17/1000*'Reagent cost'!$H$17+(CG72+CH72)*0.5*'Reagent cost'!$C$16/1000*'Reagent cost'!$H$16)*60*7200</f>
        <v>6129334.7798763551</v>
      </c>
      <c r="DI72">
        <f>CF72*'Reagent cost'!$C$17/1000*'Reagent cost'!$H$17*60*7200</f>
        <v>504921.59999999998</v>
      </c>
      <c r="DJ72">
        <f t="shared" si="38"/>
        <v>67.773564932919768</v>
      </c>
      <c r="DK72">
        <f t="shared" si="39"/>
        <v>593.87844687868358</v>
      </c>
      <c r="DL72">
        <f t="shared" si="40"/>
        <v>26418069.907295931</v>
      </c>
      <c r="DM72">
        <f>BK72*(B72*(409.81+2)/1000+C72*(248.2+2*22.99)/1000+D72*(315.6+3*22.99)/1000+0.1*58.44/1000)</f>
        <v>0.70639694042110623</v>
      </c>
      <c r="DN72">
        <f>(BS72+BT72)/1000*('Oxidant Feed Composition'!$B$11*'Oxidant Feed Composition'!$O$20+'Oxidant Feed Composition'!$D$11*'Oxidant Feed Composition'!$O$21+'Oxidant Feed Composition'!$F$11*'Oxidant Feed Composition'!$O$27-'Oxidant Feed Composition'!$J$15*18.015)</f>
        <v>2.230279335564016</v>
      </c>
      <c r="DO72">
        <f>(BU72+BV72)/1000*(0.2*368.34+0.4*58.44)</f>
        <v>1.54440553404639</v>
      </c>
      <c r="DP72">
        <f>BK72/1000*(B72*195.08+C72*106.42+D72*102.91)</f>
        <v>4.999938342565946E-2</v>
      </c>
      <c r="DQ72">
        <f>SUM(DM72:DO72)-DP72</f>
        <v>4.4310824266058519</v>
      </c>
      <c r="DR72">
        <f>DQ72*60*7200*0.33</f>
        <v>631695.11073693028</v>
      </c>
      <c r="DS72">
        <v>1.2</v>
      </c>
      <c r="DT72">
        <f>BM72/60*(AM72*4+AN72*2+AO72*3)*96485/DV72</f>
        <v>1398.9420736828372</v>
      </c>
      <c r="DU72">
        <f>BN72*BA72*(AP72*4+AQ72*2+AR72*3)*96485/DV72/60</f>
        <v>712.74630003990501</v>
      </c>
      <c r="DV72">
        <v>0.7</v>
      </c>
      <c r="DW72">
        <f>0.499*((BK72/3.78541*15)^(-0.146))*BK72/3.78541*15*300*(1+(A72-2)/9)</f>
        <v>46784.46952433938</v>
      </c>
      <c r="DX72">
        <f>0.248*((BK72/3.78541*15)^(-0.144))*BK72/3.78541*15*300*(1+(A72-2)/3)</f>
        <v>45678.708869524045</v>
      </c>
      <c r="DY72">
        <f>0.105*((BK72/3.78541*15)^(-0.144))*BK72/3.78541*15*300*(1+(A72-2)/3)</f>
        <v>19339.775932661389</v>
      </c>
      <c r="DZ72">
        <f>0.058*((BK72/3.78541*15)^(-0.151))*BK72/3.78541*15*300*(1+(A72-2)/3)</f>
        <v>10244.818866671721</v>
      </c>
      <c r="EA72">
        <f>0.056*((BK72/3.78541*15)^(-0.144))*BK72/3.78541*15*300*(1+(A72-2)/3)</f>
        <v>10314.547164086078</v>
      </c>
      <c r="EB72">
        <f>DS72*DT72/(3.6*10^6)*3600*7200*0.07</f>
        <v>846.08016616337989</v>
      </c>
      <c r="EC72">
        <f>0.499*((BM72/3.78541*15)^(-0.146))*BM72/3.78541*15*300*(1+(AF72-2)/9)</f>
        <v>28285.050307726531</v>
      </c>
      <c r="ED72">
        <f>0.248*((BM72/3.78541*15)^(-0.144))*BM72/3.78541*15*300*(1+(AF72-2)/3)</f>
        <v>19396.955145805132</v>
      </c>
      <c r="EE72">
        <f>0.105*((BM72/3.78541*15)^(-0.144))*BM72/3.78541*15*300*(1+(AF72-2)/3)</f>
        <v>8212.4205254416884</v>
      </c>
      <c r="EF72">
        <f>0.058*((BM72/3.78541*15)^(-0.151))*BM72/3.78541*15*300*(1+(AF72-2)/3)</f>
        <v>4352.7701543586227</v>
      </c>
      <c r="EG72">
        <f>0.056*((BM72/3.78541*15)^(-0.144))*BM72/3.78541*15*300*(1+(AF72-2)/3)</f>
        <v>4379.9576135689013</v>
      </c>
      <c r="EH72">
        <f>DS72*DU72/(3.6*10^6)*3600*7200*0.07</f>
        <v>431.06896226413448</v>
      </c>
      <c r="EI72">
        <f>SUM(DW72:EH72)</f>
        <v>198266.62323261102</v>
      </c>
      <c r="EJ72">
        <f>EI72+DR72+DL72</f>
        <v>27248031.641265474</v>
      </c>
      <c r="EK72">
        <f>EJ72+DF72</f>
        <v>27925092.913700435</v>
      </c>
      <c r="EL72">
        <f>EK72/(BK72*60*7200)</f>
        <v>0.64641418781713966</v>
      </c>
      <c r="EM72">
        <f>EK72/(BM72*(AM72*195.084/1000+AN72*106.42/1000+AO72*102.911/1000)*60*7200)</f>
        <v>2173.2940336884626</v>
      </c>
      <c r="EN72">
        <f>EK72/(BN72*BA72*(AP72*195.084/1000+AQ72*106.42/1000+AR72*102.911/1000)*60*7200)</f>
        <v>3933.1534377230282</v>
      </c>
    </row>
    <row r="73" spans="1:144">
      <c r="A73">
        <f>'Costing 100 Lmin Feed Orig'!A73</f>
        <v>10</v>
      </c>
      <c r="B73">
        <f>'Costing 100 Lmin Feed Orig'!B73</f>
        <v>1.54143585092054E-3</v>
      </c>
      <c r="C73">
        <f>'Costing 100 Lmin Feed Orig'!C73</f>
        <v>1.54143585092054E-3</v>
      </c>
      <c r="D73">
        <f>'Costing 100 Lmin Feed Orig'!D73</f>
        <v>3.4254130020456501E-4</v>
      </c>
      <c r="E73">
        <f>'Costing 100 Lmin Feed Orig'!E73</f>
        <v>0</v>
      </c>
      <c r="F73">
        <f>'Costing 100 Lmin Feed Orig'!F73</f>
        <v>0</v>
      </c>
      <c r="G73">
        <f>'Costing 100 Lmin Feed Orig'!G73</f>
        <v>0</v>
      </c>
      <c r="H73">
        <f>'Costing 100 Lmin Feed Orig'!H73</f>
        <v>1.7770671970930099E-5</v>
      </c>
      <c r="I73">
        <f>'Costing 100 Lmin Feed Orig'!I73</f>
        <v>5.2649488631162003E-10</v>
      </c>
      <c r="J73">
        <f>'Costing 100 Lmin Feed Orig'!J73</f>
        <v>3.3765279177869602E-4</v>
      </c>
      <c r="K73">
        <f>'Costing 100 Lmin Feed Orig'!K73</f>
        <v>0.139053960209192</v>
      </c>
      <c r="L73">
        <f>'Costing 100 Lmin Feed Orig'!L73</f>
        <v>0.14067571356050099</v>
      </c>
      <c r="M73">
        <f>'Costing 100 Lmin Feed Orig'!M73</f>
        <v>4.4613899794023002E-4</v>
      </c>
      <c r="N73">
        <f>'Costing 100 Lmin Feed Orig'!N73</f>
        <v>-1.6046192152785399E-16</v>
      </c>
      <c r="O73">
        <f>'Costing 100 Lmin Feed Orig'!O73</f>
        <v>-5.9831913729046996E-14</v>
      </c>
      <c r="P73">
        <f>'Costing 100 Lmin Feed Orig'!P73</f>
        <v>-6.6915602833089703E-20</v>
      </c>
      <c r="Q73">
        <f>'Costing 100 Lmin Feed Orig'!Q73</f>
        <v>0.10957366310586</v>
      </c>
      <c r="R73">
        <f>'Costing 100 Lmin Feed Orig'!R73</f>
        <v>98.572870359588904</v>
      </c>
      <c r="S73">
        <f>'Costing 100 Lmin Feed Orig'!S73</f>
        <v>500</v>
      </c>
      <c r="T73">
        <f>'Costing 100 Lmin Feed Orig'!T73</f>
        <v>95</v>
      </c>
      <c r="U73">
        <f>'Costing 100 Lmin Feed Orig'!U73</f>
        <v>1</v>
      </c>
      <c r="V73">
        <f>'Costing 100 Lmin Feed Orig'!V73</f>
        <v>0.1</v>
      </c>
      <c r="W73">
        <f>'Costing 100 Lmin Feed Orig'!W73</f>
        <v>91.262806376555005</v>
      </c>
      <c r="X73" t="str">
        <f>'Costing 100 Lmin Feed Orig'!X73</f>
        <v>ddFc</v>
      </c>
      <c r="Y73">
        <f>'Costing 100 Lmin Feed Orig'!Y73</f>
        <v>1</v>
      </c>
      <c r="Z73">
        <f>'Costing 100 Lmin Feed Orig'!Z73</f>
        <v>0.28318429382522198</v>
      </c>
      <c r="AA73">
        <f>'Costing 100 Lmin Feed Orig'!AA73</f>
        <v>0.56945642916197003</v>
      </c>
      <c r="AB73">
        <f>'Costing 100 Lmin Feed Orig'!AB73</f>
        <v>3.7698628972227502E-3</v>
      </c>
      <c r="AC73">
        <f>'Costing 100 Lmin Feed Orig'!AC73</f>
        <v>1822.2107908876901</v>
      </c>
      <c r="AD73">
        <f>'Costing 100 Lmin Feed Orig'!AD73</f>
        <v>2662.6059073104898</v>
      </c>
      <c r="AE73">
        <f>'Costing 100 Lmin Feed Orig'!AE73</f>
        <v>2401.5030938442701</v>
      </c>
      <c r="AF73">
        <f>'Costing 100 Lmin Feed Orig'!AF73</f>
        <v>5</v>
      </c>
      <c r="AG73">
        <f>'Costing 100 Lmin Feed Orig'!AG73</f>
        <v>1.6497548842793E-3</v>
      </c>
      <c r="AH73">
        <f>'Costing 100 Lmin Feed Orig'!AH73</f>
        <v>1.66899558413707E-3</v>
      </c>
      <c r="AI73">
        <f>'Costing 100 Lmin Feed Orig'!AI73</f>
        <v>5.2930530695573503E-6</v>
      </c>
      <c r="AJ73">
        <f>'Costing 100 Lmin Feed Orig'!AJ73</f>
        <v>0</v>
      </c>
      <c r="AK73">
        <f>'Costing 100 Lmin Feed Orig'!AK73</f>
        <v>0</v>
      </c>
      <c r="AL73">
        <f>'Costing 100 Lmin Feed Orig'!AL73</f>
        <v>0</v>
      </c>
      <c r="AM73">
        <f>'Costing 100 Lmin Feed Orig'!AM73</f>
        <v>1.6104435974931999E-3</v>
      </c>
      <c r="AN73">
        <f>'Costing 100 Lmin Feed Orig'!AN73</f>
        <v>7.9504080567360702E-5</v>
      </c>
      <c r="AO73">
        <f>'Costing 100 Lmin Feed Orig'!AO73</f>
        <v>5.2561088045772501E-6</v>
      </c>
      <c r="AP73">
        <f>'Costing 100 Lmin Feed Orig'!AP73</f>
        <v>1.81182114984423E-3</v>
      </c>
      <c r="AQ73">
        <f>'Costing 100 Lmin Feed Orig'!AQ73</f>
        <v>7.3258205444439506E-2</v>
      </c>
      <c r="AR73">
        <f>'Costing 100 Lmin Feed Orig'!AR73</f>
        <v>1.7027272859467399E-6</v>
      </c>
      <c r="AS73">
        <f>'Costing 100 Lmin Feed Orig'!AS73</f>
        <v>-4.4743668405761099E-17</v>
      </c>
      <c r="AT73">
        <f>'Costing 100 Lmin Feed Orig'!AT73</f>
        <v>1.8843433757798001E-16</v>
      </c>
      <c r="AU73">
        <f>'Costing 100 Lmin Feed Orig'!AU73</f>
        <v>-3.54364174417717E-20</v>
      </c>
      <c r="AV73">
        <f>'Costing 100 Lmin Feed Orig'!AV73</f>
        <v>0.200388158675712</v>
      </c>
      <c r="AW73">
        <f>'Costing 100 Lmin Feed Orig'!AW73</f>
        <v>99.302023529811606</v>
      </c>
      <c r="AX73">
        <f>'Costing 100 Lmin Feed Orig'!AX73</f>
        <v>500</v>
      </c>
      <c r="AY73">
        <f>'Costing 100 Lmin Feed Orig'!AY73</f>
        <v>95</v>
      </c>
      <c r="AZ73">
        <f>'Costing 100 Lmin Feed Orig'!AZ73</f>
        <v>0.92357064280818002</v>
      </c>
      <c r="BA73">
        <f>'Costing 100 Lmin Feed Orig'!BA73</f>
        <v>0.1</v>
      </c>
      <c r="BB73">
        <f>'Costing 100 Lmin Feed Orig'!BB73</f>
        <v>46.089082753776403</v>
      </c>
      <c r="BC73" t="str">
        <f>'Costing 100 Lmin Feed Orig'!BC73</f>
        <v>coeFc</v>
      </c>
      <c r="BD73">
        <f>'Costing 100 Lmin Feed Orig'!BD73</f>
        <v>1</v>
      </c>
      <c r="BE73">
        <f>'Costing 100 Lmin Feed Orig'!BE73</f>
        <v>1.8775014999999999E-2</v>
      </c>
      <c r="BF73">
        <f>'Costing 100 Lmin Feed Orig'!BF73</f>
        <v>0.10492961100000001</v>
      </c>
      <c r="BG73">
        <f>'Costing 100 Lmin Feed Orig'!BG73</f>
        <v>1.814625E-3</v>
      </c>
      <c r="BH73">
        <f>'Costing 100 Lmin Feed Orig'!BH73</f>
        <v>285.1951444</v>
      </c>
      <c r="BI73">
        <f>'Costing 100 Lmin Feed Orig'!BI73</f>
        <v>2169.8944889999998</v>
      </c>
      <c r="BJ73">
        <f>'Costing 100 Lmin Feed Orig'!BJ73</f>
        <v>866.49409060000005</v>
      </c>
      <c r="BK73">
        <f>'Costing 100 Lmin Feed Orig'!BK73</f>
        <v>100</v>
      </c>
      <c r="BL73">
        <f>'Costing 100 Lmin Feed Orig'!BL73</f>
        <v>10.957366310586</v>
      </c>
      <c r="BM73">
        <f>'Costing 100 Lmin Feed Orig'!BM73</f>
        <v>92.357064280818008</v>
      </c>
      <c r="BN73">
        <f>'Costing 100 Lmin Feed Orig'!BN73</f>
        <v>20.038815867571198</v>
      </c>
      <c r="BO73">
        <f t="shared" si="22"/>
        <v>262.97679145406403</v>
      </c>
      <c r="BP73">
        <f t="shared" si="23"/>
        <v>280.54342214599677</v>
      </c>
      <c r="BQ73">
        <f t="shared" si="24"/>
        <v>26.297679145406406</v>
      </c>
      <c r="BR73">
        <f t="shared" si="25"/>
        <v>28.054342214599679</v>
      </c>
      <c r="BS73">
        <f>1.2*0.5*BL73*V73/'Oxidant Feed Composition'!$N$22</f>
        <v>6.5744197863515996</v>
      </c>
      <c r="BT73">
        <f>1.2*0.5*BN73*BA73/'Oxidant Feed Composition'!$N$22</f>
        <v>12.023289520542718</v>
      </c>
      <c r="BU73">
        <f t="shared" si="26"/>
        <v>5.478683155293</v>
      </c>
      <c r="BV73">
        <f t="shared" si="27"/>
        <v>10.019407933785599</v>
      </c>
      <c r="BW73">
        <f t="shared" si="28"/>
        <v>86.87838112552501</v>
      </c>
      <c r="BX73">
        <f t="shared" si="21"/>
        <v>35.063572193875203</v>
      </c>
      <c r="BY73">
        <f t="shared" si="29"/>
        <v>206.62886118280801</v>
      </c>
      <c r="BZ73">
        <f t="shared" si="30"/>
        <v>64.124210776227841</v>
      </c>
      <c r="CA73">
        <f t="shared" si="31"/>
        <v>60.116447602713592</v>
      </c>
      <c r="CB73">
        <f>BO73*'Reagent cost'!$G$11*'Reagent cost'!$H$11</f>
        <v>3471.2936471936455</v>
      </c>
      <c r="CC73">
        <f>BP73*'Reagent cost'!$G$11*'Reagent cost'!$H$11</f>
        <v>3703.1731723271578</v>
      </c>
      <c r="CD73">
        <f>BQ73*'Reagent cost'!$C$18/1000*'Reagent cost'!$H$18</f>
        <v>4193.9657747282263</v>
      </c>
      <c r="CE73">
        <f>BR73*'Ligand cost'!$B$56*'Ligand cost'!$J$56</f>
        <v>28562.90380990009</v>
      </c>
      <c r="CF73">
        <f t="shared" si="32"/>
        <v>10</v>
      </c>
      <c r="CG73">
        <f t="shared" si="33"/>
        <v>2.1914732621172002</v>
      </c>
      <c r="CH73">
        <f t="shared" si="34"/>
        <v>4.0077631735142401</v>
      </c>
      <c r="CI73">
        <f>7963.6*(BX73/1000)^0.6*1.7*('CAPEX+OPEX'!$G$116/'CAPEX+OPEX'!$G$115)</f>
        <v>2138.7234102796551</v>
      </c>
      <c r="CJ73">
        <f>7963.6*(BY73/1000)^0.6*1.7*('CAPEX+OPEX'!$G$116/'CAPEX+OPEX'!$G$115)</f>
        <v>6199.4836239091055</v>
      </c>
      <c r="CK73">
        <f>7963.6*(BZ73/1000)^0.6*1.7*('CAPEX+OPEX'!$G$116/'CAPEX+OPEX'!$G$115)</f>
        <v>3072.2329850260039</v>
      </c>
      <c r="CL73">
        <f>7963.6*(CA73/1000)^0.6*1.7*('CAPEX+OPEX'!$G$116/'CAPEX+OPEX'!$G$115)</f>
        <v>2955.5404904044981</v>
      </c>
      <c r="CM73">
        <f>'Costing 100 Lmin Feed Orig'!DE73</f>
        <v>39625.826528698344</v>
      </c>
      <c r="CN73">
        <f>'Costing 100 Lmin Feed Orig'!DF73</f>
        <v>4586243.4239371875</v>
      </c>
      <c r="CO73">
        <f>'Costing 100 Lmin Feed Orig'!DG73</f>
        <v>11794834.586807497</v>
      </c>
      <c r="CP73">
        <f>'Costing 100 Lmin Feed Orig'!DH73</f>
        <v>2275209.1661185985</v>
      </c>
      <c r="CQ73">
        <f>'Costing 100 Lmin Feed Orig'!DI73</f>
        <v>14083914.336508472</v>
      </c>
      <c r="CR73">
        <f>'Costing 100 Lmin Feed Orig'!DJ73</f>
        <v>1662824.8986326549</v>
      </c>
      <c r="CS73">
        <f>CN73*(BK73/10000)^0.72*((A73+1)/3)^0.6*('CAPEX+OPEX'!$G$116/'CAPEX+OPEX'!$G$114)</f>
        <v>847423.79840727116</v>
      </c>
      <c r="CT73">
        <f>CO73*(BK73/10000)^0.72*((A73+1)/3)^0.6*('CAPEX+OPEX'!$G$116/'CAPEX+OPEX'!$G$114)</f>
        <v>2179392.2832288719</v>
      </c>
      <c r="CU73">
        <f>CP73*(BK73/10000)^0.72*((A73+1)/3)^0.6*('CAPEX+OPEX'!$G$116/'CAPEX+OPEX'!$G$114)</f>
        <v>420402.1059283549</v>
      </c>
      <c r="CV73">
        <f>CQ73*(BK73/10000)^0.72*((A73+1)/3)^0.6*('CAPEX+OPEX'!$G$116/'CAPEX+OPEX'!$G$114)</f>
        <v>2602357.3282642425</v>
      </c>
      <c r="CW73">
        <f>CR73*(BK73/10000)^0.72*((A73+1)/3)^0.6*('CAPEX+OPEX'!$G$116/'CAPEX+OPEX'!$G$114)</f>
        <v>307248.71347447456</v>
      </c>
      <c r="CX73">
        <f t="shared" si="35"/>
        <v>6356824.2293032147</v>
      </c>
      <c r="CY73">
        <f>CN73*(BM73/10000)^0.72*((AF73+1)/3)^0.6*('CAPEX+OPEX'!$G$116/'CAPEX+OPEX'!$G$114)</f>
        <v>556281.07027801778</v>
      </c>
      <c r="CZ73">
        <f>CO73*(BM73/10000)^0.72*((AF73+1)/3)^0.6*('CAPEX+OPEX'!$G$116/'CAPEX+OPEX'!$G$114)</f>
        <v>1430635.6207470505</v>
      </c>
      <c r="DA73">
        <f>CP73*(BM73/10000)^0.72*((AF73+1)/3)^0.6*('CAPEX+OPEX'!$G$116/'CAPEX+OPEX'!$G$114)</f>
        <v>275967.86150270962</v>
      </c>
      <c r="DB73">
        <f>CQ73*(BM73/10000)^0.72*((AF73+1)/3)^0.6*('CAPEX+OPEX'!$G$116/'CAPEX+OPEX'!$G$114)</f>
        <v>1708285.8925292303</v>
      </c>
      <c r="DC73">
        <f>CR73*(BM73/10000)^0.72*((AF73+1)/3)^0.6*('CAPEX+OPEX'!$G$116/'CAPEX+OPEX'!$G$114)</f>
        <v>201689.68996901164</v>
      </c>
      <c r="DD73">
        <f t="shared" si="36"/>
        <v>4172860.13502602</v>
      </c>
      <c r="DE73">
        <f>CX73+DD73+1.15*(SUM(CI73:CL73)+SUM(CB73:CE73))</f>
        <v>10592126.278780067</v>
      </c>
      <c r="DF73">
        <f t="shared" si="37"/>
        <v>706141.75191867119</v>
      </c>
      <c r="DG73">
        <f>(BS73+BT73)*'Oxidant Feed Composition'!$N$25*60*7200</f>
        <v>14977724.714879654</v>
      </c>
      <c r="DH73">
        <f>((CG73+CH73)*'Reagent cost'!$C$17/1000*'Reagent cost'!$H$17+(CG73+CH73)*0.5*'Reagent cost'!$C$16/1000*'Reagent cost'!$H$16)*60*7200</f>
        <v>5968963.0705658793</v>
      </c>
      <c r="DI73">
        <f>CF73*'Reagent cost'!$C$17/1000*'Reagent cost'!$H$17*60*7200</f>
        <v>504921.59999999998</v>
      </c>
      <c r="DJ73">
        <f t="shared" si="38"/>
        <v>71.744668195208035</v>
      </c>
      <c r="DK73">
        <f t="shared" si="39"/>
        <v>655.13739169256633</v>
      </c>
      <c r="DL73">
        <f t="shared" si="40"/>
        <v>25742803.52100651</v>
      </c>
      <c r="DM73">
        <f>BK73*(B73*(409.81+2)/1000+C73*(248.2+2*22.99)/1000+D73*(315.6+3*22.99)/1000+0.1*58.44/1000)</f>
        <v>0.70639694042110623</v>
      </c>
      <c r="DN73">
        <f>(BS73+BT73)/1000*('Oxidant Feed Composition'!$B$11*'Oxidant Feed Composition'!$O$20+'Oxidant Feed Composition'!$D$11*'Oxidant Feed Composition'!$O$21+'Oxidant Feed Composition'!$F$11*'Oxidant Feed Composition'!$O$27-'Oxidant Feed Composition'!$J$15*18.015)</f>
        <v>2.1719249264593712</v>
      </c>
      <c r="DO73">
        <f>(BU73+BV73)/1000*(0.2*368.34+0.4*58.44)</f>
        <v>1.5039967516485435</v>
      </c>
      <c r="DP73">
        <f>BK73/1000*(B73*195.08+C73*106.42+D73*102.91)</f>
        <v>4.999938342565946E-2</v>
      </c>
      <c r="DQ73">
        <f>SUM(DM73:DO73)-DP73</f>
        <v>4.3323192351033608</v>
      </c>
      <c r="DR73">
        <f>DQ73*60*7200*0.33</f>
        <v>617615.43015633523</v>
      </c>
      <c r="DS73">
        <v>1.2</v>
      </c>
      <c r="DT73">
        <f>BM73/60*(AM73*4+AN73*2+AO73*3)*96485/DV73</f>
        <v>1403.8227843223513</v>
      </c>
      <c r="DU73">
        <f>BN73*BA73*(AP73*4+AQ73*2+AR73*3)*96485/DV73/60</f>
        <v>707.86558933533445</v>
      </c>
      <c r="DV73">
        <v>0.7</v>
      </c>
      <c r="DW73">
        <f>0.499*((BK73/3.78541*15)^(-0.146))*BK73/3.78541*15*300*(1+(A73-2)/9)</f>
        <v>46784.46952433938</v>
      </c>
      <c r="DX73">
        <f>0.248*((BK73/3.78541*15)^(-0.144))*BK73/3.78541*15*300*(1+(A73-2)/3)</f>
        <v>45678.708869524045</v>
      </c>
      <c r="DY73">
        <f>0.105*((BK73/3.78541*15)^(-0.144))*BK73/3.78541*15*300*(1+(A73-2)/3)</f>
        <v>19339.775932661389</v>
      </c>
      <c r="DZ73">
        <f>0.058*((BK73/3.78541*15)^(-0.151))*BK73/3.78541*15*300*(1+(A73-2)/3)</f>
        <v>10244.818866671721</v>
      </c>
      <c r="EA73">
        <f>0.056*((BK73/3.78541*15)^(-0.144))*BK73/3.78541*15*300*(1+(A73-2)/3)</f>
        <v>10314.547164086078</v>
      </c>
      <c r="EB73">
        <f>DS73*DT73/(3.6*10^6)*3600*7200*0.07</f>
        <v>849.03201995815812</v>
      </c>
      <c r="EC73">
        <f>0.499*((BM73/3.78541*15)^(-0.146))*BM73/3.78541*15*300*(1+(AF73-2)/9)</f>
        <v>30856.418517519851</v>
      </c>
      <c r="ED73">
        <f>0.248*((BM73/3.78541*15)^(-0.144))*BM73/3.78541*15*300*(1+(AF73-2)/3)</f>
        <v>23276.346174966162</v>
      </c>
      <c r="EE73">
        <f>0.105*((BM73/3.78541*15)^(-0.144))*BM73/3.78541*15*300*(1+(AF73-2)/3)</f>
        <v>9854.9046305300271</v>
      </c>
      <c r="EF73">
        <f>0.058*((BM73/3.78541*15)^(-0.151))*BM73/3.78541*15*300*(1+(AF73-2)/3)</f>
        <v>5223.3241852303481</v>
      </c>
      <c r="EG73">
        <f>0.056*((BM73/3.78541*15)^(-0.144))*BM73/3.78541*15*300*(1+(AF73-2)/3)</f>
        <v>5255.949136282682</v>
      </c>
      <c r="EH73">
        <f>DS73*DU73/(3.6*10^6)*3600*7200*0.07</f>
        <v>428.11710843001032</v>
      </c>
      <c r="EI73">
        <f>SUM(DW73:EH73)</f>
        <v>208106.41213019987</v>
      </c>
      <c r="EJ73">
        <f>EI73+DR73+DL73</f>
        <v>26568525.363293044</v>
      </c>
      <c r="EK73">
        <f>EJ73+DF73</f>
        <v>27274667.115211714</v>
      </c>
      <c r="EL73">
        <f>EK73/(BK73*60*7200)</f>
        <v>0.63135803507434518</v>
      </c>
      <c r="EM73">
        <f>EK73/(BM73*(AM73*195.084/1000+AN73*106.42/1000+AO73*102.911/1000)*60*7200)</f>
        <v>2115.2895852027145</v>
      </c>
      <c r="EN73">
        <f>EK73/(BN73*BA73*(AP73*195.084/1000+AQ73*106.42/1000+AR73*102.911/1000)*60*7200)</f>
        <v>3865.9680798597556</v>
      </c>
    </row>
    <row r="74" spans="1:144">
      <c r="A74">
        <f>'Costing 100 Lmin Feed Orig'!A74</f>
        <v>10</v>
      </c>
      <c r="B74">
        <f>'Costing 100 Lmin Feed Orig'!B74</f>
        <v>1.54143585092054E-3</v>
      </c>
      <c r="C74">
        <f>'Costing 100 Lmin Feed Orig'!C74</f>
        <v>1.54143585092054E-3</v>
      </c>
      <c r="D74">
        <f>'Costing 100 Lmin Feed Orig'!D74</f>
        <v>3.4254130020456501E-4</v>
      </c>
      <c r="E74">
        <f>'Costing 100 Lmin Feed Orig'!E74</f>
        <v>0</v>
      </c>
      <c r="F74">
        <f>'Costing 100 Lmin Feed Orig'!F74</f>
        <v>0</v>
      </c>
      <c r="G74">
        <f>'Costing 100 Lmin Feed Orig'!G74</f>
        <v>0</v>
      </c>
      <c r="H74">
        <f>'Costing 100 Lmin Feed Orig'!H74</f>
        <v>1.7770671970930099E-5</v>
      </c>
      <c r="I74">
        <f>'Costing 100 Lmin Feed Orig'!I74</f>
        <v>5.2649488631162003E-10</v>
      </c>
      <c r="J74">
        <f>'Costing 100 Lmin Feed Orig'!J74</f>
        <v>3.3765279177869602E-4</v>
      </c>
      <c r="K74">
        <f>'Costing 100 Lmin Feed Orig'!K74</f>
        <v>0.139053960209192</v>
      </c>
      <c r="L74">
        <f>'Costing 100 Lmin Feed Orig'!L74</f>
        <v>0.14067571356050099</v>
      </c>
      <c r="M74">
        <f>'Costing 100 Lmin Feed Orig'!M74</f>
        <v>4.4613899794023002E-4</v>
      </c>
      <c r="N74">
        <f>'Costing 100 Lmin Feed Orig'!N74</f>
        <v>-1.6046192152785399E-16</v>
      </c>
      <c r="O74">
        <f>'Costing 100 Lmin Feed Orig'!O74</f>
        <v>-5.9831913729046996E-14</v>
      </c>
      <c r="P74">
        <f>'Costing 100 Lmin Feed Orig'!P74</f>
        <v>-6.6915602833089703E-20</v>
      </c>
      <c r="Q74">
        <f>'Costing 100 Lmin Feed Orig'!Q74</f>
        <v>0.10957366310586</v>
      </c>
      <c r="R74">
        <f>'Costing 100 Lmin Feed Orig'!R74</f>
        <v>98.572870359588904</v>
      </c>
      <c r="S74">
        <f>'Costing 100 Lmin Feed Orig'!S74</f>
        <v>500</v>
      </c>
      <c r="T74">
        <f>'Costing 100 Lmin Feed Orig'!T74</f>
        <v>95</v>
      </c>
      <c r="U74">
        <f>'Costing 100 Lmin Feed Orig'!U74</f>
        <v>1</v>
      </c>
      <c r="V74">
        <f>'Costing 100 Lmin Feed Orig'!V74</f>
        <v>0.1</v>
      </c>
      <c r="W74">
        <f>'Costing 100 Lmin Feed Orig'!W74</f>
        <v>91.262806376555005</v>
      </c>
      <c r="X74" t="str">
        <f>'Costing 100 Lmin Feed Orig'!X74</f>
        <v>ddFc</v>
      </c>
      <c r="Y74">
        <f>'Costing 100 Lmin Feed Orig'!Y74</f>
        <v>1</v>
      </c>
      <c r="Z74">
        <f>'Costing 100 Lmin Feed Orig'!Z74</f>
        <v>0.28318429382522198</v>
      </c>
      <c r="AA74">
        <f>'Costing 100 Lmin Feed Orig'!AA74</f>
        <v>0.56945642916197003</v>
      </c>
      <c r="AB74">
        <f>'Costing 100 Lmin Feed Orig'!AB74</f>
        <v>3.7698628972227502E-3</v>
      </c>
      <c r="AC74">
        <f>'Costing 100 Lmin Feed Orig'!AC74</f>
        <v>1822.2107908876901</v>
      </c>
      <c r="AD74">
        <f>'Costing 100 Lmin Feed Orig'!AD74</f>
        <v>2662.6059073104898</v>
      </c>
      <c r="AE74">
        <f>'Costing 100 Lmin Feed Orig'!AE74</f>
        <v>2401.5030938442701</v>
      </c>
      <c r="AF74">
        <f>'Costing 100 Lmin Feed Orig'!AF74</f>
        <v>6</v>
      </c>
      <c r="AG74">
        <f>'Costing 100 Lmin Feed Orig'!AG74</f>
        <v>1.6497548842793E-3</v>
      </c>
      <c r="AH74">
        <f>'Costing 100 Lmin Feed Orig'!AH74</f>
        <v>1.66899558413707E-3</v>
      </c>
      <c r="AI74">
        <f>'Costing 100 Lmin Feed Orig'!AI74</f>
        <v>5.2930530695573503E-6</v>
      </c>
      <c r="AJ74">
        <f>'Costing 100 Lmin Feed Orig'!AJ74</f>
        <v>0</v>
      </c>
      <c r="AK74">
        <f>'Costing 100 Lmin Feed Orig'!AK74</f>
        <v>0</v>
      </c>
      <c r="AL74">
        <f>'Costing 100 Lmin Feed Orig'!AL74</f>
        <v>0</v>
      </c>
      <c r="AM74">
        <f>'Costing 100 Lmin Feed Orig'!AM74</f>
        <v>1.6121253228941501E-3</v>
      </c>
      <c r="AN74">
        <f>'Costing 100 Lmin Feed Orig'!AN74</f>
        <v>7.9591074029532495E-5</v>
      </c>
      <c r="AO74">
        <f>'Costing 100 Lmin Feed Orig'!AO74</f>
        <v>5.2576273786285902E-6</v>
      </c>
      <c r="AP74">
        <f>'Costing 100 Lmin Feed Orig'!AP74</f>
        <v>1.75622111317691E-3</v>
      </c>
      <c r="AQ74">
        <f>'Costing 100 Lmin Feed Orig'!AQ74</f>
        <v>7.4179598573032607E-2</v>
      </c>
      <c r="AR74">
        <f>'Costing 100 Lmin Feed Orig'!AR74</f>
        <v>1.65336358086057E-6</v>
      </c>
      <c r="AS74">
        <f>'Costing 100 Lmin Feed Orig'!AS74</f>
        <v>-1.84991995680339E-18</v>
      </c>
      <c r="AT74">
        <f>'Costing 100 Lmin Feed Orig'!AT74</f>
        <v>-1.4875253806501101E-16</v>
      </c>
      <c r="AU74">
        <f>'Costing 100 Lmin Feed Orig'!AU74</f>
        <v>-2.54771628666332E-21</v>
      </c>
      <c r="AV74">
        <f>'Costing 100 Lmin Feed Orig'!AV74</f>
        <v>0.19788828374922501</v>
      </c>
      <c r="AW74">
        <f>'Costing 100 Lmin Feed Orig'!AW74</f>
        <v>99.330713475508006</v>
      </c>
      <c r="AX74">
        <f>'Costing 100 Lmin Feed Orig'!AX74</f>
        <v>500</v>
      </c>
      <c r="AY74">
        <f>'Costing 100 Lmin Feed Orig'!AY74</f>
        <v>95</v>
      </c>
      <c r="AZ74">
        <f>'Costing 100 Lmin Feed Orig'!AZ74</f>
        <v>0.92357064280818002</v>
      </c>
      <c r="BA74">
        <f>'Costing 100 Lmin Feed Orig'!BA74</f>
        <v>0.1</v>
      </c>
      <c r="BB74">
        <f>'Costing 100 Lmin Feed Orig'!BB74</f>
        <v>46.671315012190298</v>
      </c>
      <c r="BC74" t="str">
        <f>'Costing 100 Lmin Feed Orig'!BC74</f>
        <v>coeFc</v>
      </c>
      <c r="BD74">
        <f>'Costing 100 Lmin Feed Orig'!BD74</f>
        <v>1</v>
      </c>
      <c r="BE74">
        <f>'Costing 100 Lmin Feed Orig'!BE74</f>
        <v>1.8775014999999999E-2</v>
      </c>
      <c r="BF74">
        <f>'Costing 100 Lmin Feed Orig'!BF74</f>
        <v>0.10492961100000001</v>
      </c>
      <c r="BG74">
        <f>'Costing 100 Lmin Feed Orig'!BG74</f>
        <v>1.814625E-3</v>
      </c>
      <c r="BH74">
        <f>'Costing 100 Lmin Feed Orig'!BH74</f>
        <v>285.1951444</v>
      </c>
      <c r="BI74">
        <f>'Costing 100 Lmin Feed Orig'!BI74</f>
        <v>2169.8944889999998</v>
      </c>
      <c r="BJ74">
        <f>'Costing 100 Lmin Feed Orig'!BJ74</f>
        <v>866.49409060000005</v>
      </c>
      <c r="BK74">
        <f>'Costing 100 Lmin Feed Orig'!BK74</f>
        <v>100</v>
      </c>
      <c r="BL74">
        <f>'Costing 100 Lmin Feed Orig'!BL74</f>
        <v>10.957366310586</v>
      </c>
      <c r="BM74">
        <f>'Costing 100 Lmin Feed Orig'!BM74</f>
        <v>92.357064280818008</v>
      </c>
      <c r="BN74">
        <f>'Costing 100 Lmin Feed Orig'!BN74</f>
        <v>19.788828374922502</v>
      </c>
      <c r="BO74">
        <f t="shared" si="22"/>
        <v>262.97679145406403</v>
      </c>
      <c r="BP74">
        <f t="shared" si="23"/>
        <v>316.62125399876004</v>
      </c>
      <c r="BQ74">
        <f t="shared" si="24"/>
        <v>26.297679145406406</v>
      </c>
      <c r="BR74">
        <f t="shared" si="25"/>
        <v>31.662125399876004</v>
      </c>
      <c r="BS74">
        <f>1.2*0.5*BL74*V74/'Oxidant Feed Composition'!$N$22</f>
        <v>6.5744197863515996</v>
      </c>
      <c r="BT74">
        <f>1.2*0.5*BN74*BA74/'Oxidant Feed Composition'!$N$22</f>
        <v>11.873297024953501</v>
      </c>
      <c r="BU74">
        <f t="shared" si="26"/>
        <v>5.478683155293</v>
      </c>
      <c r="BV74">
        <f t="shared" si="27"/>
        <v>9.8944141874612512</v>
      </c>
      <c r="BW74">
        <f t="shared" si="28"/>
        <v>86.87838112552501</v>
      </c>
      <c r="BX74">
        <f t="shared" si="21"/>
        <v>35.063572193875203</v>
      </c>
      <c r="BY74">
        <f t="shared" si="29"/>
        <v>206.62886118280801</v>
      </c>
      <c r="BZ74">
        <f t="shared" si="30"/>
        <v>63.324250799752008</v>
      </c>
      <c r="CA74">
        <f t="shared" si="31"/>
        <v>59.366485124767507</v>
      </c>
      <c r="CB74">
        <f>BO74*'Reagent cost'!$G$11*'Reagent cost'!$H$11</f>
        <v>3471.2936471936455</v>
      </c>
      <c r="CC74">
        <f>BP74*'Reagent cost'!$G$11*'Reagent cost'!$H$11</f>
        <v>4179.4005527836325</v>
      </c>
      <c r="CD74">
        <f>BQ74*'Reagent cost'!$C$18/1000*'Reagent cost'!$H$18</f>
        <v>4193.9657747282263</v>
      </c>
      <c r="CE74">
        <f>BR74*'Ligand cost'!$B$56*'Ligand cost'!$J$56</f>
        <v>32236.087921641458</v>
      </c>
      <c r="CF74">
        <f t="shared" si="32"/>
        <v>10</v>
      </c>
      <c r="CG74">
        <f t="shared" si="33"/>
        <v>2.1914732621172002</v>
      </c>
      <c r="CH74">
        <f t="shared" si="34"/>
        <v>3.9577656749845005</v>
      </c>
      <c r="CI74">
        <f>7963.6*(BX74/1000)^0.6*1.7*('CAPEX+OPEX'!$G$116/'CAPEX+OPEX'!$G$115)</f>
        <v>2138.7234102796551</v>
      </c>
      <c r="CJ74">
        <f>7963.6*(BY74/1000)^0.6*1.7*('CAPEX+OPEX'!$G$116/'CAPEX+OPEX'!$G$115)</f>
        <v>6199.4836239091055</v>
      </c>
      <c r="CK74">
        <f>7963.6*(BZ74/1000)^0.6*1.7*('CAPEX+OPEX'!$G$116/'CAPEX+OPEX'!$G$115)</f>
        <v>3049.1793085902286</v>
      </c>
      <c r="CL74">
        <f>7963.6*(CA74/1000)^0.6*1.7*('CAPEX+OPEX'!$G$116/'CAPEX+OPEX'!$G$115)</f>
        <v>2933.3624607789084</v>
      </c>
      <c r="CM74">
        <f>'Costing 100 Lmin Feed Orig'!DE74</f>
        <v>39625.826528698344</v>
      </c>
      <c r="CN74">
        <f>'Costing 100 Lmin Feed Orig'!DF74</f>
        <v>4586243.4239371875</v>
      </c>
      <c r="CO74">
        <f>'Costing 100 Lmin Feed Orig'!DG74</f>
        <v>11794834.586807497</v>
      </c>
      <c r="CP74">
        <f>'Costing 100 Lmin Feed Orig'!DH74</f>
        <v>2275209.1661185985</v>
      </c>
      <c r="CQ74">
        <f>'Costing 100 Lmin Feed Orig'!DI74</f>
        <v>14083914.336508472</v>
      </c>
      <c r="CR74">
        <f>'Costing 100 Lmin Feed Orig'!DJ74</f>
        <v>1662824.8986326549</v>
      </c>
      <c r="CS74">
        <f>CN74*(BK74/10000)^0.72*((A74+1)/3)^0.6*('CAPEX+OPEX'!$G$116/'CAPEX+OPEX'!$G$114)</f>
        <v>847423.79840727116</v>
      </c>
      <c r="CT74">
        <f>CO74*(BK74/10000)^0.72*((A74+1)/3)^0.6*('CAPEX+OPEX'!$G$116/'CAPEX+OPEX'!$G$114)</f>
        <v>2179392.2832288719</v>
      </c>
      <c r="CU74">
        <f>CP74*(BK74/10000)^0.72*((A74+1)/3)^0.6*('CAPEX+OPEX'!$G$116/'CAPEX+OPEX'!$G$114)</f>
        <v>420402.1059283549</v>
      </c>
      <c r="CV74">
        <f>CQ74*(BK74/10000)^0.72*((A74+1)/3)^0.6*('CAPEX+OPEX'!$G$116/'CAPEX+OPEX'!$G$114)</f>
        <v>2602357.3282642425</v>
      </c>
      <c r="CW74">
        <f>CR74*(BK74/10000)^0.72*((A74+1)/3)^0.6*('CAPEX+OPEX'!$G$116/'CAPEX+OPEX'!$G$114)</f>
        <v>307248.71347447456</v>
      </c>
      <c r="CX74">
        <f t="shared" si="35"/>
        <v>6356824.2293032147</v>
      </c>
      <c r="CY74">
        <f>CN74*(BM74/10000)^0.72*((AF74+1)/3)^0.6*('CAPEX+OPEX'!$G$116/'CAPEX+OPEX'!$G$114)</f>
        <v>610186.16339219559</v>
      </c>
      <c r="CZ74">
        <f>CO74*(BM74/10000)^0.72*((AF74+1)/3)^0.6*('CAPEX+OPEX'!$G$116/'CAPEX+OPEX'!$G$114)</f>
        <v>1569267.9605286056</v>
      </c>
      <c r="DA74">
        <f>CP74*(BM74/10000)^0.72*((AF74+1)/3)^0.6*('CAPEX+OPEX'!$G$116/'CAPEX+OPEX'!$G$114)</f>
        <v>302709.87029223994</v>
      </c>
      <c r="DB74">
        <f>CQ74*(BM74/10000)^0.72*((AF74+1)/3)^0.6*('CAPEX+OPEX'!$G$116/'CAPEX+OPEX'!$G$114)</f>
        <v>1873823.2710641536</v>
      </c>
      <c r="DC74">
        <f>CR74*(BM74/10000)^0.72*((AF74+1)/3)^0.6*('CAPEX+OPEX'!$G$116/'CAPEX+OPEX'!$G$114)</f>
        <v>221233.94933508278</v>
      </c>
      <c r="DD74">
        <f t="shared" si="36"/>
        <v>4577221.2146122772</v>
      </c>
      <c r="DE74">
        <f>CX74+DD74+1.15*(SUM(CI74:CL74)+SUM(CB74:CE74))</f>
        <v>11001207.165120382</v>
      </c>
      <c r="DF74">
        <f t="shared" si="37"/>
        <v>733413.81100802543</v>
      </c>
      <c r="DG74">
        <f>(BS74+BT74)*'Oxidant Feed Composition'!$N$25*60*7200</f>
        <v>14856927.778484898</v>
      </c>
      <c r="DH74">
        <f>((CG74+CH74)*'Reagent cost'!$C$17/1000*'Reagent cost'!$H$17+(CG74+CH74)*0.5*'Reagent cost'!$C$16/1000*'Reagent cost'!$H$16)*60*7200</f>
        <v>5920822.7511179242</v>
      </c>
      <c r="DI74">
        <f>CF74*'Reagent cost'!$C$17/1000*'Reagent cost'!$H$17*60*7200</f>
        <v>504921.59999999998</v>
      </c>
      <c r="DJ74">
        <f t="shared" si="38"/>
        <v>76.506941999772778</v>
      </c>
      <c r="DK74">
        <f t="shared" si="39"/>
        <v>728.60107392739371</v>
      </c>
      <c r="DL74">
        <f t="shared" si="40"/>
        <v>25540172.685142502</v>
      </c>
      <c r="DM74">
        <f>BK74*(B74*(409.81+2)/1000+C74*(248.2+2*22.99)/1000+D74*(315.6+3*22.99)/1000+0.1*58.44/1000)</f>
        <v>0.70639694042110623</v>
      </c>
      <c r="DN74">
        <f>(BS74+BT74)/1000*('Oxidant Feed Composition'!$B$11*'Oxidant Feed Composition'!$O$20+'Oxidant Feed Composition'!$D$11*'Oxidant Feed Composition'!$O$21+'Oxidant Feed Composition'!$F$11*'Oxidant Feed Composition'!$O$27-'Oxidant Feed Composition'!$J$15*18.015)</f>
        <v>2.1544081218585323</v>
      </c>
      <c r="DO74">
        <f>(BU74+BV74)/1000*(0.2*368.34+0.4*58.44)</f>
        <v>1.4918668585302435</v>
      </c>
      <c r="DP74">
        <f>BK74/1000*(B74*195.08+C74*106.42+D74*102.91)</f>
        <v>4.999938342565946E-2</v>
      </c>
      <c r="DQ74">
        <f>SUM(DM74:DO74)-DP74</f>
        <v>4.3026725373842218</v>
      </c>
      <c r="DR74">
        <f>DQ74*60*7200*0.33</f>
        <v>613388.99692949466</v>
      </c>
      <c r="DS74">
        <v>1.2</v>
      </c>
      <c r="DT74">
        <f>BM74/60*(AM74*4+AN74*2+AO74*3)*96485/DV74</f>
        <v>1405.2879011413529</v>
      </c>
      <c r="DU74">
        <f>BN74*BA74*(AP74*4+AQ74*2+AR74*3)*96485/DV74/60</f>
        <v>706.40047251644887</v>
      </c>
      <c r="DV74">
        <v>0.7</v>
      </c>
      <c r="DW74">
        <f>0.499*((BK74/3.78541*15)^(-0.146))*BK74/3.78541*15*300*(1+(A74-2)/9)</f>
        <v>46784.46952433938</v>
      </c>
      <c r="DX74">
        <f>0.248*((BK74/3.78541*15)^(-0.144))*BK74/3.78541*15*300*(1+(A74-2)/3)</f>
        <v>45678.708869524045</v>
      </c>
      <c r="DY74">
        <f>0.105*((BK74/3.78541*15)^(-0.144))*BK74/3.78541*15*300*(1+(A74-2)/3)</f>
        <v>19339.775932661389</v>
      </c>
      <c r="DZ74">
        <f>0.058*((BK74/3.78541*15)^(-0.151))*BK74/3.78541*15*300*(1+(A74-2)/3)</f>
        <v>10244.818866671721</v>
      </c>
      <c r="EA74">
        <f>0.056*((BK74/3.78541*15)^(-0.144))*BK74/3.78541*15*300*(1+(A74-2)/3)</f>
        <v>10314.547164086078</v>
      </c>
      <c r="EB74">
        <f>DS74*DT74/(3.6*10^6)*3600*7200*0.07</f>
        <v>849.91812261029031</v>
      </c>
      <c r="EC74">
        <f>0.499*((BM74/3.78541*15)^(-0.146))*BM74/3.78541*15*300*(1+(AF74-2)/9)</f>
        <v>33427.786727313171</v>
      </c>
      <c r="ED74">
        <f>0.248*((BM74/3.78541*15)^(-0.144))*BM74/3.78541*15*300*(1+(AF74-2)/3)</f>
        <v>27155.737204127185</v>
      </c>
      <c r="EE74">
        <f>0.105*((BM74/3.78541*15)^(-0.144))*BM74/3.78541*15*300*(1+(AF74-2)/3)</f>
        <v>11497.388735618364</v>
      </c>
      <c r="EF74">
        <f>0.058*((BM74/3.78541*15)^(-0.151))*BM74/3.78541*15*300*(1+(AF74-2)/3)</f>
        <v>6093.8782161020717</v>
      </c>
      <c r="EG74">
        <f>0.056*((BM74/3.78541*15)^(-0.144))*BM74/3.78541*15*300*(1+(AF74-2)/3)</f>
        <v>6131.9406589964619</v>
      </c>
      <c r="EH74">
        <f>DS74*DU74/(3.6*10^6)*3600*7200*0.07</f>
        <v>427.23100577794827</v>
      </c>
      <c r="EI74">
        <f>SUM(DW74:EH74)</f>
        <v>217946.20102782812</v>
      </c>
      <c r="EJ74">
        <f>EI74+DR74+DL74</f>
        <v>26371507.883099824</v>
      </c>
      <c r="EK74">
        <f>EJ74+DF74</f>
        <v>27104921.694107849</v>
      </c>
      <c r="EL74">
        <f>EK74/(BK74*60*7200)</f>
        <v>0.62742874291916317</v>
      </c>
      <c r="EM74">
        <f>EK74/(BM74*(AM74*195.084/1000+AN74*106.42/1000+AO74*102.911/1000)*60*7200)</f>
        <v>2099.9319915058436</v>
      </c>
      <c r="EN74">
        <f>EK74/(BN74*BA74*(AP74*195.084/1000+AQ74*106.42/1000+AR74*102.911/1000)*60*7200)</f>
        <v>3849.2547155671482</v>
      </c>
    </row>
    <row r="75" spans="1:144">
      <c r="A75">
        <f>'Costing 100 Lmin Feed Orig'!A75</f>
        <v>10</v>
      </c>
      <c r="B75">
        <f>'Costing 100 Lmin Feed Orig'!B75</f>
        <v>1.54143585092054E-3</v>
      </c>
      <c r="C75">
        <f>'Costing 100 Lmin Feed Orig'!C75</f>
        <v>1.54143585092054E-3</v>
      </c>
      <c r="D75">
        <f>'Costing 100 Lmin Feed Orig'!D75</f>
        <v>3.4254130020456501E-4</v>
      </c>
      <c r="E75">
        <f>'Costing 100 Lmin Feed Orig'!E75</f>
        <v>0</v>
      </c>
      <c r="F75">
        <f>'Costing 100 Lmin Feed Orig'!F75</f>
        <v>0</v>
      </c>
      <c r="G75">
        <f>'Costing 100 Lmin Feed Orig'!G75</f>
        <v>0</v>
      </c>
      <c r="H75">
        <f>'Costing 100 Lmin Feed Orig'!H75</f>
        <v>1.7770671970930099E-5</v>
      </c>
      <c r="I75">
        <f>'Costing 100 Lmin Feed Orig'!I75</f>
        <v>5.2649488631162003E-10</v>
      </c>
      <c r="J75">
        <f>'Costing 100 Lmin Feed Orig'!J75</f>
        <v>3.3765279177869602E-4</v>
      </c>
      <c r="K75">
        <f>'Costing 100 Lmin Feed Orig'!K75</f>
        <v>0.139053960209192</v>
      </c>
      <c r="L75">
        <f>'Costing 100 Lmin Feed Orig'!L75</f>
        <v>0.14067571356050099</v>
      </c>
      <c r="M75">
        <f>'Costing 100 Lmin Feed Orig'!M75</f>
        <v>4.4613899794023002E-4</v>
      </c>
      <c r="N75">
        <f>'Costing 100 Lmin Feed Orig'!N75</f>
        <v>-1.6046192152785399E-16</v>
      </c>
      <c r="O75">
        <f>'Costing 100 Lmin Feed Orig'!O75</f>
        <v>-5.9831913729046996E-14</v>
      </c>
      <c r="P75">
        <f>'Costing 100 Lmin Feed Orig'!P75</f>
        <v>-6.6915602833089703E-20</v>
      </c>
      <c r="Q75">
        <f>'Costing 100 Lmin Feed Orig'!Q75</f>
        <v>0.10957366310586</v>
      </c>
      <c r="R75">
        <f>'Costing 100 Lmin Feed Orig'!R75</f>
        <v>98.572870359588904</v>
      </c>
      <c r="S75">
        <f>'Costing 100 Lmin Feed Orig'!S75</f>
        <v>500</v>
      </c>
      <c r="T75">
        <f>'Costing 100 Lmin Feed Orig'!T75</f>
        <v>95</v>
      </c>
      <c r="U75">
        <f>'Costing 100 Lmin Feed Orig'!U75</f>
        <v>1</v>
      </c>
      <c r="V75">
        <f>'Costing 100 Lmin Feed Orig'!V75</f>
        <v>0.1</v>
      </c>
      <c r="W75">
        <f>'Costing 100 Lmin Feed Orig'!W75</f>
        <v>91.262806376555005</v>
      </c>
      <c r="X75" t="str">
        <f>'Costing 100 Lmin Feed Orig'!X75</f>
        <v>ddFc</v>
      </c>
      <c r="Y75">
        <f>'Costing 100 Lmin Feed Orig'!Y75</f>
        <v>1</v>
      </c>
      <c r="Z75">
        <f>'Costing 100 Lmin Feed Orig'!Z75</f>
        <v>0.28318429382522198</v>
      </c>
      <c r="AA75">
        <f>'Costing 100 Lmin Feed Orig'!AA75</f>
        <v>0.56945642916197003</v>
      </c>
      <c r="AB75">
        <f>'Costing 100 Lmin Feed Orig'!AB75</f>
        <v>3.7698628972227502E-3</v>
      </c>
      <c r="AC75">
        <f>'Costing 100 Lmin Feed Orig'!AC75</f>
        <v>1822.2107908876901</v>
      </c>
      <c r="AD75">
        <f>'Costing 100 Lmin Feed Orig'!AD75</f>
        <v>2662.6059073104898</v>
      </c>
      <c r="AE75">
        <f>'Costing 100 Lmin Feed Orig'!AE75</f>
        <v>2401.5030938442701</v>
      </c>
      <c r="AF75">
        <f>'Costing 100 Lmin Feed Orig'!AF75</f>
        <v>7</v>
      </c>
      <c r="AG75">
        <f>'Costing 100 Lmin Feed Orig'!AG75</f>
        <v>1.6497548842793E-3</v>
      </c>
      <c r="AH75">
        <f>'Costing 100 Lmin Feed Orig'!AH75</f>
        <v>1.66899558413707E-3</v>
      </c>
      <c r="AI75">
        <f>'Costing 100 Lmin Feed Orig'!AI75</f>
        <v>5.2930530695573503E-6</v>
      </c>
      <c r="AJ75">
        <f>'Costing 100 Lmin Feed Orig'!AJ75</f>
        <v>0</v>
      </c>
      <c r="AK75">
        <f>'Costing 100 Lmin Feed Orig'!AK75</f>
        <v>0</v>
      </c>
      <c r="AL75">
        <f>'Costing 100 Lmin Feed Orig'!AL75</f>
        <v>0</v>
      </c>
      <c r="AM75">
        <f>'Costing 100 Lmin Feed Orig'!AM75</f>
        <v>1.6126141989109301E-3</v>
      </c>
      <c r="AN75">
        <f>'Costing 100 Lmin Feed Orig'!AN75</f>
        <v>7.9616362695628595E-5</v>
      </c>
      <c r="AO75">
        <f>'Costing 100 Lmin Feed Orig'!AO75</f>
        <v>5.2580688259994502E-6</v>
      </c>
      <c r="AP75">
        <f>'Costing 100 Lmin Feed Orig'!AP75</f>
        <v>1.7397937197708099E-3</v>
      </c>
      <c r="AQ75">
        <f>'Costing 100 Lmin Feed Orig'!AQ75</f>
        <v>7.4451829856534701E-2</v>
      </c>
      <c r="AR75">
        <f>'Costing 100 Lmin Feed Orig'!AR75</f>
        <v>1.63877878475564E-6</v>
      </c>
      <c r="AS75">
        <f>'Costing 100 Lmin Feed Orig'!AS75</f>
        <v>-4.3300324263639803E-18</v>
      </c>
      <c r="AT75">
        <f>'Costing 100 Lmin Feed Orig'!AT75</f>
        <v>-1.6727071117106299E-15</v>
      </c>
      <c r="AU75">
        <f>'Costing 100 Lmin Feed Orig'!AU75</f>
        <v>-5.3336605897419202E-21</v>
      </c>
      <c r="AV75">
        <f>'Costing 100 Lmin Feed Orig'!AV75</f>
        <v>0.197161573065819</v>
      </c>
      <c r="AW75">
        <f>'Costing 100 Lmin Feed Orig'!AW75</f>
        <v>99.339053602936502</v>
      </c>
      <c r="AX75">
        <f>'Costing 100 Lmin Feed Orig'!AX75</f>
        <v>500</v>
      </c>
      <c r="AY75">
        <f>'Costing 100 Lmin Feed Orig'!AY75</f>
        <v>95</v>
      </c>
      <c r="AZ75">
        <f>'Costing 100 Lmin Feed Orig'!AZ75</f>
        <v>0.92357064280818002</v>
      </c>
      <c r="BA75">
        <f>'Costing 100 Lmin Feed Orig'!BA75</f>
        <v>0.1</v>
      </c>
      <c r="BB75">
        <f>'Costing 100 Lmin Feed Orig'!BB75</f>
        <v>46.843339117600799</v>
      </c>
      <c r="BC75" t="str">
        <f>'Costing 100 Lmin Feed Orig'!BC75</f>
        <v>coeFc</v>
      </c>
      <c r="BD75">
        <f>'Costing 100 Lmin Feed Orig'!BD75</f>
        <v>1</v>
      </c>
      <c r="BE75">
        <f>'Costing 100 Lmin Feed Orig'!BE75</f>
        <v>1.8775014999999999E-2</v>
      </c>
      <c r="BF75">
        <f>'Costing 100 Lmin Feed Orig'!BF75</f>
        <v>0.10492961100000001</v>
      </c>
      <c r="BG75">
        <f>'Costing 100 Lmin Feed Orig'!BG75</f>
        <v>1.814625E-3</v>
      </c>
      <c r="BH75">
        <f>'Costing 100 Lmin Feed Orig'!BH75</f>
        <v>285.1951444</v>
      </c>
      <c r="BI75">
        <f>'Costing 100 Lmin Feed Orig'!BI75</f>
        <v>2169.8944889999998</v>
      </c>
      <c r="BJ75">
        <f>'Costing 100 Lmin Feed Orig'!BJ75</f>
        <v>866.49409060000005</v>
      </c>
      <c r="BK75">
        <f>'Costing 100 Lmin Feed Orig'!BK75</f>
        <v>100</v>
      </c>
      <c r="BL75">
        <f>'Costing 100 Lmin Feed Orig'!BL75</f>
        <v>10.957366310586</v>
      </c>
      <c r="BM75">
        <f>'Costing 100 Lmin Feed Orig'!BM75</f>
        <v>92.357064280818008</v>
      </c>
      <c r="BN75">
        <f>'Costing 100 Lmin Feed Orig'!BN75</f>
        <v>19.716157306581898</v>
      </c>
      <c r="BO75">
        <f t="shared" si="22"/>
        <v>262.97679145406403</v>
      </c>
      <c r="BP75">
        <f t="shared" si="23"/>
        <v>354.89083151847416</v>
      </c>
      <c r="BQ75">
        <f t="shared" si="24"/>
        <v>26.297679145406406</v>
      </c>
      <c r="BR75">
        <f t="shared" si="25"/>
        <v>35.489083151847417</v>
      </c>
      <c r="BS75">
        <f>1.2*0.5*BL75*V75/'Oxidant Feed Composition'!$N$22</f>
        <v>6.5744197863515996</v>
      </c>
      <c r="BT75">
        <f>1.2*0.5*BN75*BA75/'Oxidant Feed Composition'!$N$22</f>
        <v>11.829694383949137</v>
      </c>
      <c r="BU75">
        <f t="shared" si="26"/>
        <v>5.478683155293</v>
      </c>
      <c r="BV75">
        <f t="shared" si="27"/>
        <v>9.8580786532909492</v>
      </c>
      <c r="BW75">
        <f t="shared" si="28"/>
        <v>86.87838112552501</v>
      </c>
      <c r="BX75">
        <f t="shared" si="21"/>
        <v>35.063572193875203</v>
      </c>
      <c r="BY75">
        <f t="shared" si="29"/>
        <v>206.62886118280801</v>
      </c>
      <c r="BZ75">
        <f t="shared" si="30"/>
        <v>63.091703381062075</v>
      </c>
      <c r="CA75">
        <f t="shared" si="31"/>
        <v>59.148471919745695</v>
      </c>
      <c r="CB75">
        <f>BO75*'Reagent cost'!$G$11*'Reagent cost'!$H$11</f>
        <v>3471.2936471936455</v>
      </c>
      <c r="CC75">
        <f>BP75*'Reagent cost'!$G$11*'Reagent cost'!$H$11</f>
        <v>4684.5589760438597</v>
      </c>
      <c r="CD75">
        <f>BQ75*'Reagent cost'!$C$18/1000*'Reagent cost'!$H$18</f>
        <v>4193.9657747282263</v>
      </c>
      <c r="CE75">
        <f>BR75*'Ligand cost'!$B$56*'Ligand cost'!$J$56</f>
        <v>36132.419737870092</v>
      </c>
      <c r="CF75">
        <f t="shared" si="32"/>
        <v>10</v>
      </c>
      <c r="CG75">
        <f t="shared" si="33"/>
        <v>2.1914732621172002</v>
      </c>
      <c r="CH75">
        <f t="shared" si="34"/>
        <v>3.9432314613163797</v>
      </c>
      <c r="CI75">
        <f>7963.6*(BX75/1000)^0.6*1.7*('CAPEX+OPEX'!$G$116/'CAPEX+OPEX'!$G$115)</f>
        <v>2138.7234102796551</v>
      </c>
      <c r="CJ75">
        <f>7963.6*(BY75/1000)^0.6*1.7*('CAPEX+OPEX'!$G$116/'CAPEX+OPEX'!$G$115)</f>
        <v>6199.4836239091055</v>
      </c>
      <c r="CK75">
        <f>7963.6*(BZ75/1000)^0.6*1.7*('CAPEX+OPEX'!$G$116/'CAPEX+OPEX'!$G$115)</f>
        <v>3042.4558136558958</v>
      </c>
      <c r="CL75">
        <f>7963.6*(CA75/1000)^0.6*1.7*('CAPEX+OPEX'!$G$116/'CAPEX+OPEX'!$G$115)</f>
        <v>2926.8943440663093</v>
      </c>
      <c r="CM75">
        <f>'Costing 100 Lmin Feed Orig'!DE75</f>
        <v>39625.826528698344</v>
      </c>
      <c r="CN75">
        <f>'Costing 100 Lmin Feed Orig'!DF75</f>
        <v>4586243.4239371875</v>
      </c>
      <c r="CO75">
        <f>'Costing 100 Lmin Feed Orig'!DG75</f>
        <v>11794834.586807497</v>
      </c>
      <c r="CP75">
        <f>'Costing 100 Lmin Feed Orig'!DH75</f>
        <v>2275209.1661185985</v>
      </c>
      <c r="CQ75">
        <f>'Costing 100 Lmin Feed Orig'!DI75</f>
        <v>14083914.336508472</v>
      </c>
      <c r="CR75">
        <f>'Costing 100 Lmin Feed Orig'!DJ75</f>
        <v>1662824.8986326549</v>
      </c>
      <c r="CS75">
        <f>CN75*(BK75/10000)^0.72*((A75+1)/3)^0.6*('CAPEX+OPEX'!$G$116/'CAPEX+OPEX'!$G$114)</f>
        <v>847423.79840727116</v>
      </c>
      <c r="CT75">
        <f>CO75*(BK75/10000)^0.72*((A75+1)/3)^0.6*('CAPEX+OPEX'!$G$116/'CAPEX+OPEX'!$G$114)</f>
        <v>2179392.2832288719</v>
      </c>
      <c r="CU75">
        <f>CP75*(BK75/10000)^0.72*((A75+1)/3)^0.6*('CAPEX+OPEX'!$G$116/'CAPEX+OPEX'!$G$114)</f>
        <v>420402.1059283549</v>
      </c>
      <c r="CV75">
        <f>CQ75*(BK75/10000)^0.72*((A75+1)/3)^0.6*('CAPEX+OPEX'!$G$116/'CAPEX+OPEX'!$G$114)</f>
        <v>2602357.3282642425</v>
      </c>
      <c r="CW75">
        <f>CR75*(BK75/10000)^0.72*((A75+1)/3)^0.6*('CAPEX+OPEX'!$G$116/'CAPEX+OPEX'!$G$114)</f>
        <v>307248.71347447456</v>
      </c>
      <c r="CX75">
        <f t="shared" si="35"/>
        <v>6356824.2293032147</v>
      </c>
      <c r="CY75">
        <f>CN75*(BM75/10000)^0.72*((AF75+1)/3)^0.6*('CAPEX+OPEX'!$G$116/'CAPEX+OPEX'!$G$114)</f>
        <v>661085.33546503587</v>
      </c>
      <c r="CZ75">
        <f>CO75*(BM75/10000)^0.72*((AF75+1)/3)^0.6*('CAPEX+OPEX'!$G$116/'CAPEX+OPEX'!$G$114)</f>
        <v>1700169.715998274</v>
      </c>
      <c r="DA75">
        <f>CP75*(BM75/10000)^0.72*((AF75+1)/3)^0.6*('CAPEX+OPEX'!$G$116/'CAPEX+OPEX'!$G$114)</f>
        <v>327960.6588229012</v>
      </c>
      <c r="DB75">
        <f>CQ75*(BM75/10000)^0.72*((AF75+1)/3)^0.6*('CAPEX+OPEX'!$G$116/'CAPEX+OPEX'!$G$114)</f>
        <v>2030129.7539541693</v>
      </c>
      <c r="DC75">
        <f>CR75*(BM75/10000)^0.72*((AF75+1)/3)^0.6*('CAPEX+OPEX'!$G$116/'CAPEX+OPEX'!$G$114)</f>
        <v>239688.35805677422</v>
      </c>
      <c r="DD75">
        <f t="shared" si="36"/>
        <v>4959033.822297154</v>
      </c>
      <c r="DE75">
        <f>CX75+DD75+1.15*(SUM(CI75:CL75)+SUM(CB75:CE75))</f>
        <v>11388066.316227278</v>
      </c>
      <c r="DF75">
        <f t="shared" si="37"/>
        <v>759204.42108181852</v>
      </c>
      <c r="DG75">
        <f>(BS75+BT75)*'Oxidant Feed Composition'!$N$25*60*7200</f>
        <v>14821812.251995679</v>
      </c>
      <c r="DH75">
        <f>((CG75+CH75)*'Reagent cost'!$C$17/1000*'Reagent cost'!$H$17+(CG75+CH75)*0.5*'Reagent cost'!$C$16/1000*'Reagent cost'!$H$16)*60*7200</f>
        <v>5906828.4172115615</v>
      </c>
      <c r="DI75">
        <f>CF75*'Reagent cost'!$C$17/1000*'Reagent cost'!$H$17*60*7200</f>
        <v>504921.59999999998</v>
      </c>
      <c r="DJ75">
        <f t="shared" si="38"/>
        <v>81.558526232375058</v>
      </c>
      <c r="DK75">
        <f t="shared" si="39"/>
        <v>806.52771025196637</v>
      </c>
      <c r="DL75">
        <f t="shared" si="40"/>
        <v>25481340.426532473</v>
      </c>
      <c r="DM75">
        <f>BK75*(B75*(409.81+2)/1000+C75*(248.2+2*22.99)/1000+D75*(315.6+3*22.99)/1000+0.1*58.44/1000)</f>
        <v>0.70639694042110623</v>
      </c>
      <c r="DN75">
        <f>(BS75+BT75)/1000*('Oxidant Feed Composition'!$B$11*'Oxidant Feed Composition'!$O$20+'Oxidant Feed Composition'!$D$11*'Oxidant Feed Composition'!$O$21+'Oxidant Feed Composition'!$F$11*'Oxidant Feed Composition'!$O$27-'Oxidant Feed Composition'!$J$15*18.015)</f>
        <v>2.1493160074860529</v>
      </c>
      <c r="DO75">
        <f>(BU75+BV75)/1000*(0.2*368.34+0.4*58.44)</f>
        <v>1.4883407129522206</v>
      </c>
      <c r="DP75">
        <f>BK75/1000*(B75*195.08+C75*106.42+D75*102.91)</f>
        <v>4.999938342565946E-2</v>
      </c>
      <c r="DQ75">
        <f>SUM(DM75:DO75)-DP75</f>
        <v>4.2940542774337196</v>
      </c>
      <c r="DR75">
        <f>DQ75*60*7200*0.33</f>
        <v>612160.37779095117</v>
      </c>
      <c r="DS75">
        <v>1.2</v>
      </c>
      <c r="DT75">
        <f>BM75/60*(AM75*4+AN75*2+AO75*3)*96485/DV75</f>
        <v>1405.7138091362219</v>
      </c>
      <c r="DU75">
        <f>BN75*BA75*(AP75*4+AQ75*2+AR75*3)*96485/DV75/60</f>
        <v>705.97456452228209</v>
      </c>
      <c r="DV75">
        <v>0.7</v>
      </c>
      <c r="DW75">
        <f>0.499*((BK75/3.78541*15)^(-0.146))*BK75/3.78541*15*300*(1+(A75-2)/9)</f>
        <v>46784.46952433938</v>
      </c>
      <c r="DX75">
        <f>0.248*((BK75/3.78541*15)^(-0.144))*BK75/3.78541*15*300*(1+(A75-2)/3)</f>
        <v>45678.708869524045</v>
      </c>
      <c r="DY75">
        <f>0.105*((BK75/3.78541*15)^(-0.144))*BK75/3.78541*15*300*(1+(A75-2)/3)</f>
        <v>19339.775932661389</v>
      </c>
      <c r="DZ75">
        <f>0.058*((BK75/3.78541*15)^(-0.151))*BK75/3.78541*15*300*(1+(A75-2)/3)</f>
        <v>10244.818866671721</v>
      </c>
      <c r="EA75">
        <f>0.056*((BK75/3.78541*15)^(-0.144))*BK75/3.78541*15*300*(1+(A75-2)/3)</f>
        <v>10314.547164086078</v>
      </c>
      <c r="EB75">
        <f>DS75*DT75/(3.6*10^6)*3600*7200*0.07</f>
        <v>850.17571176558715</v>
      </c>
      <c r="EC75">
        <f>0.499*((BM75/3.78541*15)^(-0.146))*BM75/3.78541*15*300*(1+(AF75-2)/9)</f>
        <v>35999.15493710649</v>
      </c>
      <c r="ED75">
        <f>0.248*((BM75/3.78541*15)^(-0.144))*BM75/3.78541*15*300*(1+(AF75-2)/3)</f>
        <v>31035.128233288218</v>
      </c>
      <c r="EE75">
        <f>0.105*((BM75/3.78541*15)^(-0.144))*BM75/3.78541*15*300*(1+(AF75-2)/3)</f>
        <v>13139.872840706705</v>
      </c>
      <c r="EF75">
        <f>0.058*((BM75/3.78541*15)^(-0.151))*BM75/3.78541*15*300*(1+(AF75-2)/3)</f>
        <v>6964.4322469737981</v>
      </c>
      <c r="EG75">
        <f>0.056*((BM75/3.78541*15)^(-0.144))*BM75/3.78541*15*300*(1+(AF75-2)/3)</f>
        <v>7007.9321817102436</v>
      </c>
      <c r="EH75">
        <f>DS75*DU75/(3.6*10^6)*3600*7200*0.07</f>
        <v>426.97341662307616</v>
      </c>
      <c r="EI75">
        <f>SUM(DW75:EH75)</f>
        <v>227785.98992545673</v>
      </c>
      <c r="EJ75">
        <f>EI75+DR75+DL75</f>
        <v>26321286.794248883</v>
      </c>
      <c r="EK75">
        <f>EJ75+DF75</f>
        <v>27080491.215330701</v>
      </c>
      <c r="EL75">
        <f>EK75/(BK75*60*7200)</f>
        <v>0.62686322257709959</v>
      </c>
      <c r="EM75">
        <f>EK75/(BM75*(AM75*195.084/1000+AN75*106.42/1000+AO75*102.911/1000)*60*7200)</f>
        <v>2097.4031975031507</v>
      </c>
      <c r="EN75">
        <f>EK75/(BN75*BA75*(AP75*195.084/1000+AQ75*106.42/1000+AR75*102.911/1000)*60*7200)</f>
        <v>3847.9242909870527</v>
      </c>
    </row>
    <row r="76" spans="1:144">
      <c r="A76">
        <f>'Costing 100 Lmin Feed Orig'!A76</f>
        <v>10</v>
      </c>
      <c r="B76">
        <f>'Costing 100 Lmin Feed Orig'!B76</f>
        <v>1.54143585092054E-3</v>
      </c>
      <c r="C76">
        <f>'Costing 100 Lmin Feed Orig'!C76</f>
        <v>1.54143585092054E-3</v>
      </c>
      <c r="D76">
        <f>'Costing 100 Lmin Feed Orig'!D76</f>
        <v>3.4254130020456501E-4</v>
      </c>
      <c r="E76">
        <f>'Costing 100 Lmin Feed Orig'!E76</f>
        <v>0</v>
      </c>
      <c r="F76">
        <f>'Costing 100 Lmin Feed Orig'!F76</f>
        <v>0</v>
      </c>
      <c r="G76">
        <f>'Costing 100 Lmin Feed Orig'!G76</f>
        <v>0</v>
      </c>
      <c r="H76">
        <f>'Costing 100 Lmin Feed Orig'!H76</f>
        <v>1.7770671970930099E-5</v>
      </c>
      <c r="I76">
        <f>'Costing 100 Lmin Feed Orig'!I76</f>
        <v>5.2649488631162003E-10</v>
      </c>
      <c r="J76">
        <f>'Costing 100 Lmin Feed Orig'!J76</f>
        <v>3.3765279177869602E-4</v>
      </c>
      <c r="K76">
        <f>'Costing 100 Lmin Feed Orig'!K76</f>
        <v>0.139053960209192</v>
      </c>
      <c r="L76">
        <f>'Costing 100 Lmin Feed Orig'!L76</f>
        <v>0.14067571356050099</v>
      </c>
      <c r="M76">
        <f>'Costing 100 Lmin Feed Orig'!M76</f>
        <v>4.4613899794023002E-4</v>
      </c>
      <c r="N76">
        <f>'Costing 100 Lmin Feed Orig'!N76</f>
        <v>-1.6046192152785399E-16</v>
      </c>
      <c r="O76">
        <f>'Costing 100 Lmin Feed Orig'!O76</f>
        <v>-5.9831913729046996E-14</v>
      </c>
      <c r="P76">
        <f>'Costing 100 Lmin Feed Orig'!P76</f>
        <v>-6.6915602833089703E-20</v>
      </c>
      <c r="Q76">
        <f>'Costing 100 Lmin Feed Orig'!Q76</f>
        <v>0.10957366310586</v>
      </c>
      <c r="R76">
        <f>'Costing 100 Lmin Feed Orig'!R76</f>
        <v>98.572870359588904</v>
      </c>
      <c r="S76">
        <f>'Costing 100 Lmin Feed Orig'!S76</f>
        <v>500</v>
      </c>
      <c r="T76">
        <f>'Costing 100 Lmin Feed Orig'!T76</f>
        <v>95</v>
      </c>
      <c r="U76">
        <f>'Costing 100 Lmin Feed Orig'!U76</f>
        <v>1</v>
      </c>
      <c r="V76">
        <f>'Costing 100 Lmin Feed Orig'!V76</f>
        <v>0.1</v>
      </c>
      <c r="W76">
        <f>'Costing 100 Lmin Feed Orig'!W76</f>
        <v>91.262806376555005</v>
      </c>
      <c r="X76" t="str">
        <f>'Costing 100 Lmin Feed Orig'!X76</f>
        <v>ddFc</v>
      </c>
      <c r="Y76">
        <f>'Costing 100 Lmin Feed Orig'!Y76</f>
        <v>1</v>
      </c>
      <c r="Z76">
        <f>'Costing 100 Lmin Feed Orig'!Z76</f>
        <v>0.28318429382522198</v>
      </c>
      <c r="AA76">
        <f>'Costing 100 Lmin Feed Orig'!AA76</f>
        <v>0.56945642916197003</v>
      </c>
      <c r="AB76">
        <f>'Costing 100 Lmin Feed Orig'!AB76</f>
        <v>3.7698628972227502E-3</v>
      </c>
      <c r="AC76">
        <f>'Costing 100 Lmin Feed Orig'!AC76</f>
        <v>1822.2107908876901</v>
      </c>
      <c r="AD76">
        <f>'Costing 100 Lmin Feed Orig'!AD76</f>
        <v>2662.6059073104898</v>
      </c>
      <c r="AE76">
        <f>'Costing 100 Lmin Feed Orig'!AE76</f>
        <v>2401.5030938442701</v>
      </c>
      <c r="AF76">
        <f>'Costing 100 Lmin Feed Orig'!AF76</f>
        <v>8</v>
      </c>
      <c r="AG76">
        <f>'Costing 100 Lmin Feed Orig'!AG76</f>
        <v>1.6497548842793E-3</v>
      </c>
      <c r="AH76">
        <f>'Costing 100 Lmin Feed Orig'!AH76</f>
        <v>1.66899558413707E-3</v>
      </c>
      <c r="AI76">
        <f>'Costing 100 Lmin Feed Orig'!AI76</f>
        <v>5.2930530695573503E-6</v>
      </c>
      <c r="AJ76">
        <f>'Costing 100 Lmin Feed Orig'!AJ76</f>
        <v>0</v>
      </c>
      <c r="AK76">
        <f>'Costing 100 Lmin Feed Orig'!AK76</f>
        <v>0</v>
      </c>
      <c r="AL76">
        <f>'Costing 100 Lmin Feed Orig'!AL76</f>
        <v>0</v>
      </c>
      <c r="AM76">
        <f>'Costing 100 Lmin Feed Orig'!AM76</f>
        <v>1.61275350560018E-3</v>
      </c>
      <c r="AN76">
        <f>'Costing 100 Lmin Feed Orig'!AN76</f>
        <v>7.9623568834895101E-5</v>
      </c>
      <c r="AO76">
        <f>'Costing 100 Lmin Feed Orig'!AO76</f>
        <v>5.2581946177476304E-6</v>
      </c>
      <c r="AP76">
        <f>'Costing 100 Lmin Feed Orig'!AP76</f>
        <v>1.7350904900191701E-3</v>
      </c>
      <c r="AQ76">
        <f>'Costing 100 Lmin Feed Orig'!AQ76</f>
        <v>7.4529770779203794E-2</v>
      </c>
      <c r="AR76">
        <f>'Costing 100 Lmin Feed Orig'!AR76</f>
        <v>1.63460309858261E-6</v>
      </c>
      <c r="AS76">
        <f>'Costing 100 Lmin Feed Orig'!AS76</f>
        <v>5.0504644411898598E-15</v>
      </c>
      <c r="AT76">
        <f>'Costing 100 Lmin Feed Orig'!AT76</f>
        <v>-1.17550023534529E-12</v>
      </c>
      <c r="AU76">
        <f>'Costing 100 Lmin Feed Orig'!AU76</f>
        <v>2.20162391837113E-20</v>
      </c>
      <c r="AV76">
        <f>'Costing 100 Lmin Feed Orig'!AV76</f>
        <v>0.19695449478278201</v>
      </c>
      <c r="AW76">
        <f>'Costing 100 Lmin Feed Orig'!AW76</f>
        <v>99.341430147182905</v>
      </c>
      <c r="AX76">
        <f>'Costing 100 Lmin Feed Orig'!AX76</f>
        <v>500</v>
      </c>
      <c r="AY76">
        <f>'Costing 100 Lmin Feed Orig'!AY76</f>
        <v>95</v>
      </c>
      <c r="AZ76">
        <f>'Costing 100 Lmin Feed Orig'!AZ76</f>
        <v>0.92357064280818002</v>
      </c>
      <c r="BA76">
        <f>'Costing 100 Lmin Feed Orig'!BA76</f>
        <v>0.1</v>
      </c>
      <c r="BB76">
        <f>'Costing 100 Lmin Feed Orig'!BB76</f>
        <v>46.8925902821751</v>
      </c>
      <c r="BC76" t="str">
        <f>'Costing 100 Lmin Feed Orig'!BC76</f>
        <v>coeFc</v>
      </c>
      <c r="BD76">
        <f>'Costing 100 Lmin Feed Orig'!BD76</f>
        <v>1</v>
      </c>
      <c r="BE76">
        <f>'Costing 100 Lmin Feed Orig'!BE76</f>
        <v>1.8775014999999999E-2</v>
      </c>
      <c r="BF76">
        <f>'Costing 100 Lmin Feed Orig'!BF76</f>
        <v>0.10492961100000001</v>
      </c>
      <c r="BG76">
        <f>'Costing 100 Lmin Feed Orig'!BG76</f>
        <v>1.814625E-3</v>
      </c>
      <c r="BH76">
        <f>'Costing 100 Lmin Feed Orig'!BH76</f>
        <v>285.1951444</v>
      </c>
      <c r="BI76">
        <f>'Costing 100 Lmin Feed Orig'!BI76</f>
        <v>2169.8944889999998</v>
      </c>
      <c r="BJ76">
        <f>'Costing 100 Lmin Feed Orig'!BJ76</f>
        <v>866.49409060000005</v>
      </c>
      <c r="BK76">
        <f>'Costing 100 Lmin Feed Orig'!BK76</f>
        <v>100</v>
      </c>
      <c r="BL76">
        <f>'Costing 100 Lmin Feed Orig'!BL76</f>
        <v>10.957366310586</v>
      </c>
      <c r="BM76">
        <f>'Costing 100 Lmin Feed Orig'!BM76</f>
        <v>92.357064280818008</v>
      </c>
      <c r="BN76">
        <f>'Costing 100 Lmin Feed Orig'!BN76</f>
        <v>19.695449478278203</v>
      </c>
      <c r="BO76">
        <f t="shared" si="22"/>
        <v>262.97679145406403</v>
      </c>
      <c r="BP76">
        <f t="shared" si="23"/>
        <v>393.90898956556407</v>
      </c>
      <c r="BQ76">
        <f t="shared" si="24"/>
        <v>26.297679145406406</v>
      </c>
      <c r="BR76">
        <f t="shared" si="25"/>
        <v>39.390898956556413</v>
      </c>
      <c r="BS76">
        <f>1.2*0.5*BL76*V76/'Oxidant Feed Composition'!$N$22</f>
        <v>6.5744197863515996</v>
      </c>
      <c r="BT76">
        <f>1.2*0.5*BN76*BA76/'Oxidant Feed Composition'!$N$22</f>
        <v>11.817269686966922</v>
      </c>
      <c r="BU76">
        <f t="shared" si="26"/>
        <v>5.478683155293</v>
      </c>
      <c r="BV76">
        <f t="shared" si="27"/>
        <v>9.8477247391391014</v>
      </c>
      <c r="BW76">
        <f t="shared" si="28"/>
        <v>86.87838112552501</v>
      </c>
      <c r="BX76">
        <f t="shared" si="21"/>
        <v>35.063572193875203</v>
      </c>
      <c r="BY76">
        <f t="shared" si="29"/>
        <v>206.62886118280801</v>
      </c>
      <c r="BZ76">
        <f t="shared" si="30"/>
        <v>63.025438330490246</v>
      </c>
      <c r="CA76">
        <f t="shared" si="31"/>
        <v>59.086348434834605</v>
      </c>
      <c r="CB76">
        <f>BO76*'Reagent cost'!$G$11*'Reagent cost'!$H$11</f>
        <v>3471.2936471936455</v>
      </c>
      <c r="CC76">
        <f>BP76*'Reagent cost'!$G$11*'Reagent cost'!$H$11</f>
        <v>5199.5986622654455</v>
      </c>
      <c r="CD76">
        <f>BQ76*'Reagent cost'!$C$18/1000*'Reagent cost'!$H$18</f>
        <v>4193.9657747282263</v>
      </c>
      <c r="CE76">
        <f>BR76*'Ligand cost'!$B$56*'Ligand cost'!$J$56</f>
        <v>40104.966613549579</v>
      </c>
      <c r="CF76">
        <f t="shared" si="32"/>
        <v>10</v>
      </c>
      <c r="CG76">
        <f t="shared" si="33"/>
        <v>2.1914732621172002</v>
      </c>
      <c r="CH76">
        <f t="shared" si="34"/>
        <v>3.9390898956556408</v>
      </c>
      <c r="CI76">
        <f>7963.6*(BX76/1000)^0.6*1.7*('CAPEX+OPEX'!$G$116/'CAPEX+OPEX'!$G$115)</f>
        <v>2138.7234102796551</v>
      </c>
      <c r="CJ76">
        <f>7963.6*(BY76/1000)^0.6*1.7*('CAPEX+OPEX'!$G$116/'CAPEX+OPEX'!$G$115)</f>
        <v>6199.4836239091055</v>
      </c>
      <c r="CK76">
        <f>7963.6*(BZ76/1000)^0.6*1.7*('CAPEX+OPEX'!$G$116/'CAPEX+OPEX'!$G$115)</f>
        <v>3040.5381206969964</v>
      </c>
      <c r="CL76">
        <f>7963.6*(CA76/1000)^0.6*1.7*('CAPEX+OPEX'!$G$116/'CAPEX+OPEX'!$G$115)</f>
        <v>2925.049490757392</v>
      </c>
      <c r="CM76">
        <f>'Costing 100 Lmin Feed Orig'!DE76</f>
        <v>39625.826528698344</v>
      </c>
      <c r="CN76">
        <f>'Costing 100 Lmin Feed Orig'!DF76</f>
        <v>4586243.4239371875</v>
      </c>
      <c r="CO76">
        <f>'Costing 100 Lmin Feed Orig'!DG76</f>
        <v>11794834.586807497</v>
      </c>
      <c r="CP76">
        <f>'Costing 100 Lmin Feed Orig'!DH76</f>
        <v>2275209.1661185985</v>
      </c>
      <c r="CQ76">
        <f>'Costing 100 Lmin Feed Orig'!DI76</f>
        <v>14083914.336508472</v>
      </c>
      <c r="CR76">
        <f>'Costing 100 Lmin Feed Orig'!DJ76</f>
        <v>1662824.8986326549</v>
      </c>
      <c r="CS76">
        <f>CN76*(BK76/10000)^0.72*((A76+1)/3)^0.6*('CAPEX+OPEX'!$G$116/'CAPEX+OPEX'!$G$114)</f>
        <v>847423.79840727116</v>
      </c>
      <c r="CT76">
        <f>CO76*(BK76/10000)^0.72*((A76+1)/3)^0.6*('CAPEX+OPEX'!$G$116/'CAPEX+OPEX'!$G$114)</f>
        <v>2179392.2832288719</v>
      </c>
      <c r="CU76">
        <f>CP76*(BK76/10000)^0.72*((A76+1)/3)^0.6*('CAPEX+OPEX'!$G$116/'CAPEX+OPEX'!$G$114)</f>
        <v>420402.1059283549</v>
      </c>
      <c r="CV76">
        <f>CQ76*(BK76/10000)^0.72*((A76+1)/3)^0.6*('CAPEX+OPEX'!$G$116/'CAPEX+OPEX'!$G$114)</f>
        <v>2602357.3282642425</v>
      </c>
      <c r="CW76">
        <f>CR76*(BK76/10000)^0.72*((A76+1)/3)^0.6*('CAPEX+OPEX'!$G$116/'CAPEX+OPEX'!$G$114)</f>
        <v>307248.71347447456</v>
      </c>
      <c r="CX76">
        <f t="shared" si="35"/>
        <v>6356824.2293032147</v>
      </c>
      <c r="CY76">
        <f>CN76*(BM76/10000)^0.72*((AF76+1)/3)^0.6*('CAPEX+OPEX'!$G$116/'CAPEX+OPEX'!$G$114)</f>
        <v>709494.50626692141</v>
      </c>
      <c r="CZ76">
        <f>CO76*(BM76/10000)^0.72*((AF76+1)/3)^0.6*('CAPEX+OPEX'!$G$116/'CAPEX+OPEX'!$G$114)</f>
        <v>1824667.7221687753</v>
      </c>
      <c r="DA76">
        <f>CP76*(BM76/10000)^0.72*((AF76+1)/3)^0.6*('CAPEX+OPEX'!$G$116/'CAPEX+OPEX'!$G$114)</f>
        <v>351976.17194586084</v>
      </c>
      <c r="DB76">
        <f>CQ76*(BM76/10000)^0.72*((AF76+1)/3)^0.6*('CAPEX+OPEX'!$G$116/'CAPEX+OPEX'!$G$114)</f>
        <v>2178789.6814051773</v>
      </c>
      <c r="DC76">
        <f>CR76*(BM76/10000)^0.72*((AF76+1)/3)^0.6*('CAPEX+OPEX'!$G$116/'CAPEX+OPEX'!$G$114)</f>
        <v>257239.97211009727</v>
      </c>
      <c r="DD76">
        <f t="shared" si="36"/>
        <v>5322168.0538968323</v>
      </c>
      <c r="DE76">
        <f>CX76+DD76+1.15*(SUM(CI76:CL76)+SUM(CB76:CE76))</f>
        <v>11756356.945444934</v>
      </c>
      <c r="DF76">
        <f t="shared" si="37"/>
        <v>783757.12969632889</v>
      </c>
      <c r="DG76">
        <f>(BS76+BT76)*'Oxidant Feed Composition'!$N$25*60*7200</f>
        <v>14811805.982514067</v>
      </c>
      <c r="DH76">
        <f>((CG76+CH76)*'Reagent cost'!$C$17/1000*'Reagent cost'!$H$17+(CG76+CH76)*0.5*'Reagent cost'!$C$16/1000*'Reagent cost'!$H$16)*60*7200</f>
        <v>5902840.6918295799</v>
      </c>
      <c r="DI76">
        <f>CF76*'Reagent cost'!$C$17/1000*'Reagent cost'!$H$17*60*7200</f>
        <v>504921.59999999998</v>
      </c>
      <c r="DJ76">
        <f t="shared" si="38"/>
        <v>86.708923094590901</v>
      </c>
      <c r="DK76">
        <f t="shared" si="39"/>
        <v>885.97864776555616</v>
      </c>
      <c r="DL76">
        <f t="shared" si="40"/>
        <v>25464649.154297408</v>
      </c>
      <c r="DM76">
        <f>BK76*(B76*(409.81+2)/1000+C76*(248.2+2*22.99)/1000+D76*(315.6+3*22.99)/1000+0.1*58.44/1000)</f>
        <v>0.70639694042110623</v>
      </c>
      <c r="DN76">
        <f>(BS76+BT76)/1000*('Oxidant Feed Composition'!$B$11*'Oxidant Feed Composition'!$O$20+'Oxidant Feed Composition'!$D$11*'Oxidant Feed Composition'!$O$21+'Oxidant Feed Composition'!$F$11*'Oxidant Feed Composition'!$O$27-'Oxidant Feed Composition'!$J$15*18.015)</f>
        <v>2.1478649949643454</v>
      </c>
      <c r="DO76">
        <f>(BU76+BV76)/1000*(0.2*368.34+0.4*58.44)</f>
        <v>1.4873359277072689</v>
      </c>
      <c r="DP76">
        <f>BK76/1000*(B76*195.08+C76*106.42+D76*102.91)</f>
        <v>4.999938342565946E-2</v>
      </c>
      <c r="DQ76">
        <f>SUM(DM76:DO76)-DP76</f>
        <v>4.2915984796670603</v>
      </c>
      <c r="DR76">
        <f>DQ76*60*7200*0.33</f>
        <v>611810.2792613362</v>
      </c>
      <c r="DS76">
        <v>1.2</v>
      </c>
      <c r="DT76">
        <f>BM76/60*(AM76*4+AN76*2+AO76*3)*96485/DV76</f>
        <v>1405.8351729230828</v>
      </c>
      <c r="DU76">
        <f>BN76*BA76*(AP76*4+AQ76*2+AR76*3)*96485/DV76/60</f>
        <v>705.85320127009629</v>
      </c>
      <c r="DV76">
        <v>0.7</v>
      </c>
      <c r="DW76">
        <f>0.499*((BK76/3.78541*15)^(-0.146))*BK76/3.78541*15*300*(1+(A76-2)/9)</f>
        <v>46784.46952433938</v>
      </c>
      <c r="DX76">
        <f>0.248*((BK76/3.78541*15)^(-0.144))*BK76/3.78541*15*300*(1+(A76-2)/3)</f>
        <v>45678.708869524045</v>
      </c>
      <c r="DY76">
        <f>0.105*((BK76/3.78541*15)^(-0.144))*BK76/3.78541*15*300*(1+(A76-2)/3)</f>
        <v>19339.775932661389</v>
      </c>
      <c r="DZ76">
        <f>0.058*((BK76/3.78541*15)^(-0.151))*BK76/3.78541*15*300*(1+(A76-2)/3)</f>
        <v>10244.818866671721</v>
      </c>
      <c r="EA76">
        <f>0.056*((BK76/3.78541*15)^(-0.144))*BK76/3.78541*15*300*(1+(A76-2)/3)</f>
        <v>10314.547164086078</v>
      </c>
      <c r="EB76">
        <f>DS76*DT76/(3.6*10^6)*3600*7200*0.07</f>
        <v>850.24911258388056</v>
      </c>
      <c r="EC76">
        <f>0.499*((BM76/3.78541*15)^(-0.146))*BM76/3.78541*15*300*(1+(AF76-2)/9)</f>
        <v>38570.52314689981</v>
      </c>
      <c r="ED76">
        <f>0.248*((BM76/3.78541*15)^(-0.144))*BM76/3.78541*15*300*(1+(AF76-2)/3)</f>
        <v>34914.519262449241</v>
      </c>
      <c r="EE76">
        <f>0.105*((BM76/3.78541*15)^(-0.144))*BM76/3.78541*15*300*(1+(AF76-2)/3)</f>
        <v>14782.35694579504</v>
      </c>
      <c r="EF76">
        <f>0.058*((BM76/3.78541*15)^(-0.151))*BM76/3.78541*15*300*(1+(AF76-2)/3)</f>
        <v>7834.9862778455226</v>
      </c>
      <c r="EG76">
        <f>0.056*((BM76/3.78541*15)^(-0.144))*BM76/3.78541*15*300*(1+(AF76-2)/3)</f>
        <v>7883.9237044240235</v>
      </c>
      <c r="EH76">
        <f>DS76*DU76/(3.6*10^6)*3600*7200*0.07</f>
        <v>426.90001612815422</v>
      </c>
      <c r="EI76">
        <f>SUM(DW76:EH76)</f>
        <v>237625.77882340824</v>
      </c>
      <c r="EJ76">
        <f>EI76+DR76+DL76</f>
        <v>26314085.212382153</v>
      </c>
      <c r="EK76">
        <f>EJ76+DF76</f>
        <v>27097842.342078481</v>
      </c>
      <c r="EL76">
        <f>EK76/(BK76*60*7200)</f>
        <v>0.62726486902959444</v>
      </c>
      <c r="EM76">
        <f>EK76/(BM76*(AM76*195.084/1000+AN76*106.42/1000+AO76*102.911/1000)*60*7200)</f>
        <v>2098.5657611480956</v>
      </c>
      <c r="EN76">
        <f>EK76/(BN76*BA76*(AP76*195.084/1000+AQ76*106.42/1000+AR76*102.911/1000)*60*7200)</f>
        <v>3851.0000943546656</v>
      </c>
    </row>
    <row r="77" spans="1:144">
      <c r="A77">
        <f>'Costing 100 Lmin Feed Orig'!A77</f>
        <v>10</v>
      </c>
      <c r="B77">
        <f>'Costing 100 Lmin Feed Orig'!B77</f>
        <v>1.54143585092054E-3</v>
      </c>
      <c r="C77">
        <f>'Costing 100 Lmin Feed Orig'!C77</f>
        <v>1.54143585092054E-3</v>
      </c>
      <c r="D77">
        <f>'Costing 100 Lmin Feed Orig'!D77</f>
        <v>3.4254130020456501E-4</v>
      </c>
      <c r="E77">
        <f>'Costing 100 Lmin Feed Orig'!E77</f>
        <v>0</v>
      </c>
      <c r="F77">
        <f>'Costing 100 Lmin Feed Orig'!F77</f>
        <v>0</v>
      </c>
      <c r="G77">
        <f>'Costing 100 Lmin Feed Orig'!G77</f>
        <v>0</v>
      </c>
      <c r="H77">
        <f>'Costing 100 Lmin Feed Orig'!H77</f>
        <v>1.7770671970930099E-5</v>
      </c>
      <c r="I77">
        <f>'Costing 100 Lmin Feed Orig'!I77</f>
        <v>5.2649488631162003E-10</v>
      </c>
      <c r="J77">
        <f>'Costing 100 Lmin Feed Orig'!J77</f>
        <v>3.3765279177869602E-4</v>
      </c>
      <c r="K77">
        <f>'Costing 100 Lmin Feed Orig'!K77</f>
        <v>0.139053960209192</v>
      </c>
      <c r="L77">
        <f>'Costing 100 Lmin Feed Orig'!L77</f>
        <v>0.14067571356050099</v>
      </c>
      <c r="M77">
        <f>'Costing 100 Lmin Feed Orig'!M77</f>
        <v>4.4613899794023002E-4</v>
      </c>
      <c r="N77">
        <f>'Costing 100 Lmin Feed Orig'!N77</f>
        <v>-1.6046192152785399E-16</v>
      </c>
      <c r="O77">
        <f>'Costing 100 Lmin Feed Orig'!O77</f>
        <v>-5.9831913729046996E-14</v>
      </c>
      <c r="P77">
        <f>'Costing 100 Lmin Feed Orig'!P77</f>
        <v>-6.6915602833089703E-20</v>
      </c>
      <c r="Q77">
        <f>'Costing 100 Lmin Feed Orig'!Q77</f>
        <v>0.10957366310586</v>
      </c>
      <c r="R77">
        <f>'Costing 100 Lmin Feed Orig'!R77</f>
        <v>98.572870359588904</v>
      </c>
      <c r="S77">
        <f>'Costing 100 Lmin Feed Orig'!S77</f>
        <v>500</v>
      </c>
      <c r="T77">
        <f>'Costing 100 Lmin Feed Orig'!T77</f>
        <v>95</v>
      </c>
      <c r="U77">
        <f>'Costing 100 Lmin Feed Orig'!U77</f>
        <v>1</v>
      </c>
      <c r="V77">
        <f>'Costing 100 Lmin Feed Orig'!V77</f>
        <v>0.1</v>
      </c>
      <c r="W77">
        <f>'Costing 100 Lmin Feed Orig'!W77</f>
        <v>91.262806376555005</v>
      </c>
      <c r="X77" t="str">
        <f>'Costing 100 Lmin Feed Orig'!X77</f>
        <v>ddFc</v>
      </c>
      <c r="Y77">
        <f>'Costing 100 Lmin Feed Orig'!Y77</f>
        <v>1</v>
      </c>
      <c r="Z77">
        <f>'Costing 100 Lmin Feed Orig'!Z77</f>
        <v>0.28318429382522198</v>
      </c>
      <c r="AA77">
        <f>'Costing 100 Lmin Feed Orig'!AA77</f>
        <v>0.56945642916197003</v>
      </c>
      <c r="AB77">
        <f>'Costing 100 Lmin Feed Orig'!AB77</f>
        <v>3.7698628972227502E-3</v>
      </c>
      <c r="AC77">
        <f>'Costing 100 Lmin Feed Orig'!AC77</f>
        <v>1822.2107908876901</v>
      </c>
      <c r="AD77">
        <f>'Costing 100 Lmin Feed Orig'!AD77</f>
        <v>2662.6059073104898</v>
      </c>
      <c r="AE77">
        <f>'Costing 100 Lmin Feed Orig'!AE77</f>
        <v>2401.5030938442701</v>
      </c>
      <c r="AF77">
        <f>'Costing 100 Lmin Feed Orig'!AF77</f>
        <v>9</v>
      </c>
      <c r="AG77">
        <f>'Costing 100 Lmin Feed Orig'!AG77</f>
        <v>1.6497548842793E-3</v>
      </c>
      <c r="AH77">
        <f>'Costing 100 Lmin Feed Orig'!AH77</f>
        <v>1.66899558413707E-3</v>
      </c>
      <c r="AI77">
        <f>'Costing 100 Lmin Feed Orig'!AI77</f>
        <v>5.2930530695573503E-6</v>
      </c>
      <c r="AJ77">
        <f>'Costing 100 Lmin Feed Orig'!AJ77</f>
        <v>0</v>
      </c>
      <c r="AK77">
        <f>'Costing 100 Lmin Feed Orig'!AK77</f>
        <v>0</v>
      </c>
      <c r="AL77">
        <f>'Costing 100 Lmin Feed Orig'!AL77</f>
        <v>0</v>
      </c>
      <c r="AM77">
        <f>'Costing 100 Lmin Feed Orig'!AM77</f>
        <v>1.6127928524710801E-3</v>
      </c>
      <c r="AN77">
        <f>'Costing 100 Lmin Feed Orig'!AN77</f>
        <v>7.9625604160899597E-5</v>
      </c>
      <c r="AO77">
        <f>'Costing 100 Lmin Feed Orig'!AO77</f>
        <v>5.2582301473474496E-6</v>
      </c>
      <c r="AP77">
        <f>'Costing 100 Lmin Feed Orig'!AP77</f>
        <v>1.73376028278021E-3</v>
      </c>
      <c r="AQ77">
        <f>'Costing 100 Lmin Feed Orig'!AQ77</f>
        <v>7.4551814690152901E-2</v>
      </c>
      <c r="AR77">
        <f>'Costing 100 Lmin Feed Orig'!AR77</f>
        <v>1.6334220957110999E-6</v>
      </c>
      <c r="AS77">
        <f>'Costing 100 Lmin Feed Orig'!AS77</f>
        <v>3.7072938035426199E-17</v>
      </c>
      <c r="AT77">
        <f>'Costing 100 Lmin Feed Orig'!AT77</f>
        <v>-4.8554910092590799E-15</v>
      </c>
      <c r="AU77">
        <f>'Costing 100 Lmin Feed Orig'!AU77</f>
        <v>-3.3748968992163501E-22</v>
      </c>
      <c r="AV77">
        <f>'Costing 100 Lmin Feed Orig'!AV77</f>
        <v>0.19689600584133801</v>
      </c>
      <c r="AW77">
        <f>'Costing 100 Lmin Feed Orig'!AW77</f>
        <v>99.342101396825598</v>
      </c>
      <c r="AX77">
        <f>'Costing 100 Lmin Feed Orig'!AX77</f>
        <v>500</v>
      </c>
      <c r="AY77">
        <f>'Costing 100 Lmin Feed Orig'!AY77</f>
        <v>95</v>
      </c>
      <c r="AZ77">
        <f>'Costing 100 Lmin Feed Orig'!AZ77</f>
        <v>0.92357064280818002</v>
      </c>
      <c r="BA77">
        <f>'Costing 100 Lmin Feed Orig'!BA77</f>
        <v>0.1</v>
      </c>
      <c r="BB77">
        <f>'Costing 100 Lmin Feed Orig'!BB77</f>
        <v>46.906519960207</v>
      </c>
      <c r="BC77" t="str">
        <f>'Costing 100 Lmin Feed Orig'!BC77</f>
        <v>coeFc</v>
      </c>
      <c r="BD77">
        <f>'Costing 100 Lmin Feed Orig'!BD77</f>
        <v>1</v>
      </c>
      <c r="BE77">
        <f>'Costing 100 Lmin Feed Orig'!BE77</f>
        <v>1.8775014999999999E-2</v>
      </c>
      <c r="BF77">
        <f>'Costing 100 Lmin Feed Orig'!BF77</f>
        <v>0.10492961100000001</v>
      </c>
      <c r="BG77">
        <f>'Costing 100 Lmin Feed Orig'!BG77</f>
        <v>1.814625E-3</v>
      </c>
      <c r="BH77">
        <f>'Costing 100 Lmin Feed Orig'!BH77</f>
        <v>285.1951444</v>
      </c>
      <c r="BI77">
        <f>'Costing 100 Lmin Feed Orig'!BI77</f>
        <v>2169.8944889999998</v>
      </c>
      <c r="BJ77">
        <f>'Costing 100 Lmin Feed Orig'!BJ77</f>
        <v>866.49409060000005</v>
      </c>
      <c r="BK77">
        <f>'Costing 100 Lmin Feed Orig'!BK77</f>
        <v>100</v>
      </c>
      <c r="BL77">
        <f>'Costing 100 Lmin Feed Orig'!BL77</f>
        <v>10.957366310586</v>
      </c>
      <c r="BM77">
        <f>'Costing 100 Lmin Feed Orig'!BM77</f>
        <v>92.357064280818008</v>
      </c>
      <c r="BN77">
        <f>'Costing 100 Lmin Feed Orig'!BN77</f>
        <v>19.6896005841338</v>
      </c>
      <c r="BO77">
        <f t="shared" si="22"/>
        <v>262.97679145406403</v>
      </c>
      <c r="BP77">
        <f t="shared" si="23"/>
        <v>433.17121285094356</v>
      </c>
      <c r="BQ77">
        <f t="shared" si="24"/>
        <v>26.297679145406406</v>
      </c>
      <c r="BR77">
        <f t="shared" si="25"/>
        <v>43.317121285094359</v>
      </c>
      <c r="BS77">
        <f>1.2*0.5*BL77*V77/'Oxidant Feed Composition'!$N$22</f>
        <v>6.5744197863515996</v>
      </c>
      <c r="BT77">
        <f>1.2*0.5*BN77*BA77/'Oxidant Feed Composition'!$N$22</f>
        <v>11.81376035048028</v>
      </c>
      <c r="BU77">
        <f t="shared" si="26"/>
        <v>5.478683155293</v>
      </c>
      <c r="BV77">
        <f t="shared" si="27"/>
        <v>9.8448002920668998</v>
      </c>
      <c r="BW77">
        <f t="shared" si="28"/>
        <v>86.87838112552501</v>
      </c>
      <c r="BX77">
        <f t="shared" si="21"/>
        <v>35.063572193875203</v>
      </c>
      <c r="BY77">
        <f t="shared" si="29"/>
        <v>206.62886118280801</v>
      </c>
      <c r="BZ77">
        <f t="shared" si="30"/>
        <v>63.006721869228159</v>
      </c>
      <c r="CA77">
        <f t="shared" si="31"/>
        <v>59.068801752401399</v>
      </c>
      <c r="CB77">
        <f>BO77*'Reagent cost'!$G$11*'Reagent cost'!$H$11</f>
        <v>3471.2936471936455</v>
      </c>
      <c r="CC77">
        <f>BP77*'Reagent cost'!$G$11*'Reagent cost'!$H$11</f>
        <v>5717.8600096324553</v>
      </c>
      <c r="CD77">
        <f>BQ77*'Reagent cost'!$C$18/1000*'Reagent cost'!$H$18</f>
        <v>4193.9657747282263</v>
      </c>
      <c r="CE77">
        <f>BR77*'Ligand cost'!$B$56*'Ligand cost'!$J$56</f>
        <v>44102.36244797946</v>
      </c>
      <c r="CF77">
        <f t="shared" si="32"/>
        <v>10</v>
      </c>
      <c r="CG77">
        <f t="shared" si="33"/>
        <v>2.1914732621172002</v>
      </c>
      <c r="CH77">
        <f t="shared" si="34"/>
        <v>3.9379201168267599</v>
      </c>
      <c r="CI77">
        <f>7963.6*(BX77/1000)^0.6*1.7*('CAPEX+OPEX'!$G$116/'CAPEX+OPEX'!$G$115)</f>
        <v>2138.7234102796551</v>
      </c>
      <c r="CJ77">
        <f>7963.6*(BY77/1000)^0.6*1.7*('CAPEX+OPEX'!$G$116/'CAPEX+OPEX'!$G$115)</f>
        <v>6199.4836239091055</v>
      </c>
      <c r="CK77">
        <f>7963.6*(BZ77/1000)^0.6*1.7*('CAPEX+OPEX'!$G$116/'CAPEX+OPEX'!$G$115)</f>
        <v>3039.9963252325761</v>
      </c>
      <c r="CL77">
        <f>7963.6*(CA77/1000)^0.6*1.7*('CAPEX+OPEX'!$G$116/'CAPEX+OPEX'!$G$115)</f>
        <v>2924.5282742870195</v>
      </c>
      <c r="CM77">
        <f>'Costing 100 Lmin Feed Orig'!DE77</f>
        <v>39625.826528698344</v>
      </c>
      <c r="CN77">
        <f>'Costing 100 Lmin Feed Orig'!DF77</f>
        <v>4586243.4239371875</v>
      </c>
      <c r="CO77">
        <f>'Costing 100 Lmin Feed Orig'!DG77</f>
        <v>11794834.586807497</v>
      </c>
      <c r="CP77">
        <f>'Costing 100 Lmin Feed Orig'!DH77</f>
        <v>2275209.1661185985</v>
      </c>
      <c r="CQ77">
        <f>'Costing 100 Lmin Feed Orig'!DI77</f>
        <v>14083914.336508472</v>
      </c>
      <c r="CR77">
        <f>'Costing 100 Lmin Feed Orig'!DJ77</f>
        <v>1662824.8986326549</v>
      </c>
      <c r="CS77">
        <f>CN77*(BK77/10000)^0.72*((A77+1)/3)^0.6*('CAPEX+OPEX'!$G$116/'CAPEX+OPEX'!$G$114)</f>
        <v>847423.79840727116</v>
      </c>
      <c r="CT77">
        <f>CO77*(BK77/10000)^0.72*((A77+1)/3)^0.6*('CAPEX+OPEX'!$G$116/'CAPEX+OPEX'!$G$114)</f>
        <v>2179392.2832288719</v>
      </c>
      <c r="CU77">
        <f>CP77*(BK77/10000)^0.72*((A77+1)/3)^0.6*('CAPEX+OPEX'!$G$116/'CAPEX+OPEX'!$G$114)</f>
        <v>420402.1059283549</v>
      </c>
      <c r="CV77">
        <f>CQ77*(BK77/10000)^0.72*((A77+1)/3)^0.6*('CAPEX+OPEX'!$G$116/'CAPEX+OPEX'!$G$114)</f>
        <v>2602357.3282642425</v>
      </c>
      <c r="CW77">
        <f>CR77*(BK77/10000)^0.72*((A77+1)/3)^0.6*('CAPEX+OPEX'!$G$116/'CAPEX+OPEX'!$G$114)</f>
        <v>307248.71347447456</v>
      </c>
      <c r="CX77">
        <f t="shared" si="35"/>
        <v>6356824.2293032147</v>
      </c>
      <c r="CY77">
        <f>CN77*(BM77/10000)^0.72*((AF77+1)/3)^0.6*('CAPEX+OPEX'!$G$116/'CAPEX+OPEX'!$G$114)</f>
        <v>755794.15915808035</v>
      </c>
      <c r="CZ77">
        <f>CO77*(BM77/10000)^0.72*((AF77+1)/3)^0.6*('CAPEX+OPEX'!$G$116/'CAPEX+OPEX'!$G$114)</f>
        <v>1943740.5006496462</v>
      </c>
      <c r="DA77">
        <f>CP77*(BM77/10000)^0.72*((AF77+1)/3)^0.6*('CAPEX+OPEX'!$G$116/'CAPEX+OPEX'!$G$114)</f>
        <v>374945.16528281744</v>
      </c>
      <c r="DB77">
        <f>CQ77*(BM77/10000)^0.72*((AF77+1)/3)^0.6*('CAPEX+OPEX'!$G$116/'CAPEX+OPEX'!$G$114)</f>
        <v>2320971.4813780542</v>
      </c>
      <c r="DC77">
        <f>CR77*(BM77/10000)^0.72*((AF77+1)/3)^0.6*('CAPEX+OPEX'!$G$116/'CAPEX+OPEX'!$G$114)</f>
        <v>274026.74256882182</v>
      </c>
      <c r="DD77">
        <f t="shared" si="36"/>
        <v>5669478.0490374202</v>
      </c>
      <c r="DE77">
        <f>CX77+DD77+1.15*(SUM(CI77:CL77)+SUM(CB77:CE77))</f>
        <v>12108858.723880863</v>
      </c>
      <c r="DF77">
        <f t="shared" si="37"/>
        <v>807257.24825872423</v>
      </c>
      <c r="DG77">
        <f>(BS77+BT77)*'Oxidant Feed Composition'!$N$25*60*7200</f>
        <v>14808979.727142427</v>
      </c>
      <c r="DH77">
        <f>((CG77+CH77)*'Reagent cost'!$C$17/1000*'Reagent cost'!$H$17+(CG77+CH77)*0.5*'Reagent cost'!$C$16/1000*'Reagent cost'!$H$16)*60*7200</f>
        <v>5901714.3649499984</v>
      </c>
      <c r="DI77">
        <f>CF77*'Reagent cost'!$C$17/1000*'Reagent cost'!$H$17*60*7200</f>
        <v>504921.59999999998</v>
      </c>
      <c r="DJ77">
        <f t="shared" si="38"/>
        <v>91.891536568261003</v>
      </c>
      <c r="DK77">
        <f t="shared" si="39"/>
        <v>965.92656445415378</v>
      </c>
      <c r="DL77">
        <f t="shared" si="40"/>
        <v>25460008.212232139</v>
      </c>
      <c r="DM77">
        <f>BK77*(B77*(409.81+2)/1000+C77*(248.2+2*22.99)/1000+D77*(315.6+3*22.99)/1000+0.1*58.44/1000)</f>
        <v>0.70639694042110623</v>
      </c>
      <c r="DN77">
        <f>(BS77+BT77)/1000*('Oxidant Feed Composition'!$B$11*'Oxidant Feed Composition'!$O$20+'Oxidant Feed Composition'!$D$11*'Oxidant Feed Composition'!$O$21+'Oxidant Feed Composition'!$F$11*'Oxidant Feed Composition'!$O$27-'Oxidant Feed Composition'!$J$15*18.015)</f>
        <v>2.1474551587170474</v>
      </c>
      <c r="DO77">
        <f>(BU77+BV77)/1000*(0.2*368.34+0.4*58.44)</f>
        <v>1.4870521276655941</v>
      </c>
      <c r="DP77">
        <f>BK77/1000*(B77*195.08+C77*106.42+D77*102.91)</f>
        <v>4.999938342565946E-2</v>
      </c>
      <c r="DQ77">
        <f>SUM(DM77:DO77)-DP77</f>
        <v>4.2909048433780876</v>
      </c>
      <c r="DR77">
        <f>DQ77*60*7200*0.33</f>
        <v>611711.39447198017</v>
      </c>
      <c r="DS77">
        <v>1.2</v>
      </c>
      <c r="DT77">
        <f>BM77/60*(AM77*4+AN77*2+AO77*3)*96485/DV77</f>
        <v>1405.8694518465684</v>
      </c>
      <c r="DU77">
        <f>BN77*BA77*(AP77*4+AQ77*2+AR77*3)*96485/DV77/60</f>
        <v>705.8189218133607</v>
      </c>
      <c r="DV77">
        <v>0.7</v>
      </c>
      <c r="DW77">
        <f>0.499*((BK77/3.78541*15)^(-0.146))*BK77/3.78541*15*300*(1+(A77-2)/9)</f>
        <v>46784.46952433938</v>
      </c>
      <c r="DX77">
        <f>0.248*((BK77/3.78541*15)^(-0.144))*BK77/3.78541*15*300*(1+(A77-2)/3)</f>
        <v>45678.708869524045</v>
      </c>
      <c r="DY77">
        <f>0.105*((BK77/3.78541*15)^(-0.144))*BK77/3.78541*15*300*(1+(A77-2)/3)</f>
        <v>19339.775932661389</v>
      </c>
      <c r="DZ77">
        <f>0.058*((BK77/3.78541*15)^(-0.151))*BK77/3.78541*15*300*(1+(A77-2)/3)</f>
        <v>10244.818866671721</v>
      </c>
      <c r="EA77">
        <f>0.056*((BK77/3.78541*15)^(-0.144))*BK77/3.78541*15*300*(1+(A77-2)/3)</f>
        <v>10314.547164086078</v>
      </c>
      <c r="EB77">
        <f>DS77*DT77/(3.6*10^6)*3600*7200*0.07</f>
        <v>850.26984447680456</v>
      </c>
      <c r="EC77">
        <f>0.499*((BM77/3.78541*15)^(-0.146))*BM77/3.78541*15*300*(1+(AF77-2)/9)</f>
        <v>41141.89135669313</v>
      </c>
      <c r="ED77">
        <f>0.248*((BM77/3.78541*15)^(-0.144))*BM77/3.78541*15*300*(1+(AF77-2)/3)</f>
        <v>38793.910291610271</v>
      </c>
      <c r="EE77">
        <f>0.105*((BM77/3.78541*15)^(-0.144))*BM77/3.78541*15*300*(1+(AF77-2)/3)</f>
        <v>16424.84105088338</v>
      </c>
      <c r="EF77">
        <f>0.058*((BM77/3.78541*15)^(-0.151))*BM77/3.78541*15*300*(1+(AF77-2)/3)</f>
        <v>8705.5403087172472</v>
      </c>
      <c r="EG77">
        <f>0.056*((BM77/3.78541*15)^(-0.144))*BM77/3.78541*15*300*(1+(AF77-2)/3)</f>
        <v>8759.9152271378043</v>
      </c>
      <c r="EH77">
        <f>DS77*DU77/(3.6*10^6)*3600*7200*0.07</f>
        <v>426.87928391272061</v>
      </c>
      <c r="EI77">
        <f>SUM(DW77:EH77)</f>
        <v>247465.56772071397</v>
      </c>
      <c r="EJ77">
        <f>EI77+DR77+DL77</f>
        <v>26319185.174424835</v>
      </c>
      <c r="EK77">
        <f>EJ77+DF77</f>
        <v>27126442.422683559</v>
      </c>
      <c r="EL77">
        <f>EK77/(BK77*60*7200)</f>
        <v>0.62792690793248984</v>
      </c>
      <c r="EM77">
        <f>EK77/(BM77*(AM77*195.084/1000+AN77*106.42/1000+AO77*102.911/1000)*60*7200)</f>
        <v>2100.7294120068295</v>
      </c>
      <c r="EN77">
        <f>EK77/(BN77*BA77*(AP77*195.084/1000+AQ77*106.42/1000+AR77*102.911/1000)*60*7200)</f>
        <v>3855.2371958401018</v>
      </c>
    </row>
    <row r="78" spans="1:144">
      <c r="A78">
        <f>'Costing 100 Lmin Feed Orig'!A78</f>
        <v>10</v>
      </c>
      <c r="B78">
        <f>'Costing 100 Lmin Feed Orig'!B78</f>
        <v>1.54143585092054E-3</v>
      </c>
      <c r="C78">
        <f>'Costing 100 Lmin Feed Orig'!C78</f>
        <v>1.54143585092054E-3</v>
      </c>
      <c r="D78">
        <f>'Costing 100 Lmin Feed Orig'!D78</f>
        <v>3.4254130020456501E-4</v>
      </c>
      <c r="E78">
        <f>'Costing 100 Lmin Feed Orig'!E78</f>
        <v>0</v>
      </c>
      <c r="F78">
        <f>'Costing 100 Lmin Feed Orig'!F78</f>
        <v>0</v>
      </c>
      <c r="G78">
        <f>'Costing 100 Lmin Feed Orig'!G78</f>
        <v>0</v>
      </c>
      <c r="H78">
        <f>'Costing 100 Lmin Feed Orig'!H78</f>
        <v>1.7770671970930099E-5</v>
      </c>
      <c r="I78">
        <f>'Costing 100 Lmin Feed Orig'!I78</f>
        <v>5.2649488631162003E-10</v>
      </c>
      <c r="J78">
        <f>'Costing 100 Lmin Feed Orig'!J78</f>
        <v>3.3765279177869602E-4</v>
      </c>
      <c r="K78">
        <f>'Costing 100 Lmin Feed Orig'!K78</f>
        <v>0.139053960209192</v>
      </c>
      <c r="L78">
        <f>'Costing 100 Lmin Feed Orig'!L78</f>
        <v>0.14067571356050099</v>
      </c>
      <c r="M78">
        <f>'Costing 100 Lmin Feed Orig'!M78</f>
        <v>4.4613899794023002E-4</v>
      </c>
      <c r="N78">
        <f>'Costing 100 Lmin Feed Orig'!N78</f>
        <v>-1.6046192152785399E-16</v>
      </c>
      <c r="O78">
        <f>'Costing 100 Lmin Feed Orig'!O78</f>
        <v>-5.9831913729046996E-14</v>
      </c>
      <c r="P78">
        <f>'Costing 100 Lmin Feed Orig'!P78</f>
        <v>-6.6915602833089703E-20</v>
      </c>
      <c r="Q78">
        <f>'Costing 100 Lmin Feed Orig'!Q78</f>
        <v>0.10957366310586</v>
      </c>
      <c r="R78">
        <f>'Costing 100 Lmin Feed Orig'!R78</f>
        <v>98.572870359588904</v>
      </c>
      <c r="S78">
        <f>'Costing 100 Lmin Feed Orig'!S78</f>
        <v>500</v>
      </c>
      <c r="T78">
        <f>'Costing 100 Lmin Feed Orig'!T78</f>
        <v>95</v>
      </c>
      <c r="U78">
        <f>'Costing 100 Lmin Feed Orig'!U78</f>
        <v>1</v>
      </c>
      <c r="V78">
        <f>'Costing 100 Lmin Feed Orig'!V78</f>
        <v>0.1</v>
      </c>
      <c r="W78">
        <f>'Costing 100 Lmin Feed Orig'!W78</f>
        <v>91.262806376555005</v>
      </c>
      <c r="X78" t="str">
        <f>'Costing 100 Lmin Feed Orig'!X78</f>
        <v>ddFc</v>
      </c>
      <c r="Y78">
        <f>'Costing 100 Lmin Feed Orig'!Y78</f>
        <v>1</v>
      </c>
      <c r="Z78">
        <f>'Costing 100 Lmin Feed Orig'!Z78</f>
        <v>0.28318429382522198</v>
      </c>
      <c r="AA78">
        <f>'Costing 100 Lmin Feed Orig'!AA78</f>
        <v>0.56945642916197003</v>
      </c>
      <c r="AB78">
        <f>'Costing 100 Lmin Feed Orig'!AB78</f>
        <v>3.7698628972227502E-3</v>
      </c>
      <c r="AC78">
        <f>'Costing 100 Lmin Feed Orig'!AC78</f>
        <v>1822.2107908876901</v>
      </c>
      <c r="AD78">
        <f>'Costing 100 Lmin Feed Orig'!AD78</f>
        <v>2662.6059073104898</v>
      </c>
      <c r="AE78">
        <f>'Costing 100 Lmin Feed Orig'!AE78</f>
        <v>2401.5030938442701</v>
      </c>
      <c r="AF78">
        <f>'Costing 100 Lmin Feed Orig'!AF78</f>
        <v>10</v>
      </c>
      <c r="AG78">
        <f>'Costing 100 Lmin Feed Orig'!AG78</f>
        <v>1.6497548842793E-3</v>
      </c>
      <c r="AH78">
        <f>'Costing 100 Lmin Feed Orig'!AH78</f>
        <v>1.66899558413707E-3</v>
      </c>
      <c r="AI78">
        <f>'Costing 100 Lmin Feed Orig'!AI78</f>
        <v>5.2930530695573503E-6</v>
      </c>
      <c r="AJ78">
        <f>'Costing 100 Lmin Feed Orig'!AJ78</f>
        <v>0</v>
      </c>
      <c r="AK78">
        <f>'Costing 100 Lmin Feed Orig'!AK78</f>
        <v>0</v>
      </c>
      <c r="AL78">
        <f>'Costing 100 Lmin Feed Orig'!AL78</f>
        <v>0</v>
      </c>
      <c r="AM78">
        <f>'Costing 100 Lmin Feed Orig'!AM78</f>
        <v>1.612803928521E-3</v>
      </c>
      <c r="AN78">
        <f>'Costing 100 Lmin Feed Orig'!AN78</f>
        <v>7.96261771409158E-5</v>
      </c>
      <c r="AO78">
        <f>'Costing 100 Lmin Feed Orig'!AO78</f>
        <v>5.2582401488513497E-6</v>
      </c>
      <c r="AP78">
        <f>'Costing 100 Lmin Feed Orig'!AP78</f>
        <v>1.7333856890078599E-3</v>
      </c>
      <c r="AQ78">
        <f>'Costing 100 Lmin Feed Orig'!AQ78</f>
        <v>7.4558022378498803E-2</v>
      </c>
      <c r="AR78">
        <f>'Costing 100 Lmin Feed Orig'!AR78</f>
        <v>1.6330895187087101E-6</v>
      </c>
      <c r="AS78">
        <f>'Costing 100 Lmin Feed Orig'!AS78</f>
        <v>6.1817751980698602E-15</v>
      </c>
      <c r="AT78">
        <f>'Costing 100 Lmin Feed Orig'!AT78</f>
        <v>-6.4017497899970799E-13</v>
      </c>
      <c r="AU78">
        <f>'Costing 100 Lmin Feed Orig'!AU78</f>
        <v>5.9603326218120902E-20</v>
      </c>
      <c r="AV78">
        <f>'Costing 100 Lmin Feed Orig'!AV78</f>
        <v>0.196879541421767</v>
      </c>
      <c r="AW78">
        <f>'Costing 100 Lmin Feed Orig'!AW78</f>
        <v>99.342290352117899</v>
      </c>
      <c r="AX78">
        <f>'Costing 100 Lmin Feed Orig'!AX78</f>
        <v>500</v>
      </c>
      <c r="AY78">
        <f>'Costing 100 Lmin Feed Orig'!AY78</f>
        <v>95</v>
      </c>
      <c r="AZ78">
        <f>'Costing 100 Lmin Feed Orig'!AZ78</f>
        <v>0.92357064280818002</v>
      </c>
      <c r="BA78">
        <f>'Costing 100 Lmin Feed Orig'!BA78</f>
        <v>0.1</v>
      </c>
      <c r="BB78">
        <f>'Costing 100 Lmin Feed Orig'!BB78</f>
        <v>46.910442605595598</v>
      </c>
      <c r="BC78" t="str">
        <f>'Costing 100 Lmin Feed Orig'!BC78</f>
        <v>coeFc</v>
      </c>
      <c r="BD78">
        <f>'Costing 100 Lmin Feed Orig'!BD78</f>
        <v>1</v>
      </c>
      <c r="BE78">
        <f>'Costing 100 Lmin Feed Orig'!BE78</f>
        <v>1.8775014999999999E-2</v>
      </c>
      <c r="BF78">
        <f>'Costing 100 Lmin Feed Orig'!BF78</f>
        <v>0.10492961100000001</v>
      </c>
      <c r="BG78">
        <f>'Costing 100 Lmin Feed Orig'!BG78</f>
        <v>1.814625E-3</v>
      </c>
      <c r="BH78">
        <f>'Costing 100 Lmin Feed Orig'!BH78</f>
        <v>285.1951444</v>
      </c>
      <c r="BI78">
        <f>'Costing 100 Lmin Feed Orig'!BI78</f>
        <v>2169.8944889999998</v>
      </c>
      <c r="BJ78">
        <f>'Costing 100 Lmin Feed Orig'!BJ78</f>
        <v>866.49409060000005</v>
      </c>
      <c r="BK78">
        <f>'Costing 100 Lmin Feed Orig'!BK78</f>
        <v>100</v>
      </c>
      <c r="BL78">
        <f>'Costing 100 Lmin Feed Orig'!BL78</f>
        <v>10.957366310586</v>
      </c>
      <c r="BM78">
        <f>'Costing 100 Lmin Feed Orig'!BM78</f>
        <v>92.357064280818008</v>
      </c>
      <c r="BN78">
        <f>'Costing 100 Lmin Feed Orig'!BN78</f>
        <v>19.6879541421767</v>
      </c>
      <c r="BO78">
        <f t="shared" si="22"/>
        <v>262.97679145406403</v>
      </c>
      <c r="BP78">
        <f t="shared" si="23"/>
        <v>472.5108994122408</v>
      </c>
      <c r="BQ78">
        <f t="shared" si="24"/>
        <v>26.297679145406406</v>
      </c>
      <c r="BR78">
        <f t="shared" si="25"/>
        <v>47.25108994122408</v>
      </c>
      <c r="BS78">
        <f>1.2*0.5*BL78*V78/'Oxidant Feed Composition'!$N$22</f>
        <v>6.5744197863515996</v>
      </c>
      <c r="BT78">
        <f>1.2*0.5*BN78*BA78/'Oxidant Feed Composition'!$N$22</f>
        <v>11.81277248530602</v>
      </c>
      <c r="BU78">
        <f t="shared" si="26"/>
        <v>5.478683155293</v>
      </c>
      <c r="BV78">
        <f t="shared" si="27"/>
        <v>9.8439770710883501</v>
      </c>
      <c r="BW78">
        <f t="shared" si="28"/>
        <v>86.87838112552501</v>
      </c>
      <c r="BX78">
        <f t="shared" si="21"/>
        <v>35.063572193875203</v>
      </c>
      <c r="BY78">
        <f t="shared" si="29"/>
        <v>206.62886118280801</v>
      </c>
      <c r="BZ78">
        <f t="shared" si="30"/>
        <v>63.00145325496544</v>
      </c>
      <c r="CA78">
        <f t="shared" si="31"/>
        <v>59.0638624265301</v>
      </c>
      <c r="CB78">
        <f>BO78*'Reagent cost'!$G$11*'Reagent cost'!$H$11</f>
        <v>3471.2936471936455</v>
      </c>
      <c r="CC78">
        <f>BP78*'Reagent cost'!$G$11*'Reagent cost'!$H$11</f>
        <v>6237.1438722415787</v>
      </c>
      <c r="CD78">
        <f>BQ78*'Reagent cost'!$C$18/1000*'Reagent cost'!$H$18</f>
        <v>4193.9657747282263</v>
      </c>
      <c r="CE78">
        <f>BR78*'Ligand cost'!$B$56*'Ligand cost'!$J$56</f>
        <v>48107.645033351197</v>
      </c>
      <c r="CF78">
        <f t="shared" si="32"/>
        <v>10</v>
      </c>
      <c r="CG78">
        <f t="shared" si="33"/>
        <v>2.1914732621172002</v>
      </c>
      <c r="CH78">
        <f t="shared" si="34"/>
        <v>3.93759082843534</v>
      </c>
      <c r="CI78">
        <f>7963.6*(BX78/1000)^0.6*1.7*('CAPEX+OPEX'!$G$116/'CAPEX+OPEX'!$G$115)</f>
        <v>2138.7234102796551</v>
      </c>
      <c r="CJ78">
        <f>7963.6*(BY78/1000)^0.6*1.7*('CAPEX+OPEX'!$G$116/'CAPEX+OPEX'!$G$115)</f>
        <v>6199.4836239091055</v>
      </c>
      <c r="CK78">
        <f>7963.6*(BZ78/1000)^0.6*1.7*('CAPEX+OPEX'!$G$116/'CAPEX+OPEX'!$G$115)</f>
        <v>3039.8438002124476</v>
      </c>
      <c r="CL78">
        <f>7963.6*(CA78/1000)^0.6*1.7*('CAPEX+OPEX'!$G$116/'CAPEX+OPEX'!$G$115)</f>
        <v>2924.3815426182359</v>
      </c>
      <c r="CM78">
        <f>'Costing 100 Lmin Feed Orig'!DE78</f>
        <v>39625.826528698344</v>
      </c>
      <c r="CN78">
        <f>'Costing 100 Lmin Feed Orig'!DF78</f>
        <v>4586243.4239371875</v>
      </c>
      <c r="CO78">
        <f>'Costing 100 Lmin Feed Orig'!DG78</f>
        <v>11794834.586807497</v>
      </c>
      <c r="CP78">
        <f>'Costing 100 Lmin Feed Orig'!DH78</f>
        <v>2275209.1661185985</v>
      </c>
      <c r="CQ78">
        <f>'Costing 100 Lmin Feed Orig'!DI78</f>
        <v>14083914.336508472</v>
      </c>
      <c r="CR78">
        <f>'Costing 100 Lmin Feed Orig'!DJ78</f>
        <v>1662824.8986326549</v>
      </c>
      <c r="CS78">
        <f>CN78*(BK78/10000)^0.72*((A78+1)/3)^0.6*('CAPEX+OPEX'!$G$116/'CAPEX+OPEX'!$G$114)</f>
        <v>847423.79840727116</v>
      </c>
      <c r="CT78">
        <f>CO78*(BK78/10000)^0.72*((A78+1)/3)^0.6*('CAPEX+OPEX'!$G$116/'CAPEX+OPEX'!$G$114)</f>
        <v>2179392.2832288719</v>
      </c>
      <c r="CU78">
        <f>CP78*(BK78/10000)^0.72*((A78+1)/3)^0.6*('CAPEX+OPEX'!$G$116/'CAPEX+OPEX'!$G$114)</f>
        <v>420402.1059283549</v>
      </c>
      <c r="CV78">
        <f>CQ78*(BK78/10000)^0.72*((A78+1)/3)^0.6*('CAPEX+OPEX'!$G$116/'CAPEX+OPEX'!$G$114)</f>
        <v>2602357.3282642425</v>
      </c>
      <c r="CW78">
        <f>CR78*(BK78/10000)^0.72*((A78+1)/3)^0.6*('CAPEX+OPEX'!$G$116/'CAPEX+OPEX'!$G$114)</f>
        <v>307248.71347447456</v>
      </c>
      <c r="CX78">
        <f t="shared" si="35"/>
        <v>6356824.2293032147</v>
      </c>
      <c r="CY78">
        <f>CN78*(BM78/10000)^0.72*((AF78+1)/3)^0.6*('CAPEX+OPEX'!$G$116/'CAPEX+OPEX'!$G$114)</f>
        <v>800274.80164615484</v>
      </c>
      <c r="CZ78">
        <f>CO78*(BM78/10000)^0.72*((AF78+1)/3)^0.6*('CAPEX+OPEX'!$G$116/'CAPEX+OPEX'!$G$114)</f>
        <v>2058135.1744524958</v>
      </c>
      <c r="DA78">
        <f>CP78*(BM78/10000)^0.72*((AF78+1)/3)^0.6*('CAPEX+OPEX'!$G$116/'CAPEX+OPEX'!$G$114)</f>
        <v>397011.75794894132</v>
      </c>
      <c r="DB78">
        <f>CQ78*(BM78/10000)^0.72*((AF78+1)/3)^0.6*('CAPEX+OPEX'!$G$116/'CAPEX+OPEX'!$G$114)</f>
        <v>2457567.2746072533</v>
      </c>
      <c r="DC78">
        <f>CR78*(BM78/10000)^0.72*((AF78+1)/3)^0.6*('CAPEX+OPEX'!$G$116/'CAPEX+OPEX'!$G$114)</f>
        <v>290153.99814586045</v>
      </c>
      <c r="DD78">
        <f t="shared" si="36"/>
        <v>6003143.0068007056</v>
      </c>
      <c r="DE78">
        <f>CX78+DD78+1.15*(SUM(CI78:CL78)+SUM(CB78:CE78))</f>
        <v>12447726.588914134</v>
      </c>
      <c r="DF78">
        <f t="shared" si="37"/>
        <v>829848.43926094228</v>
      </c>
      <c r="DG78">
        <f>(BS78+BT78)*'Oxidant Feed Composition'!$N$25*60*7200</f>
        <v>14808184.146762535</v>
      </c>
      <c r="DH78">
        <f>((CG78+CH78)*'Reagent cost'!$C$17/1000*'Reagent cost'!$H$17+(CG78+CH78)*0.5*'Reagent cost'!$C$16/1000*'Reagent cost'!$H$16)*60*7200</f>
        <v>5901397.3081207667</v>
      </c>
      <c r="DI78">
        <f>CF78*'Reagent cost'!$C$17/1000*'Reagent cost'!$H$17*60*7200</f>
        <v>504921.59999999998</v>
      </c>
      <c r="DJ78">
        <f t="shared" si="38"/>
        <v>97.084375194352248</v>
      </c>
      <c r="DK78">
        <f t="shared" si="39"/>
        <v>1046.0322161615884</v>
      </c>
      <c r="DL78">
        <f t="shared" si="40"/>
        <v>25458775.40576959</v>
      </c>
      <c r="DM78">
        <f>BK78*(B78*(409.81+2)/1000+C78*(248.2+2*22.99)/1000+D78*(315.6+3*22.99)/1000+0.1*58.44/1000)</f>
        <v>0.70639694042110623</v>
      </c>
      <c r="DN78">
        <f>(BS78+BT78)/1000*('Oxidant Feed Composition'!$B$11*'Oxidant Feed Composition'!$O$20+'Oxidant Feed Composition'!$D$11*'Oxidant Feed Composition'!$O$21+'Oxidant Feed Composition'!$F$11*'Oxidant Feed Composition'!$O$27-'Oxidant Feed Composition'!$J$15*18.015)</f>
        <v>2.1473397913370893</v>
      </c>
      <c r="DO78">
        <f>(BU78+BV78)/1000*(0.2*368.34+0.4*58.44)</f>
        <v>1.4869722390089517</v>
      </c>
      <c r="DP78">
        <f>BK78/1000*(B78*195.08+C78*106.42+D78*102.91)</f>
        <v>4.999938342565946E-2</v>
      </c>
      <c r="DQ78">
        <f>SUM(DM78:DO78)-DP78</f>
        <v>4.2907095873414871</v>
      </c>
      <c r="DR78">
        <f>DQ78*60*7200*0.33</f>
        <v>611683.55877140246</v>
      </c>
      <c r="DS78">
        <v>1.2</v>
      </c>
      <c r="DT78">
        <f>BM78/60*(AM78*4+AN78*2+AO78*3)*96485/DV78</f>
        <v>1405.8791012986701</v>
      </c>
      <c r="DU78">
        <f>BN78*BA78*(AP78*4+AQ78*2+AR78*3)*96485/DV78/60</f>
        <v>705.80927264751585</v>
      </c>
      <c r="DV78">
        <v>0.7</v>
      </c>
      <c r="DW78">
        <f>0.499*((BK78/3.78541*15)^(-0.146))*BK78/3.78541*15*300*(1+(A78-2)/9)</f>
        <v>46784.46952433938</v>
      </c>
      <c r="DX78">
        <f>0.248*((BK78/3.78541*15)^(-0.144))*BK78/3.78541*15*300*(1+(A78-2)/3)</f>
        <v>45678.708869524045</v>
      </c>
      <c r="DY78">
        <f>0.105*((BK78/3.78541*15)^(-0.144))*BK78/3.78541*15*300*(1+(A78-2)/3)</f>
        <v>19339.775932661389</v>
      </c>
      <c r="DZ78">
        <f>0.058*((BK78/3.78541*15)^(-0.151))*BK78/3.78541*15*300*(1+(A78-2)/3)</f>
        <v>10244.818866671721</v>
      </c>
      <c r="EA78">
        <f>0.056*((BK78/3.78541*15)^(-0.144))*BK78/3.78541*15*300*(1+(A78-2)/3)</f>
        <v>10314.547164086078</v>
      </c>
      <c r="EB78">
        <f>DS78*DT78/(3.6*10^6)*3600*7200*0.07</f>
        <v>850.2756804654357</v>
      </c>
      <c r="EC78">
        <f>0.499*((BM78/3.78541*15)^(-0.146))*BM78/3.78541*15*300*(1+(AF78-2)/9)</f>
        <v>43713.259566486457</v>
      </c>
      <c r="ED78">
        <f>0.248*((BM78/3.78541*15)^(-0.144))*BM78/3.78541*15*300*(1+(AF78-2)/3)</f>
        <v>42673.301320771294</v>
      </c>
      <c r="EE78">
        <f>0.105*((BM78/3.78541*15)^(-0.144))*BM78/3.78541*15*300*(1+(AF78-2)/3)</f>
        <v>18067.325155971717</v>
      </c>
      <c r="EF78">
        <f>0.058*((BM78/3.78541*15)^(-0.151))*BM78/3.78541*15*300*(1+(AF78-2)/3)</f>
        <v>9576.0943395889717</v>
      </c>
      <c r="EG78">
        <f>0.056*((BM78/3.78541*15)^(-0.144))*BM78/3.78541*15*300*(1+(AF78-2)/3)</f>
        <v>9635.9067498515833</v>
      </c>
      <c r="EH78">
        <f>DS78*DU78/(3.6*10^6)*3600*7200*0.07</f>
        <v>426.87344809721759</v>
      </c>
      <c r="EI78">
        <f>SUM(DW78:EH78)</f>
        <v>257305.35661851533</v>
      </c>
      <c r="EJ78">
        <f>EI78+DR78+DL78</f>
        <v>26327764.321159508</v>
      </c>
      <c r="EK78">
        <f>EJ78+DF78</f>
        <v>27157612.760420449</v>
      </c>
      <c r="EL78">
        <f>EK78/(BK78*60*7200)</f>
        <v>0.62864844352825111</v>
      </c>
      <c r="EM78">
        <f>EK78/(BM78*(AM78*195.084/1000+AN78*106.42/1000+AO78*102.911/1000)*60*7200)</f>
        <v>2103.1288651663035</v>
      </c>
      <c r="EN78">
        <f>EK78/(BN78*BA78*(AP78*195.084/1000+AQ78*106.42/1000+AR78*102.911/1000)*60*7200)</f>
        <v>3859.7158014928027</v>
      </c>
    </row>
    <row r="79" spans="1:144">
      <c r="A79">
        <f>'Costing 100 Lmin Feed Orig'!A79</f>
        <v>10</v>
      </c>
      <c r="B79">
        <f>'Costing 100 Lmin Feed Orig'!B79</f>
        <v>1.54143585092054E-3</v>
      </c>
      <c r="C79">
        <f>'Costing 100 Lmin Feed Orig'!C79</f>
        <v>1.54143585092054E-3</v>
      </c>
      <c r="D79">
        <f>'Costing 100 Lmin Feed Orig'!D79</f>
        <v>3.4254130020456501E-4</v>
      </c>
      <c r="E79">
        <f>'Costing 100 Lmin Feed Orig'!E79</f>
        <v>0</v>
      </c>
      <c r="F79">
        <f>'Costing 100 Lmin Feed Orig'!F79</f>
        <v>0</v>
      </c>
      <c r="G79">
        <f>'Costing 100 Lmin Feed Orig'!G79</f>
        <v>0</v>
      </c>
      <c r="H79">
        <f>'Costing 100 Lmin Feed Orig'!H79</f>
        <v>1.7770671970930099E-5</v>
      </c>
      <c r="I79">
        <f>'Costing 100 Lmin Feed Orig'!I79</f>
        <v>5.2649488631162003E-10</v>
      </c>
      <c r="J79">
        <f>'Costing 100 Lmin Feed Orig'!J79</f>
        <v>3.3765279177869602E-4</v>
      </c>
      <c r="K79">
        <f>'Costing 100 Lmin Feed Orig'!K79</f>
        <v>0.139053960209192</v>
      </c>
      <c r="L79">
        <f>'Costing 100 Lmin Feed Orig'!L79</f>
        <v>0.14067571356050099</v>
      </c>
      <c r="M79">
        <f>'Costing 100 Lmin Feed Orig'!M79</f>
        <v>4.4613899794023002E-4</v>
      </c>
      <c r="N79">
        <f>'Costing 100 Lmin Feed Orig'!N79</f>
        <v>-1.6046192152785399E-16</v>
      </c>
      <c r="O79">
        <f>'Costing 100 Lmin Feed Orig'!O79</f>
        <v>-5.9831913729046996E-14</v>
      </c>
      <c r="P79">
        <f>'Costing 100 Lmin Feed Orig'!P79</f>
        <v>-6.6915602833089703E-20</v>
      </c>
      <c r="Q79">
        <f>'Costing 100 Lmin Feed Orig'!Q79</f>
        <v>0.10957366310586</v>
      </c>
      <c r="R79">
        <f>'Costing 100 Lmin Feed Orig'!R79</f>
        <v>98.572870359588904</v>
      </c>
      <c r="S79">
        <f>'Costing 100 Lmin Feed Orig'!S79</f>
        <v>500</v>
      </c>
      <c r="T79">
        <f>'Costing 100 Lmin Feed Orig'!T79</f>
        <v>95</v>
      </c>
      <c r="U79">
        <f>'Costing 100 Lmin Feed Orig'!U79</f>
        <v>1</v>
      </c>
      <c r="V79">
        <f>'Costing 100 Lmin Feed Orig'!V79</f>
        <v>0.1</v>
      </c>
      <c r="W79">
        <f>'Costing 100 Lmin Feed Orig'!W79</f>
        <v>91.262806376555005</v>
      </c>
      <c r="X79" t="str">
        <f>'Costing 100 Lmin Feed Orig'!X79</f>
        <v>ddFc</v>
      </c>
      <c r="Y79">
        <f>'Costing 100 Lmin Feed Orig'!Y79</f>
        <v>1</v>
      </c>
      <c r="Z79">
        <f>'Costing 100 Lmin Feed Orig'!Z79</f>
        <v>0.28318429382522198</v>
      </c>
      <c r="AA79">
        <f>'Costing 100 Lmin Feed Orig'!AA79</f>
        <v>0.56945642916197003</v>
      </c>
      <c r="AB79">
        <f>'Costing 100 Lmin Feed Orig'!AB79</f>
        <v>3.7698628972227502E-3</v>
      </c>
      <c r="AC79">
        <f>'Costing 100 Lmin Feed Orig'!AC79</f>
        <v>1822.2107908876901</v>
      </c>
      <c r="AD79">
        <f>'Costing 100 Lmin Feed Orig'!AD79</f>
        <v>2662.6059073104898</v>
      </c>
      <c r="AE79">
        <f>'Costing 100 Lmin Feed Orig'!AE79</f>
        <v>2401.5030938442701</v>
      </c>
      <c r="AF79">
        <f>'Costing 100 Lmin Feed Orig'!AF79</f>
        <v>11</v>
      </c>
      <c r="AG79">
        <f>'Costing 100 Lmin Feed Orig'!AG79</f>
        <v>1.6497548842793E-3</v>
      </c>
      <c r="AH79">
        <f>'Costing 100 Lmin Feed Orig'!AH79</f>
        <v>1.66899558413707E-3</v>
      </c>
      <c r="AI79">
        <f>'Costing 100 Lmin Feed Orig'!AI79</f>
        <v>5.2930530695573503E-6</v>
      </c>
      <c r="AJ79">
        <f>'Costing 100 Lmin Feed Orig'!AJ79</f>
        <v>0</v>
      </c>
      <c r="AK79">
        <f>'Costing 100 Lmin Feed Orig'!AK79</f>
        <v>0</v>
      </c>
      <c r="AL79">
        <f>'Costing 100 Lmin Feed Orig'!AL79</f>
        <v>0</v>
      </c>
      <c r="AM79">
        <f>'Costing 100 Lmin Feed Orig'!AM79</f>
        <v>1.6128070427284199E-3</v>
      </c>
      <c r="AN79">
        <f>'Costing 100 Lmin Feed Orig'!AN79</f>
        <v>7.9626338235286499E-5</v>
      </c>
      <c r="AO79">
        <f>'Costing 100 Lmin Feed Orig'!AO79</f>
        <v>5.2582429609278296E-6</v>
      </c>
      <c r="AP79">
        <f>'Costing 100 Lmin Feed Orig'!AP79</f>
        <v>1.73328035546949E-3</v>
      </c>
      <c r="AQ79">
        <f>'Costing 100 Lmin Feed Orig'!AQ79</f>
        <v>7.4559767943401897E-2</v>
      </c>
      <c r="AR79">
        <f>'Costing 100 Lmin Feed Orig'!AR79</f>
        <v>1.6329960000428399E-6</v>
      </c>
      <c r="AS79">
        <f>'Costing 100 Lmin Feed Orig'!AS79</f>
        <v>1.9974730962150899E-15</v>
      </c>
      <c r="AT79">
        <f>'Costing 100 Lmin Feed Orig'!AT79</f>
        <v>-1.98872819254236E-13</v>
      </c>
      <c r="AU79">
        <f>'Costing 100 Lmin Feed Orig'!AU79</f>
        <v>1.25797627557064E-20</v>
      </c>
      <c r="AV79">
        <f>'Costing 100 Lmin Feed Orig'!AV79</f>
        <v>0.19687491213897099</v>
      </c>
      <c r="AW79">
        <f>'Costing 100 Lmin Feed Orig'!AW79</f>
        <v>99.342343479801301</v>
      </c>
      <c r="AX79">
        <f>'Costing 100 Lmin Feed Orig'!AX79</f>
        <v>500</v>
      </c>
      <c r="AY79">
        <f>'Costing 100 Lmin Feed Orig'!AY79</f>
        <v>95</v>
      </c>
      <c r="AZ79">
        <f>'Costing 100 Lmin Feed Orig'!AZ79</f>
        <v>0.92357064280818002</v>
      </c>
      <c r="BA79">
        <f>'Costing 100 Lmin Feed Orig'!BA79</f>
        <v>0.1</v>
      </c>
      <c r="BB79">
        <f>'Costing 100 Lmin Feed Orig'!BB79</f>
        <v>46.911545649668199</v>
      </c>
      <c r="BC79" t="str">
        <f>'Costing 100 Lmin Feed Orig'!BC79</f>
        <v>coeFc</v>
      </c>
      <c r="BD79">
        <f>'Costing 100 Lmin Feed Orig'!BD79</f>
        <v>1</v>
      </c>
      <c r="BE79">
        <f>'Costing 100 Lmin Feed Orig'!BE79</f>
        <v>1.8775014999999999E-2</v>
      </c>
      <c r="BF79">
        <f>'Costing 100 Lmin Feed Orig'!BF79</f>
        <v>0.10492961100000001</v>
      </c>
      <c r="BG79">
        <f>'Costing 100 Lmin Feed Orig'!BG79</f>
        <v>1.814625E-3</v>
      </c>
      <c r="BH79">
        <f>'Costing 100 Lmin Feed Orig'!BH79</f>
        <v>285.1951444</v>
      </c>
      <c r="BI79">
        <f>'Costing 100 Lmin Feed Orig'!BI79</f>
        <v>2169.8944889999998</v>
      </c>
      <c r="BJ79">
        <f>'Costing 100 Lmin Feed Orig'!BJ79</f>
        <v>866.49409060000005</v>
      </c>
      <c r="BK79">
        <f>'Costing 100 Lmin Feed Orig'!BK79</f>
        <v>100</v>
      </c>
      <c r="BL79">
        <f>'Costing 100 Lmin Feed Orig'!BL79</f>
        <v>10.957366310586</v>
      </c>
      <c r="BM79">
        <f>'Costing 100 Lmin Feed Orig'!BM79</f>
        <v>92.357064280818008</v>
      </c>
      <c r="BN79">
        <f>'Costing 100 Lmin Feed Orig'!BN79</f>
        <v>19.687491213897097</v>
      </c>
      <c r="BO79">
        <f t="shared" si="22"/>
        <v>262.97679145406403</v>
      </c>
      <c r="BP79">
        <f t="shared" si="23"/>
        <v>511.87477156132451</v>
      </c>
      <c r="BQ79">
        <f t="shared" si="24"/>
        <v>26.297679145406406</v>
      </c>
      <c r="BR79">
        <f t="shared" si="25"/>
        <v>51.187477156132452</v>
      </c>
      <c r="BS79">
        <f>1.2*0.5*BL79*V79/'Oxidant Feed Composition'!$N$22</f>
        <v>6.5744197863515996</v>
      </c>
      <c r="BT79">
        <f>1.2*0.5*BN79*BA79/'Oxidant Feed Composition'!$N$22</f>
        <v>11.812494728338258</v>
      </c>
      <c r="BU79">
        <f t="shared" si="26"/>
        <v>5.478683155293</v>
      </c>
      <c r="BV79">
        <f t="shared" si="27"/>
        <v>9.8437456069485485</v>
      </c>
      <c r="BW79">
        <f t="shared" si="28"/>
        <v>86.87838112552501</v>
      </c>
      <c r="BX79">
        <f t="shared" si="21"/>
        <v>35.063572193875203</v>
      </c>
      <c r="BY79">
        <f t="shared" si="29"/>
        <v>206.62886118280801</v>
      </c>
      <c r="BZ79">
        <f t="shared" si="30"/>
        <v>62.99997188447071</v>
      </c>
      <c r="CA79">
        <f t="shared" si="31"/>
        <v>59.062473641691291</v>
      </c>
      <c r="CB79">
        <f>BO79*'Reagent cost'!$G$11*'Reagent cost'!$H$11</f>
        <v>3471.2936471936455</v>
      </c>
      <c r="CC79">
        <f>BP79*'Reagent cost'!$G$11*'Reagent cost'!$H$11</f>
        <v>6756.7469846094846</v>
      </c>
      <c r="CD79">
        <f>BQ79*'Reagent cost'!$C$18/1000*'Reagent cost'!$H$18</f>
        <v>4193.9657747282263</v>
      </c>
      <c r="CE79">
        <f>BR79*'Ligand cost'!$B$56*'Ligand cost'!$J$56</f>
        <v>52115.390020486797</v>
      </c>
      <c r="CF79">
        <f t="shared" si="32"/>
        <v>10</v>
      </c>
      <c r="CG79">
        <f t="shared" si="33"/>
        <v>2.1914732621172002</v>
      </c>
      <c r="CH79">
        <f t="shared" si="34"/>
        <v>3.9374982427794194</v>
      </c>
      <c r="CI79">
        <f>7963.6*(BX79/1000)^0.6*1.7*('CAPEX+OPEX'!$G$116/'CAPEX+OPEX'!$G$115)</f>
        <v>2138.7234102796551</v>
      </c>
      <c r="CJ79">
        <f>7963.6*(BY79/1000)^0.6*1.7*('CAPEX+OPEX'!$G$116/'CAPEX+OPEX'!$G$115)</f>
        <v>6199.4836239091055</v>
      </c>
      <c r="CK79">
        <f>7963.6*(BZ79/1000)^0.6*1.7*('CAPEX+OPEX'!$G$116/'CAPEX+OPEX'!$G$115)</f>
        <v>3039.8009140008598</v>
      </c>
      <c r="CL79">
        <f>7963.6*(CA79/1000)^0.6*1.7*('CAPEX+OPEX'!$G$116/'CAPEX+OPEX'!$G$115)</f>
        <v>2924.3402853517946</v>
      </c>
      <c r="CM79">
        <f>'Costing 100 Lmin Feed Orig'!DE79</f>
        <v>39625.826528698344</v>
      </c>
      <c r="CN79">
        <f>'Costing 100 Lmin Feed Orig'!DF79</f>
        <v>4586243.4239371875</v>
      </c>
      <c r="CO79">
        <f>'Costing 100 Lmin Feed Orig'!DG79</f>
        <v>11794834.586807497</v>
      </c>
      <c r="CP79">
        <f>'Costing 100 Lmin Feed Orig'!DH79</f>
        <v>2275209.1661185985</v>
      </c>
      <c r="CQ79">
        <f>'Costing 100 Lmin Feed Orig'!DI79</f>
        <v>14083914.336508472</v>
      </c>
      <c r="CR79">
        <f>'Costing 100 Lmin Feed Orig'!DJ79</f>
        <v>1662824.8986326549</v>
      </c>
      <c r="CS79">
        <f>CN79*(BK79/10000)^0.72*((A79+1)/3)^0.6*('CAPEX+OPEX'!$G$116/'CAPEX+OPEX'!$G$114)</f>
        <v>847423.79840727116</v>
      </c>
      <c r="CT79">
        <f>CO79*(BK79/10000)^0.72*((A79+1)/3)^0.6*('CAPEX+OPEX'!$G$116/'CAPEX+OPEX'!$G$114)</f>
        <v>2179392.2832288719</v>
      </c>
      <c r="CU79">
        <f>CP79*(BK79/10000)^0.72*((A79+1)/3)^0.6*('CAPEX+OPEX'!$G$116/'CAPEX+OPEX'!$G$114)</f>
        <v>420402.1059283549</v>
      </c>
      <c r="CV79">
        <f>CQ79*(BK79/10000)^0.72*((A79+1)/3)^0.6*('CAPEX+OPEX'!$G$116/'CAPEX+OPEX'!$G$114)</f>
        <v>2602357.3282642425</v>
      </c>
      <c r="CW79">
        <f>CR79*(BK79/10000)^0.72*((A79+1)/3)^0.6*('CAPEX+OPEX'!$G$116/'CAPEX+OPEX'!$G$114)</f>
        <v>307248.71347447456</v>
      </c>
      <c r="CX79">
        <f t="shared" si="35"/>
        <v>6356824.2293032147</v>
      </c>
      <c r="CY79">
        <f>CN79*(BM79/10000)^0.72*((AF79+1)/3)^0.6*('CAPEX+OPEX'!$G$116/'CAPEX+OPEX'!$G$114)</f>
        <v>843164.43385652674</v>
      </c>
      <c r="CZ79">
        <f>CO79*(BM79/10000)^0.72*((AF79+1)/3)^0.6*('CAPEX+OPEX'!$G$116/'CAPEX+OPEX'!$G$114)</f>
        <v>2168438.1110061919</v>
      </c>
      <c r="DA79">
        <f>CP79*(BM79/10000)^0.72*((AF79+1)/3)^0.6*('CAPEX+OPEX'!$G$116/'CAPEX+OPEX'!$G$114)</f>
        <v>418289.05950410414</v>
      </c>
      <c r="DB79">
        <f>CQ79*(BM79/10000)^0.72*((AF79+1)/3)^0.6*('CAPEX+OPEX'!$G$116/'CAPEX+OPEX'!$G$114)</f>
        <v>2589277.2276425567</v>
      </c>
      <c r="DC79">
        <f>CR79*(BM79/10000)^0.72*((AF79+1)/3)^0.6*('CAPEX+OPEX'!$G$116/'CAPEX+OPEX'!$G$114)</f>
        <v>305704.40438037703</v>
      </c>
      <c r="DD79">
        <f t="shared" si="36"/>
        <v>6324873.2363897571</v>
      </c>
      <c r="DE79">
        <f>CX79+DD79+1.15*(SUM(CI79:CL79)+SUM(CB79:CE79))</f>
        <v>12774663.172052614</v>
      </c>
      <c r="DF79">
        <f t="shared" si="37"/>
        <v>851644.21147017425</v>
      </c>
      <c r="DG79">
        <f>(BS79+BT79)*'Oxidant Feed Composition'!$N$25*60*7200</f>
        <v>14807960.454299551</v>
      </c>
      <c r="DH79">
        <f>((CG79+CH79)*'Reagent cost'!$C$17/1000*'Reagent cost'!$H$17+(CG79+CH79)*0.5*'Reagent cost'!$C$16/1000*'Reagent cost'!$H$16)*60*7200</f>
        <v>5901308.161599773</v>
      </c>
      <c r="DI79">
        <f>CF79*'Reagent cost'!$C$17/1000*'Reagent cost'!$H$17*60*7200</f>
        <v>504921.59999999998</v>
      </c>
      <c r="DJ79">
        <f t="shared" si="38"/>
        <v>102.28040631803131</v>
      </c>
      <c r="DK79">
        <f t="shared" si="39"/>
        <v>1126.1871159043005</v>
      </c>
      <c r="DL79">
        <f t="shared" si="40"/>
        <v>25458502.420105856</v>
      </c>
      <c r="DM79">
        <f>BK79*(B79*(409.81+2)/1000+C79*(248.2+2*22.99)/1000+D79*(315.6+3*22.99)/1000+0.1*58.44/1000)</f>
        <v>0.70639694042110623</v>
      </c>
      <c r="DN79">
        <f>(BS79+BT79)/1000*('Oxidant Feed Composition'!$B$11*'Oxidant Feed Composition'!$O$20+'Oxidant Feed Composition'!$D$11*'Oxidant Feed Composition'!$O$21+'Oxidant Feed Composition'!$F$11*'Oxidant Feed Composition'!$O$27-'Oxidant Feed Composition'!$J$15*18.015)</f>
        <v>2.1473073536173777</v>
      </c>
      <c r="DO79">
        <f>(BU79+BV79)/1000*(0.2*368.34+0.4*58.44)</f>
        <v>1.4869497768029687</v>
      </c>
      <c r="DP79">
        <f>BK79/1000*(B79*195.08+C79*106.42+D79*102.91)</f>
        <v>4.999938342565946E-2</v>
      </c>
      <c r="DQ79">
        <f>SUM(DM79:DO79)-DP79</f>
        <v>4.2906546874157927</v>
      </c>
      <c r="DR79">
        <f>DQ79*60*7200*0.33</f>
        <v>611675.73223799537</v>
      </c>
      <c r="DS79">
        <v>1.2</v>
      </c>
      <c r="DT79">
        <f>BM79/60*(AM79*4+AN79*2+AO79*3)*96485/DV79</f>
        <v>1405.8818143920212</v>
      </c>
      <c r="DU79">
        <f>BN79*BA79*(AP79*4+AQ79*2+AR79*3)*96485/DV79/60</f>
        <v>705.80655935524931</v>
      </c>
      <c r="DV79">
        <v>0.7</v>
      </c>
      <c r="DW79">
        <f>0.499*((BK79/3.78541*15)^(-0.146))*BK79/3.78541*15*300*(1+(A79-2)/9)</f>
        <v>46784.46952433938</v>
      </c>
      <c r="DX79">
        <f>0.248*((BK79/3.78541*15)^(-0.144))*BK79/3.78541*15*300*(1+(A79-2)/3)</f>
        <v>45678.708869524045</v>
      </c>
      <c r="DY79">
        <f>0.105*((BK79/3.78541*15)^(-0.144))*BK79/3.78541*15*300*(1+(A79-2)/3)</f>
        <v>19339.775932661389</v>
      </c>
      <c r="DZ79">
        <f>0.058*((BK79/3.78541*15)^(-0.151))*BK79/3.78541*15*300*(1+(A79-2)/3)</f>
        <v>10244.818866671721</v>
      </c>
      <c r="EA79">
        <f>0.056*((BK79/3.78541*15)^(-0.144))*BK79/3.78541*15*300*(1+(A79-2)/3)</f>
        <v>10314.547164086078</v>
      </c>
      <c r="EB79">
        <f>DS79*DT79/(3.6*10^6)*3600*7200*0.07</f>
        <v>850.27732134429448</v>
      </c>
      <c r="EC79">
        <f>0.499*((BM79/3.78541*15)^(-0.146))*BM79/3.78541*15*300*(1+(AF79-2)/9)</f>
        <v>46284.627776279776</v>
      </c>
      <c r="ED79">
        <f>0.248*((BM79/3.78541*15)^(-0.144))*BM79/3.78541*15*300*(1+(AF79-2)/3)</f>
        <v>46552.692349932324</v>
      </c>
      <c r="EE79">
        <f>0.105*((BM79/3.78541*15)^(-0.144))*BM79/3.78541*15*300*(1+(AF79-2)/3)</f>
        <v>19709.809261060054</v>
      </c>
      <c r="EF79">
        <f>0.058*((BM79/3.78541*15)^(-0.151))*BM79/3.78541*15*300*(1+(AF79-2)/3)</f>
        <v>10446.648370460696</v>
      </c>
      <c r="EG79">
        <f>0.056*((BM79/3.78541*15)^(-0.144))*BM79/3.78541*15*300*(1+(AF79-2)/3)</f>
        <v>10511.898272565364</v>
      </c>
      <c r="EH79">
        <f>DS79*DU79/(3.6*10^6)*3600*7200*0.07</f>
        <v>426.87180709805483</v>
      </c>
      <c r="EI79">
        <f>SUM(DW79:EH79)</f>
        <v>267145.14551602321</v>
      </c>
      <c r="EJ79">
        <f>EI79+DR79+DL79</f>
        <v>26337323.297859874</v>
      </c>
      <c r="EK79">
        <f>EJ79+DF79</f>
        <v>27188967.509330049</v>
      </c>
      <c r="EL79">
        <f>EK79/(BK79*60*7200)</f>
        <v>0.62937424790115859</v>
      </c>
      <c r="EM79">
        <f>EK79/(BM79*(AM79*195.084/1000+AN79*106.42/1000+AO79*102.911/1000)*60*7200)</f>
        <v>2105.5529611136576</v>
      </c>
      <c r="EN79">
        <f>EK79/(BN79*BA79*(AP79*195.084/1000+AQ79*106.42/1000+AR79*102.911/1000)*60*7200)</f>
        <v>3864.1857211377137</v>
      </c>
    </row>
    <row r="80" spans="1:144">
      <c r="A80">
        <f>'Costing 100 Lmin Feed Orig'!A80</f>
        <v>10</v>
      </c>
      <c r="B80">
        <f>'Costing 100 Lmin Feed Orig'!B80</f>
        <v>1.54143585092054E-3</v>
      </c>
      <c r="C80">
        <f>'Costing 100 Lmin Feed Orig'!C80</f>
        <v>1.54143585092054E-3</v>
      </c>
      <c r="D80">
        <f>'Costing 100 Lmin Feed Orig'!D80</f>
        <v>3.4254130020456501E-4</v>
      </c>
      <c r="E80">
        <f>'Costing 100 Lmin Feed Orig'!E80</f>
        <v>0</v>
      </c>
      <c r="F80">
        <f>'Costing 100 Lmin Feed Orig'!F80</f>
        <v>0</v>
      </c>
      <c r="G80">
        <f>'Costing 100 Lmin Feed Orig'!G80</f>
        <v>0</v>
      </c>
      <c r="H80">
        <f>'Costing 100 Lmin Feed Orig'!H80</f>
        <v>1.7770671970930099E-5</v>
      </c>
      <c r="I80">
        <f>'Costing 100 Lmin Feed Orig'!I80</f>
        <v>5.2649488631162003E-10</v>
      </c>
      <c r="J80">
        <f>'Costing 100 Lmin Feed Orig'!J80</f>
        <v>3.3765279177869602E-4</v>
      </c>
      <c r="K80">
        <f>'Costing 100 Lmin Feed Orig'!K80</f>
        <v>0.139053960209192</v>
      </c>
      <c r="L80">
        <f>'Costing 100 Lmin Feed Orig'!L80</f>
        <v>0.14067571356050099</v>
      </c>
      <c r="M80">
        <f>'Costing 100 Lmin Feed Orig'!M80</f>
        <v>4.4613899794023002E-4</v>
      </c>
      <c r="N80">
        <f>'Costing 100 Lmin Feed Orig'!N80</f>
        <v>-1.6046192152785399E-16</v>
      </c>
      <c r="O80">
        <f>'Costing 100 Lmin Feed Orig'!O80</f>
        <v>-5.9831913729046996E-14</v>
      </c>
      <c r="P80">
        <f>'Costing 100 Lmin Feed Orig'!P80</f>
        <v>-6.6915602833089703E-20</v>
      </c>
      <c r="Q80">
        <f>'Costing 100 Lmin Feed Orig'!Q80</f>
        <v>0.10957366310586</v>
      </c>
      <c r="R80">
        <f>'Costing 100 Lmin Feed Orig'!R80</f>
        <v>98.572870359588904</v>
      </c>
      <c r="S80">
        <f>'Costing 100 Lmin Feed Orig'!S80</f>
        <v>500</v>
      </c>
      <c r="T80">
        <f>'Costing 100 Lmin Feed Orig'!T80</f>
        <v>95</v>
      </c>
      <c r="U80">
        <f>'Costing 100 Lmin Feed Orig'!U80</f>
        <v>1</v>
      </c>
      <c r="V80">
        <f>'Costing 100 Lmin Feed Orig'!V80</f>
        <v>0.1</v>
      </c>
      <c r="W80">
        <f>'Costing 100 Lmin Feed Orig'!W80</f>
        <v>91.262806376555005</v>
      </c>
      <c r="X80" t="str">
        <f>'Costing 100 Lmin Feed Orig'!X80</f>
        <v>ddFc</v>
      </c>
      <c r="Y80">
        <f>'Costing 100 Lmin Feed Orig'!Y80</f>
        <v>1</v>
      </c>
      <c r="Z80">
        <f>'Costing 100 Lmin Feed Orig'!Z80</f>
        <v>0.28318429382522198</v>
      </c>
      <c r="AA80">
        <f>'Costing 100 Lmin Feed Orig'!AA80</f>
        <v>0.56945642916197003</v>
      </c>
      <c r="AB80">
        <f>'Costing 100 Lmin Feed Orig'!AB80</f>
        <v>3.7698628972227502E-3</v>
      </c>
      <c r="AC80">
        <f>'Costing 100 Lmin Feed Orig'!AC80</f>
        <v>1822.2107908876901</v>
      </c>
      <c r="AD80">
        <f>'Costing 100 Lmin Feed Orig'!AD80</f>
        <v>2662.6059073104898</v>
      </c>
      <c r="AE80">
        <f>'Costing 100 Lmin Feed Orig'!AE80</f>
        <v>2401.5030938442701</v>
      </c>
      <c r="AF80">
        <f>'Costing 100 Lmin Feed Orig'!AF80</f>
        <v>12</v>
      </c>
      <c r="AG80">
        <f>'Costing 100 Lmin Feed Orig'!AG80</f>
        <v>1.6497548842793E-3</v>
      </c>
      <c r="AH80">
        <f>'Costing 100 Lmin Feed Orig'!AH80</f>
        <v>1.66899558413707E-3</v>
      </c>
      <c r="AI80">
        <f>'Costing 100 Lmin Feed Orig'!AI80</f>
        <v>5.2930530695573503E-6</v>
      </c>
      <c r="AJ80">
        <f>'Costing 100 Lmin Feed Orig'!AJ80</f>
        <v>0</v>
      </c>
      <c r="AK80">
        <f>'Costing 100 Lmin Feed Orig'!AK80</f>
        <v>0</v>
      </c>
      <c r="AL80">
        <f>'Costing 100 Lmin Feed Orig'!AL80</f>
        <v>0</v>
      </c>
      <c r="AM80">
        <f>'Costing 100 Lmin Feed Orig'!AM80</f>
        <v>1.6128079179820701E-3</v>
      </c>
      <c r="AN80">
        <f>'Costing 100 Lmin Feed Orig'!AN80</f>
        <v>7.9626383510946294E-5</v>
      </c>
      <c r="AO80">
        <f>'Costing 100 Lmin Feed Orig'!AO80</f>
        <v>5.2582437512666399E-6</v>
      </c>
      <c r="AP80">
        <f>'Costing 100 Lmin Feed Orig'!AP80</f>
        <v>1.7332507504425E-3</v>
      </c>
      <c r="AQ80">
        <f>'Costing 100 Lmin Feed Orig'!AQ80</f>
        <v>7.4560258551583894E-2</v>
      </c>
      <c r="AR80">
        <f>'Costing 100 Lmin Feed Orig'!AR80</f>
        <v>1.6329697157021899E-6</v>
      </c>
      <c r="AS80">
        <f>'Costing 100 Lmin Feed Orig'!AS80</f>
        <v>3.9110560493341098E-16</v>
      </c>
      <c r="AT80">
        <f>'Costing 100 Lmin Feed Orig'!AT80</f>
        <v>-3.8191238366236302E-14</v>
      </c>
      <c r="AU80">
        <f>'Costing 100 Lmin Feed Orig'!AU80</f>
        <v>-3.3021050053116801E-21</v>
      </c>
      <c r="AV80">
        <f>'Costing 100 Lmin Feed Orig'!AV80</f>
        <v>0.19687361106780901</v>
      </c>
      <c r="AW80">
        <f>'Costing 100 Lmin Feed Orig'!AW80</f>
        <v>99.342358411425806</v>
      </c>
      <c r="AX80">
        <f>'Costing 100 Lmin Feed Orig'!AX80</f>
        <v>500</v>
      </c>
      <c r="AY80">
        <f>'Costing 100 Lmin Feed Orig'!AY80</f>
        <v>95</v>
      </c>
      <c r="AZ80">
        <f>'Costing 100 Lmin Feed Orig'!AZ80</f>
        <v>0.92357064280818002</v>
      </c>
      <c r="BA80">
        <f>'Costing 100 Lmin Feed Orig'!BA80</f>
        <v>0.1</v>
      </c>
      <c r="BB80">
        <f>'Costing 100 Lmin Feed Orig'!BB80</f>
        <v>46.911855672219602</v>
      </c>
      <c r="BC80" t="str">
        <f>'Costing 100 Lmin Feed Orig'!BC80</f>
        <v>coeFc</v>
      </c>
      <c r="BD80">
        <f>'Costing 100 Lmin Feed Orig'!BD80</f>
        <v>1</v>
      </c>
      <c r="BE80">
        <f>'Costing 100 Lmin Feed Orig'!BE80</f>
        <v>1.8775014999999999E-2</v>
      </c>
      <c r="BF80">
        <f>'Costing 100 Lmin Feed Orig'!BF80</f>
        <v>0.10492961100000001</v>
      </c>
      <c r="BG80">
        <f>'Costing 100 Lmin Feed Orig'!BG80</f>
        <v>1.814625E-3</v>
      </c>
      <c r="BH80">
        <f>'Costing 100 Lmin Feed Orig'!BH80</f>
        <v>285.1951444</v>
      </c>
      <c r="BI80">
        <f>'Costing 100 Lmin Feed Orig'!BI80</f>
        <v>2169.8944889999998</v>
      </c>
      <c r="BJ80">
        <f>'Costing 100 Lmin Feed Orig'!BJ80</f>
        <v>866.49409060000005</v>
      </c>
      <c r="BK80">
        <f>'Costing 100 Lmin Feed Orig'!BK80</f>
        <v>100</v>
      </c>
      <c r="BL80">
        <f>'Costing 100 Lmin Feed Orig'!BL80</f>
        <v>10.957366310586</v>
      </c>
      <c r="BM80">
        <f>'Costing 100 Lmin Feed Orig'!BM80</f>
        <v>92.357064280818008</v>
      </c>
      <c r="BN80">
        <f>'Costing 100 Lmin Feed Orig'!BN80</f>
        <v>19.687361106780902</v>
      </c>
      <c r="BO80">
        <f t="shared" si="22"/>
        <v>262.97679145406403</v>
      </c>
      <c r="BP80">
        <f t="shared" si="23"/>
        <v>551.2461109898652</v>
      </c>
      <c r="BQ80">
        <f t="shared" si="24"/>
        <v>26.297679145406406</v>
      </c>
      <c r="BR80">
        <f t="shared" si="25"/>
        <v>55.12461109898652</v>
      </c>
      <c r="BS80">
        <f>1.2*0.5*BL80*V80/'Oxidant Feed Composition'!$N$22</f>
        <v>6.5744197863515996</v>
      </c>
      <c r="BT80">
        <f>1.2*0.5*BN80*BA80/'Oxidant Feed Composition'!$N$22</f>
        <v>11.812416664068541</v>
      </c>
      <c r="BU80">
        <f t="shared" si="26"/>
        <v>5.478683155293</v>
      </c>
      <c r="BV80">
        <f t="shared" si="27"/>
        <v>9.8436805533904508</v>
      </c>
      <c r="BW80">
        <f t="shared" si="28"/>
        <v>86.87838112552501</v>
      </c>
      <c r="BX80">
        <f t="shared" si="21"/>
        <v>35.063572193875203</v>
      </c>
      <c r="BY80">
        <f t="shared" si="29"/>
        <v>206.62886118280801</v>
      </c>
      <c r="BZ80">
        <f t="shared" si="30"/>
        <v>62.999555541698882</v>
      </c>
      <c r="CA80">
        <f t="shared" si="31"/>
        <v>59.062083320342708</v>
      </c>
      <c r="CB80">
        <f>BO80*'Reagent cost'!$G$11*'Reagent cost'!$H$11</f>
        <v>3471.2936471936455</v>
      </c>
      <c r="CC80">
        <f>BP80*'Reagent cost'!$G$11*'Reagent cost'!$H$11</f>
        <v>7276.4486650662202</v>
      </c>
      <c r="CD80">
        <f>BQ80*'Reagent cost'!$C$18/1000*'Reagent cost'!$H$18</f>
        <v>4193.9657747282263</v>
      </c>
      <c r="CE80">
        <f>BR80*'Ligand cost'!$B$56*'Ligand cost'!$J$56</f>
        <v>56123.895272052112</v>
      </c>
      <c r="CF80">
        <f t="shared" si="32"/>
        <v>10</v>
      </c>
      <c r="CG80">
        <f t="shared" si="33"/>
        <v>2.1914732621172002</v>
      </c>
      <c r="CH80">
        <f t="shared" si="34"/>
        <v>3.9374722213561806</v>
      </c>
      <c r="CI80">
        <f>7963.6*(BX80/1000)^0.6*1.7*('CAPEX+OPEX'!$G$116/'CAPEX+OPEX'!$G$115)</f>
        <v>2138.7234102796551</v>
      </c>
      <c r="CJ80">
        <f>7963.6*(BY80/1000)^0.6*1.7*('CAPEX+OPEX'!$G$116/'CAPEX+OPEX'!$G$115)</f>
        <v>6199.4836239091055</v>
      </c>
      <c r="CK80">
        <f>7963.6*(BZ80/1000)^0.6*1.7*('CAPEX+OPEX'!$G$116/'CAPEX+OPEX'!$G$115)</f>
        <v>3039.7888606544216</v>
      </c>
      <c r="CL80">
        <f>7963.6*(CA80/1000)^0.6*1.7*('CAPEX+OPEX'!$G$116/'CAPEX+OPEX'!$G$115)</f>
        <v>2924.3286898271026</v>
      </c>
      <c r="CM80">
        <f>'Costing 100 Lmin Feed Orig'!DE80</f>
        <v>39625.826528698344</v>
      </c>
      <c r="CN80">
        <f>'Costing 100 Lmin Feed Orig'!DF80</f>
        <v>4586243.4239371875</v>
      </c>
      <c r="CO80">
        <f>'Costing 100 Lmin Feed Orig'!DG80</f>
        <v>11794834.586807497</v>
      </c>
      <c r="CP80">
        <f>'Costing 100 Lmin Feed Orig'!DH80</f>
        <v>2275209.1661185985</v>
      </c>
      <c r="CQ80">
        <f>'Costing 100 Lmin Feed Orig'!DI80</f>
        <v>14083914.336508472</v>
      </c>
      <c r="CR80">
        <f>'Costing 100 Lmin Feed Orig'!DJ80</f>
        <v>1662824.8986326549</v>
      </c>
      <c r="CS80">
        <f>CN80*(BK80/10000)^0.72*((A80+1)/3)^0.6*('CAPEX+OPEX'!$G$116/'CAPEX+OPEX'!$G$114)</f>
        <v>847423.79840727116</v>
      </c>
      <c r="CT80">
        <f>CO80*(BK80/10000)^0.72*((A80+1)/3)^0.6*('CAPEX+OPEX'!$G$116/'CAPEX+OPEX'!$G$114)</f>
        <v>2179392.2832288719</v>
      </c>
      <c r="CU80">
        <f>CP80*(BK80/10000)^0.72*((A80+1)/3)^0.6*('CAPEX+OPEX'!$G$116/'CAPEX+OPEX'!$G$114)</f>
        <v>420402.1059283549</v>
      </c>
      <c r="CV80">
        <f>CQ80*(BK80/10000)^0.72*((A80+1)/3)^0.6*('CAPEX+OPEX'!$G$116/'CAPEX+OPEX'!$G$114)</f>
        <v>2602357.3282642425</v>
      </c>
      <c r="CW80">
        <f>CR80*(BK80/10000)^0.72*((A80+1)/3)^0.6*('CAPEX+OPEX'!$G$116/'CAPEX+OPEX'!$G$114)</f>
        <v>307248.71347447456</v>
      </c>
      <c r="CX80">
        <f t="shared" si="35"/>
        <v>6356824.2293032147</v>
      </c>
      <c r="CY80">
        <f>CN80*(BM80/10000)^0.72*((AF80+1)/3)^0.6*('CAPEX+OPEX'!$G$116/'CAPEX+OPEX'!$G$114)</f>
        <v>884646.05002992239</v>
      </c>
      <c r="CZ80">
        <f>CO80*(BM80/10000)^0.72*((AF80+1)/3)^0.6*('CAPEX+OPEX'!$G$116/'CAPEX+OPEX'!$G$114)</f>
        <v>2275119.9322555778</v>
      </c>
      <c r="DA80">
        <f>CP80*(BM80/10000)^0.72*((AF80+1)/3)^0.6*('CAPEX+OPEX'!$G$116/'CAPEX+OPEX'!$G$114)</f>
        <v>438867.85234587191</v>
      </c>
      <c r="DB80">
        <f>CQ80*(BM80/10000)^0.72*((AF80+1)/3)^0.6*('CAPEX+OPEX'!$G$116/'CAPEX+OPEX'!$G$114)</f>
        <v>2716663.2982721184</v>
      </c>
      <c r="DC80">
        <f>CR80*(BM80/10000)^0.72*((AF80+1)/3)^0.6*('CAPEX+OPEX'!$G$116/'CAPEX+OPEX'!$G$114)</f>
        <v>320744.30911997985</v>
      </c>
      <c r="DD80">
        <f t="shared" si="36"/>
        <v>6636041.4420234701</v>
      </c>
      <c r="DE80">
        <f>CX80+DD80+1.15*(SUM(CI80:CL80)+SUM(CB80:CE80))</f>
        <v>13091038.788461953</v>
      </c>
      <c r="DF80">
        <f t="shared" si="37"/>
        <v>872735.91923079686</v>
      </c>
      <c r="DG80">
        <f>(BS80+BT80)*'Oxidant Feed Composition'!$N$25*60*7200</f>
        <v>14807897.584990077</v>
      </c>
      <c r="DH80">
        <f>((CG80+CH80)*'Reagent cost'!$C$17/1000*'Reagent cost'!$H$17+(CG80+CH80)*0.5*'Reagent cost'!$C$16/1000*'Reagent cost'!$H$16)*60*7200</f>
        <v>5901283.1067537479</v>
      </c>
      <c r="DI80">
        <f>CF80*'Reagent cost'!$C$17/1000*'Reagent cost'!$H$17*60*7200</f>
        <v>504921.59999999998</v>
      </c>
      <c r="DJ80">
        <f t="shared" si="38"/>
        <v>107.47742312259867</v>
      </c>
      <c r="DK80">
        <f t="shared" si="39"/>
        <v>1206.3572209356068</v>
      </c>
      <c r="DL80">
        <f t="shared" si="40"/>
        <v>25458499.351665463</v>
      </c>
      <c r="DM80">
        <f>BK80*(B80*(409.81+2)/1000+C80*(248.2+2*22.99)/1000+D80*(315.6+3*22.99)/1000+0.1*58.44/1000)</f>
        <v>0.70639694042110623</v>
      </c>
      <c r="DN80">
        <f>(BS80+BT80)/1000*('Oxidant Feed Composition'!$B$11*'Oxidant Feed Composition'!$O$20+'Oxidant Feed Composition'!$D$11*'Oxidant Feed Composition'!$O$21+'Oxidant Feed Composition'!$F$11*'Oxidant Feed Composition'!$O$27-'Oxidant Feed Composition'!$J$15*18.015)</f>
        <v>2.1472982369175488</v>
      </c>
      <c r="DO80">
        <f>(BU80+BV80)/1000*(0.2*368.34+0.4*58.44)</f>
        <v>1.4869434637454768</v>
      </c>
      <c r="DP80">
        <f>BK80/1000*(B80*195.08+C80*106.42+D80*102.91)</f>
        <v>4.999938342565946E-2</v>
      </c>
      <c r="DQ80">
        <f>SUM(DM80:DO80)-DP80</f>
        <v>4.290639257658472</v>
      </c>
      <c r="DR80">
        <f>DQ80*60*7200*0.33</f>
        <v>611673.5325717919</v>
      </c>
      <c r="DS80">
        <v>1.2</v>
      </c>
      <c r="DT80">
        <f>BM80/60*(AM80*4+AN80*2+AO80*3)*96485/DV80</f>
        <v>1405.8825769117466</v>
      </c>
      <c r="DU80">
        <f>BN80*BA80*(AP80*4+AQ80*2+AR80*3)*96485/DV80/60</f>
        <v>705.80579676317939</v>
      </c>
      <c r="DV80">
        <v>0.7</v>
      </c>
      <c r="DW80">
        <f>0.499*((BK80/3.78541*15)^(-0.146))*BK80/3.78541*15*300*(1+(A80-2)/9)</f>
        <v>46784.46952433938</v>
      </c>
      <c r="DX80">
        <f>0.248*((BK80/3.78541*15)^(-0.144))*BK80/3.78541*15*300*(1+(A80-2)/3)</f>
        <v>45678.708869524045</v>
      </c>
      <c r="DY80">
        <f>0.105*((BK80/3.78541*15)^(-0.144))*BK80/3.78541*15*300*(1+(A80-2)/3)</f>
        <v>19339.775932661389</v>
      </c>
      <c r="DZ80">
        <f>0.058*((BK80/3.78541*15)^(-0.151))*BK80/3.78541*15*300*(1+(A80-2)/3)</f>
        <v>10244.818866671721</v>
      </c>
      <c r="EA80">
        <f>0.056*((BK80/3.78541*15)^(-0.144))*BK80/3.78541*15*300*(1+(A80-2)/3)</f>
        <v>10314.547164086078</v>
      </c>
      <c r="EB80">
        <f>DS80*DT80/(3.6*10^6)*3600*7200*0.07</f>
        <v>850.27778251622431</v>
      </c>
      <c r="EC80">
        <f>0.499*((BM80/3.78541*15)^(-0.146))*BM80/3.78541*15*300*(1+(AF80-2)/9)</f>
        <v>48855.995986073096</v>
      </c>
      <c r="ED80">
        <f>0.248*((BM80/3.78541*15)^(-0.144))*BM80/3.78541*15*300*(1+(AF80-2)/3)</f>
        <v>50432.083379093361</v>
      </c>
      <c r="EE80">
        <f>0.105*((BM80/3.78541*15)^(-0.144))*BM80/3.78541*15*300*(1+(AF80-2)/3)</f>
        <v>21352.293366148395</v>
      </c>
      <c r="EF80">
        <f>0.058*((BM80/3.78541*15)^(-0.151))*BM80/3.78541*15*300*(1+(AF80-2)/3)</f>
        <v>11317.202401332423</v>
      </c>
      <c r="EG80">
        <f>0.056*((BM80/3.78541*15)^(-0.144))*BM80/3.78541*15*300*(1+(AF80-2)/3)</f>
        <v>11387.889795279147</v>
      </c>
      <c r="EH80">
        <f>DS80*DU80/(3.6*10^6)*3600*7200*0.07</f>
        <v>426.87134588237086</v>
      </c>
      <c r="EI80">
        <f>SUM(DW80:EH80)</f>
        <v>276984.93441360764</v>
      </c>
      <c r="EJ80">
        <f>EI80+DR80+DL80</f>
        <v>26347157.818650864</v>
      </c>
      <c r="EK80">
        <f>EJ80+DF80</f>
        <v>27219893.73788166</v>
      </c>
      <c r="EL80">
        <f>EK80/(BK80*60*7200)</f>
        <v>0.63009013282133475</v>
      </c>
      <c r="EM80">
        <f>EK80/(BM80*(AM80*195.084/1000+AN80*106.42/1000+AO80*102.911/1000)*60*7200)</f>
        <v>2107.9467889662114</v>
      </c>
      <c r="EN80">
        <f>EK80/(BN80*BA80*(AP80*195.084/1000+AQ80*106.42/1000+AR80*102.911/1000)*60*7200)</f>
        <v>3868.5849122484146</v>
      </c>
    </row>
    <row r="81" spans="1:144">
      <c r="A81">
        <f>'Costing 100 Lmin Feed Orig'!A81</f>
        <v>10</v>
      </c>
      <c r="B81">
        <f>'Costing 100 Lmin Feed Orig'!B81</f>
        <v>1.54143585092054E-3</v>
      </c>
      <c r="C81">
        <f>'Costing 100 Lmin Feed Orig'!C81</f>
        <v>1.54143585092054E-3</v>
      </c>
      <c r="D81">
        <f>'Costing 100 Lmin Feed Orig'!D81</f>
        <v>3.4254130020456501E-4</v>
      </c>
      <c r="E81">
        <f>'Costing 100 Lmin Feed Orig'!E81</f>
        <v>0</v>
      </c>
      <c r="F81">
        <f>'Costing 100 Lmin Feed Orig'!F81</f>
        <v>0</v>
      </c>
      <c r="G81">
        <f>'Costing 100 Lmin Feed Orig'!G81</f>
        <v>0</v>
      </c>
      <c r="H81">
        <f>'Costing 100 Lmin Feed Orig'!H81</f>
        <v>1.7770671970930099E-5</v>
      </c>
      <c r="I81">
        <f>'Costing 100 Lmin Feed Orig'!I81</f>
        <v>5.2649488631162003E-10</v>
      </c>
      <c r="J81">
        <f>'Costing 100 Lmin Feed Orig'!J81</f>
        <v>3.3765279177869602E-4</v>
      </c>
      <c r="K81">
        <f>'Costing 100 Lmin Feed Orig'!K81</f>
        <v>0.139053960209192</v>
      </c>
      <c r="L81">
        <f>'Costing 100 Lmin Feed Orig'!L81</f>
        <v>0.14067571356050099</v>
      </c>
      <c r="M81">
        <f>'Costing 100 Lmin Feed Orig'!M81</f>
        <v>4.4613899794023002E-4</v>
      </c>
      <c r="N81">
        <f>'Costing 100 Lmin Feed Orig'!N81</f>
        <v>-1.6046192152785399E-16</v>
      </c>
      <c r="O81">
        <f>'Costing 100 Lmin Feed Orig'!O81</f>
        <v>-5.9831913729046996E-14</v>
      </c>
      <c r="P81">
        <f>'Costing 100 Lmin Feed Orig'!P81</f>
        <v>-6.6915602833089703E-20</v>
      </c>
      <c r="Q81">
        <f>'Costing 100 Lmin Feed Orig'!Q81</f>
        <v>0.10957366310586</v>
      </c>
      <c r="R81">
        <f>'Costing 100 Lmin Feed Orig'!R81</f>
        <v>98.572870359588904</v>
      </c>
      <c r="S81">
        <f>'Costing 100 Lmin Feed Orig'!S81</f>
        <v>500</v>
      </c>
      <c r="T81">
        <f>'Costing 100 Lmin Feed Orig'!T81</f>
        <v>95</v>
      </c>
      <c r="U81">
        <f>'Costing 100 Lmin Feed Orig'!U81</f>
        <v>1</v>
      </c>
      <c r="V81">
        <f>'Costing 100 Lmin Feed Orig'!V81</f>
        <v>0.1</v>
      </c>
      <c r="W81">
        <f>'Costing 100 Lmin Feed Orig'!W81</f>
        <v>91.262806376555005</v>
      </c>
      <c r="X81" t="str">
        <f>'Costing 100 Lmin Feed Orig'!X81</f>
        <v>ddFc</v>
      </c>
      <c r="Y81">
        <f>'Costing 100 Lmin Feed Orig'!Y81</f>
        <v>1</v>
      </c>
      <c r="Z81">
        <f>'Costing 100 Lmin Feed Orig'!Z81</f>
        <v>0.28318429382522198</v>
      </c>
      <c r="AA81">
        <f>'Costing 100 Lmin Feed Orig'!AA81</f>
        <v>0.56945642916197003</v>
      </c>
      <c r="AB81">
        <f>'Costing 100 Lmin Feed Orig'!AB81</f>
        <v>3.7698628972227502E-3</v>
      </c>
      <c r="AC81">
        <f>'Costing 100 Lmin Feed Orig'!AC81</f>
        <v>1822.2107908876901</v>
      </c>
      <c r="AD81">
        <f>'Costing 100 Lmin Feed Orig'!AD81</f>
        <v>2662.6059073104898</v>
      </c>
      <c r="AE81">
        <f>'Costing 100 Lmin Feed Orig'!AE81</f>
        <v>2401.5030938442701</v>
      </c>
      <c r="AF81">
        <f>'Costing 100 Lmin Feed Orig'!AF81</f>
        <v>13</v>
      </c>
      <c r="AG81">
        <f>'Costing 100 Lmin Feed Orig'!AG81</f>
        <v>1.6497548842793E-3</v>
      </c>
      <c r="AH81">
        <f>'Costing 100 Lmin Feed Orig'!AH81</f>
        <v>1.66899558413707E-3</v>
      </c>
      <c r="AI81">
        <f>'Costing 100 Lmin Feed Orig'!AI81</f>
        <v>5.2930530695573503E-6</v>
      </c>
      <c r="AJ81">
        <f>'Costing 100 Lmin Feed Orig'!AJ81</f>
        <v>0</v>
      </c>
      <c r="AK81">
        <f>'Costing 100 Lmin Feed Orig'!AK81</f>
        <v>0</v>
      </c>
      <c r="AL81">
        <f>'Costing 100 Lmin Feed Orig'!AL81</f>
        <v>0</v>
      </c>
      <c r="AM81">
        <f>'Costing 100 Lmin Feed Orig'!AM81</f>
        <v>1.6128081639407901E-3</v>
      </c>
      <c r="AN81">
        <f>'Costing 100 Lmin Feed Orig'!AN81</f>
        <v>7.96263962340472E-5</v>
      </c>
      <c r="AO81">
        <f>'Costing 100 Lmin Feed Orig'!AO81</f>
        <v>5.2582439733631299E-6</v>
      </c>
      <c r="AP81">
        <f>'Costing 100 Lmin Feed Orig'!AP81</f>
        <v>1.7332424309303299E-3</v>
      </c>
      <c r="AQ81">
        <f>'Costing 100 Lmin Feed Orig'!AQ81</f>
        <v>7.4560396420763494E-2</v>
      </c>
      <c r="AR81">
        <f>'Costing 100 Lmin Feed Orig'!AR81</f>
        <v>1.63296232935881E-6</v>
      </c>
      <c r="AS81">
        <f>'Costing 100 Lmin Feed Orig'!AS81</f>
        <v>5.2177229550864901E-19</v>
      </c>
      <c r="AT81">
        <f>'Costing 100 Lmin Feed Orig'!AT81</f>
        <v>-1.32272665043231E-17</v>
      </c>
      <c r="AU81">
        <f>'Costing 100 Lmin Feed Orig'!AU81</f>
        <v>8.0732827785175501E-22</v>
      </c>
      <c r="AV81">
        <f>'Costing 100 Lmin Feed Orig'!AV81</f>
        <v>0.19687324544888599</v>
      </c>
      <c r="AW81">
        <f>'Costing 100 Lmin Feed Orig'!AW81</f>
        <v>99.3423626074255</v>
      </c>
      <c r="AX81">
        <f>'Costing 100 Lmin Feed Orig'!AX81</f>
        <v>500</v>
      </c>
      <c r="AY81">
        <f>'Costing 100 Lmin Feed Orig'!AY81</f>
        <v>95</v>
      </c>
      <c r="AZ81">
        <f>'Costing 100 Lmin Feed Orig'!AZ81</f>
        <v>0.92357064280818002</v>
      </c>
      <c r="BA81">
        <f>'Costing 100 Lmin Feed Orig'!BA81</f>
        <v>0.1</v>
      </c>
      <c r="BB81">
        <f>'Costing 100 Lmin Feed Orig'!BB81</f>
        <v>46.9119427935657</v>
      </c>
      <c r="BC81" t="str">
        <f>'Costing 100 Lmin Feed Orig'!BC81</f>
        <v>coeFc</v>
      </c>
      <c r="BD81">
        <f>'Costing 100 Lmin Feed Orig'!BD81</f>
        <v>1</v>
      </c>
      <c r="BE81">
        <f>'Costing 100 Lmin Feed Orig'!BE81</f>
        <v>1.8775014999999999E-2</v>
      </c>
      <c r="BF81">
        <f>'Costing 100 Lmin Feed Orig'!BF81</f>
        <v>0.10492961100000001</v>
      </c>
      <c r="BG81">
        <f>'Costing 100 Lmin Feed Orig'!BG81</f>
        <v>1.814625E-3</v>
      </c>
      <c r="BH81">
        <f>'Costing 100 Lmin Feed Orig'!BH81</f>
        <v>285.1951444</v>
      </c>
      <c r="BI81">
        <f>'Costing 100 Lmin Feed Orig'!BI81</f>
        <v>2169.8944889999998</v>
      </c>
      <c r="BJ81">
        <f>'Costing 100 Lmin Feed Orig'!BJ81</f>
        <v>866.49409060000005</v>
      </c>
      <c r="BK81">
        <f>'Costing 100 Lmin Feed Orig'!BK81</f>
        <v>100</v>
      </c>
      <c r="BL81">
        <f>'Costing 100 Lmin Feed Orig'!BL81</f>
        <v>10.957366310586</v>
      </c>
      <c r="BM81">
        <f>'Costing 100 Lmin Feed Orig'!BM81</f>
        <v>92.357064280818008</v>
      </c>
      <c r="BN81">
        <f>'Costing 100 Lmin Feed Orig'!BN81</f>
        <v>19.6873245448886</v>
      </c>
      <c r="BO81">
        <f t="shared" si="22"/>
        <v>262.97679145406403</v>
      </c>
      <c r="BP81">
        <f t="shared" si="23"/>
        <v>590.61973634665799</v>
      </c>
      <c r="BQ81">
        <f t="shared" si="24"/>
        <v>26.297679145406406</v>
      </c>
      <c r="BR81">
        <f t="shared" si="25"/>
        <v>59.061973634665804</v>
      </c>
      <c r="BS81">
        <f>1.2*0.5*BL81*V81/'Oxidant Feed Composition'!$N$22</f>
        <v>6.5744197863515996</v>
      </c>
      <c r="BT81">
        <f>1.2*0.5*BN81*BA81/'Oxidant Feed Composition'!$N$22</f>
        <v>11.812394726933158</v>
      </c>
      <c r="BU81">
        <f t="shared" si="26"/>
        <v>5.478683155293</v>
      </c>
      <c r="BV81">
        <f t="shared" si="27"/>
        <v>9.8436622724443001</v>
      </c>
      <c r="BW81">
        <f t="shared" si="28"/>
        <v>86.87838112552501</v>
      </c>
      <c r="BX81">
        <f t="shared" si="21"/>
        <v>35.063572193875203</v>
      </c>
      <c r="BY81">
        <f t="shared" si="29"/>
        <v>206.62886118280801</v>
      </c>
      <c r="BZ81">
        <f t="shared" si="30"/>
        <v>62.999438543643521</v>
      </c>
      <c r="CA81">
        <f t="shared" si="31"/>
        <v>59.061973634665804</v>
      </c>
      <c r="CB81">
        <f>BO81*'Reagent cost'!$G$11*'Reagent cost'!$H$11</f>
        <v>3471.2936471936455</v>
      </c>
      <c r="CC81">
        <f>BP81*'Reagent cost'!$G$11*'Reagent cost'!$H$11</f>
        <v>7796.1805197758858</v>
      </c>
      <c r="CD81">
        <f>BQ81*'Reagent cost'!$C$18/1000*'Reagent cost'!$H$18</f>
        <v>4193.9657747282263</v>
      </c>
      <c r="CE81">
        <f>BR81*'Ligand cost'!$B$56*'Ligand cost'!$J$56</f>
        <v>60132.633260312105</v>
      </c>
      <c r="CF81">
        <f t="shared" si="32"/>
        <v>10</v>
      </c>
      <c r="CG81">
        <f t="shared" si="33"/>
        <v>2.1914732621172002</v>
      </c>
      <c r="CH81">
        <f t="shared" si="34"/>
        <v>3.9374649089777201</v>
      </c>
      <c r="CI81">
        <f>7963.6*(BX81/1000)^0.6*1.7*('CAPEX+OPEX'!$G$116/'CAPEX+OPEX'!$G$115)</f>
        <v>2138.7234102796551</v>
      </c>
      <c r="CJ81">
        <f>7963.6*(BY81/1000)^0.6*1.7*('CAPEX+OPEX'!$G$116/'CAPEX+OPEX'!$G$115)</f>
        <v>6199.4836239091055</v>
      </c>
      <c r="CK81">
        <f>7963.6*(BZ81/1000)^0.6*1.7*('CAPEX+OPEX'!$G$116/'CAPEX+OPEX'!$G$115)</f>
        <v>3039.7854734922639</v>
      </c>
      <c r="CL81">
        <f>7963.6*(CA81/1000)^0.6*1.7*('CAPEX+OPEX'!$G$116/'CAPEX+OPEX'!$G$115)</f>
        <v>2924.3254313193802</v>
      </c>
      <c r="CM81">
        <f>'Costing 100 Lmin Feed Orig'!DE81</f>
        <v>39625.826528698344</v>
      </c>
      <c r="CN81">
        <f>'Costing 100 Lmin Feed Orig'!DF81</f>
        <v>4586243.4239371875</v>
      </c>
      <c r="CO81">
        <f>'Costing 100 Lmin Feed Orig'!DG81</f>
        <v>11794834.586807497</v>
      </c>
      <c r="CP81">
        <f>'Costing 100 Lmin Feed Orig'!DH81</f>
        <v>2275209.1661185985</v>
      </c>
      <c r="CQ81">
        <f>'Costing 100 Lmin Feed Orig'!DI81</f>
        <v>14083914.336508472</v>
      </c>
      <c r="CR81">
        <f>'Costing 100 Lmin Feed Orig'!DJ81</f>
        <v>1662824.8986326549</v>
      </c>
      <c r="CS81">
        <f>CN81*(BK81/10000)^0.72*((A81+1)/3)^0.6*('CAPEX+OPEX'!$G$116/'CAPEX+OPEX'!$G$114)</f>
        <v>847423.79840727116</v>
      </c>
      <c r="CT81">
        <f>CO81*(BK81/10000)^0.72*((A81+1)/3)^0.6*('CAPEX+OPEX'!$G$116/'CAPEX+OPEX'!$G$114)</f>
        <v>2179392.2832288719</v>
      </c>
      <c r="CU81">
        <f>CP81*(BK81/10000)^0.72*((A81+1)/3)^0.6*('CAPEX+OPEX'!$G$116/'CAPEX+OPEX'!$G$114)</f>
        <v>420402.1059283549</v>
      </c>
      <c r="CV81">
        <f>CQ81*(BK81/10000)^0.72*((A81+1)/3)^0.6*('CAPEX+OPEX'!$G$116/'CAPEX+OPEX'!$G$114)</f>
        <v>2602357.3282642425</v>
      </c>
      <c r="CW81">
        <f>CR81*(BK81/10000)^0.72*((A81+1)/3)^0.6*('CAPEX+OPEX'!$G$116/'CAPEX+OPEX'!$G$114)</f>
        <v>307248.71347447456</v>
      </c>
      <c r="CX81">
        <f t="shared" si="35"/>
        <v>6356824.2293032147</v>
      </c>
      <c r="CY81">
        <f>CN81*(BM81/10000)^0.72*((AF81+1)/3)^0.6*('CAPEX+OPEX'!$G$116/'CAPEX+OPEX'!$G$114)</f>
        <v>924869.27650897147</v>
      </c>
      <c r="CZ81">
        <f>CO81*(BM81/10000)^0.72*((AF81+1)/3)^0.6*('CAPEX+OPEX'!$G$116/'CAPEX+OPEX'!$G$114)</f>
        <v>2378565.4450671924</v>
      </c>
      <c r="DA81">
        <f>CP81*(BM81/10000)^0.72*((AF81+1)/3)^0.6*('CAPEX+OPEX'!$G$116/'CAPEX+OPEX'!$G$114)</f>
        <v>458822.36524816178</v>
      </c>
      <c r="DB81">
        <f>CQ81*(BM81/10000)^0.72*((AF81+1)/3)^0.6*('CAPEX+OPEX'!$G$116/'CAPEX+OPEX'!$G$114)</f>
        <v>2840184.9746646415</v>
      </c>
      <c r="DC81">
        <f>CR81*(BM81/10000)^0.72*((AF81+1)/3)^0.6*('CAPEX+OPEX'!$G$116/'CAPEX+OPEX'!$G$114)</f>
        <v>335327.96208170697</v>
      </c>
      <c r="DD81">
        <f t="shared" si="36"/>
        <v>6937770.0235706745</v>
      </c>
      <c r="DE81">
        <f>CX81+DD81+1.15*(SUM(CI81:CL81)+SUM(CB81:CE81))</f>
        <v>13397975.102686051</v>
      </c>
      <c r="DF81">
        <f t="shared" si="37"/>
        <v>893198.34017907013</v>
      </c>
      <c r="DG81">
        <f>(BS81+BT81)*'Oxidant Feed Composition'!$N$25*60*7200</f>
        <v>14807879.917847885</v>
      </c>
      <c r="DH81">
        <f>((CG81+CH81)*'Reagent cost'!$C$17/1000*'Reagent cost'!$H$17+(CG81+CH81)*0.5*'Reagent cost'!$C$16/1000*'Reagent cost'!$H$16)*60*7200</f>
        <v>5901276.0659968043</v>
      </c>
      <c r="DI81">
        <f>CF81*'Reagent cost'!$C$17/1000*'Reagent cost'!$H$17*60*7200</f>
        <v>504921.59999999998</v>
      </c>
      <c r="DJ81">
        <f t="shared" si="38"/>
        <v>112.67474166969532</v>
      </c>
      <c r="DK81">
        <f t="shared" si="39"/>
        <v>1286.5319807008066</v>
      </c>
      <c r="DL81">
        <f t="shared" si="40"/>
        <v>25458572.148680475</v>
      </c>
      <c r="DM81">
        <f>BK81*(B81*(409.81+2)/1000+C81*(248.2+2*22.99)/1000+D81*(315.6+3*22.99)/1000+0.1*58.44/1000)</f>
        <v>0.70639694042110623</v>
      </c>
      <c r="DN81">
        <f>(BS81+BT81)/1000*('Oxidant Feed Composition'!$B$11*'Oxidant Feed Composition'!$O$20+'Oxidant Feed Composition'!$D$11*'Oxidant Feed Composition'!$O$21+'Oxidant Feed Composition'!$F$11*'Oxidant Feed Composition'!$O$27-'Oxidant Feed Composition'!$J$15*18.015)</f>
        <v>2.1472956749992838</v>
      </c>
      <c r="DO81">
        <f>(BU81+BV81)/1000*(0.2*368.34+0.4*58.44)</f>
        <v>1.4869416896893384</v>
      </c>
      <c r="DP81">
        <f>BK81/1000*(B81*195.08+C81*106.42+D81*102.91)</f>
        <v>4.999938342565946E-2</v>
      </c>
      <c r="DQ81">
        <f>SUM(DM81:DO81)-DP81</f>
        <v>4.2906349216840685</v>
      </c>
      <c r="DR81">
        <f>DQ81*60*7200*0.33</f>
        <v>611672.91443528072</v>
      </c>
      <c r="DS81">
        <v>1.2</v>
      </c>
      <c r="DT81">
        <f>BM81/60*(AM81*4+AN81*2+AO81*3)*96485/DV81</f>
        <v>1405.8827911906292</v>
      </c>
      <c r="DU81">
        <f>BN81*BA81*(AP81*4+AQ81*2+AR81*3)*96485/DV81/60</f>
        <v>705.80558246711394</v>
      </c>
      <c r="DV81">
        <v>0.7</v>
      </c>
      <c r="DW81">
        <f>0.499*((BK81/3.78541*15)^(-0.146))*BK81/3.78541*15*300*(1+(A81-2)/9)</f>
        <v>46784.46952433938</v>
      </c>
      <c r="DX81">
        <f>0.248*((BK81/3.78541*15)^(-0.144))*BK81/3.78541*15*300*(1+(A81-2)/3)</f>
        <v>45678.708869524045</v>
      </c>
      <c r="DY81">
        <f>0.105*((BK81/3.78541*15)^(-0.144))*BK81/3.78541*15*300*(1+(A81-2)/3)</f>
        <v>19339.775932661389</v>
      </c>
      <c r="DZ81">
        <f>0.058*((BK81/3.78541*15)^(-0.151))*BK81/3.78541*15*300*(1+(A81-2)/3)</f>
        <v>10244.818866671721</v>
      </c>
      <c r="EA81">
        <f>0.056*((BK81/3.78541*15)^(-0.144))*BK81/3.78541*15*300*(1+(A81-2)/3)</f>
        <v>10314.547164086078</v>
      </c>
      <c r="EB81">
        <f>DS81*DT81/(3.6*10^6)*3600*7200*0.07</f>
        <v>850.27791211209262</v>
      </c>
      <c r="EC81">
        <f>0.499*((BM81/3.78541*15)^(-0.146))*BM81/3.78541*15*300*(1+(AF81-2)/9)</f>
        <v>51427.364195866423</v>
      </c>
      <c r="ED81">
        <f>0.248*((BM81/3.78541*15)^(-0.144))*BM81/3.78541*15*300*(1+(AF81-2)/3)</f>
        <v>54311.474408254369</v>
      </c>
      <c r="EE81">
        <f>0.105*((BM81/3.78541*15)^(-0.144))*BM81/3.78541*15*300*(1+(AF81-2)/3)</f>
        <v>22994.777471236728</v>
      </c>
      <c r="EF81">
        <f>0.058*((BM81/3.78541*15)^(-0.151))*BM81/3.78541*15*300*(1+(AF81-2)/3)</f>
        <v>12187.756432204143</v>
      </c>
      <c r="EG81">
        <f>0.056*((BM81/3.78541*15)^(-0.144))*BM81/3.78541*15*300*(1+(AF81-2)/3)</f>
        <v>12263.881317992924</v>
      </c>
      <c r="EH81">
        <f>DS81*DU81/(3.6*10^6)*3600*7200*0.07</f>
        <v>426.87121627611049</v>
      </c>
      <c r="EI81">
        <f>SUM(DW81:EH81)</f>
        <v>286824.72331122548</v>
      </c>
      <c r="EJ81">
        <f>EI81+DR81+DL81</f>
        <v>26357069.78642698</v>
      </c>
      <c r="EK81">
        <f>EJ81+DF81</f>
        <v>27250268.126606051</v>
      </c>
      <c r="EL81">
        <f>EK81/(BK81*60*7200)</f>
        <v>0.63079324367143641</v>
      </c>
      <c r="EM81">
        <f>EK81/(BM81*(AM81*195.084/1000+AN81*106.42/1000+AO81*102.911/1000)*60*7200)</f>
        <v>2110.2987024349482</v>
      </c>
      <c r="EN81">
        <f>EK81/(BN81*BA81*(AP81*195.084/1000+AQ81*106.42/1000+AR81*102.911/1000)*60*7200)</f>
        <v>3872.9029089250907</v>
      </c>
    </row>
    <row r="82" spans="1:144">
      <c r="A82">
        <f>'Costing 100 Lmin Feed Orig'!A82</f>
        <v>11</v>
      </c>
      <c r="B82">
        <f>'Costing 100 Lmin Feed Orig'!B82</f>
        <v>1.54143585092054E-3</v>
      </c>
      <c r="C82">
        <f>'Costing 100 Lmin Feed Orig'!C82</f>
        <v>1.54143585092054E-3</v>
      </c>
      <c r="D82">
        <f>'Costing 100 Lmin Feed Orig'!D82</f>
        <v>3.4254130020456501E-4</v>
      </c>
      <c r="E82">
        <f>'Costing 100 Lmin Feed Orig'!E82</f>
        <v>0</v>
      </c>
      <c r="F82">
        <f>'Costing 100 Lmin Feed Orig'!F82</f>
        <v>0</v>
      </c>
      <c r="G82">
        <f>'Costing 100 Lmin Feed Orig'!G82</f>
        <v>0</v>
      </c>
      <c r="H82">
        <f>'Costing 100 Lmin Feed Orig'!H82</f>
        <v>1.7771367359861701E-5</v>
      </c>
      <c r="I82">
        <f>'Costing 100 Lmin Feed Orig'!I82</f>
        <v>1.8081057367328801E-10</v>
      </c>
      <c r="J82">
        <f>'Costing 100 Lmin Feed Orig'!J82</f>
        <v>3.3765941525589702E-4</v>
      </c>
      <c r="K82">
        <f>'Costing 100 Lmin Feed Orig'!K82</f>
        <v>0.139102253285185</v>
      </c>
      <c r="L82">
        <f>'Costing 100 Lmin Feed Orig'!L82</f>
        <v>0.14072466572308701</v>
      </c>
      <c r="M82">
        <f>'Costing 100 Lmin Feed Orig'!M82</f>
        <v>4.4568945720355099E-4</v>
      </c>
      <c r="N82">
        <f>'Costing 100 Lmin Feed Orig'!N82</f>
        <v>-8.03393809811758E-16</v>
      </c>
      <c r="O82">
        <f>'Costing 100 Lmin Feed Orig'!O82</f>
        <v>-8.4019770307808202E-13</v>
      </c>
      <c r="P82">
        <f>'Costing 100 Lmin Feed Orig'!P82</f>
        <v>-2.26157796916898E-19</v>
      </c>
      <c r="Q82">
        <f>'Costing 100 Lmin Feed Orig'!Q82</f>
        <v>0.10953557168033</v>
      </c>
      <c r="R82">
        <f>'Costing 100 Lmin Feed Orig'!R82</f>
        <v>98.5748039883795</v>
      </c>
      <c r="S82">
        <f>'Costing 100 Lmin Feed Orig'!S82</f>
        <v>500</v>
      </c>
      <c r="T82">
        <f>'Costing 100 Lmin Feed Orig'!T82</f>
        <v>95</v>
      </c>
      <c r="U82">
        <f>'Costing 100 Lmin Feed Orig'!U82</f>
        <v>1</v>
      </c>
      <c r="V82">
        <f>'Costing 100 Lmin Feed Orig'!V82</f>
        <v>0.1</v>
      </c>
      <c r="W82">
        <f>'Costing 100 Lmin Feed Orig'!W82</f>
        <v>91.294543376138293</v>
      </c>
      <c r="X82" t="str">
        <f>'Costing 100 Lmin Feed Orig'!X82</f>
        <v>ddFc</v>
      </c>
      <c r="Y82">
        <f>'Costing 100 Lmin Feed Orig'!Y82</f>
        <v>1</v>
      </c>
      <c r="Z82">
        <f>'Costing 100 Lmin Feed Orig'!Z82</f>
        <v>0.28318429382522198</v>
      </c>
      <c r="AA82">
        <f>'Costing 100 Lmin Feed Orig'!AA82</f>
        <v>0.56945642916197003</v>
      </c>
      <c r="AB82">
        <f>'Costing 100 Lmin Feed Orig'!AB82</f>
        <v>3.7698628972227502E-3</v>
      </c>
      <c r="AC82">
        <f>'Costing 100 Lmin Feed Orig'!AC82</f>
        <v>1822.2107908876901</v>
      </c>
      <c r="AD82">
        <f>'Costing 100 Lmin Feed Orig'!AD82</f>
        <v>2662.6059073104898</v>
      </c>
      <c r="AE82">
        <f>'Costing 100 Lmin Feed Orig'!AE82</f>
        <v>2401.5030938442701</v>
      </c>
      <c r="AF82">
        <f>'Costing 100 Lmin Feed Orig'!AF82</f>
        <v>4</v>
      </c>
      <c r="AG82">
        <f>'Costing 100 Lmin Feed Orig'!AG82</f>
        <v>1.6497569194096201E-3</v>
      </c>
      <c r="AH82">
        <f>'Costing 100 Lmin Feed Orig'!AH82</f>
        <v>1.6689987798565299E-3</v>
      </c>
      <c r="AI82">
        <f>'Costing 100 Lmin Feed Orig'!AI82</f>
        <v>5.28589040482341E-6</v>
      </c>
      <c r="AJ82">
        <f>'Costing 100 Lmin Feed Orig'!AJ82</f>
        <v>0</v>
      </c>
      <c r="AK82">
        <f>'Costing 100 Lmin Feed Orig'!AK82</f>
        <v>0</v>
      </c>
      <c r="AL82">
        <f>'Costing 100 Lmin Feed Orig'!AL82</f>
        <v>0</v>
      </c>
      <c r="AM82">
        <f>'Costing 100 Lmin Feed Orig'!AM82</f>
        <v>1.6048442786411501E-3</v>
      </c>
      <c r="AN82">
        <f>'Costing 100 Lmin Feed Orig'!AN82</f>
        <v>7.9221543426505204E-5</v>
      </c>
      <c r="AO82">
        <f>'Costing 100 Lmin Feed Orig'!AO82</f>
        <v>5.2439449251215197E-6</v>
      </c>
      <c r="AP82">
        <f>'Costing 100 Lmin Feed Orig'!AP82</f>
        <v>1.9874086219128402E-3</v>
      </c>
      <c r="AQ82">
        <f>'Costing 100 Lmin Feed Orig'!AQ82</f>
        <v>7.0348501715363707E-2</v>
      </c>
      <c r="AR82">
        <f>'Costing 100 Lmin Feed Orig'!AR82</f>
        <v>1.8561101411739801E-6</v>
      </c>
      <c r="AS82">
        <f>'Costing 100 Lmin Feed Orig'!AS82</f>
        <v>-9.4923594267000406E-15</v>
      </c>
      <c r="AT82">
        <f>'Costing 100 Lmin Feed Orig'!AT82</f>
        <v>-1.2240620843317799E-13</v>
      </c>
      <c r="AU82">
        <f>'Costing 100 Lmin Feed Orig'!AU82</f>
        <v>-3.0355146200531901E-18</v>
      </c>
      <c r="AV82">
        <f>'Costing 100 Lmin Feed Orig'!AV82</f>
        <v>0.20871362817040201</v>
      </c>
      <c r="AW82">
        <f>'Costing 100 Lmin Feed Orig'!AW82</f>
        <v>99.206463311013493</v>
      </c>
      <c r="AX82">
        <f>'Costing 100 Lmin Feed Orig'!AX82</f>
        <v>500</v>
      </c>
      <c r="AY82">
        <f>'Costing 100 Lmin Feed Orig'!AY82</f>
        <v>95</v>
      </c>
      <c r="AZ82">
        <f>'Costing 100 Lmin Feed Orig'!AZ82</f>
        <v>0.92356908198738696</v>
      </c>
      <c r="BA82">
        <f>'Costing 100 Lmin Feed Orig'!BA82</f>
        <v>0.1</v>
      </c>
      <c r="BB82">
        <f>'Costing 100 Lmin Feed Orig'!BB82</f>
        <v>44.250540325682302</v>
      </c>
      <c r="BC82" t="str">
        <f>'Costing 100 Lmin Feed Orig'!BC82</f>
        <v>coeFc</v>
      </c>
      <c r="BD82">
        <f>'Costing 100 Lmin Feed Orig'!BD82</f>
        <v>1</v>
      </c>
      <c r="BE82">
        <f>'Costing 100 Lmin Feed Orig'!BE82</f>
        <v>1.8775014999999999E-2</v>
      </c>
      <c r="BF82">
        <f>'Costing 100 Lmin Feed Orig'!BF82</f>
        <v>0.10492961100000001</v>
      </c>
      <c r="BG82">
        <f>'Costing 100 Lmin Feed Orig'!BG82</f>
        <v>1.814625E-3</v>
      </c>
      <c r="BH82">
        <f>'Costing 100 Lmin Feed Orig'!BH82</f>
        <v>285.1951444</v>
      </c>
      <c r="BI82">
        <f>'Costing 100 Lmin Feed Orig'!BI82</f>
        <v>2169.8944889999998</v>
      </c>
      <c r="BJ82">
        <f>'Costing 100 Lmin Feed Orig'!BJ82</f>
        <v>866.49409060000005</v>
      </c>
      <c r="BK82">
        <f>'Costing 100 Lmin Feed Orig'!BK82</f>
        <v>100</v>
      </c>
      <c r="BL82">
        <f>'Costing 100 Lmin Feed Orig'!BL82</f>
        <v>10.953557168032999</v>
      </c>
      <c r="BM82">
        <f>'Costing 100 Lmin Feed Orig'!BM82</f>
        <v>92.356908198738694</v>
      </c>
      <c r="BN82">
        <f>'Costing 100 Lmin Feed Orig'!BN82</f>
        <v>20.8713628170402</v>
      </c>
      <c r="BO82">
        <f t="shared" si="22"/>
        <v>284.79248636885796</v>
      </c>
      <c r="BP82">
        <f t="shared" si="23"/>
        <v>250.4563538044824</v>
      </c>
      <c r="BQ82">
        <f t="shared" si="24"/>
        <v>28.479248636885799</v>
      </c>
      <c r="BR82">
        <f t="shared" si="25"/>
        <v>25.045635380448243</v>
      </c>
      <c r="BS82">
        <f>1.2*0.5*BL82*V82/'Oxidant Feed Composition'!$N$22</f>
        <v>6.5721343008197994</v>
      </c>
      <c r="BT82">
        <f>1.2*0.5*BN82*BA82/'Oxidant Feed Composition'!$N$22</f>
        <v>12.52281769022412</v>
      </c>
      <c r="BU82">
        <f t="shared" si="26"/>
        <v>5.4767785840164995</v>
      </c>
      <c r="BV82">
        <f t="shared" si="27"/>
        <v>10.4356814085201</v>
      </c>
      <c r="BW82">
        <f t="shared" si="28"/>
        <v>86.880129614722193</v>
      </c>
      <c r="BX82">
        <f t="shared" si="21"/>
        <v>35.051382937705597</v>
      </c>
      <c r="BY82">
        <f t="shared" si="29"/>
        <v>206.62093073354339</v>
      </c>
      <c r="BZ82">
        <f t="shared" si="30"/>
        <v>66.788361014528647</v>
      </c>
      <c r="CA82">
        <f t="shared" si="31"/>
        <v>62.614088451120601</v>
      </c>
      <c r="CB82">
        <f>BO82*'Reagent cost'!$G$11*'Reagent cost'!$H$11</f>
        <v>3759.2608200689256</v>
      </c>
      <c r="CC82">
        <f>BP82*'Reagent cost'!$G$11*'Reagent cost'!$H$11</f>
        <v>3306.0238702191682</v>
      </c>
      <c r="CD82">
        <f>BQ82*'Reagent cost'!$C$18/1000*'Reagent cost'!$H$18</f>
        <v>4541.8834647976191</v>
      </c>
      <c r="CE82">
        <f>BR82*'Ligand cost'!$B$56*'Ligand cost'!$J$56</f>
        <v>25499.65594478586</v>
      </c>
      <c r="CF82">
        <f t="shared" si="32"/>
        <v>10</v>
      </c>
      <c r="CG82">
        <f t="shared" si="33"/>
        <v>2.1907114336065998</v>
      </c>
      <c r="CH82">
        <f t="shared" si="34"/>
        <v>4.1742725634080404</v>
      </c>
      <c r="CI82">
        <f>7963.6*(BX82/1000)^0.6*1.7*('CAPEX+OPEX'!$G$116/'CAPEX+OPEX'!$G$115)</f>
        <v>2138.2772847076108</v>
      </c>
      <c r="CJ82">
        <f>7963.6*(BY82/1000)^0.6*1.7*('CAPEX+OPEX'!$G$116/'CAPEX+OPEX'!$G$115)</f>
        <v>6199.3408604999822</v>
      </c>
      <c r="CK82">
        <f>7963.6*(BZ82/1000)^0.6*1.7*('CAPEX+OPEX'!$G$116/'CAPEX+OPEX'!$G$115)</f>
        <v>3148.193366381196</v>
      </c>
      <c r="CL82">
        <f>7963.6*(CA82/1000)^0.6*1.7*('CAPEX+OPEX'!$G$116/'CAPEX+OPEX'!$G$115)</f>
        <v>3028.6156718298857</v>
      </c>
      <c r="CM82">
        <f>'Costing 100 Lmin Feed Orig'!DE82</f>
        <v>39625.826528698344</v>
      </c>
      <c r="CN82">
        <f>'Costing 100 Lmin Feed Orig'!DF82</f>
        <v>4586243.4239371875</v>
      </c>
      <c r="CO82">
        <f>'Costing 100 Lmin Feed Orig'!DG82</f>
        <v>11794834.586807497</v>
      </c>
      <c r="CP82">
        <f>'Costing 100 Lmin Feed Orig'!DH82</f>
        <v>2275209.1661185985</v>
      </c>
      <c r="CQ82">
        <f>'Costing 100 Lmin Feed Orig'!DI82</f>
        <v>14083914.336508472</v>
      </c>
      <c r="CR82">
        <f>'Costing 100 Lmin Feed Orig'!DJ82</f>
        <v>1662824.8986326549</v>
      </c>
      <c r="CS82">
        <f>CN82*(BK82/10000)^0.72*((A82+1)/3)^0.6*('CAPEX+OPEX'!$G$116/'CAPEX+OPEX'!$G$114)</f>
        <v>892840.31653984461</v>
      </c>
      <c r="CT82">
        <f>CO82*(BK82/10000)^0.72*((A82+1)/3)^0.6*('CAPEX+OPEX'!$G$116/'CAPEX+OPEX'!$G$114)</f>
        <v>2296193.8284949926</v>
      </c>
      <c r="CU82">
        <f>CP82*(BK82/10000)^0.72*((A82+1)/3)^0.6*('CAPEX+OPEX'!$G$116/'CAPEX+OPEX'!$G$114)</f>
        <v>442932.9811560188</v>
      </c>
      <c r="CV82">
        <f>CQ82*(BK82/10000)^0.72*((A82+1)/3)^0.6*('CAPEX+OPEX'!$G$116/'CAPEX+OPEX'!$G$114)</f>
        <v>2741827.1059701391</v>
      </c>
      <c r="CW82">
        <f>CR82*(BK82/10000)^0.72*((A82+1)/3)^0.6*('CAPEX+OPEX'!$G$116/'CAPEX+OPEX'!$G$114)</f>
        <v>323715.28756992728</v>
      </c>
      <c r="CX82">
        <f t="shared" si="35"/>
        <v>6697509.5197309218</v>
      </c>
      <c r="CY82">
        <f>CN82*(BM82/10000)^0.72*((AF82+1)/3)^0.6*('CAPEX+OPEX'!$G$116/'CAPEX+OPEX'!$G$114)</f>
        <v>498637.57922471326</v>
      </c>
      <c r="CZ82">
        <f>CO82*(BM82/10000)^0.72*((AF82+1)/3)^0.6*('CAPEX+OPEX'!$G$116/'CAPEX+OPEX'!$G$114)</f>
        <v>1282388.9231489168</v>
      </c>
      <c r="DA82">
        <f>CP82*(BM82/10000)^0.72*((AF82+1)/3)^0.6*('CAPEX+OPEX'!$G$116/'CAPEX+OPEX'!$G$114)</f>
        <v>247371.254849205</v>
      </c>
      <c r="DB82">
        <f>CQ82*(BM82/10000)^0.72*((AF82+1)/3)^0.6*('CAPEX+OPEX'!$G$116/'CAPEX+OPEX'!$G$114)</f>
        <v>1531268.2519446225</v>
      </c>
      <c r="DC82">
        <f>CR82*(BM82/10000)^0.72*((AF82+1)/3)^0.6*('CAPEX+OPEX'!$G$116/'CAPEX+OPEX'!$G$114)</f>
        <v>180790.00730775911</v>
      </c>
      <c r="DD82">
        <f t="shared" si="36"/>
        <v>3740456.016475217</v>
      </c>
      <c r="DE82">
        <f>CX82+DD82+1.15*(SUM(CI82:CL82)+SUM(CB82:CE82))</f>
        <v>10497329.975181922</v>
      </c>
      <c r="DF82">
        <f t="shared" si="37"/>
        <v>699821.99834546144</v>
      </c>
      <c r="DG82">
        <f>(BS82+BT82)*'Oxidant Feed Composition'!$N$25*60*7200</f>
        <v>15378180.702054361</v>
      </c>
      <c r="DH82">
        <f>((CG82+CH82)*'Reagent cost'!$C$17/1000*'Reagent cost'!$H$17+(CG82+CH82)*0.5*'Reagent cost'!$C$16/1000*'Reagent cost'!$H$16)*60*7200</f>
        <v>6128553.865852572</v>
      </c>
      <c r="DI82">
        <f>CF82*'Reagent cost'!$C$17/1000*'Reagent cost'!$H$17*60*7200</f>
        <v>504921.59999999998</v>
      </c>
      <c r="DJ82">
        <f t="shared" si="38"/>
        <v>70.652846902880938</v>
      </c>
      <c r="DK82">
        <f t="shared" si="39"/>
        <v>600.83078819166963</v>
      </c>
      <c r="DL82">
        <f t="shared" si="40"/>
        <v>26414793.18185043</v>
      </c>
      <c r="DM82">
        <f>BK82*(B82*(409.81+2)/1000+C82*(248.2+2*22.99)/1000+D82*(315.6+3*22.99)/1000+0.1*58.44/1000)</f>
        <v>0.70639694042110623</v>
      </c>
      <c r="DN82">
        <f>(BS82+BT82)/1000*('Oxidant Feed Composition'!$B$11*'Oxidant Feed Composition'!$O$20+'Oxidant Feed Composition'!$D$11*'Oxidant Feed Composition'!$O$21+'Oxidant Feed Composition'!$F$11*'Oxidant Feed Composition'!$O$27-'Oxidant Feed Composition'!$J$15*18.015)</f>
        <v>2.2299951845961479</v>
      </c>
      <c r="DO82">
        <f>(BU82+BV82)/1000*(0.2*368.34+0.4*58.44)</f>
        <v>1.5442087675157219</v>
      </c>
      <c r="DP82">
        <f>BK82/1000*(B82*195.08+C82*106.42+D82*102.91)</f>
        <v>4.999938342565946E-2</v>
      </c>
      <c r="DQ82">
        <f>SUM(DM82:DO82)-DP82</f>
        <v>4.4306015091073165</v>
      </c>
      <c r="DR82">
        <f>DQ82*60*7200*0.33</f>
        <v>631626.55113833898</v>
      </c>
      <c r="DS82">
        <v>1.2</v>
      </c>
      <c r="DT82">
        <f>BM82/60*(AM82*4+AN82*2+AO82*3)*96485/DV82</f>
        <v>1398.9407935581069</v>
      </c>
      <c r="DU82">
        <f>BN82*BA82*(AP82*4+AQ82*2+AR82*3)*96485/DV82/60</f>
        <v>712.74253559444992</v>
      </c>
      <c r="DV82">
        <v>0.7</v>
      </c>
      <c r="DW82">
        <f>0.499*((BK82/3.78541*15)^(-0.146))*BK82/3.78541*15*300*(1+(A82-2)/9)</f>
        <v>49536.497143418172</v>
      </c>
      <c r="DX82">
        <f>0.248*((BK82/3.78541*15)^(-0.144))*BK82/3.78541*15*300*(1+(A82-2)/3)</f>
        <v>49831.318766753509</v>
      </c>
      <c r="DY82">
        <f>0.105*((BK82/3.78541*15)^(-0.144))*BK82/3.78541*15*300*(1+(A82-2)/3)</f>
        <v>21097.937381085154</v>
      </c>
      <c r="DZ82">
        <f>0.058*((BK82/3.78541*15)^(-0.151))*BK82/3.78541*15*300*(1+(A82-2)/3)</f>
        <v>11176.166036369152</v>
      </c>
      <c r="EA82">
        <f>0.056*((BK82/3.78541*15)^(-0.144))*BK82/3.78541*15*300*(1+(A82-2)/3)</f>
        <v>11252.233269912085</v>
      </c>
      <c r="EB82">
        <f>DS82*DT82/(3.6*10^6)*3600*7200*0.07</f>
        <v>846.07939194394294</v>
      </c>
      <c r="EC82">
        <f>0.499*((BM82/3.78541*15)^(-0.146))*BM82/3.78541*15*300*(1+(AF82-2)/9)</f>
        <v>28285.00948539532</v>
      </c>
      <c r="ED82">
        <f>0.248*((BM82/3.78541*15)^(-0.144))*BM82/3.78541*15*300*(1+(AF82-2)/3)</f>
        <v>19396.927085634903</v>
      </c>
      <c r="EE82">
        <f>0.105*((BM82/3.78541*15)^(-0.144))*BM82/3.78541*15*300*(1+(AF82-2)/3)</f>
        <v>8212.4086451276798</v>
      </c>
      <c r="EF82">
        <f>0.058*((BM82/3.78541*15)^(-0.151))*BM82/3.78541*15*300*(1+(AF82-2)/3)</f>
        <v>4352.763909014071</v>
      </c>
      <c r="EG82">
        <f>0.056*((BM82/3.78541*15)^(-0.144))*BM82/3.78541*15*300*(1+(AF82-2)/3)</f>
        <v>4379.9512774014302</v>
      </c>
      <c r="EH82">
        <f>DS82*DU82/(3.6*10^6)*3600*7200*0.07</f>
        <v>431.06668552752325</v>
      </c>
      <c r="EI82">
        <f>SUM(DW82:EH82)</f>
        <v>208798.35907758295</v>
      </c>
      <c r="EJ82">
        <f>EI82+DR82+DL82</f>
        <v>27255218.092066351</v>
      </c>
      <c r="EK82">
        <f>EJ82+DF82</f>
        <v>27955040.090411812</v>
      </c>
      <c r="EL82">
        <f>EK82/(BK82*60*7200)</f>
        <v>0.64710740950027346</v>
      </c>
      <c r="EM82">
        <f>EK82/(BM82*(AM82*195.084/1000+AN82*106.42/1000+AO82*102.911/1000)*60*7200)</f>
        <v>2175.6241727278352</v>
      </c>
      <c r="EN82">
        <f>EK82/(BN82*BA82*(AP82*195.084/1000+AQ82*106.42/1000+AR82*102.911/1000)*60*7200)</f>
        <v>3937.3918122004843</v>
      </c>
    </row>
    <row r="83" spans="1:144">
      <c r="A83">
        <f>'Costing 100 Lmin Feed Orig'!A83</f>
        <v>11</v>
      </c>
      <c r="B83">
        <f>'Costing 100 Lmin Feed Orig'!B83</f>
        <v>1.54143585092054E-3</v>
      </c>
      <c r="C83">
        <f>'Costing 100 Lmin Feed Orig'!C83</f>
        <v>1.54143585092054E-3</v>
      </c>
      <c r="D83">
        <f>'Costing 100 Lmin Feed Orig'!D83</f>
        <v>3.4254130020456501E-4</v>
      </c>
      <c r="E83">
        <f>'Costing 100 Lmin Feed Orig'!E83</f>
        <v>0</v>
      </c>
      <c r="F83">
        <f>'Costing 100 Lmin Feed Orig'!F83</f>
        <v>0</v>
      </c>
      <c r="G83">
        <f>'Costing 100 Lmin Feed Orig'!G83</f>
        <v>0</v>
      </c>
      <c r="H83">
        <f>'Costing 100 Lmin Feed Orig'!H83</f>
        <v>1.7771367359861701E-5</v>
      </c>
      <c r="I83">
        <f>'Costing 100 Lmin Feed Orig'!I83</f>
        <v>1.8081057367328801E-10</v>
      </c>
      <c r="J83">
        <f>'Costing 100 Lmin Feed Orig'!J83</f>
        <v>3.3765941525589702E-4</v>
      </c>
      <c r="K83">
        <f>'Costing 100 Lmin Feed Orig'!K83</f>
        <v>0.139102253285185</v>
      </c>
      <c r="L83">
        <f>'Costing 100 Lmin Feed Orig'!L83</f>
        <v>0.14072466572308701</v>
      </c>
      <c r="M83">
        <f>'Costing 100 Lmin Feed Orig'!M83</f>
        <v>4.4568945720355099E-4</v>
      </c>
      <c r="N83">
        <f>'Costing 100 Lmin Feed Orig'!N83</f>
        <v>-8.03393809811758E-16</v>
      </c>
      <c r="O83">
        <f>'Costing 100 Lmin Feed Orig'!O83</f>
        <v>-8.4019770307808202E-13</v>
      </c>
      <c r="P83">
        <f>'Costing 100 Lmin Feed Orig'!P83</f>
        <v>-2.26157796916898E-19</v>
      </c>
      <c r="Q83">
        <f>'Costing 100 Lmin Feed Orig'!Q83</f>
        <v>0.10953557168033</v>
      </c>
      <c r="R83">
        <f>'Costing 100 Lmin Feed Orig'!R83</f>
        <v>98.5748039883795</v>
      </c>
      <c r="S83">
        <f>'Costing 100 Lmin Feed Orig'!S83</f>
        <v>500</v>
      </c>
      <c r="T83">
        <f>'Costing 100 Lmin Feed Orig'!T83</f>
        <v>95</v>
      </c>
      <c r="U83">
        <f>'Costing 100 Lmin Feed Orig'!U83</f>
        <v>1</v>
      </c>
      <c r="V83">
        <f>'Costing 100 Lmin Feed Orig'!V83</f>
        <v>0.1</v>
      </c>
      <c r="W83">
        <f>'Costing 100 Lmin Feed Orig'!W83</f>
        <v>91.294543376138293</v>
      </c>
      <c r="X83" t="str">
        <f>'Costing 100 Lmin Feed Orig'!X83</f>
        <v>ddFc</v>
      </c>
      <c r="Y83">
        <f>'Costing 100 Lmin Feed Orig'!Y83</f>
        <v>1</v>
      </c>
      <c r="Z83">
        <f>'Costing 100 Lmin Feed Orig'!Z83</f>
        <v>0.28318429382522198</v>
      </c>
      <c r="AA83">
        <f>'Costing 100 Lmin Feed Orig'!AA83</f>
        <v>0.56945642916197003</v>
      </c>
      <c r="AB83">
        <f>'Costing 100 Lmin Feed Orig'!AB83</f>
        <v>3.7698628972227502E-3</v>
      </c>
      <c r="AC83">
        <f>'Costing 100 Lmin Feed Orig'!AC83</f>
        <v>1822.2107908876901</v>
      </c>
      <c r="AD83">
        <f>'Costing 100 Lmin Feed Orig'!AD83</f>
        <v>2662.6059073104898</v>
      </c>
      <c r="AE83">
        <f>'Costing 100 Lmin Feed Orig'!AE83</f>
        <v>2401.5030938442701</v>
      </c>
      <c r="AF83">
        <f>'Costing 100 Lmin Feed Orig'!AF83</f>
        <v>5</v>
      </c>
      <c r="AG83">
        <f>'Costing 100 Lmin Feed Orig'!AG83</f>
        <v>1.6497569194096201E-3</v>
      </c>
      <c r="AH83">
        <f>'Costing 100 Lmin Feed Orig'!AH83</f>
        <v>1.6689987798565299E-3</v>
      </c>
      <c r="AI83">
        <f>'Costing 100 Lmin Feed Orig'!AI83</f>
        <v>5.28589040482341E-6</v>
      </c>
      <c r="AJ83">
        <f>'Costing 100 Lmin Feed Orig'!AJ83</f>
        <v>0</v>
      </c>
      <c r="AK83">
        <f>'Costing 100 Lmin Feed Orig'!AK83</f>
        <v>0</v>
      </c>
      <c r="AL83">
        <f>'Costing 100 Lmin Feed Orig'!AL83</f>
        <v>0</v>
      </c>
      <c r="AM83">
        <f>'Costing 100 Lmin Feed Orig'!AM83</f>
        <v>1.6104460290619601E-3</v>
      </c>
      <c r="AN83">
        <f>'Costing 100 Lmin Feed Orig'!AN83</f>
        <v>7.9511320807382698E-5</v>
      </c>
      <c r="AO83">
        <f>'Costing 100 Lmin Feed Orig'!AO83</f>
        <v>5.2489965417355999E-6</v>
      </c>
      <c r="AP83">
        <f>'Costing 100 Lmin Feed Orig'!AP83</f>
        <v>1.8118142403982199E-3</v>
      </c>
      <c r="AQ83">
        <f>'Costing 100 Lmin Feed Orig'!AQ83</f>
        <v>7.3258478446211001E-2</v>
      </c>
      <c r="AR83">
        <f>'Costing 100 Lmin Feed Orig'!AR83</f>
        <v>1.7004149724062101E-6</v>
      </c>
      <c r="AS83">
        <f>'Costing 100 Lmin Feed Orig'!AS83</f>
        <v>-4.4892746204477899E-17</v>
      </c>
      <c r="AT83">
        <f>'Costing 100 Lmin Feed Orig'!AT83</f>
        <v>1.89301699315969E-16</v>
      </c>
      <c r="AU83">
        <f>'Costing 100 Lmin Feed Orig'!AU83</f>
        <v>-3.52775987641615E-20</v>
      </c>
      <c r="AV83">
        <f>'Costing 100 Lmin Feed Orig'!AV83</f>
        <v>0.200386563373979</v>
      </c>
      <c r="AW83">
        <f>'Costing 100 Lmin Feed Orig'!AW83</f>
        <v>99.302031251836993</v>
      </c>
      <c r="AX83">
        <f>'Costing 100 Lmin Feed Orig'!AX83</f>
        <v>500</v>
      </c>
      <c r="AY83">
        <f>'Costing 100 Lmin Feed Orig'!AY83</f>
        <v>95</v>
      </c>
      <c r="AZ83">
        <f>'Costing 100 Lmin Feed Orig'!AZ83</f>
        <v>0.92356908198738696</v>
      </c>
      <c r="BA83">
        <f>'Costing 100 Lmin Feed Orig'!BA83</f>
        <v>0.1</v>
      </c>
      <c r="BB83">
        <f>'Costing 100 Lmin Feed Orig'!BB83</f>
        <v>46.089371784062003</v>
      </c>
      <c r="BC83" t="str">
        <f>'Costing 100 Lmin Feed Orig'!BC83</f>
        <v>coeFc</v>
      </c>
      <c r="BD83">
        <f>'Costing 100 Lmin Feed Orig'!BD83</f>
        <v>1</v>
      </c>
      <c r="BE83">
        <f>'Costing 100 Lmin Feed Orig'!BE83</f>
        <v>1.8775014999999999E-2</v>
      </c>
      <c r="BF83">
        <f>'Costing 100 Lmin Feed Orig'!BF83</f>
        <v>0.10492961100000001</v>
      </c>
      <c r="BG83">
        <f>'Costing 100 Lmin Feed Orig'!BG83</f>
        <v>1.814625E-3</v>
      </c>
      <c r="BH83">
        <f>'Costing 100 Lmin Feed Orig'!BH83</f>
        <v>285.1951444</v>
      </c>
      <c r="BI83">
        <f>'Costing 100 Lmin Feed Orig'!BI83</f>
        <v>2169.8944889999998</v>
      </c>
      <c r="BJ83">
        <f>'Costing 100 Lmin Feed Orig'!BJ83</f>
        <v>866.49409060000005</v>
      </c>
      <c r="BK83">
        <f>'Costing 100 Lmin Feed Orig'!BK83</f>
        <v>100</v>
      </c>
      <c r="BL83">
        <f>'Costing 100 Lmin Feed Orig'!BL83</f>
        <v>10.953557168032999</v>
      </c>
      <c r="BM83">
        <f>'Costing 100 Lmin Feed Orig'!BM83</f>
        <v>92.356908198738694</v>
      </c>
      <c r="BN83">
        <f>'Costing 100 Lmin Feed Orig'!BN83</f>
        <v>20.038656337397899</v>
      </c>
      <c r="BO83">
        <f t="shared" si="22"/>
        <v>284.79248636885796</v>
      </c>
      <c r="BP83">
        <f t="shared" si="23"/>
        <v>280.5411887235706</v>
      </c>
      <c r="BQ83">
        <f t="shared" si="24"/>
        <v>28.479248636885799</v>
      </c>
      <c r="BR83">
        <f t="shared" si="25"/>
        <v>28.054118872357062</v>
      </c>
      <c r="BS83">
        <f>1.2*0.5*BL83*V83/'Oxidant Feed Composition'!$N$22</f>
        <v>6.5721343008197994</v>
      </c>
      <c r="BT83">
        <f>1.2*0.5*BN83*BA83/'Oxidant Feed Composition'!$N$22</f>
        <v>12.023193802438739</v>
      </c>
      <c r="BU83">
        <f t="shared" si="26"/>
        <v>5.4767785840164995</v>
      </c>
      <c r="BV83">
        <f t="shared" si="27"/>
        <v>10.01932816869895</v>
      </c>
      <c r="BW83">
        <f t="shared" si="28"/>
        <v>86.880129614722193</v>
      </c>
      <c r="BX83">
        <f t="shared" si="21"/>
        <v>35.051382937705597</v>
      </c>
      <c r="BY83">
        <f t="shared" si="29"/>
        <v>206.62093073354339</v>
      </c>
      <c r="BZ83">
        <f t="shared" si="30"/>
        <v>64.123700279673272</v>
      </c>
      <c r="CA83">
        <f t="shared" si="31"/>
        <v>60.115969012193702</v>
      </c>
      <c r="CB83">
        <f>BO83*'Reagent cost'!$G$11*'Reagent cost'!$H$11</f>
        <v>3759.2608200689256</v>
      </c>
      <c r="CC83">
        <f>BP83*'Reagent cost'!$G$11*'Reagent cost'!$H$11</f>
        <v>3703.1436911511319</v>
      </c>
      <c r="CD83">
        <f>BQ83*'Reagent cost'!$C$18/1000*'Reagent cost'!$H$18</f>
        <v>4541.8834647976191</v>
      </c>
      <c r="CE83">
        <f>BR83*'Ligand cost'!$B$56*'Ligand cost'!$J$56</f>
        <v>28562.676418969168</v>
      </c>
      <c r="CF83">
        <f t="shared" si="32"/>
        <v>10</v>
      </c>
      <c r="CG83">
        <f t="shared" si="33"/>
        <v>2.1907114336065998</v>
      </c>
      <c r="CH83">
        <f t="shared" si="34"/>
        <v>4.0077312674795804</v>
      </c>
      <c r="CI83">
        <f>7963.6*(BX83/1000)^0.6*1.7*('CAPEX+OPEX'!$G$116/'CAPEX+OPEX'!$G$115)</f>
        <v>2138.2772847076108</v>
      </c>
      <c r="CJ83">
        <f>7963.6*(BY83/1000)^0.6*1.7*('CAPEX+OPEX'!$G$116/'CAPEX+OPEX'!$G$115)</f>
        <v>6199.3408604999822</v>
      </c>
      <c r="CK83">
        <f>7963.6*(BZ83/1000)^0.6*1.7*('CAPEX+OPEX'!$G$116/'CAPEX+OPEX'!$G$115)</f>
        <v>3072.218310067838</v>
      </c>
      <c r="CL83">
        <f>7963.6*(CA83/1000)^0.6*1.7*('CAPEX+OPEX'!$G$116/'CAPEX+OPEX'!$G$115)</f>
        <v>2955.5263728446439</v>
      </c>
      <c r="CM83">
        <f>'Costing 100 Lmin Feed Orig'!DE83</f>
        <v>39625.826528698344</v>
      </c>
      <c r="CN83">
        <f>'Costing 100 Lmin Feed Orig'!DF83</f>
        <v>4586243.4239371875</v>
      </c>
      <c r="CO83">
        <f>'Costing 100 Lmin Feed Orig'!DG83</f>
        <v>11794834.586807497</v>
      </c>
      <c r="CP83">
        <f>'Costing 100 Lmin Feed Orig'!DH83</f>
        <v>2275209.1661185985</v>
      </c>
      <c r="CQ83">
        <f>'Costing 100 Lmin Feed Orig'!DI83</f>
        <v>14083914.336508472</v>
      </c>
      <c r="CR83">
        <f>'Costing 100 Lmin Feed Orig'!DJ83</f>
        <v>1662824.8986326549</v>
      </c>
      <c r="CS83">
        <f>CN83*(BK83/10000)^0.72*((A83+1)/3)^0.6*('CAPEX+OPEX'!$G$116/'CAPEX+OPEX'!$G$114)</f>
        <v>892840.31653984461</v>
      </c>
      <c r="CT83">
        <f>CO83*(BK83/10000)^0.72*((A83+1)/3)^0.6*('CAPEX+OPEX'!$G$116/'CAPEX+OPEX'!$G$114)</f>
        <v>2296193.8284949926</v>
      </c>
      <c r="CU83">
        <f>CP83*(BK83/10000)^0.72*((A83+1)/3)^0.6*('CAPEX+OPEX'!$G$116/'CAPEX+OPEX'!$G$114)</f>
        <v>442932.9811560188</v>
      </c>
      <c r="CV83">
        <f>CQ83*(BK83/10000)^0.72*((A83+1)/3)^0.6*('CAPEX+OPEX'!$G$116/'CAPEX+OPEX'!$G$114)</f>
        <v>2741827.1059701391</v>
      </c>
      <c r="CW83">
        <f>CR83*(BK83/10000)^0.72*((A83+1)/3)^0.6*('CAPEX+OPEX'!$G$116/'CAPEX+OPEX'!$G$114)</f>
        <v>323715.28756992728</v>
      </c>
      <c r="CX83">
        <f t="shared" si="35"/>
        <v>6697509.5197309218</v>
      </c>
      <c r="CY83">
        <f>CN83*(BM83/10000)^0.72*((AF83+1)/3)^0.6*('CAPEX+OPEX'!$G$116/'CAPEX+OPEX'!$G$114)</f>
        <v>556280.39340094617</v>
      </c>
      <c r="CZ83">
        <f>CO83*(BM83/10000)^0.72*((AF83+1)/3)^0.6*('CAPEX+OPEX'!$G$116/'CAPEX+OPEX'!$G$114)</f>
        <v>1430633.8799643754</v>
      </c>
      <c r="DA83">
        <f>CP83*(BM83/10000)^0.72*((AF83+1)/3)^0.6*('CAPEX+OPEX'!$G$116/'CAPEX+OPEX'!$G$114)</f>
        <v>275967.52570786065</v>
      </c>
      <c r="DB83">
        <f>CQ83*(BM83/10000)^0.72*((AF83+1)/3)^0.6*('CAPEX+OPEX'!$G$116/'CAPEX+OPEX'!$G$114)</f>
        <v>1708283.8139045672</v>
      </c>
      <c r="DC83">
        <f>CR83*(BM83/10000)^0.72*((AF83+1)/3)^0.6*('CAPEX+OPEX'!$G$116/'CAPEX+OPEX'!$G$114)</f>
        <v>201689.4445550761</v>
      </c>
      <c r="DD83">
        <f t="shared" si="36"/>
        <v>4172855.0575328255</v>
      </c>
      <c r="DE83">
        <f>CX83+DD83+1.15*(SUM(CI83:CL83)+SUM(CB83:CE83))</f>
        <v>10933536.75357032</v>
      </c>
      <c r="DF83">
        <f t="shared" si="37"/>
        <v>728902.45023802132</v>
      </c>
      <c r="DG83">
        <f>(BS83+BT83)*'Oxidant Feed Composition'!$N$25*60*7200</f>
        <v>14975807.004910203</v>
      </c>
      <c r="DH83">
        <f>((CG83+CH83)*'Reagent cost'!$C$17/1000*'Reagent cost'!$H$17+(CG83+CH83)*0.5*'Reagent cost'!$C$16/1000*'Reagent cost'!$H$16)*60*7200</f>
        <v>5968198.8196395468</v>
      </c>
      <c r="DI83">
        <f>CF83*'Reagent cost'!$C$17/1000*'Reagent cost'!$H$17*60*7200</f>
        <v>504921.59999999998</v>
      </c>
      <c r="DJ83">
        <f t="shared" si="38"/>
        <v>74.624045112200577</v>
      </c>
      <c r="DK83">
        <f t="shared" si="39"/>
        <v>662.09119767533571</v>
      </c>
      <c r="DL83">
        <f t="shared" si="40"/>
        <v>25739596.967751045</v>
      </c>
      <c r="DM83">
        <f>BK83*(B83*(409.81+2)/1000+C83*(248.2+2*22.99)/1000+D83*(315.6+3*22.99)/1000+0.1*58.44/1000)</f>
        <v>0.70639694042110623</v>
      </c>
      <c r="DN83">
        <f>(BS83+BT83)/1000*('Oxidant Feed Composition'!$B$11*'Oxidant Feed Composition'!$O$20+'Oxidant Feed Composition'!$D$11*'Oxidant Feed Composition'!$O$21+'Oxidant Feed Composition'!$F$11*'Oxidant Feed Composition'!$O$27-'Oxidant Feed Composition'!$J$15*18.015)</f>
        <v>2.1716468386881207</v>
      </c>
      <c r="DO83">
        <f>(BU83+BV83)/1000*(0.2*368.34+0.4*58.44)</f>
        <v>1.5038041837105178</v>
      </c>
      <c r="DP83">
        <f>BK83/1000*(B83*195.08+C83*106.42+D83*102.91)</f>
        <v>4.999938342565946E-2</v>
      </c>
      <c r="DQ83">
        <f>SUM(DM83:DO83)-DP83</f>
        <v>4.3318485793940846</v>
      </c>
      <c r="DR83">
        <f>DQ83*60*7200*0.33</f>
        <v>617548.33347842062</v>
      </c>
      <c r="DS83">
        <v>1.2</v>
      </c>
      <c r="DT83">
        <f>BM83/60*(AM83*4+AN83*2+AO83*3)*96485/DV83</f>
        <v>1403.8210207975924</v>
      </c>
      <c r="DU83">
        <f>BN83*BA83*(AP83*4+AQ83*2+AR83*3)*96485/DV83/60</f>
        <v>707.86230828995599</v>
      </c>
      <c r="DV83">
        <v>0.7</v>
      </c>
      <c r="DW83">
        <f>0.499*((BK83/3.78541*15)^(-0.146))*BK83/3.78541*15*300*(1+(A83-2)/9)</f>
        <v>49536.497143418172</v>
      </c>
      <c r="DX83">
        <f>0.248*((BK83/3.78541*15)^(-0.144))*BK83/3.78541*15*300*(1+(A83-2)/3)</f>
        <v>49831.318766753509</v>
      </c>
      <c r="DY83">
        <f>0.105*((BK83/3.78541*15)^(-0.144))*BK83/3.78541*15*300*(1+(A83-2)/3)</f>
        <v>21097.937381085154</v>
      </c>
      <c r="DZ83">
        <f>0.058*((BK83/3.78541*15)^(-0.151))*BK83/3.78541*15*300*(1+(A83-2)/3)</f>
        <v>11176.166036369152</v>
      </c>
      <c r="EA83">
        <f>0.056*((BK83/3.78541*15)^(-0.144))*BK83/3.78541*15*300*(1+(A83-2)/3)</f>
        <v>11252.233269912085</v>
      </c>
      <c r="EB83">
        <f>DS83*DT83/(3.6*10^6)*3600*7200*0.07</f>
        <v>849.03095337838397</v>
      </c>
      <c r="EC83">
        <f>0.499*((BM83/3.78541*15)^(-0.146))*BM83/3.78541*15*300*(1+(AF83-2)/9)</f>
        <v>30856.373984067617</v>
      </c>
      <c r="ED83">
        <f>0.248*((BM83/3.78541*15)^(-0.144))*BM83/3.78541*15*300*(1+(AF83-2)/3)</f>
        <v>23276.312502761884</v>
      </c>
      <c r="EE83">
        <f>0.105*((BM83/3.78541*15)^(-0.144))*BM83/3.78541*15*300*(1+(AF83-2)/3)</f>
        <v>9854.8903741532158</v>
      </c>
      <c r="EF83">
        <f>0.058*((BM83/3.78541*15)^(-0.151))*BM83/3.78541*15*300*(1+(AF83-2)/3)</f>
        <v>5223.316690816886</v>
      </c>
      <c r="EG83">
        <f>0.056*((BM83/3.78541*15)^(-0.144))*BM83/3.78541*15*300*(1+(AF83-2)/3)</f>
        <v>5255.9415328817167</v>
      </c>
      <c r="EH83">
        <f>DS83*DU83/(3.6*10^6)*3600*7200*0.07</f>
        <v>428.11512405376538</v>
      </c>
      <c r="EI83">
        <f>SUM(DW83:EH83)</f>
        <v>218638.13375965157</v>
      </c>
      <c r="EJ83">
        <f>EI83+DR83+DL83</f>
        <v>26575783.434989117</v>
      </c>
      <c r="EK83">
        <f>EJ83+DF83</f>
        <v>27304685.88522714</v>
      </c>
      <c r="EL83">
        <f>EK83/(BK83*60*7200)</f>
        <v>0.6320529140098875</v>
      </c>
      <c r="EM83">
        <f>EK83/(BM83*(AM83*195.084/1000+AN83*106.42/1000+AO83*102.911/1000)*60*7200)</f>
        <v>2117.6179116633921</v>
      </c>
      <c r="EN83">
        <f>EK83/(BN83*BA83*(AP83*195.084/1000+AQ83*106.42/1000+AR83*102.911/1000)*60*7200)</f>
        <v>3870.2407703369709</v>
      </c>
    </row>
    <row r="84" spans="1:144">
      <c r="A84">
        <f>'Costing 100 Lmin Feed Orig'!A84</f>
        <v>11</v>
      </c>
      <c r="B84">
        <f>'Costing 100 Lmin Feed Orig'!B84</f>
        <v>1.54143585092054E-3</v>
      </c>
      <c r="C84">
        <f>'Costing 100 Lmin Feed Orig'!C84</f>
        <v>1.54143585092054E-3</v>
      </c>
      <c r="D84">
        <f>'Costing 100 Lmin Feed Orig'!D84</f>
        <v>3.4254130020456501E-4</v>
      </c>
      <c r="E84">
        <f>'Costing 100 Lmin Feed Orig'!E84</f>
        <v>0</v>
      </c>
      <c r="F84">
        <f>'Costing 100 Lmin Feed Orig'!F84</f>
        <v>0</v>
      </c>
      <c r="G84">
        <f>'Costing 100 Lmin Feed Orig'!G84</f>
        <v>0</v>
      </c>
      <c r="H84">
        <f>'Costing 100 Lmin Feed Orig'!H84</f>
        <v>1.7771367359861701E-5</v>
      </c>
      <c r="I84">
        <f>'Costing 100 Lmin Feed Orig'!I84</f>
        <v>1.8081057367328801E-10</v>
      </c>
      <c r="J84">
        <f>'Costing 100 Lmin Feed Orig'!J84</f>
        <v>3.3765941525589702E-4</v>
      </c>
      <c r="K84">
        <f>'Costing 100 Lmin Feed Orig'!K84</f>
        <v>0.139102253285185</v>
      </c>
      <c r="L84">
        <f>'Costing 100 Lmin Feed Orig'!L84</f>
        <v>0.14072466572308701</v>
      </c>
      <c r="M84">
        <f>'Costing 100 Lmin Feed Orig'!M84</f>
        <v>4.4568945720355099E-4</v>
      </c>
      <c r="N84">
        <f>'Costing 100 Lmin Feed Orig'!N84</f>
        <v>-8.03393809811758E-16</v>
      </c>
      <c r="O84">
        <f>'Costing 100 Lmin Feed Orig'!O84</f>
        <v>-8.4019770307808202E-13</v>
      </c>
      <c r="P84">
        <f>'Costing 100 Lmin Feed Orig'!P84</f>
        <v>-2.26157796916898E-19</v>
      </c>
      <c r="Q84">
        <f>'Costing 100 Lmin Feed Orig'!Q84</f>
        <v>0.10953557168033</v>
      </c>
      <c r="R84">
        <f>'Costing 100 Lmin Feed Orig'!R84</f>
        <v>98.5748039883795</v>
      </c>
      <c r="S84">
        <f>'Costing 100 Lmin Feed Orig'!S84</f>
        <v>500</v>
      </c>
      <c r="T84">
        <f>'Costing 100 Lmin Feed Orig'!T84</f>
        <v>95</v>
      </c>
      <c r="U84">
        <f>'Costing 100 Lmin Feed Orig'!U84</f>
        <v>1</v>
      </c>
      <c r="V84">
        <f>'Costing 100 Lmin Feed Orig'!V84</f>
        <v>0.1</v>
      </c>
      <c r="W84">
        <f>'Costing 100 Lmin Feed Orig'!W84</f>
        <v>91.294543376138293</v>
      </c>
      <c r="X84" t="str">
        <f>'Costing 100 Lmin Feed Orig'!X84</f>
        <v>ddFc</v>
      </c>
      <c r="Y84">
        <f>'Costing 100 Lmin Feed Orig'!Y84</f>
        <v>1</v>
      </c>
      <c r="Z84">
        <f>'Costing 100 Lmin Feed Orig'!Z84</f>
        <v>0.28318429382522198</v>
      </c>
      <c r="AA84">
        <f>'Costing 100 Lmin Feed Orig'!AA84</f>
        <v>0.56945642916197003</v>
      </c>
      <c r="AB84">
        <f>'Costing 100 Lmin Feed Orig'!AB84</f>
        <v>3.7698628972227502E-3</v>
      </c>
      <c r="AC84">
        <f>'Costing 100 Lmin Feed Orig'!AC84</f>
        <v>1822.2107908876901</v>
      </c>
      <c r="AD84">
        <f>'Costing 100 Lmin Feed Orig'!AD84</f>
        <v>2662.6059073104898</v>
      </c>
      <c r="AE84">
        <f>'Costing 100 Lmin Feed Orig'!AE84</f>
        <v>2401.5030938442701</v>
      </c>
      <c r="AF84">
        <f>'Costing 100 Lmin Feed Orig'!AF84</f>
        <v>6</v>
      </c>
      <c r="AG84">
        <f>'Costing 100 Lmin Feed Orig'!AG84</f>
        <v>1.6497569194096201E-3</v>
      </c>
      <c r="AH84">
        <f>'Costing 100 Lmin Feed Orig'!AH84</f>
        <v>1.6689987798565299E-3</v>
      </c>
      <c r="AI84">
        <f>'Costing 100 Lmin Feed Orig'!AI84</f>
        <v>5.28589040482341E-6</v>
      </c>
      <c r="AJ84">
        <f>'Costing 100 Lmin Feed Orig'!AJ84</f>
        <v>0</v>
      </c>
      <c r="AK84">
        <f>'Costing 100 Lmin Feed Orig'!AK84</f>
        <v>0</v>
      </c>
      <c r="AL84">
        <f>'Costing 100 Lmin Feed Orig'!AL84</f>
        <v>0</v>
      </c>
      <c r="AM84">
        <f>'Costing 100 Lmin Feed Orig'!AM84</f>
        <v>1.61212756517482E-3</v>
      </c>
      <c r="AN84">
        <f>'Costing 100 Lmin Feed Orig'!AN84</f>
        <v>7.9598306534484298E-5</v>
      </c>
      <c r="AO84">
        <f>'Costing 100 Lmin Feed Orig'!AO84</f>
        <v>5.2505128878875599E-6</v>
      </c>
      <c r="AP84">
        <f>'Costing 100 Lmin Feed Orig'!AP84</f>
        <v>1.7562199861538999E-3</v>
      </c>
      <c r="AQ84">
        <f>'Costing 100 Lmin Feed Orig'!AQ84</f>
        <v>7.4179770926534203E-2</v>
      </c>
      <c r="AR84">
        <f>'Costing 100 Lmin Feed Orig'!AR84</f>
        <v>1.6511232671055801E-6</v>
      </c>
      <c r="AS84">
        <f>'Costing 100 Lmin Feed Orig'!AS84</f>
        <v>-1.8702487475374901E-18</v>
      </c>
      <c r="AT84">
        <f>'Costing 100 Lmin Feed Orig'!AT84</f>
        <v>-1.4853569763051401E-16</v>
      </c>
      <c r="AU84">
        <f>'Costing 100 Lmin Feed Orig'!AU84</f>
        <v>-1.8925892415213202E-21</v>
      </c>
      <c r="AV84">
        <f>'Costing 100 Lmin Feed Orig'!AV84</f>
        <v>0.197886986940187</v>
      </c>
      <c r="AW84">
        <f>'Costing 100 Lmin Feed Orig'!AW84</f>
        <v>99.330717925903897</v>
      </c>
      <c r="AX84">
        <f>'Costing 100 Lmin Feed Orig'!AX84</f>
        <v>500</v>
      </c>
      <c r="AY84">
        <f>'Costing 100 Lmin Feed Orig'!AY84</f>
        <v>95</v>
      </c>
      <c r="AZ84">
        <f>'Costing 100 Lmin Feed Orig'!AZ84</f>
        <v>0.92356908198738696</v>
      </c>
      <c r="BA84">
        <f>'Costing 100 Lmin Feed Orig'!BA84</f>
        <v>0.1</v>
      </c>
      <c r="BB84">
        <f>'Costing 100 Lmin Feed Orig'!BB84</f>
        <v>46.671541988081501</v>
      </c>
      <c r="BC84" t="str">
        <f>'Costing 100 Lmin Feed Orig'!BC84</f>
        <v>coeFc</v>
      </c>
      <c r="BD84">
        <f>'Costing 100 Lmin Feed Orig'!BD84</f>
        <v>1</v>
      </c>
      <c r="BE84">
        <f>'Costing 100 Lmin Feed Orig'!BE84</f>
        <v>1.8775014999999999E-2</v>
      </c>
      <c r="BF84">
        <f>'Costing 100 Lmin Feed Orig'!BF84</f>
        <v>0.10492961100000001</v>
      </c>
      <c r="BG84">
        <f>'Costing 100 Lmin Feed Orig'!BG84</f>
        <v>1.814625E-3</v>
      </c>
      <c r="BH84">
        <f>'Costing 100 Lmin Feed Orig'!BH84</f>
        <v>285.1951444</v>
      </c>
      <c r="BI84">
        <f>'Costing 100 Lmin Feed Orig'!BI84</f>
        <v>2169.8944889999998</v>
      </c>
      <c r="BJ84">
        <f>'Costing 100 Lmin Feed Orig'!BJ84</f>
        <v>866.49409060000005</v>
      </c>
      <c r="BK84">
        <f>'Costing 100 Lmin Feed Orig'!BK84</f>
        <v>100</v>
      </c>
      <c r="BL84">
        <f>'Costing 100 Lmin Feed Orig'!BL84</f>
        <v>10.953557168032999</v>
      </c>
      <c r="BM84">
        <f>'Costing 100 Lmin Feed Orig'!BM84</f>
        <v>92.356908198738694</v>
      </c>
      <c r="BN84">
        <f>'Costing 100 Lmin Feed Orig'!BN84</f>
        <v>19.788698694018699</v>
      </c>
      <c r="BO84">
        <f t="shared" si="22"/>
        <v>284.79248636885796</v>
      </c>
      <c r="BP84">
        <f t="shared" si="23"/>
        <v>316.61917910429918</v>
      </c>
      <c r="BQ84">
        <f t="shared" si="24"/>
        <v>28.479248636885799</v>
      </c>
      <c r="BR84">
        <f t="shared" si="25"/>
        <v>31.661917910429921</v>
      </c>
      <c r="BS84">
        <f>1.2*0.5*BL84*V84/'Oxidant Feed Composition'!$N$22</f>
        <v>6.5721343008197994</v>
      </c>
      <c r="BT84">
        <f>1.2*0.5*BN84*BA84/'Oxidant Feed Composition'!$N$22</f>
        <v>11.873219216411218</v>
      </c>
      <c r="BU84">
        <f t="shared" si="26"/>
        <v>5.4767785840164995</v>
      </c>
      <c r="BV84">
        <f t="shared" si="27"/>
        <v>9.8943493470093493</v>
      </c>
      <c r="BW84">
        <f t="shared" si="28"/>
        <v>86.880129614722193</v>
      </c>
      <c r="BX84">
        <f t="shared" si="21"/>
        <v>35.051382937705597</v>
      </c>
      <c r="BY84">
        <f t="shared" si="29"/>
        <v>206.62093073354339</v>
      </c>
      <c r="BZ84">
        <f t="shared" si="30"/>
        <v>63.323835820859834</v>
      </c>
      <c r="CA84">
        <f t="shared" si="31"/>
        <v>59.366096082056096</v>
      </c>
      <c r="CB84">
        <f>BO84*'Reagent cost'!$G$11*'Reagent cost'!$H$11</f>
        <v>3759.2608200689256</v>
      </c>
      <c r="CC84">
        <f>BP84*'Reagent cost'!$G$11*'Reagent cost'!$H$11</f>
        <v>4179.373164176749</v>
      </c>
      <c r="CD84">
        <f>BQ84*'Reagent cost'!$C$18/1000*'Reagent cost'!$H$18</f>
        <v>4541.8834647976191</v>
      </c>
      <c r="CE84">
        <f>BR84*'Ligand cost'!$B$56*'Ligand cost'!$J$56</f>
        <v>32235.876670882313</v>
      </c>
      <c r="CF84">
        <f t="shared" si="32"/>
        <v>10</v>
      </c>
      <c r="CG84">
        <f t="shared" si="33"/>
        <v>2.1907114336065998</v>
      </c>
      <c r="CH84">
        <f t="shared" si="34"/>
        <v>3.9577397388037401</v>
      </c>
      <c r="CI84">
        <f>7963.6*(BX84/1000)^0.6*1.7*('CAPEX+OPEX'!$G$116/'CAPEX+OPEX'!$G$115)</f>
        <v>2138.2772847076108</v>
      </c>
      <c r="CJ84">
        <f>7963.6*(BY84/1000)^0.6*1.7*('CAPEX+OPEX'!$G$116/'CAPEX+OPEX'!$G$115)</f>
        <v>6199.3408604999822</v>
      </c>
      <c r="CK84">
        <f>7963.6*(BZ84/1000)^0.6*1.7*('CAPEX+OPEX'!$G$116/'CAPEX+OPEX'!$G$115)</f>
        <v>3049.1673193757256</v>
      </c>
      <c r="CL84">
        <f>7963.6*(CA84/1000)^0.6*1.7*('CAPEX+OPEX'!$G$116/'CAPEX+OPEX'!$G$115)</f>
        <v>2933.3509269502315</v>
      </c>
      <c r="CM84">
        <f>'Costing 100 Lmin Feed Orig'!DE84</f>
        <v>39625.826528698344</v>
      </c>
      <c r="CN84">
        <f>'Costing 100 Lmin Feed Orig'!DF84</f>
        <v>4586243.4239371875</v>
      </c>
      <c r="CO84">
        <f>'Costing 100 Lmin Feed Orig'!DG84</f>
        <v>11794834.586807497</v>
      </c>
      <c r="CP84">
        <f>'Costing 100 Lmin Feed Orig'!DH84</f>
        <v>2275209.1661185985</v>
      </c>
      <c r="CQ84">
        <f>'Costing 100 Lmin Feed Orig'!DI84</f>
        <v>14083914.336508472</v>
      </c>
      <c r="CR84">
        <f>'Costing 100 Lmin Feed Orig'!DJ84</f>
        <v>1662824.8986326549</v>
      </c>
      <c r="CS84">
        <f>CN84*(BK84/10000)^0.72*((A84+1)/3)^0.6*('CAPEX+OPEX'!$G$116/'CAPEX+OPEX'!$G$114)</f>
        <v>892840.31653984461</v>
      </c>
      <c r="CT84">
        <f>CO84*(BK84/10000)^0.72*((A84+1)/3)^0.6*('CAPEX+OPEX'!$G$116/'CAPEX+OPEX'!$G$114)</f>
        <v>2296193.8284949926</v>
      </c>
      <c r="CU84">
        <f>CP84*(BK84/10000)^0.72*((A84+1)/3)^0.6*('CAPEX+OPEX'!$G$116/'CAPEX+OPEX'!$G$114)</f>
        <v>442932.9811560188</v>
      </c>
      <c r="CV84">
        <f>CQ84*(BK84/10000)^0.72*((A84+1)/3)^0.6*('CAPEX+OPEX'!$G$116/'CAPEX+OPEX'!$G$114)</f>
        <v>2741827.1059701391</v>
      </c>
      <c r="CW84">
        <f>CR84*(BK84/10000)^0.72*((A84+1)/3)^0.6*('CAPEX+OPEX'!$G$116/'CAPEX+OPEX'!$G$114)</f>
        <v>323715.28756992728</v>
      </c>
      <c r="CX84">
        <f t="shared" si="35"/>
        <v>6697509.5197309218</v>
      </c>
      <c r="CY84">
        <f>CN84*(BM84/10000)^0.72*((AF84+1)/3)^0.6*('CAPEX+OPEX'!$G$116/'CAPEX+OPEX'!$G$114)</f>
        <v>610185.42092396237</v>
      </c>
      <c r="CZ84">
        <f>CO84*(BM84/10000)^0.72*((AF84+1)/3)^0.6*('CAPEX+OPEX'!$G$116/'CAPEX+OPEX'!$G$114)</f>
        <v>1569266.0510595285</v>
      </c>
      <c r="DA84">
        <f>CP84*(BM84/10000)^0.72*((AF84+1)/3)^0.6*('CAPEX+OPEX'!$G$116/'CAPEX+OPEX'!$G$114)</f>
        <v>302709.50195799035</v>
      </c>
      <c r="DB84">
        <f>CQ84*(BM84/10000)^0.72*((AF84+1)/3)^0.6*('CAPEX+OPEX'!$G$116/'CAPEX+OPEX'!$G$114)</f>
        <v>1873820.9910153144</v>
      </c>
      <c r="DC84">
        <f>CR84*(BM84/10000)^0.72*((AF84+1)/3)^0.6*('CAPEX+OPEX'!$G$116/'CAPEX+OPEX'!$G$114)</f>
        <v>221233.6801398939</v>
      </c>
      <c r="DD84">
        <f t="shared" si="36"/>
        <v>4577215.6450966895</v>
      </c>
      <c r="DE84">
        <f>CX84+DD84+1.15*(SUM(CI84:CL84)+SUM(CB84:CE84))</f>
        <v>11342617.174915789</v>
      </c>
      <c r="DF84">
        <f t="shared" si="37"/>
        <v>756174.47832771926</v>
      </c>
      <c r="DG84">
        <f>(BS84+BT84)*'Oxidant Feed Composition'!$N$25*60*7200</f>
        <v>14855024.492038285</v>
      </c>
      <c r="DH84">
        <f>((CG84+CH84)*'Reagent cost'!$C$17/1000*'Reagent cost'!$H$17+(CG84+CH84)*0.5*'Reagent cost'!$C$16/1000*'Reagent cost'!$H$16)*60*7200</f>
        <v>5920064.2482926426</v>
      </c>
      <c r="DI84">
        <f>CF84*'Reagent cost'!$C$17/1000*'Reagent cost'!$H$17*60*7200</f>
        <v>504921.59999999998</v>
      </c>
      <c r="DJ84">
        <f t="shared" si="38"/>
        <v>79.386339842456749</v>
      </c>
      <c r="DK84">
        <f t="shared" si="39"/>
        <v>735.55520271359876</v>
      </c>
      <c r="DL84">
        <f t="shared" si="40"/>
        <v>25536990.338248182</v>
      </c>
      <c r="DM84">
        <f>BK84*(B84*(409.81+2)/1000+C84*(248.2+2*22.99)/1000+D84*(315.6+3*22.99)/1000+0.1*58.44/1000)</f>
        <v>0.70639694042110623</v>
      </c>
      <c r="DN84">
        <f>(BS84+BT84)/1000*('Oxidant Feed Composition'!$B$11*'Oxidant Feed Composition'!$O$20+'Oxidant Feed Composition'!$D$11*'Oxidant Feed Composition'!$O$21+'Oxidant Feed Composition'!$F$11*'Oxidant Feed Composition'!$O$27-'Oxidant Feed Composition'!$J$15*18.015)</f>
        <v>2.1541321256472061</v>
      </c>
      <c r="DO84">
        <f>(BU84+BV84)/1000*(0.2*368.34+0.4*58.44)</f>
        <v>1.4916757389384725</v>
      </c>
      <c r="DP84">
        <f>BK84/1000*(B84*195.08+C84*106.42+D84*102.91)</f>
        <v>4.999938342565946E-2</v>
      </c>
      <c r="DQ84">
        <f>SUM(DM84:DO84)-DP84</f>
        <v>4.3022054215811254</v>
      </c>
      <c r="DR84">
        <f>DQ84*60*7200*0.33</f>
        <v>613322.40490060532</v>
      </c>
      <c r="DS84">
        <v>1.2</v>
      </c>
      <c r="DT84">
        <f>BM84/60*(AM84*4+AN84*2+AO84*3)*96485/DV84</f>
        <v>1405.2859697967249</v>
      </c>
      <c r="DU84">
        <f>BN84*BA84*(AP84*4+AQ84*2+AR84*3)*96485/DV84/60</f>
        <v>706.39735929093831</v>
      </c>
      <c r="DV84">
        <v>0.7</v>
      </c>
      <c r="DW84">
        <f>0.499*((BK84/3.78541*15)^(-0.146))*BK84/3.78541*15*300*(1+(A84-2)/9)</f>
        <v>49536.497143418172</v>
      </c>
      <c r="DX84">
        <f>0.248*((BK84/3.78541*15)^(-0.144))*BK84/3.78541*15*300*(1+(A84-2)/3)</f>
        <v>49831.318766753509</v>
      </c>
      <c r="DY84">
        <f>0.105*((BK84/3.78541*15)^(-0.144))*BK84/3.78541*15*300*(1+(A84-2)/3)</f>
        <v>21097.937381085154</v>
      </c>
      <c r="DZ84">
        <f>0.058*((BK84/3.78541*15)^(-0.151))*BK84/3.78541*15*300*(1+(A84-2)/3)</f>
        <v>11176.166036369152</v>
      </c>
      <c r="EA84">
        <f>0.056*((BK84/3.78541*15)^(-0.144))*BK84/3.78541*15*300*(1+(A84-2)/3)</f>
        <v>11252.233269912085</v>
      </c>
      <c r="EB84">
        <f>DS84*DT84/(3.6*10^6)*3600*7200*0.07</f>
        <v>849.9169545330592</v>
      </c>
      <c r="EC84">
        <f>0.499*((BM84/3.78541*15)^(-0.146))*BM84/3.78541*15*300*(1+(AF84-2)/9)</f>
        <v>33427.738482739922</v>
      </c>
      <c r="ED84">
        <f>0.248*((BM84/3.78541*15)^(-0.144))*BM84/3.78541*15*300*(1+(AF84-2)/3)</f>
        <v>27155.697919888862</v>
      </c>
      <c r="EE84">
        <f>0.105*((BM84/3.78541*15)^(-0.144))*BM84/3.78541*15*300*(1+(AF84-2)/3)</f>
        <v>11497.37210317875</v>
      </c>
      <c r="EF84">
        <f>0.058*((BM84/3.78541*15)^(-0.151))*BM84/3.78541*15*300*(1+(AF84-2)/3)</f>
        <v>6093.8694726196991</v>
      </c>
      <c r="EG84">
        <f>0.056*((BM84/3.78541*15)^(-0.144))*BM84/3.78541*15*300*(1+(AF84-2)/3)</f>
        <v>6131.9317883620024</v>
      </c>
      <c r="EH84">
        <f>DS84*DU84/(3.6*10^6)*3600*7200*0.07</f>
        <v>427.22912289915951</v>
      </c>
      <c r="EI84">
        <f>SUM(DW84:EH84)</f>
        <v>228477.90844175953</v>
      </c>
      <c r="EJ84">
        <f>EI84+DR84+DL84</f>
        <v>26378790.651590548</v>
      </c>
      <c r="EK84">
        <f>EJ84+DF84</f>
        <v>27134965.129918266</v>
      </c>
      <c r="EL84">
        <f>EK84/(BK84*60*7200)</f>
        <v>0.62812419282218213</v>
      </c>
      <c r="EM84">
        <f>EK84/(BM84*(AM84*195.084/1000+AN84*106.42/1000+AO84*102.911/1000)*60*7200)</f>
        <v>2102.2600489115366</v>
      </c>
      <c r="EN84">
        <f>EK84/(BN84*BA84*(AP84*195.084/1000+AQ84*106.42/1000+AR84*102.911/1000)*60*7200)</f>
        <v>3853.5381608430221</v>
      </c>
    </row>
    <row r="85" spans="1:144">
      <c r="A85">
        <f>'Costing 100 Lmin Feed Orig'!A85</f>
        <v>11</v>
      </c>
      <c r="B85">
        <f>'Costing 100 Lmin Feed Orig'!B85</f>
        <v>1.54143585092054E-3</v>
      </c>
      <c r="C85">
        <f>'Costing 100 Lmin Feed Orig'!C85</f>
        <v>1.54143585092054E-3</v>
      </c>
      <c r="D85">
        <f>'Costing 100 Lmin Feed Orig'!D85</f>
        <v>3.4254130020456501E-4</v>
      </c>
      <c r="E85">
        <f>'Costing 100 Lmin Feed Orig'!E85</f>
        <v>0</v>
      </c>
      <c r="F85">
        <f>'Costing 100 Lmin Feed Orig'!F85</f>
        <v>0</v>
      </c>
      <c r="G85">
        <f>'Costing 100 Lmin Feed Orig'!G85</f>
        <v>0</v>
      </c>
      <c r="H85">
        <f>'Costing 100 Lmin Feed Orig'!H85</f>
        <v>1.7771367359861701E-5</v>
      </c>
      <c r="I85">
        <f>'Costing 100 Lmin Feed Orig'!I85</f>
        <v>1.8081057367328801E-10</v>
      </c>
      <c r="J85">
        <f>'Costing 100 Lmin Feed Orig'!J85</f>
        <v>3.3765941525589702E-4</v>
      </c>
      <c r="K85">
        <f>'Costing 100 Lmin Feed Orig'!K85</f>
        <v>0.139102253285185</v>
      </c>
      <c r="L85">
        <f>'Costing 100 Lmin Feed Orig'!L85</f>
        <v>0.14072466572308701</v>
      </c>
      <c r="M85">
        <f>'Costing 100 Lmin Feed Orig'!M85</f>
        <v>4.4568945720355099E-4</v>
      </c>
      <c r="N85">
        <f>'Costing 100 Lmin Feed Orig'!N85</f>
        <v>-8.03393809811758E-16</v>
      </c>
      <c r="O85">
        <f>'Costing 100 Lmin Feed Orig'!O85</f>
        <v>-8.4019770307808202E-13</v>
      </c>
      <c r="P85">
        <f>'Costing 100 Lmin Feed Orig'!P85</f>
        <v>-2.26157796916898E-19</v>
      </c>
      <c r="Q85">
        <f>'Costing 100 Lmin Feed Orig'!Q85</f>
        <v>0.10953557168033</v>
      </c>
      <c r="R85">
        <f>'Costing 100 Lmin Feed Orig'!R85</f>
        <v>98.5748039883795</v>
      </c>
      <c r="S85">
        <f>'Costing 100 Lmin Feed Orig'!S85</f>
        <v>500</v>
      </c>
      <c r="T85">
        <f>'Costing 100 Lmin Feed Orig'!T85</f>
        <v>95</v>
      </c>
      <c r="U85">
        <f>'Costing 100 Lmin Feed Orig'!U85</f>
        <v>1</v>
      </c>
      <c r="V85">
        <f>'Costing 100 Lmin Feed Orig'!V85</f>
        <v>0.1</v>
      </c>
      <c r="W85">
        <f>'Costing 100 Lmin Feed Orig'!W85</f>
        <v>91.294543376138293</v>
      </c>
      <c r="X85" t="str">
        <f>'Costing 100 Lmin Feed Orig'!X85</f>
        <v>ddFc</v>
      </c>
      <c r="Y85">
        <f>'Costing 100 Lmin Feed Orig'!Y85</f>
        <v>1</v>
      </c>
      <c r="Z85">
        <f>'Costing 100 Lmin Feed Orig'!Z85</f>
        <v>0.28318429382522198</v>
      </c>
      <c r="AA85">
        <f>'Costing 100 Lmin Feed Orig'!AA85</f>
        <v>0.56945642916197003</v>
      </c>
      <c r="AB85">
        <f>'Costing 100 Lmin Feed Orig'!AB85</f>
        <v>3.7698628972227502E-3</v>
      </c>
      <c r="AC85">
        <f>'Costing 100 Lmin Feed Orig'!AC85</f>
        <v>1822.2107908876901</v>
      </c>
      <c r="AD85">
        <f>'Costing 100 Lmin Feed Orig'!AD85</f>
        <v>2662.6059073104898</v>
      </c>
      <c r="AE85">
        <f>'Costing 100 Lmin Feed Orig'!AE85</f>
        <v>2401.5030938442701</v>
      </c>
      <c r="AF85">
        <f>'Costing 100 Lmin Feed Orig'!AF85</f>
        <v>7</v>
      </c>
      <c r="AG85">
        <f>'Costing 100 Lmin Feed Orig'!AG85</f>
        <v>1.6497569194096201E-3</v>
      </c>
      <c r="AH85">
        <f>'Costing 100 Lmin Feed Orig'!AH85</f>
        <v>1.6689987798565299E-3</v>
      </c>
      <c r="AI85">
        <f>'Costing 100 Lmin Feed Orig'!AI85</f>
        <v>5.28589040482341E-6</v>
      </c>
      <c r="AJ85">
        <f>'Costing 100 Lmin Feed Orig'!AJ85</f>
        <v>0</v>
      </c>
      <c r="AK85">
        <f>'Costing 100 Lmin Feed Orig'!AK85</f>
        <v>0</v>
      </c>
      <c r="AL85">
        <f>'Costing 100 Lmin Feed Orig'!AL85</f>
        <v>0</v>
      </c>
      <c r="AM85">
        <f>'Costing 100 Lmin Feed Orig'!AM85</f>
        <v>1.6126163799612099E-3</v>
      </c>
      <c r="AN85">
        <f>'Costing 100 Lmin Feed Orig'!AN85</f>
        <v>7.9623592631732702E-5</v>
      </c>
      <c r="AO85">
        <f>'Costing 100 Lmin Feed Orig'!AO85</f>
        <v>5.2509536820161704E-6</v>
      </c>
      <c r="AP85">
        <f>'Costing 100 Lmin Feed Orig'!AP85</f>
        <v>1.7397945404161699E-3</v>
      </c>
      <c r="AQ85">
        <f>'Costing 100 Lmin Feed Orig'!AQ85</f>
        <v>7.4451968508709498E-2</v>
      </c>
      <c r="AR85">
        <f>'Costing 100 Lmin Feed Orig'!AR85</f>
        <v>1.63655995585356E-6</v>
      </c>
      <c r="AS85">
        <f>'Costing 100 Lmin Feed Orig'!AS85</f>
        <v>-4.4791102250807402E-18</v>
      </c>
      <c r="AT85">
        <f>'Costing 100 Lmin Feed Orig'!AT85</f>
        <v>-1.66186508998578E-15</v>
      </c>
      <c r="AU85">
        <f>'Costing 100 Lmin Feed Orig'!AU85</f>
        <v>-5.8233515123733103E-21</v>
      </c>
      <c r="AV85">
        <f>'Costing 100 Lmin Feed Orig'!AV85</f>
        <v>0.19716037225109501</v>
      </c>
      <c r="AW85">
        <f>'Costing 100 Lmin Feed Orig'!AW85</f>
        <v>99.339056996426606</v>
      </c>
      <c r="AX85">
        <f>'Costing 100 Lmin Feed Orig'!AX85</f>
        <v>500</v>
      </c>
      <c r="AY85">
        <f>'Costing 100 Lmin Feed Orig'!AY85</f>
        <v>95</v>
      </c>
      <c r="AZ85">
        <f>'Costing 100 Lmin Feed Orig'!AZ85</f>
        <v>0.92356908198738696</v>
      </c>
      <c r="BA85">
        <f>'Costing 100 Lmin Feed Orig'!BA85</f>
        <v>0.1</v>
      </c>
      <c r="BB85">
        <f>'Costing 100 Lmin Feed Orig'!BB85</f>
        <v>46.8435452541733</v>
      </c>
      <c r="BC85" t="str">
        <f>'Costing 100 Lmin Feed Orig'!BC85</f>
        <v>coeFc</v>
      </c>
      <c r="BD85">
        <f>'Costing 100 Lmin Feed Orig'!BD85</f>
        <v>1</v>
      </c>
      <c r="BE85">
        <f>'Costing 100 Lmin Feed Orig'!BE85</f>
        <v>1.8775014999999999E-2</v>
      </c>
      <c r="BF85">
        <f>'Costing 100 Lmin Feed Orig'!BF85</f>
        <v>0.10492961100000001</v>
      </c>
      <c r="BG85">
        <f>'Costing 100 Lmin Feed Orig'!BG85</f>
        <v>1.814625E-3</v>
      </c>
      <c r="BH85">
        <f>'Costing 100 Lmin Feed Orig'!BH85</f>
        <v>285.1951444</v>
      </c>
      <c r="BI85">
        <f>'Costing 100 Lmin Feed Orig'!BI85</f>
        <v>2169.8944889999998</v>
      </c>
      <c r="BJ85">
        <f>'Costing 100 Lmin Feed Orig'!BJ85</f>
        <v>866.49409060000005</v>
      </c>
      <c r="BK85">
        <f>'Costing 100 Lmin Feed Orig'!BK85</f>
        <v>100</v>
      </c>
      <c r="BL85">
        <f>'Costing 100 Lmin Feed Orig'!BL85</f>
        <v>10.953557168032999</v>
      </c>
      <c r="BM85">
        <f>'Costing 100 Lmin Feed Orig'!BM85</f>
        <v>92.356908198738694</v>
      </c>
      <c r="BN85">
        <f>'Costing 100 Lmin Feed Orig'!BN85</f>
        <v>19.716037225109499</v>
      </c>
      <c r="BO85">
        <f t="shared" si="22"/>
        <v>284.79248636885796</v>
      </c>
      <c r="BP85">
        <f t="shared" si="23"/>
        <v>354.88867005197096</v>
      </c>
      <c r="BQ85">
        <f t="shared" si="24"/>
        <v>28.479248636885799</v>
      </c>
      <c r="BR85">
        <f t="shared" si="25"/>
        <v>35.4888670051971</v>
      </c>
      <c r="BS85">
        <f>1.2*0.5*BL85*V85/'Oxidant Feed Composition'!$N$22</f>
        <v>6.5721343008197994</v>
      </c>
      <c r="BT85">
        <f>1.2*0.5*BN85*BA85/'Oxidant Feed Composition'!$N$22</f>
        <v>11.829622335065698</v>
      </c>
      <c r="BU85">
        <f t="shared" si="26"/>
        <v>5.4767785840164995</v>
      </c>
      <c r="BV85">
        <f t="shared" si="27"/>
        <v>9.8580186125547495</v>
      </c>
      <c r="BW85">
        <f t="shared" si="28"/>
        <v>86.880129614722193</v>
      </c>
      <c r="BX85">
        <f t="shared" si="21"/>
        <v>35.051382937705597</v>
      </c>
      <c r="BY85">
        <f t="shared" si="29"/>
        <v>206.62093073354339</v>
      </c>
      <c r="BZ85">
        <f t="shared" si="30"/>
        <v>63.091319120350391</v>
      </c>
      <c r="CA85">
        <f t="shared" si="31"/>
        <v>59.148111675328494</v>
      </c>
      <c r="CB85">
        <f>BO85*'Reagent cost'!$G$11*'Reagent cost'!$H$11</f>
        <v>3759.2608200689256</v>
      </c>
      <c r="CC85">
        <f>BP85*'Reagent cost'!$G$11*'Reagent cost'!$H$11</f>
        <v>4684.5304446860173</v>
      </c>
      <c r="CD85">
        <f>BQ85*'Reagent cost'!$C$18/1000*'Reagent cost'!$H$18</f>
        <v>4541.8834647976191</v>
      </c>
      <c r="CE85">
        <f>BR85*'Ligand cost'!$B$56*'Ligand cost'!$J$56</f>
        <v>36132.199672971241</v>
      </c>
      <c r="CF85">
        <f t="shared" si="32"/>
        <v>10</v>
      </c>
      <c r="CG85">
        <f t="shared" si="33"/>
        <v>2.1907114336065998</v>
      </c>
      <c r="CH85">
        <f t="shared" si="34"/>
        <v>3.9432074450218999</v>
      </c>
      <c r="CI85">
        <f>7963.6*(BX85/1000)^0.6*1.7*('CAPEX+OPEX'!$G$116/'CAPEX+OPEX'!$G$115)</f>
        <v>2138.2772847076108</v>
      </c>
      <c r="CJ85">
        <f>7963.6*(BY85/1000)^0.6*1.7*('CAPEX+OPEX'!$G$116/'CAPEX+OPEX'!$G$115)</f>
        <v>6199.3408604999822</v>
      </c>
      <c r="CK85">
        <f>7963.6*(BZ85/1000)^0.6*1.7*('CAPEX+OPEX'!$G$116/'CAPEX+OPEX'!$G$115)</f>
        <v>3042.4446955760445</v>
      </c>
      <c r="CL85">
        <f>7963.6*(CA85/1000)^0.6*1.7*('CAPEX+OPEX'!$G$116/'CAPEX+OPEX'!$G$115)</f>
        <v>2926.8836482840111</v>
      </c>
      <c r="CM85">
        <f>'Costing 100 Lmin Feed Orig'!DE85</f>
        <v>39625.826528698344</v>
      </c>
      <c r="CN85">
        <f>'Costing 100 Lmin Feed Orig'!DF85</f>
        <v>4586243.4239371875</v>
      </c>
      <c r="CO85">
        <f>'Costing 100 Lmin Feed Orig'!DG85</f>
        <v>11794834.586807497</v>
      </c>
      <c r="CP85">
        <f>'Costing 100 Lmin Feed Orig'!DH85</f>
        <v>2275209.1661185985</v>
      </c>
      <c r="CQ85">
        <f>'Costing 100 Lmin Feed Orig'!DI85</f>
        <v>14083914.336508472</v>
      </c>
      <c r="CR85">
        <f>'Costing 100 Lmin Feed Orig'!DJ85</f>
        <v>1662824.8986326549</v>
      </c>
      <c r="CS85">
        <f>CN85*(BK85/10000)^0.72*((A85+1)/3)^0.6*('CAPEX+OPEX'!$G$116/'CAPEX+OPEX'!$G$114)</f>
        <v>892840.31653984461</v>
      </c>
      <c r="CT85">
        <f>CO85*(BK85/10000)^0.72*((A85+1)/3)^0.6*('CAPEX+OPEX'!$G$116/'CAPEX+OPEX'!$G$114)</f>
        <v>2296193.8284949926</v>
      </c>
      <c r="CU85">
        <f>CP85*(BK85/10000)^0.72*((A85+1)/3)^0.6*('CAPEX+OPEX'!$G$116/'CAPEX+OPEX'!$G$114)</f>
        <v>442932.9811560188</v>
      </c>
      <c r="CV85">
        <f>CQ85*(BK85/10000)^0.72*((A85+1)/3)^0.6*('CAPEX+OPEX'!$G$116/'CAPEX+OPEX'!$G$114)</f>
        <v>2741827.1059701391</v>
      </c>
      <c r="CW85">
        <f>CR85*(BK85/10000)^0.72*((A85+1)/3)^0.6*('CAPEX+OPEX'!$G$116/'CAPEX+OPEX'!$G$114)</f>
        <v>323715.28756992728</v>
      </c>
      <c r="CX85">
        <f t="shared" si="35"/>
        <v>6697509.5197309218</v>
      </c>
      <c r="CY85">
        <f>CN85*(BM85/10000)^0.72*((AF85+1)/3)^0.6*('CAPEX+OPEX'!$G$116/'CAPEX+OPEX'!$G$114)</f>
        <v>661084.53106321464</v>
      </c>
      <c r="CZ85">
        <f>CO85*(BM85/10000)^0.72*((AF85+1)/3)^0.6*('CAPEX+OPEX'!$G$116/'CAPEX+OPEX'!$G$114)</f>
        <v>1700167.6472492905</v>
      </c>
      <c r="DA85">
        <f>CP85*(BM85/10000)^0.72*((AF85+1)/3)^0.6*('CAPEX+OPEX'!$G$116/'CAPEX+OPEX'!$G$114)</f>
        <v>327960.2597637524</v>
      </c>
      <c r="DB85">
        <f>CQ85*(BM85/10000)^0.72*((AF85+1)/3)^0.6*('CAPEX+OPEX'!$G$116/'CAPEX+OPEX'!$G$114)</f>
        <v>2030127.2837132132</v>
      </c>
      <c r="DC85">
        <f>CR85*(BM85/10000)^0.72*((AF85+1)/3)^0.6*('CAPEX+OPEX'!$G$116/'CAPEX+OPEX'!$G$114)</f>
        <v>239688.06640645108</v>
      </c>
      <c r="DD85">
        <f t="shared" si="36"/>
        <v>4959027.788195922</v>
      </c>
      <c r="DE85">
        <f>CX85+DD85+1.15*(SUM(CI85:CL85)+SUM(CB85:CE85))</f>
        <v>11729475.851952175</v>
      </c>
      <c r="DF85">
        <f t="shared" si="37"/>
        <v>781965.05679681164</v>
      </c>
      <c r="DG85">
        <f>(BS85+BT85)*'Oxidant Feed Composition'!$N$25*60*7200</f>
        <v>14819913.604108747</v>
      </c>
      <c r="DH85">
        <f>((CG85+CH85)*'Reagent cost'!$C$17/1000*'Reagent cost'!$H$17+(CG85+CH85)*0.5*'Reagent cost'!$C$16/1000*'Reagent cost'!$H$16)*60*7200</f>
        <v>5906071.7629575366</v>
      </c>
      <c r="DI85">
        <f>CF85*'Reagent cost'!$C$17/1000*'Reagent cost'!$H$17*60*7200</f>
        <v>504921.59999999998</v>
      </c>
      <c r="DJ85">
        <f t="shared" si="38"/>
        <v>84.437912647549425</v>
      </c>
      <c r="DK85">
        <f t="shared" si="39"/>
        <v>813.48166275537722</v>
      </c>
      <c r="DL85">
        <f t="shared" si="40"/>
        <v>25478165.863970023</v>
      </c>
      <c r="DM85">
        <f>BK85*(B85*(409.81+2)/1000+C85*(248.2+2*22.99)/1000+D85*(315.6+3*22.99)/1000+0.1*58.44/1000)</f>
        <v>0.70639694042110623</v>
      </c>
      <c r="DN85">
        <f>(BS85+BT85)/1000*('Oxidant Feed Composition'!$B$11*'Oxidant Feed Composition'!$O$20+'Oxidant Feed Composition'!$D$11*'Oxidant Feed Composition'!$O$21+'Oxidant Feed Composition'!$F$11*'Oxidant Feed Composition'!$O$27-'Oxidant Feed Composition'!$J$15*18.015)</f>
        <v>2.1490406839138352</v>
      </c>
      <c r="DO85">
        <f>(BU85+BV85)/1000*(0.2*368.34+0.4*58.44)</f>
        <v>1.4881500591440602</v>
      </c>
      <c r="DP85">
        <f>BK85/1000*(B85*195.08+C85*106.42+D85*102.91)</f>
        <v>4.999938342565946E-2</v>
      </c>
      <c r="DQ85">
        <f>SUM(DM85:DO85)-DP85</f>
        <v>4.2935883000533419</v>
      </c>
      <c r="DR85">
        <f>DQ85*60*7200*0.33</f>
        <v>612093.94805560447</v>
      </c>
      <c r="DS85">
        <v>1.2</v>
      </c>
      <c r="DT85">
        <f>BM85/60*(AM85*4+AN85*2+AO85*3)*96485/DV85</f>
        <v>1405.7118236014501</v>
      </c>
      <c r="DU85">
        <f>BN85*BA85*(AP85*4+AQ85*2+AR85*3)*96485/DV85/60</f>
        <v>705.97150548690695</v>
      </c>
      <c r="DV85">
        <v>0.7</v>
      </c>
      <c r="DW85">
        <f>0.499*((BK85/3.78541*15)^(-0.146))*BK85/3.78541*15*300*(1+(A85-2)/9)</f>
        <v>49536.497143418172</v>
      </c>
      <c r="DX85">
        <f>0.248*((BK85/3.78541*15)^(-0.144))*BK85/3.78541*15*300*(1+(A85-2)/3)</f>
        <v>49831.318766753509</v>
      </c>
      <c r="DY85">
        <f>0.105*((BK85/3.78541*15)^(-0.144))*BK85/3.78541*15*300*(1+(A85-2)/3)</f>
        <v>21097.937381085154</v>
      </c>
      <c r="DZ85">
        <f>0.058*((BK85/3.78541*15)^(-0.151))*BK85/3.78541*15*300*(1+(A85-2)/3)</f>
        <v>11176.166036369152</v>
      </c>
      <c r="EA85">
        <f>0.056*((BK85/3.78541*15)^(-0.144))*BK85/3.78541*15*300*(1+(A85-2)/3)</f>
        <v>11252.233269912085</v>
      </c>
      <c r="EB85">
        <f>DS85*DT85/(3.6*10^6)*3600*7200*0.07</f>
        <v>850.17451091415705</v>
      </c>
      <c r="EC85">
        <f>0.499*((BM85/3.78541*15)^(-0.146))*BM85/3.78541*15*300*(1+(AF85-2)/9)</f>
        <v>35999.102981412223</v>
      </c>
      <c r="ED85">
        <f>0.248*((BM85/3.78541*15)^(-0.144))*BM85/3.78541*15*300*(1+(AF85-2)/3)</f>
        <v>31035.083337015851</v>
      </c>
      <c r="EE85">
        <f>0.105*((BM85/3.78541*15)^(-0.144))*BM85/3.78541*15*300*(1+(AF85-2)/3)</f>
        <v>13139.85383220429</v>
      </c>
      <c r="EF85">
        <f>0.058*((BM85/3.78541*15)^(-0.151))*BM85/3.78541*15*300*(1+(AF85-2)/3)</f>
        <v>6964.4222544225158</v>
      </c>
      <c r="EG85">
        <f>0.056*((BM85/3.78541*15)^(-0.144))*BM85/3.78541*15*300*(1+(AF85-2)/3)</f>
        <v>7007.9220438422899</v>
      </c>
      <c r="EH85">
        <f>DS85*DU85/(3.6*10^6)*3600*7200*0.07</f>
        <v>426.97156651848138</v>
      </c>
      <c r="EI85">
        <f>SUM(DW85:EH85)</f>
        <v>238317.6831238679</v>
      </c>
      <c r="EJ85">
        <f>EI85+DR85+DL85</f>
        <v>26328577.495149493</v>
      </c>
      <c r="EK85">
        <f>EJ85+DF85</f>
        <v>27110542.551946305</v>
      </c>
      <c r="EL85">
        <f>EK85/(BK85*60*7200)</f>
        <v>0.62755885536912748</v>
      </c>
      <c r="EM85">
        <f>EK85/(BM85*(AM85*195.084/1000+AN85*106.42/1000+AO85*102.911/1000)*60*7200)</f>
        <v>2099.7312412650385</v>
      </c>
      <c r="EN85">
        <f>EK85/(BN85*BA85*(AP85*195.084/1000+AQ85*106.42/1000+AR85*102.911/1000)*60*7200)</f>
        <v>3852.2109636096193</v>
      </c>
    </row>
    <row r="86" spans="1:144">
      <c r="A86">
        <f>'Costing 100 Lmin Feed Orig'!A86</f>
        <v>11</v>
      </c>
      <c r="B86">
        <f>'Costing 100 Lmin Feed Orig'!B86</f>
        <v>1.54143585092054E-3</v>
      </c>
      <c r="C86">
        <f>'Costing 100 Lmin Feed Orig'!C86</f>
        <v>1.54143585092054E-3</v>
      </c>
      <c r="D86">
        <f>'Costing 100 Lmin Feed Orig'!D86</f>
        <v>3.4254130020456501E-4</v>
      </c>
      <c r="E86">
        <f>'Costing 100 Lmin Feed Orig'!E86</f>
        <v>0</v>
      </c>
      <c r="F86">
        <f>'Costing 100 Lmin Feed Orig'!F86</f>
        <v>0</v>
      </c>
      <c r="G86">
        <f>'Costing 100 Lmin Feed Orig'!G86</f>
        <v>0</v>
      </c>
      <c r="H86">
        <f>'Costing 100 Lmin Feed Orig'!H86</f>
        <v>1.7771367359861701E-5</v>
      </c>
      <c r="I86">
        <f>'Costing 100 Lmin Feed Orig'!I86</f>
        <v>1.8081057367328801E-10</v>
      </c>
      <c r="J86">
        <f>'Costing 100 Lmin Feed Orig'!J86</f>
        <v>3.3765941525589702E-4</v>
      </c>
      <c r="K86">
        <f>'Costing 100 Lmin Feed Orig'!K86</f>
        <v>0.139102253285185</v>
      </c>
      <c r="L86">
        <f>'Costing 100 Lmin Feed Orig'!L86</f>
        <v>0.14072466572308701</v>
      </c>
      <c r="M86">
        <f>'Costing 100 Lmin Feed Orig'!M86</f>
        <v>4.4568945720355099E-4</v>
      </c>
      <c r="N86">
        <f>'Costing 100 Lmin Feed Orig'!N86</f>
        <v>-8.03393809811758E-16</v>
      </c>
      <c r="O86">
        <f>'Costing 100 Lmin Feed Orig'!O86</f>
        <v>-8.4019770307808202E-13</v>
      </c>
      <c r="P86">
        <f>'Costing 100 Lmin Feed Orig'!P86</f>
        <v>-2.26157796916898E-19</v>
      </c>
      <c r="Q86">
        <f>'Costing 100 Lmin Feed Orig'!Q86</f>
        <v>0.10953557168033</v>
      </c>
      <c r="R86">
        <f>'Costing 100 Lmin Feed Orig'!R86</f>
        <v>98.5748039883795</v>
      </c>
      <c r="S86">
        <f>'Costing 100 Lmin Feed Orig'!S86</f>
        <v>500</v>
      </c>
      <c r="T86">
        <f>'Costing 100 Lmin Feed Orig'!T86</f>
        <v>95</v>
      </c>
      <c r="U86">
        <f>'Costing 100 Lmin Feed Orig'!U86</f>
        <v>1</v>
      </c>
      <c r="V86">
        <f>'Costing 100 Lmin Feed Orig'!V86</f>
        <v>0.1</v>
      </c>
      <c r="W86">
        <f>'Costing 100 Lmin Feed Orig'!W86</f>
        <v>91.294543376138293</v>
      </c>
      <c r="X86" t="str">
        <f>'Costing 100 Lmin Feed Orig'!X86</f>
        <v>ddFc</v>
      </c>
      <c r="Y86">
        <f>'Costing 100 Lmin Feed Orig'!Y86</f>
        <v>1</v>
      </c>
      <c r="Z86">
        <f>'Costing 100 Lmin Feed Orig'!Z86</f>
        <v>0.28318429382522198</v>
      </c>
      <c r="AA86">
        <f>'Costing 100 Lmin Feed Orig'!AA86</f>
        <v>0.56945642916197003</v>
      </c>
      <c r="AB86">
        <f>'Costing 100 Lmin Feed Orig'!AB86</f>
        <v>3.7698628972227502E-3</v>
      </c>
      <c r="AC86">
        <f>'Costing 100 Lmin Feed Orig'!AC86</f>
        <v>1822.2107908876901</v>
      </c>
      <c r="AD86">
        <f>'Costing 100 Lmin Feed Orig'!AD86</f>
        <v>2662.6059073104898</v>
      </c>
      <c r="AE86">
        <f>'Costing 100 Lmin Feed Orig'!AE86</f>
        <v>2401.5030938442701</v>
      </c>
      <c r="AF86">
        <f>'Costing 100 Lmin Feed Orig'!AF86</f>
        <v>8</v>
      </c>
      <c r="AG86">
        <f>'Costing 100 Lmin Feed Orig'!AG86</f>
        <v>1.6497569194096201E-3</v>
      </c>
      <c r="AH86">
        <f>'Costing 100 Lmin Feed Orig'!AH86</f>
        <v>1.6689987798565299E-3</v>
      </c>
      <c r="AI86">
        <f>'Costing 100 Lmin Feed Orig'!AI86</f>
        <v>5.28589040482341E-6</v>
      </c>
      <c r="AJ86">
        <f>'Costing 100 Lmin Feed Orig'!AJ86</f>
        <v>0</v>
      </c>
      <c r="AK86">
        <f>'Costing 100 Lmin Feed Orig'!AK86</f>
        <v>0</v>
      </c>
      <c r="AL86">
        <f>'Costing 100 Lmin Feed Orig'!AL86</f>
        <v>0</v>
      </c>
      <c r="AM86">
        <f>'Costing 100 Lmin Feed Orig'!AM86</f>
        <v>1.6127556677607399E-3</v>
      </c>
      <c r="AN86">
        <f>'Costing 100 Lmin Feed Orig'!AN86</f>
        <v>7.9630797964244996E-5</v>
      </c>
      <c r="AO86">
        <f>'Costing 100 Lmin Feed Orig'!AO86</f>
        <v>5.2510792863207299E-6</v>
      </c>
      <c r="AP86">
        <f>'Costing 100 Lmin Feed Orig'!AP86</f>
        <v>1.7350919198262601E-3</v>
      </c>
      <c r="AQ86">
        <f>'Costing 100 Lmin Feed Orig'!AQ86</f>
        <v>7.4529898928506394E-2</v>
      </c>
      <c r="AR86">
        <f>'Costing 100 Lmin Feed Orig'!AR86</f>
        <v>1.6323904665746701E-6</v>
      </c>
      <c r="AS86">
        <f>'Costing 100 Lmin Feed Orig'!AS86</f>
        <v>5.0343369338741403E-15</v>
      </c>
      <c r="AT86">
        <f>'Costing 100 Lmin Feed Orig'!AT86</f>
        <v>-1.17148695258362E-12</v>
      </c>
      <c r="AU86">
        <f>'Costing 100 Lmin Feed Orig'!AU86</f>
        <v>2.5583041985040001E-20</v>
      </c>
      <c r="AV86">
        <f>'Costing 100 Lmin Feed Orig'!AV86</f>
        <v>0.19695332346498701</v>
      </c>
      <c r="AW86">
        <f>'Costing 100 Lmin Feed Orig'!AW86</f>
        <v>99.341433214905294</v>
      </c>
      <c r="AX86">
        <f>'Costing 100 Lmin Feed Orig'!AX86</f>
        <v>500</v>
      </c>
      <c r="AY86">
        <f>'Costing 100 Lmin Feed Orig'!AY86</f>
        <v>95</v>
      </c>
      <c r="AZ86">
        <f>'Costing 100 Lmin Feed Orig'!AZ86</f>
        <v>0.92356908198738696</v>
      </c>
      <c r="BA86">
        <f>'Costing 100 Lmin Feed Orig'!BA86</f>
        <v>0.1</v>
      </c>
      <c r="BB86">
        <f>'Costing 100 Lmin Feed Orig'!BB86</f>
        <v>46.892789912812503</v>
      </c>
      <c r="BC86" t="str">
        <f>'Costing 100 Lmin Feed Orig'!BC86</f>
        <v>coeFc</v>
      </c>
      <c r="BD86">
        <f>'Costing 100 Lmin Feed Orig'!BD86</f>
        <v>1</v>
      </c>
      <c r="BE86">
        <f>'Costing 100 Lmin Feed Orig'!BE86</f>
        <v>1.8775014999999999E-2</v>
      </c>
      <c r="BF86">
        <f>'Costing 100 Lmin Feed Orig'!BF86</f>
        <v>0.10492961100000001</v>
      </c>
      <c r="BG86">
        <f>'Costing 100 Lmin Feed Orig'!BG86</f>
        <v>1.814625E-3</v>
      </c>
      <c r="BH86">
        <f>'Costing 100 Lmin Feed Orig'!BH86</f>
        <v>285.1951444</v>
      </c>
      <c r="BI86">
        <f>'Costing 100 Lmin Feed Orig'!BI86</f>
        <v>2169.8944889999998</v>
      </c>
      <c r="BJ86">
        <f>'Costing 100 Lmin Feed Orig'!BJ86</f>
        <v>866.49409060000005</v>
      </c>
      <c r="BK86">
        <f>'Costing 100 Lmin Feed Orig'!BK86</f>
        <v>100</v>
      </c>
      <c r="BL86">
        <f>'Costing 100 Lmin Feed Orig'!BL86</f>
        <v>10.953557168032999</v>
      </c>
      <c r="BM86">
        <f>'Costing 100 Lmin Feed Orig'!BM86</f>
        <v>92.356908198738694</v>
      </c>
      <c r="BN86">
        <f>'Costing 100 Lmin Feed Orig'!BN86</f>
        <v>19.695332346498702</v>
      </c>
      <c r="BO86">
        <f t="shared" si="22"/>
        <v>284.79248636885796</v>
      </c>
      <c r="BP86">
        <f t="shared" si="23"/>
        <v>393.90664692997404</v>
      </c>
      <c r="BQ86">
        <f t="shared" si="24"/>
        <v>28.479248636885799</v>
      </c>
      <c r="BR86">
        <f t="shared" si="25"/>
        <v>39.390664692997404</v>
      </c>
      <c r="BS86">
        <f>1.2*0.5*BL86*V86/'Oxidant Feed Composition'!$N$22</f>
        <v>6.5721343008197994</v>
      </c>
      <c r="BT86">
        <f>1.2*0.5*BN86*BA86/'Oxidant Feed Composition'!$N$22</f>
        <v>11.817199407899221</v>
      </c>
      <c r="BU86">
        <f t="shared" si="26"/>
        <v>5.4767785840164995</v>
      </c>
      <c r="BV86">
        <f t="shared" si="27"/>
        <v>9.8476661732493511</v>
      </c>
      <c r="BW86">
        <f t="shared" si="28"/>
        <v>86.880129614722193</v>
      </c>
      <c r="BX86">
        <f t="shared" si="21"/>
        <v>35.051382937705597</v>
      </c>
      <c r="BY86">
        <f t="shared" si="29"/>
        <v>206.62093073354339</v>
      </c>
      <c r="BZ86">
        <f t="shared" si="30"/>
        <v>63.025063508795846</v>
      </c>
      <c r="CA86">
        <f t="shared" si="31"/>
        <v>59.085997039496107</v>
      </c>
      <c r="CB86">
        <f>BO86*'Reagent cost'!$G$11*'Reagent cost'!$H$11</f>
        <v>3759.2608200689256</v>
      </c>
      <c r="CC86">
        <f>BP86*'Reagent cost'!$G$11*'Reagent cost'!$H$11</f>
        <v>5199.5677394756585</v>
      </c>
      <c r="CD86">
        <f>BQ86*'Reagent cost'!$C$18/1000*'Reagent cost'!$H$18</f>
        <v>4541.8834647976191</v>
      </c>
      <c r="CE86">
        <f>BR86*'Ligand cost'!$B$56*'Ligand cost'!$J$56</f>
        <v>40104.72810332357</v>
      </c>
      <c r="CF86">
        <f t="shared" si="32"/>
        <v>10</v>
      </c>
      <c r="CG86">
        <f t="shared" si="33"/>
        <v>2.1907114336065998</v>
      </c>
      <c r="CH86">
        <f t="shared" si="34"/>
        <v>3.9390664692997408</v>
      </c>
      <c r="CI86">
        <f>7963.6*(BX86/1000)^0.6*1.7*('CAPEX+OPEX'!$G$116/'CAPEX+OPEX'!$G$115)</f>
        <v>2138.2772847076108</v>
      </c>
      <c r="CJ86">
        <f>7963.6*(BY86/1000)^0.6*1.7*('CAPEX+OPEX'!$G$116/'CAPEX+OPEX'!$G$115)</f>
        <v>6199.3408604999822</v>
      </c>
      <c r="CK86">
        <f>7963.6*(BZ86/1000)^0.6*1.7*('CAPEX+OPEX'!$G$116/'CAPEX+OPEX'!$G$115)</f>
        <v>3040.5272711635121</v>
      </c>
      <c r="CL86">
        <f>7963.6*(CA86/1000)^0.6*1.7*('CAPEX+OPEX'!$G$116/'CAPEX+OPEX'!$G$115)</f>
        <v>2925.0390533212753</v>
      </c>
      <c r="CM86">
        <f>'Costing 100 Lmin Feed Orig'!DE86</f>
        <v>39625.826528698344</v>
      </c>
      <c r="CN86">
        <f>'Costing 100 Lmin Feed Orig'!DF86</f>
        <v>4586243.4239371875</v>
      </c>
      <c r="CO86">
        <f>'Costing 100 Lmin Feed Orig'!DG86</f>
        <v>11794834.586807497</v>
      </c>
      <c r="CP86">
        <f>'Costing 100 Lmin Feed Orig'!DH86</f>
        <v>2275209.1661185985</v>
      </c>
      <c r="CQ86">
        <f>'Costing 100 Lmin Feed Orig'!DI86</f>
        <v>14083914.336508472</v>
      </c>
      <c r="CR86">
        <f>'Costing 100 Lmin Feed Orig'!DJ86</f>
        <v>1662824.8986326549</v>
      </c>
      <c r="CS86">
        <f>CN86*(BK86/10000)^0.72*((A86+1)/3)^0.6*('CAPEX+OPEX'!$G$116/'CAPEX+OPEX'!$G$114)</f>
        <v>892840.31653984461</v>
      </c>
      <c r="CT86">
        <f>CO86*(BK86/10000)^0.72*((A86+1)/3)^0.6*('CAPEX+OPEX'!$G$116/'CAPEX+OPEX'!$G$114)</f>
        <v>2296193.8284949926</v>
      </c>
      <c r="CU86">
        <f>CP86*(BK86/10000)^0.72*((A86+1)/3)^0.6*('CAPEX+OPEX'!$G$116/'CAPEX+OPEX'!$G$114)</f>
        <v>442932.9811560188</v>
      </c>
      <c r="CV86">
        <f>CQ86*(BK86/10000)^0.72*((A86+1)/3)^0.6*('CAPEX+OPEX'!$G$116/'CAPEX+OPEX'!$G$114)</f>
        <v>2741827.1059701391</v>
      </c>
      <c r="CW86">
        <f>CR86*(BK86/10000)^0.72*((A86+1)/3)^0.6*('CAPEX+OPEX'!$G$116/'CAPEX+OPEX'!$G$114)</f>
        <v>323715.28756992728</v>
      </c>
      <c r="CX86">
        <f t="shared" si="35"/>
        <v>6697509.5197309218</v>
      </c>
      <c r="CY86">
        <f>CN86*(BM86/10000)^0.72*((AF86+1)/3)^0.6*('CAPEX+OPEX'!$G$116/'CAPEX+OPEX'!$G$114)</f>
        <v>709493.64296132035</v>
      </c>
      <c r="CZ86">
        <f>CO86*(BM86/10000)^0.72*((AF86+1)/3)^0.6*('CAPEX+OPEX'!$G$116/'CAPEX+OPEX'!$G$114)</f>
        <v>1824665.5019319013</v>
      </c>
      <c r="DA86">
        <f>CP86*(BM86/10000)^0.72*((AF86+1)/3)^0.6*('CAPEX+OPEX'!$G$116/'CAPEX+OPEX'!$G$114)</f>
        <v>351975.74366488325</v>
      </c>
      <c r="DB86">
        <f>CQ86*(BM86/10000)^0.72*((AF86+1)/3)^0.6*('CAPEX+OPEX'!$G$116/'CAPEX+OPEX'!$G$114)</f>
        <v>2178787.0302763539</v>
      </c>
      <c r="DC86">
        <f>CR86*(BM86/10000)^0.72*((AF86+1)/3)^0.6*('CAPEX+OPEX'!$G$116/'CAPEX+OPEX'!$G$114)</f>
        <v>257239.65910315106</v>
      </c>
      <c r="DD86">
        <f t="shared" si="36"/>
        <v>5322161.5779376104</v>
      </c>
      <c r="DE86">
        <f>CX86+DD86+1.15*(SUM(CI86:CL86)+SUM(CB86:CE86))</f>
        <v>12097766.015955495</v>
      </c>
      <c r="DF86">
        <f t="shared" si="37"/>
        <v>806517.734397033</v>
      </c>
      <c r="DG86">
        <f>(BS86+BT86)*'Oxidant Feed Composition'!$N$25*60*7200</f>
        <v>14809908.759953907</v>
      </c>
      <c r="DH86">
        <f>((CG86+CH86)*'Reagent cost'!$C$17/1000*'Reagent cost'!$H$17+(CG86+CH86)*0.5*'Reagent cost'!$C$16/1000*'Reagent cost'!$H$16)*60*7200</f>
        <v>5902084.6056006067</v>
      </c>
      <c r="DI86">
        <f>CF86*'Reagent cost'!$C$17/1000*'Reagent cost'!$H$17*60*7200</f>
        <v>504921.59999999998</v>
      </c>
      <c r="DJ86">
        <f t="shared" si="38"/>
        <v>89.588285595445853</v>
      </c>
      <c r="DK86">
        <f t="shared" si="39"/>
        <v>892.93223136242375</v>
      </c>
      <c r="DL86">
        <f t="shared" si="40"/>
        <v>25461476.983285766</v>
      </c>
      <c r="DM86">
        <f>BK86*(B86*(409.81+2)/1000+C86*(248.2+2*22.99)/1000+D86*(315.6+3*22.99)/1000+0.1*58.44/1000)</f>
        <v>0.70639694042110623</v>
      </c>
      <c r="DN86">
        <f>(BS86+BT86)/1000*('Oxidant Feed Composition'!$B$11*'Oxidant Feed Composition'!$O$20+'Oxidant Feed Composition'!$D$11*'Oxidant Feed Composition'!$O$21+'Oxidant Feed Composition'!$F$11*'Oxidant Feed Composition'!$O$27-'Oxidant Feed Composition'!$J$15*18.015)</f>
        <v>2.1475898780792444</v>
      </c>
      <c r="DO86">
        <f>(BU86+BV86)/1000*(0.2*368.34+0.4*58.44)</f>
        <v>1.4871454170241072</v>
      </c>
      <c r="DP86">
        <f>BK86/1000*(B86*195.08+C86*106.42+D86*102.91)</f>
        <v>4.999938342565946E-2</v>
      </c>
      <c r="DQ86">
        <f>SUM(DM86:DO86)-DP86</f>
        <v>4.2911328520987979</v>
      </c>
      <c r="DR86">
        <f>DQ86*60*7200*0.33</f>
        <v>611743.89939520461</v>
      </c>
      <c r="DS86">
        <v>1.2</v>
      </c>
      <c r="DT86">
        <f>BM86/60*(AM86*4+AN86*2+AO86*3)*96485/DV86</f>
        <v>1405.8331706903878</v>
      </c>
      <c r="DU86">
        <f>BN86*BA86*(AP86*4+AQ86*2+AR86*3)*96485/DV86/60</f>
        <v>705.85015893081743</v>
      </c>
      <c r="DV86">
        <v>0.7</v>
      </c>
      <c r="DW86">
        <f>0.499*((BK86/3.78541*15)^(-0.146))*BK86/3.78541*15*300*(1+(A86-2)/9)</f>
        <v>49536.497143418172</v>
      </c>
      <c r="DX86">
        <f>0.248*((BK86/3.78541*15)^(-0.144))*BK86/3.78541*15*300*(1+(A86-2)/3)</f>
        <v>49831.318766753509</v>
      </c>
      <c r="DY86">
        <f>0.105*((BK86/3.78541*15)^(-0.144))*BK86/3.78541*15*300*(1+(A86-2)/3)</f>
        <v>21097.937381085154</v>
      </c>
      <c r="DZ86">
        <f>0.058*((BK86/3.78541*15)^(-0.151))*BK86/3.78541*15*300*(1+(A86-2)/3)</f>
        <v>11176.166036369152</v>
      </c>
      <c r="EA86">
        <f>0.056*((BK86/3.78541*15)^(-0.144))*BK86/3.78541*15*300*(1+(A86-2)/3)</f>
        <v>11252.233269912085</v>
      </c>
      <c r="EB86">
        <f>DS86*DT86/(3.6*10^6)*3600*7200*0.07</f>
        <v>850.24790163354669</v>
      </c>
      <c r="EC86">
        <f>0.499*((BM86/3.78541*15)^(-0.146))*BM86/3.78541*15*300*(1+(AF86-2)/9)</f>
        <v>38570.467480084517</v>
      </c>
      <c r="ED86">
        <f>0.248*((BM86/3.78541*15)^(-0.144))*BM86/3.78541*15*300*(1+(AF86-2)/3)</f>
        <v>34914.468754142828</v>
      </c>
      <c r="EE86">
        <f>0.105*((BM86/3.78541*15)^(-0.144))*BM86/3.78541*15*300*(1+(AF86-2)/3)</f>
        <v>14782.335561229824</v>
      </c>
      <c r="EF86">
        <f>0.058*((BM86/3.78541*15)^(-0.151))*BM86/3.78541*15*300*(1+(AF86-2)/3)</f>
        <v>7834.9750362253289</v>
      </c>
      <c r="EG86">
        <f>0.056*((BM86/3.78541*15)^(-0.144))*BM86/3.78541*15*300*(1+(AF86-2)/3)</f>
        <v>7883.9122993225756</v>
      </c>
      <c r="EH86">
        <f>DS86*DU86/(3.6*10^6)*3600*7200*0.07</f>
        <v>426.8981761213584</v>
      </c>
      <c r="EI86">
        <f>SUM(DW86:EH86)</f>
        <v>248157.45780629804</v>
      </c>
      <c r="EJ86">
        <f>EI86+DR86+DL86</f>
        <v>26321378.340487268</v>
      </c>
      <c r="EK86">
        <f>EJ86+DF86</f>
        <v>27127896.074884299</v>
      </c>
      <c r="EL86">
        <f>EK86/(BK86*60*7200)</f>
        <v>0.62796055728898836</v>
      </c>
      <c r="EM86">
        <f>EK86/(BM86*(AM86*195.084/1000+AN86*106.42/1000+AO86*102.911/1000)*60*7200)</f>
        <v>2100.8938145936486</v>
      </c>
      <c r="EN86">
        <f>EK86/(BN86*BA86*(AP86*195.084/1000+AQ86*106.42/1000+AR86*102.911/1000)*60*7200)</f>
        <v>3855.2877164087477</v>
      </c>
    </row>
    <row r="87" spans="1:144">
      <c r="A87">
        <f>'Costing 100 Lmin Feed Orig'!A87</f>
        <v>11</v>
      </c>
      <c r="B87">
        <f>'Costing 100 Lmin Feed Orig'!B87</f>
        <v>1.54143585092054E-3</v>
      </c>
      <c r="C87">
        <f>'Costing 100 Lmin Feed Orig'!C87</f>
        <v>1.54143585092054E-3</v>
      </c>
      <c r="D87">
        <f>'Costing 100 Lmin Feed Orig'!D87</f>
        <v>3.4254130020456501E-4</v>
      </c>
      <c r="E87">
        <f>'Costing 100 Lmin Feed Orig'!E87</f>
        <v>0</v>
      </c>
      <c r="F87">
        <f>'Costing 100 Lmin Feed Orig'!F87</f>
        <v>0</v>
      </c>
      <c r="G87">
        <f>'Costing 100 Lmin Feed Orig'!G87</f>
        <v>0</v>
      </c>
      <c r="H87">
        <f>'Costing 100 Lmin Feed Orig'!H87</f>
        <v>1.7771367359861701E-5</v>
      </c>
      <c r="I87">
        <f>'Costing 100 Lmin Feed Orig'!I87</f>
        <v>1.8081057367328801E-10</v>
      </c>
      <c r="J87">
        <f>'Costing 100 Lmin Feed Orig'!J87</f>
        <v>3.3765941525589702E-4</v>
      </c>
      <c r="K87">
        <f>'Costing 100 Lmin Feed Orig'!K87</f>
        <v>0.139102253285185</v>
      </c>
      <c r="L87">
        <f>'Costing 100 Lmin Feed Orig'!L87</f>
        <v>0.14072466572308701</v>
      </c>
      <c r="M87">
        <f>'Costing 100 Lmin Feed Orig'!M87</f>
        <v>4.4568945720355099E-4</v>
      </c>
      <c r="N87">
        <f>'Costing 100 Lmin Feed Orig'!N87</f>
        <v>-8.03393809811758E-16</v>
      </c>
      <c r="O87">
        <f>'Costing 100 Lmin Feed Orig'!O87</f>
        <v>-8.4019770307808202E-13</v>
      </c>
      <c r="P87">
        <f>'Costing 100 Lmin Feed Orig'!P87</f>
        <v>-2.26157796916898E-19</v>
      </c>
      <c r="Q87">
        <f>'Costing 100 Lmin Feed Orig'!Q87</f>
        <v>0.10953557168033</v>
      </c>
      <c r="R87">
        <f>'Costing 100 Lmin Feed Orig'!R87</f>
        <v>98.5748039883795</v>
      </c>
      <c r="S87">
        <f>'Costing 100 Lmin Feed Orig'!S87</f>
        <v>500</v>
      </c>
      <c r="T87">
        <f>'Costing 100 Lmin Feed Orig'!T87</f>
        <v>95</v>
      </c>
      <c r="U87">
        <f>'Costing 100 Lmin Feed Orig'!U87</f>
        <v>1</v>
      </c>
      <c r="V87">
        <f>'Costing 100 Lmin Feed Orig'!V87</f>
        <v>0.1</v>
      </c>
      <c r="W87">
        <f>'Costing 100 Lmin Feed Orig'!W87</f>
        <v>91.294543376138293</v>
      </c>
      <c r="X87" t="str">
        <f>'Costing 100 Lmin Feed Orig'!X87</f>
        <v>ddFc</v>
      </c>
      <c r="Y87">
        <f>'Costing 100 Lmin Feed Orig'!Y87</f>
        <v>1</v>
      </c>
      <c r="Z87">
        <f>'Costing 100 Lmin Feed Orig'!Z87</f>
        <v>0.28318429382522198</v>
      </c>
      <c r="AA87">
        <f>'Costing 100 Lmin Feed Orig'!AA87</f>
        <v>0.56945642916197003</v>
      </c>
      <c r="AB87">
        <f>'Costing 100 Lmin Feed Orig'!AB87</f>
        <v>3.7698628972227502E-3</v>
      </c>
      <c r="AC87">
        <f>'Costing 100 Lmin Feed Orig'!AC87</f>
        <v>1822.2107908876901</v>
      </c>
      <c r="AD87">
        <f>'Costing 100 Lmin Feed Orig'!AD87</f>
        <v>2662.6059073104898</v>
      </c>
      <c r="AE87">
        <f>'Costing 100 Lmin Feed Orig'!AE87</f>
        <v>2401.5030938442701</v>
      </c>
      <c r="AF87">
        <f>'Costing 100 Lmin Feed Orig'!AF87</f>
        <v>9</v>
      </c>
      <c r="AG87">
        <f>'Costing 100 Lmin Feed Orig'!AG87</f>
        <v>1.6497569194096201E-3</v>
      </c>
      <c r="AH87">
        <f>'Costing 100 Lmin Feed Orig'!AH87</f>
        <v>1.6689987798565299E-3</v>
      </c>
      <c r="AI87">
        <f>'Costing 100 Lmin Feed Orig'!AI87</f>
        <v>5.28589040482341E-6</v>
      </c>
      <c r="AJ87">
        <f>'Costing 100 Lmin Feed Orig'!AJ87</f>
        <v>0</v>
      </c>
      <c r="AK87">
        <f>'Costing 100 Lmin Feed Orig'!AK87</f>
        <v>0</v>
      </c>
      <c r="AL87">
        <f>'Costing 100 Lmin Feed Orig'!AL87</f>
        <v>0</v>
      </c>
      <c r="AM87">
        <f>'Costing 100 Lmin Feed Orig'!AM87</f>
        <v>1.6127950089356499E-3</v>
      </c>
      <c r="AN87">
        <f>'Costing 100 Lmin Feed Orig'!AN87</f>
        <v>7.9632833043740095E-5</v>
      </c>
      <c r="AO87">
        <f>'Costing 100 Lmin Feed Orig'!AO87</f>
        <v>5.2511147626523301E-6</v>
      </c>
      <c r="AP87">
        <f>'Costing 100 Lmin Feed Orig'!AP87</f>
        <v>1.7337618973110201E-3</v>
      </c>
      <c r="AQ87">
        <f>'Costing 100 Lmin Feed Orig'!AQ87</f>
        <v>7.4551939662868896E-2</v>
      </c>
      <c r="AR87">
        <f>'Costing 100 Lmin Feed Orig'!AR87</f>
        <v>1.6312112273867399E-6</v>
      </c>
      <c r="AS87">
        <f>'Costing 100 Lmin Feed Orig'!AS87</f>
        <v>3.6795111228726801E-17</v>
      </c>
      <c r="AT87">
        <f>'Costing 100 Lmin Feed Orig'!AT87</f>
        <v>-4.8355416892853498E-15</v>
      </c>
      <c r="AU87">
        <f>'Costing 100 Lmin Feed Orig'!AU87</f>
        <v>-1.38304598418866E-21</v>
      </c>
      <c r="AV87">
        <f>'Costing 100 Lmin Feed Orig'!AV87</f>
        <v>0.19689484339142299</v>
      </c>
      <c r="AW87">
        <f>'Costing 100 Lmin Feed Orig'!AW87</f>
        <v>99.342104366383694</v>
      </c>
      <c r="AX87">
        <f>'Costing 100 Lmin Feed Orig'!AX87</f>
        <v>500</v>
      </c>
      <c r="AY87">
        <f>'Costing 100 Lmin Feed Orig'!AY87</f>
        <v>95</v>
      </c>
      <c r="AZ87">
        <f>'Costing 100 Lmin Feed Orig'!AZ87</f>
        <v>0.92356908198738696</v>
      </c>
      <c r="BA87">
        <f>'Costing 100 Lmin Feed Orig'!BA87</f>
        <v>0.1</v>
      </c>
      <c r="BB87">
        <f>'Costing 100 Lmin Feed Orig'!BB87</f>
        <v>46.906717620397401</v>
      </c>
      <c r="BC87" t="str">
        <f>'Costing 100 Lmin Feed Orig'!BC87</f>
        <v>coeFc</v>
      </c>
      <c r="BD87">
        <f>'Costing 100 Lmin Feed Orig'!BD87</f>
        <v>1</v>
      </c>
      <c r="BE87">
        <f>'Costing 100 Lmin Feed Orig'!BE87</f>
        <v>1.8775014999999999E-2</v>
      </c>
      <c r="BF87">
        <f>'Costing 100 Lmin Feed Orig'!BF87</f>
        <v>0.10492961100000001</v>
      </c>
      <c r="BG87">
        <f>'Costing 100 Lmin Feed Orig'!BG87</f>
        <v>1.814625E-3</v>
      </c>
      <c r="BH87">
        <f>'Costing 100 Lmin Feed Orig'!BH87</f>
        <v>285.1951444</v>
      </c>
      <c r="BI87">
        <f>'Costing 100 Lmin Feed Orig'!BI87</f>
        <v>2169.8944889999998</v>
      </c>
      <c r="BJ87">
        <f>'Costing 100 Lmin Feed Orig'!BJ87</f>
        <v>866.49409060000005</v>
      </c>
      <c r="BK87">
        <f>'Costing 100 Lmin Feed Orig'!BK87</f>
        <v>100</v>
      </c>
      <c r="BL87">
        <f>'Costing 100 Lmin Feed Orig'!BL87</f>
        <v>10.953557168032999</v>
      </c>
      <c r="BM87">
        <f>'Costing 100 Lmin Feed Orig'!BM87</f>
        <v>92.356908198738694</v>
      </c>
      <c r="BN87">
        <f>'Costing 100 Lmin Feed Orig'!BN87</f>
        <v>19.6894843391423</v>
      </c>
      <c r="BO87">
        <f t="shared" si="22"/>
        <v>284.79248636885796</v>
      </c>
      <c r="BP87">
        <f t="shared" si="23"/>
        <v>433.16865546113058</v>
      </c>
      <c r="BQ87">
        <f t="shared" si="24"/>
        <v>28.479248636885799</v>
      </c>
      <c r="BR87">
        <f t="shared" si="25"/>
        <v>43.316865546113064</v>
      </c>
      <c r="BS87">
        <f>1.2*0.5*BL87*V87/'Oxidant Feed Composition'!$N$22</f>
        <v>6.5721343008197994</v>
      </c>
      <c r="BT87">
        <f>1.2*0.5*BN87*BA87/'Oxidant Feed Composition'!$N$22</f>
        <v>11.81369060348538</v>
      </c>
      <c r="BU87">
        <f t="shared" si="26"/>
        <v>5.4767785840164995</v>
      </c>
      <c r="BV87">
        <f t="shared" si="27"/>
        <v>9.8447421695711501</v>
      </c>
      <c r="BW87">
        <f t="shared" si="28"/>
        <v>86.880129614722193</v>
      </c>
      <c r="BX87">
        <f t="shared" si="21"/>
        <v>35.051382937705597</v>
      </c>
      <c r="BY87">
        <f t="shared" si="29"/>
        <v>206.62093073354339</v>
      </c>
      <c r="BZ87">
        <f t="shared" si="30"/>
        <v>63.006349885255361</v>
      </c>
      <c r="CA87">
        <f t="shared" si="31"/>
        <v>59.068453017426904</v>
      </c>
      <c r="CB87">
        <f>BO87*'Reagent cost'!$G$11*'Reagent cost'!$H$11</f>
        <v>3759.2608200689256</v>
      </c>
      <c r="CC87">
        <f>BP87*'Reagent cost'!$G$11*'Reagent cost'!$H$11</f>
        <v>5717.8262520869239</v>
      </c>
      <c r="CD87">
        <f>BQ87*'Reagent cost'!$C$18/1000*'Reagent cost'!$H$18</f>
        <v>4541.8834647976191</v>
      </c>
      <c r="CE87">
        <f>BR87*'Ligand cost'!$B$56*'Ligand cost'!$J$56</f>
        <v>44102.102073030474</v>
      </c>
      <c r="CF87">
        <f t="shared" si="32"/>
        <v>10</v>
      </c>
      <c r="CG87">
        <f t="shared" si="33"/>
        <v>2.1907114336065998</v>
      </c>
      <c r="CH87">
        <f t="shared" si="34"/>
        <v>3.93789686782846</v>
      </c>
      <c r="CI87">
        <f>7963.6*(BX87/1000)^0.6*1.7*('CAPEX+OPEX'!$G$116/'CAPEX+OPEX'!$G$115)</f>
        <v>2138.2772847076108</v>
      </c>
      <c r="CJ87">
        <f>7963.6*(BY87/1000)^0.6*1.7*('CAPEX+OPEX'!$G$116/'CAPEX+OPEX'!$G$115)</f>
        <v>6199.3408604999822</v>
      </c>
      <c r="CK87">
        <f>7963.6*(BZ87/1000)^0.6*1.7*('CAPEX+OPEX'!$G$116/'CAPEX+OPEX'!$G$115)</f>
        <v>3039.9855565601665</v>
      </c>
      <c r="CL87">
        <f>7963.6*(CA87/1000)^0.6*1.7*('CAPEX+OPEX'!$G$116/'CAPEX+OPEX'!$G$115)</f>
        <v>2924.5179146406381</v>
      </c>
      <c r="CM87">
        <f>'Costing 100 Lmin Feed Orig'!DE87</f>
        <v>39625.826528698344</v>
      </c>
      <c r="CN87">
        <f>'Costing 100 Lmin Feed Orig'!DF87</f>
        <v>4586243.4239371875</v>
      </c>
      <c r="CO87">
        <f>'Costing 100 Lmin Feed Orig'!DG87</f>
        <v>11794834.586807497</v>
      </c>
      <c r="CP87">
        <f>'Costing 100 Lmin Feed Orig'!DH87</f>
        <v>2275209.1661185985</v>
      </c>
      <c r="CQ87">
        <f>'Costing 100 Lmin Feed Orig'!DI87</f>
        <v>14083914.336508472</v>
      </c>
      <c r="CR87">
        <f>'Costing 100 Lmin Feed Orig'!DJ87</f>
        <v>1662824.8986326549</v>
      </c>
      <c r="CS87">
        <f>CN87*(BK87/10000)^0.72*((A87+1)/3)^0.6*('CAPEX+OPEX'!$G$116/'CAPEX+OPEX'!$G$114)</f>
        <v>892840.31653984461</v>
      </c>
      <c r="CT87">
        <f>CO87*(BK87/10000)^0.72*((A87+1)/3)^0.6*('CAPEX+OPEX'!$G$116/'CAPEX+OPEX'!$G$114)</f>
        <v>2296193.8284949926</v>
      </c>
      <c r="CU87">
        <f>CP87*(BK87/10000)^0.72*((A87+1)/3)^0.6*('CAPEX+OPEX'!$G$116/'CAPEX+OPEX'!$G$114)</f>
        <v>442932.9811560188</v>
      </c>
      <c r="CV87">
        <f>CQ87*(BK87/10000)^0.72*((A87+1)/3)^0.6*('CAPEX+OPEX'!$G$116/'CAPEX+OPEX'!$G$114)</f>
        <v>2741827.1059701391</v>
      </c>
      <c r="CW87">
        <f>CR87*(BK87/10000)^0.72*((A87+1)/3)^0.6*('CAPEX+OPEX'!$G$116/'CAPEX+OPEX'!$G$114)</f>
        <v>323715.28756992728</v>
      </c>
      <c r="CX87">
        <f t="shared" si="35"/>
        <v>6697509.5197309218</v>
      </c>
      <c r="CY87">
        <f>CN87*(BM87/10000)^0.72*((AF87+1)/3)^0.6*('CAPEX+OPEX'!$G$116/'CAPEX+OPEX'!$G$114)</f>
        <v>755793.23951553891</v>
      </c>
      <c r="CZ87">
        <f>CO87*(BM87/10000)^0.72*((AF87+1)/3)^0.6*('CAPEX+OPEX'!$G$116/'CAPEX+OPEX'!$G$114)</f>
        <v>1943738.1355262429</v>
      </c>
      <c r="DA87">
        <f>CP87*(BM87/10000)^0.72*((AF87+1)/3)^0.6*('CAPEX+OPEX'!$G$116/'CAPEX+OPEX'!$G$114)</f>
        <v>374944.70905340556</v>
      </c>
      <c r="DB87">
        <f>CQ87*(BM87/10000)^0.72*((AF87+1)/3)^0.6*('CAPEX+OPEX'!$G$116/'CAPEX+OPEX'!$G$114)</f>
        <v>2320968.6572438823</v>
      </c>
      <c r="DC87">
        <f>CR87*(BM87/10000)^0.72*((AF87+1)/3)^0.6*('CAPEX+OPEX'!$G$116/'CAPEX+OPEX'!$G$114)</f>
        <v>274026.40913590638</v>
      </c>
      <c r="DD87">
        <f t="shared" si="36"/>
        <v>5669471.1504749758</v>
      </c>
      <c r="DE87">
        <f>CX87+DD87+1.15*(SUM(CI87:CL87)+SUM(CB87:CE87))</f>
        <v>12450267.34356625</v>
      </c>
      <c r="DF87">
        <f t="shared" si="37"/>
        <v>830017.82290441671</v>
      </c>
      <c r="DG87">
        <f>(BS87+BT87)*'Oxidant Feed Composition'!$N$25*60*7200</f>
        <v>14807082.9330888</v>
      </c>
      <c r="DH87">
        <f>((CG87+CH87)*'Reagent cost'!$C$17/1000*'Reagent cost'!$H$17+(CG87+CH87)*0.5*'Reagent cost'!$C$16/1000*'Reagent cost'!$H$16)*60*7200</f>
        <v>5900958.4494906012</v>
      </c>
      <c r="DI87">
        <f>CF87*'Reagent cost'!$C$17/1000*'Reagent cost'!$H$17*60*7200</f>
        <v>504921.59999999998</v>
      </c>
      <c r="DJ87">
        <f t="shared" si="38"/>
        <v>94.770870721558495</v>
      </c>
      <c r="DK87">
        <f t="shared" si="39"/>
        <v>972.87971075656185</v>
      </c>
      <c r="DL87">
        <f t="shared" si="40"/>
        <v>25456836.759793058</v>
      </c>
      <c r="DM87">
        <f>BK87*(B87*(409.81+2)/1000+C87*(248.2+2*22.99)/1000+D87*(315.6+3*22.99)/1000+0.1*58.44/1000)</f>
        <v>0.70639694042110623</v>
      </c>
      <c r="DN87">
        <f>(BS87+BT87)/1000*('Oxidant Feed Composition'!$B$11*'Oxidant Feed Composition'!$O$20+'Oxidant Feed Composition'!$D$11*'Oxidant Feed Composition'!$O$21+'Oxidant Feed Composition'!$F$11*'Oxidant Feed Composition'!$O$27-'Oxidant Feed Composition'!$J$15*18.015)</f>
        <v>2.1471801039698244</v>
      </c>
      <c r="DO87">
        <f>(BU87+BV87)/1000*(0.2*368.34+0.4*58.44)</f>
        <v>1.4868616600111597</v>
      </c>
      <c r="DP87">
        <f>BK87/1000*(B87*195.08+C87*106.42+D87*102.91)</f>
        <v>4.999938342565946E-2</v>
      </c>
      <c r="DQ87">
        <f>SUM(DM87:DO87)-DP87</f>
        <v>4.2904393209764304</v>
      </c>
      <c r="DR87">
        <f>DQ87*60*7200*0.33</f>
        <v>611645.0295984</v>
      </c>
      <c r="DS87">
        <v>1.2</v>
      </c>
      <c r="DT87">
        <f>BM87/60*(AM87*4+AN87*2+AO87*3)*96485/DV87</f>
        <v>1405.8674445834067</v>
      </c>
      <c r="DU87">
        <f>BN87*BA87*(AP87*4+AQ87*2+AR87*3)*96485/DV87/60</f>
        <v>705.81588450637275</v>
      </c>
      <c r="DV87">
        <v>0.7</v>
      </c>
      <c r="DW87">
        <f>0.499*((BK87/3.78541*15)^(-0.146))*BK87/3.78541*15*300*(1+(A87-2)/9)</f>
        <v>49536.497143418172</v>
      </c>
      <c r="DX87">
        <f>0.248*((BK87/3.78541*15)^(-0.144))*BK87/3.78541*15*300*(1+(A87-2)/3)</f>
        <v>49831.318766753509</v>
      </c>
      <c r="DY87">
        <f>0.105*((BK87/3.78541*15)^(-0.144))*BK87/3.78541*15*300*(1+(A87-2)/3)</f>
        <v>21097.937381085154</v>
      </c>
      <c r="DZ87">
        <f>0.058*((BK87/3.78541*15)^(-0.151))*BK87/3.78541*15*300*(1+(A87-2)/3)</f>
        <v>11176.166036369152</v>
      </c>
      <c r="EA87">
        <f>0.056*((BK87/3.78541*15)^(-0.144))*BK87/3.78541*15*300*(1+(A87-2)/3)</f>
        <v>11252.233269912085</v>
      </c>
      <c r="EB87">
        <f>DS87*DT87/(3.6*10^6)*3600*7200*0.07</f>
        <v>850.26863048404448</v>
      </c>
      <c r="EC87">
        <f>0.499*((BM87/3.78541*15)^(-0.146))*BM87/3.78541*15*300*(1+(AF87-2)/9)</f>
        <v>41141.831978756825</v>
      </c>
      <c r="ED87">
        <f>0.248*((BM87/3.78541*15)^(-0.144))*BM87/3.78541*15*300*(1+(AF87-2)/3)</f>
        <v>38793.854171269806</v>
      </c>
      <c r="EE87">
        <f>0.105*((BM87/3.78541*15)^(-0.144))*BM87/3.78541*15*300*(1+(AF87-2)/3)</f>
        <v>16424.81729025536</v>
      </c>
      <c r="EF87">
        <f>0.058*((BM87/3.78541*15)^(-0.151))*BM87/3.78541*15*300*(1+(AF87-2)/3)</f>
        <v>8705.5278180281439</v>
      </c>
      <c r="EG87">
        <f>0.056*((BM87/3.78541*15)^(-0.144))*BM87/3.78541*15*300*(1+(AF87-2)/3)</f>
        <v>8759.9025548028621</v>
      </c>
      <c r="EH87">
        <f>DS87*DU87/(3.6*10^6)*3600*7200*0.07</f>
        <v>426.87744694945422</v>
      </c>
      <c r="EI87">
        <f>SUM(DW87:EH87)</f>
        <v>257997.23248808456</v>
      </c>
      <c r="EJ87">
        <f>EI87+DR87+DL87</f>
        <v>26326479.021879543</v>
      </c>
      <c r="EK87">
        <f>EJ87+DF87</f>
        <v>27156496.844783958</v>
      </c>
      <c r="EL87">
        <f>EK87/(BK87*60*7200)</f>
        <v>0.62862261214777682</v>
      </c>
      <c r="EM87">
        <f>EK87/(BM87*(AM87*195.084/1000+AN87*106.42/1000+AO87*102.911/1000)*60*7200)</f>
        <v>2103.0574701357177</v>
      </c>
      <c r="EN87">
        <f>EK87/(BN87*BA87*(AP87*195.084/1000+AQ87*106.42/1000+AR87*102.911/1000)*60*7200)</f>
        <v>3859.5251007094034</v>
      </c>
    </row>
    <row r="88" spans="1:144">
      <c r="A88">
        <f>'Costing 100 Lmin Feed Orig'!A88</f>
        <v>11</v>
      </c>
      <c r="B88">
        <f>'Costing 100 Lmin Feed Orig'!B88</f>
        <v>1.54143585092054E-3</v>
      </c>
      <c r="C88">
        <f>'Costing 100 Lmin Feed Orig'!C88</f>
        <v>1.54143585092054E-3</v>
      </c>
      <c r="D88">
        <f>'Costing 100 Lmin Feed Orig'!D88</f>
        <v>3.4254130020456501E-4</v>
      </c>
      <c r="E88">
        <f>'Costing 100 Lmin Feed Orig'!E88</f>
        <v>0</v>
      </c>
      <c r="F88">
        <f>'Costing 100 Lmin Feed Orig'!F88</f>
        <v>0</v>
      </c>
      <c r="G88">
        <f>'Costing 100 Lmin Feed Orig'!G88</f>
        <v>0</v>
      </c>
      <c r="H88">
        <f>'Costing 100 Lmin Feed Orig'!H88</f>
        <v>1.7771367359861701E-5</v>
      </c>
      <c r="I88">
        <f>'Costing 100 Lmin Feed Orig'!I88</f>
        <v>1.8081057367328801E-10</v>
      </c>
      <c r="J88">
        <f>'Costing 100 Lmin Feed Orig'!J88</f>
        <v>3.3765941525589702E-4</v>
      </c>
      <c r="K88">
        <f>'Costing 100 Lmin Feed Orig'!K88</f>
        <v>0.139102253285185</v>
      </c>
      <c r="L88">
        <f>'Costing 100 Lmin Feed Orig'!L88</f>
        <v>0.14072466572308701</v>
      </c>
      <c r="M88">
        <f>'Costing 100 Lmin Feed Orig'!M88</f>
        <v>4.4568945720355099E-4</v>
      </c>
      <c r="N88">
        <f>'Costing 100 Lmin Feed Orig'!N88</f>
        <v>-8.03393809811758E-16</v>
      </c>
      <c r="O88">
        <f>'Costing 100 Lmin Feed Orig'!O88</f>
        <v>-8.4019770307808202E-13</v>
      </c>
      <c r="P88">
        <f>'Costing 100 Lmin Feed Orig'!P88</f>
        <v>-2.26157796916898E-19</v>
      </c>
      <c r="Q88">
        <f>'Costing 100 Lmin Feed Orig'!Q88</f>
        <v>0.10953557168033</v>
      </c>
      <c r="R88">
        <f>'Costing 100 Lmin Feed Orig'!R88</f>
        <v>98.5748039883795</v>
      </c>
      <c r="S88">
        <f>'Costing 100 Lmin Feed Orig'!S88</f>
        <v>500</v>
      </c>
      <c r="T88">
        <f>'Costing 100 Lmin Feed Orig'!T88</f>
        <v>95</v>
      </c>
      <c r="U88">
        <f>'Costing 100 Lmin Feed Orig'!U88</f>
        <v>1</v>
      </c>
      <c r="V88">
        <f>'Costing 100 Lmin Feed Orig'!V88</f>
        <v>0.1</v>
      </c>
      <c r="W88">
        <f>'Costing 100 Lmin Feed Orig'!W88</f>
        <v>91.294543376138293</v>
      </c>
      <c r="X88" t="str">
        <f>'Costing 100 Lmin Feed Orig'!X88</f>
        <v>ddFc</v>
      </c>
      <c r="Y88">
        <f>'Costing 100 Lmin Feed Orig'!Y88</f>
        <v>1</v>
      </c>
      <c r="Z88">
        <f>'Costing 100 Lmin Feed Orig'!Z88</f>
        <v>0.28318429382522198</v>
      </c>
      <c r="AA88">
        <f>'Costing 100 Lmin Feed Orig'!AA88</f>
        <v>0.56945642916197003</v>
      </c>
      <c r="AB88">
        <f>'Costing 100 Lmin Feed Orig'!AB88</f>
        <v>3.7698628972227502E-3</v>
      </c>
      <c r="AC88">
        <f>'Costing 100 Lmin Feed Orig'!AC88</f>
        <v>1822.2107908876901</v>
      </c>
      <c r="AD88">
        <f>'Costing 100 Lmin Feed Orig'!AD88</f>
        <v>2662.6059073104898</v>
      </c>
      <c r="AE88">
        <f>'Costing 100 Lmin Feed Orig'!AE88</f>
        <v>2401.5030938442701</v>
      </c>
      <c r="AF88">
        <f>'Costing 100 Lmin Feed Orig'!AF88</f>
        <v>10</v>
      </c>
      <c r="AG88">
        <f>'Costing 100 Lmin Feed Orig'!AG88</f>
        <v>1.6497569194096201E-3</v>
      </c>
      <c r="AH88">
        <f>'Costing 100 Lmin Feed Orig'!AH88</f>
        <v>1.6689987798565299E-3</v>
      </c>
      <c r="AI88">
        <f>'Costing 100 Lmin Feed Orig'!AI88</f>
        <v>5.28589040482341E-6</v>
      </c>
      <c r="AJ88">
        <f>'Costing 100 Lmin Feed Orig'!AJ88</f>
        <v>0</v>
      </c>
      <c r="AK88">
        <f>'Costing 100 Lmin Feed Orig'!AK88</f>
        <v>0</v>
      </c>
      <c r="AL88">
        <f>'Costing 100 Lmin Feed Orig'!AL88</f>
        <v>0</v>
      </c>
      <c r="AM88">
        <f>'Costing 100 Lmin Feed Orig'!AM88</f>
        <v>1.61280608328623E-3</v>
      </c>
      <c r="AN88">
        <f>'Costing 100 Lmin Feed Orig'!AN88</f>
        <v>7.9633405949388404E-5</v>
      </c>
      <c r="AO88">
        <f>'Costing 100 Lmin Feed Orig'!AO88</f>
        <v>5.2511247490748196E-6</v>
      </c>
      <c r="AP88">
        <f>'Costing 100 Lmin Feed Orig'!AP88</f>
        <v>1.7333873588263201E-3</v>
      </c>
      <c r="AQ88">
        <f>'Costing 100 Lmin Feed Orig'!AQ88</f>
        <v>7.4558146402506298E-2</v>
      </c>
      <c r="AR88">
        <f>'Costing 100 Lmin Feed Orig'!AR88</f>
        <v>1.63087914994542E-6</v>
      </c>
      <c r="AS88">
        <f>'Costing 100 Lmin Feed Orig'!AS88</f>
        <v>6.1625306095082401E-15</v>
      </c>
      <c r="AT88">
        <f>'Costing 100 Lmin Feed Orig'!AT88</f>
        <v>-6.3828326304915498E-13</v>
      </c>
      <c r="AU88">
        <f>'Costing 100 Lmin Feed Orig'!AU88</f>
        <v>5.8087931335923803E-20</v>
      </c>
      <c r="AV88">
        <f>'Costing 100 Lmin Feed Orig'!AV88</f>
        <v>0.19687838161047699</v>
      </c>
      <c r="AW88">
        <f>'Costing 100 Lmin Feed Orig'!AW88</f>
        <v>99.342293292406097</v>
      </c>
      <c r="AX88">
        <f>'Costing 100 Lmin Feed Orig'!AX88</f>
        <v>500</v>
      </c>
      <c r="AY88">
        <f>'Costing 100 Lmin Feed Orig'!AY88</f>
        <v>95</v>
      </c>
      <c r="AZ88">
        <f>'Costing 100 Lmin Feed Orig'!AZ88</f>
        <v>0.92356908198738696</v>
      </c>
      <c r="BA88">
        <f>'Costing 100 Lmin Feed Orig'!BA88</f>
        <v>0.1</v>
      </c>
      <c r="BB88">
        <f>'Costing 100 Lmin Feed Orig'!BB88</f>
        <v>46.910639676765697</v>
      </c>
      <c r="BC88" t="str">
        <f>'Costing 100 Lmin Feed Orig'!BC88</f>
        <v>coeFc</v>
      </c>
      <c r="BD88">
        <f>'Costing 100 Lmin Feed Orig'!BD88</f>
        <v>1</v>
      </c>
      <c r="BE88">
        <f>'Costing 100 Lmin Feed Orig'!BE88</f>
        <v>1.8775014999999999E-2</v>
      </c>
      <c r="BF88">
        <f>'Costing 100 Lmin Feed Orig'!BF88</f>
        <v>0.10492961100000001</v>
      </c>
      <c r="BG88">
        <f>'Costing 100 Lmin Feed Orig'!BG88</f>
        <v>1.814625E-3</v>
      </c>
      <c r="BH88">
        <f>'Costing 100 Lmin Feed Orig'!BH88</f>
        <v>285.1951444</v>
      </c>
      <c r="BI88">
        <f>'Costing 100 Lmin Feed Orig'!BI88</f>
        <v>2169.8944889999998</v>
      </c>
      <c r="BJ88">
        <f>'Costing 100 Lmin Feed Orig'!BJ88</f>
        <v>866.49409060000005</v>
      </c>
      <c r="BK88">
        <f>'Costing 100 Lmin Feed Orig'!BK88</f>
        <v>100</v>
      </c>
      <c r="BL88">
        <f>'Costing 100 Lmin Feed Orig'!BL88</f>
        <v>10.953557168032999</v>
      </c>
      <c r="BM88">
        <f>'Costing 100 Lmin Feed Orig'!BM88</f>
        <v>92.356908198738694</v>
      </c>
      <c r="BN88">
        <f>'Costing 100 Lmin Feed Orig'!BN88</f>
        <v>19.687838161047701</v>
      </c>
      <c r="BO88">
        <f t="shared" si="22"/>
        <v>284.79248636885796</v>
      </c>
      <c r="BP88">
        <f t="shared" si="23"/>
        <v>472.50811586514482</v>
      </c>
      <c r="BQ88">
        <f t="shared" si="24"/>
        <v>28.479248636885799</v>
      </c>
      <c r="BR88">
        <f t="shared" si="25"/>
        <v>47.250811586514487</v>
      </c>
      <c r="BS88">
        <f>1.2*0.5*BL88*V88/'Oxidant Feed Composition'!$N$22</f>
        <v>6.5721343008197994</v>
      </c>
      <c r="BT88">
        <f>1.2*0.5*BN88*BA88/'Oxidant Feed Composition'!$N$22</f>
        <v>11.812702896628618</v>
      </c>
      <c r="BU88">
        <f t="shared" si="26"/>
        <v>5.4767785840164995</v>
      </c>
      <c r="BV88">
        <f t="shared" si="27"/>
        <v>9.8439190805238503</v>
      </c>
      <c r="BW88">
        <f t="shared" si="28"/>
        <v>86.880129614722193</v>
      </c>
      <c r="BX88">
        <f t="shared" si="21"/>
        <v>35.051382937705597</v>
      </c>
      <c r="BY88">
        <f t="shared" si="29"/>
        <v>206.62093073354339</v>
      </c>
      <c r="BZ88">
        <f t="shared" si="30"/>
        <v>63.001082115352638</v>
      </c>
      <c r="CA88">
        <f t="shared" si="31"/>
        <v>59.063514483143102</v>
      </c>
      <c r="CB88">
        <f>BO88*'Reagent cost'!$G$11*'Reagent cost'!$H$11</f>
        <v>3759.2608200689256</v>
      </c>
      <c r="CC88">
        <f>BP88*'Reagent cost'!$G$11*'Reagent cost'!$H$11</f>
        <v>6237.1071294199119</v>
      </c>
      <c r="CD88">
        <f>BQ88*'Reagent cost'!$C$18/1000*'Reagent cost'!$H$18</f>
        <v>4541.8834647976191</v>
      </c>
      <c r="CE88">
        <f>BR88*'Ligand cost'!$B$56*'Ligand cost'!$J$56</f>
        <v>48107.36163270205</v>
      </c>
      <c r="CF88">
        <f t="shared" si="32"/>
        <v>10</v>
      </c>
      <c r="CG88">
        <f t="shared" si="33"/>
        <v>2.1907114336065998</v>
      </c>
      <c r="CH88">
        <f t="shared" si="34"/>
        <v>3.9375676322095403</v>
      </c>
      <c r="CI88">
        <f>7963.6*(BX88/1000)^0.6*1.7*('CAPEX+OPEX'!$G$116/'CAPEX+OPEX'!$G$115)</f>
        <v>2138.2772847076108</v>
      </c>
      <c r="CJ88">
        <f>7963.6*(BY88/1000)^0.6*1.7*('CAPEX+OPEX'!$G$116/'CAPEX+OPEX'!$G$115)</f>
        <v>6199.3408604999822</v>
      </c>
      <c r="CK88">
        <f>7963.6*(BZ88/1000)^0.6*1.7*('CAPEX+OPEX'!$G$116/'CAPEX+OPEX'!$G$115)</f>
        <v>3039.8330556242968</v>
      </c>
      <c r="CL88">
        <f>7963.6*(CA88/1000)^0.6*1.7*('CAPEX+OPEX'!$G$116/'CAPEX+OPEX'!$G$115)</f>
        <v>2924.3712061413185</v>
      </c>
      <c r="CM88">
        <f>'Costing 100 Lmin Feed Orig'!DE88</f>
        <v>39625.826528698344</v>
      </c>
      <c r="CN88">
        <f>'Costing 100 Lmin Feed Orig'!DF88</f>
        <v>4586243.4239371875</v>
      </c>
      <c r="CO88">
        <f>'Costing 100 Lmin Feed Orig'!DG88</f>
        <v>11794834.586807497</v>
      </c>
      <c r="CP88">
        <f>'Costing 100 Lmin Feed Orig'!DH88</f>
        <v>2275209.1661185985</v>
      </c>
      <c r="CQ88">
        <f>'Costing 100 Lmin Feed Orig'!DI88</f>
        <v>14083914.336508472</v>
      </c>
      <c r="CR88">
        <f>'Costing 100 Lmin Feed Orig'!DJ88</f>
        <v>1662824.8986326549</v>
      </c>
      <c r="CS88">
        <f>CN88*(BK88/10000)^0.72*((A88+1)/3)^0.6*('CAPEX+OPEX'!$G$116/'CAPEX+OPEX'!$G$114)</f>
        <v>892840.31653984461</v>
      </c>
      <c r="CT88">
        <f>CO88*(BK88/10000)^0.72*((A88+1)/3)^0.6*('CAPEX+OPEX'!$G$116/'CAPEX+OPEX'!$G$114)</f>
        <v>2296193.8284949926</v>
      </c>
      <c r="CU88">
        <f>CP88*(BK88/10000)^0.72*((A88+1)/3)^0.6*('CAPEX+OPEX'!$G$116/'CAPEX+OPEX'!$G$114)</f>
        <v>442932.9811560188</v>
      </c>
      <c r="CV88">
        <f>CQ88*(BK88/10000)^0.72*((A88+1)/3)^0.6*('CAPEX+OPEX'!$G$116/'CAPEX+OPEX'!$G$114)</f>
        <v>2741827.1059701391</v>
      </c>
      <c r="CW88">
        <f>CR88*(BK88/10000)^0.72*((A88+1)/3)^0.6*('CAPEX+OPEX'!$G$116/'CAPEX+OPEX'!$G$114)</f>
        <v>323715.28756992728</v>
      </c>
      <c r="CX88">
        <f t="shared" si="35"/>
        <v>6697509.5197309218</v>
      </c>
      <c r="CY88">
        <f>CN88*(BM88/10000)^0.72*((AF88+1)/3)^0.6*('CAPEX+OPEX'!$G$116/'CAPEX+OPEX'!$G$114)</f>
        <v>800273.82788002607</v>
      </c>
      <c r="CZ88">
        <f>CO88*(BM88/10000)^0.72*((AF88+1)/3)^0.6*('CAPEX+OPEX'!$G$116/'CAPEX+OPEX'!$G$114)</f>
        <v>2058132.6701348326</v>
      </c>
      <c r="DA88">
        <f>CP88*(BM88/10000)^0.72*((AF88+1)/3)^0.6*('CAPEX+OPEX'!$G$116/'CAPEX+OPEX'!$G$114)</f>
        <v>397011.27486912702</v>
      </c>
      <c r="DB88">
        <f>CQ88*(BM88/10000)^0.72*((AF88+1)/3)^0.6*('CAPEX+OPEX'!$G$116/'CAPEX+OPEX'!$G$114)</f>
        <v>2457564.2842647284</v>
      </c>
      <c r="DC88">
        <f>CR88*(BM88/10000)^0.72*((AF88+1)/3)^0.6*('CAPEX+OPEX'!$G$116/'CAPEX+OPEX'!$G$114)</f>
        <v>290153.64508946665</v>
      </c>
      <c r="DD88">
        <f t="shared" si="36"/>
        <v>6003135.7022381816</v>
      </c>
      <c r="DE88">
        <f>CX88+DD88+1.15*(SUM(CI88:CL88)+SUM(CB88:CE88))</f>
        <v>12789134.772741159</v>
      </c>
      <c r="DF88">
        <f t="shared" si="37"/>
        <v>852608.9848494106</v>
      </c>
      <c r="DG88">
        <f>(BS88+BT88)*'Oxidant Feed Composition'!$N$25*60*7200</f>
        <v>14806287.480210414</v>
      </c>
      <c r="DH88">
        <f>((CG88+CH88)*'Reagent cost'!$C$17/1000*'Reagent cost'!$H$17+(CG88+CH88)*0.5*'Reagent cost'!$C$16/1000*'Reagent cost'!$H$16)*60*7200</f>
        <v>5900641.443473611</v>
      </c>
      <c r="DI88">
        <f>CF88*'Reagent cost'!$C$17/1000*'Reagent cost'!$H$17*60*7200</f>
        <v>504921.59999999998</v>
      </c>
      <c r="DJ88">
        <f t="shared" si="38"/>
        <v>99.963679494888382</v>
      </c>
      <c r="DK88">
        <f t="shared" si="39"/>
        <v>1052.9849019499934</v>
      </c>
      <c r="DL88">
        <f t="shared" si="40"/>
        <v>25455604.166718565</v>
      </c>
      <c r="DM88">
        <f>BK88*(B88*(409.81+2)/1000+C88*(248.2+2*22.99)/1000+D88*(315.6+3*22.99)/1000+0.1*58.44/1000)</f>
        <v>0.70639694042110623</v>
      </c>
      <c r="DN88">
        <f>(BS88+BT88)/1000*('Oxidant Feed Composition'!$B$11*'Oxidant Feed Composition'!$O$20+'Oxidant Feed Composition'!$D$11*'Oxidant Feed Composition'!$O$21+'Oxidant Feed Composition'!$F$11*'Oxidant Feed Composition'!$O$27-'Oxidant Feed Composition'!$J$15*18.015)</f>
        <v>2.1470647550789024</v>
      </c>
      <c r="DO88">
        <f>(BU88+BV88)/1000*(0.2*368.34+0.4*58.44)</f>
        <v>1.4867817841576538</v>
      </c>
      <c r="DP88">
        <f>BK88/1000*(B88*195.08+C88*106.42+D88*102.91)</f>
        <v>4.999938342565946E-2</v>
      </c>
      <c r="DQ88">
        <f>SUM(DM88:DO88)-DP88</f>
        <v>4.2902440962320023</v>
      </c>
      <c r="DR88">
        <f>DQ88*60*7200*0.33</f>
        <v>611617.19835883426</v>
      </c>
      <c r="DS88">
        <v>1.2</v>
      </c>
      <c r="DT88">
        <f>BM88/60*(AM88*4+AN88*2+AO88*3)*96485/DV88</f>
        <v>1405.8770925358626</v>
      </c>
      <c r="DU88">
        <f>BN88*BA88*(AP88*4+AQ88*2+AR88*3)*96485/DV88/60</f>
        <v>705.80623683932424</v>
      </c>
      <c r="DV88">
        <v>0.7</v>
      </c>
      <c r="DW88">
        <f>0.499*((BK88/3.78541*15)^(-0.146))*BK88/3.78541*15*300*(1+(A88-2)/9)</f>
        <v>49536.497143418172</v>
      </c>
      <c r="DX88">
        <f>0.248*((BK88/3.78541*15)^(-0.144))*BK88/3.78541*15*300*(1+(A88-2)/3)</f>
        <v>49831.318766753509</v>
      </c>
      <c r="DY88">
        <f>0.105*((BK88/3.78541*15)^(-0.144))*BK88/3.78541*15*300*(1+(A88-2)/3)</f>
        <v>21097.937381085154</v>
      </c>
      <c r="DZ88">
        <f>0.058*((BK88/3.78541*15)^(-0.151))*BK88/3.78541*15*300*(1+(A88-2)/3)</f>
        <v>11176.166036369152</v>
      </c>
      <c r="EA88">
        <f>0.056*((BK88/3.78541*15)^(-0.144))*BK88/3.78541*15*300*(1+(A88-2)/3)</f>
        <v>11252.233269912085</v>
      </c>
      <c r="EB88">
        <f>DS88*DT88/(3.6*10^6)*3600*7200*0.07</f>
        <v>850.27446556568964</v>
      </c>
      <c r="EC88">
        <f>0.499*((BM88/3.78541*15)^(-0.146))*BM88/3.78541*15*300*(1+(AF88-2)/9)</f>
        <v>43713.196477429126</v>
      </c>
      <c r="ED88">
        <f>0.248*((BM88/3.78541*15)^(-0.144))*BM88/3.78541*15*300*(1+(AF88-2)/3)</f>
        <v>42673.239588396784</v>
      </c>
      <c r="EE88">
        <f>0.105*((BM88/3.78541*15)^(-0.144))*BM88/3.78541*15*300*(1+(AF88-2)/3)</f>
        <v>18067.299019280894</v>
      </c>
      <c r="EF88">
        <f>0.058*((BM88/3.78541*15)^(-0.151))*BM88/3.78541*15*300*(1+(AF88-2)/3)</f>
        <v>9576.080599830957</v>
      </c>
      <c r="EG88">
        <f>0.056*((BM88/3.78541*15)^(-0.144))*BM88/3.78541*15*300*(1+(AF88-2)/3)</f>
        <v>9635.8928102831469</v>
      </c>
      <c r="EH88">
        <f>DS88*DU88/(3.6*10^6)*3600*7200*0.07</f>
        <v>426.87161204042332</v>
      </c>
      <c r="EI88">
        <f>SUM(DW88:EH88)</f>
        <v>267837.00717036513</v>
      </c>
      <c r="EJ88">
        <f>EI88+DR88+DL88</f>
        <v>26335058.372247763</v>
      </c>
      <c r="EK88">
        <f>EJ88+DF88</f>
        <v>27187667.357097175</v>
      </c>
      <c r="EL88">
        <f>EK88/(BK88*60*7200)</f>
        <v>0.62934415178465686</v>
      </c>
      <c r="EM88">
        <f>EK88/(BM88*(AM88*195.084/1000+AN88*106.42/1000+AO88*102.911/1000)*60*7200)</f>
        <v>2105.4569237299588</v>
      </c>
      <c r="EN88">
        <f>EK88/(BN88*BA88*(AP88*195.084/1000+AQ88*106.42/1000+AR88*102.911/1000)*60*7200)</f>
        <v>3864.0037968620391</v>
      </c>
    </row>
    <row r="89" spans="1:144">
      <c r="A89">
        <f>'Costing 100 Lmin Feed Orig'!A89</f>
        <v>11</v>
      </c>
      <c r="B89">
        <f>'Costing 100 Lmin Feed Orig'!B89</f>
        <v>1.54143585092054E-3</v>
      </c>
      <c r="C89">
        <f>'Costing 100 Lmin Feed Orig'!C89</f>
        <v>1.54143585092054E-3</v>
      </c>
      <c r="D89">
        <f>'Costing 100 Lmin Feed Orig'!D89</f>
        <v>3.4254130020456501E-4</v>
      </c>
      <c r="E89">
        <f>'Costing 100 Lmin Feed Orig'!E89</f>
        <v>0</v>
      </c>
      <c r="F89">
        <f>'Costing 100 Lmin Feed Orig'!F89</f>
        <v>0</v>
      </c>
      <c r="G89">
        <f>'Costing 100 Lmin Feed Orig'!G89</f>
        <v>0</v>
      </c>
      <c r="H89">
        <f>'Costing 100 Lmin Feed Orig'!H89</f>
        <v>1.7771367359861701E-5</v>
      </c>
      <c r="I89">
        <f>'Costing 100 Lmin Feed Orig'!I89</f>
        <v>1.8081057367328801E-10</v>
      </c>
      <c r="J89">
        <f>'Costing 100 Lmin Feed Orig'!J89</f>
        <v>3.3765941525589702E-4</v>
      </c>
      <c r="K89">
        <f>'Costing 100 Lmin Feed Orig'!K89</f>
        <v>0.139102253285185</v>
      </c>
      <c r="L89">
        <f>'Costing 100 Lmin Feed Orig'!L89</f>
        <v>0.14072466572308701</v>
      </c>
      <c r="M89">
        <f>'Costing 100 Lmin Feed Orig'!M89</f>
        <v>4.4568945720355099E-4</v>
      </c>
      <c r="N89">
        <f>'Costing 100 Lmin Feed Orig'!N89</f>
        <v>-8.03393809811758E-16</v>
      </c>
      <c r="O89">
        <f>'Costing 100 Lmin Feed Orig'!O89</f>
        <v>-8.4019770307808202E-13</v>
      </c>
      <c r="P89">
        <f>'Costing 100 Lmin Feed Orig'!P89</f>
        <v>-2.26157796916898E-19</v>
      </c>
      <c r="Q89">
        <f>'Costing 100 Lmin Feed Orig'!Q89</f>
        <v>0.10953557168033</v>
      </c>
      <c r="R89">
        <f>'Costing 100 Lmin Feed Orig'!R89</f>
        <v>98.5748039883795</v>
      </c>
      <c r="S89">
        <f>'Costing 100 Lmin Feed Orig'!S89</f>
        <v>500</v>
      </c>
      <c r="T89">
        <f>'Costing 100 Lmin Feed Orig'!T89</f>
        <v>95</v>
      </c>
      <c r="U89">
        <f>'Costing 100 Lmin Feed Orig'!U89</f>
        <v>1</v>
      </c>
      <c r="V89">
        <f>'Costing 100 Lmin Feed Orig'!V89</f>
        <v>0.1</v>
      </c>
      <c r="W89">
        <f>'Costing 100 Lmin Feed Orig'!W89</f>
        <v>91.294543376138293</v>
      </c>
      <c r="X89" t="str">
        <f>'Costing 100 Lmin Feed Orig'!X89</f>
        <v>ddFc</v>
      </c>
      <c r="Y89">
        <f>'Costing 100 Lmin Feed Orig'!Y89</f>
        <v>1</v>
      </c>
      <c r="Z89">
        <f>'Costing 100 Lmin Feed Orig'!Z89</f>
        <v>0.28318429382522198</v>
      </c>
      <c r="AA89">
        <f>'Costing 100 Lmin Feed Orig'!AA89</f>
        <v>0.56945642916197003</v>
      </c>
      <c r="AB89">
        <f>'Costing 100 Lmin Feed Orig'!AB89</f>
        <v>3.7698628972227502E-3</v>
      </c>
      <c r="AC89">
        <f>'Costing 100 Lmin Feed Orig'!AC89</f>
        <v>1822.2107908876901</v>
      </c>
      <c r="AD89">
        <f>'Costing 100 Lmin Feed Orig'!AD89</f>
        <v>2662.6059073104898</v>
      </c>
      <c r="AE89">
        <f>'Costing 100 Lmin Feed Orig'!AE89</f>
        <v>2401.5030938442701</v>
      </c>
      <c r="AF89">
        <f>'Costing 100 Lmin Feed Orig'!AF89</f>
        <v>11</v>
      </c>
      <c r="AG89">
        <f>'Costing 100 Lmin Feed Orig'!AG89</f>
        <v>1.6497569194096201E-3</v>
      </c>
      <c r="AH89">
        <f>'Costing 100 Lmin Feed Orig'!AH89</f>
        <v>1.6689987798565299E-3</v>
      </c>
      <c r="AI89">
        <f>'Costing 100 Lmin Feed Orig'!AI89</f>
        <v>5.28589040482341E-6</v>
      </c>
      <c r="AJ89">
        <f>'Costing 100 Lmin Feed Orig'!AJ89</f>
        <v>0</v>
      </c>
      <c r="AK89">
        <f>'Costing 100 Lmin Feed Orig'!AK89</f>
        <v>0</v>
      </c>
      <c r="AL89">
        <f>'Costing 100 Lmin Feed Orig'!AL89</f>
        <v>0</v>
      </c>
      <c r="AM89">
        <f>'Costing 100 Lmin Feed Orig'!AM89</f>
        <v>1.6128091969893901E-3</v>
      </c>
      <c r="AN89">
        <f>'Costing 100 Lmin Feed Orig'!AN89</f>
        <v>7.9633567021484305E-5</v>
      </c>
      <c r="AO89">
        <f>'Costing 100 Lmin Feed Orig'!AO89</f>
        <v>5.2511275568870697E-6</v>
      </c>
      <c r="AP89">
        <f>'Costing 100 Lmin Feed Orig'!AP89</f>
        <v>1.7332820417295799E-3</v>
      </c>
      <c r="AQ89">
        <f>'Costing 100 Lmin Feed Orig'!AQ89</f>
        <v>7.4559891685805804E-2</v>
      </c>
      <c r="AR89">
        <f>'Costing 100 Lmin Feed Orig'!AR89</f>
        <v>1.63078577254671E-6</v>
      </c>
      <c r="AS89">
        <f>'Costing 100 Lmin Feed Orig'!AS89</f>
        <v>1.9922621495235798E-15</v>
      </c>
      <c r="AT89">
        <f>'Costing 100 Lmin Feed Orig'!AT89</f>
        <v>-1.9831944246540001E-13</v>
      </c>
      <c r="AU89">
        <f>'Costing 100 Lmin Feed Orig'!AU89</f>
        <v>1.2917252445628E-20</v>
      </c>
      <c r="AV89">
        <f>'Costing 100 Lmin Feed Orig'!AV89</f>
        <v>0.19687375310907501</v>
      </c>
      <c r="AW89">
        <f>'Costing 100 Lmin Feed Orig'!AW89</f>
        <v>99.3423464114084</v>
      </c>
      <c r="AX89">
        <f>'Costing 100 Lmin Feed Orig'!AX89</f>
        <v>500</v>
      </c>
      <c r="AY89">
        <f>'Costing 100 Lmin Feed Orig'!AY89</f>
        <v>95</v>
      </c>
      <c r="AZ89">
        <f>'Costing 100 Lmin Feed Orig'!AZ89</f>
        <v>0.92356908198738696</v>
      </c>
      <c r="BA89">
        <f>'Costing 100 Lmin Feed Orig'!BA89</f>
        <v>0.1</v>
      </c>
      <c r="BB89">
        <f>'Costing 100 Lmin Feed Orig'!BB89</f>
        <v>46.911742545777201</v>
      </c>
      <c r="BC89" t="str">
        <f>'Costing 100 Lmin Feed Orig'!BC89</f>
        <v>coeFc</v>
      </c>
      <c r="BD89">
        <f>'Costing 100 Lmin Feed Orig'!BD89</f>
        <v>1</v>
      </c>
      <c r="BE89">
        <f>'Costing 100 Lmin Feed Orig'!BE89</f>
        <v>1.8775014999999999E-2</v>
      </c>
      <c r="BF89">
        <f>'Costing 100 Lmin Feed Orig'!BF89</f>
        <v>0.10492961100000001</v>
      </c>
      <c r="BG89">
        <f>'Costing 100 Lmin Feed Orig'!BG89</f>
        <v>1.814625E-3</v>
      </c>
      <c r="BH89">
        <f>'Costing 100 Lmin Feed Orig'!BH89</f>
        <v>285.1951444</v>
      </c>
      <c r="BI89">
        <f>'Costing 100 Lmin Feed Orig'!BI89</f>
        <v>2169.8944889999998</v>
      </c>
      <c r="BJ89">
        <f>'Costing 100 Lmin Feed Orig'!BJ89</f>
        <v>866.49409060000005</v>
      </c>
      <c r="BK89">
        <f>'Costing 100 Lmin Feed Orig'!BK89</f>
        <v>100</v>
      </c>
      <c r="BL89">
        <f>'Costing 100 Lmin Feed Orig'!BL89</f>
        <v>10.953557168032999</v>
      </c>
      <c r="BM89">
        <f>'Costing 100 Lmin Feed Orig'!BM89</f>
        <v>92.356908198738694</v>
      </c>
      <c r="BN89">
        <f>'Costing 100 Lmin Feed Orig'!BN89</f>
        <v>19.687375310907502</v>
      </c>
      <c r="BO89">
        <f t="shared" si="22"/>
        <v>284.79248636885796</v>
      </c>
      <c r="BP89">
        <f t="shared" si="23"/>
        <v>511.87175808359507</v>
      </c>
      <c r="BQ89">
        <f t="shared" si="24"/>
        <v>28.479248636885799</v>
      </c>
      <c r="BR89">
        <f t="shared" si="25"/>
        <v>51.187175808359513</v>
      </c>
      <c r="BS89">
        <f>1.2*0.5*BL89*V89/'Oxidant Feed Composition'!$N$22</f>
        <v>6.5721343008197994</v>
      </c>
      <c r="BT89">
        <f>1.2*0.5*BN89*BA89/'Oxidant Feed Composition'!$N$22</f>
        <v>11.812425186544498</v>
      </c>
      <c r="BU89">
        <f t="shared" si="26"/>
        <v>5.4767785840164995</v>
      </c>
      <c r="BV89">
        <f t="shared" si="27"/>
        <v>9.8436876554537509</v>
      </c>
      <c r="BW89">
        <f t="shared" si="28"/>
        <v>86.880129614722193</v>
      </c>
      <c r="BX89">
        <f t="shared" si="21"/>
        <v>35.051382937705597</v>
      </c>
      <c r="BY89">
        <f t="shared" si="29"/>
        <v>206.62093073354339</v>
      </c>
      <c r="BZ89">
        <f t="shared" si="30"/>
        <v>62.999600994904</v>
      </c>
      <c r="CA89">
        <f t="shared" si="31"/>
        <v>59.062125932722509</v>
      </c>
      <c r="CB89">
        <f>BO89*'Reagent cost'!$G$11*'Reagent cost'!$H$11</f>
        <v>3759.2608200689256</v>
      </c>
      <c r="CC89">
        <f>BP89*'Reagent cost'!$G$11*'Reagent cost'!$H$11</f>
        <v>6756.7072067034551</v>
      </c>
      <c r="CD89">
        <f>BQ89*'Reagent cost'!$C$18/1000*'Reagent cost'!$H$18</f>
        <v>4541.8834647976191</v>
      </c>
      <c r="CE89">
        <f>BR89*'Ligand cost'!$B$56*'Ligand cost'!$J$56</f>
        <v>52115.083209962198</v>
      </c>
      <c r="CF89">
        <f t="shared" si="32"/>
        <v>10</v>
      </c>
      <c r="CG89">
        <f t="shared" si="33"/>
        <v>2.1907114336065998</v>
      </c>
      <c r="CH89">
        <f t="shared" si="34"/>
        <v>3.9374750621815005</v>
      </c>
      <c r="CI89">
        <f>7963.6*(BX89/1000)^0.6*1.7*('CAPEX+OPEX'!$G$116/'CAPEX+OPEX'!$G$115)</f>
        <v>2138.2772847076108</v>
      </c>
      <c r="CJ89">
        <f>7963.6*(BY89/1000)^0.6*1.7*('CAPEX+OPEX'!$G$116/'CAPEX+OPEX'!$G$115)</f>
        <v>6199.3408604999822</v>
      </c>
      <c r="CK89">
        <f>7963.6*(BZ89/1000)^0.6*1.7*('CAPEX+OPEX'!$G$116/'CAPEX+OPEX'!$G$115)</f>
        <v>3039.7901765506263</v>
      </c>
      <c r="CL89">
        <f>7963.6*(CA89/1000)^0.6*1.7*('CAPEX+OPEX'!$G$116/'CAPEX+OPEX'!$G$115)</f>
        <v>2924.3299557416776</v>
      </c>
      <c r="CM89">
        <f>'Costing 100 Lmin Feed Orig'!DE89</f>
        <v>39625.826528698344</v>
      </c>
      <c r="CN89">
        <f>'Costing 100 Lmin Feed Orig'!DF89</f>
        <v>4586243.4239371875</v>
      </c>
      <c r="CO89">
        <f>'Costing 100 Lmin Feed Orig'!DG89</f>
        <v>11794834.586807497</v>
      </c>
      <c r="CP89">
        <f>'Costing 100 Lmin Feed Orig'!DH89</f>
        <v>2275209.1661185985</v>
      </c>
      <c r="CQ89">
        <f>'Costing 100 Lmin Feed Orig'!DI89</f>
        <v>14083914.336508472</v>
      </c>
      <c r="CR89">
        <f>'Costing 100 Lmin Feed Orig'!DJ89</f>
        <v>1662824.8986326549</v>
      </c>
      <c r="CS89">
        <f>CN89*(BK89/10000)^0.72*((A89+1)/3)^0.6*('CAPEX+OPEX'!$G$116/'CAPEX+OPEX'!$G$114)</f>
        <v>892840.31653984461</v>
      </c>
      <c r="CT89">
        <f>CO89*(BK89/10000)^0.72*((A89+1)/3)^0.6*('CAPEX+OPEX'!$G$116/'CAPEX+OPEX'!$G$114)</f>
        <v>2296193.8284949926</v>
      </c>
      <c r="CU89">
        <f>CP89*(BK89/10000)^0.72*((A89+1)/3)^0.6*('CAPEX+OPEX'!$G$116/'CAPEX+OPEX'!$G$114)</f>
        <v>442932.9811560188</v>
      </c>
      <c r="CV89">
        <f>CQ89*(BK89/10000)^0.72*((A89+1)/3)^0.6*('CAPEX+OPEX'!$G$116/'CAPEX+OPEX'!$G$114)</f>
        <v>2741827.1059701391</v>
      </c>
      <c r="CW89">
        <f>CR89*(BK89/10000)^0.72*((A89+1)/3)^0.6*('CAPEX+OPEX'!$G$116/'CAPEX+OPEX'!$G$114)</f>
        <v>323715.28756992728</v>
      </c>
      <c r="CX89">
        <f t="shared" si="35"/>
        <v>6697509.5197309218</v>
      </c>
      <c r="CY89">
        <f>CN89*(BM89/10000)^0.72*((AF89+1)/3)^0.6*('CAPEX+OPEX'!$G$116/'CAPEX+OPEX'!$G$114)</f>
        <v>843163.40790273575</v>
      </c>
      <c r="CZ89">
        <f>CO89*(BM89/10000)^0.72*((AF89+1)/3)^0.6*('CAPEX+OPEX'!$G$116/'CAPEX+OPEX'!$G$114)</f>
        <v>2168435.4724730523</v>
      </c>
      <c r="DA89">
        <f>CP89*(BM89/10000)^0.72*((AF89+1)/3)^0.6*('CAPEX+OPEX'!$G$116/'CAPEX+OPEX'!$G$114)</f>
        <v>418288.55053428863</v>
      </c>
      <c r="DB89">
        <f>CQ89*(BM89/10000)^0.72*((AF89+1)/3)^0.6*('CAPEX+OPEX'!$G$116/'CAPEX+OPEX'!$G$114)</f>
        <v>2589274.0770367184</v>
      </c>
      <c r="DC89">
        <f>CR89*(BM89/10000)^0.72*((AF89+1)/3)^0.6*('CAPEX+OPEX'!$G$116/'CAPEX+OPEX'!$G$114)</f>
        <v>305704.0324024093</v>
      </c>
      <c r="DD89">
        <f t="shared" si="36"/>
        <v>6324865.5403492041</v>
      </c>
      <c r="DE89">
        <f>CX89+DD89+1.15*(SUM(CI89:CL89)+SUM(CB89:CE89))</f>
        <v>13116070.934006013</v>
      </c>
      <c r="DF89">
        <f t="shared" si="37"/>
        <v>874404.72893373424</v>
      </c>
      <c r="DG89">
        <f>(BS89+BT89)*'Oxidant Feed Composition'!$N$25*60*7200</f>
        <v>14806063.825505316</v>
      </c>
      <c r="DH89">
        <f>((CG89+CH89)*'Reagent cost'!$C$17/1000*'Reagent cost'!$H$17+(CG89+CH89)*0.5*'Reagent cost'!$C$16/1000*'Reagent cost'!$H$16)*60*7200</f>
        <v>5900552.3119999915</v>
      </c>
      <c r="DI89">
        <f>CF89*'Reagent cost'!$C$17/1000*'Reagent cost'!$H$17*60*7200</f>
        <v>504921.59999999998</v>
      </c>
      <c r="DJ89">
        <f t="shared" si="38"/>
        <v>105.15968026772381</v>
      </c>
      <c r="DK89">
        <f t="shared" si="39"/>
        <v>1133.1393334951963</v>
      </c>
      <c r="DL89">
        <f t="shared" si="40"/>
        <v>25455331.243822884</v>
      </c>
      <c r="DM89">
        <f>BK89*(B89*(409.81+2)/1000+C89*(248.2+2*22.99)/1000+D89*(315.6+3*22.99)/1000+0.1*58.44/1000)</f>
        <v>0.70639694042110623</v>
      </c>
      <c r="DN89">
        <f>(BS89+BT89)/1000*('Oxidant Feed Composition'!$B$11*'Oxidant Feed Composition'!$O$20+'Oxidant Feed Composition'!$D$11*'Oxidant Feed Composition'!$O$21+'Oxidant Feed Composition'!$F$11*'Oxidant Feed Composition'!$O$27-'Oxidant Feed Composition'!$J$15*18.015)</f>
        <v>2.147032322834475</v>
      </c>
      <c r="DO89">
        <f>(BU89+BV89)/1000*(0.2*368.34+0.4*58.44)</f>
        <v>1.4867593257431508</v>
      </c>
      <c r="DP89">
        <f>BK89/1000*(B89*195.08+C89*106.42+D89*102.91)</f>
        <v>4.999938342565946E-2</v>
      </c>
      <c r="DQ89">
        <f>SUM(DM89:DO89)-DP89</f>
        <v>4.2901892055730722</v>
      </c>
      <c r="DR89">
        <f>DQ89*60*7200*0.33</f>
        <v>611609.3731464973</v>
      </c>
      <c r="DS89">
        <v>1.2</v>
      </c>
      <c r="DT89">
        <f>BM89/60*(AM89*4+AN89*2+AO89*3)*96485/DV89</f>
        <v>1405.879805184511</v>
      </c>
      <c r="DU89">
        <f>BN89*BA89*(AP89*4+AQ89*2+AR89*3)*96485/DV89/60</f>
        <v>705.8035239923704</v>
      </c>
      <c r="DV89">
        <v>0.7</v>
      </c>
      <c r="DW89">
        <f>0.499*((BK89/3.78541*15)^(-0.146))*BK89/3.78541*15*300*(1+(A89-2)/9)</f>
        <v>49536.497143418172</v>
      </c>
      <c r="DX89">
        <f>0.248*((BK89/3.78541*15)^(-0.144))*BK89/3.78541*15*300*(1+(A89-2)/3)</f>
        <v>49831.318766753509</v>
      </c>
      <c r="DY89">
        <f>0.105*((BK89/3.78541*15)^(-0.144))*BK89/3.78541*15*300*(1+(A89-2)/3)</f>
        <v>21097.937381085154</v>
      </c>
      <c r="DZ89">
        <f>0.058*((BK89/3.78541*15)^(-0.151))*BK89/3.78541*15*300*(1+(A89-2)/3)</f>
        <v>11176.166036369152</v>
      </c>
      <c r="EA89">
        <f>0.056*((BK89/3.78541*15)^(-0.144))*BK89/3.78541*15*300*(1+(A89-2)/3)</f>
        <v>11252.233269912085</v>
      </c>
      <c r="EB89">
        <f>DS89*DT89/(3.6*10^6)*3600*7200*0.07</f>
        <v>850.27610617559242</v>
      </c>
      <c r="EC89">
        <f>0.499*((BM89/3.78541*15)^(-0.146))*BM89/3.78541*15*300*(1+(AF89-2)/9)</f>
        <v>46284.560976101428</v>
      </c>
      <c r="ED89">
        <f>0.248*((BM89/3.78541*15)^(-0.144))*BM89/3.78541*15*300*(1+(AF89-2)/3)</f>
        <v>46552.625005523769</v>
      </c>
      <c r="EE89">
        <f>0.105*((BM89/3.78541*15)^(-0.144))*BM89/3.78541*15*300*(1+(AF89-2)/3)</f>
        <v>19709.780748306432</v>
      </c>
      <c r="EF89">
        <f>0.058*((BM89/3.78541*15)^(-0.151))*BM89/3.78541*15*300*(1+(AF89-2)/3)</f>
        <v>10446.633381633772</v>
      </c>
      <c r="EG89">
        <f>0.056*((BM89/3.78541*15)^(-0.144))*BM89/3.78541*15*300*(1+(AF89-2)/3)</f>
        <v>10511.883065763433</v>
      </c>
      <c r="EH89">
        <f>DS89*DU89/(3.6*10^6)*3600*7200*0.07</f>
        <v>426.86997131058564</v>
      </c>
      <c r="EI89">
        <f>SUM(DW89:EH89)</f>
        <v>277676.78185235313</v>
      </c>
      <c r="EJ89">
        <f>EI89+DR89+DL89</f>
        <v>26344617.398821734</v>
      </c>
      <c r="EK89">
        <f>EJ89+DF89</f>
        <v>27219022.127755467</v>
      </c>
      <c r="EL89">
        <f>EK89/(BK89*60*7200)</f>
        <v>0.63006995666100618</v>
      </c>
      <c r="EM89">
        <f>EK89/(BM89*(AM89*195.084/1000+AN89*106.42/1000+AO89*102.911/1000)*60*7200)</f>
        <v>2107.8810182027564</v>
      </c>
      <c r="EN89">
        <f>EK89/(BN89*BA89*(AP89*195.084/1000+AQ89*106.42/1000+AR89*102.911/1000)*60*7200)</f>
        <v>3868.4737516969731</v>
      </c>
    </row>
    <row r="90" spans="1:144">
      <c r="A90">
        <f>'Costing 100 Lmin Feed Orig'!A90</f>
        <v>11</v>
      </c>
      <c r="B90">
        <f>'Costing 100 Lmin Feed Orig'!B90</f>
        <v>1.54143585092054E-3</v>
      </c>
      <c r="C90">
        <f>'Costing 100 Lmin Feed Orig'!C90</f>
        <v>1.54143585092054E-3</v>
      </c>
      <c r="D90">
        <f>'Costing 100 Lmin Feed Orig'!D90</f>
        <v>3.4254130020456501E-4</v>
      </c>
      <c r="E90">
        <f>'Costing 100 Lmin Feed Orig'!E90</f>
        <v>0</v>
      </c>
      <c r="F90">
        <f>'Costing 100 Lmin Feed Orig'!F90</f>
        <v>0</v>
      </c>
      <c r="G90">
        <f>'Costing 100 Lmin Feed Orig'!G90</f>
        <v>0</v>
      </c>
      <c r="H90">
        <f>'Costing 100 Lmin Feed Orig'!H90</f>
        <v>1.7771367359861701E-5</v>
      </c>
      <c r="I90">
        <f>'Costing 100 Lmin Feed Orig'!I90</f>
        <v>1.8081057367328801E-10</v>
      </c>
      <c r="J90">
        <f>'Costing 100 Lmin Feed Orig'!J90</f>
        <v>3.3765941525589702E-4</v>
      </c>
      <c r="K90">
        <f>'Costing 100 Lmin Feed Orig'!K90</f>
        <v>0.139102253285185</v>
      </c>
      <c r="L90">
        <f>'Costing 100 Lmin Feed Orig'!L90</f>
        <v>0.14072466572308701</v>
      </c>
      <c r="M90">
        <f>'Costing 100 Lmin Feed Orig'!M90</f>
        <v>4.4568945720355099E-4</v>
      </c>
      <c r="N90">
        <f>'Costing 100 Lmin Feed Orig'!N90</f>
        <v>-8.03393809811758E-16</v>
      </c>
      <c r="O90">
        <f>'Costing 100 Lmin Feed Orig'!O90</f>
        <v>-8.4019770307808202E-13</v>
      </c>
      <c r="P90">
        <f>'Costing 100 Lmin Feed Orig'!P90</f>
        <v>-2.26157796916898E-19</v>
      </c>
      <c r="Q90">
        <f>'Costing 100 Lmin Feed Orig'!Q90</f>
        <v>0.10953557168033</v>
      </c>
      <c r="R90">
        <f>'Costing 100 Lmin Feed Orig'!R90</f>
        <v>98.5748039883795</v>
      </c>
      <c r="S90">
        <f>'Costing 100 Lmin Feed Orig'!S90</f>
        <v>500</v>
      </c>
      <c r="T90">
        <f>'Costing 100 Lmin Feed Orig'!T90</f>
        <v>95</v>
      </c>
      <c r="U90">
        <f>'Costing 100 Lmin Feed Orig'!U90</f>
        <v>1</v>
      </c>
      <c r="V90">
        <f>'Costing 100 Lmin Feed Orig'!V90</f>
        <v>0.1</v>
      </c>
      <c r="W90">
        <f>'Costing 100 Lmin Feed Orig'!W90</f>
        <v>91.294543376138293</v>
      </c>
      <c r="X90" t="str">
        <f>'Costing 100 Lmin Feed Orig'!X90</f>
        <v>ddFc</v>
      </c>
      <c r="Y90">
        <f>'Costing 100 Lmin Feed Orig'!Y90</f>
        <v>1</v>
      </c>
      <c r="Z90">
        <f>'Costing 100 Lmin Feed Orig'!Z90</f>
        <v>0.28318429382522198</v>
      </c>
      <c r="AA90">
        <f>'Costing 100 Lmin Feed Orig'!AA90</f>
        <v>0.56945642916197003</v>
      </c>
      <c r="AB90">
        <f>'Costing 100 Lmin Feed Orig'!AB90</f>
        <v>3.7698628972227502E-3</v>
      </c>
      <c r="AC90">
        <f>'Costing 100 Lmin Feed Orig'!AC90</f>
        <v>1822.2107908876901</v>
      </c>
      <c r="AD90">
        <f>'Costing 100 Lmin Feed Orig'!AD90</f>
        <v>2662.6059073104898</v>
      </c>
      <c r="AE90">
        <f>'Costing 100 Lmin Feed Orig'!AE90</f>
        <v>2401.5030938442701</v>
      </c>
      <c r="AF90">
        <f>'Costing 100 Lmin Feed Orig'!AF90</f>
        <v>12</v>
      </c>
      <c r="AG90">
        <f>'Costing 100 Lmin Feed Orig'!AG90</f>
        <v>1.6497569194096201E-3</v>
      </c>
      <c r="AH90">
        <f>'Costing 100 Lmin Feed Orig'!AH90</f>
        <v>1.6689987798565299E-3</v>
      </c>
      <c r="AI90">
        <f>'Costing 100 Lmin Feed Orig'!AI90</f>
        <v>5.28589040482341E-6</v>
      </c>
      <c r="AJ90">
        <f>'Costing 100 Lmin Feed Orig'!AJ90</f>
        <v>0</v>
      </c>
      <c r="AK90">
        <f>'Costing 100 Lmin Feed Orig'!AK90</f>
        <v>0</v>
      </c>
      <c r="AL90">
        <f>'Costing 100 Lmin Feed Orig'!AL90</f>
        <v>0</v>
      </c>
      <c r="AM90">
        <f>'Costing 100 Lmin Feed Orig'!AM90</f>
        <v>1.6128100720939401E-3</v>
      </c>
      <c r="AN90">
        <f>'Costing 100 Lmin Feed Orig'!AN90</f>
        <v>7.9633612290502494E-5</v>
      </c>
      <c r="AO90">
        <f>'Costing 100 Lmin Feed Orig'!AO90</f>
        <v>5.2511283460207698E-6</v>
      </c>
      <c r="AP90">
        <f>'Costing 100 Lmin Feed Orig'!AP90</f>
        <v>1.73325244157297E-3</v>
      </c>
      <c r="AQ90">
        <f>'Costing 100 Lmin Feed Orig'!AQ90</f>
        <v>7.4560382210708806E-2</v>
      </c>
      <c r="AR90">
        <f>'Costing 100 Lmin Feed Orig'!AR90</f>
        <v>1.63075952813163E-6</v>
      </c>
      <c r="AS90">
        <f>'Costing 100 Lmin Feed Orig'!AS90</f>
        <v>3.8857128235522602E-16</v>
      </c>
      <c r="AT90">
        <f>'Costing 100 Lmin Feed Orig'!AT90</f>
        <v>-3.7970928484787298E-14</v>
      </c>
      <c r="AU90">
        <f>'Costing 100 Lmin Feed Orig'!AU90</f>
        <v>-3.6660644748350096E-21</v>
      </c>
      <c r="AV90">
        <f>'Costing 100 Lmin Feed Orig'!AV90</f>
        <v>0.196872452268469</v>
      </c>
      <c r="AW90">
        <f>'Costing 100 Lmin Feed Orig'!AW90</f>
        <v>99.342361340467505</v>
      </c>
      <c r="AX90">
        <f>'Costing 100 Lmin Feed Orig'!AX90</f>
        <v>500</v>
      </c>
      <c r="AY90">
        <f>'Costing 100 Lmin Feed Orig'!AY90</f>
        <v>95</v>
      </c>
      <c r="AZ90">
        <f>'Costing 100 Lmin Feed Orig'!AZ90</f>
        <v>0.92356908198738696</v>
      </c>
      <c r="BA90">
        <f>'Costing 100 Lmin Feed Orig'!BA90</f>
        <v>0.1</v>
      </c>
      <c r="BB90">
        <f>'Costing 100 Lmin Feed Orig'!BB90</f>
        <v>46.912052516516702</v>
      </c>
      <c r="BC90" t="str">
        <f>'Costing 100 Lmin Feed Orig'!BC90</f>
        <v>coeFc</v>
      </c>
      <c r="BD90">
        <f>'Costing 100 Lmin Feed Orig'!BD90</f>
        <v>1</v>
      </c>
      <c r="BE90">
        <f>'Costing 100 Lmin Feed Orig'!BE90</f>
        <v>1.8775014999999999E-2</v>
      </c>
      <c r="BF90">
        <f>'Costing 100 Lmin Feed Orig'!BF90</f>
        <v>0.10492961100000001</v>
      </c>
      <c r="BG90">
        <f>'Costing 100 Lmin Feed Orig'!BG90</f>
        <v>1.814625E-3</v>
      </c>
      <c r="BH90">
        <f>'Costing 100 Lmin Feed Orig'!BH90</f>
        <v>285.1951444</v>
      </c>
      <c r="BI90">
        <f>'Costing 100 Lmin Feed Orig'!BI90</f>
        <v>2169.8944889999998</v>
      </c>
      <c r="BJ90">
        <f>'Costing 100 Lmin Feed Orig'!BJ90</f>
        <v>866.49409060000005</v>
      </c>
      <c r="BK90">
        <f>'Costing 100 Lmin Feed Orig'!BK90</f>
        <v>100</v>
      </c>
      <c r="BL90">
        <f>'Costing 100 Lmin Feed Orig'!BL90</f>
        <v>10.953557168032999</v>
      </c>
      <c r="BM90">
        <f>'Costing 100 Lmin Feed Orig'!BM90</f>
        <v>92.356908198738694</v>
      </c>
      <c r="BN90">
        <f>'Costing 100 Lmin Feed Orig'!BN90</f>
        <v>19.687245226846901</v>
      </c>
      <c r="BO90">
        <f t="shared" si="22"/>
        <v>284.79248636885796</v>
      </c>
      <c r="BP90">
        <f t="shared" si="23"/>
        <v>551.24286635171325</v>
      </c>
      <c r="BQ90">
        <f t="shared" si="24"/>
        <v>28.479248636885799</v>
      </c>
      <c r="BR90">
        <f t="shared" si="25"/>
        <v>55.12428663517133</v>
      </c>
      <c r="BS90">
        <f>1.2*0.5*BL90*V90/'Oxidant Feed Composition'!$N$22</f>
        <v>6.5721343008197994</v>
      </c>
      <c r="BT90">
        <f>1.2*0.5*BN90*BA90/'Oxidant Feed Composition'!$N$22</f>
        <v>11.812347136108141</v>
      </c>
      <c r="BU90">
        <f t="shared" si="26"/>
        <v>5.4767785840164995</v>
      </c>
      <c r="BV90">
        <f t="shared" si="27"/>
        <v>9.8436226134234506</v>
      </c>
      <c r="BW90">
        <f t="shared" si="28"/>
        <v>86.880129614722193</v>
      </c>
      <c r="BX90">
        <f t="shared" si="21"/>
        <v>35.051382937705597</v>
      </c>
      <c r="BY90">
        <f t="shared" si="29"/>
        <v>206.62093073354339</v>
      </c>
      <c r="BZ90">
        <f t="shared" si="30"/>
        <v>62.999184725910084</v>
      </c>
      <c r="CA90">
        <f t="shared" si="31"/>
        <v>59.061735680540707</v>
      </c>
      <c r="CB90">
        <f>BO90*'Reagent cost'!$G$11*'Reagent cost'!$H$11</f>
        <v>3759.2608200689256</v>
      </c>
      <c r="CC90">
        <f>BP90*'Reagent cost'!$G$11*'Reagent cost'!$H$11</f>
        <v>7276.4058358426155</v>
      </c>
      <c r="CD90">
        <f>BQ90*'Reagent cost'!$C$18/1000*'Reagent cost'!$H$18</f>
        <v>4541.8834647976191</v>
      </c>
      <c r="CE90">
        <f>BR90*'Ligand cost'!$B$56*'Ligand cost'!$J$56</f>
        <v>56123.564926443862</v>
      </c>
      <c r="CF90">
        <f t="shared" si="32"/>
        <v>10</v>
      </c>
      <c r="CG90">
        <f t="shared" si="33"/>
        <v>2.1907114336065998</v>
      </c>
      <c r="CH90">
        <f t="shared" si="34"/>
        <v>3.9374490453693802</v>
      </c>
      <c r="CI90">
        <f>7963.6*(BX90/1000)^0.6*1.7*('CAPEX+OPEX'!$G$116/'CAPEX+OPEX'!$G$115)</f>
        <v>2138.2772847076108</v>
      </c>
      <c r="CJ90">
        <f>7963.6*(BY90/1000)^0.6*1.7*('CAPEX+OPEX'!$G$116/'CAPEX+OPEX'!$G$115)</f>
        <v>6199.3408604999822</v>
      </c>
      <c r="CK90">
        <f>7963.6*(BZ90/1000)^0.6*1.7*('CAPEX+OPEX'!$G$116/'CAPEX+OPEX'!$G$115)</f>
        <v>3039.7781253117219</v>
      </c>
      <c r="CL90">
        <f>7963.6*(CA90/1000)^0.6*1.7*('CAPEX+OPEX'!$G$116/'CAPEX+OPEX'!$G$115)</f>
        <v>2924.3183622444676</v>
      </c>
      <c r="CM90">
        <f>'Costing 100 Lmin Feed Orig'!DE90</f>
        <v>39625.826528698344</v>
      </c>
      <c r="CN90">
        <f>'Costing 100 Lmin Feed Orig'!DF90</f>
        <v>4586243.4239371875</v>
      </c>
      <c r="CO90">
        <f>'Costing 100 Lmin Feed Orig'!DG90</f>
        <v>11794834.586807497</v>
      </c>
      <c r="CP90">
        <f>'Costing 100 Lmin Feed Orig'!DH90</f>
        <v>2275209.1661185985</v>
      </c>
      <c r="CQ90">
        <f>'Costing 100 Lmin Feed Orig'!DI90</f>
        <v>14083914.336508472</v>
      </c>
      <c r="CR90">
        <f>'Costing 100 Lmin Feed Orig'!DJ90</f>
        <v>1662824.8986326549</v>
      </c>
      <c r="CS90">
        <f>CN90*(BK90/10000)^0.72*((A90+1)/3)^0.6*('CAPEX+OPEX'!$G$116/'CAPEX+OPEX'!$G$114)</f>
        <v>892840.31653984461</v>
      </c>
      <c r="CT90">
        <f>CO90*(BK90/10000)^0.72*((A90+1)/3)^0.6*('CAPEX+OPEX'!$G$116/'CAPEX+OPEX'!$G$114)</f>
        <v>2296193.8284949926</v>
      </c>
      <c r="CU90">
        <f>CP90*(BK90/10000)^0.72*((A90+1)/3)^0.6*('CAPEX+OPEX'!$G$116/'CAPEX+OPEX'!$G$114)</f>
        <v>442932.9811560188</v>
      </c>
      <c r="CV90">
        <f>CQ90*(BK90/10000)^0.72*((A90+1)/3)^0.6*('CAPEX+OPEX'!$G$116/'CAPEX+OPEX'!$G$114)</f>
        <v>2741827.1059701391</v>
      </c>
      <c r="CW90">
        <f>CR90*(BK90/10000)^0.72*((A90+1)/3)^0.6*('CAPEX+OPEX'!$G$116/'CAPEX+OPEX'!$G$114)</f>
        <v>323715.28756992728</v>
      </c>
      <c r="CX90">
        <f t="shared" si="35"/>
        <v>6697509.5197309218</v>
      </c>
      <c r="CY90">
        <f>CN90*(BM90/10000)^0.72*((AF90+1)/3)^0.6*('CAPEX+OPEX'!$G$116/'CAPEX+OPEX'!$G$114)</f>
        <v>884644.97360172844</v>
      </c>
      <c r="CZ90">
        <f>CO90*(BM90/10000)^0.72*((AF90+1)/3)^0.6*('CAPEX+OPEX'!$G$116/'CAPEX+OPEX'!$G$114)</f>
        <v>2275117.1639130982</v>
      </c>
      <c r="DA90">
        <f>CP90*(BM90/10000)^0.72*((AF90+1)/3)^0.6*('CAPEX+OPEX'!$G$116/'CAPEX+OPEX'!$G$114)</f>
        <v>438867.31833599339</v>
      </c>
      <c r="DB90">
        <f>CQ90*(BM90/10000)^0.72*((AF90+1)/3)^0.6*('CAPEX+OPEX'!$G$116/'CAPEX+OPEX'!$G$114)</f>
        <v>2716659.9926642226</v>
      </c>
      <c r="DC90">
        <f>CR90*(BM90/10000)^0.72*((AF90+1)/3)^0.6*('CAPEX+OPEX'!$G$116/'CAPEX+OPEX'!$G$114)</f>
        <v>320743.91884161107</v>
      </c>
      <c r="DD90">
        <f t="shared" si="36"/>
        <v>6636033.3673566533</v>
      </c>
      <c r="DE90">
        <f>CX90+DD90+1.15*(SUM(CI90:CL90)+SUM(CB90:CE90))</f>
        <v>13432446.14121948</v>
      </c>
      <c r="DF90">
        <f t="shared" si="37"/>
        <v>895496.40941463201</v>
      </c>
      <c r="DG90">
        <f>(BS90+BT90)*'Oxidant Feed Composition'!$N$25*60*7200</f>
        <v>14806000.967336584</v>
      </c>
      <c r="DH90">
        <f>((CG90+CH90)*'Reagent cost'!$C$17/1000*'Reagent cost'!$H$17+(CG90+CH90)*0.5*'Reagent cost'!$C$16/1000*'Reagent cost'!$H$16)*60*7200</f>
        <v>5900527.2615938066</v>
      </c>
      <c r="DI90">
        <f>CF90*'Reagent cost'!$C$17/1000*'Reagent cost'!$H$17*60*7200</f>
        <v>504921.59999999998</v>
      </c>
      <c r="DJ90">
        <f t="shared" si="38"/>
        <v>110.35666655911541</v>
      </c>
      <c r="DK90">
        <f t="shared" si="39"/>
        <v>1213.3089678248296</v>
      </c>
      <c r="DL90">
        <f t="shared" si="40"/>
        <v>25455328.193477731</v>
      </c>
      <c r="DM90">
        <f>BK90*(B90*(409.81+2)/1000+C90*(248.2+2*22.99)/1000+D90*(315.6+3*22.99)/1000+0.1*58.44/1000)</f>
        <v>0.70639694042110623</v>
      </c>
      <c r="DN90">
        <f>(BS90+BT90)/1000*('Oxidant Feed Composition'!$B$11*'Oxidant Feed Composition'!$O$20+'Oxidant Feed Composition'!$D$11*'Oxidant Feed Composition'!$O$21+'Oxidant Feed Composition'!$F$11*'Oxidant Feed Composition'!$O$27-'Oxidant Feed Composition'!$J$15*18.015)</f>
        <v>2.1470232077501685</v>
      </c>
      <c r="DO90">
        <f>(BU90+BV90)/1000*(0.2*368.34+0.4*58.44)</f>
        <v>1.4867530138043623</v>
      </c>
      <c r="DP90">
        <f>BK90/1000*(B90*195.08+C90*106.42+D90*102.91)</f>
        <v>4.999938342565946E-2</v>
      </c>
      <c r="DQ90">
        <f>SUM(DM90:DO90)-DP90</f>
        <v>4.2901737785499767</v>
      </c>
      <c r="DR90">
        <f>DQ90*60*7200*0.33</f>
        <v>611607.17387008481</v>
      </c>
      <c r="DS90">
        <v>1.2</v>
      </c>
      <c r="DT90">
        <f>BM90/60*(AM90*4+AN90*2+AO90*3)*96485/DV90</f>
        <v>1405.8805675728252</v>
      </c>
      <c r="DU90">
        <f>BN90*BA90*(AP90*4+AQ90*2+AR90*3)*96485/DV90/60</f>
        <v>705.80276153185252</v>
      </c>
      <c r="DV90">
        <v>0.7</v>
      </c>
      <c r="DW90">
        <f>0.499*((BK90/3.78541*15)^(-0.146))*BK90/3.78541*15*300*(1+(A90-2)/9)</f>
        <v>49536.497143418172</v>
      </c>
      <c r="DX90">
        <f>0.248*((BK90/3.78541*15)^(-0.144))*BK90/3.78541*15*300*(1+(A90-2)/3)</f>
        <v>49831.318766753509</v>
      </c>
      <c r="DY90">
        <f>0.105*((BK90/3.78541*15)^(-0.144))*BK90/3.78541*15*300*(1+(A90-2)/3)</f>
        <v>21097.937381085154</v>
      </c>
      <c r="DZ90">
        <f>0.058*((BK90/3.78541*15)^(-0.151))*BK90/3.78541*15*300*(1+(A90-2)/3)</f>
        <v>11176.166036369152</v>
      </c>
      <c r="EA90">
        <f>0.056*((BK90/3.78541*15)^(-0.144))*BK90/3.78541*15*300*(1+(A90-2)/3)</f>
        <v>11252.233269912085</v>
      </c>
      <c r="EB90">
        <f>DS90*DT90/(3.6*10^6)*3600*7200*0.07</f>
        <v>850.27656726804469</v>
      </c>
      <c r="EC90">
        <f>0.499*((BM90/3.78541*15)^(-0.146))*BM90/3.78541*15*300*(1+(AF90-2)/9)</f>
        <v>48855.925474773729</v>
      </c>
      <c r="ED90">
        <f>0.248*((BM90/3.78541*15)^(-0.144))*BM90/3.78541*15*300*(1+(AF90-2)/3)</f>
        <v>50432.010422650754</v>
      </c>
      <c r="EE90">
        <f>0.105*((BM90/3.78541*15)^(-0.144))*BM90/3.78541*15*300*(1+(AF90-2)/3)</f>
        <v>21352.262477331969</v>
      </c>
      <c r="EF90">
        <f>0.058*((BM90/3.78541*15)^(-0.151))*BM90/3.78541*15*300*(1+(AF90-2)/3)</f>
        <v>11317.186163436589</v>
      </c>
      <c r="EG90">
        <f>0.056*((BM90/3.78541*15)^(-0.144))*BM90/3.78541*15*300*(1+(AF90-2)/3)</f>
        <v>11387.873321243722</v>
      </c>
      <c r="EH90">
        <f>DS90*DU90/(3.6*10^6)*3600*7200*0.07</f>
        <v>426.86951017446444</v>
      </c>
      <c r="EI90">
        <f>SUM(DW90:EH90)</f>
        <v>287516.55653441726</v>
      </c>
      <c r="EJ90">
        <f>EI90+DR90+DL90</f>
        <v>26354451.923882235</v>
      </c>
      <c r="EK90">
        <f>EJ90+DF90</f>
        <v>27249948.333296865</v>
      </c>
      <c r="EL90">
        <f>EK90/(BK90*60*7200)</f>
        <v>0.63078584104853852</v>
      </c>
      <c r="EM90">
        <f>EK90/(BM90*(AM90*195.084/1000+AN90*106.42/1000+AO90*102.911/1000)*60*7200)</f>
        <v>2110.2748438701083</v>
      </c>
      <c r="EN90">
        <f>EK90/(BN90*BA90*(AP90*195.084/1000+AQ90*106.42/1000+AR90*102.911/1000)*60*7200)</f>
        <v>3872.8729619866999</v>
      </c>
    </row>
    <row r="91" spans="1:144">
      <c r="A91">
        <f>'Costing 100 Lmin Feed Orig'!A91</f>
        <v>11</v>
      </c>
      <c r="B91">
        <f>'Costing 100 Lmin Feed Orig'!B91</f>
        <v>1.54143585092054E-3</v>
      </c>
      <c r="C91">
        <f>'Costing 100 Lmin Feed Orig'!C91</f>
        <v>1.54143585092054E-3</v>
      </c>
      <c r="D91">
        <f>'Costing 100 Lmin Feed Orig'!D91</f>
        <v>3.4254130020456501E-4</v>
      </c>
      <c r="E91">
        <f>'Costing 100 Lmin Feed Orig'!E91</f>
        <v>0</v>
      </c>
      <c r="F91">
        <f>'Costing 100 Lmin Feed Orig'!F91</f>
        <v>0</v>
      </c>
      <c r="G91">
        <f>'Costing 100 Lmin Feed Orig'!G91</f>
        <v>0</v>
      </c>
      <c r="H91">
        <f>'Costing 100 Lmin Feed Orig'!H91</f>
        <v>1.7771367359861701E-5</v>
      </c>
      <c r="I91">
        <f>'Costing 100 Lmin Feed Orig'!I91</f>
        <v>1.8081057367328801E-10</v>
      </c>
      <c r="J91">
        <f>'Costing 100 Lmin Feed Orig'!J91</f>
        <v>3.3765941525589702E-4</v>
      </c>
      <c r="K91">
        <f>'Costing 100 Lmin Feed Orig'!K91</f>
        <v>0.139102253285185</v>
      </c>
      <c r="L91">
        <f>'Costing 100 Lmin Feed Orig'!L91</f>
        <v>0.14072466572308701</v>
      </c>
      <c r="M91">
        <f>'Costing 100 Lmin Feed Orig'!M91</f>
        <v>4.4568945720355099E-4</v>
      </c>
      <c r="N91">
        <f>'Costing 100 Lmin Feed Orig'!N91</f>
        <v>-8.03393809811758E-16</v>
      </c>
      <c r="O91">
        <f>'Costing 100 Lmin Feed Orig'!O91</f>
        <v>-8.4019770307808202E-13</v>
      </c>
      <c r="P91">
        <f>'Costing 100 Lmin Feed Orig'!P91</f>
        <v>-2.26157796916898E-19</v>
      </c>
      <c r="Q91">
        <f>'Costing 100 Lmin Feed Orig'!Q91</f>
        <v>0.10953557168033</v>
      </c>
      <c r="R91">
        <f>'Costing 100 Lmin Feed Orig'!R91</f>
        <v>98.5748039883795</v>
      </c>
      <c r="S91">
        <f>'Costing 100 Lmin Feed Orig'!S91</f>
        <v>500</v>
      </c>
      <c r="T91">
        <f>'Costing 100 Lmin Feed Orig'!T91</f>
        <v>95</v>
      </c>
      <c r="U91">
        <f>'Costing 100 Lmin Feed Orig'!U91</f>
        <v>1</v>
      </c>
      <c r="V91">
        <f>'Costing 100 Lmin Feed Orig'!V91</f>
        <v>0.1</v>
      </c>
      <c r="W91">
        <f>'Costing 100 Lmin Feed Orig'!W91</f>
        <v>91.294543376138293</v>
      </c>
      <c r="X91" t="str">
        <f>'Costing 100 Lmin Feed Orig'!X91</f>
        <v>ddFc</v>
      </c>
      <c r="Y91">
        <f>'Costing 100 Lmin Feed Orig'!Y91</f>
        <v>1</v>
      </c>
      <c r="Z91">
        <f>'Costing 100 Lmin Feed Orig'!Z91</f>
        <v>0.28318429382522198</v>
      </c>
      <c r="AA91">
        <f>'Costing 100 Lmin Feed Orig'!AA91</f>
        <v>0.56945642916197003</v>
      </c>
      <c r="AB91">
        <f>'Costing 100 Lmin Feed Orig'!AB91</f>
        <v>3.7698628972227502E-3</v>
      </c>
      <c r="AC91">
        <f>'Costing 100 Lmin Feed Orig'!AC91</f>
        <v>1822.2107908876901</v>
      </c>
      <c r="AD91">
        <f>'Costing 100 Lmin Feed Orig'!AD91</f>
        <v>2662.6059073104898</v>
      </c>
      <c r="AE91">
        <f>'Costing 100 Lmin Feed Orig'!AE91</f>
        <v>2401.5030938442701</v>
      </c>
      <c r="AF91">
        <f>'Costing 100 Lmin Feed Orig'!AF91</f>
        <v>13</v>
      </c>
      <c r="AG91">
        <f>'Costing 100 Lmin Feed Orig'!AG91</f>
        <v>1.6497569194096201E-3</v>
      </c>
      <c r="AH91">
        <f>'Costing 100 Lmin Feed Orig'!AH91</f>
        <v>1.6689987798565299E-3</v>
      </c>
      <c r="AI91">
        <f>'Costing 100 Lmin Feed Orig'!AI91</f>
        <v>5.28589040482341E-6</v>
      </c>
      <c r="AJ91">
        <f>'Costing 100 Lmin Feed Orig'!AJ91</f>
        <v>0</v>
      </c>
      <c r="AK91">
        <f>'Costing 100 Lmin Feed Orig'!AK91</f>
        <v>0</v>
      </c>
      <c r="AL91">
        <f>'Costing 100 Lmin Feed Orig'!AL91</f>
        <v>0</v>
      </c>
      <c r="AM91">
        <f>'Costing 100 Lmin Feed Orig'!AM91</f>
        <v>1.6128103180087E-3</v>
      </c>
      <c r="AN91">
        <f>'Costing 100 Lmin Feed Orig'!AN91</f>
        <v>7.9633625011629096E-5</v>
      </c>
      <c r="AO91">
        <f>'Costing 100 Lmin Feed Orig'!AO91</f>
        <v>5.2511285677767398E-6</v>
      </c>
      <c r="AP91">
        <f>'Costing 100 Lmin Feed Orig'!AP91</f>
        <v>1.7332441234993001E-3</v>
      </c>
      <c r="AQ91">
        <f>'Costing 100 Lmin Feed Orig'!AQ91</f>
        <v>7.4560520055328497E-2</v>
      </c>
      <c r="AR91">
        <f>'Costing 100 Lmin Feed Orig'!AR91</f>
        <v>1.6307521530699199E-6</v>
      </c>
      <c r="AS91">
        <f>'Costing 100 Lmin Feed Orig'!AS91</f>
        <v>4.9466724119651101E-19</v>
      </c>
      <c r="AT91">
        <f>'Costing 100 Lmin Feed Orig'!AT91</f>
        <v>-1.2576745200831801E-17</v>
      </c>
      <c r="AU91">
        <f>'Costing 100 Lmin Feed Orig'!AU91</f>
        <v>1.39628087398951E-21</v>
      </c>
      <c r="AV91">
        <f>'Costing 100 Lmin Feed Orig'!AV91</f>
        <v>0.19687208671741999</v>
      </c>
      <c r="AW91">
        <f>'Costing 100 Lmin Feed Orig'!AW91</f>
        <v>99.342365535710996</v>
      </c>
      <c r="AX91">
        <f>'Costing 100 Lmin Feed Orig'!AX91</f>
        <v>500</v>
      </c>
      <c r="AY91">
        <f>'Costing 100 Lmin Feed Orig'!AY91</f>
        <v>95</v>
      </c>
      <c r="AZ91">
        <f>'Costing 100 Lmin Feed Orig'!AZ91</f>
        <v>0.92356908198738696</v>
      </c>
      <c r="BA91">
        <f>'Costing 100 Lmin Feed Orig'!BA91</f>
        <v>0.1</v>
      </c>
      <c r="BB91">
        <f>'Costing 100 Lmin Feed Orig'!BB91</f>
        <v>46.912139622567501</v>
      </c>
      <c r="BC91" t="str">
        <f>'Costing 100 Lmin Feed Orig'!BC91</f>
        <v>coeFc</v>
      </c>
      <c r="BD91">
        <f>'Costing 100 Lmin Feed Orig'!BD91</f>
        <v>1</v>
      </c>
      <c r="BE91">
        <f>'Costing 100 Lmin Feed Orig'!BE91</f>
        <v>1.8775014999999999E-2</v>
      </c>
      <c r="BF91">
        <f>'Costing 100 Lmin Feed Orig'!BF91</f>
        <v>0.10492961100000001</v>
      </c>
      <c r="BG91">
        <f>'Costing 100 Lmin Feed Orig'!BG91</f>
        <v>1.814625E-3</v>
      </c>
      <c r="BH91">
        <f>'Costing 100 Lmin Feed Orig'!BH91</f>
        <v>285.1951444</v>
      </c>
      <c r="BI91">
        <f>'Costing 100 Lmin Feed Orig'!BI91</f>
        <v>2169.8944889999998</v>
      </c>
      <c r="BJ91">
        <f>'Costing 100 Lmin Feed Orig'!BJ91</f>
        <v>866.49409060000005</v>
      </c>
      <c r="BK91">
        <f>'Costing 100 Lmin Feed Orig'!BK91</f>
        <v>100</v>
      </c>
      <c r="BL91">
        <f>'Costing 100 Lmin Feed Orig'!BL91</f>
        <v>10.953557168032999</v>
      </c>
      <c r="BM91">
        <f>'Costing 100 Lmin Feed Orig'!BM91</f>
        <v>92.356908198738694</v>
      </c>
      <c r="BN91">
        <f>'Costing 100 Lmin Feed Orig'!BN91</f>
        <v>19.687208671741999</v>
      </c>
      <c r="BO91">
        <f t="shared" si="22"/>
        <v>284.79248636885796</v>
      </c>
      <c r="BP91">
        <f t="shared" si="23"/>
        <v>590.61626015226</v>
      </c>
      <c r="BQ91">
        <f t="shared" si="24"/>
        <v>28.479248636885799</v>
      </c>
      <c r="BR91">
        <f t="shared" si="25"/>
        <v>59.061626015226004</v>
      </c>
      <c r="BS91">
        <f>1.2*0.5*BL91*V91/'Oxidant Feed Composition'!$N$22</f>
        <v>6.5721343008197994</v>
      </c>
      <c r="BT91">
        <f>1.2*0.5*BN91*BA91/'Oxidant Feed Composition'!$N$22</f>
        <v>11.8123252030452</v>
      </c>
      <c r="BU91">
        <f t="shared" si="26"/>
        <v>5.4767785840164995</v>
      </c>
      <c r="BV91">
        <f t="shared" si="27"/>
        <v>9.8436043358709995</v>
      </c>
      <c r="BW91">
        <f t="shared" si="28"/>
        <v>86.880129614722193</v>
      </c>
      <c r="BX91">
        <f t="shared" si="21"/>
        <v>35.051382937705597</v>
      </c>
      <c r="BY91">
        <f t="shared" si="29"/>
        <v>206.62093073354339</v>
      </c>
      <c r="BZ91">
        <f t="shared" si="30"/>
        <v>62.999067749574394</v>
      </c>
      <c r="CA91">
        <f t="shared" si="31"/>
        <v>59.061626015225997</v>
      </c>
      <c r="CB91">
        <f>BO91*'Reagent cost'!$G$11*'Reagent cost'!$H$11</f>
        <v>3759.2608200689256</v>
      </c>
      <c r="CC91">
        <f>BP91*'Reagent cost'!$G$11*'Reagent cost'!$H$11</f>
        <v>7796.1346340098326</v>
      </c>
      <c r="CD91">
        <f>BQ91*'Reagent cost'!$C$18/1000*'Reagent cost'!$H$18</f>
        <v>4541.8834647976191</v>
      </c>
      <c r="CE91">
        <f>BR91*'Ligand cost'!$B$56*'Ligand cost'!$J$56</f>
        <v>60132.279339320281</v>
      </c>
      <c r="CF91">
        <f t="shared" si="32"/>
        <v>10</v>
      </c>
      <c r="CG91">
        <f t="shared" si="33"/>
        <v>2.1907114336065998</v>
      </c>
      <c r="CH91">
        <f t="shared" si="34"/>
        <v>3.9374417343484001</v>
      </c>
      <c r="CI91">
        <f>7963.6*(BX91/1000)^0.6*1.7*('CAPEX+OPEX'!$G$116/'CAPEX+OPEX'!$G$115)</f>
        <v>2138.2772847076108</v>
      </c>
      <c r="CJ91">
        <f>7963.6*(BY91/1000)^0.6*1.7*('CAPEX+OPEX'!$G$116/'CAPEX+OPEX'!$G$115)</f>
        <v>6199.3408604999822</v>
      </c>
      <c r="CK91">
        <f>7963.6*(BZ91/1000)^0.6*1.7*('CAPEX+OPEX'!$G$116/'CAPEX+OPEX'!$G$115)</f>
        <v>3039.7747387703889</v>
      </c>
      <c r="CL91">
        <f>7963.6*(CA91/1000)^0.6*1.7*('CAPEX+OPEX'!$G$116/'CAPEX+OPEX'!$G$115)</f>
        <v>2924.3151043339894</v>
      </c>
      <c r="CM91">
        <f>'Costing 100 Lmin Feed Orig'!DE91</f>
        <v>39625.826528698344</v>
      </c>
      <c r="CN91">
        <f>'Costing 100 Lmin Feed Orig'!DF91</f>
        <v>4586243.4239371875</v>
      </c>
      <c r="CO91">
        <f>'Costing 100 Lmin Feed Orig'!DG91</f>
        <v>11794834.586807497</v>
      </c>
      <c r="CP91">
        <f>'Costing 100 Lmin Feed Orig'!DH91</f>
        <v>2275209.1661185985</v>
      </c>
      <c r="CQ91">
        <f>'Costing 100 Lmin Feed Orig'!DI91</f>
        <v>14083914.336508472</v>
      </c>
      <c r="CR91">
        <f>'Costing 100 Lmin Feed Orig'!DJ91</f>
        <v>1662824.8986326549</v>
      </c>
      <c r="CS91">
        <f>CN91*(BK91/10000)^0.72*((A91+1)/3)^0.6*('CAPEX+OPEX'!$G$116/'CAPEX+OPEX'!$G$114)</f>
        <v>892840.31653984461</v>
      </c>
      <c r="CT91">
        <f>CO91*(BK91/10000)^0.72*((A91+1)/3)^0.6*('CAPEX+OPEX'!$G$116/'CAPEX+OPEX'!$G$114)</f>
        <v>2296193.8284949926</v>
      </c>
      <c r="CU91">
        <f>CP91*(BK91/10000)^0.72*((A91+1)/3)^0.6*('CAPEX+OPEX'!$G$116/'CAPEX+OPEX'!$G$114)</f>
        <v>442932.9811560188</v>
      </c>
      <c r="CV91">
        <f>CQ91*(BK91/10000)^0.72*((A91+1)/3)^0.6*('CAPEX+OPEX'!$G$116/'CAPEX+OPEX'!$G$114)</f>
        <v>2741827.1059701391</v>
      </c>
      <c r="CW91">
        <f>CR91*(BK91/10000)^0.72*((A91+1)/3)^0.6*('CAPEX+OPEX'!$G$116/'CAPEX+OPEX'!$G$114)</f>
        <v>323715.28756992728</v>
      </c>
      <c r="CX91">
        <f t="shared" si="35"/>
        <v>6697509.5197309218</v>
      </c>
      <c r="CY91">
        <f>CN91*(BM91/10000)^0.72*((AF91+1)/3)^0.6*('CAPEX+OPEX'!$G$116/'CAPEX+OPEX'!$G$114)</f>
        <v>924868.15113757015</v>
      </c>
      <c r="CZ91">
        <f>CO91*(BM91/10000)^0.72*((AF91+1)/3)^0.6*('CAPEX+OPEX'!$G$116/'CAPEX+OPEX'!$G$114)</f>
        <v>2378562.5508532794</v>
      </c>
      <c r="DA91">
        <f>CP91*(BM91/10000)^0.72*((AF91+1)/3)^0.6*('CAPEX+OPEX'!$G$116/'CAPEX+OPEX'!$G$114)</f>
        <v>458821.80695783772</v>
      </c>
      <c r="DB91">
        <f>CQ91*(BM91/10000)^0.72*((AF91+1)/3)^0.6*('CAPEX+OPEX'!$G$116/'CAPEX+OPEX'!$G$114)</f>
        <v>2840181.5187568436</v>
      </c>
      <c r="DC91">
        <f>CR91*(BM91/10000)^0.72*((AF91+1)/3)^0.6*('CAPEX+OPEX'!$G$116/'CAPEX+OPEX'!$G$114)</f>
        <v>335327.55405809957</v>
      </c>
      <c r="DD91">
        <f t="shared" si="36"/>
        <v>6937761.5817636298</v>
      </c>
      <c r="DE91">
        <f>CX91+DD91+1.15*(SUM(CI91:CL91)+SUM(CB91:CE91))</f>
        <v>13739382.057678036</v>
      </c>
      <c r="DF91">
        <f t="shared" si="37"/>
        <v>915958.80384520243</v>
      </c>
      <c r="DG91">
        <f>(BS91+BT91)*'Oxidant Feed Composition'!$N$25*60*7200</f>
        <v>14805983.303474141</v>
      </c>
      <c r="DH91">
        <f>((CG91+CH91)*'Reagent cost'!$C$17/1000*'Reagent cost'!$H$17+(CG91+CH91)*0.5*'Reagent cost'!$C$16/1000*'Reagent cost'!$H$16)*60*7200</f>
        <v>5900520.2221439183</v>
      </c>
      <c r="DI91">
        <f>CF91*'Reagent cost'!$C$17/1000*'Reagent cost'!$H$17*60*7200</f>
        <v>504921.59999999998</v>
      </c>
      <c r="DJ91">
        <f t="shared" si="38"/>
        <v>115.55395454078759</v>
      </c>
      <c r="DK91">
        <f t="shared" si="39"/>
        <v>1293.4832560823579</v>
      </c>
      <c r="DL91">
        <f t="shared" si="40"/>
        <v>25455400.995394424</v>
      </c>
      <c r="DM91">
        <f>BK91*(B91*(409.81+2)/1000+C91*(248.2+2*22.99)/1000+D91*(315.6+3*22.99)/1000+0.1*58.44/1000)</f>
        <v>0.70639694042110623</v>
      </c>
      <c r="DN91">
        <f>(BS91+BT91)/1000*('Oxidant Feed Composition'!$B$11*'Oxidant Feed Composition'!$O$20+'Oxidant Feed Composition'!$D$11*'Oxidant Feed Composition'!$O$21+'Oxidant Feed Composition'!$F$11*'Oxidant Feed Composition'!$O$27-'Oxidant Feed Composition'!$J$15*18.015)</f>
        <v>2.1470206463075021</v>
      </c>
      <c r="DO91">
        <f>(BU91+BV91)/1000*(0.2*368.34+0.4*58.44)</f>
        <v>1.4867512400775624</v>
      </c>
      <c r="DP91">
        <f>BK91/1000*(B91*195.08+C91*106.42+D91*102.91)</f>
        <v>4.999938342565946E-2</v>
      </c>
      <c r="DQ91">
        <f>SUM(DM91:DO91)-DP91</f>
        <v>4.2901694433805106</v>
      </c>
      <c r="DR91">
        <f>DQ91*60*7200*0.33</f>
        <v>611606.5558483256</v>
      </c>
      <c r="DS91">
        <v>1.2</v>
      </c>
      <c r="DT91">
        <f>BM91/60*(AM91*4+AN91*2+AO91*3)*96485/DV91</f>
        <v>1405.8807818129837</v>
      </c>
      <c r="DU91">
        <f>BN91*BA91*(AP91*4+AQ91*2+AR91*3)*96485/DV91/60</f>
        <v>705.80254727461261</v>
      </c>
      <c r="DV91">
        <v>0.7</v>
      </c>
      <c r="DW91">
        <f>0.499*((BK91/3.78541*15)^(-0.146))*BK91/3.78541*15*300*(1+(A91-2)/9)</f>
        <v>49536.497143418172</v>
      </c>
      <c r="DX91">
        <f>0.248*((BK91/3.78541*15)^(-0.144))*BK91/3.78541*15*300*(1+(A91-2)/3)</f>
        <v>49831.318766753509</v>
      </c>
      <c r="DY91">
        <f>0.105*((BK91/3.78541*15)^(-0.144))*BK91/3.78541*15*300*(1+(A91-2)/3)</f>
        <v>21097.937381085154</v>
      </c>
      <c r="DZ91">
        <f>0.058*((BK91/3.78541*15)^(-0.151))*BK91/3.78541*15*300*(1+(A91-2)/3)</f>
        <v>11176.166036369152</v>
      </c>
      <c r="EA91">
        <f>0.056*((BK91/3.78541*15)^(-0.144))*BK91/3.78541*15*300*(1+(A91-2)/3)</f>
        <v>11252.233269912085</v>
      </c>
      <c r="EB91">
        <f>DS91*DT91/(3.6*10^6)*3600*7200*0.07</f>
        <v>850.2766968404926</v>
      </c>
      <c r="EC91">
        <f>0.499*((BM91/3.78541*15)^(-0.146))*BM91/3.78541*15*300*(1+(AF91-2)/9)</f>
        <v>51427.28997344603</v>
      </c>
      <c r="ED91">
        <f>0.248*((BM91/3.78541*15)^(-0.144))*BM91/3.78541*15*300*(1+(AF91-2)/3)</f>
        <v>54311.395839777724</v>
      </c>
      <c r="EE91">
        <f>0.105*((BM91/3.78541*15)^(-0.144))*BM91/3.78541*15*300*(1+(AF91-2)/3)</f>
        <v>22994.7442063575</v>
      </c>
      <c r="EF91">
        <f>0.058*((BM91/3.78541*15)^(-0.151))*BM91/3.78541*15*300*(1+(AF91-2)/3)</f>
        <v>12187.738945239398</v>
      </c>
      <c r="EG91">
        <f>0.056*((BM91/3.78541*15)^(-0.144))*BM91/3.78541*15*300*(1+(AF91-2)/3)</f>
        <v>12263.863576724005</v>
      </c>
      <c r="EH91">
        <f>DS91*DU91/(3.6*10^6)*3600*7200*0.07</f>
        <v>426.86938059168574</v>
      </c>
      <c r="EI91">
        <f>SUM(DW91:EH91)</f>
        <v>297356.33121651493</v>
      </c>
      <c r="EJ91">
        <f>EI91+DR91+DL91</f>
        <v>26364363.882459264</v>
      </c>
      <c r="EK91">
        <f>EJ91+DF91</f>
        <v>27280322.686304465</v>
      </c>
      <c r="EL91">
        <f>EK91/(BK91*60*7200)</f>
        <v>0.63148895107186265</v>
      </c>
      <c r="EM91">
        <f>EK91/(BM91*(AM91*195.084/1000+AN91*106.42/1000+AO91*102.911/1000)*60*7200)</f>
        <v>2112.6267549277632</v>
      </c>
      <c r="EN91">
        <f>EK91/(BN91*BA91*(AP91*195.084/1000+AQ91*106.42/1000+AR91*102.911/1000)*60*7200)</f>
        <v>3877.1909730849279</v>
      </c>
    </row>
    <row r="92" spans="1:144">
      <c r="A92">
        <f>'Costing 100 Lmin Feed Orig'!A92</f>
        <v>12</v>
      </c>
      <c r="B92">
        <f>'Costing 100 Lmin Feed Orig'!B92</f>
        <v>1.54143585092054E-3</v>
      </c>
      <c r="C92">
        <f>'Costing 100 Lmin Feed Orig'!C92</f>
        <v>1.54143585092054E-3</v>
      </c>
      <c r="D92">
        <f>'Costing 100 Lmin Feed Orig'!D92</f>
        <v>3.4254130020456501E-4</v>
      </c>
      <c r="E92">
        <f>'Costing 100 Lmin Feed Orig'!E92</f>
        <v>0</v>
      </c>
      <c r="F92">
        <f>'Costing 100 Lmin Feed Orig'!F92</f>
        <v>0</v>
      </c>
      <c r="G92">
        <f>'Costing 100 Lmin Feed Orig'!G92</f>
        <v>0</v>
      </c>
      <c r="H92">
        <f>'Costing 100 Lmin Feed Orig'!H92</f>
        <v>1.7771599281349402E-5</v>
      </c>
      <c r="I92">
        <f>'Costing 100 Lmin Feed Orig'!I92</f>
        <v>6.3113732322488897E-11</v>
      </c>
      <c r="J92">
        <f>'Costing 100 Lmin Feed Orig'!J92</f>
        <v>3.37661562480901E-4</v>
      </c>
      <c r="K92">
        <f>'Costing 100 Lmin Feed Orig'!K92</f>
        <v>0.13911791568267901</v>
      </c>
      <c r="L92">
        <f>'Costing 100 Lmin Feed Orig'!L92</f>
        <v>0.140740543921716</v>
      </c>
      <c r="M92">
        <f>'Costing 100 Lmin Feed Orig'!M92</f>
        <v>4.45543656000266E-4</v>
      </c>
      <c r="N92">
        <f>'Costing 100 Lmin Feed Orig'!N92</f>
        <v>-4.7646348672047899E-15</v>
      </c>
      <c r="O92">
        <f>'Costing 100 Lmin Feed Orig'!O92</f>
        <v>-1.1300289697036E-11</v>
      </c>
      <c r="P92">
        <f>'Costing 100 Lmin Feed Orig'!P92</f>
        <v>-4.6756218688437302E-19</v>
      </c>
      <c r="Q92">
        <f>'Costing 100 Lmin Feed Orig'!Q92</f>
        <v>0.10952322309941399</v>
      </c>
      <c r="R92">
        <f>'Costing 100 Lmin Feed Orig'!R92</f>
        <v>98.575430839799395</v>
      </c>
      <c r="S92">
        <f>'Costing 100 Lmin Feed Orig'!S92</f>
        <v>500</v>
      </c>
      <c r="T92">
        <f>'Costing 100 Lmin Feed Orig'!T92</f>
        <v>95</v>
      </c>
      <c r="U92">
        <f>'Costing 100 Lmin Feed Orig'!U92</f>
        <v>1</v>
      </c>
      <c r="V92">
        <f>'Costing 100 Lmin Feed Orig'!V92</f>
        <v>0.1</v>
      </c>
      <c r="W92">
        <f>'Costing 100 Lmin Feed Orig'!W92</f>
        <v>91.304836700459305</v>
      </c>
      <c r="X92" t="str">
        <f>'Costing 100 Lmin Feed Orig'!X92</f>
        <v>ddFc</v>
      </c>
      <c r="Y92">
        <f>'Costing 100 Lmin Feed Orig'!Y92</f>
        <v>1</v>
      </c>
      <c r="Z92">
        <f>'Costing 100 Lmin Feed Orig'!Z92</f>
        <v>0.28318429382522198</v>
      </c>
      <c r="AA92">
        <f>'Costing 100 Lmin Feed Orig'!AA92</f>
        <v>0.56945642916197003</v>
      </c>
      <c r="AB92">
        <f>'Costing 100 Lmin Feed Orig'!AB92</f>
        <v>3.7698628972227502E-3</v>
      </c>
      <c r="AC92">
        <f>'Costing 100 Lmin Feed Orig'!AC92</f>
        <v>1822.2107908876901</v>
      </c>
      <c r="AD92">
        <f>'Costing 100 Lmin Feed Orig'!AD92</f>
        <v>2662.6059073104898</v>
      </c>
      <c r="AE92">
        <f>'Costing 100 Lmin Feed Orig'!AE92</f>
        <v>2401.5030938442701</v>
      </c>
      <c r="AF92">
        <f>'Costing 100 Lmin Feed Orig'!AF92</f>
        <v>4</v>
      </c>
      <c r="AG92">
        <f>'Costing 100 Lmin Feed Orig'!AG92</f>
        <v>1.6497575706444501E-3</v>
      </c>
      <c r="AH92">
        <f>'Costing 100 Lmin Feed Orig'!AH92</f>
        <v>1.66899983148883E-3</v>
      </c>
      <c r="AI92">
        <f>'Costing 100 Lmin Feed Orig'!AI92</f>
        <v>5.28356837386519E-6</v>
      </c>
      <c r="AJ92">
        <f>'Costing 100 Lmin Feed Orig'!AJ92</f>
        <v>0</v>
      </c>
      <c r="AK92">
        <f>'Costing 100 Lmin Feed Orig'!AK92</f>
        <v>0</v>
      </c>
      <c r="AL92">
        <f>'Costing 100 Lmin Feed Orig'!AL92</f>
        <v>0</v>
      </c>
      <c r="AM92">
        <f>'Costing 100 Lmin Feed Orig'!AM92</f>
        <v>1.6048452348297699E-3</v>
      </c>
      <c r="AN92">
        <f>'Costing 100 Lmin Feed Orig'!AN92</f>
        <v>7.9223897063492306E-5</v>
      </c>
      <c r="AO92">
        <f>'Costing 100 Lmin Feed Orig'!AO92</f>
        <v>5.2416416138490404E-6</v>
      </c>
      <c r="AP92">
        <f>'Costing 100 Lmin Feed Orig'!AP92</f>
        <v>1.9874016210830801E-3</v>
      </c>
      <c r="AQ92">
        <f>'Costing 100 Lmin Feed Orig'!AQ92</f>
        <v>7.0348673954820695E-2</v>
      </c>
      <c r="AR92">
        <f>'Costing 100 Lmin Feed Orig'!AR92</f>
        <v>1.85528784684309E-6</v>
      </c>
      <c r="AS92">
        <f>'Costing 100 Lmin Feed Orig'!AS92</f>
        <v>-9.4900622733470806E-15</v>
      </c>
      <c r="AT92">
        <f>'Costing 100 Lmin Feed Orig'!AT92</f>
        <v>-1.22378452857563E-13</v>
      </c>
      <c r="AU92">
        <f>'Costing 100 Lmin Feed Orig'!AU92</f>
        <v>-3.0328014676440201E-18</v>
      </c>
      <c r="AV92">
        <f>'Costing 100 Lmin Feed Orig'!AV92</f>
        <v>0.20871283207273</v>
      </c>
      <c r="AW92">
        <f>'Costing 100 Lmin Feed Orig'!AW92</f>
        <v>99.206468866315106</v>
      </c>
      <c r="AX92">
        <f>'Costing 100 Lmin Feed Orig'!AX92</f>
        <v>500</v>
      </c>
      <c r="AY92">
        <f>'Costing 100 Lmin Feed Orig'!AY92</f>
        <v>95</v>
      </c>
      <c r="AZ92">
        <f>'Costing 100 Lmin Feed Orig'!AZ92</f>
        <v>0.92356857683566096</v>
      </c>
      <c r="BA92">
        <f>'Costing 100 Lmin Feed Orig'!BA92</f>
        <v>0.1</v>
      </c>
      <c r="BB92">
        <f>'Costing 100 Lmin Feed Orig'!BB92</f>
        <v>44.250684908239002</v>
      </c>
      <c r="BC92" t="str">
        <f>'Costing 100 Lmin Feed Orig'!BC92</f>
        <v>coeFc</v>
      </c>
      <c r="BD92">
        <f>'Costing 100 Lmin Feed Orig'!BD92</f>
        <v>1</v>
      </c>
      <c r="BE92">
        <f>'Costing 100 Lmin Feed Orig'!BE92</f>
        <v>1.8775014999999999E-2</v>
      </c>
      <c r="BF92">
        <f>'Costing 100 Lmin Feed Orig'!BF92</f>
        <v>0.10492961100000001</v>
      </c>
      <c r="BG92">
        <f>'Costing 100 Lmin Feed Orig'!BG92</f>
        <v>1.814625E-3</v>
      </c>
      <c r="BH92">
        <f>'Costing 100 Lmin Feed Orig'!BH92</f>
        <v>285.1951444</v>
      </c>
      <c r="BI92">
        <f>'Costing 100 Lmin Feed Orig'!BI92</f>
        <v>2169.8944889999998</v>
      </c>
      <c r="BJ92">
        <f>'Costing 100 Lmin Feed Orig'!BJ92</f>
        <v>866.49409060000005</v>
      </c>
      <c r="BK92">
        <f>'Costing 100 Lmin Feed Orig'!BK92</f>
        <v>100</v>
      </c>
      <c r="BL92">
        <f>'Costing 100 Lmin Feed Orig'!BL92</f>
        <v>10.952322309941399</v>
      </c>
      <c r="BM92">
        <f>'Costing 100 Lmin Feed Orig'!BM92</f>
        <v>92.356857683566091</v>
      </c>
      <c r="BN92">
        <f>'Costing 100 Lmin Feed Orig'!BN92</f>
        <v>20.871283207272999</v>
      </c>
      <c r="BO92">
        <f t="shared" si="22"/>
        <v>306.6650246783592</v>
      </c>
      <c r="BP92">
        <f t="shared" si="23"/>
        <v>250.455398487276</v>
      </c>
      <c r="BQ92">
        <f t="shared" si="24"/>
        <v>30.666502467835922</v>
      </c>
      <c r="BR92">
        <f t="shared" si="25"/>
        <v>25.0455398487276</v>
      </c>
      <c r="BS92">
        <f>1.2*0.5*BL92*V92/'Oxidant Feed Composition'!$N$22</f>
        <v>6.5713933859648392</v>
      </c>
      <c r="BT92">
        <f>1.2*0.5*BN92*BA92/'Oxidant Feed Composition'!$N$22</f>
        <v>12.522769924363798</v>
      </c>
      <c r="BU92">
        <f t="shared" si="26"/>
        <v>5.4761611549706997</v>
      </c>
      <c r="BV92">
        <f t="shared" si="27"/>
        <v>10.435641603636499</v>
      </c>
      <c r="BW92">
        <f t="shared" si="28"/>
        <v>86.880696528595394</v>
      </c>
      <c r="BX92">
        <f t="shared" si="21"/>
        <v>35.047431391812481</v>
      </c>
      <c r="BY92">
        <f t="shared" si="29"/>
        <v>206.61835998701497</v>
      </c>
      <c r="BZ92">
        <f t="shared" si="30"/>
        <v>66.78810626327359</v>
      </c>
      <c r="CA92">
        <f t="shared" si="31"/>
        <v>62.613849621819</v>
      </c>
      <c r="CB92">
        <f>BO92*'Reagent cost'!$G$11*'Reagent cost'!$H$11</f>
        <v>4047.9783257543413</v>
      </c>
      <c r="CC92">
        <f>BP92*'Reagent cost'!$G$11*'Reagent cost'!$H$11</f>
        <v>3306.0112600320435</v>
      </c>
      <c r="CD92">
        <f>BQ92*'Reagent cost'!$C$18/1000*'Reagent cost'!$H$18</f>
        <v>4890.707695899031</v>
      </c>
      <c r="CE92">
        <f>BR92*'Ligand cost'!$B$56*'Ligand cost'!$J$56</f>
        <v>25499.558681291794</v>
      </c>
      <c r="CF92">
        <f t="shared" si="32"/>
        <v>10</v>
      </c>
      <c r="CG92">
        <f t="shared" si="33"/>
        <v>2.19046446198828</v>
      </c>
      <c r="CH92">
        <f t="shared" si="34"/>
        <v>4.1742566414546003</v>
      </c>
      <c r="CI92">
        <f>7963.6*(BX92/1000)^0.6*1.7*('CAPEX+OPEX'!$G$116/'CAPEX+OPEX'!$G$115)</f>
        <v>2138.1326451989207</v>
      </c>
      <c r="CJ92">
        <f>7963.6*(BY92/1000)^0.6*1.7*('CAPEX+OPEX'!$G$116/'CAPEX+OPEX'!$G$115)</f>
        <v>6199.2945816251477</v>
      </c>
      <c r="CK92">
        <f>7963.6*(BZ92/1000)^0.6*1.7*('CAPEX+OPEX'!$G$116/'CAPEX+OPEX'!$G$115)</f>
        <v>3148.1861614717395</v>
      </c>
      <c r="CL92">
        <f>7963.6*(CA92/1000)^0.6*1.7*('CAPEX+OPEX'!$G$116/'CAPEX+OPEX'!$G$115)</f>
        <v>3028.6087405841981</v>
      </c>
      <c r="CM92">
        <f>'Costing 100 Lmin Feed Orig'!DE92</f>
        <v>39625.826528698344</v>
      </c>
      <c r="CN92">
        <f>'Costing 100 Lmin Feed Orig'!DF92</f>
        <v>4586243.4239371875</v>
      </c>
      <c r="CO92">
        <f>'Costing 100 Lmin Feed Orig'!DG92</f>
        <v>11794834.586807497</v>
      </c>
      <c r="CP92">
        <f>'Costing 100 Lmin Feed Orig'!DH92</f>
        <v>2275209.1661185985</v>
      </c>
      <c r="CQ92">
        <f>'Costing 100 Lmin Feed Orig'!DI92</f>
        <v>14083914.336508472</v>
      </c>
      <c r="CR92">
        <f>'Costing 100 Lmin Feed Orig'!DJ92</f>
        <v>1662824.8986326549</v>
      </c>
      <c r="CS92">
        <f>CN92*(BK92/10000)^0.72*((A92+1)/3)^0.6*('CAPEX+OPEX'!$G$116/'CAPEX+OPEX'!$G$114)</f>
        <v>936765.86395108781</v>
      </c>
      <c r="CT92">
        <f>CO92*(BK92/10000)^0.72*((A92+1)/3)^0.6*('CAPEX+OPEX'!$G$116/'CAPEX+OPEX'!$G$114)</f>
        <v>2409160.916797909</v>
      </c>
      <c r="CU92">
        <f>CP92*(BK92/10000)^0.72*((A92+1)/3)^0.6*('CAPEX+OPEX'!$G$116/'CAPEX+OPEX'!$G$114)</f>
        <v>464724.19432521454</v>
      </c>
      <c r="CV92">
        <f>CQ92*(BK92/10000)^0.72*((A92+1)/3)^0.6*('CAPEX+OPEX'!$G$116/'CAPEX+OPEX'!$G$114)</f>
        <v>2876718.2553791031</v>
      </c>
      <c r="CW92">
        <f>CR92*(BK92/10000)^0.72*((A92+1)/3)^0.6*('CAPEX+OPEX'!$G$116/'CAPEX+OPEX'!$G$114)</f>
        <v>339641.28346021532</v>
      </c>
      <c r="CX92">
        <f t="shared" si="35"/>
        <v>7027010.5139135299</v>
      </c>
      <c r="CY92">
        <f>CN92*(BM92/10000)^0.72*((AF92+1)/3)^0.6*('CAPEX+OPEX'!$G$116/'CAPEX+OPEX'!$G$114)</f>
        <v>498637.38285704167</v>
      </c>
      <c r="CZ92">
        <f>CO92*(BM92/10000)^0.72*((AF92+1)/3)^0.6*('CAPEX+OPEX'!$G$116/'CAPEX+OPEX'!$G$114)</f>
        <v>1282388.4181333755</v>
      </c>
      <c r="DA92">
        <f>CP92*(BM92/10000)^0.72*((AF92+1)/3)^0.6*('CAPEX+OPEX'!$G$116/'CAPEX+OPEX'!$G$114)</f>
        <v>247371.15743232475</v>
      </c>
      <c r="DB92">
        <f>CQ92*(BM92/10000)^0.72*((AF92+1)/3)^0.6*('CAPEX+OPEX'!$G$116/'CAPEX+OPEX'!$G$114)</f>
        <v>1531267.648918309</v>
      </c>
      <c r="DC92">
        <f>CR92*(BM92/10000)^0.72*((AF92+1)/3)^0.6*('CAPEX+OPEX'!$G$116/'CAPEX+OPEX'!$G$114)</f>
        <v>180789.93611113401</v>
      </c>
      <c r="DD92">
        <f t="shared" si="36"/>
        <v>3740454.5434521851</v>
      </c>
      <c r="DE92">
        <f>CX92+DD92+1.15*(SUM(CI92:CL92)+SUM(CB92:CE92))</f>
        <v>10827562.307171352</v>
      </c>
      <c r="DF92">
        <f t="shared" si="37"/>
        <v>721837.48714475683</v>
      </c>
      <c r="DG92">
        <f>(BS92+BT92)*'Oxidant Feed Composition'!$N$25*60*7200</f>
        <v>15377545.535516025</v>
      </c>
      <c r="DH92">
        <f>((CG92+CH92)*'Reagent cost'!$C$17/1000*'Reagent cost'!$H$17+(CG92+CH92)*0.5*'Reagent cost'!$C$16/1000*'Reagent cost'!$H$16)*60*7200</f>
        <v>6128300.7375782086</v>
      </c>
      <c r="DI92">
        <f>CF92*'Reagent cost'!$C$17/1000*'Reagent cost'!$H$17*60*7200</f>
        <v>504921.59999999998</v>
      </c>
      <c r="DJ92">
        <f t="shared" si="38"/>
        <v>73.539895857863854</v>
      </c>
      <c r="DK92">
        <f t="shared" si="39"/>
        <v>607.80532754381659</v>
      </c>
      <c r="DL92">
        <f t="shared" si="40"/>
        <v>26413739.06198116</v>
      </c>
      <c r="DM92">
        <f>BK92*(B92*(409.81+2)/1000+C92*(248.2+2*22.99)/1000+D92*(315.6+3*22.99)/1000+0.1*58.44/1000)</f>
        <v>0.70639694042110623</v>
      </c>
      <c r="DN92">
        <f>(BS92+BT92)/1000*('Oxidant Feed Composition'!$B$11*'Oxidant Feed Composition'!$O$20+'Oxidant Feed Composition'!$D$11*'Oxidant Feed Composition'!$O$21+'Oxidant Feed Composition'!$F$11*'Oxidant Feed Composition'!$O$27-'Oxidant Feed Composition'!$J$15*18.015)</f>
        <v>2.2299030788816068</v>
      </c>
      <c r="DO92">
        <f>(BU92+BV92)/1000*(0.2*368.34+0.4*58.44)</f>
        <v>1.5441449869062769</v>
      </c>
      <c r="DP92">
        <f>BK92/1000*(B92*195.08+C92*106.42+D92*102.91)</f>
        <v>4.999938342565946E-2</v>
      </c>
      <c r="DQ92">
        <f>SUM(DM92:DO92)-DP92</f>
        <v>4.4304456227833304</v>
      </c>
      <c r="DR92">
        <f>DQ92*60*7200*0.33</f>
        <v>631604.32798399171</v>
      </c>
      <c r="DS92">
        <v>1.2</v>
      </c>
      <c r="DT92">
        <f>BM92/60*(AM92*4+AN92*2+AO92*3)*96485/DV92</f>
        <v>1398.9403725553298</v>
      </c>
      <c r="DU92">
        <f>BN92*BA92*(AP92*4+AQ92*2+AR92*3)*96485/DV92/60</f>
        <v>712.74132254763572</v>
      </c>
      <c r="DV92">
        <v>0.7</v>
      </c>
      <c r="DW92">
        <f>0.499*((BK92/3.78541*15)^(-0.146))*BK92/3.78541*15*300*(1+(A92-2)/9)</f>
        <v>52288.524762496963</v>
      </c>
      <c r="DX92">
        <f>0.248*((BK92/3.78541*15)^(-0.144))*BK92/3.78541*15*300*(1+(A92-2)/3)</f>
        <v>53983.928663982973</v>
      </c>
      <c r="DY92">
        <f>0.105*((BK92/3.78541*15)^(-0.144))*BK92/3.78541*15*300*(1+(A92-2)/3)</f>
        <v>22856.098829508919</v>
      </c>
      <c r="DZ92">
        <f>0.058*((BK92/3.78541*15)^(-0.151))*BK92/3.78541*15*300*(1+(A92-2)/3)</f>
        <v>12107.513206066582</v>
      </c>
      <c r="EA92">
        <f>0.056*((BK92/3.78541*15)^(-0.144))*BK92/3.78541*15*300*(1+(A92-2)/3)</f>
        <v>12189.919375738094</v>
      </c>
      <c r="EB92">
        <f>DS92*DT92/(3.6*10^6)*3600*7200*0.07</f>
        <v>846.07913732146346</v>
      </c>
      <c r="EC92">
        <f>0.499*((BM92/3.78541*15)^(-0.146))*BM92/3.78541*15*300*(1+(AF92-2)/9)</f>
        <v>28284.996273452896</v>
      </c>
      <c r="ED92">
        <f>0.248*((BM92/3.78541*15)^(-0.144))*BM92/3.78541*15*300*(1+(AF92-2)/3)</f>
        <v>19396.918004101793</v>
      </c>
      <c r="EE92">
        <f>0.105*((BM92/3.78541*15)^(-0.144))*BM92/3.78541*15*300*(1+(AF92-2)/3)</f>
        <v>8212.4048001237406</v>
      </c>
      <c r="EF92">
        <f>0.058*((BM92/3.78541*15)^(-0.151))*BM92/3.78541*15*300*(1+(AF92-2)/3)</f>
        <v>4352.7618877396708</v>
      </c>
      <c r="EG92">
        <f>0.056*((BM92/3.78541*15)^(-0.144))*BM92/3.78541*15*300*(1+(AF92-2)/3)</f>
        <v>4379.9492267326632</v>
      </c>
      <c r="EH92">
        <f>DS92*DU92/(3.6*10^6)*3600*7200*0.07</f>
        <v>431.06595187681012</v>
      </c>
      <c r="EI92">
        <f>SUM(DW92:EH92)</f>
        <v>219330.16011914256</v>
      </c>
      <c r="EJ92">
        <f>EI92+DR92+DL92</f>
        <v>27264673.550084293</v>
      </c>
      <c r="EK92">
        <f>EJ92+DF92</f>
        <v>27986511.03722905</v>
      </c>
      <c r="EL92">
        <f>EK92/(BK92*60*7200)</f>
        <v>0.64783590363956134</v>
      </c>
      <c r="EM92">
        <f>EK92/(BM92*(AM92*195.084/1000+AN92*106.42/1000+AO92*102.911/1000)*60*7200)</f>
        <v>2178.0732641052164</v>
      </c>
      <c r="EN92">
        <f>EK92/(BN92*BA92*(AP92*195.084/1000+AQ92*106.42/1000+AR92*102.911/1000)*60*7200)</f>
        <v>3941.8309957388528</v>
      </c>
    </row>
    <row r="93" spans="1:144">
      <c r="A93">
        <f>'Costing 100 Lmin Feed Orig'!A93</f>
        <v>12</v>
      </c>
      <c r="B93">
        <f>'Costing 100 Lmin Feed Orig'!B93</f>
        <v>1.54143585092054E-3</v>
      </c>
      <c r="C93">
        <f>'Costing 100 Lmin Feed Orig'!C93</f>
        <v>1.54143585092054E-3</v>
      </c>
      <c r="D93">
        <f>'Costing 100 Lmin Feed Orig'!D93</f>
        <v>3.4254130020456501E-4</v>
      </c>
      <c r="E93">
        <f>'Costing 100 Lmin Feed Orig'!E93</f>
        <v>0</v>
      </c>
      <c r="F93">
        <f>'Costing 100 Lmin Feed Orig'!F93</f>
        <v>0</v>
      </c>
      <c r="G93">
        <f>'Costing 100 Lmin Feed Orig'!G93</f>
        <v>0</v>
      </c>
      <c r="H93">
        <f>'Costing 100 Lmin Feed Orig'!H93</f>
        <v>1.7771599281349402E-5</v>
      </c>
      <c r="I93">
        <f>'Costing 100 Lmin Feed Orig'!I93</f>
        <v>6.3113732322488897E-11</v>
      </c>
      <c r="J93">
        <f>'Costing 100 Lmin Feed Orig'!J93</f>
        <v>3.37661562480901E-4</v>
      </c>
      <c r="K93">
        <f>'Costing 100 Lmin Feed Orig'!K93</f>
        <v>0.13911791568267901</v>
      </c>
      <c r="L93">
        <f>'Costing 100 Lmin Feed Orig'!L93</f>
        <v>0.140740543921716</v>
      </c>
      <c r="M93">
        <f>'Costing 100 Lmin Feed Orig'!M93</f>
        <v>4.45543656000266E-4</v>
      </c>
      <c r="N93">
        <f>'Costing 100 Lmin Feed Orig'!N93</f>
        <v>-4.7646348672047899E-15</v>
      </c>
      <c r="O93">
        <f>'Costing 100 Lmin Feed Orig'!O93</f>
        <v>-1.1300289697036E-11</v>
      </c>
      <c r="P93">
        <f>'Costing 100 Lmin Feed Orig'!P93</f>
        <v>-4.6756218688437302E-19</v>
      </c>
      <c r="Q93">
        <f>'Costing 100 Lmin Feed Orig'!Q93</f>
        <v>0.10952322309941399</v>
      </c>
      <c r="R93">
        <f>'Costing 100 Lmin Feed Orig'!R93</f>
        <v>98.575430839799395</v>
      </c>
      <c r="S93">
        <f>'Costing 100 Lmin Feed Orig'!S93</f>
        <v>500</v>
      </c>
      <c r="T93">
        <f>'Costing 100 Lmin Feed Orig'!T93</f>
        <v>95</v>
      </c>
      <c r="U93">
        <f>'Costing 100 Lmin Feed Orig'!U93</f>
        <v>1</v>
      </c>
      <c r="V93">
        <f>'Costing 100 Lmin Feed Orig'!V93</f>
        <v>0.1</v>
      </c>
      <c r="W93">
        <f>'Costing 100 Lmin Feed Orig'!W93</f>
        <v>91.304836700459305</v>
      </c>
      <c r="X93" t="str">
        <f>'Costing 100 Lmin Feed Orig'!X93</f>
        <v>ddFc</v>
      </c>
      <c r="Y93">
        <f>'Costing 100 Lmin Feed Orig'!Y93</f>
        <v>1</v>
      </c>
      <c r="Z93">
        <f>'Costing 100 Lmin Feed Orig'!Z93</f>
        <v>0.28318429382522198</v>
      </c>
      <c r="AA93">
        <f>'Costing 100 Lmin Feed Orig'!AA93</f>
        <v>0.56945642916197003</v>
      </c>
      <c r="AB93">
        <f>'Costing 100 Lmin Feed Orig'!AB93</f>
        <v>3.7698628972227502E-3</v>
      </c>
      <c r="AC93">
        <f>'Costing 100 Lmin Feed Orig'!AC93</f>
        <v>1822.2107908876901</v>
      </c>
      <c r="AD93">
        <f>'Costing 100 Lmin Feed Orig'!AD93</f>
        <v>2662.6059073104898</v>
      </c>
      <c r="AE93">
        <f>'Costing 100 Lmin Feed Orig'!AE93</f>
        <v>2401.5030938442701</v>
      </c>
      <c r="AF93">
        <f>'Costing 100 Lmin Feed Orig'!AF93</f>
        <v>5</v>
      </c>
      <c r="AG93">
        <f>'Costing 100 Lmin Feed Orig'!AG93</f>
        <v>1.6497575706444501E-3</v>
      </c>
      <c r="AH93">
        <f>'Costing 100 Lmin Feed Orig'!AH93</f>
        <v>1.66899983148883E-3</v>
      </c>
      <c r="AI93">
        <f>'Costing 100 Lmin Feed Orig'!AI93</f>
        <v>5.28356837386519E-6</v>
      </c>
      <c r="AJ93">
        <f>'Costing 100 Lmin Feed Orig'!AJ93</f>
        <v>0</v>
      </c>
      <c r="AK93">
        <f>'Costing 100 Lmin Feed Orig'!AK93</f>
        <v>0</v>
      </c>
      <c r="AL93">
        <f>'Costing 100 Lmin Feed Orig'!AL93</f>
        <v>0</v>
      </c>
      <c r="AM93">
        <f>'Costing 100 Lmin Feed Orig'!AM93</f>
        <v>1.61044680899333E-3</v>
      </c>
      <c r="AN93">
        <f>'Costing 100 Lmin Feed Orig'!AN93</f>
        <v>7.9513667548027593E-5</v>
      </c>
      <c r="AO93">
        <f>'Costing 100 Lmin Feed Orig'!AO93</f>
        <v>5.2466908500710802E-6</v>
      </c>
      <c r="AP93">
        <f>'Costing 100 Lmin Feed Orig'!AP93</f>
        <v>1.8118119800337601E-3</v>
      </c>
      <c r="AQ93">
        <f>'Costing 100 Lmin Feed Orig'!AQ93</f>
        <v>7.3258567195411697E-2</v>
      </c>
      <c r="AR93">
        <f>'Costing 100 Lmin Feed Orig'!AR93</f>
        <v>1.6996653485653601E-6</v>
      </c>
      <c r="AS93">
        <f>'Costing 100 Lmin Feed Orig'!AS93</f>
        <v>-4.4472617862639699E-17</v>
      </c>
      <c r="AT93">
        <f>'Costing 100 Lmin Feed Orig'!AT93</f>
        <v>1.89518539750466E-16</v>
      </c>
      <c r="AU93">
        <f>'Costing 100 Lmin Feed Orig'!AU93</f>
        <v>-3.4807760176231399E-20</v>
      </c>
      <c r="AV93">
        <f>'Costing 100 Lmin Feed Orig'!AV93</f>
        <v>0.20038604773893701</v>
      </c>
      <c r="AW93">
        <f>'Costing 100 Lmin Feed Orig'!AW93</f>
        <v>99.302033754753197</v>
      </c>
      <c r="AX93">
        <f>'Costing 100 Lmin Feed Orig'!AX93</f>
        <v>500</v>
      </c>
      <c r="AY93">
        <f>'Costing 100 Lmin Feed Orig'!AY93</f>
        <v>95</v>
      </c>
      <c r="AZ93">
        <f>'Costing 100 Lmin Feed Orig'!AZ93</f>
        <v>0.92356857683566096</v>
      </c>
      <c r="BA93">
        <f>'Costing 100 Lmin Feed Orig'!BA93</f>
        <v>0.1</v>
      </c>
      <c r="BB93">
        <f>'Costing 100 Lmin Feed Orig'!BB93</f>
        <v>46.089465172689103</v>
      </c>
      <c r="BC93" t="str">
        <f>'Costing 100 Lmin Feed Orig'!BC93</f>
        <v>coeFc</v>
      </c>
      <c r="BD93">
        <f>'Costing 100 Lmin Feed Orig'!BD93</f>
        <v>1</v>
      </c>
      <c r="BE93">
        <f>'Costing 100 Lmin Feed Orig'!BE93</f>
        <v>1.8775014999999999E-2</v>
      </c>
      <c r="BF93">
        <f>'Costing 100 Lmin Feed Orig'!BF93</f>
        <v>0.10492961100000001</v>
      </c>
      <c r="BG93">
        <f>'Costing 100 Lmin Feed Orig'!BG93</f>
        <v>1.814625E-3</v>
      </c>
      <c r="BH93">
        <f>'Costing 100 Lmin Feed Orig'!BH93</f>
        <v>285.1951444</v>
      </c>
      <c r="BI93">
        <f>'Costing 100 Lmin Feed Orig'!BI93</f>
        <v>2169.8944889999998</v>
      </c>
      <c r="BJ93">
        <f>'Costing 100 Lmin Feed Orig'!BJ93</f>
        <v>866.49409060000005</v>
      </c>
      <c r="BK93">
        <f>'Costing 100 Lmin Feed Orig'!BK93</f>
        <v>100</v>
      </c>
      <c r="BL93">
        <f>'Costing 100 Lmin Feed Orig'!BL93</f>
        <v>10.952322309941399</v>
      </c>
      <c r="BM93">
        <f>'Costing 100 Lmin Feed Orig'!BM93</f>
        <v>92.356857683566091</v>
      </c>
      <c r="BN93">
        <f>'Costing 100 Lmin Feed Orig'!BN93</f>
        <v>20.038604773893702</v>
      </c>
      <c r="BO93">
        <f t="shared" si="22"/>
        <v>306.6650246783592</v>
      </c>
      <c r="BP93">
        <f t="shared" si="23"/>
        <v>280.54046683451185</v>
      </c>
      <c r="BQ93">
        <f t="shared" si="24"/>
        <v>30.666502467835922</v>
      </c>
      <c r="BR93">
        <f t="shared" si="25"/>
        <v>28.054046683451187</v>
      </c>
      <c r="BS93">
        <f>1.2*0.5*BL93*V93/'Oxidant Feed Composition'!$N$22</f>
        <v>6.5713933859648392</v>
      </c>
      <c r="BT93">
        <f>1.2*0.5*BN93*BA93/'Oxidant Feed Composition'!$N$22</f>
        <v>12.023162864336223</v>
      </c>
      <c r="BU93">
        <f t="shared" si="26"/>
        <v>5.4761611549706997</v>
      </c>
      <c r="BV93">
        <f t="shared" si="27"/>
        <v>10.019302386946851</v>
      </c>
      <c r="BW93">
        <f t="shared" si="28"/>
        <v>86.880696528595394</v>
      </c>
      <c r="BX93">
        <f t="shared" si="21"/>
        <v>35.047431391812481</v>
      </c>
      <c r="BY93">
        <f t="shared" si="29"/>
        <v>206.61835998701497</v>
      </c>
      <c r="BZ93">
        <f t="shared" si="30"/>
        <v>64.123535276459847</v>
      </c>
      <c r="CA93">
        <f t="shared" si="31"/>
        <v>60.115814321681107</v>
      </c>
      <c r="CB93">
        <f>BO93*'Reagent cost'!$G$11*'Reagent cost'!$H$11</f>
        <v>4047.9783257543413</v>
      </c>
      <c r="CC93">
        <f>BP93*'Reagent cost'!$G$11*'Reagent cost'!$H$11</f>
        <v>3703.1341622155564</v>
      </c>
      <c r="CD93">
        <f>BQ93*'Reagent cost'!$C$18/1000*'Reagent cost'!$H$18</f>
        <v>4890.707695899031</v>
      </c>
      <c r="CE93">
        <f>BR93*'Ligand cost'!$B$56*'Ligand cost'!$J$56</f>
        <v>28562.602921442158</v>
      </c>
      <c r="CF93">
        <f t="shared" si="32"/>
        <v>10</v>
      </c>
      <c r="CG93">
        <f t="shared" si="33"/>
        <v>2.19046446198828</v>
      </c>
      <c r="CH93">
        <f t="shared" si="34"/>
        <v>4.0077209547787405</v>
      </c>
      <c r="CI93">
        <f>7963.6*(BX93/1000)^0.6*1.7*('CAPEX+OPEX'!$G$116/'CAPEX+OPEX'!$G$115)</f>
        <v>2138.1326451989207</v>
      </c>
      <c r="CJ93">
        <f>7963.6*(BY93/1000)^0.6*1.7*('CAPEX+OPEX'!$G$116/'CAPEX+OPEX'!$G$115)</f>
        <v>6199.2945816251477</v>
      </c>
      <c r="CK93">
        <f>7963.6*(BZ93/1000)^0.6*1.7*('CAPEX+OPEX'!$G$116/'CAPEX+OPEX'!$G$115)</f>
        <v>3072.2135668030037</v>
      </c>
      <c r="CL93">
        <f>7963.6*(CA93/1000)^0.6*1.7*('CAPEX+OPEX'!$G$116/'CAPEX+OPEX'!$G$115)</f>
        <v>2955.5218097430356</v>
      </c>
      <c r="CM93">
        <f>'Costing 100 Lmin Feed Orig'!DE93</f>
        <v>39625.826528698344</v>
      </c>
      <c r="CN93">
        <f>'Costing 100 Lmin Feed Orig'!DF93</f>
        <v>4586243.4239371875</v>
      </c>
      <c r="CO93">
        <f>'Costing 100 Lmin Feed Orig'!DG93</f>
        <v>11794834.586807497</v>
      </c>
      <c r="CP93">
        <f>'Costing 100 Lmin Feed Orig'!DH93</f>
        <v>2275209.1661185985</v>
      </c>
      <c r="CQ93">
        <f>'Costing 100 Lmin Feed Orig'!DI93</f>
        <v>14083914.336508472</v>
      </c>
      <c r="CR93">
        <f>'Costing 100 Lmin Feed Orig'!DJ93</f>
        <v>1662824.8986326549</v>
      </c>
      <c r="CS93">
        <f>CN93*(BK93/10000)^0.72*((A93+1)/3)^0.6*('CAPEX+OPEX'!$G$116/'CAPEX+OPEX'!$G$114)</f>
        <v>936765.86395108781</v>
      </c>
      <c r="CT93">
        <f>CO93*(BK93/10000)^0.72*((A93+1)/3)^0.6*('CAPEX+OPEX'!$G$116/'CAPEX+OPEX'!$G$114)</f>
        <v>2409160.916797909</v>
      </c>
      <c r="CU93">
        <f>CP93*(BK93/10000)^0.72*((A93+1)/3)^0.6*('CAPEX+OPEX'!$G$116/'CAPEX+OPEX'!$G$114)</f>
        <v>464724.19432521454</v>
      </c>
      <c r="CV93">
        <f>CQ93*(BK93/10000)^0.72*((A93+1)/3)^0.6*('CAPEX+OPEX'!$G$116/'CAPEX+OPEX'!$G$114)</f>
        <v>2876718.2553791031</v>
      </c>
      <c r="CW93">
        <f>CR93*(BK93/10000)^0.72*((A93+1)/3)^0.6*('CAPEX+OPEX'!$G$116/'CAPEX+OPEX'!$G$114)</f>
        <v>339641.28346021532</v>
      </c>
      <c r="CX93">
        <f t="shared" si="35"/>
        <v>7027010.5139135299</v>
      </c>
      <c r="CY93">
        <f>CN93*(BM93/10000)^0.72*((AF93+1)/3)^0.6*('CAPEX+OPEX'!$G$116/'CAPEX+OPEX'!$G$114)</f>
        <v>556280.17433304957</v>
      </c>
      <c r="CZ93">
        <f>CO93*(BM93/10000)^0.72*((AF93+1)/3)^0.6*('CAPEX+OPEX'!$G$116/'CAPEX+OPEX'!$G$114)</f>
        <v>1430633.3165687236</v>
      </c>
      <c r="DA93">
        <f>CP93*(BM93/10000)^0.72*((AF93+1)/3)^0.6*('CAPEX+OPEX'!$G$116/'CAPEX+OPEX'!$G$114)</f>
        <v>275967.41702952847</v>
      </c>
      <c r="DB93">
        <f>CQ93*(BM93/10000)^0.72*((AF93+1)/3)^0.6*('CAPEX+OPEX'!$G$116/'CAPEX+OPEX'!$G$114)</f>
        <v>1708283.1411680363</v>
      </c>
      <c r="DC93">
        <f>CR93*(BM93/10000)^0.72*((AF93+1)/3)^0.6*('CAPEX+OPEX'!$G$116/'CAPEX+OPEX'!$G$114)</f>
        <v>201689.36512807687</v>
      </c>
      <c r="DD93">
        <f t="shared" si="36"/>
        <v>4172853.4142274149</v>
      </c>
      <c r="DE93">
        <f>CX93+DD93+1.15*(SUM(CI93:CL93)+SUM(CB93:CE93))</f>
        <v>11263768.951705929</v>
      </c>
      <c r="DF93">
        <f t="shared" si="37"/>
        <v>750917.93011372862</v>
      </c>
      <c r="DG93">
        <f>(BS93+BT93)*'Oxidant Feed Composition'!$N$25*60*7200</f>
        <v>14975185.390660478</v>
      </c>
      <c r="DH93">
        <f>((CG93+CH93)*'Reagent cost'!$C$17/1000*'Reagent cost'!$H$17+(CG93+CH93)*0.5*'Reagent cost'!$C$16/1000*'Reagent cost'!$H$16)*60*7200</f>
        <v>5967951.0922596268</v>
      </c>
      <c r="DI93">
        <f>CF93*'Reagent cost'!$C$17/1000*'Reagent cost'!$H$17*60*7200</f>
        <v>504921.59999999998</v>
      </c>
      <c r="DJ93">
        <f t="shared" si="38"/>
        <v>77.511124879698983</v>
      </c>
      <c r="DK93">
        <f t="shared" si="39"/>
        <v>669.0662123468237</v>
      </c>
      <c r="DL93">
        <f t="shared" si="40"/>
        <v>25738565.592308797</v>
      </c>
      <c r="DM93">
        <f>BK93*(B93*(409.81+2)/1000+C93*(248.2+2*22.99)/1000+D93*(315.6+3*22.99)/1000+0.1*58.44/1000)</f>
        <v>0.70639694042110623</v>
      </c>
      <c r="DN93">
        <f>(BS93+BT93)/1000*('Oxidant Feed Composition'!$B$11*'Oxidant Feed Composition'!$O$20+'Oxidant Feed Composition'!$D$11*'Oxidant Feed Composition'!$O$21+'Oxidant Feed Composition'!$F$11*'Oxidant Feed Composition'!$O$27-'Oxidant Feed Composition'!$J$15*18.015)</f>
        <v>2.1715566981955337</v>
      </c>
      <c r="DO93">
        <f>(BU93+BV93)/1000*(0.2*368.34+0.4*58.44)</f>
        <v>1.5037417639618469</v>
      </c>
      <c r="DP93">
        <f>BK93/1000*(B93*195.08+C93*106.42+D93*102.91)</f>
        <v>4.999938342565946E-2</v>
      </c>
      <c r="DQ93">
        <f>SUM(DM93:DO93)-DP93</f>
        <v>4.3316960191528269</v>
      </c>
      <c r="DR93">
        <f>DQ93*60*7200*0.33</f>
        <v>617526.58449042705</v>
      </c>
      <c r="DS93">
        <v>1.2</v>
      </c>
      <c r="DT93">
        <f>BM93/60*(AM93*4+AN93*2+AO93*3)*96485/DV93</f>
        <v>1403.8204430995365</v>
      </c>
      <c r="DU93">
        <f>BN93*BA93*(AP93*4+AQ93*2+AR93*3)*96485/DV93/60</f>
        <v>707.86125193843873</v>
      </c>
      <c r="DV93">
        <v>0.7</v>
      </c>
      <c r="DW93">
        <f>0.499*((BK93/3.78541*15)^(-0.146))*BK93/3.78541*15*300*(1+(A93-2)/9)</f>
        <v>52288.524762496963</v>
      </c>
      <c r="DX93">
        <f>0.248*((BK93/3.78541*15)^(-0.144))*BK93/3.78541*15*300*(1+(A93-2)/3)</f>
        <v>53983.928663982973</v>
      </c>
      <c r="DY93">
        <f>0.105*((BK93/3.78541*15)^(-0.144))*BK93/3.78541*15*300*(1+(A93-2)/3)</f>
        <v>22856.098829508919</v>
      </c>
      <c r="DZ93">
        <f>0.058*((BK93/3.78541*15)^(-0.151))*BK93/3.78541*15*300*(1+(A93-2)/3)</f>
        <v>12107.513206066582</v>
      </c>
      <c r="EA93">
        <f>0.056*((BK93/3.78541*15)^(-0.144))*BK93/3.78541*15*300*(1+(A93-2)/3)</f>
        <v>12189.919375738094</v>
      </c>
      <c r="EB93">
        <f>DS93*DT93/(3.6*10^6)*3600*7200*0.07</f>
        <v>849.03060398659966</v>
      </c>
      <c r="EC93">
        <f>0.499*((BM93/3.78541*15)^(-0.146))*BM93/3.78541*15*300*(1+(AF93-2)/9)</f>
        <v>30856.35957103952</v>
      </c>
      <c r="ED93">
        <f>0.248*((BM93/3.78541*15)^(-0.144))*BM93/3.78541*15*300*(1+(AF93-2)/3)</f>
        <v>23276.301604922155</v>
      </c>
      <c r="EE93">
        <f>0.105*((BM93/3.78541*15)^(-0.144))*BM93/3.78541*15*300*(1+(AF93-2)/3)</f>
        <v>9854.8857601484906</v>
      </c>
      <c r="EF93">
        <f>0.058*((BM93/3.78541*15)^(-0.151))*BM93/3.78541*15*300*(1+(AF93-2)/3)</f>
        <v>5223.3142652876058</v>
      </c>
      <c r="EG93">
        <f>0.056*((BM93/3.78541*15)^(-0.144))*BM93/3.78541*15*300*(1+(AF93-2)/3)</f>
        <v>5255.9390720791962</v>
      </c>
      <c r="EH93">
        <f>DS93*DU93/(3.6*10^6)*3600*7200*0.07</f>
        <v>428.11448517236784</v>
      </c>
      <c r="EI93">
        <f>SUM(DW93:EH93)</f>
        <v>229169.93020042952</v>
      </c>
      <c r="EJ93">
        <f>EI93+DR93+DL93</f>
        <v>26585262.106999654</v>
      </c>
      <c r="EK93">
        <f>EJ93+DF93</f>
        <v>27336180.037113383</v>
      </c>
      <c r="EL93">
        <f>EK93/(BK93*60*7200)</f>
        <v>0.63278194530355059</v>
      </c>
      <c r="EM93">
        <f>EK93/(BM93*(AM93*195.084/1000+AN93*106.42/1000+AO93*102.911/1000)*60*7200)</f>
        <v>2120.0605237817981</v>
      </c>
      <c r="EN93">
        <f>EK93/(BN93*BA93*(AP93*195.084/1000+AQ93*106.42/1000+AR93*102.911/1000)*60*7200)</f>
        <v>3874.710563863056</v>
      </c>
    </row>
    <row r="94" spans="1:144">
      <c r="A94">
        <f>'Costing 100 Lmin Feed Orig'!A94</f>
        <v>12</v>
      </c>
      <c r="B94">
        <f>'Costing 100 Lmin Feed Orig'!B94</f>
        <v>1.54143585092054E-3</v>
      </c>
      <c r="C94">
        <f>'Costing 100 Lmin Feed Orig'!C94</f>
        <v>1.54143585092054E-3</v>
      </c>
      <c r="D94">
        <f>'Costing 100 Lmin Feed Orig'!D94</f>
        <v>3.4254130020456501E-4</v>
      </c>
      <c r="E94">
        <f>'Costing 100 Lmin Feed Orig'!E94</f>
        <v>0</v>
      </c>
      <c r="F94">
        <f>'Costing 100 Lmin Feed Orig'!F94</f>
        <v>0</v>
      </c>
      <c r="G94">
        <f>'Costing 100 Lmin Feed Orig'!G94</f>
        <v>0</v>
      </c>
      <c r="H94">
        <f>'Costing 100 Lmin Feed Orig'!H94</f>
        <v>1.7771599281349402E-5</v>
      </c>
      <c r="I94">
        <f>'Costing 100 Lmin Feed Orig'!I94</f>
        <v>6.3113732322488897E-11</v>
      </c>
      <c r="J94">
        <f>'Costing 100 Lmin Feed Orig'!J94</f>
        <v>3.37661562480901E-4</v>
      </c>
      <c r="K94">
        <f>'Costing 100 Lmin Feed Orig'!K94</f>
        <v>0.13911791568267901</v>
      </c>
      <c r="L94">
        <f>'Costing 100 Lmin Feed Orig'!L94</f>
        <v>0.140740543921716</v>
      </c>
      <c r="M94">
        <f>'Costing 100 Lmin Feed Orig'!M94</f>
        <v>4.45543656000266E-4</v>
      </c>
      <c r="N94">
        <f>'Costing 100 Lmin Feed Orig'!N94</f>
        <v>-4.7646348672047899E-15</v>
      </c>
      <c r="O94">
        <f>'Costing 100 Lmin Feed Orig'!O94</f>
        <v>-1.1300289697036E-11</v>
      </c>
      <c r="P94">
        <f>'Costing 100 Lmin Feed Orig'!P94</f>
        <v>-4.6756218688437302E-19</v>
      </c>
      <c r="Q94">
        <f>'Costing 100 Lmin Feed Orig'!Q94</f>
        <v>0.10952322309941399</v>
      </c>
      <c r="R94">
        <f>'Costing 100 Lmin Feed Orig'!R94</f>
        <v>98.575430839799395</v>
      </c>
      <c r="S94">
        <f>'Costing 100 Lmin Feed Orig'!S94</f>
        <v>500</v>
      </c>
      <c r="T94">
        <f>'Costing 100 Lmin Feed Orig'!T94</f>
        <v>95</v>
      </c>
      <c r="U94">
        <f>'Costing 100 Lmin Feed Orig'!U94</f>
        <v>1</v>
      </c>
      <c r="V94">
        <f>'Costing 100 Lmin Feed Orig'!V94</f>
        <v>0.1</v>
      </c>
      <c r="W94">
        <f>'Costing 100 Lmin Feed Orig'!W94</f>
        <v>91.304836700459305</v>
      </c>
      <c r="X94" t="str">
        <f>'Costing 100 Lmin Feed Orig'!X94</f>
        <v>ddFc</v>
      </c>
      <c r="Y94">
        <f>'Costing 100 Lmin Feed Orig'!Y94</f>
        <v>1</v>
      </c>
      <c r="Z94">
        <f>'Costing 100 Lmin Feed Orig'!Z94</f>
        <v>0.28318429382522198</v>
      </c>
      <c r="AA94">
        <f>'Costing 100 Lmin Feed Orig'!AA94</f>
        <v>0.56945642916197003</v>
      </c>
      <c r="AB94">
        <f>'Costing 100 Lmin Feed Orig'!AB94</f>
        <v>3.7698628972227502E-3</v>
      </c>
      <c r="AC94">
        <f>'Costing 100 Lmin Feed Orig'!AC94</f>
        <v>1822.2107908876901</v>
      </c>
      <c r="AD94">
        <f>'Costing 100 Lmin Feed Orig'!AD94</f>
        <v>2662.6059073104898</v>
      </c>
      <c r="AE94">
        <f>'Costing 100 Lmin Feed Orig'!AE94</f>
        <v>2401.5030938442701</v>
      </c>
      <c r="AF94">
        <f>'Costing 100 Lmin Feed Orig'!AF94</f>
        <v>6</v>
      </c>
      <c r="AG94">
        <f>'Costing 100 Lmin Feed Orig'!AG94</f>
        <v>1.6497575706444501E-3</v>
      </c>
      <c r="AH94">
        <f>'Costing 100 Lmin Feed Orig'!AH94</f>
        <v>1.66899983148883E-3</v>
      </c>
      <c r="AI94">
        <f>'Costing 100 Lmin Feed Orig'!AI94</f>
        <v>5.28356837386519E-6</v>
      </c>
      <c r="AJ94">
        <f>'Costing 100 Lmin Feed Orig'!AJ94</f>
        <v>0</v>
      </c>
      <c r="AK94">
        <f>'Costing 100 Lmin Feed Orig'!AK94</f>
        <v>0</v>
      </c>
      <c r="AL94">
        <f>'Costing 100 Lmin Feed Orig'!AL94</f>
        <v>0</v>
      </c>
      <c r="AM94">
        <f>'Costing 100 Lmin Feed Orig'!AM94</f>
        <v>1.6121282837362799E-3</v>
      </c>
      <c r="AN94">
        <f>'Costing 100 Lmin Feed Orig'!AN94</f>
        <v>7.9600650767137996E-5</v>
      </c>
      <c r="AO94">
        <f>'Costing 100 Lmin Feed Orig'!AO94</f>
        <v>5.2482064740735796E-6</v>
      </c>
      <c r="AP94">
        <f>'Costing 100 Lmin Feed Orig'!AP94</f>
        <v>1.7562196007610399E-3</v>
      </c>
      <c r="AQ94">
        <f>'Costing 100 Lmin Feed Orig'!AQ94</f>
        <v>7.4179827043465804E-2</v>
      </c>
      <c r="AR94">
        <f>'Costing 100 Lmin Feed Orig'!AR94</f>
        <v>1.6503969816312101E-6</v>
      </c>
      <c r="AS94">
        <f>'Costing 100 Lmin Feed Orig'!AS94</f>
        <v>-1.9447876468958701E-18</v>
      </c>
      <c r="AT94">
        <f>'Costing 100 Lmin Feed Orig'!AT94</f>
        <v>-1.4658413372004E-16</v>
      </c>
      <c r="AU94">
        <f>'Costing 100 Lmin Feed Orig'!AU94</f>
        <v>-2.85211875208283E-21</v>
      </c>
      <c r="AV94">
        <f>'Costing 100 Lmin Feed Orig'!AV94</f>
        <v>0.19788656806963401</v>
      </c>
      <c r="AW94">
        <f>'Costing 100 Lmin Feed Orig'!AW94</f>
        <v>99.330719368248694</v>
      </c>
      <c r="AX94">
        <f>'Costing 100 Lmin Feed Orig'!AX94</f>
        <v>500</v>
      </c>
      <c r="AY94">
        <f>'Costing 100 Lmin Feed Orig'!AY94</f>
        <v>95</v>
      </c>
      <c r="AZ94">
        <f>'Costing 100 Lmin Feed Orig'!AZ94</f>
        <v>0.92356857683566096</v>
      </c>
      <c r="BA94">
        <f>'Costing 100 Lmin Feed Orig'!BA94</f>
        <v>0.1</v>
      </c>
      <c r="BB94">
        <f>'Costing 100 Lmin Feed Orig'!BB94</f>
        <v>46.671615251352797</v>
      </c>
      <c r="BC94" t="str">
        <f>'Costing 100 Lmin Feed Orig'!BC94</f>
        <v>coeFc</v>
      </c>
      <c r="BD94">
        <f>'Costing 100 Lmin Feed Orig'!BD94</f>
        <v>1</v>
      </c>
      <c r="BE94">
        <f>'Costing 100 Lmin Feed Orig'!BE94</f>
        <v>1.8775014999999999E-2</v>
      </c>
      <c r="BF94">
        <f>'Costing 100 Lmin Feed Orig'!BF94</f>
        <v>0.10492961100000001</v>
      </c>
      <c r="BG94">
        <f>'Costing 100 Lmin Feed Orig'!BG94</f>
        <v>1.814625E-3</v>
      </c>
      <c r="BH94">
        <f>'Costing 100 Lmin Feed Orig'!BH94</f>
        <v>285.1951444</v>
      </c>
      <c r="BI94">
        <f>'Costing 100 Lmin Feed Orig'!BI94</f>
        <v>2169.8944889999998</v>
      </c>
      <c r="BJ94">
        <f>'Costing 100 Lmin Feed Orig'!BJ94</f>
        <v>866.49409060000005</v>
      </c>
      <c r="BK94">
        <f>'Costing 100 Lmin Feed Orig'!BK94</f>
        <v>100</v>
      </c>
      <c r="BL94">
        <f>'Costing 100 Lmin Feed Orig'!BL94</f>
        <v>10.952322309941399</v>
      </c>
      <c r="BM94">
        <f>'Costing 100 Lmin Feed Orig'!BM94</f>
        <v>92.356857683566091</v>
      </c>
      <c r="BN94">
        <f>'Costing 100 Lmin Feed Orig'!BN94</f>
        <v>19.788656806963402</v>
      </c>
      <c r="BO94">
        <f t="shared" si="22"/>
        <v>306.6650246783592</v>
      </c>
      <c r="BP94">
        <f t="shared" si="23"/>
        <v>316.61850891141444</v>
      </c>
      <c r="BQ94">
        <f t="shared" si="24"/>
        <v>30.666502467835922</v>
      </c>
      <c r="BR94">
        <f t="shared" si="25"/>
        <v>31.661850891141444</v>
      </c>
      <c r="BS94">
        <f>1.2*0.5*BL94*V94/'Oxidant Feed Composition'!$N$22</f>
        <v>6.5713933859648392</v>
      </c>
      <c r="BT94">
        <f>1.2*0.5*BN94*BA94/'Oxidant Feed Composition'!$N$22</f>
        <v>11.87319408417804</v>
      </c>
      <c r="BU94">
        <f t="shared" si="26"/>
        <v>5.4761611549706997</v>
      </c>
      <c r="BV94">
        <f t="shared" si="27"/>
        <v>9.8943284034817012</v>
      </c>
      <c r="BW94">
        <f t="shared" si="28"/>
        <v>86.880696528595394</v>
      </c>
      <c r="BX94">
        <f t="shared" si="21"/>
        <v>35.047431391812481</v>
      </c>
      <c r="BY94">
        <f t="shared" si="29"/>
        <v>206.61835998701497</v>
      </c>
      <c r="BZ94">
        <f t="shared" si="30"/>
        <v>63.323701782282882</v>
      </c>
      <c r="CA94">
        <f t="shared" si="31"/>
        <v>59.365970420890207</v>
      </c>
      <c r="CB94">
        <f>BO94*'Reagent cost'!$G$11*'Reagent cost'!$H$11</f>
        <v>4047.9783257543413</v>
      </c>
      <c r="CC94">
        <f>BP94*'Reagent cost'!$G$11*'Reagent cost'!$H$11</f>
        <v>4179.3643176306714</v>
      </c>
      <c r="CD94">
        <f>BQ94*'Reagent cost'!$C$18/1000*'Reagent cost'!$H$18</f>
        <v>4890.707695899031</v>
      </c>
      <c r="CE94">
        <f>BR94*'Ligand cost'!$B$56*'Ligand cost'!$J$56</f>
        <v>32235.808436686144</v>
      </c>
      <c r="CF94">
        <f t="shared" si="32"/>
        <v>10</v>
      </c>
      <c r="CG94">
        <f t="shared" si="33"/>
        <v>2.19046446198828</v>
      </c>
      <c r="CH94">
        <f t="shared" si="34"/>
        <v>3.9577313613926806</v>
      </c>
      <c r="CI94">
        <f>7963.6*(BX94/1000)^0.6*1.7*('CAPEX+OPEX'!$G$116/'CAPEX+OPEX'!$G$115)</f>
        <v>2138.1326451989207</v>
      </c>
      <c r="CJ94">
        <f>7963.6*(BY94/1000)^0.6*1.7*('CAPEX+OPEX'!$G$116/'CAPEX+OPEX'!$G$115)</f>
        <v>6199.2945816251477</v>
      </c>
      <c r="CK94">
        <f>7963.6*(BZ94/1000)^0.6*1.7*('CAPEX+OPEX'!$G$116/'CAPEX+OPEX'!$G$115)</f>
        <v>3049.1634468413222</v>
      </c>
      <c r="CL94">
        <f>7963.6*(CA94/1000)^0.6*1.7*('CAPEX+OPEX'!$G$116/'CAPEX+OPEX'!$G$115)</f>
        <v>2933.3472015061366</v>
      </c>
      <c r="CM94">
        <f>'Costing 100 Lmin Feed Orig'!DE94</f>
        <v>39625.826528698344</v>
      </c>
      <c r="CN94">
        <f>'Costing 100 Lmin Feed Orig'!DF94</f>
        <v>4586243.4239371875</v>
      </c>
      <c r="CO94">
        <f>'Costing 100 Lmin Feed Orig'!DG94</f>
        <v>11794834.586807497</v>
      </c>
      <c r="CP94">
        <f>'Costing 100 Lmin Feed Orig'!DH94</f>
        <v>2275209.1661185985</v>
      </c>
      <c r="CQ94">
        <f>'Costing 100 Lmin Feed Orig'!DI94</f>
        <v>14083914.336508472</v>
      </c>
      <c r="CR94">
        <f>'Costing 100 Lmin Feed Orig'!DJ94</f>
        <v>1662824.8986326549</v>
      </c>
      <c r="CS94">
        <f>CN94*(BK94/10000)^0.72*((A94+1)/3)^0.6*('CAPEX+OPEX'!$G$116/'CAPEX+OPEX'!$G$114)</f>
        <v>936765.86395108781</v>
      </c>
      <c r="CT94">
        <f>CO94*(BK94/10000)^0.72*((A94+1)/3)^0.6*('CAPEX+OPEX'!$G$116/'CAPEX+OPEX'!$G$114)</f>
        <v>2409160.916797909</v>
      </c>
      <c r="CU94">
        <f>CP94*(BK94/10000)^0.72*((A94+1)/3)^0.6*('CAPEX+OPEX'!$G$116/'CAPEX+OPEX'!$G$114)</f>
        <v>464724.19432521454</v>
      </c>
      <c r="CV94">
        <f>CQ94*(BK94/10000)^0.72*((A94+1)/3)^0.6*('CAPEX+OPEX'!$G$116/'CAPEX+OPEX'!$G$114)</f>
        <v>2876718.2553791031</v>
      </c>
      <c r="CW94">
        <f>CR94*(BK94/10000)^0.72*((A94+1)/3)^0.6*('CAPEX+OPEX'!$G$116/'CAPEX+OPEX'!$G$114)</f>
        <v>339641.28346021532</v>
      </c>
      <c r="CX94">
        <f t="shared" si="35"/>
        <v>7027010.5139135299</v>
      </c>
      <c r="CY94">
        <f>CN94*(BM94/10000)^0.72*((AF94+1)/3)^0.6*('CAPEX+OPEX'!$G$116/'CAPEX+OPEX'!$G$114)</f>
        <v>610185.18062781263</v>
      </c>
      <c r="CZ94">
        <f>CO94*(BM94/10000)^0.72*((AF94+1)/3)^0.6*('CAPEX+OPEX'!$G$116/'CAPEX+OPEX'!$G$114)</f>
        <v>1569265.4330693621</v>
      </c>
      <c r="DA94">
        <f>CP94*(BM94/10000)^0.72*((AF94+1)/3)^0.6*('CAPEX+OPEX'!$G$116/'CAPEX+OPEX'!$G$114)</f>
        <v>302709.38274844305</v>
      </c>
      <c r="DB94">
        <f>CQ94*(BM94/10000)^0.72*((AF94+1)/3)^0.6*('CAPEX+OPEX'!$G$116/'CAPEX+OPEX'!$G$114)</f>
        <v>1873820.2530888517</v>
      </c>
      <c r="DC94">
        <f>CR94*(BM94/10000)^0.72*((AF94+1)/3)^0.6*('CAPEX+OPEX'!$G$116/'CAPEX+OPEX'!$G$114)</f>
        <v>221233.59301621036</v>
      </c>
      <c r="DD94">
        <f t="shared" si="36"/>
        <v>4577213.84255068</v>
      </c>
      <c r="DE94">
        <f>CX94+DD94+1.15*(SUM(CI94:CL94)+SUM(CB94:CE94))</f>
        <v>11672849.222613024</v>
      </c>
      <c r="DF94">
        <f t="shared" si="37"/>
        <v>778189.94817420153</v>
      </c>
      <c r="DG94">
        <f>(BS94+BT94)*'Oxidant Feed Composition'!$N$25*60*7200</f>
        <v>14854407.553564008</v>
      </c>
      <c r="DH94">
        <f>((CG94+CH94)*'Reagent cost'!$C$17/1000*'Reagent cost'!$H$17+(CG94+CH94)*0.5*'Reagent cost'!$C$16/1000*'Reagent cost'!$H$16)*60*7200</f>
        <v>5919818.3843153128</v>
      </c>
      <c r="DI94">
        <f>CF94*'Reagent cost'!$C$17/1000*'Reagent cost'!$H$17*60*7200</f>
        <v>504921.59999999998</v>
      </c>
      <c r="DJ94">
        <f t="shared" si="38"/>
        <v>82.273426433850133</v>
      </c>
      <c r="DK94">
        <f t="shared" si="39"/>
        <v>742.5303226517035</v>
      </c>
      <c r="DL94">
        <f t="shared" si="40"/>
        <v>25535966.809954088</v>
      </c>
      <c r="DM94">
        <f>BK94*(B94*(409.81+2)/1000+C94*(248.2+2*22.99)/1000+D94*(315.6+3*22.99)/1000+0.1*58.44/1000)</f>
        <v>0.70639694042110623</v>
      </c>
      <c r="DN94">
        <f>(BS94+BT94)/1000*('Oxidant Feed Composition'!$B$11*'Oxidant Feed Composition'!$O$20+'Oxidant Feed Composition'!$D$11*'Oxidant Feed Composition'!$O$21+'Oxidant Feed Composition'!$F$11*'Oxidant Feed Composition'!$O$27-'Oxidant Feed Composition'!$J$15*18.015)</f>
        <v>2.1540426631903995</v>
      </c>
      <c r="DO94">
        <f>(BU94+BV94)/1000*(0.2*368.34+0.4*58.44)</f>
        <v>1.4916137887104548</v>
      </c>
      <c r="DP94">
        <f>BK94/1000*(B94*195.08+C94*106.42+D94*102.91)</f>
        <v>4.999938342565946E-2</v>
      </c>
      <c r="DQ94">
        <f>SUM(DM94:DO94)-DP94</f>
        <v>4.3020540088963006</v>
      </c>
      <c r="DR94">
        <f>DQ94*60*7200*0.33</f>
        <v>613300.81950825662</v>
      </c>
      <c r="DS94">
        <v>1.2</v>
      </c>
      <c r="DT94">
        <f>BM94/60*(AM94*4+AN94*2+AO94*3)*96485/DV94</f>
        <v>1405.285337690628</v>
      </c>
      <c r="DU94">
        <f>BN94*BA94*(AP94*4+AQ94*2+AR94*3)*96485/DV94/60</f>
        <v>706.39635734745946</v>
      </c>
      <c r="DV94">
        <v>0.7</v>
      </c>
      <c r="DW94">
        <f>0.499*((BK94/3.78541*15)^(-0.146))*BK94/3.78541*15*300*(1+(A94-2)/9)</f>
        <v>52288.524762496963</v>
      </c>
      <c r="DX94">
        <f>0.248*((BK94/3.78541*15)^(-0.144))*BK94/3.78541*15*300*(1+(A94-2)/3)</f>
        <v>53983.928663982973</v>
      </c>
      <c r="DY94">
        <f>0.105*((BK94/3.78541*15)^(-0.144))*BK94/3.78541*15*300*(1+(A94-2)/3)</f>
        <v>22856.098829508919</v>
      </c>
      <c r="DZ94">
        <f>0.058*((BK94/3.78541*15)^(-0.151))*BK94/3.78541*15*300*(1+(A94-2)/3)</f>
        <v>12107.513206066582</v>
      </c>
      <c r="EA94">
        <f>0.056*((BK94/3.78541*15)^(-0.144))*BK94/3.78541*15*300*(1+(A94-2)/3)</f>
        <v>12189.919375738094</v>
      </c>
      <c r="EB94">
        <f>DS94*DT94/(3.6*10^6)*3600*7200*0.07</f>
        <v>849.91657223529182</v>
      </c>
      <c r="EC94">
        <f>0.499*((BM94/3.78541*15)^(-0.146))*BM94/3.78541*15*300*(1+(AF94-2)/9)</f>
        <v>33427.722868626144</v>
      </c>
      <c r="ED94">
        <f>0.248*((BM94/3.78541*15)^(-0.144))*BM94/3.78541*15*300*(1+(AF94-2)/3)</f>
        <v>27155.685205742509</v>
      </c>
      <c r="EE94">
        <f>0.105*((BM94/3.78541*15)^(-0.144))*BM94/3.78541*15*300*(1+(AF94-2)/3)</f>
        <v>11497.366720173237</v>
      </c>
      <c r="EF94">
        <f>0.058*((BM94/3.78541*15)^(-0.151))*BM94/3.78541*15*300*(1+(AF94-2)/3)</f>
        <v>6093.8666428355391</v>
      </c>
      <c r="EG94">
        <f>0.056*((BM94/3.78541*15)^(-0.144))*BM94/3.78541*15*300*(1+(AF94-2)/3)</f>
        <v>6131.9289174257283</v>
      </c>
      <c r="EH94">
        <f>DS94*DU94/(3.6*10^6)*3600*7200*0.07</f>
        <v>427.22851692374354</v>
      </c>
      <c r="EI94">
        <f>SUM(DW94:EH94)</f>
        <v>239009.70028175577</v>
      </c>
      <c r="EJ94">
        <f>EI94+DR94+DL94</f>
        <v>26388277.329744101</v>
      </c>
      <c r="EK94">
        <f>EJ94+DF94</f>
        <v>27166467.277918302</v>
      </c>
      <c r="EL94">
        <f>EK94/(BK94*60*7200)</f>
        <v>0.6288534092110718</v>
      </c>
      <c r="EM94">
        <f>EK94/(BM94*(AM94*195.084/1000+AN94*106.42/1000+AO94*102.911/1000)*60*7200)</f>
        <v>2104.7008133741892</v>
      </c>
      <c r="EN94">
        <f>EK94/(BN94*BA94*(AP94*195.084/1000+AQ94*106.42/1000+AR94*102.911/1000)*60*7200)</f>
        <v>3858.0173384458444</v>
      </c>
    </row>
    <row r="95" spans="1:144">
      <c r="A95">
        <f>'Costing 100 Lmin Feed Orig'!A95</f>
        <v>12</v>
      </c>
      <c r="B95">
        <f>'Costing 100 Lmin Feed Orig'!B95</f>
        <v>1.54143585092054E-3</v>
      </c>
      <c r="C95">
        <f>'Costing 100 Lmin Feed Orig'!C95</f>
        <v>1.54143585092054E-3</v>
      </c>
      <c r="D95">
        <f>'Costing 100 Lmin Feed Orig'!D95</f>
        <v>3.4254130020456501E-4</v>
      </c>
      <c r="E95">
        <f>'Costing 100 Lmin Feed Orig'!E95</f>
        <v>0</v>
      </c>
      <c r="F95">
        <f>'Costing 100 Lmin Feed Orig'!F95</f>
        <v>0</v>
      </c>
      <c r="G95">
        <f>'Costing 100 Lmin Feed Orig'!G95</f>
        <v>0</v>
      </c>
      <c r="H95">
        <f>'Costing 100 Lmin Feed Orig'!H95</f>
        <v>1.7771599281349402E-5</v>
      </c>
      <c r="I95">
        <f>'Costing 100 Lmin Feed Orig'!I95</f>
        <v>6.3113732322488897E-11</v>
      </c>
      <c r="J95">
        <f>'Costing 100 Lmin Feed Orig'!J95</f>
        <v>3.37661562480901E-4</v>
      </c>
      <c r="K95">
        <f>'Costing 100 Lmin Feed Orig'!K95</f>
        <v>0.13911791568267901</v>
      </c>
      <c r="L95">
        <f>'Costing 100 Lmin Feed Orig'!L95</f>
        <v>0.140740543921716</v>
      </c>
      <c r="M95">
        <f>'Costing 100 Lmin Feed Orig'!M95</f>
        <v>4.45543656000266E-4</v>
      </c>
      <c r="N95">
        <f>'Costing 100 Lmin Feed Orig'!N95</f>
        <v>-4.7646348672047899E-15</v>
      </c>
      <c r="O95">
        <f>'Costing 100 Lmin Feed Orig'!O95</f>
        <v>-1.1300289697036E-11</v>
      </c>
      <c r="P95">
        <f>'Costing 100 Lmin Feed Orig'!P95</f>
        <v>-4.6756218688437302E-19</v>
      </c>
      <c r="Q95">
        <f>'Costing 100 Lmin Feed Orig'!Q95</f>
        <v>0.10952322309941399</v>
      </c>
      <c r="R95">
        <f>'Costing 100 Lmin Feed Orig'!R95</f>
        <v>98.575430839799395</v>
      </c>
      <c r="S95">
        <f>'Costing 100 Lmin Feed Orig'!S95</f>
        <v>500</v>
      </c>
      <c r="T95">
        <f>'Costing 100 Lmin Feed Orig'!T95</f>
        <v>95</v>
      </c>
      <c r="U95">
        <f>'Costing 100 Lmin Feed Orig'!U95</f>
        <v>1</v>
      </c>
      <c r="V95">
        <f>'Costing 100 Lmin Feed Orig'!V95</f>
        <v>0.1</v>
      </c>
      <c r="W95">
        <f>'Costing 100 Lmin Feed Orig'!W95</f>
        <v>91.304836700459305</v>
      </c>
      <c r="X95" t="str">
        <f>'Costing 100 Lmin Feed Orig'!X95</f>
        <v>ddFc</v>
      </c>
      <c r="Y95">
        <f>'Costing 100 Lmin Feed Orig'!Y95</f>
        <v>1</v>
      </c>
      <c r="Z95">
        <f>'Costing 100 Lmin Feed Orig'!Z95</f>
        <v>0.28318429382522198</v>
      </c>
      <c r="AA95">
        <f>'Costing 100 Lmin Feed Orig'!AA95</f>
        <v>0.56945642916197003</v>
      </c>
      <c r="AB95">
        <f>'Costing 100 Lmin Feed Orig'!AB95</f>
        <v>3.7698628972227502E-3</v>
      </c>
      <c r="AC95">
        <f>'Costing 100 Lmin Feed Orig'!AC95</f>
        <v>1822.2107908876901</v>
      </c>
      <c r="AD95">
        <f>'Costing 100 Lmin Feed Orig'!AD95</f>
        <v>2662.6059073104898</v>
      </c>
      <c r="AE95">
        <f>'Costing 100 Lmin Feed Orig'!AE95</f>
        <v>2401.5030938442701</v>
      </c>
      <c r="AF95">
        <f>'Costing 100 Lmin Feed Orig'!AF95</f>
        <v>7</v>
      </c>
      <c r="AG95">
        <f>'Costing 100 Lmin Feed Orig'!AG95</f>
        <v>1.6497575706444501E-3</v>
      </c>
      <c r="AH95">
        <f>'Costing 100 Lmin Feed Orig'!AH95</f>
        <v>1.66899983148883E-3</v>
      </c>
      <c r="AI95">
        <f>'Costing 100 Lmin Feed Orig'!AI95</f>
        <v>5.28356837386519E-6</v>
      </c>
      <c r="AJ95">
        <f>'Costing 100 Lmin Feed Orig'!AJ95</f>
        <v>0</v>
      </c>
      <c r="AK95">
        <f>'Costing 100 Lmin Feed Orig'!AK95</f>
        <v>0</v>
      </c>
      <c r="AL95">
        <f>'Costing 100 Lmin Feed Orig'!AL95</f>
        <v>0</v>
      </c>
      <c r="AM95">
        <f>'Costing 100 Lmin Feed Orig'!AM95</f>
        <v>1.61261707866804E-3</v>
      </c>
      <c r="AN95">
        <f>'Costing 100 Lmin Feed Orig'!AN95</f>
        <v>7.9625936031329294E-5</v>
      </c>
      <c r="AO95">
        <f>'Costing 100 Lmin Feed Orig'!AO95</f>
        <v>5.2486470564610397E-6</v>
      </c>
      <c r="AP95">
        <f>'Costing 100 Lmin Feed Orig'!AP95</f>
        <v>1.7397947866492501E-3</v>
      </c>
      <c r="AQ95">
        <f>'Costing 100 Lmin Feed Orig'!AQ95</f>
        <v>7.4452013697398206E-2</v>
      </c>
      <c r="AR95">
        <f>'Costing 100 Lmin Feed Orig'!AR95</f>
        <v>1.6358406345626599E-6</v>
      </c>
      <c r="AS95">
        <f>'Costing 100 Lmin Feed Orig'!AS95</f>
        <v>-4.2216122091154298E-18</v>
      </c>
      <c r="AT95">
        <f>'Costing 100 Lmin Feed Orig'!AT95</f>
        <v>-1.65666091955785E-15</v>
      </c>
      <c r="AU95">
        <f>'Costing 100 Lmin Feed Orig'!AU95</f>
        <v>-4.3344264097778598E-21</v>
      </c>
      <c r="AV95">
        <f>'Costing 100 Lmin Feed Orig'!AV95</f>
        <v>0.19715998450427299</v>
      </c>
      <c r="AW95">
        <f>'Costing 100 Lmin Feed Orig'!AW95</f>
        <v>99.339058096098597</v>
      </c>
      <c r="AX95">
        <f>'Costing 100 Lmin Feed Orig'!AX95</f>
        <v>500</v>
      </c>
      <c r="AY95">
        <f>'Costing 100 Lmin Feed Orig'!AY95</f>
        <v>95</v>
      </c>
      <c r="AZ95">
        <f>'Costing 100 Lmin Feed Orig'!AZ95</f>
        <v>0.92356857683566096</v>
      </c>
      <c r="BA95">
        <f>'Costing 100 Lmin Feed Orig'!BA95</f>
        <v>0.1</v>
      </c>
      <c r="BB95">
        <f>'Costing 100 Lmin Feed Orig'!BB95</f>
        <v>46.843611758127501</v>
      </c>
      <c r="BC95" t="str">
        <f>'Costing 100 Lmin Feed Orig'!BC95</f>
        <v>coeFc</v>
      </c>
      <c r="BD95">
        <f>'Costing 100 Lmin Feed Orig'!BD95</f>
        <v>1</v>
      </c>
      <c r="BE95">
        <f>'Costing 100 Lmin Feed Orig'!BE95</f>
        <v>1.8775014999999999E-2</v>
      </c>
      <c r="BF95">
        <f>'Costing 100 Lmin Feed Orig'!BF95</f>
        <v>0.10492961100000001</v>
      </c>
      <c r="BG95">
        <f>'Costing 100 Lmin Feed Orig'!BG95</f>
        <v>1.814625E-3</v>
      </c>
      <c r="BH95">
        <f>'Costing 100 Lmin Feed Orig'!BH95</f>
        <v>285.1951444</v>
      </c>
      <c r="BI95">
        <f>'Costing 100 Lmin Feed Orig'!BI95</f>
        <v>2169.8944889999998</v>
      </c>
      <c r="BJ95">
        <f>'Costing 100 Lmin Feed Orig'!BJ95</f>
        <v>866.49409060000005</v>
      </c>
      <c r="BK95">
        <f>'Costing 100 Lmin Feed Orig'!BK95</f>
        <v>100</v>
      </c>
      <c r="BL95">
        <f>'Costing 100 Lmin Feed Orig'!BL95</f>
        <v>10.952322309941399</v>
      </c>
      <c r="BM95">
        <f>'Costing 100 Lmin Feed Orig'!BM95</f>
        <v>92.356857683566091</v>
      </c>
      <c r="BN95">
        <f>'Costing 100 Lmin Feed Orig'!BN95</f>
        <v>19.7159984504273</v>
      </c>
      <c r="BO95">
        <f t="shared" si="22"/>
        <v>306.6650246783592</v>
      </c>
      <c r="BP95">
        <f t="shared" si="23"/>
        <v>354.88797210769138</v>
      </c>
      <c r="BQ95">
        <f t="shared" si="24"/>
        <v>30.666502467835922</v>
      </c>
      <c r="BR95">
        <f t="shared" si="25"/>
        <v>35.488797210769143</v>
      </c>
      <c r="BS95">
        <f>1.2*0.5*BL95*V95/'Oxidant Feed Composition'!$N$22</f>
        <v>6.5713933859648392</v>
      </c>
      <c r="BT95">
        <f>1.2*0.5*BN95*BA95/'Oxidant Feed Composition'!$N$22</f>
        <v>11.82959907025638</v>
      </c>
      <c r="BU95">
        <f t="shared" si="26"/>
        <v>5.4761611549706997</v>
      </c>
      <c r="BV95">
        <f t="shared" si="27"/>
        <v>9.8579992252136499</v>
      </c>
      <c r="BW95">
        <f t="shared" si="28"/>
        <v>86.880696528595394</v>
      </c>
      <c r="BX95">
        <f t="shared" si="21"/>
        <v>35.047431391812481</v>
      </c>
      <c r="BY95">
        <f t="shared" si="29"/>
        <v>206.61835998701497</v>
      </c>
      <c r="BZ95">
        <f t="shared" si="30"/>
        <v>63.091195041367357</v>
      </c>
      <c r="CA95">
        <f t="shared" si="31"/>
        <v>59.147995351281899</v>
      </c>
      <c r="CB95">
        <f>BO95*'Reagent cost'!$G$11*'Reagent cost'!$H$11</f>
        <v>4047.9783257543413</v>
      </c>
      <c r="CC95">
        <f>BP95*'Reagent cost'!$G$11*'Reagent cost'!$H$11</f>
        <v>4684.5212318215263</v>
      </c>
      <c r="CD95">
        <f>BQ95*'Reagent cost'!$C$18/1000*'Reagent cost'!$H$18</f>
        <v>4890.707695899031</v>
      </c>
      <c r="CE95">
        <f>BR95*'Ligand cost'!$B$56*'Ligand cost'!$J$56</f>
        <v>36132.128613328605</v>
      </c>
      <c r="CF95">
        <f t="shared" si="32"/>
        <v>10</v>
      </c>
      <c r="CG95">
        <f t="shared" si="33"/>
        <v>2.19046446198828</v>
      </c>
      <c r="CH95">
        <f t="shared" si="34"/>
        <v>3.9431996900854602</v>
      </c>
      <c r="CI95">
        <f>7963.6*(BX95/1000)^0.6*1.7*('CAPEX+OPEX'!$G$116/'CAPEX+OPEX'!$G$115)</f>
        <v>2138.1326451989207</v>
      </c>
      <c r="CJ95">
        <f>7963.6*(BY95/1000)^0.6*1.7*('CAPEX+OPEX'!$G$116/'CAPEX+OPEX'!$G$115)</f>
        <v>6199.2945816251477</v>
      </c>
      <c r="CK95">
        <f>7963.6*(BZ95/1000)^0.6*1.7*('CAPEX+OPEX'!$G$116/'CAPEX+OPEX'!$G$115)</f>
        <v>3042.441105507577</v>
      </c>
      <c r="CL95">
        <f>7963.6*(CA95/1000)^0.6*1.7*('CAPEX+OPEX'!$G$116/'CAPEX+OPEX'!$G$115)</f>
        <v>2926.880194576961</v>
      </c>
      <c r="CM95">
        <f>'Costing 100 Lmin Feed Orig'!DE95</f>
        <v>39625.826528698344</v>
      </c>
      <c r="CN95">
        <f>'Costing 100 Lmin Feed Orig'!DF95</f>
        <v>4586243.4239371875</v>
      </c>
      <c r="CO95">
        <f>'Costing 100 Lmin Feed Orig'!DG95</f>
        <v>11794834.586807497</v>
      </c>
      <c r="CP95">
        <f>'Costing 100 Lmin Feed Orig'!DH95</f>
        <v>2275209.1661185985</v>
      </c>
      <c r="CQ95">
        <f>'Costing 100 Lmin Feed Orig'!DI95</f>
        <v>14083914.336508472</v>
      </c>
      <c r="CR95">
        <f>'Costing 100 Lmin Feed Orig'!DJ95</f>
        <v>1662824.8986326549</v>
      </c>
      <c r="CS95">
        <f>CN95*(BK95/10000)^0.72*((A95+1)/3)^0.6*('CAPEX+OPEX'!$G$116/'CAPEX+OPEX'!$G$114)</f>
        <v>936765.86395108781</v>
      </c>
      <c r="CT95">
        <f>CO95*(BK95/10000)^0.72*((A95+1)/3)^0.6*('CAPEX+OPEX'!$G$116/'CAPEX+OPEX'!$G$114)</f>
        <v>2409160.916797909</v>
      </c>
      <c r="CU95">
        <f>CP95*(BK95/10000)^0.72*((A95+1)/3)^0.6*('CAPEX+OPEX'!$G$116/'CAPEX+OPEX'!$G$114)</f>
        <v>464724.19432521454</v>
      </c>
      <c r="CV95">
        <f>CQ95*(BK95/10000)^0.72*((A95+1)/3)^0.6*('CAPEX+OPEX'!$G$116/'CAPEX+OPEX'!$G$114)</f>
        <v>2876718.2553791031</v>
      </c>
      <c r="CW95">
        <f>CR95*(BK95/10000)^0.72*((A95+1)/3)^0.6*('CAPEX+OPEX'!$G$116/'CAPEX+OPEX'!$G$114)</f>
        <v>339641.28346021532</v>
      </c>
      <c r="CX95">
        <f t="shared" si="35"/>
        <v>7027010.5139135299</v>
      </c>
      <c r="CY95">
        <f>CN95*(BM95/10000)^0.72*((AF95+1)/3)^0.6*('CAPEX+OPEX'!$G$116/'CAPEX+OPEX'!$G$114)</f>
        <v>661084.27072256745</v>
      </c>
      <c r="CZ95">
        <f>CO95*(BM95/10000)^0.72*((AF95+1)/3)^0.6*('CAPEX+OPEX'!$G$116/'CAPEX+OPEX'!$G$114)</f>
        <v>1700166.9777089746</v>
      </c>
      <c r="DA95">
        <f>CP95*(BM95/10000)^0.72*((AF95+1)/3)^0.6*('CAPEX+OPEX'!$G$116/'CAPEX+OPEX'!$G$114)</f>
        <v>327960.13061024435</v>
      </c>
      <c r="DB95">
        <f>CQ95*(BM95/10000)^0.72*((AF95+1)/3)^0.6*('CAPEX+OPEX'!$G$116/'CAPEX+OPEX'!$G$114)</f>
        <v>2030126.4842320178</v>
      </c>
      <c r="DC95">
        <f>CR95*(BM95/10000)^0.72*((AF95+1)/3)^0.6*('CAPEX+OPEX'!$G$116/'CAPEX+OPEX'!$G$114)</f>
        <v>239687.97201527501</v>
      </c>
      <c r="DD95">
        <f t="shared" si="36"/>
        <v>4959025.8352890788</v>
      </c>
      <c r="DE95">
        <f>CX95+DD95+1.15*(SUM(CI95:CL95)+SUM(CB95:CE95))</f>
        <v>12059707.746255377</v>
      </c>
      <c r="DF95">
        <f t="shared" si="37"/>
        <v>803980.51641702512</v>
      </c>
      <c r="DG95">
        <f>(BS95+BT95)*'Oxidant Feed Composition'!$N$25*60*7200</f>
        <v>14819298.169570254</v>
      </c>
      <c r="DH95">
        <f>((CG95+CH95)*'Reagent cost'!$C$17/1000*'Reagent cost'!$H$17+(CG95+CH95)*0.5*'Reagent cost'!$C$16/1000*'Reagent cost'!$H$16)*60*7200</f>
        <v>5905826.4983327342</v>
      </c>
      <c r="DI95">
        <f>CF95*'Reagent cost'!$C$17/1000*'Reagent cost'!$H$17*60*7200</f>
        <v>504921.59999999998</v>
      </c>
      <c r="DJ95">
        <f t="shared" si="38"/>
        <v>87.324995575758678</v>
      </c>
      <c r="DK95">
        <f t="shared" si="39"/>
        <v>820.45672618455274</v>
      </c>
      <c r="DL95">
        <f t="shared" si="40"/>
        <v>25477144.859549701</v>
      </c>
      <c r="DM95">
        <f>BK95*(B95*(409.81+2)/1000+C95*(248.2+2*22.99)/1000+D95*(315.6+3*22.99)/1000+0.1*58.44/1000)</f>
        <v>0.70639694042110623</v>
      </c>
      <c r="DN95">
        <f>(BS95+BT95)/1000*('Oxidant Feed Composition'!$B$11*'Oxidant Feed Composition'!$O$20+'Oxidant Feed Composition'!$D$11*'Oxidant Feed Composition'!$O$21+'Oxidant Feed Composition'!$F$11*'Oxidant Feed Composition'!$O$27-'Oxidant Feed Composition'!$J$15*18.015)</f>
        <v>2.1489514395432647</v>
      </c>
      <c r="DO95">
        <f>(BU95+BV95)/1000*(0.2*368.34+0.4*58.44)</f>
        <v>1.4880882599346101</v>
      </c>
      <c r="DP95">
        <f>BK95/1000*(B95*195.08+C95*106.42+D95*102.91)</f>
        <v>4.999938342565946E-2</v>
      </c>
      <c r="DQ95">
        <f>SUM(DM95:DO95)-DP95</f>
        <v>4.2934372564733208</v>
      </c>
      <c r="DR95">
        <f>DQ95*60*7200*0.33</f>
        <v>612072.41528283653</v>
      </c>
      <c r="DS95">
        <v>1.2</v>
      </c>
      <c r="DT95">
        <f>BM95/60*(AM95*4+AN95*2+AO95*3)*96485/DV95</f>
        <v>1405.7111739241</v>
      </c>
      <c r="DU95">
        <f>BN95*BA95*(AP95*4+AQ95*2+AR95*3)*96485/DV95/60</f>
        <v>705.9705211146869</v>
      </c>
      <c r="DV95">
        <v>0.7</v>
      </c>
      <c r="DW95">
        <f>0.499*((BK95/3.78541*15)^(-0.146))*BK95/3.78541*15*300*(1+(A95-2)/9)</f>
        <v>52288.524762496963</v>
      </c>
      <c r="DX95">
        <f>0.248*((BK95/3.78541*15)^(-0.144))*BK95/3.78541*15*300*(1+(A95-2)/3)</f>
        <v>53983.928663982973</v>
      </c>
      <c r="DY95">
        <f>0.105*((BK95/3.78541*15)^(-0.144))*BK95/3.78541*15*300*(1+(A95-2)/3)</f>
        <v>22856.098829508919</v>
      </c>
      <c r="DZ95">
        <f>0.058*((BK95/3.78541*15)^(-0.151))*BK95/3.78541*15*300*(1+(A95-2)/3)</f>
        <v>12107.513206066582</v>
      </c>
      <c r="EA95">
        <f>0.056*((BK95/3.78541*15)^(-0.144))*BK95/3.78541*15*300*(1+(A95-2)/3)</f>
        <v>12189.919375738094</v>
      </c>
      <c r="EB95">
        <f>DS95*DT95/(3.6*10^6)*3600*7200*0.07</f>
        <v>850.17411798929584</v>
      </c>
      <c r="EC95">
        <f>0.499*((BM95/3.78541*15)^(-0.146))*BM95/3.78541*15*300*(1+(AF95-2)/9)</f>
        <v>35999.086166212779</v>
      </c>
      <c r="ED95">
        <f>0.248*((BM95/3.78541*15)^(-0.144))*BM95/3.78541*15*300*(1+(AF95-2)/3)</f>
        <v>31035.068806562878</v>
      </c>
      <c r="EE95">
        <f>0.105*((BM95/3.78541*15)^(-0.144))*BM95/3.78541*15*300*(1+(AF95-2)/3)</f>
        <v>13139.847680197989</v>
      </c>
      <c r="EF95">
        <f>0.058*((BM95/3.78541*15)^(-0.151))*BM95/3.78541*15*300*(1+(AF95-2)/3)</f>
        <v>6964.4190203834751</v>
      </c>
      <c r="EG95">
        <f>0.056*((BM95/3.78541*15)^(-0.144))*BM95/3.78541*15*300*(1+(AF95-2)/3)</f>
        <v>7007.9187627722622</v>
      </c>
      <c r="EH95">
        <f>DS95*DU95/(3.6*10^6)*3600*7200*0.07</f>
        <v>426.97097117016267</v>
      </c>
      <c r="EI95">
        <f>SUM(DW95:EH95)</f>
        <v>248849.47036308239</v>
      </c>
      <c r="EJ95">
        <f>EI95+DR95+DL95</f>
        <v>26338066.74519562</v>
      </c>
      <c r="EK95">
        <f>EJ95+DF95</f>
        <v>27142047.261612646</v>
      </c>
      <c r="EL95">
        <f>EK95/(BK95*60*7200)</f>
        <v>0.62828813105584824</v>
      </c>
      <c r="EM95">
        <f>EK95/(BM95*(AM95*195.084/1000+AN95*106.42/1000+AO95*102.911/1000)*60*7200)</f>
        <v>2102.1714902924987</v>
      </c>
      <c r="EN95">
        <f>EK95/(BN95*BA95*(AP95*195.084/1000+AQ95*106.42/1000+AR95*102.911/1000)*60*7200)</f>
        <v>3856.6929060732364</v>
      </c>
    </row>
    <row r="96" spans="1:144">
      <c r="A96">
        <f>'Costing 100 Lmin Feed Orig'!A96</f>
        <v>12</v>
      </c>
      <c r="B96">
        <f>'Costing 100 Lmin Feed Orig'!B96</f>
        <v>1.54143585092054E-3</v>
      </c>
      <c r="C96">
        <f>'Costing 100 Lmin Feed Orig'!C96</f>
        <v>1.54143585092054E-3</v>
      </c>
      <c r="D96">
        <f>'Costing 100 Lmin Feed Orig'!D96</f>
        <v>3.4254130020456501E-4</v>
      </c>
      <c r="E96">
        <f>'Costing 100 Lmin Feed Orig'!E96</f>
        <v>0</v>
      </c>
      <c r="F96">
        <f>'Costing 100 Lmin Feed Orig'!F96</f>
        <v>0</v>
      </c>
      <c r="G96">
        <f>'Costing 100 Lmin Feed Orig'!G96</f>
        <v>0</v>
      </c>
      <c r="H96">
        <f>'Costing 100 Lmin Feed Orig'!H96</f>
        <v>1.7771599281349402E-5</v>
      </c>
      <c r="I96">
        <f>'Costing 100 Lmin Feed Orig'!I96</f>
        <v>6.3113732322488897E-11</v>
      </c>
      <c r="J96">
        <f>'Costing 100 Lmin Feed Orig'!J96</f>
        <v>3.37661562480901E-4</v>
      </c>
      <c r="K96">
        <f>'Costing 100 Lmin Feed Orig'!K96</f>
        <v>0.13911791568267901</v>
      </c>
      <c r="L96">
        <f>'Costing 100 Lmin Feed Orig'!L96</f>
        <v>0.140740543921716</v>
      </c>
      <c r="M96">
        <f>'Costing 100 Lmin Feed Orig'!M96</f>
        <v>4.45543656000266E-4</v>
      </c>
      <c r="N96">
        <f>'Costing 100 Lmin Feed Orig'!N96</f>
        <v>-4.7646348672047899E-15</v>
      </c>
      <c r="O96">
        <f>'Costing 100 Lmin Feed Orig'!O96</f>
        <v>-1.1300289697036E-11</v>
      </c>
      <c r="P96">
        <f>'Costing 100 Lmin Feed Orig'!P96</f>
        <v>-4.6756218688437302E-19</v>
      </c>
      <c r="Q96">
        <f>'Costing 100 Lmin Feed Orig'!Q96</f>
        <v>0.10952322309941399</v>
      </c>
      <c r="R96">
        <f>'Costing 100 Lmin Feed Orig'!R96</f>
        <v>98.575430839799395</v>
      </c>
      <c r="S96">
        <f>'Costing 100 Lmin Feed Orig'!S96</f>
        <v>500</v>
      </c>
      <c r="T96">
        <f>'Costing 100 Lmin Feed Orig'!T96</f>
        <v>95</v>
      </c>
      <c r="U96">
        <f>'Costing 100 Lmin Feed Orig'!U96</f>
        <v>1</v>
      </c>
      <c r="V96">
        <f>'Costing 100 Lmin Feed Orig'!V96</f>
        <v>0.1</v>
      </c>
      <c r="W96">
        <f>'Costing 100 Lmin Feed Orig'!W96</f>
        <v>91.304836700459305</v>
      </c>
      <c r="X96" t="str">
        <f>'Costing 100 Lmin Feed Orig'!X96</f>
        <v>ddFc</v>
      </c>
      <c r="Y96">
        <f>'Costing 100 Lmin Feed Orig'!Y96</f>
        <v>1</v>
      </c>
      <c r="Z96">
        <f>'Costing 100 Lmin Feed Orig'!Z96</f>
        <v>0.28318429382522198</v>
      </c>
      <c r="AA96">
        <f>'Costing 100 Lmin Feed Orig'!AA96</f>
        <v>0.56945642916197003</v>
      </c>
      <c r="AB96">
        <f>'Costing 100 Lmin Feed Orig'!AB96</f>
        <v>3.7698628972227502E-3</v>
      </c>
      <c r="AC96">
        <f>'Costing 100 Lmin Feed Orig'!AC96</f>
        <v>1822.2107908876901</v>
      </c>
      <c r="AD96">
        <f>'Costing 100 Lmin Feed Orig'!AD96</f>
        <v>2662.6059073104898</v>
      </c>
      <c r="AE96">
        <f>'Costing 100 Lmin Feed Orig'!AE96</f>
        <v>2401.5030938442701</v>
      </c>
      <c r="AF96">
        <f>'Costing 100 Lmin Feed Orig'!AF96</f>
        <v>8</v>
      </c>
      <c r="AG96">
        <f>'Costing 100 Lmin Feed Orig'!AG96</f>
        <v>1.6497575706444501E-3</v>
      </c>
      <c r="AH96">
        <f>'Costing 100 Lmin Feed Orig'!AH96</f>
        <v>1.66899983148883E-3</v>
      </c>
      <c r="AI96">
        <f>'Costing 100 Lmin Feed Orig'!AI96</f>
        <v>5.28356837386519E-6</v>
      </c>
      <c r="AJ96">
        <f>'Costing 100 Lmin Feed Orig'!AJ96</f>
        <v>0</v>
      </c>
      <c r="AK96">
        <f>'Costing 100 Lmin Feed Orig'!AK96</f>
        <v>0</v>
      </c>
      <c r="AL96">
        <f>'Costing 100 Lmin Feed Orig'!AL96</f>
        <v>0</v>
      </c>
      <c r="AM96">
        <f>'Costing 100 Lmin Feed Orig'!AM96</f>
        <v>1.6127563603415801E-3</v>
      </c>
      <c r="AN96">
        <f>'Costing 100 Lmin Feed Orig'!AN96</f>
        <v>7.96331411021806E-5</v>
      </c>
      <c r="AO96">
        <f>'Costing 100 Lmin Feed Orig'!AO96</f>
        <v>5.2487726000077404E-6</v>
      </c>
      <c r="AP96">
        <f>'Costing 100 Lmin Feed Orig'!AP96</f>
        <v>1.73509236363433E-3</v>
      </c>
      <c r="AQ96">
        <f>'Costing 100 Lmin Feed Orig'!AQ96</f>
        <v>7.4529940711020898E-2</v>
      </c>
      <c r="AR96">
        <f>'Costing 100 Lmin Feed Orig'!AR96</f>
        <v>1.63167315397143E-6</v>
      </c>
      <c r="AS96">
        <f>'Costing 100 Lmin Feed Orig'!AS96</f>
        <v>5.0297494034318102E-15</v>
      </c>
      <c r="AT96">
        <f>'Costing 100 Lmin Feed Orig'!AT96</f>
        <v>-1.17018894574272E-12</v>
      </c>
      <c r="AU96">
        <f>'Costing 100 Lmin Feed Orig'!AU96</f>
        <v>2.31875269310864E-20</v>
      </c>
      <c r="AV96">
        <f>'Costing 100 Lmin Feed Orig'!AV96</f>
        <v>0.19695294528304</v>
      </c>
      <c r="AW96">
        <f>'Costing 100 Lmin Feed Orig'!AW96</f>
        <v>99.341434208941706</v>
      </c>
      <c r="AX96">
        <f>'Costing 100 Lmin Feed Orig'!AX96</f>
        <v>500</v>
      </c>
      <c r="AY96">
        <f>'Costing 100 Lmin Feed Orig'!AY96</f>
        <v>95</v>
      </c>
      <c r="AZ96">
        <f>'Costing 100 Lmin Feed Orig'!AZ96</f>
        <v>0.92356857683566096</v>
      </c>
      <c r="BA96">
        <f>'Costing 100 Lmin Feed Orig'!BA96</f>
        <v>0.1</v>
      </c>
      <c r="BB96">
        <f>'Costing 100 Lmin Feed Orig'!BB96</f>
        <v>46.892854306311698</v>
      </c>
      <c r="BC96" t="str">
        <f>'Costing 100 Lmin Feed Orig'!BC96</f>
        <v>coeFc</v>
      </c>
      <c r="BD96">
        <f>'Costing 100 Lmin Feed Orig'!BD96</f>
        <v>1</v>
      </c>
      <c r="BE96">
        <f>'Costing 100 Lmin Feed Orig'!BE96</f>
        <v>1.8775014999999999E-2</v>
      </c>
      <c r="BF96">
        <f>'Costing 100 Lmin Feed Orig'!BF96</f>
        <v>0.10492961100000001</v>
      </c>
      <c r="BG96">
        <f>'Costing 100 Lmin Feed Orig'!BG96</f>
        <v>1.814625E-3</v>
      </c>
      <c r="BH96">
        <f>'Costing 100 Lmin Feed Orig'!BH96</f>
        <v>285.1951444</v>
      </c>
      <c r="BI96">
        <f>'Costing 100 Lmin Feed Orig'!BI96</f>
        <v>2169.8944889999998</v>
      </c>
      <c r="BJ96">
        <f>'Costing 100 Lmin Feed Orig'!BJ96</f>
        <v>866.49409060000005</v>
      </c>
      <c r="BK96">
        <f>'Costing 100 Lmin Feed Orig'!BK96</f>
        <v>100</v>
      </c>
      <c r="BL96">
        <f>'Costing 100 Lmin Feed Orig'!BL96</f>
        <v>10.952322309941399</v>
      </c>
      <c r="BM96">
        <f>'Costing 100 Lmin Feed Orig'!BM96</f>
        <v>92.356857683566091</v>
      </c>
      <c r="BN96">
        <f>'Costing 100 Lmin Feed Orig'!BN96</f>
        <v>19.695294528304</v>
      </c>
      <c r="BO96">
        <f t="shared" si="22"/>
        <v>306.6650246783592</v>
      </c>
      <c r="BP96">
        <f t="shared" si="23"/>
        <v>393.90589056608002</v>
      </c>
      <c r="BQ96">
        <f t="shared" si="24"/>
        <v>30.666502467835922</v>
      </c>
      <c r="BR96">
        <f t="shared" si="25"/>
        <v>39.390589056608007</v>
      </c>
      <c r="BS96">
        <f>1.2*0.5*BL96*V96/'Oxidant Feed Composition'!$N$22</f>
        <v>6.5713933859648392</v>
      </c>
      <c r="BT96">
        <f>1.2*0.5*BN96*BA96/'Oxidant Feed Composition'!$N$22</f>
        <v>11.8171767169824</v>
      </c>
      <c r="BU96">
        <f t="shared" si="26"/>
        <v>5.4761611549706997</v>
      </c>
      <c r="BV96">
        <f t="shared" si="27"/>
        <v>9.8476472641520001</v>
      </c>
      <c r="BW96">
        <f t="shared" si="28"/>
        <v>86.880696528595394</v>
      </c>
      <c r="BX96">
        <f t="shared" si="21"/>
        <v>35.047431391812481</v>
      </c>
      <c r="BY96">
        <f t="shared" si="29"/>
        <v>206.61835998701497</v>
      </c>
      <c r="BZ96">
        <f t="shared" si="30"/>
        <v>63.024942490572798</v>
      </c>
      <c r="CA96">
        <f t="shared" si="31"/>
        <v>59.085883584911997</v>
      </c>
      <c r="CB96">
        <f>BO96*'Reagent cost'!$G$11*'Reagent cost'!$H$11</f>
        <v>4047.9783257543413</v>
      </c>
      <c r="CC96">
        <f>BP96*'Reagent cost'!$G$11*'Reagent cost'!$H$11</f>
        <v>5199.5577554722568</v>
      </c>
      <c r="CD96">
        <f>BQ96*'Reagent cost'!$C$18/1000*'Reagent cost'!$H$18</f>
        <v>4890.707695899031</v>
      </c>
      <c r="CE96">
        <f>BR96*'Ligand cost'!$B$56*'Ligand cost'!$J$56</f>
        <v>40104.651095817979</v>
      </c>
      <c r="CF96">
        <f t="shared" si="32"/>
        <v>10</v>
      </c>
      <c r="CG96">
        <f t="shared" si="33"/>
        <v>2.19046446198828</v>
      </c>
      <c r="CH96">
        <f t="shared" si="34"/>
        <v>3.9390589056608003</v>
      </c>
      <c r="CI96">
        <f>7963.6*(BX96/1000)^0.6*1.7*('CAPEX+OPEX'!$G$116/'CAPEX+OPEX'!$G$115)</f>
        <v>2138.1326451989207</v>
      </c>
      <c r="CJ96">
        <f>7963.6*(BY96/1000)^0.6*1.7*('CAPEX+OPEX'!$G$116/'CAPEX+OPEX'!$G$115)</f>
        <v>6199.2945816251477</v>
      </c>
      <c r="CK96">
        <f>7963.6*(BZ96/1000)^0.6*1.7*('CAPEX+OPEX'!$G$116/'CAPEX+OPEX'!$G$115)</f>
        <v>3040.5237681823655</v>
      </c>
      <c r="CL96">
        <f>7963.6*(CA96/1000)^0.6*1.7*('CAPEX+OPEX'!$G$116/'CAPEX+OPEX'!$G$115)</f>
        <v>2925.0356833937126</v>
      </c>
      <c r="CM96">
        <f>'Costing 100 Lmin Feed Orig'!DE96</f>
        <v>39625.826528698344</v>
      </c>
      <c r="CN96">
        <f>'Costing 100 Lmin Feed Orig'!DF96</f>
        <v>4586243.4239371875</v>
      </c>
      <c r="CO96">
        <f>'Costing 100 Lmin Feed Orig'!DG96</f>
        <v>11794834.586807497</v>
      </c>
      <c r="CP96">
        <f>'Costing 100 Lmin Feed Orig'!DH96</f>
        <v>2275209.1661185985</v>
      </c>
      <c r="CQ96">
        <f>'Costing 100 Lmin Feed Orig'!DI96</f>
        <v>14083914.336508472</v>
      </c>
      <c r="CR96">
        <f>'Costing 100 Lmin Feed Orig'!DJ96</f>
        <v>1662824.8986326549</v>
      </c>
      <c r="CS96">
        <f>CN96*(BK96/10000)^0.72*((A96+1)/3)^0.6*('CAPEX+OPEX'!$G$116/'CAPEX+OPEX'!$G$114)</f>
        <v>936765.86395108781</v>
      </c>
      <c r="CT96">
        <f>CO96*(BK96/10000)^0.72*((A96+1)/3)^0.6*('CAPEX+OPEX'!$G$116/'CAPEX+OPEX'!$G$114)</f>
        <v>2409160.916797909</v>
      </c>
      <c r="CU96">
        <f>CP96*(BK96/10000)^0.72*((A96+1)/3)^0.6*('CAPEX+OPEX'!$G$116/'CAPEX+OPEX'!$G$114)</f>
        <v>464724.19432521454</v>
      </c>
      <c r="CV96">
        <f>CQ96*(BK96/10000)^0.72*((A96+1)/3)^0.6*('CAPEX+OPEX'!$G$116/'CAPEX+OPEX'!$G$114)</f>
        <v>2876718.2553791031</v>
      </c>
      <c r="CW96">
        <f>CR96*(BK96/10000)^0.72*((A96+1)/3)^0.6*('CAPEX+OPEX'!$G$116/'CAPEX+OPEX'!$G$114)</f>
        <v>339641.28346021532</v>
      </c>
      <c r="CX96">
        <f t="shared" si="35"/>
        <v>7027010.5139135299</v>
      </c>
      <c r="CY96">
        <f>CN96*(BM96/10000)^0.72*((AF96+1)/3)^0.6*('CAPEX+OPEX'!$G$116/'CAPEX+OPEX'!$G$114)</f>
        <v>709493.36355675769</v>
      </c>
      <c r="CZ96">
        <f>CO96*(BM96/10000)^0.72*((AF96+1)/3)^0.6*('CAPEX+OPEX'!$G$116/'CAPEX+OPEX'!$G$114)</f>
        <v>1824664.7833632834</v>
      </c>
      <c r="DA96">
        <f>CP96*(BM96/10000)^0.72*((AF96+1)/3)^0.6*('CAPEX+OPEX'!$G$116/'CAPEX+OPEX'!$G$114)</f>
        <v>351975.60505387571</v>
      </c>
      <c r="DB96">
        <f>CQ96*(BM96/10000)^0.72*((AF96+1)/3)^0.6*('CAPEX+OPEX'!$G$116/'CAPEX+OPEX'!$G$114)</f>
        <v>2178786.1722517004</v>
      </c>
      <c r="DC96">
        <f>CR96*(BM96/10000)^0.72*((AF96+1)/3)^0.6*('CAPEX+OPEX'!$G$116/'CAPEX+OPEX'!$G$114)</f>
        <v>257239.55780001023</v>
      </c>
      <c r="DD96">
        <f t="shared" si="36"/>
        <v>5322159.482025627</v>
      </c>
      <c r="DE96">
        <f>CX96+DD96+1.15*(SUM(CI96:CL96)+SUM(CB96:CE96))</f>
        <v>12427997.759723203</v>
      </c>
      <c r="DF96">
        <f t="shared" si="37"/>
        <v>828533.1839815469</v>
      </c>
      <c r="DG96">
        <f>(BS96+BT96)*'Oxidant Feed Composition'!$N$25*60*7200</f>
        <v>14809293.787601573</v>
      </c>
      <c r="DH96">
        <f>((CG96+CH96)*'Reagent cost'!$C$17/1000*'Reagent cost'!$H$17+(CG96+CH96)*0.5*'Reagent cost'!$C$16/1000*'Reagent cost'!$H$16)*60*7200</f>
        <v>5901839.5251674727</v>
      </c>
      <c r="DI96">
        <f>CF96*'Reagent cost'!$C$17/1000*'Reagent cost'!$H$17*60*7200</f>
        <v>504921.59999999998</v>
      </c>
      <c r="DJ96">
        <f t="shared" si="38"/>
        <v>92.475360812265976</v>
      </c>
      <c r="DK96">
        <f t="shared" si="39"/>
        <v>899.90717583434014</v>
      </c>
      <c r="DL96">
        <f t="shared" si="40"/>
        <v>25460456.754366834</v>
      </c>
      <c r="DM96">
        <f>BK96*(B96*(409.81+2)/1000+C96*(248.2+2*22.99)/1000+D96*(315.6+3*22.99)/1000+0.1*58.44/1000)</f>
        <v>0.70639694042110623</v>
      </c>
      <c r="DN96">
        <f>(BS96+BT96)/1000*('Oxidant Feed Composition'!$B$11*'Oxidant Feed Composition'!$O$20+'Oxidant Feed Composition'!$D$11*'Oxidant Feed Composition'!$O$21+'Oxidant Feed Composition'!$F$11*'Oxidant Feed Composition'!$O$27-'Oxidant Feed Composition'!$J$15*18.015)</f>
        <v>2.1475007007304456</v>
      </c>
      <c r="DO96">
        <f>(BU96+BV96)/1000*(0.2*368.34+0.4*58.44)</f>
        <v>1.4870836642253431</v>
      </c>
      <c r="DP96">
        <f>BK96/1000*(B96*195.08+C96*106.42+D96*102.91)</f>
        <v>4.999938342565946E-2</v>
      </c>
      <c r="DQ96">
        <f>SUM(DM96:DO96)-DP96</f>
        <v>4.2909819219512348</v>
      </c>
      <c r="DR96">
        <f>DQ96*60*7200*0.33</f>
        <v>611722.38279336819</v>
      </c>
      <c r="DS96">
        <v>1.2</v>
      </c>
      <c r="DT96">
        <f>BM96/60*(AM96*4+AN96*2+AO96*3)*96485/DV96</f>
        <v>1405.8325155980081</v>
      </c>
      <c r="DU96">
        <f>BN96*BA96*(AP96*4+AQ96*2+AR96*3)*96485/DV96/60</f>
        <v>705.84917997303262</v>
      </c>
      <c r="DV96">
        <v>0.7</v>
      </c>
      <c r="DW96">
        <f>0.499*((BK96/3.78541*15)^(-0.146))*BK96/3.78541*15*300*(1+(A96-2)/9)</f>
        <v>52288.524762496963</v>
      </c>
      <c r="DX96">
        <f>0.248*((BK96/3.78541*15)^(-0.144))*BK96/3.78541*15*300*(1+(A96-2)/3)</f>
        <v>53983.928663982973</v>
      </c>
      <c r="DY96">
        <f>0.105*((BK96/3.78541*15)^(-0.144))*BK96/3.78541*15*300*(1+(A96-2)/3)</f>
        <v>22856.098829508919</v>
      </c>
      <c r="DZ96">
        <f>0.058*((BK96/3.78541*15)^(-0.151))*BK96/3.78541*15*300*(1+(A96-2)/3)</f>
        <v>12107.513206066582</v>
      </c>
      <c r="EA96">
        <f>0.056*((BK96/3.78541*15)^(-0.144))*BK96/3.78541*15*300*(1+(A96-2)/3)</f>
        <v>12189.919375738094</v>
      </c>
      <c r="EB96">
        <f>DS96*DT96/(3.6*10^6)*3600*7200*0.07</f>
        <v>850.24750543367531</v>
      </c>
      <c r="EC96">
        <f>0.499*((BM96/3.78541*15)^(-0.146))*BM96/3.78541*15*300*(1+(AF96-2)/9)</f>
        <v>38570.449463799399</v>
      </c>
      <c r="ED96">
        <f>0.248*((BM96/3.78541*15)^(-0.144))*BM96/3.78541*15*300*(1+(AF96-2)/3)</f>
        <v>34914.452407383229</v>
      </c>
      <c r="EE96">
        <f>0.105*((BM96/3.78541*15)^(-0.144))*BM96/3.78541*15*300*(1+(AF96-2)/3)</f>
        <v>14782.328640222735</v>
      </c>
      <c r="EF96">
        <f>0.058*((BM96/3.78541*15)^(-0.151))*BM96/3.78541*15*300*(1+(AF96-2)/3)</f>
        <v>7834.9713979314092</v>
      </c>
      <c r="EG96">
        <f>0.056*((BM96/3.78541*15)^(-0.144))*BM96/3.78541*15*300*(1+(AF96-2)/3)</f>
        <v>7883.9086081187943</v>
      </c>
      <c r="EH96">
        <f>DS96*DU96/(3.6*10^6)*3600*7200*0.07</f>
        <v>426.89758404769015</v>
      </c>
      <c r="EI96">
        <f>SUM(DW96:EH96)</f>
        <v>258689.24044473047</v>
      </c>
      <c r="EJ96">
        <f>EI96+DR96+DL96</f>
        <v>26330868.377604932</v>
      </c>
      <c r="EK96">
        <f>EJ96+DF96</f>
        <v>27159401.561586477</v>
      </c>
      <c r="EL96">
        <f>EK96/(BK96*60*7200)</f>
        <v>0.62868985096264995</v>
      </c>
      <c r="EM96">
        <f>EK96/(BM96*(AM96*195.084/1000+AN96*106.42/1000+AO96*102.911/1000)*60*7200)</f>
        <v>2103.3339212247488</v>
      </c>
      <c r="EN96">
        <f>EK96/(BN96*BA96*(AP96*195.084/1000+AQ96*106.42/1000+AR96*102.911/1000)*60*7200)</f>
        <v>3859.7704567014625</v>
      </c>
    </row>
    <row r="97" spans="1:144">
      <c r="A97">
        <f>'Costing 100 Lmin Feed Orig'!A97</f>
        <v>12</v>
      </c>
      <c r="B97">
        <f>'Costing 100 Lmin Feed Orig'!B97</f>
        <v>1.54143585092054E-3</v>
      </c>
      <c r="C97">
        <f>'Costing 100 Lmin Feed Orig'!C97</f>
        <v>1.54143585092054E-3</v>
      </c>
      <c r="D97">
        <f>'Costing 100 Lmin Feed Orig'!D97</f>
        <v>3.4254130020456501E-4</v>
      </c>
      <c r="E97">
        <f>'Costing 100 Lmin Feed Orig'!E97</f>
        <v>0</v>
      </c>
      <c r="F97">
        <f>'Costing 100 Lmin Feed Orig'!F97</f>
        <v>0</v>
      </c>
      <c r="G97">
        <f>'Costing 100 Lmin Feed Orig'!G97</f>
        <v>0</v>
      </c>
      <c r="H97">
        <f>'Costing 100 Lmin Feed Orig'!H97</f>
        <v>1.7771599281349402E-5</v>
      </c>
      <c r="I97">
        <f>'Costing 100 Lmin Feed Orig'!I97</f>
        <v>6.3113732322488897E-11</v>
      </c>
      <c r="J97">
        <f>'Costing 100 Lmin Feed Orig'!J97</f>
        <v>3.37661562480901E-4</v>
      </c>
      <c r="K97">
        <f>'Costing 100 Lmin Feed Orig'!K97</f>
        <v>0.13911791568267901</v>
      </c>
      <c r="L97">
        <f>'Costing 100 Lmin Feed Orig'!L97</f>
        <v>0.140740543921716</v>
      </c>
      <c r="M97">
        <f>'Costing 100 Lmin Feed Orig'!M97</f>
        <v>4.45543656000266E-4</v>
      </c>
      <c r="N97">
        <f>'Costing 100 Lmin Feed Orig'!N97</f>
        <v>-4.7646348672047899E-15</v>
      </c>
      <c r="O97">
        <f>'Costing 100 Lmin Feed Orig'!O97</f>
        <v>-1.1300289697036E-11</v>
      </c>
      <c r="P97">
        <f>'Costing 100 Lmin Feed Orig'!P97</f>
        <v>-4.6756218688437302E-19</v>
      </c>
      <c r="Q97">
        <f>'Costing 100 Lmin Feed Orig'!Q97</f>
        <v>0.10952322309941399</v>
      </c>
      <c r="R97">
        <f>'Costing 100 Lmin Feed Orig'!R97</f>
        <v>98.575430839799395</v>
      </c>
      <c r="S97">
        <f>'Costing 100 Lmin Feed Orig'!S97</f>
        <v>500</v>
      </c>
      <c r="T97">
        <f>'Costing 100 Lmin Feed Orig'!T97</f>
        <v>95</v>
      </c>
      <c r="U97">
        <f>'Costing 100 Lmin Feed Orig'!U97</f>
        <v>1</v>
      </c>
      <c r="V97">
        <f>'Costing 100 Lmin Feed Orig'!V97</f>
        <v>0.1</v>
      </c>
      <c r="W97">
        <f>'Costing 100 Lmin Feed Orig'!W97</f>
        <v>91.304836700459305</v>
      </c>
      <c r="X97" t="str">
        <f>'Costing 100 Lmin Feed Orig'!X97</f>
        <v>ddFc</v>
      </c>
      <c r="Y97">
        <f>'Costing 100 Lmin Feed Orig'!Y97</f>
        <v>1</v>
      </c>
      <c r="Z97">
        <f>'Costing 100 Lmin Feed Orig'!Z97</f>
        <v>0.28318429382522198</v>
      </c>
      <c r="AA97">
        <f>'Costing 100 Lmin Feed Orig'!AA97</f>
        <v>0.56945642916197003</v>
      </c>
      <c r="AB97">
        <f>'Costing 100 Lmin Feed Orig'!AB97</f>
        <v>3.7698628972227502E-3</v>
      </c>
      <c r="AC97">
        <f>'Costing 100 Lmin Feed Orig'!AC97</f>
        <v>1822.2107908876901</v>
      </c>
      <c r="AD97">
        <f>'Costing 100 Lmin Feed Orig'!AD97</f>
        <v>2662.6059073104898</v>
      </c>
      <c r="AE97">
        <f>'Costing 100 Lmin Feed Orig'!AE97</f>
        <v>2401.5030938442701</v>
      </c>
      <c r="AF97">
        <f>'Costing 100 Lmin Feed Orig'!AF97</f>
        <v>9</v>
      </c>
      <c r="AG97">
        <f>'Costing 100 Lmin Feed Orig'!AG97</f>
        <v>1.6497575706444501E-3</v>
      </c>
      <c r="AH97">
        <f>'Costing 100 Lmin Feed Orig'!AH97</f>
        <v>1.66899983148883E-3</v>
      </c>
      <c r="AI97">
        <f>'Costing 100 Lmin Feed Orig'!AI97</f>
        <v>5.28356837386519E-6</v>
      </c>
      <c r="AJ97">
        <f>'Costing 100 Lmin Feed Orig'!AJ97</f>
        <v>0</v>
      </c>
      <c r="AK97">
        <f>'Costing 100 Lmin Feed Orig'!AK97</f>
        <v>0</v>
      </c>
      <c r="AL97">
        <f>'Costing 100 Lmin Feed Orig'!AL97</f>
        <v>0</v>
      </c>
      <c r="AM97">
        <f>'Costing 100 Lmin Feed Orig'!AM97</f>
        <v>1.6127956996690499E-3</v>
      </c>
      <c r="AN97">
        <f>'Costing 100 Lmin Feed Orig'!AN97</f>
        <v>7.9635176101710897E-5</v>
      </c>
      <c r="AO97">
        <f>'Costing 100 Lmin Feed Orig'!AO97</f>
        <v>5.24880805907295E-6</v>
      </c>
      <c r="AP97">
        <f>'Costing 100 Lmin Feed Orig'!AP97</f>
        <v>1.7337624010389399E-3</v>
      </c>
      <c r="AQ97">
        <f>'Costing 100 Lmin Feed Orig'!AQ97</f>
        <v>7.4551980415071106E-2</v>
      </c>
      <c r="AR97">
        <f>'Costing 100 Lmin Feed Orig'!AR97</f>
        <v>1.6304944864730899E-6</v>
      </c>
      <c r="AS97">
        <f>'Costing 100 Lmin Feed Orig'!AS97</f>
        <v>3.6971294081755701E-17</v>
      </c>
      <c r="AT97">
        <f>'Costing 100 Lmin Feed Orig'!AT97</f>
        <v>-4.8275185932089499E-15</v>
      </c>
      <c r="AU97">
        <f>'Costing 100 Lmin Feed Orig'!AU97</f>
        <v>-1.13158307797254E-21</v>
      </c>
      <c r="AV97">
        <f>'Costing 100 Lmin Feed Orig'!AV97</f>
        <v>0.19689446808536701</v>
      </c>
      <c r="AW97">
        <f>'Costing 100 Lmin Feed Orig'!AW97</f>
        <v>99.342105328584793</v>
      </c>
      <c r="AX97">
        <f>'Costing 100 Lmin Feed Orig'!AX97</f>
        <v>500</v>
      </c>
      <c r="AY97">
        <f>'Costing 100 Lmin Feed Orig'!AY97</f>
        <v>95</v>
      </c>
      <c r="AZ97">
        <f>'Costing 100 Lmin Feed Orig'!AZ97</f>
        <v>0.92356857683566096</v>
      </c>
      <c r="BA97">
        <f>'Costing 100 Lmin Feed Orig'!BA97</f>
        <v>0.1</v>
      </c>
      <c r="BB97">
        <f>'Costing 100 Lmin Feed Orig'!BB97</f>
        <v>46.906781374641298</v>
      </c>
      <c r="BC97" t="str">
        <f>'Costing 100 Lmin Feed Orig'!BC97</f>
        <v>coeFc</v>
      </c>
      <c r="BD97">
        <f>'Costing 100 Lmin Feed Orig'!BD97</f>
        <v>1</v>
      </c>
      <c r="BE97">
        <f>'Costing 100 Lmin Feed Orig'!BE97</f>
        <v>1.8775014999999999E-2</v>
      </c>
      <c r="BF97">
        <f>'Costing 100 Lmin Feed Orig'!BF97</f>
        <v>0.10492961100000001</v>
      </c>
      <c r="BG97">
        <f>'Costing 100 Lmin Feed Orig'!BG97</f>
        <v>1.814625E-3</v>
      </c>
      <c r="BH97">
        <f>'Costing 100 Lmin Feed Orig'!BH97</f>
        <v>285.1951444</v>
      </c>
      <c r="BI97">
        <f>'Costing 100 Lmin Feed Orig'!BI97</f>
        <v>2169.8944889999998</v>
      </c>
      <c r="BJ97">
        <f>'Costing 100 Lmin Feed Orig'!BJ97</f>
        <v>866.49409060000005</v>
      </c>
      <c r="BK97">
        <f>'Costing 100 Lmin Feed Orig'!BK97</f>
        <v>100</v>
      </c>
      <c r="BL97">
        <f>'Costing 100 Lmin Feed Orig'!BL97</f>
        <v>10.952322309941399</v>
      </c>
      <c r="BM97">
        <f>'Costing 100 Lmin Feed Orig'!BM97</f>
        <v>92.356857683566091</v>
      </c>
      <c r="BN97">
        <f>'Costing 100 Lmin Feed Orig'!BN97</f>
        <v>19.689446808536701</v>
      </c>
      <c r="BO97">
        <f t="shared" si="22"/>
        <v>306.6650246783592</v>
      </c>
      <c r="BP97">
        <f t="shared" si="23"/>
        <v>433.16782978780742</v>
      </c>
      <c r="BQ97">
        <f t="shared" si="24"/>
        <v>30.666502467835922</v>
      </c>
      <c r="BR97">
        <f t="shared" si="25"/>
        <v>43.316782978780743</v>
      </c>
      <c r="BS97">
        <f>1.2*0.5*BL97*V97/'Oxidant Feed Composition'!$N$22</f>
        <v>6.5713933859648392</v>
      </c>
      <c r="BT97">
        <f>1.2*0.5*BN97*BA97/'Oxidant Feed Composition'!$N$22</f>
        <v>11.813668085122019</v>
      </c>
      <c r="BU97">
        <f t="shared" si="26"/>
        <v>5.4761611549706997</v>
      </c>
      <c r="BV97">
        <f t="shared" si="27"/>
        <v>9.8447234042683505</v>
      </c>
      <c r="BW97">
        <f t="shared" si="28"/>
        <v>86.880696528595394</v>
      </c>
      <c r="BX97">
        <f t="shared" si="21"/>
        <v>35.047431391812481</v>
      </c>
      <c r="BY97">
        <f t="shared" si="29"/>
        <v>206.61835998701497</v>
      </c>
      <c r="BZ97">
        <f t="shared" si="30"/>
        <v>63.006229787317437</v>
      </c>
      <c r="CA97">
        <f t="shared" si="31"/>
        <v>59.068340425610103</v>
      </c>
      <c r="CB97">
        <f>BO97*'Reagent cost'!$G$11*'Reagent cost'!$H$11</f>
        <v>4047.9783257543413</v>
      </c>
      <c r="CC97">
        <f>BP97*'Reagent cost'!$G$11*'Reagent cost'!$H$11</f>
        <v>5717.8153531990583</v>
      </c>
      <c r="CD97">
        <f>BQ97*'Reagent cost'!$C$18/1000*'Reagent cost'!$H$18</f>
        <v>4890.707695899031</v>
      </c>
      <c r="CE97">
        <f>BR97*'Ligand cost'!$B$56*'Ligand cost'!$J$56</f>
        <v>44102.018008939682</v>
      </c>
      <c r="CF97">
        <f t="shared" si="32"/>
        <v>10</v>
      </c>
      <c r="CG97">
        <f t="shared" si="33"/>
        <v>2.19046446198828</v>
      </c>
      <c r="CH97">
        <f t="shared" si="34"/>
        <v>3.9378893617073403</v>
      </c>
      <c r="CI97">
        <f>7963.6*(BX97/1000)^0.6*1.7*('CAPEX+OPEX'!$G$116/'CAPEX+OPEX'!$G$115)</f>
        <v>2138.1326451989207</v>
      </c>
      <c r="CJ97">
        <f>7963.6*(BY97/1000)^0.6*1.7*('CAPEX+OPEX'!$G$116/'CAPEX+OPEX'!$G$115)</f>
        <v>6199.2945816251477</v>
      </c>
      <c r="CK97">
        <f>7963.6*(BZ97/1000)^0.6*1.7*('CAPEX+OPEX'!$G$116/'CAPEX+OPEX'!$G$115)</f>
        <v>3039.9820798045407</v>
      </c>
      <c r="CL97">
        <f>7963.6*(CA97/1000)^0.6*1.7*('CAPEX+OPEX'!$G$116/'CAPEX+OPEX'!$G$115)</f>
        <v>2924.5145699424716</v>
      </c>
      <c r="CM97">
        <f>'Costing 100 Lmin Feed Orig'!DE97</f>
        <v>39625.826528698344</v>
      </c>
      <c r="CN97">
        <f>'Costing 100 Lmin Feed Orig'!DF97</f>
        <v>4586243.4239371875</v>
      </c>
      <c r="CO97">
        <f>'Costing 100 Lmin Feed Orig'!DG97</f>
        <v>11794834.586807497</v>
      </c>
      <c r="CP97">
        <f>'Costing 100 Lmin Feed Orig'!DH97</f>
        <v>2275209.1661185985</v>
      </c>
      <c r="CQ97">
        <f>'Costing 100 Lmin Feed Orig'!DI97</f>
        <v>14083914.336508472</v>
      </c>
      <c r="CR97">
        <f>'Costing 100 Lmin Feed Orig'!DJ97</f>
        <v>1662824.8986326549</v>
      </c>
      <c r="CS97">
        <f>CN97*(BK97/10000)^0.72*((A97+1)/3)^0.6*('CAPEX+OPEX'!$G$116/'CAPEX+OPEX'!$G$114)</f>
        <v>936765.86395108781</v>
      </c>
      <c r="CT97">
        <f>CO97*(BK97/10000)^0.72*((A97+1)/3)^0.6*('CAPEX+OPEX'!$G$116/'CAPEX+OPEX'!$G$114)</f>
        <v>2409160.916797909</v>
      </c>
      <c r="CU97">
        <f>CP97*(BK97/10000)^0.72*((A97+1)/3)^0.6*('CAPEX+OPEX'!$G$116/'CAPEX+OPEX'!$G$114)</f>
        <v>464724.19432521454</v>
      </c>
      <c r="CV97">
        <f>CQ97*(BK97/10000)^0.72*((A97+1)/3)^0.6*('CAPEX+OPEX'!$G$116/'CAPEX+OPEX'!$G$114)</f>
        <v>2876718.2553791031</v>
      </c>
      <c r="CW97">
        <f>CR97*(BK97/10000)^0.72*((A97+1)/3)^0.6*('CAPEX+OPEX'!$G$116/'CAPEX+OPEX'!$G$114)</f>
        <v>339641.28346021532</v>
      </c>
      <c r="CX97">
        <f t="shared" si="35"/>
        <v>7027010.5139135299</v>
      </c>
      <c r="CY97">
        <f>CN97*(BM97/10000)^0.72*((AF97+1)/3)^0.6*('CAPEX+OPEX'!$G$116/'CAPEX+OPEX'!$G$114)</f>
        <v>755792.94187780574</v>
      </c>
      <c r="CZ97">
        <f>CO97*(BM97/10000)^0.72*((AF97+1)/3)^0.6*('CAPEX+OPEX'!$G$116/'CAPEX+OPEX'!$G$114)</f>
        <v>1943737.3700658206</v>
      </c>
      <c r="DA97">
        <f>CP97*(BM97/10000)^0.72*((AF97+1)/3)^0.6*('CAPEX+OPEX'!$G$116/'CAPEX+OPEX'!$G$114)</f>
        <v>374944.56139702629</v>
      </c>
      <c r="DB97">
        <f>CQ97*(BM97/10000)^0.72*((AF97+1)/3)^0.6*('CAPEX+OPEX'!$G$116/'CAPEX+OPEX'!$G$114)</f>
        <v>2320967.7432269086</v>
      </c>
      <c r="DC97">
        <f>CR97*(BM97/10000)^0.72*((AF97+1)/3)^0.6*('CAPEX+OPEX'!$G$116/'CAPEX+OPEX'!$G$114)</f>
        <v>274026.30122200225</v>
      </c>
      <c r="DD97">
        <f t="shared" si="36"/>
        <v>5669468.9177895635</v>
      </c>
      <c r="DE97">
        <f>CX97+DD97+1.15*(SUM(CI97:CL97)+SUM(CB97:CE97))</f>
        <v>12780498.941452513</v>
      </c>
      <c r="DF97">
        <f t="shared" si="37"/>
        <v>852033.2627635008</v>
      </c>
      <c r="DG97">
        <f>(BS97+BT97)*'Oxidant Feed Composition'!$N$25*60*7200</f>
        <v>14806468.099702947</v>
      </c>
      <c r="DH97">
        <f>((CG97+CH97)*'Reagent cost'!$C$17/1000*'Reagent cost'!$H$17+(CG97+CH97)*0.5*'Reagent cost'!$C$16/1000*'Reagent cost'!$H$16)*60*7200</f>
        <v>5900713.4244387643</v>
      </c>
      <c r="DI97">
        <f>CF97*'Reagent cost'!$C$17/1000*'Reagent cost'!$H$17*60*7200</f>
        <v>504921.59999999998</v>
      </c>
      <c r="DJ97">
        <f t="shared" si="38"/>
        <v>97.657936789534006</v>
      </c>
      <c r="DK97">
        <f t="shared" si="39"/>
        <v>979.85451409677421</v>
      </c>
      <c r="DL97">
        <f t="shared" si="40"/>
        <v>25455816.763911117</v>
      </c>
      <c r="DM97">
        <f>BK97*(B97*(409.81+2)/1000+C97*(248.2+2*22.99)/1000+D97*(315.6+3*22.99)/1000+0.1*58.44/1000)</f>
        <v>0.70639694042110623</v>
      </c>
      <c r="DN97">
        <f>(BS97+BT97)/1000*('Oxidant Feed Composition'!$B$11*'Oxidant Feed Composition'!$O$20+'Oxidant Feed Composition'!$D$11*'Oxidant Feed Composition'!$O$21+'Oxidant Feed Composition'!$F$11*'Oxidant Feed Composition'!$O$27-'Oxidant Feed Composition'!$J$15*18.015)</f>
        <v>2.1470909467726016</v>
      </c>
      <c r="DO97">
        <f>(BU97+BV97)/1000*(0.2*368.34+0.4*58.44)</f>
        <v>1.4867999211667944</v>
      </c>
      <c r="DP97">
        <f>BK97/1000*(B97*195.08+C97*106.42+D97*102.91)</f>
        <v>4.999938342565946E-2</v>
      </c>
      <c r="DQ97">
        <f>SUM(DM97:DO97)-DP97</f>
        <v>4.2902884249348423</v>
      </c>
      <c r="DR97">
        <f>DQ97*60*7200*0.33</f>
        <v>611623.51785871107</v>
      </c>
      <c r="DS97">
        <v>1.2</v>
      </c>
      <c r="DT97">
        <f>BM97/60*(AM97*4+AN97*2+AO97*3)*96485/DV97</f>
        <v>1405.8667878594886</v>
      </c>
      <c r="DU97">
        <f>BN97*BA97*(AP97*4+AQ97*2+AR97*3)*96485/DV97/60</f>
        <v>705.81490718071291</v>
      </c>
      <c r="DV97">
        <v>0.7</v>
      </c>
      <c r="DW97">
        <f>0.499*((BK97/3.78541*15)^(-0.146))*BK97/3.78541*15*300*(1+(A97-2)/9)</f>
        <v>52288.524762496963</v>
      </c>
      <c r="DX97">
        <f>0.248*((BK97/3.78541*15)^(-0.144))*BK97/3.78541*15*300*(1+(A97-2)/3)</f>
        <v>53983.928663982973</v>
      </c>
      <c r="DY97">
        <f>0.105*((BK97/3.78541*15)^(-0.144))*BK97/3.78541*15*300*(1+(A97-2)/3)</f>
        <v>22856.098829508919</v>
      </c>
      <c r="DZ97">
        <f>0.058*((BK97/3.78541*15)^(-0.151))*BK97/3.78541*15*300*(1+(A97-2)/3)</f>
        <v>12107.513206066582</v>
      </c>
      <c r="EA97">
        <f>0.056*((BK97/3.78541*15)^(-0.144))*BK97/3.78541*15*300*(1+(A97-2)/3)</f>
        <v>12189.919375738094</v>
      </c>
      <c r="EB97">
        <f>DS97*DT97/(3.6*10^6)*3600*7200*0.07</f>
        <v>850.26823329741865</v>
      </c>
      <c r="EC97">
        <f>0.499*((BM97/3.78541*15)^(-0.146))*BM97/3.78541*15*300*(1+(AF97-2)/9)</f>
        <v>41141.812761386027</v>
      </c>
      <c r="ED97">
        <f>0.248*((BM97/3.78541*15)^(-0.144))*BM97/3.78541*15*300*(1+(AF97-2)/3)</f>
        <v>38793.836008203594</v>
      </c>
      <c r="EE97">
        <f>0.105*((BM97/3.78541*15)^(-0.144))*BM97/3.78541*15*300*(1+(AF97-2)/3)</f>
        <v>16424.809600247485</v>
      </c>
      <c r="EF97">
        <f>0.058*((BM97/3.78541*15)^(-0.151))*BM97/3.78541*15*300*(1+(AF97-2)/3)</f>
        <v>8705.5237754793434</v>
      </c>
      <c r="EG97">
        <f>0.056*((BM97/3.78541*15)^(-0.144))*BM97/3.78541*15*300*(1+(AF97-2)/3)</f>
        <v>8759.8984534653282</v>
      </c>
      <c r="EH97">
        <f>DS97*DU97/(3.6*10^6)*3600*7200*0.07</f>
        <v>426.87685586289518</v>
      </c>
      <c r="EI97">
        <f>SUM(DW97:EH97)</f>
        <v>268529.01052573568</v>
      </c>
      <c r="EJ97">
        <f>EI97+DR97+DL97</f>
        <v>26335969.292295564</v>
      </c>
      <c r="EK97">
        <f>EJ97+DF97</f>
        <v>27188002.555059064</v>
      </c>
      <c r="EL97">
        <f>EK97/(BK97*60*7200)</f>
        <v>0.6293519109967376</v>
      </c>
      <c r="EM97">
        <f>EK97/(BM97*(AM97*195.084/1000+AN97*106.42/1000+AO97*102.911/1000)*60*7200)</f>
        <v>2105.4975371961882</v>
      </c>
      <c r="EN97">
        <f>EK97/(BN97*BA97*(AP97*195.084/1000+AQ97*106.42/1000+AR97*102.911/1000)*60*7200)</f>
        <v>3864.0080710961365</v>
      </c>
    </row>
    <row r="98" spans="1:144">
      <c r="A98">
        <f>'Costing 100 Lmin Feed Orig'!A98</f>
        <v>12</v>
      </c>
      <c r="B98">
        <f>'Costing 100 Lmin Feed Orig'!B98</f>
        <v>1.54143585092054E-3</v>
      </c>
      <c r="C98">
        <f>'Costing 100 Lmin Feed Orig'!C98</f>
        <v>1.54143585092054E-3</v>
      </c>
      <c r="D98">
        <f>'Costing 100 Lmin Feed Orig'!D98</f>
        <v>3.4254130020456501E-4</v>
      </c>
      <c r="E98">
        <f>'Costing 100 Lmin Feed Orig'!E98</f>
        <v>0</v>
      </c>
      <c r="F98">
        <f>'Costing 100 Lmin Feed Orig'!F98</f>
        <v>0</v>
      </c>
      <c r="G98">
        <f>'Costing 100 Lmin Feed Orig'!G98</f>
        <v>0</v>
      </c>
      <c r="H98">
        <f>'Costing 100 Lmin Feed Orig'!H98</f>
        <v>1.7771599281349402E-5</v>
      </c>
      <c r="I98">
        <f>'Costing 100 Lmin Feed Orig'!I98</f>
        <v>6.3113732322488897E-11</v>
      </c>
      <c r="J98">
        <f>'Costing 100 Lmin Feed Orig'!J98</f>
        <v>3.37661562480901E-4</v>
      </c>
      <c r="K98">
        <f>'Costing 100 Lmin Feed Orig'!K98</f>
        <v>0.13911791568267901</v>
      </c>
      <c r="L98">
        <f>'Costing 100 Lmin Feed Orig'!L98</f>
        <v>0.140740543921716</v>
      </c>
      <c r="M98">
        <f>'Costing 100 Lmin Feed Orig'!M98</f>
        <v>4.45543656000266E-4</v>
      </c>
      <c r="N98">
        <f>'Costing 100 Lmin Feed Orig'!N98</f>
        <v>-4.7646348672047899E-15</v>
      </c>
      <c r="O98">
        <f>'Costing 100 Lmin Feed Orig'!O98</f>
        <v>-1.1300289697036E-11</v>
      </c>
      <c r="P98">
        <f>'Costing 100 Lmin Feed Orig'!P98</f>
        <v>-4.6756218688437302E-19</v>
      </c>
      <c r="Q98">
        <f>'Costing 100 Lmin Feed Orig'!Q98</f>
        <v>0.10952322309941399</v>
      </c>
      <c r="R98">
        <f>'Costing 100 Lmin Feed Orig'!R98</f>
        <v>98.575430839799395</v>
      </c>
      <c r="S98">
        <f>'Costing 100 Lmin Feed Orig'!S98</f>
        <v>500</v>
      </c>
      <c r="T98">
        <f>'Costing 100 Lmin Feed Orig'!T98</f>
        <v>95</v>
      </c>
      <c r="U98">
        <f>'Costing 100 Lmin Feed Orig'!U98</f>
        <v>1</v>
      </c>
      <c r="V98">
        <f>'Costing 100 Lmin Feed Orig'!V98</f>
        <v>0.1</v>
      </c>
      <c r="W98">
        <f>'Costing 100 Lmin Feed Orig'!W98</f>
        <v>91.304836700459305</v>
      </c>
      <c r="X98" t="str">
        <f>'Costing 100 Lmin Feed Orig'!X98</f>
        <v>ddFc</v>
      </c>
      <c r="Y98">
        <f>'Costing 100 Lmin Feed Orig'!Y98</f>
        <v>1</v>
      </c>
      <c r="Z98">
        <f>'Costing 100 Lmin Feed Orig'!Z98</f>
        <v>0.28318429382522198</v>
      </c>
      <c r="AA98">
        <f>'Costing 100 Lmin Feed Orig'!AA98</f>
        <v>0.56945642916197003</v>
      </c>
      <c r="AB98">
        <f>'Costing 100 Lmin Feed Orig'!AB98</f>
        <v>3.7698628972227502E-3</v>
      </c>
      <c r="AC98">
        <f>'Costing 100 Lmin Feed Orig'!AC98</f>
        <v>1822.2107908876901</v>
      </c>
      <c r="AD98">
        <f>'Costing 100 Lmin Feed Orig'!AD98</f>
        <v>2662.6059073104898</v>
      </c>
      <c r="AE98">
        <f>'Costing 100 Lmin Feed Orig'!AE98</f>
        <v>2401.5030938442701</v>
      </c>
      <c r="AF98">
        <f>'Costing 100 Lmin Feed Orig'!AF98</f>
        <v>10</v>
      </c>
      <c r="AG98">
        <f>'Costing 100 Lmin Feed Orig'!AG98</f>
        <v>1.6497575706444501E-3</v>
      </c>
      <c r="AH98">
        <f>'Costing 100 Lmin Feed Orig'!AH98</f>
        <v>1.66899983148883E-3</v>
      </c>
      <c r="AI98">
        <f>'Costing 100 Lmin Feed Orig'!AI98</f>
        <v>5.28356837386519E-6</v>
      </c>
      <c r="AJ98">
        <f>'Costing 100 Lmin Feed Orig'!AJ98</f>
        <v>0</v>
      </c>
      <c r="AK98">
        <f>'Costing 100 Lmin Feed Orig'!AK98</f>
        <v>0</v>
      </c>
      <c r="AL98">
        <f>'Costing 100 Lmin Feed Orig'!AL98</f>
        <v>0</v>
      </c>
      <c r="AM98">
        <f>'Costing 100 Lmin Feed Orig'!AM98</f>
        <v>1.61280677346842E-3</v>
      </c>
      <c r="AN98">
        <f>'Costing 100 Lmin Feed Orig'!AN98</f>
        <v>7.9635748983234095E-5</v>
      </c>
      <c r="AO98">
        <f>'Costing 100 Lmin Feed Orig'!AO98</f>
        <v>5.2488180406069303E-6</v>
      </c>
      <c r="AP98">
        <f>'Costing 100 Lmin Feed Orig'!AP98</f>
        <v>1.73338788049E-3</v>
      </c>
      <c r="AQ98">
        <f>'Costing 100 Lmin Feed Orig'!AQ98</f>
        <v>7.4558186846967897E-2</v>
      </c>
      <c r="AR98">
        <f>'Costing 100 Lmin Feed Orig'!AR98</f>
        <v>1.6301625709626699E-6</v>
      </c>
      <c r="AS98">
        <f>'Costing 100 Lmin Feed Orig'!AS98</f>
        <v>6.15638453844297E-15</v>
      </c>
      <c r="AT98">
        <f>'Costing 100 Lmin Feed Orig'!AT98</f>
        <v>-6.3767177302387295E-13</v>
      </c>
      <c r="AU98">
        <f>'Costing 100 Lmin Feed Orig'!AU98</f>
        <v>5.9788614675332804E-20</v>
      </c>
      <c r="AV98">
        <f>'Costing 100 Lmin Feed Orig'!AV98</f>
        <v>0.19687800716022599</v>
      </c>
      <c r="AW98">
        <f>'Costing 100 Lmin Feed Orig'!AW98</f>
        <v>99.342294245113806</v>
      </c>
      <c r="AX98">
        <f>'Costing 100 Lmin Feed Orig'!AX98</f>
        <v>500</v>
      </c>
      <c r="AY98">
        <f>'Costing 100 Lmin Feed Orig'!AY98</f>
        <v>95</v>
      </c>
      <c r="AZ98">
        <f>'Costing 100 Lmin Feed Orig'!AZ98</f>
        <v>0.92356857683566096</v>
      </c>
      <c r="BA98">
        <f>'Costing 100 Lmin Feed Orig'!BA98</f>
        <v>0.1</v>
      </c>
      <c r="BB98">
        <f>'Costing 100 Lmin Feed Orig'!BB98</f>
        <v>46.910703239901501</v>
      </c>
      <c r="BC98" t="str">
        <f>'Costing 100 Lmin Feed Orig'!BC98</f>
        <v>coeFc</v>
      </c>
      <c r="BD98">
        <f>'Costing 100 Lmin Feed Orig'!BD98</f>
        <v>1</v>
      </c>
      <c r="BE98">
        <f>'Costing 100 Lmin Feed Orig'!BE98</f>
        <v>1.8775014999999999E-2</v>
      </c>
      <c r="BF98">
        <f>'Costing 100 Lmin Feed Orig'!BF98</f>
        <v>0.10492961100000001</v>
      </c>
      <c r="BG98">
        <f>'Costing 100 Lmin Feed Orig'!BG98</f>
        <v>1.814625E-3</v>
      </c>
      <c r="BH98">
        <f>'Costing 100 Lmin Feed Orig'!BH98</f>
        <v>285.1951444</v>
      </c>
      <c r="BI98">
        <f>'Costing 100 Lmin Feed Orig'!BI98</f>
        <v>2169.8944889999998</v>
      </c>
      <c r="BJ98">
        <f>'Costing 100 Lmin Feed Orig'!BJ98</f>
        <v>866.49409060000005</v>
      </c>
      <c r="BK98">
        <f>'Costing 100 Lmin Feed Orig'!BK98</f>
        <v>100</v>
      </c>
      <c r="BL98">
        <f>'Costing 100 Lmin Feed Orig'!BL98</f>
        <v>10.952322309941399</v>
      </c>
      <c r="BM98">
        <f>'Costing 100 Lmin Feed Orig'!BM98</f>
        <v>92.356857683566091</v>
      </c>
      <c r="BN98">
        <f>'Costing 100 Lmin Feed Orig'!BN98</f>
        <v>19.687800716022601</v>
      </c>
      <c r="BO98">
        <f t="shared" si="22"/>
        <v>306.6650246783592</v>
      </c>
      <c r="BP98">
        <f t="shared" si="23"/>
        <v>472.50721718454241</v>
      </c>
      <c r="BQ98">
        <f t="shared" si="24"/>
        <v>30.666502467835922</v>
      </c>
      <c r="BR98">
        <f t="shared" si="25"/>
        <v>47.250721718454244</v>
      </c>
      <c r="BS98">
        <f>1.2*0.5*BL98*V98/'Oxidant Feed Composition'!$N$22</f>
        <v>6.5713933859648392</v>
      </c>
      <c r="BT98">
        <f>1.2*0.5*BN98*BA98/'Oxidant Feed Composition'!$N$22</f>
        <v>11.812680429613559</v>
      </c>
      <c r="BU98">
        <f t="shared" si="26"/>
        <v>5.4761611549706997</v>
      </c>
      <c r="BV98">
        <f t="shared" si="27"/>
        <v>9.8439003580113003</v>
      </c>
      <c r="BW98">
        <f t="shared" si="28"/>
        <v>86.880696528595394</v>
      </c>
      <c r="BX98">
        <f t="shared" si="21"/>
        <v>35.047431391812481</v>
      </c>
      <c r="BY98">
        <f t="shared" si="29"/>
        <v>206.61835998701497</v>
      </c>
      <c r="BZ98">
        <f t="shared" si="30"/>
        <v>63.000962291272316</v>
      </c>
      <c r="CA98">
        <f t="shared" si="31"/>
        <v>59.063402148067802</v>
      </c>
      <c r="CB98">
        <f>BO98*'Reagent cost'!$G$11*'Reagent cost'!$H$11</f>
        <v>4047.9783257543413</v>
      </c>
      <c r="CC98">
        <f>BP98*'Reagent cost'!$G$11*'Reagent cost'!$H$11</f>
        <v>6237.0952668359596</v>
      </c>
      <c r="CD98">
        <f>BQ98*'Reagent cost'!$C$18/1000*'Reagent cost'!$H$18</f>
        <v>4890.707695899031</v>
      </c>
      <c r="CE98">
        <f>BR98*'Ligand cost'!$B$56*'Ligand cost'!$J$56</f>
        <v>48107.270135537699</v>
      </c>
      <c r="CF98">
        <f t="shared" si="32"/>
        <v>10</v>
      </c>
      <c r="CG98">
        <f t="shared" si="33"/>
        <v>2.19046446198828</v>
      </c>
      <c r="CH98">
        <f t="shared" si="34"/>
        <v>3.9375601432045202</v>
      </c>
      <c r="CI98">
        <f>7963.6*(BX98/1000)^0.6*1.7*('CAPEX+OPEX'!$G$116/'CAPEX+OPEX'!$G$115)</f>
        <v>2138.1326451989207</v>
      </c>
      <c r="CJ98">
        <f>7963.6*(BY98/1000)^0.6*1.7*('CAPEX+OPEX'!$G$116/'CAPEX+OPEX'!$G$115)</f>
        <v>6199.2945816251477</v>
      </c>
      <c r="CK98">
        <f>7963.6*(BZ98/1000)^0.6*1.7*('CAPEX+OPEX'!$G$116/'CAPEX+OPEX'!$G$115)</f>
        <v>3039.8295866806543</v>
      </c>
      <c r="CL98">
        <f>7963.6*(CA98/1000)^0.6*1.7*('CAPEX+OPEX'!$G$116/'CAPEX+OPEX'!$G$115)</f>
        <v>2924.3678689584149</v>
      </c>
      <c r="CM98">
        <f>'Costing 100 Lmin Feed Orig'!DE98</f>
        <v>39625.826528698344</v>
      </c>
      <c r="CN98">
        <f>'Costing 100 Lmin Feed Orig'!DF98</f>
        <v>4586243.4239371875</v>
      </c>
      <c r="CO98">
        <f>'Costing 100 Lmin Feed Orig'!DG98</f>
        <v>11794834.586807497</v>
      </c>
      <c r="CP98">
        <f>'Costing 100 Lmin Feed Orig'!DH98</f>
        <v>2275209.1661185985</v>
      </c>
      <c r="CQ98">
        <f>'Costing 100 Lmin Feed Orig'!DI98</f>
        <v>14083914.336508472</v>
      </c>
      <c r="CR98">
        <f>'Costing 100 Lmin Feed Orig'!DJ98</f>
        <v>1662824.8986326549</v>
      </c>
      <c r="CS98">
        <f>CN98*(BK98/10000)^0.72*((A98+1)/3)^0.6*('CAPEX+OPEX'!$G$116/'CAPEX+OPEX'!$G$114)</f>
        <v>936765.86395108781</v>
      </c>
      <c r="CT98">
        <f>CO98*(BK98/10000)^0.72*((A98+1)/3)^0.6*('CAPEX+OPEX'!$G$116/'CAPEX+OPEX'!$G$114)</f>
        <v>2409160.916797909</v>
      </c>
      <c r="CU98">
        <f>CP98*(BK98/10000)^0.72*((A98+1)/3)^0.6*('CAPEX+OPEX'!$G$116/'CAPEX+OPEX'!$G$114)</f>
        <v>464724.19432521454</v>
      </c>
      <c r="CV98">
        <f>CQ98*(BK98/10000)^0.72*((A98+1)/3)^0.6*('CAPEX+OPEX'!$G$116/'CAPEX+OPEX'!$G$114)</f>
        <v>2876718.2553791031</v>
      </c>
      <c r="CW98">
        <f>CR98*(BK98/10000)^0.72*((A98+1)/3)^0.6*('CAPEX+OPEX'!$G$116/'CAPEX+OPEX'!$G$114)</f>
        <v>339641.28346021532</v>
      </c>
      <c r="CX98">
        <f t="shared" si="35"/>
        <v>7027010.5139135299</v>
      </c>
      <c r="CY98">
        <f>CN98*(BM98/10000)^0.72*((AF98+1)/3)^0.6*('CAPEX+OPEX'!$G$116/'CAPEX+OPEX'!$G$114)</f>
        <v>800273.51272546337</v>
      </c>
      <c r="CZ98">
        <f>CO98*(BM98/10000)^0.72*((AF98+1)/3)^0.6*('CAPEX+OPEX'!$G$116/'CAPEX+OPEX'!$G$114)</f>
        <v>2058131.8596248808</v>
      </c>
      <c r="DA98">
        <f>CP98*(BM98/10000)^0.72*((AF98+1)/3)^0.6*('CAPEX+OPEX'!$G$116/'CAPEX+OPEX'!$G$114)</f>
        <v>397011.11852274858</v>
      </c>
      <c r="DB98">
        <f>CQ98*(BM98/10000)^0.72*((AF98+1)/3)^0.6*('CAPEX+OPEX'!$G$116/'CAPEX+OPEX'!$G$114)</f>
        <v>2457563.3164552483</v>
      </c>
      <c r="DC98">
        <f>CR98*(BM98/10000)^0.72*((AF98+1)/3)^0.6*('CAPEX+OPEX'!$G$116/'CAPEX+OPEX'!$G$114)</f>
        <v>290153.53082452138</v>
      </c>
      <c r="DD98">
        <f t="shared" si="36"/>
        <v>6003133.3381528631</v>
      </c>
      <c r="DE98">
        <f>CX98+DD98+1.15*(SUM(CI98:CL98)+SUM(CB98:CE98))</f>
        <v>13119366.229588857</v>
      </c>
      <c r="DF98">
        <f t="shared" si="37"/>
        <v>874624.41530592379</v>
      </c>
      <c r="DG98">
        <f>(BS98+BT98)*'Oxidant Feed Composition'!$N$25*60*7200</f>
        <v>14805672.688178079</v>
      </c>
      <c r="DH98">
        <f>((CG98+CH98)*'Reagent cost'!$C$17/1000*'Reagent cost'!$H$17+(CG98+CH98)*0.5*'Reagent cost'!$C$16/1000*'Reagent cost'!$H$16)*60*7200</f>
        <v>5900396.4349020869</v>
      </c>
      <c r="DI98">
        <f>CF98*'Reagent cost'!$C$17/1000*'Reagent cost'!$H$17*60*7200</f>
        <v>504921.59999999998</v>
      </c>
      <c r="DJ98">
        <f t="shared" si="38"/>
        <v>102.85073592590301</v>
      </c>
      <c r="DK98">
        <f t="shared" si="39"/>
        <v>1059.9595566287346</v>
      </c>
      <c r="DL98">
        <f t="shared" si="40"/>
        <v>25454584.240047261</v>
      </c>
      <c r="DM98">
        <f>BK98*(B98*(409.81+2)/1000+C98*(248.2+2*22.99)/1000+D98*(315.6+3*22.99)/1000+0.1*58.44/1000)</f>
        <v>0.70639694042110623</v>
      </c>
      <c r="DN98">
        <f>(BS98+BT98)/1000*('Oxidant Feed Composition'!$B$11*'Oxidant Feed Composition'!$O$20+'Oxidant Feed Composition'!$D$11*'Oxidant Feed Composition'!$O$21+'Oxidant Feed Composition'!$F$11*'Oxidant Feed Composition'!$O$27-'Oxidant Feed Composition'!$J$15*18.015)</f>
        <v>2.1469756038783676</v>
      </c>
      <c r="DO98">
        <f>(BU98+BV98)/1000*(0.2*368.34+0.4*58.44)</f>
        <v>1.4867200494658253</v>
      </c>
      <c r="DP98">
        <f>BK98/1000*(B98*195.08+C98*106.42+D98*102.91)</f>
        <v>4.999938342565946E-2</v>
      </c>
      <c r="DQ98">
        <f>SUM(DM98:DO98)-DP98</f>
        <v>4.2900932103396388</v>
      </c>
      <c r="DR98">
        <f>DQ98*60*7200*0.33</f>
        <v>611595.68806601898</v>
      </c>
      <c r="DS98">
        <v>1.2</v>
      </c>
      <c r="DT98">
        <f>BM98/60*(AM98*4+AN98*2+AO98*3)*96485/DV98</f>
        <v>1405.8764353255226</v>
      </c>
      <c r="DU98">
        <f>BN98*BA98*(AP98*4+AQ98*2+AR98*3)*96485/DV98/60</f>
        <v>705.8052599998191</v>
      </c>
      <c r="DV98">
        <v>0.7</v>
      </c>
      <c r="DW98">
        <f>0.499*((BK98/3.78541*15)^(-0.146))*BK98/3.78541*15*300*(1+(A98-2)/9)</f>
        <v>52288.524762496963</v>
      </c>
      <c r="DX98">
        <f>0.248*((BK98/3.78541*15)^(-0.144))*BK98/3.78541*15*300*(1+(A98-2)/3)</f>
        <v>53983.928663982973</v>
      </c>
      <c r="DY98">
        <f>0.105*((BK98/3.78541*15)^(-0.144))*BK98/3.78541*15*300*(1+(A98-2)/3)</f>
        <v>22856.098829508919</v>
      </c>
      <c r="DZ98">
        <f>0.058*((BK98/3.78541*15)^(-0.151))*BK98/3.78541*15*300*(1+(A98-2)/3)</f>
        <v>12107.513206066582</v>
      </c>
      <c r="EA98">
        <f>0.056*((BK98/3.78541*15)^(-0.144))*BK98/3.78541*15*300*(1+(A98-2)/3)</f>
        <v>12189.919375738094</v>
      </c>
      <c r="EB98">
        <f>DS98*DT98/(3.6*10^6)*3600*7200*0.07</f>
        <v>850.27406808487626</v>
      </c>
      <c r="EC98">
        <f>0.499*((BM98/3.78541*15)^(-0.146))*BM98/3.78541*15*300*(1+(AF98-2)/9)</f>
        <v>43713.176058972655</v>
      </c>
      <c r="ED98">
        <f>0.248*((BM98/3.78541*15)^(-0.144))*BM98/3.78541*15*300*(1+(AF98-2)/3)</f>
        <v>42673.219609023952</v>
      </c>
      <c r="EE98">
        <f>0.105*((BM98/3.78541*15)^(-0.144))*BM98/3.78541*15*300*(1+(AF98-2)/3)</f>
        <v>18067.290560272231</v>
      </c>
      <c r="EF98">
        <f>0.058*((BM98/3.78541*15)^(-0.151))*BM98/3.78541*15*300*(1+(AF98-2)/3)</f>
        <v>9576.0761530272775</v>
      </c>
      <c r="EG98">
        <f>0.056*((BM98/3.78541*15)^(-0.144))*BM98/3.78541*15*300*(1+(AF98-2)/3)</f>
        <v>9635.8882988118585</v>
      </c>
      <c r="EH98">
        <f>DS98*DU98/(3.6*10^6)*3600*7200*0.07</f>
        <v>426.87102124789061</v>
      </c>
      <c r="EI98">
        <f>SUM(DW98:EH98)</f>
        <v>278368.78060723428</v>
      </c>
      <c r="EJ98">
        <f>EI98+DR98+DL98</f>
        <v>26344548.708720513</v>
      </c>
      <c r="EK98">
        <f>EJ98+DF98</f>
        <v>27219173.124026436</v>
      </c>
      <c r="EL98">
        <f>EK98/(BK98*60*7200)</f>
        <v>0.63007345194505637</v>
      </c>
      <c r="EM98">
        <f>EK98/(BM98*(AM98*195.084/1000+AN98*106.42/1000+AO98*102.911/1000)*60*7200)</f>
        <v>2107.8969793753022</v>
      </c>
      <c r="EN98">
        <f>EK98/(BN98*BA98*(AP98*195.084/1000+AQ98*106.42/1000+AR98*102.911/1000)*60*7200)</f>
        <v>3868.4868355184963</v>
      </c>
    </row>
    <row r="99" spans="1:144">
      <c r="A99">
        <f>'Costing 100 Lmin Feed Orig'!A99</f>
        <v>12</v>
      </c>
      <c r="B99">
        <f>'Costing 100 Lmin Feed Orig'!B99</f>
        <v>1.54143585092054E-3</v>
      </c>
      <c r="C99">
        <f>'Costing 100 Lmin Feed Orig'!C99</f>
        <v>1.54143585092054E-3</v>
      </c>
      <c r="D99">
        <f>'Costing 100 Lmin Feed Orig'!D99</f>
        <v>3.4254130020456501E-4</v>
      </c>
      <c r="E99">
        <f>'Costing 100 Lmin Feed Orig'!E99</f>
        <v>0</v>
      </c>
      <c r="F99">
        <f>'Costing 100 Lmin Feed Orig'!F99</f>
        <v>0</v>
      </c>
      <c r="G99">
        <f>'Costing 100 Lmin Feed Orig'!G99</f>
        <v>0</v>
      </c>
      <c r="H99">
        <f>'Costing 100 Lmin Feed Orig'!H99</f>
        <v>1.7771599281349402E-5</v>
      </c>
      <c r="I99" s="53">
        <f>'Costing 100 Lmin Feed Orig'!I99</f>
        <v>6.3113732322488897E-11</v>
      </c>
      <c r="J99">
        <f>'Costing 100 Lmin Feed Orig'!J99</f>
        <v>3.37661562480901E-4</v>
      </c>
      <c r="K99">
        <f>'Costing 100 Lmin Feed Orig'!K99</f>
        <v>0.13911791568267901</v>
      </c>
      <c r="L99">
        <f>'Costing 100 Lmin Feed Orig'!L99</f>
        <v>0.140740543921716</v>
      </c>
      <c r="M99">
        <f>'Costing 100 Lmin Feed Orig'!M99</f>
        <v>4.45543656000266E-4</v>
      </c>
      <c r="N99">
        <f>'Costing 100 Lmin Feed Orig'!N99</f>
        <v>-4.7646348672047899E-15</v>
      </c>
      <c r="O99">
        <f>'Costing 100 Lmin Feed Orig'!O99</f>
        <v>-1.1300289697036E-11</v>
      </c>
      <c r="P99">
        <f>'Costing 100 Lmin Feed Orig'!P99</f>
        <v>-4.6756218688437302E-19</v>
      </c>
      <c r="Q99">
        <f>'Costing 100 Lmin Feed Orig'!Q99</f>
        <v>0.10952322309941399</v>
      </c>
      <c r="R99">
        <f>'Costing 100 Lmin Feed Orig'!R99</f>
        <v>98.575430839799395</v>
      </c>
      <c r="S99">
        <f>'Costing 100 Lmin Feed Orig'!S99</f>
        <v>500</v>
      </c>
      <c r="T99">
        <f>'Costing 100 Lmin Feed Orig'!T99</f>
        <v>95</v>
      </c>
      <c r="U99">
        <f>'Costing 100 Lmin Feed Orig'!U99</f>
        <v>1</v>
      </c>
      <c r="V99">
        <f>'Costing 100 Lmin Feed Orig'!V99</f>
        <v>0.1</v>
      </c>
      <c r="W99">
        <f>'Costing 100 Lmin Feed Orig'!W99</f>
        <v>91.304836700459305</v>
      </c>
      <c r="X99" t="str">
        <f>'Costing 100 Lmin Feed Orig'!X99</f>
        <v>ddFc</v>
      </c>
      <c r="Y99">
        <f>'Costing 100 Lmin Feed Orig'!Y99</f>
        <v>1</v>
      </c>
      <c r="Z99">
        <f>'Costing 100 Lmin Feed Orig'!Z99</f>
        <v>0.28318429382522198</v>
      </c>
      <c r="AA99">
        <f>'Costing 100 Lmin Feed Orig'!AA99</f>
        <v>0.56945642916197003</v>
      </c>
      <c r="AB99">
        <f>'Costing 100 Lmin Feed Orig'!AB99</f>
        <v>3.7698628972227502E-3</v>
      </c>
      <c r="AC99">
        <f>'Costing 100 Lmin Feed Orig'!AC99</f>
        <v>1822.2107908876901</v>
      </c>
      <c r="AD99">
        <f>'Costing 100 Lmin Feed Orig'!AD99</f>
        <v>2662.6059073104898</v>
      </c>
      <c r="AE99">
        <f>'Costing 100 Lmin Feed Orig'!AE99</f>
        <v>2401.5030938442701</v>
      </c>
      <c r="AF99">
        <f>'Costing 100 Lmin Feed Orig'!AF99</f>
        <v>11</v>
      </c>
      <c r="AG99">
        <f>'Costing 100 Lmin Feed Orig'!AG99</f>
        <v>1.6497575706444501E-3</v>
      </c>
      <c r="AH99">
        <f>'Costing 100 Lmin Feed Orig'!AH99</f>
        <v>1.66899983148883E-3</v>
      </c>
      <c r="AI99">
        <f>'Costing 100 Lmin Feed Orig'!AI99</f>
        <v>5.28356837386519E-6</v>
      </c>
      <c r="AJ99">
        <f>'Costing 100 Lmin Feed Orig'!AJ99</f>
        <v>0</v>
      </c>
      <c r="AK99">
        <f>'Costing 100 Lmin Feed Orig'!AK99</f>
        <v>0</v>
      </c>
      <c r="AL99">
        <f>'Costing 100 Lmin Feed Orig'!AL99</f>
        <v>0</v>
      </c>
      <c r="AM99">
        <f>'Costing 100 Lmin Feed Orig'!AM99</f>
        <v>1.61280988700799E-3</v>
      </c>
      <c r="AN99">
        <f>'Costing 100 Lmin Feed Orig'!AN99</f>
        <v>7.9635910048100197E-5</v>
      </c>
      <c r="AO99">
        <f>'Costing 100 Lmin Feed Orig'!AO99</f>
        <v>5.2488208470369598E-6</v>
      </c>
      <c r="AP99">
        <f>'Costing 100 Lmin Feed Orig'!AP99</f>
        <v>1.73328256872752E-3</v>
      </c>
      <c r="AQ99">
        <f>'Costing 100 Lmin Feed Orig'!AQ99</f>
        <v>7.4559932038912993E-2</v>
      </c>
      <c r="AR99">
        <f>'Costing 100 Lmin Feed Orig'!AR99</f>
        <v>1.6300692393553599E-6</v>
      </c>
      <c r="AS99">
        <f>'Costing 100 Lmin Feed Orig'!AS99</f>
        <v>1.9909814357073302E-15</v>
      </c>
      <c r="AT99">
        <f>'Costing 100 Lmin Feed Orig'!AT99</f>
        <v>-1.9813924806433201E-13</v>
      </c>
      <c r="AU99">
        <f>'Costing 100 Lmin Feed Orig'!AU99</f>
        <v>1.5438498952689699E-20</v>
      </c>
      <c r="AV99">
        <f>'Costing 100 Lmin Feed Orig'!AV99</f>
        <v>0.19687337891228299</v>
      </c>
      <c r="AW99">
        <f>'Costing 100 Lmin Feed Orig'!AW99</f>
        <v>99.342347361300298</v>
      </c>
      <c r="AX99">
        <f>'Costing 100 Lmin Feed Orig'!AX99</f>
        <v>500</v>
      </c>
      <c r="AY99">
        <f>'Costing 100 Lmin Feed Orig'!AY99</f>
        <v>95</v>
      </c>
      <c r="AZ99">
        <f>'Costing 100 Lmin Feed Orig'!AZ99</f>
        <v>0.92356857683566096</v>
      </c>
      <c r="BA99">
        <f>'Costing 100 Lmin Feed Orig'!BA99</f>
        <v>0.1</v>
      </c>
      <c r="BB99">
        <f>'Costing 100 Lmin Feed Orig'!BB99</f>
        <v>46.911806052109903</v>
      </c>
      <c r="BC99" t="str">
        <f>'Costing 100 Lmin Feed Orig'!BC99</f>
        <v>coeFc</v>
      </c>
      <c r="BD99">
        <f>'Costing 100 Lmin Feed Orig'!BD99</f>
        <v>1</v>
      </c>
      <c r="BE99">
        <f>'Costing 100 Lmin Feed Orig'!BE99</f>
        <v>1.8775014999999999E-2</v>
      </c>
      <c r="BF99">
        <f>'Costing 100 Lmin Feed Orig'!BF99</f>
        <v>0.10492961100000001</v>
      </c>
      <c r="BG99">
        <f>'Costing 100 Lmin Feed Orig'!BG99</f>
        <v>1.814625E-3</v>
      </c>
      <c r="BH99">
        <f>'Costing 100 Lmin Feed Orig'!BH99</f>
        <v>285.1951444</v>
      </c>
      <c r="BI99">
        <f>'Costing 100 Lmin Feed Orig'!BI99</f>
        <v>2169.8944889999998</v>
      </c>
      <c r="BJ99">
        <f>'Costing 100 Lmin Feed Orig'!BJ99</f>
        <v>866.49409060000005</v>
      </c>
      <c r="BK99">
        <f>'Costing 100 Lmin Feed Orig'!BK99</f>
        <v>100</v>
      </c>
      <c r="BL99">
        <f>'Costing 100 Lmin Feed Orig'!BL99</f>
        <v>10.952322309941399</v>
      </c>
      <c r="BM99">
        <f>'Costing 100 Lmin Feed Orig'!BM99</f>
        <v>92.356857683566091</v>
      </c>
      <c r="BN99">
        <f>'Costing 100 Lmin Feed Orig'!BN99</f>
        <v>19.687337891228299</v>
      </c>
      <c r="BO99">
        <f t="shared" si="22"/>
        <v>306.6650246783592</v>
      </c>
      <c r="BP99">
        <f t="shared" si="23"/>
        <v>511.87078517193578</v>
      </c>
      <c r="BQ99">
        <f t="shared" si="24"/>
        <v>30.666502467835922</v>
      </c>
      <c r="BR99">
        <f t="shared" si="25"/>
        <v>51.187078517193584</v>
      </c>
      <c r="BS99">
        <f>1.2*0.5*BL99*V99/'Oxidant Feed Composition'!$N$22</f>
        <v>6.5713933859648392</v>
      </c>
      <c r="BT99">
        <f>1.2*0.5*BN99*BA99/'Oxidant Feed Composition'!$N$22</f>
        <v>11.812402734736979</v>
      </c>
      <c r="BU99">
        <f t="shared" si="26"/>
        <v>5.4761611549706997</v>
      </c>
      <c r="BV99">
        <f t="shared" si="27"/>
        <v>9.8436689456141497</v>
      </c>
      <c r="BW99">
        <f t="shared" si="28"/>
        <v>86.880696528595394</v>
      </c>
      <c r="BX99">
        <f t="shared" si="21"/>
        <v>35.047431391812481</v>
      </c>
      <c r="BY99">
        <f t="shared" si="29"/>
        <v>206.61835998701497</v>
      </c>
      <c r="BZ99">
        <f t="shared" si="30"/>
        <v>62.999481251930561</v>
      </c>
      <c r="CA99">
        <f t="shared" si="31"/>
        <v>59.062013673684902</v>
      </c>
      <c r="CB99">
        <f>BO99*'Reagent cost'!$G$11*'Reagent cost'!$H$11</f>
        <v>4047.9783257543413</v>
      </c>
      <c r="CC99">
        <f>BP99*'Reagent cost'!$G$11*'Reagent cost'!$H$11</f>
        <v>6756.6943642695524</v>
      </c>
      <c r="CD99">
        <f>BQ99*'Reagent cost'!$C$18/1000*'Reagent cost'!$H$18</f>
        <v>4890.707695899031</v>
      </c>
      <c r="CE99">
        <f>BR99*'Ligand cost'!$B$56*'Ligand cost'!$J$56</f>
        <v>52114.984155128099</v>
      </c>
      <c r="CF99">
        <f t="shared" si="32"/>
        <v>10</v>
      </c>
      <c r="CG99">
        <f t="shared" si="33"/>
        <v>2.19046446198828</v>
      </c>
      <c r="CH99">
        <f t="shared" si="34"/>
        <v>3.9374675782456601</v>
      </c>
      <c r="CI99">
        <f>7963.6*(BX99/1000)^0.6*1.7*('CAPEX+OPEX'!$G$116/'CAPEX+OPEX'!$G$115)</f>
        <v>2138.1326451989207</v>
      </c>
      <c r="CJ99">
        <f>7963.6*(BY99/1000)^0.6*1.7*('CAPEX+OPEX'!$G$116/'CAPEX+OPEX'!$G$115)</f>
        <v>6199.2945816251477</v>
      </c>
      <c r="CK99">
        <f>7963.6*(BZ99/1000)^0.6*1.7*('CAPEX+OPEX'!$G$116/'CAPEX+OPEX'!$G$115)</f>
        <v>3039.7867099224536</v>
      </c>
      <c r="CL99">
        <f>7963.6*(CA99/1000)^0.6*1.7*('CAPEX+OPEX'!$G$116/'CAPEX+OPEX'!$G$115)</f>
        <v>2924.3266207862953</v>
      </c>
      <c r="CM99">
        <f>'Costing 100 Lmin Feed Orig'!DE99</f>
        <v>39625.826528698344</v>
      </c>
      <c r="CN99">
        <f>'Costing 100 Lmin Feed Orig'!DF99</f>
        <v>4586243.4239371875</v>
      </c>
      <c r="CO99">
        <f>'Costing 100 Lmin Feed Orig'!DG99</f>
        <v>11794834.586807497</v>
      </c>
      <c r="CP99">
        <f>'Costing 100 Lmin Feed Orig'!DH99</f>
        <v>2275209.1661185985</v>
      </c>
      <c r="CQ99">
        <f>'Costing 100 Lmin Feed Orig'!DI99</f>
        <v>14083914.336508472</v>
      </c>
      <c r="CR99">
        <f>'Costing 100 Lmin Feed Orig'!DJ99</f>
        <v>1662824.8986326549</v>
      </c>
      <c r="CS99">
        <f>CN99*(BK99/10000)^0.72*((A99+1)/3)^0.6*('CAPEX+OPEX'!$G$116/'CAPEX+OPEX'!$G$114)</f>
        <v>936765.86395108781</v>
      </c>
      <c r="CT99">
        <f>CO99*(BK99/10000)^0.72*((A99+1)/3)^0.6*('CAPEX+OPEX'!$G$116/'CAPEX+OPEX'!$G$114)</f>
        <v>2409160.916797909</v>
      </c>
      <c r="CU99">
        <f>CP99*(BK99/10000)^0.72*((A99+1)/3)^0.6*('CAPEX+OPEX'!$G$116/'CAPEX+OPEX'!$G$114)</f>
        <v>464724.19432521454</v>
      </c>
      <c r="CV99">
        <f>CQ99*(BK99/10000)^0.72*((A99+1)/3)^0.6*('CAPEX+OPEX'!$G$116/'CAPEX+OPEX'!$G$114)</f>
        <v>2876718.2553791031</v>
      </c>
      <c r="CW99">
        <f>CR99*(BK99/10000)^0.72*((A99+1)/3)^0.6*('CAPEX+OPEX'!$G$116/'CAPEX+OPEX'!$G$114)</f>
        <v>339641.28346021532</v>
      </c>
      <c r="CX99">
        <f t="shared" si="35"/>
        <v>7027010.5139135299</v>
      </c>
      <c r="CY99">
        <f>CN99*(BM99/10000)^0.72*((AF99+1)/3)^0.6*('CAPEX+OPEX'!$G$116/'CAPEX+OPEX'!$G$114)</f>
        <v>843163.07585789578</v>
      </c>
      <c r="CZ99">
        <f>CO99*(BM99/10000)^0.72*((AF99+1)/3)^0.6*('CAPEX+OPEX'!$G$116/'CAPEX+OPEX'!$G$114)</f>
        <v>2168434.6185249295</v>
      </c>
      <c r="DA99">
        <f>CP99*(BM99/10000)^0.72*((AF99+1)/3)^0.6*('CAPEX+OPEX'!$G$116/'CAPEX+OPEX'!$G$114)</f>
        <v>418288.3858087401</v>
      </c>
      <c r="DB99">
        <f>CQ99*(BM99/10000)^0.72*((AF99+1)/3)^0.6*('CAPEX+OPEX'!$G$116/'CAPEX+OPEX'!$G$114)</f>
        <v>2589273.0573588139</v>
      </c>
      <c r="DC99">
        <f>CR99*(BM99/10000)^0.72*((AF99+1)/3)^0.6*('CAPEX+OPEX'!$G$116/'CAPEX+OPEX'!$G$114)</f>
        <v>305703.91201359074</v>
      </c>
      <c r="DD99">
        <f t="shared" si="36"/>
        <v>6324863.0495639704</v>
      </c>
      <c r="DE99">
        <f>CX99+DD99+1.15*(SUM(CI99:CL99)+SUM(CB99:CE99))</f>
        <v>13446302.254340872</v>
      </c>
      <c r="DF99">
        <f t="shared" si="37"/>
        <v>896420.15028939152</v>
      </c>
      <c r="DG99">
        <f>(BS99+BT99)*'Oxidant Feed Composition'!$N$25*60*7200</f>
        <v>14805449.045720423</v>
      </c>
      <c r="DH99">
        <f>((CG99+CH99)*'Reagent cost'!$C$17/1000*'Reagent cost'!$H$17+(CG99+CH99)*0.5*'Reagent cost'!$C$16/1000*'Reagent cost'!$H$16)*60*7200</f>
        <v>5900307.3083093511</v>
      </c>
      <c r="DI99">
        <f>CF99*'Reagent cost'!$C$17/1000*'Reagent cost'!$H$17*60*7200</f>
        <v>504921.59999999998</v>
      </c>
      <c r="DJ99">
        <f t="shared" si="38"/>
        <v>108.04672690023894</v>
      </c>
      <c r="DK99">
        <f t="shared" si="39"/>
        <v>1140.1138370205426</v>
      </c>
      <c r="DL99">
        <f t="shared" si="40"/>
        <v>25454311.337512437</v>
      </c>
      <c r="DM99">
        <f>BK99*(B99*(409.81+2)/1000+C99*(248.2+2*22.99)/1000+D99*(315.6+3*22.99)/1000+0.1*58.44/1000)</f>
        <v>0.70639694042110623</v>
      </c>
      <c r="DN99">
        <f>(BS99+BT99)/1000*('Oxidant Feed Composition'!$B$11*'Oxidant Feed Composition'!$O$20+'Oxidant Feed Composition'!$D$11*'Oxidant Feed Composition'!$O$21+'Oxidant Feed Composition'!$F$11*'Oxidant Feed Composition'!$O$27-'Oxidant Feed Composition'!$J$15*18.015)</f>
        <v>2.1469431734099458</v>
      </c>
      <c r="DO99">
        <f>(BU99+BV99)/1000*(0.2*368.34+0.4*58.44)</f>
        <v>1.4866975922811561</v>
      </c>
      <c r="DP99">
        <f>BK99/1000*(B99*195.08+C99*106.42+D99*102.91)</f>
        <v>4.999938342565946E-2</v>
      </c>
      <c r="DQ99">
        <f>SUM(DM99:DO99)-DP99</f>
        <v>4.2900383226865477</v>
      </c>
      <c r="DR99">
        <f>DQ99*60*7200*0.33</f>
        <v>611587.86328219436</v>
      </c>
      <c r="DS99">
        <v>1.2</v>
      </c>
      <c r="DT99">
        <f>BM99/60*(AM99*4+AN99*2+AO99*3)*96485/DV99</f>
        <v>1405.8791478299054</v>
      </c>
      <c r="DU99">
        <f>BN99*BA99*(AP99*4+AQ99*2+AR99*3)*96485/DV99/60</f>
        <v>705.80254729732212</v>
      </c>
      <c r="DV99">
        <v>0.7</v>
      </c>
      <c r="DW99">
        <f>0.499*((BK99/3.78541*15)^(-0.146))*BK99/3.78541*15*300*(1+(A99-2)/9)</f>
        <v>52288.524762496963</v>
      </c>
      <c r="DX99">
        <f>0.248*((BK99/3.78541*15)^(-0.144))*BK99/3.78541*15*300*(1+(A99-2)/3)</f>
        <v>53983.928663982973</v>
      </c>
      <c r="DY99">
        <f>0.105*((BK99/3.78541*15)^(-0.144))*BK99/3.78541*15*300*(1+(A99-2)/3)</f>
        <v>22856.098829508919</v>
      </c>
      <c r="DZ99">
        <f>0.058*((BK99/3.78541*15)^(-0.151))*BK99/3.78541*15*300*(1+(A99-2)/3)</f>
        <v>12107.513206066582</v>
      </c>
      <c r="EA99">
        <f>0.056*((BK99/3.78541*15)^(-0.144))*BK99/3.78541*15*300*(1+(A99-2)/3)</f>
        <v>12189.919375738094</v>
      </c>
      <c r="EB99">
        <f>DS99*DT99/(3.6*10^6)*3600*7200*0.07</f>
        <v>850.27570860752689</v>
      </c>
      <c r="EC99">
        <f>0.499*((BM99/3.78541*15)^(-0.146))*BM99/3.78541*15*300*(1+(AF99-2)/9)</f>
        <v>46284.539356559282</v>
      </c>
      <c r="ED99">
        <f>0.248*((BM99/3.78541*15)^(-0.144))*BM99/3.78541*15*300*(1+(AF99-2)/3)</f>
        <v>46552.60320984431</v>
      </c>
      <c r="EE99">
        <f>0.105*((BM99/3.78541*15)^(-0.144))*BM99/3.78541*15*300*(1+(AF99-2)/3)</f>
        <v>19709.771520296981</v>
      </c>
      <c r="EF99">
        <f>0.058*((BM99/3.78541*15)^(-0.151))*BM99/3.78541*15*300*(1+(AF99-2)/3)</f>
        <v>10446.628530575212</v>
      </c>
      <c r="EG99">
        <f>0.056*((BM99/3.78541*15)^(-0.144))*BM99/3.78541*15*300*(1+(AF99-2)/3)</f>
        <v>10511.878144158392</v>
      </c>
      <c r="EH99">
        <f>DS99*DU99/(3.6*10^6)*3600*7200*0.07</f>
        <v>426.86938060542042</v>
      </c>
      <c r="EI99">
        <f>SUM(DW99:EH99)</f>
        <v>288208.55068844062</v>
      </c>
      <c r="EJ99">
        <f>EI99+DR99+DL99</f>
        <v>26354107.751483072</v>
      </c>
      <c r="EK99">
        <f>EJ99+DF99</f>
        <v>27250527.901772462</v>
      </c>
      <c r="EL99">
        <f>EK99/(BK99*60*7200)</f>
        <v>0.63079925698547368</v>
      </c>
      <c r="EM99">
        <f>EK99/(BM99*(AM99*195.084/1000+AN99*106.42/1000+AO99*102.911/1000)*60*7200)</f>
        <v>2110.3210701300859</v>
      </c>
      <c r="EN99">
        <f>EK99/(BN99*BA99*(AP99*195.084/1000+AQ99*106.42/1000+AR99*102.911/1000)*60*7200)</f>
        <v>3872.9568126781419</v>
      </c>
    </row>
    <row r="100" spans="1:144">
      <c r="A100">
        <f>'Costing 100 Lmin Feed Orig'!A100</f>
        <v>12</v>
      </c>
      <c r="B100">
        <f>'Costing 100 Lmin Feed Orig'!B100</f>
        <v>1.54143585092054E-3</v>
      </c>
      <c r="C100">
        <f>'Costing 100 Lmin Feed Orig'!C100</f>
        <v>1.54143585092054E-3</v>
      </c>
      <c r="D100">
        <f>'Costing 100 Lmin Feed Orig'!D100</f>
        <v>3.4254130020456501E-4</v>
      </c>
      <c r="E100">
        <f>'Costing 100 Lmin Feed Orig'!E100</f>
        <v>0</v>
      </c>
      <c r="F100">
        <f>'Costing 100 Lmin Feed Orig'!F100</f>
        <v>0</v>
      </c>
      <c r="G100">
        <f>'Costing 100 Lmin Feed Orig'!G100</f>
        <v>0</v>
      </c>
      <c r="H100">
        <f>'Costing 100 Lmin Feed Orig'!H100</f>
        <v>1.7771599281349402E-5</v>
      </c>
      <c r="I100">
        <f>'Costing 100 Lmin Feed Orig'!I100</f>
        <v>6.3113732322488897E-11</v>
      </c>
      <c r="J100">
        <f>'Costing 100 Lmin Feed Orig'!J100</f>
        <v>3.37661562480901E-4</v>
      </c>
      <c r="K100">
        <f>'Costing 100 Lmin Feed Orig'!K100</f>
        <v>0.13911791568267901</v>
      </c>
      <c r="L100">
        <f>'Costing 100 Lmin Feed Orig'!L100</f>
        <v>0.140740543921716</v>
      </c>
      <c r="M100">
        <f>'Costing 100 Lmin Feed Orig'!M100</f>
        <v>4.45543656000266E-4</v>
      </c>
      <c r="N100">
        <f>'Costing 100 Lmin Feed Orig'!N100</f>
        <v>-4.7646348672047899E-15</v>
      </c>
      <c r="O100">
        <f>'Costing 100 Lmin Feed Orig'!O100</f>
        <v>-1.1300289697036E-11</v>
      </c>
      <c r="P100">
        <f>'Costing 100 Lmin Feed Orig'!P100</f>
        <v>-4.6756218688437302E-19</v>
      </c>
      <c r="Q100">
        <f>'Costing 100 Lmin Feed Orig'!Q100</f>
        <v>0.10952322309941399</v>
      </c>
      <c r="R100">
        <f>'Costing 100 Lmin Feed Orig'!R100</f>
        <v>98.575430839799395</v>
      </c>
      <c r="S100">
        <f>'Costing 100 Lmin Feed Orig'!S100</f>
        <v>500</v>
      </c>
      <c r="T100">
        <f>'Costing 100 Lmin Feed Orig'!T100</f>
        <v>95</v>
      </c>
      <c r="U100">
        <f>'Costing 100 Lmin Feed Orig'!U100</f>
        <v>1</v>
      </c>
      <c r="V100">
        <f>'Costing 100 Lmin Feed Orig'!V100</f>
        <v>0.1</v>
      </c>
      <c r="W100">
        <f>'Costing 100 Lmin Feed Orig'!W100</f>
        <v>91.304836700459305</v>
      </c>
      <c r="X100" t="str">
        <f>'Costing 100 Lmin Feed Orig'!X100</f>
        <v>ddFc</v>
      </c>
      <c r="Y100">
        <f>'Costing 100 Lmin Feed Orig'!Y100</f>
        <v>1</v>
      </c>
      <c r="Z100">
        <f>'Costing 100 Lmin Feed Orig'!Z100</f>
        <v>0.28318429382522198</v>
      </c>
      <c r="AA100">
        <f>'Costing 100 Lmin Feed Orig'!AA100</f>
        <v>0.56945642916197003</v>
      </c>
      <c r="AB100">
        <f>'Costing 100 Lmin Feed Orig'!AB100</f>
        <v>3.7698628972227502E-3</v>
      </c>
      <c r="AC100">
        <f>'Costing 100 Lmin Feed Orig'!AC100</f>
        <v>1822.2107908876901</v>
      </c>
      <c r="AD100">
        <f>'Costing 100 Lmin Feed Orig'!AD100</f>
        <v>2662.6059073104898</v>
      </c>
      <c r="AE100">
        <f>'Costing 100 Lmin Feed Orig'!AE100</f>
        <v>2401.5030938442701</v>
      </c>
      <c r="AF100">
        <f>'Costing 100 Lmin Feed Orig'!AF100</f>
        <v>12</v>
      </c>
      <c r="AG100">
        <f>'Costing 100 Lmin Feed Orig'!AG100</f>
        <v>1.6497575706444501E-3</v>
      </c>
      <c r="AH100">
        <f>'Costing 100 Lmin Feed Orig'!AH100</f>
        <v>1.66899983148883E-3</v>
      </c>
      <c r="AI100">
        <f>'Costing 100 Lmin Feed Orig'!AI100</f>
        <v>5.28356837386519E-6</v>
      </c>
      <c r="AJ100">
        <f>'Costing 100 Lmin Feed Orig'!AJ100</f>
        <v>0</v>
      </c>
      <c r="AK100">
        <f>'Costing 100 Lmin Feed Orig'!AK100</f>
        <v>0</v>
      </c>
      <c r="AL100">
        <f>'Costing 100 Lmin Feed Orig'!AL100</f>
        <v>0</v>
      </c>
      <c r="AM100">
        <f>'Costing 100 Lmin Feed Orig'!AM100</f>
        <v>1.6128107620641699E-3</v>
      </c>
      <c r="AN100">
        <f>'Costing 100 Lmin Feed Orig'!AN100</f>
        <v>7.9635955314965296E-5</v>
      </c>
      <c r="AO100">
        <f>'Costing 100 Lmin Feed Orig'!AO100</f>
        <v>5.2488216357800397E-6</v>
      </c>
      <c r="AP100">
        <f>'Costing 100 Lmin Feed Orig'!AP100</f>
        <v>1.7332529701511801E-3</v>
      </c>
      <c r="AQ100">
        <f>'Costing 100 Lmin Feed Orig'!AQ100</f>
        <v>7.4560422536797497E-2</v>
      </c>
      <c r="AR100">
        <f>'Costing 100 Lmin Feed Orig'!AR100</f>
        <v>1.6300430078820901E-6</v>
      </c>
      <c r="AS100">
        <f>'Costing 100 Lmin Feed Orig'!AS100</f>
        <v>3.8848996719229E-16</v>
      </c>
      <c r="AT100">
        <f>'Costing 100 Lmin Feed Orig'!AT100</f>
        <v>-3.7900455343575703E-14</v>
      </c>
      <c r="AU100">
        <f>'Costing 100 Lmin Feed Orig'!AU100</f>
        <v>-2.53448139686247E-21</v>
      </c>
      <c r="AV100">
        <f>'Costing 100 Lmin Feed Orig'!AV100</f>
        <v>0.19687207814646801</v>
      </c>
      <c r="AW100">
        <f>'Costing 100 Lmin Feed Orig'!AW100</f>
        <v>99.342362289527202</v>
      </c>
      <c r="AX100">
        <f>'Costing 100 Lmin Feed Orig'!AX100</f>
        <v>500</v>
      </c>
      <c r="AY100">
        <f>'Costing 100 Lmin Feed Orig'!AY100</f>
        <v>95</v>
      </c>
      <c r="AZ100">
        <f>'Costing 100 Lmin Feed Orig'!AZ100</f>
        <v>0.92356857683566096</v>
      </c>
      <c r="BA100">
        <f>'Costing 100 Lmin Feed Orig'!BA100</f>
        <v>0.1</v>
      </c>
      <c r="BB100">
        <f>'Costing 100 Lmin Feed Orig'!BB100</f>
        <v>46.912116006036399</v>
      </c>
      <c r="BC100" t="str">
        <f>'Costing 100 Lmin Feed Orig'!BC100</f>
        <v>coeFc</v>
      </c>
      <c r="BD100">
        <f>'Costing 100 Lmin Feed Orig'!BD100</f>
        <v>1</v>
      </c>
      <c r="BE100">
        <f>'Costing 100 Lmin Feed Orig'!BE100</f>
        <v>1.8775014999999999E-2</v>
      </c>
      <c r="BF100">
        <f>'Costing 100 Lmin Feed Orig'!BF100</f>
        <v>0.10492961100000001</v>
      </c>
      <c r="BG100">
        <f>'Costing 100 Lmin Feed Orig'!BG100</f>
        <v>1.814625E-3</v>
      </c>
      <c r="BH100">
        <f>'Costing 100 Lmin Feed Orig'!BH100</f>
        <v>285.1951444</v>
      </c>
      <c r="BI100">
        <f>'Costing 100 Lmin Feed Orig'!BI100</f>
        <v>2169.8944889999998</v>
      </c>
      <c r="BJ100">
        <f>'Costing 100 Lmin Feed Orig'!BJ100</f>
        <v>866.49409060000005</v>
      </c>
      <c r="BK100">
        <f>'Costing 100 Lmin Feed Orig'!BK100</f>
        <v>100</v>
      </c>
      <c r="BL100">
        <f>'Costing 100 Lmin Feed Orig'!BL100</f>
        <v>10.952322309941399</v>
      </c>
      <c r="BM100">
        <f>'Costing 100 Lmin Feed Orig'!BM100</f>
        <v>92.356857683566091</v>
      </c>
      <c r="BN100">
        <f>'Costing 100 Lmin Feed Orig'!BN100</f>
        <v>19.687207814646801</v>
      </c>
      <c r="BO100">
        <f t="shared" si="22"/>
        <v>306.6650246783592</v>
      </c>
      <c r="BP100">
        <f t="shared" si="23"/>
        <v>551.24181881011043</v>
      </c>
      <c r="BQ100">
        <f t="shared" si="24"/>
        <v>30.666502467835922</v>
      </c>
      <c r="BR100">
        <f t="shared" si="25"/>
        <v>55.124181881011047</v>
      </c>
      <c r="BS100">
        <f>1.2*0.5*BL100*V100/'Oxidant Feed Composition'!$N$22</f>
        <v>6.5713933859648392</v>
      </c>
      <c r="BT100">
        <f>1.2*0.5*BN100*BA100/'Oxidant Feed Composition'!$N$22</f>
        <v>11.812324688788079</v>
      </c>
      <c r="BU100">
        <f t="shared" si="26"/>
        <v>5.4761611549706997</v>
      </c>
      <c r="BV100">
        <f t="shared" si="27"/>
        <v>9.8436039073234003</v>
      </c>
      <c r="BW100">
        <f t="shared" si="28"/>
        <v>86.880696528595394</v>
      </c>
      <c r="BX100">
        <f t="shared" si="21"/>
        <v>35.047431391812481</v>
      </c>
      <c r="BY100">
        <f t="shared" si="29"/>
        <v>206.61835998701497</v>
      </c>
      <c r="BZ100">
        <f t="shared" si="30"/>
        <v>62.999065006869756</v>
      </c>
      <c r="CA100">
        <f t="shared" si="31"/>
        <v>59.061623443940405</v>
      </c>
      <c r="CB100">
        <f>BO100*'Reagent cost'!$G$11*'Reagent cost'!$H$11</f>
        <v>4047.9783257543413</v>
      </c>
      <c r="CC100">
        <f>BP100*'Reagent cost'!$G$11*'Reagent cost'!$H$11</f>
        <v>7276.3920082934583</v>
      </c>
      <c r="CD100">
        <f>BQ100*'Reagent cost'!$C$18/1000*'Reagent cost'!$H$18</f>
        <v>4890.707695899031</v>
      </c>
      <c r="CE100">
        <f>BR100*'Ligand cost'!$B$56*'Ligand cost'!$J$56</f>
        <v>56123.458273328237</v>
      </c>
      <c r="CF100">
        <f t="shared" si="32"/>
        <v>10</v>
      </c>
      <c r="CG100">
        <f t="shared" si="33"/>
        <v>2.19046446198828</v>
      </c>
      <c r="CH100">
        <f t="shared" si="34"/>
        <v>3.9374415629293602</v>
      </c>
      <c r="CI100">
        <f>7963.6*(BX100/1000)^0.6*1.7*('CAPEX+OPEX'!$G$116/'CAPEX+OPEX'!$G$115)</f>
        <v>2138.1326451989207</v>
      </c>
      <c r="CJ100">
        <f>7963.6*(BY100/1000)^0.6*1.7*('CAPEX+OPEX'!$G$116/'CAPEX+OPEX'!$G$115)</f>
        <v>6199.2945816251477</v>
      </c>
      <c r="CK100">
        <f>7963.6*(BZ100/1000)^0.6*1.7*('CAPEX+OPEX'!$G$116/'CAPEX+OPEX'!$G$115)</f>
        <v>3039.7746593672682</v>
      </c>
      <c r="CL100">
        <f>7963.6*(CA100/1000)^0.6*1.7*('CAPEX+OPEX'!$G$116/'CAPEX+OPEX'!$G$115)</f>
        <v>2924.3150279468332</v>
      </c>
      <c r="CM100">
        <f>'Costing 100 Lmin Feed Orig'!DE100</f>
        <v>39625.826528698344</v>
      </c>
      <c r="CN100">
        <f>'Costing 100 Lmin Feed Orig'!DF100</f>
        <v>4586243.4239371875</v>
      </c>
      <c r="CO100">
        <f>'Costing 100 Lmin Feed Orig'!DG100</f>
        <v>11794834.586807497</v>
      </c>
      <c r="CP100">
        <f>'Costing 100 Lmin Feed Orig'!DH100</f>
        <v>2275209.1661185985</v>
      </c>
      <c r="CQ100">
        <f>'Costing 100 Lmin Feed Orig'!DI100</f>
        <v>14083914.336508472</v>
      </c>
      <c r="CR100">
        <f>'Costing 100 Lmin Feed Orig'!DJ100</f>
        <v>1662824.8986326549</v>
      </c>
      <c r="CS100">
        <f>CN100*(BK100/10000)^0.72*((A100+1)/3)^0.6*('CAPEX+OPEX'!$G$116/'CAPEX+OPEX'!$G$114)</f>
        <v>936765.86395108781</v>
      </c>
      <c r="CT100">
        <f>CO100*(BK100/10000)^0.72*((A100+1)/3)^0.6*('CAPEX+OPEX'!$G$116/'CAPEX+OPEX'!$G$114)</f>
        <v>2409160.916797909</v>
      </c>
      <c r="CU100">
        <f>CP100*(BK100/10000)^0.72*((A100+1)/3)^0.6*('CAPEX+OPEX'!$G$116/'CAPEX+OPEX'!$G$114)</f>
        <v>464724.19432521454</v>
      </c>
      <c r="CV100">
        <f>CQ100*(BK100/10000)^0.72*((A100+1)/3)^0.6*('CAPEX+OPEX'!$G$116/'CAPEX+OPEX'!$G$114)</f>
        <v>2876718.2553791031</v>
      </c>
      <c r="CW100">
        <f>CR100*(BK100/10000)^0.72*((A100+1)/3)^0.6*('CAPEX+OPEX'!$G$116/'CAPEX+OPEX'!$G$114)</f>
        <v>339641.28346021532</v>
      </c>
      <c r="CX100">
        <f t="shared" si="35"/>
        <v>7027010.5139135299</v>
      </c>
      <c r="CY100">
        <f>CN100*(BM100/10000)^0.72*((AF100+1)/3)^0.6*('CAPEX+OPEX'!$G$116/'CAPEX+OPEX'!$G$114)</f>
        <v>884644.62522109901</v>
      </c>
      <c r="CZ100">
        <f>CO100*(BM100/10000)^0.72*((AF100+1)/3)^0.6*('CAPEX+OPEX'!$G$116/'CAPEX+OPEX'!$G$114)</f>
        <v>2275116.2679528282</v>
      </c>
      <c r="DA100">
        <f>CP100*(BM100/10000)^0.72*((AF100+1)/3)^0.6*('CAPEX+OPEX'!$G$116/'CAPEX+OPEX'!$G$114)</f>
        <v>438867.14550635306</v>
      </c>
      <c r="DB100">
        <f>CQ100*(BM100/10000)^0.72*((AF100+1)/3)^0.6*('CAPEX+OPEX'!$G$116/'CAPEX+OPEX'!$G$114)</f>
        <v>2716658.9228206738</v>
      </c>
      <c r="DC100">
        <f>CR100*(BM100/10000)^0.72*((AF100+1)/3)^0.6*('CAPEX+OPEX'!$G$116/'CAPEX+OPEX'!$G$114)</f>
        <v>320743.79252995877</v>
      </c>
      <c r="DD100">
        <f t="shared" si="36"/>
        <v>6636030.7540309131</v>
      </c>
      <c r="DE100">
        <f>CX100+DD100+1.15*(SUM(CI100:CL100)+SUM(CB100:CE100))</f>
        <v>13762677.329144469</v>
      </c>
      <c r="DF100">
        <f t="shared" si="37"/>
        <v>917511.82194296457</v>
      </c>
      <c r="DG100">
        <f>(BS100+BT100)*'Oxidant Feed Composition'!$N$25*60*7200</f>
        <v>14805386.191165682</v>
      </c>
      <c r="DH100">
        <f>((CG100+CH100)*'Reagent cost'!$C$17/1000*'Reagent cost'!$H$17+(CG100+CH100)*0.5*'Reagent cost'!$C$16/1000*'Reagent cost'!$H$16)*60*7200</f>
        <v>5900282.2593434239</v>
      </c>
      <c r="DI100">
        <f>CF100*'Reagent cost'!$C$17/1000*'Reagent cost'!$H$17*60*7200</f>
        <v>504921.59999999998</v>
      </c>
      <c r="DJ100">
        <f t="shared" si="38"/>
        <v>113.24370334047799</v>
      </c>
      <c r="DK100">
        <f t="shared" si="39"/>
        <v>1220.2833193845454</v>
      </c>
      <c r="DL100">
        <f t="shared" si="40"/>
        <v>25454308.293038193</v>
      </c>
      <c r="DM100">
        <f>BK100*(B100*(409.81+2)/1000+C100*(248.2+2*22.99)/1000+D100*(315.6+3*22.99)/1000+0.1*58.44/1000)</f>
        <v>0.70639694042110623</v>
      </c>
      <c r="DN100">
        <f>(BS100+BT100)/1000*('Oxidant Feed Composition'!$B$11*'Oxidant Feed Composition'!$O$20+'Oxidant Feed Composition'!$D$11*'Oxidant Feed Composition'!$O$21+'Oxidant Feed Composition'!$F$11*'Oxidant Feed Composition'!$O$27-'Oxidant Feed Composition'!$J$15*18.015)</f>
        <v>2.146934058849705</v>
      </c>
      <c r="DO100">
        <f>(BU100+BV100)/1000*(0.2*368.34+0.4*58.44)</f>
        <v>1.4866912807052686</v>
      </c>
      <c r="DP100">
        <f>BK100/1000*(B100*195.08+C100*106.42+D100*102.91)</f>
        <v>4.999938342565946E-2</v>
      </c>
      <c r="DQ100">
        <f>SUM(DM100:DO100)-DP100</f>
        <v>4.2900228965504201</v>
      </c>
      <c r="DR100">
        <f>DQ100*60*7200*0.33</f>
        <v>611585.66413222789</v>
      </c>
      <c r="DS100">
        <v>1.2</v>
      </c>
      <c r="DT100">
        <f>BM100/60*(AM100*4+AN100*2+AO100*3)*96485/DV100</f>
        <v>1405.8799101755899</v>
      </c>
      <c r="DU100">
        <f>BN100*BA100*(AP100*4+AQ100*2+AR100*3)*96485/DV100/60</f>
        <v>705.80178487948251</v>
      </c>
      <c r="DV100">
        <v>0.7</v>
      </c>
      <c r="DW100">
        <f>0.499*((BK100/3.78541*15)^(-0.146))*BK100/3.78541*15*300*(1+(A100-2)/9)</f>
        <v>52288.524762496963</v>
      </c>
      <c r="DX100">
        <f>0.248*((BK100/3.78541*15)^(-0.144))*BK100/3.78541*15*300*(1+(A100-2)/3)</f>
        <v>53983.928663982973</v>
      </c>
      <c r="DY100">
        <f>0.105*((BK100/3.78541*15)^(-0.144))*BK100/3.78541*15*300*(1+(A100-2)/3)</f>
        <v>22856.098829508919</v>
      </c>
      <c r="DZ100">
        <f>0.058*((BK100/3.78541*15)^(-0.151))*BK100/3.78541*15*300*(1+(A100-2)/3)</f>
        <v>12107.513206066582</v>
      </c>
      <c r="EA100">
        <f>0.056*((BK100/3.78541*15)^(-0.144))*BK100/3.78541*15*300*(1+(A100-2)/3)</f>
        <v>12189.919375738094</v>
      </c>
      <c r="EB100">
        <f>DS100*DT100/(3.6*10^6)*3600*7200*0.07</f>
        <v>850.27616967419681</v>
      </c>
      <c r="EC100">
        <f>0.499*((BM100/3.78541*15)^(-0.146))*BM100/3.78541*15*300*(1+(AF100-2)/9)</f>
        <v>48855.90265414591</v>
      </c>
      <c r="ED100">
        <f>0.248*((BM100/3.78541*15)^(-0.144))*BM100/3.78541*15*300*(1+(AF100-2)/3)</f>
        <v>50431.986810664675</v>
      </c>
      <c r="EE100">
        <f>0.105*((BM100/3.78541*15)^(-0.144))*BM100/3.78541*15*300*(1+(AF100-2)/3)</f>
        <v>21352.252480321731</v>
      </c>
      <c r="EF100">
        <f>0.058*((BM100/3.78541*15)^(-0.151))*BM100/3.78541*15*300*(1+(AF100-2)/3)</f>
        <v>11317.180908123148</v>
      </c>
      <c r="EG100">
        <f>0.056*((BM100/3.78541*15)^(-0.144))*BM100/3.78541*15*300*(1+(AF100-2)/3)</f>
        <v>11387.867989504926</v>
      </c>
      <c r="EH100">
        <f>DS100*DU100/(3.6*10^6)*3600*7200*0.07</f>
        <v>426.86891949511096</v>
      </c>
      <c r="EI100">
        <f>SUM(DW100:EH100)</f>
        <v>298048.32076972321</v>
      </c>
      <c r="EJ100">
        <f>EI100+DR100+DL100</f>
        <v>26363942.277940143</v>
      </c>
      <c r="EK100">
        <f>EJ100+DF100</f>
        <v>27281454.099883109</v>
      </c>
      <c r="EL100">
        <f>EK100/(BK100*60*7200)</f>
        <v>0.63151514120099794</v>
      </c>
      <c r="EM100">
        <f>EK100/(BM100*(AM100*195.084/1000+AN100*106.42/1000+AO100*102.911/1000)*60*7200)</f>
        <v>2112.714894187181</v>
      </c>
      <c r="EN100">
        <f>EK100/(BN100*BA100*(AP100*195.084/1000+AQ100*106.42/1000+AR100*102.911/1000)*60*7200)</f>
        <v>3877.356032223423</v>
      </c>
    </row>
    <row r="101" spans="1:144">
      <c r="A101">
        <f>'Costing 100 Lmin Feed Orig'!A101</f>
        <v>12</v>
      </c>
      <c r="B101">
        <f>'Costing 100 Lmin Feed Orig'!B101</f>
        <v>1.54143585092054E-3</v>
      </c>
      <c r="C101">
        <f>'Costing 100 Lmin Feed Orig'!C101</f>
        <v>1.54143585092054E-3</v>
      </c>
      <c r="D101">
        <f>'Costing 100 Lmin Feed Orig'!D101</f>
        <v>3.4254130020456501E-4</v>
      </c>
      <c r="E101">
        <f>'Costing 100 Lmin Feed Orig'!E101</f>
        <v>0</v>
      </c>
      <c r="F101">
        <f>'Costing 100 Lmin Feed Orig'!F101</f>
        <v>0</v>
      </c>
      <c r="G101">
        <f>'Costing 100 Lmin Feed Orig'!G101</f>
        <v>0</v>
      </c>
      <c r="H101">
        <f>'Costing 100 Lmin Feed Orig'!H101</f>
        <v>1.7771599281349402E-5</v>
      </c>
      <c r="I101">
        <f>'Costing 100 Lmin Feed Orig'!I101</f>
        <v>6.3113732322488897E-11</v>
      </c>
      <c r="J101">
        <f>'Costing 100 Lmin Feed Orig'!J101</f>
        <v>3.37661562480901E-4</v>
      </c>
      <c r="K101">
        <f>'Costing 100 Lmin Feed Orig'!K101</f>
        <v>0.13911791568267901</v>
      </c>
      <c r="L101">
        <f>'Costing 100 Lmin Feed Orig'!L101</f>
        <v>0.140740543921716</v>
      </c>
      <c r="M101">
        <f>'Costing 100 Lmin Feed Orig'!M101</f>
        <v>4.45543656000266E-4</v>
      </c>
      <c r="N101">
        <f>'Costing 100 Lmin Feed Orig'!N101</f>
        <v>-4.7646348672047899E-15</v>
      </c>
      <c r="O101">
        <f>'Costing 100 Lmin Feed Orig'!O101</f>
        <v>-1.1300289697036E-11</v>
      </c>
      <c r="P101">
        <f>'Costing 100 Lmin Feed Orig'!P101</f>
        <v>-4.6756218688437302E-19</v>
      </c>
      <c r="Q101">
        <f>'Costing 100 Lmin Feed Orig'!Q101</f>
        <v>0.10952322309941399</v>
      </c>
      <c r="R101">
        <f>'Costing 100 Lmin Feed Orig'!R101</f>
        <v>98.575430839799395</v>
      </c>
      <c r="S101">
        <f>'Costing 100 Lmin Feed Orig'!S101</f>
        <v>500</v>
      </c>
      <c r="T101">
        <f>'Costing 100 Lmin Feed Orig'!T101</f>
        <v>95</v>
      </c>
      <c r="U101">
        <f>'Costing 100 Lmin Feed Orig'!U101</f>
        <v>1</v>
      </c>
      <c r="V101">
        <f>'Costing 100 Lmin Feed Orig'!V101</f>
        <v>0.1</v>
      </c>
      <c r="W101">
        <f>'Costing 100 Lmin Feed Orig'!W101</f>
        <v>91.304836700459305</v>
      </c>
      <c r="X101" t="str">
        <f>'Costing 100 Lmin Feed Orig'!X101</f>
        <v>ddFc</v>
      </c>
      <c r="Y101">
        <f>'Costing 100 Lmin Feed Orig'!Y101</f>
        <v>1</v>
      </c>
      <c r="Z101">
        <f>'Costing 100 Lmin Feed Orig'!Z101</f>
        <v>0.28318429382522198</v>
      </c>
      <c r="AA101">
        <f>'Costing 100 Lmin Feed Orig'!AA101</f>
        <v>0.56945642916197003</v>
      </c>
      <c r="AB101">
        <f>'Costing 100 Lmin Feed Orig'!AB101</f>
        <v>3.7698628972227502E-3</v>
      </c>
      <c r="AC101">
        <f>'Costing 100 Lmin Feed Orig'!AC101</f>
        <v>1822.2107908876901</v>
      </c>
      <c r="AD101">
        <f>'Costing 100 Lmin Feed Orig'!AD101</f>
        <v>2662.6059073104898</v>
      </c>
      <c r="AE101">
        <f>'Costing 100 Lmin Feed Orig'!AE101</f>
        <v>2401.5030938442701</v>
      </c>
      <c r="AF101">
        <f>'Costing 100 Lmin Feed Orig'!AF101</f>
        <v>13</v>
      </c>
      <c r="AG101">
        <f>'Costing 100 Lmin Feed Orig'!AG101</f>
        <v>1.6497575706444501E-3</v>
      </c>
      <c r="AH101">
        <f>'Costing 100 Lmin Feed Orig'!AH101</f>
        <v>1.66899983148883E-3</v>
      </c>
      <c r="AI101">
        <f>'Costing 100 Lmin Feed Orig'!AI101</f>
        <v>5.28356837386519E-6</v>
      </c>
      <c r="AJ101">
        <f>'Costing 100 Lmin Feed Orig'!AJ101</f>
        <v>0</v>
      </c>
      <c r="AK101">
        <f>'Costing 100 Lmin Feed Orig'!AK101</f>
        <v>0</v>
      </c>
      <c r="AL101">
        <f>'Costing 100 Lmin Feed Orig'!AL101</f>
        <v>0</v>
      </c>
      <c r="AM101">
        <f>'Costing 100 Lmin Feed Orig'!AM101</f>
        <v>1.61281100796467E-3</v>
      </c>
      <c r="AN101">
        <f>'Costing 100 Lmin Feed Orig'!AN101</f>
        <v>7.9635968035451799E-5</v>
      </c>
      <c r="AO101">
        <f>'Costing 100 Lmin Feed Orig'!AO101</f>
        <v>5.2488218574256396E-6</v>
      </c>
      <c r="AP101">
        <f>'Costing 100 Lmin Feed Orig'!AP101</f>
        <v>1.73324465254427E-3</v>
      </c>
      <c r="AQ101">
        <f>'Costing 100 Lmin Feed Orig'!AQ101</f>
        <v>7.4560560373448506E-2</v>
      </c>
      <c r="AR101">
        <f>'Costing 100 Lmin Feed Orig'!AR101</f>
        <v>1.6300356364773401E-6</v>
      </c>
      <c r="AS101">
        <f>'Costing 100 Lmin Feed Orig'!AS101</f>
        <v>-7.4538899358378406E-20</v>
      </c>
      <c r="AT101">
        <f>'Costing 100 Lmin Feed Orig'!AT101</f>
        <v>-1.34441069388202E-17</v>
      </c>
      <c r="AU101">
        <f>'Costing 100 Lmin Feed Orig'!AU101</f>
        <v>3.44107134822059E-22</v>
      </c>
      <c r="AV101">
        <f>'Costing 100 Lmin Feed Orig'!AV101</f>
        <v>0.19687171261743899</v>
      </c>
      <c r="AW101">
        <f>'Costing 100 Lmin Feed Orig'!AW101</f>
        <v>99.3423664845254</v>
      </c>
      <c r="AX101">
        <f>'Costing 100 Lmin Feed Orig'!AX101</f>
        <v>500</v>
      </c>
      <c r="AY101">
        <f>'Costing 100 Lmin Feed Orig'!AY101</f>
        <v>95</v>
      </c>
      <c r="AZ101">
        <f>'Costing 100 Lmin Feed Orig'!AZ101</f>
        <v>0.92356857683566096</v>
      </c>
      <c r="BA101">
        <f>'Costing 100 Lmin Feed Orig'!BA101</f>
        <v>0.1</v>
      </c>
      <c r="BB101">
        <f>'Costing 100 Lmin Feed Orig'!BB101</f>
        <v>46.912203107123602</v>
      </c>
      <c r="BC101" t="str">
        <f>'Costing 100 Lmin Feed Orig'!BC101</f>
        <v>coeFc</v>
      </c>
      <c r="BD101">
        <f>'Costing 100 Lmin Feed Orig'!BD101</f>
        <v>1</v>
      </c>
      <c r="BE101">
        <f>'Costing 100 Lmin Feed Orig'!BE101</f>
        <v>1.8775014999999999E-2</v>
      </c>
      <c r="BF101">
        <f>'Costing 100 Lmin Feed Orig'!BF101</f>
        <v>0.10492961100000001</v>
      </c>
      <c r="BG101">
        <f>'Costing 100 Lmin Feed Orig'!BG101</f>
        <v>1.814625E-3</v>
      </c>
      <c r="BH101">
        <f>'Costing 100 Lmin Feed Orig'!BH101</f>
        <v>285.1951444</v>
      </c>
      <c r="BI101">
        <f>'Costing 100 Lmin Feed Orig'!BI101</f>
        <v>2169.8944889999998</v>
      </c>
      <c r="BJ101">
        <f>'Costing 100 Lmin Feed Orig'!BJ101</f>
        <v>866.49409060000005</v>
      </c>
      <c r="BK101">
        <f>'Costing 100 Lmin Feed Orig'!BK101</f>
        <v>100</v>
      </c>
      <c r="BL101">
        <f>'Costing 100 Lmin Feed Orig'!BL101</f>
        <v>10.952322309941399</v>
      </c>
      <c r="BM101">
        <f>'Costing 100 Lmin Feed Orig'!BM101</f>
        <v>92.356857683566091</v>
      </c>
      <c r="BN101">
        <f>'Costing 100 Lmin Feed Orig'!BN101</f>
        <v>19.687171261743899</v>
      </c>
      <c r="BO101">
        <f t="shared" si="22"/>
        <v>306.6650246783592</v>
      </c>
      <c r="BP101">
        <f t="shared" si="23"/>
        <v>590.61513785231693</v>
      </c>
      <c r="BQ101">
        <f t="shared" si="24"/>
        <v>30.666502467835922</v>
      </c>
      <c r="BR101">
        <f t="shared" si="25"/>
        <v>59.061513785231696</v>
      </c>
      <c r="BS101">
        <f>1.2*0.5*BL101*V101/'Oxidant Feed Composition'!$N$22</f>
        <v>6.5713933859648392</v>
      </c>
      <c r="BT101">
        <f>1.2*0.5*BN101*BA101/'Oxidant Feed Composition'!$N$22</f>
        <v>11.812302757046339</v>
      </c>
      <c r="BU101">
        <f t="shared" si="26"/>
        <v>5.4761611549706997</v>
      </c>
      <c r="BV101">
        <f t="shared" si="27"/>
        <v>9.8435856308719494</v>
      </c>
      <c r="BW101">
        <f t="shared" si="28"/>
        <v>86.880696528595394</v>
      </c>
      <c r="BX101">
        <f t="shared" si="21"/>
        <v>35.047431391812481</v>
      </c>
      <c r="BY101">
        <f t="shared" si="29"/>
        <v>206.61835998701497</v>
      </c>
      <c r="BZ101">
        <f t="shared" si="30"/>
        <v>62.998948037580476</v>
      </c>
      <c r="CA101">
        <f t="shared" si="31"/>
        <v>59.061513785231696</v>
      </c>
      <c r="CB101">
        <f>BO101*'Reagent cost'!$G$11*'Reagent cost'!$H$11</f>
        <v>4047.9783257543413</v>
      </c>
      <c r="CC101">
        <f>BP101*'Reagent cost'!$G$11*'Reagent cost'!$H$11</f>
        <v>7796.1198196505838</v>
      </c>
      <c r="CD101">
        <f>BQ101*'Reagent cost'!$C$18/1000*'Reagent cost'!$H$18</f>
        <v>4890.707695899031</v>
      </c>
      <c r="CE101">
        <f>BR101*'Ligand cost'!$B$56*'Ligand cost'!$J$56</f>
        <v>60132.165074850724</v>
      </c>
      <c r="CF101">
        <f t="shared" si="32"/>
        <v>10</v>
      </c>
      <c r="CG101">
        <f t="shared" si="33"/>
        <v>2.19046446198828</v>
      </c>
      <c r="CH101">
        <f t="shared" si="34"/>
        <v>3.9374342523487798</v>
      </c>
      <c r="CI101">
        <f>7963.6*(BX101/1000)^0.6*1.7*('CAPEX+OPEX'!$G$116/'CAPEX+OPEX'!$G$115)</f>
        <v>2138.1326451989207</v>
      </c>
      <c r="CJ101">
        <f>7963.6*(BY101/1000)^0.6*1.7*('CAPEX+OPEX'!$G$116/'CAPEX+OPEX'!$G$115)</f>
        <v>6199.2945816251477</v>
      </c>
      <c r="CK101">
        <f>7963.6*(BZ101/1000)^0.6*1.7*('CAPEX+OPEX'!$G$116/'CAPEX+OPEX'!$G$115)</f>
        <v>3039.7712730273583</v>
      </c>
      <c r="CL101">
        <f>7963.6*(CA101/1000)^0.6*1.7*('CAPEX+OPEX'!$G$116/'CAPEX+OPEX'!$G$115)</f>
        <v>2924.3117702301279</v>
      </c>
      <c r="CM101">
        <f>'Costing 100 Lmin Feed Orig'!DE101</f>
        <v>39625.826528698344</v>
      </c>
      <c r="CN101">
        <f>'Costing 100 Lmin Feed Orig'!DF101</f>
        <v>4586243.4239371875</v>
      </c>
      <c r="CO101">
        <f>'Costing 100 Lmin Feed Orig'!DG101</f>
        <v>11794834.586807497</v>
      </c>
      <c r="CP101">
        <f>'Costing 100 Lmin Feed Orig'!DH101</f>
        <v>2275209.1661185985</v>
      </c>
      <c r="CQ101">
        <f>'Costing 100 Lmin Feed Orig'!DI101</f>
        <v>14083914.336508472</v>
      </c>
      <c r="CR101">
        <f>'Costing 100 Lmin Feed Orig'!DJ101</f>
        <v>1662824.8986326549</v>
      </c>
      <c r="CS101">
        <f>CN101*(BK101/10000)^0.72*((A101+1)/3)^0.6*('CAPEX+OPEX'!$G$116/'CAPEX+OPEX'!$G$114)</f>
        <v>936765.86395108781</v>
      </c>
      <c r="CT101">
        <f>CO101*(BK101/10000)^0.72*((A101+1)/3)^0.6*('CAPEX+OPEX'!$G$116/'CAPEX+OPEX'!$G$114)</f>
        <v>2409160.916797909</v>
      </c>
      <c r="CU101">
        <f>CP101*(BK101/10000)^0.72*((A101+1)/3)^0.6*('CAPEX+OPEX'!$G$116/'CAPEX+OPEX'!$G$114)</f>
        <v>464724.19432521454</v>
      </c>
      <c r="CV101">
        <f>CQ101*(BK101/10000)^0.72*((A101+1)/3)^0.6*('CAPEX+OPEX'!$G$116/'CAPEX+OPEX'!$G$114)</f>
        <v>2876718.2553791031</v>
      </c>
      <c r="CW101">
        <f>CR101*(BK101/10000)^0.72*((A101+1)/3)^0.6*('CAPEX+OPEX'!$G$116/'CAPEX+OPEX'!$G$114)</f>
        <v>339641.28346021532</v>
      </c>
      <c r="CX101">
        <f t="shared" si="35"/>
        <v>7027010.5139135299</v>
      </c>
      <c r="CY101">
        <f>CN101*(BM101/10000)^0.72*((AF101+1)/3)^0.6*('CAPEX+OPEX'!$G$116/'CAPEX+OPEX'!$G$114)</f>
        <v>924867.78691671521</v>
      </c>
      <c r="CZ101">
        <f>CO101*(BM101/10000)^0.72*((AF101+1)/3)^0.6*('CAPEX+OPEX'!$G$116/'CAPEX+OPEX'!$G$114)</f>
        <v>2378561.6141553461</v>
      </c>
      <c r="DA101">
        <f>CP101*(BM101/10000)^0.72*((AF101+1)/3)^0.6*('CAPEX+OPEX'!$G$116/'CAPEX+OPEX'!$G$114)</f>
        <v>458821.62626995199</v>
      </c>
      <c r="DB101">
        <f>CQ101*(BM101/10000)^0.72*((AF101+1)/3)^0.6*('CAPEX+OPEX'!$G$116/'CAPEX+OPEX'!$G$114)</f>
        <v>2840180.400269479</v>
      </c>
      <c r="DC101">
        <f>CR101*(BM101/10000)^0.72*((AF101+1)/3)^0.6*('CAPEX+OPEX'!$G$116/'CAPEX+OPEX'!$G$114)</f>
        <v>335327.4220032891</v>
      </c>
      <c r="DD101">
        <f t="shared" si="36"/>
        <v>6937758.8496147813</v>
      </c>
      <c r="DE101">
        <f>CX101+DD101+1.15*(SUM(CI101:CL101)+SUM(CB101:CE101))</f>
        <v>14069613.116892483</v>
      </c>
      <c r="DF101">
        <f t="shared" si="37"/>
        <v>937974.20779283217</v>
      </c>
      <c r="DG101">
        <f>(BS101+BT101)*'Oxidant Feed Composition'!$N$25*60*7200</f>
        <v>14805368.528367279</v>
      </c>
      <c r="DH101">
        <f>((CG101+CH101)*'Reagent cost'!$C$17/1000*'Reagent cost'!$H$17+(CG101+CH101)*0.5*'Reagent cost'!$C$16/1000*'Reagent cost'!$H$16)*60*7200</f>
        <v>5900275.2203175751</v>
      </c>
      <c r="DI101">
        <f>CF101*'Reagent cost'!$C$17/1000*'Reagent cost'!$H$17*60*7200</f>
        <v>504921.59999999998</v>
      </c>
      <c r="DJ101">
        <f t="shared" si="38"/>
        <v>118.44098145404925</v>
      </c>
      <c r="DK101">
        <f t="shared" si="39"/>
        <v>1300.4574554149951</v>
      </c>
      <c r="DL101">
        <f t="shared" si="40"/>
        <v>25454381.096546069</v>
      </c>
      <c r="DM101">
        <f>BK101*(B101*(409.81+2)/1000+C101*(248.2+2*22.99)/1000+D101*(315.6+3*22.99)/1000+0.1*58.44/1000)</f>
        <v>0.70639694042110623</v>
      </c>
      <c r="DN101">
        <f>(BS101+BT101)/1000*('Oxidant Feed Composition'!$B$11*'Oxidant Feed Composition'!$O$20+'Oxidant Feed Composition'!$D$11*'Oxidant Feed Composition'!$O$21+'Oxidant Feed Composition'!$F$11*'Oxidant Feed Composition'!$O$27-'Oxidant Feed Composition'!$J$15*18.015)</f>
        <v>2.1469314975613343</v>
      </c>
      <c r="DO101">
        <f>(BU101+BV101)/1000*(0.2*368.34+0.4*58.44)</f>
        <v>1.4866895070853141</v>
      </c>
      <c r="DP101">
        <f>BK101/1000*(B101*195.08+C101*106.42+D101*102.91)</f>
        <v>4.999938342565946E-2</v>
      </c>
      <c r="DQ101">
        <f>SUM(DM101:DO101)-DP101</f>
        <v>4.2900185616420945</v>
      </c>
      <c r="DR101">
        <f>DQ101*60*7200*0.33</f>
        <v>611585.04614769702</v>
      </c>
      <c r="DS101">
        <v>1.2</v>
      </c>
      <c r="DT101">
        <f>BM101/60*(AM101*4+AN101*2+AO101*3)*96485/DV101</f>
        <v>1405.8801244031877</v>
      </c>
      <c r="DU101">
        <f>BN101*BA101*(AP101*4+AQ101*2+AR101*3)*96485/DV101/60</f>
        <v>705.80157063484023</v>
      </c>
      <c r="DV101">
        <v>0.7</v>
      </c>
      <c r="DW101">
        <f>0.499*((BK101/3.78541*15)^(-0.146))*BK101/3.78541*15*300*(1+(A101-2)/9)</f>
        <v>52288.524762496963</v>
      </c>
      <c r="DX101">
        <f>0.248*((BK101/3.78541*15)^(-0.144))*BK101/3.78541*15*300*(1+(A101-2)/3)</f>
        <v>53983.928663982973</v>
      </c>
      <c r="DY101">
        <f>0.105*((BK101/3.78541*15)^(-0.144))*BK101/3.78541*15*300*(1+(A101-2)/3)</f>
        <v>22856.098829508919</v>
      </c>
      <c r="DZ101">
        <f>0.058*((BK101/3.78541*15)^(-0.151))*BK101/3.78541*15*300*(1+(A101-2)/3)</f>
        <v>12107.513206066582</v>
      </c>
      <c r="EA101">
        <f>0.056*((BK101/3.78541*15)^(-0.144))*BK101/3.78541*15*300*(1+(A101-2)/3)</f>
        <v>12189.919375738094</v>
      </c>
      <c r="EB101">
        <f>DS101*DT101/(3.6*10^6)*3600*7200*0.07</f>
        <v>850.27629923904806</v>
      </c>
      <c r="EC101">
        <f>0.499*((BM101/3.78541*15)^(-0.146))*BM101/3.78541*15*300*(1+(AF101-2)/9)</f>
        <v>51427.265951732537</v>
      </c>
      <c r="ED101">
        <f>0.248*((BM101/3.78541*15)^(-0.144))*BM101/3.78541*15*300*(1+(AF101-2)/3)</f>
        <v>54311.370411485019</v>
      </c>
      <c r="EE101">
        <f>0.105*((BM101/3.78541*15)^(-0.144))*BM101/3.78541*15*300*(1+(AF101-2)/3)</f>
        <v>22994.733440346474</v>
      </c>
      <c r="EF101">
        <f>0.058*((BM101/3.78541*15)^(-0.151))*BM101/3.78541*15*300*(1+(AF101-2)/3)</f>
        <v>12187.733285671078</v>
      </c>
      <c r="EG101">
        <f>0.056*((BM101/3.78541*15)^(-0.144))*BM101/3.78541*15*300*(1+(AF101-2)/3)</f>
        <v>12263.857834851457</v>
      </c>
      <c r="EH101">
        <f>DS101*DU101/(3.6*10^6)*3600*7200*0.07</f>
        <v>426.86878991995138</v>
      </c>
      <c r="EI101">
        <f>SUM(DW101:EH101)</f>
        <v>307888.0908510391</v>
      </c>
      <c r="EJ101">
        <f>EI101+DR101+DL101</f>
        <v>26373854.233544804</v>
      </c>
      <c r="EK101">
        <f>EJ101+DF101</f>
        <v>27311828.441337638</v>
      </c>
      <c r="EL101">
        <f>EK101/(BK101*60*7200)</f>
        <v>0.63221825095688977</v>
      </c>
      <c r="EM101">
        <f>EK101/(BM101*(AM101*195.084/1000+AN101*106.42/1000+AO101*102.911/1000)*60*7200)</f>
        <v>2115.0668042183147</v>
      </c>
      <c r="EN101">
        <f>EK101/(BN101*BA101*(AP101*195.084/1000+AQ101*106.42/1000+AR101*102.911/1000)*60*7200)</f>
        <v>3881.6740488209757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9A83-1AE1-490C-B0BE-68AA9D293B4F}">
  <dimension ref="A1:EN101"/>
  <sheetViews>
    <sheetView topLeftCell="DS1" workbookViewId="0">
      <selection activeCell="EK1" sqref="EK1:EN101"/>
    </sheetView>
  </sheetViews>
  <sheetFormatPr defaultRowHeight="15"/>
  <cols>
    <col min="111" max="111" width="31.85546875" bestFit="1" customWidth="1"/>
    <col min="112" max="112" width="33.5703125" bestFit="1" customWidth="1"/>
    <col min="113" max="113" width="18" bestFit="1" customWidth="1"/>
    <col min="114" max="114" width="34.28515625" bestFit="1" customWidth="1"/>
    <col min="115" max="115" width="25.85546875" bestFit="1" customWidth="1"/>
    <col min="116" max="116" width="33.42578125" bestFit="1" customWidth="1"/>
    <col min="122" max="122" width="28" bestFit="1" customWidth="1"/>
    <col min="139" max="139" width="12" bestFit="1" customWidth="1"/>
    <col min="141" max="141" width="12" bestFit="1" customWidth="1"/>
    <col min="142" max="142" width="21.5703125" bestFit="1" customWidth="1"/>
    <col min="143" max="143" width="18.85546875" bestFit="1" customWidth="1"/>
    <col min="144" max="144" width="19.28515625" bestFit="1" customWidth="1"/>
  </cols>
  <sheetData>
    <row r="1" spans="1:144">
      <c r="A1" t="str">
        <f>'Costing 100 Lmin Feed Orig'!A1</f>
        <v>S1 Stages</v>
      </c>
      <c r="B1" t="str">
        <f>'Costing 100 Lmin Feed Orig'!B1</f>
        <v>S1 C_Pt_in [M]</v>
      </c>
      <c r="C1" t="str">
        <f>'Costing 100 Lmin Feed Orig'!C1</f>
        <v>S1 C_Pd_in [M]</v>
      </c>
      <c r="D1" t="str">
        <f>'Costing 100 Lmin Feed Orig'!D1</f>
        <v>S1 C_Rh_in [M]</v>
      </c>
      <c r="E1" t="str">
        <f>'Costing 100 Lmin Feed Orig'!E1</f>
        <v>S1 q_Pt_in [mol PGM/mol ligand]</v>
      </c>
      <c r="F1" t="str">
        <f>'Costing 100 Lmin Feed Orig'!F1</f>
        <v>S1 q_Pd_in [mol PGM/mol ligand]</v>
      </c>
      <c r="G1" t="str">
        <f>'Costing 100 Lmin Feed Orig'!G1</f>
        <v>S1 q_Rh_in [mol PGM/mol ligand]</v>
      </c>
      <c r="H1" t="str">
        <f>'Costing 100 Lmin Feed Orig'!H1</f>
        <v>S1 C_Pt_out [M]</v>
      </c>
      <c r="I1" t="str">
        <f>'Costing 100 Lmin Feed Orig'!I1</f>
        <v>S1 C_Pd_out [M]</v>
      </c>
      <c r="J1" t="str">
        <f>'Costing 100 Lmin Feed Orig'!J1</f>
        <v>S1 C_Rh_out [M]</v>
      </c>
      <c r="K1" t="str">
        <f>'Costing 100 Lmin Feed Orig'!K1</f>
        <v>S1 q_Pt_out [mol PGM/mol ligand]</v>
      </c>
      <c r="L1" t="str">
        <f>'Costing 100 Lmin Feed Orig'!L1</f>
        <v>S1 q_Pd_out [mol PGM/mol ligand]</v>
      </c>
      <c r="M1" t="str">
        <f>'Costing 100 Lmin Feed Orig'!M1</f>
        <v>S1 q_Rh_out [mol PGM/mol ligand]</v>
      </c>
      <c r="N1" t="str">
        <f>'Costing 100 Lmin Feed Orig'!N1</f>
        <v>S1 Material Residual Pt [mol PGM/time]</v>
      </c>
      <c r="O1" t="str">
        <f>'Costing 100 Lmin Feed Orig'!O1</f>
        <v>S1 Material Residual Pd [mol PGM/time]</v>
      </c>
      <c r="P1" t="str">
        <f>'Costing 100 Lmin Feed Orig'!P1</f>
        <v>S1 Material Residual Rh [mol PGM/time]</v>
      </c>
      <c r="Q1" t="str">
        <f>'Costing 100 Lmin Feed Orig'!Q1</f>
        <v>S1 Q_org [L/time]</v>
      </c>
      <c r="R1" t="str">
        <f>'Costing 100 Lmin Feed Orig'!R1</f>
        <v>S1 PGM Recovery [%]</v>
      </c>
      <c r="S1" t="str">
        <f>'Costing 100 Lmin Feed Orig'!S1</f>
        <v>S1 PPM Mass Total Feed [mg/L]</v>
      </c>
      <c r="T1" t="str">
        <f>'Costing 100 Lmin Feed Orig'!T1</f>
        <v>S1 PGM Relative Purity [%]</v>
      </c>
      <c r="U1" t="str">
        <f>'Costing 100 Lmin Feed Orig'!U1</f>
        <v>S1 Q_aq [L/time]</v>
      </c>
      <c r="V1" t="str">
        <f>'Costing 100 Lmin Feed Orig'!V1</f>
        <v>S1 C_lig [L/time]</v>
      </c>
      <c r="W1" t="str">
        <f>'Costing 100 Lmin Feed Orig'!W1</f>
        <v>S1 Q_aq/(Q_org*C_lig) [1/M]</v>
      </c>
      <c r="X1" t="str">
        <f>'Costing 100 Lmin Feed Orig'!X1</f>
        <v>S1 Ligand</v>
      </c>
      <c r="Y1" t="str">
        <f>'Costing 100 Lmin Feed Orig'!Y1</f>
        <v>S1 ier</v>
      </c>
      <c r="Z1" t="str">
        <f>'Costing 100 Lmin Feed Orig'!Z1</f>
        <v>S1 q_max_Pt</v>
      </c>
      <c r="AA1" t="str">
        <f>'Costing 100 Lmin Feed Orig'!AA1</f>
        <v>S1 q_max_Pd</v>
      </c>
      <c r="AB1" t="str">
        <f>'Costing 100 Lmin Feed Orig'!AB1</f>
        <v>S1 q_max_Rh</v>
      </c>
      <c r="AC1" t="str">
        <f>'Costing 100 Lmin Feed Orig'!AC1</f>
        <v>S1 K_eq_Pt</v>
      </c>
      <c r="AD1" t="str">
        <f>'Costing 100 Lmin Feed Orig'!AD1</f>
        <v>S1 K_eq_Pd</v>
      </c>
      <c r="AE1" t="str">
        <f>'Costing 100 Lmin Feed Orig'!AE1</f>
        <v>S1 K_eq_Rh</v>
      </c>
      <c r="AF1" t="str">
        <f>'Costing 100 Lmin Feed Orig'!AF1</f>
        <v>S2 Stages</v>
      </c>
      <c r="AG1" t="str">
        <f>'Costing 100 Lmin Feed Orig'!AG1</f>
        <v>S2 C_Pt_in [M]</v>
      </c>
      <c r="AH1" t="str">
        <f>'Costing 100 Lmin Feed Orig'!AH1</f>
        <v>S2 C_Pd_in [M]</v>
      </c>
      <c r="AI1" t="str">
        <f>'Costing 100 Lmin Feed Orig'!AI1</f>
        <v>S2 C_Rh_in [M]</v>
      </c>
      <c r="AJ1" t="str">
        <f>'Costing 100 Lmin Feed Orig'!AJ1</f>
        <v>S2 q_Pt_in [mol PGM/mol ligand]</v>
      </c>
      <c r="AK1" t="str">
        <f>'Costing 100 Lmin Feed Orig'!AK1</f>
        <v>S2 q_Pd_in [mol PGM/mol ligand]</v>
      </c>
      <c r="AL1" t="str">
        <f>'Costing 100 Lmin Feed Orig'!AL1</f>
        <v>S2 q_Rh_in [mol PGM/mol ligand]</v>
      </c>
      <c r="AM1" t="str">
        <f>'Costing 100 Lmin Feed Orig'!AM1</f>
        <v>S2 C_Pt_out [M]</v>
      </c>
      <c r="AN1" t="str">
        <f>'Costing 100 Lmin Feed Orig'!AN1</f>
        <v>S2 C_Pd_out [M]</v>
      </c>
      <c r="AO1" t="str">
        <f>'Costing 100 Lmin Feed Orig'!AO1</f>
        <v>S2 C_Rh_out [M]</v>
      </c>
      <c r="AP1" t="str">
        <f>'Costing 100 Lmin Feed Orig'!AP1</f>
        <v>S2 q_Pt_out [mol PGM/mol ligand]</v>
      </c>
      <c r="AQ1" t="str">
        <f>'Costing 100 Lmin Feed Orig'!AQ1</f>
        <v>S2 q_Pd_out [mol PGM/mol ligand]</v>
      </c>
      <c r="AR1" t="str">
        <f>'Costing 100 Lmin Feed Orig'!AR1</f>
        <v>S2 q_Rh_out [mol PGM/mol ligand]</v>
      </c>
      <c r="AS1" t="str">
        <f>'Costing 100 Lmin Feed Orig'!AS1</f>
        <v>S2 Material Residual Pt [mol PGM/time]</v>
      </c>
      <c r="AT1" t="str">
        <f>'Costing 100 Lmin Feed Orig'!AT1</f>
        <v>S2 Material Residual Pd [mol PGM/time]</v>
      </c>
      <c r="AU1" t="str">
        <f>'Costing 100 Lmin Feed Orig'!AU1</f>
        <v>S2 Material Residual Rh [mol PGM/time]</v>
      </c>
      <c r="AV1" t="str">
        <f>'Costing 100 Lmin Feed Orig'!AV1</f>
        <v>S2 Q_org [L/time]</v>
      </c>
      <c r="AW1" t="str">
        <f>'Costing 100 Lmin Feed Orig'!AW1</f>
        <v>S2 PGM Recovery [%]</v>
      </c>
      <c r="AX1" t="str">
        <f>'Costing 100 Lmin Feed Orig'!AX1</f>
        <v>S2 PPM Mass Total Feed [mg/L]</v>
      </c>
      <c r="AY1" t="str">
        <f>'Costing 100 Lmin Feed Orig'!AY1</f>
        <v>S2 PGM Relative Purity [%]</v>
      </c>
      <c r="AZ1" t="str">
        <f>'Costing 100 Lmin Feed Orig'!AZ1</f>
        <v>S2 Q_aq [L/time]</v>
      </c>
      <c r="BA1" t="str">
        <f>'Costing 100 Lmin Feed Orig'!BA1</f>
        <v>S2 C_lig [L/time]</v>
      </c>
      <c r="BB1" t="str">
        <f>'Costing 100 Lmin Feed Orig'!BB1</f>
        <v>S2 Q_aq/(Q_org*C_lig) [1/M]</v>
      </c>
      <c r="BC1" t="str">
        <f>'Costing 100 Lmin Feed Orig'!BC1</f>
        <v>S2 Ligand</v>
      </c>
      <c r="BD1" t="str">
        <f>'Costing 100 Lmin Feed Orig'!BD1</f>
        <v>S2 ier</v>
      </c>
      <c r="BE1" t="str">
        <f>'Costing 100 Lmin Feed Orig'!BE1</f>
        <v>S2 q_max_Pt</v>
      </c>
      <c r="BF1" t="str">
        <f>'Costing 100 Lmin Feed Orig'!BF1</f>
        <v>S2 q_max_Pd</v>
      </c>
      <c r="BG1" t="str">
        <f>'Costing 100 Lmin Feed Orig'!BG1</f>
        <v>S2 q_max_Rh</v>
      </c>
      <c r="BH1" t="str">
        <f>'Costing 100 Lmin Feed Orig'!BH1</f>
        <v>S2 K_eq_Pt</v>
      </c>
      <c r="BI1" t="str">
        <f>'Costing 100 Lmin Feed Orig'!BI1</f>
        <v>S2 K_eq_Pd</v>
      </c>
      <c r="BJ1" t="str">
        <f>'Costing 100 Lmin Feed Orig'!BJ1</f>
        <v>S2 K_eq_Rh</v>
      </c>
      <c r="BK1" t="str">
        <f>'Costing 100 Lmin Feed Orig'!BK1</f>
        <v>S1 Q_aq Costing [L/min]</v>
      </c>
      <c r="BL1" t="str">
        <f>'Costing 100 Lmin Feed Orig'!BL1</f>
        <v>S1 Q_org Costing [L/min]</v>
      </c>
      <c r="BM1" t="str">
        <f>'Costing 100 Lmin Feed Orig'!BM1</f>
        <v>S2 Q_aq Costing [L/min]</v>
      </c>
      <c r="BN1" t="str">
        <f>'Costing 100 Lmin Feed Orig'!BN1</f>
        <v>S2 Q_org Costing [L/min]</v>
      </c>
      <c r="BO1" t="s">
        <v>438</v>
      </c>
      <c r="BP1" t="s">
        <v>439</v>
      </c>
      <c r="BQ1" t="s">
        <v>440</v>
      </c>
      <c r="BR1" t="s">
        <v>441</v>
      </c>
      <c r="BS1" t="s">
        <v>524</v>
      </c>
      <c r="BT1" t="s">
        <v>525</v>
      </c>
      <c r="BU1" t="s">
        <v>530</v>
      </c>
      <c r="BV1" t="s">
        <v>531</v>
      </c>
      <c r="BW1" t="s">
        <v>532</v>
      </c>
      <c r="BX1" t="s">
        <v>526</v>
      </c>
      <c r="BY1" t="s">
        <v>527</v>
      </c>
      <c r="BZ1" t="s">
        <v>528</v>
      </c>
      <c r="CA1" t="s">
        <v>529</v>
      </c>
      <c r="CB1" s="54" t="s">
        <v>533</v>
      </c>
      <c r="CC1" s="54" t="s">
        <v>534</v>
      </c>
      <c r="CD1" s="54" t="s">
        <v>535</v>
      </c>
      <c r="CE1" s="54" t="s">
        <v>536</v>
      </c>
      <c r="CF1" s="72" t="s">
        <v>537</v>
      </c>
      <c r="CG1" s="72" t="s">
        <v>538</v>
      </c>
      <c r="CH1" s="79" t="s">
        <v>553</v>
      </c>
      <c r="CI1" s="54" t="s">
        <v>539</v>
      </c>
      <c r="CJ1" s="54" t="s">
        <v>540</v>
      </c>
      <c r="CK1" s="54" t="s">
        <v>541</v>
      </c>
      <c r="CL1" s="54" t="s">
        <v>542</v>
      </c>
      <c r="CM1" t="str">
        <f>'Costing 100 Lmin Feed Orig'!DE1</f>
        <v>10000 L/min to ST [for costing]</v>
      </c>
      <c r="CN1" s="72" t="s">
        <v>543</v>
      </c>
      <c r="CO1" s="72" t="s">
        <v>544</v>
      </c>
      <c r="CP1" s="72" t="s">
        <v>545</v>
      </c>
      <c r="CQ1" s="72" t="s">
        <v>546</v>
      </c>
      <c r="CR1" s="72" t="s">
        <v>547</v>
      </c>
      <c r="CS1" s="79" t="s">
        <v>356</v>
      </c>
      <c r="CT1" s="55" t="s">
        <v>357</v>
      </c>
      <c r="CU1" s="55" t="s">
        <v>358</v>
      </c>
      <c r="CV1" s="55" t="s">
        <v>359</v>
      </c>
      <c r="CW1" s="55" t="s">
        <v>360</v>
      </c>
      <c r="CX1" s="54" t="s">
        <v>548</v>
      </c>
      <c r="CY1" s="79" t="s">
        <v>363</v>
      </c>
      <c r="CZ1" s="79" t="s">
        <v>364</v>
      </c>
      <c r="DA1" s="79" t="s">
        <v>365</v>
      </c>
      <c r="DB1" s="79" t="s">
        <v>366</v>
      </c>
      <c r="DC1" s="79" t="s">
        <v>367</v>
      </c>
      <c r="DD1" s="54" t="s">
        <v>549</v>
      </c>
      <c r="DE1" s="54" t="s">
        <v>550</v>
      </c>
      <c r="DF1" s="54" t="s">
        <v>374</v>
      </c>
      <c r="DG1" s="79" t="s">
        <v>551</v>
      </c>
      <c r="DH1" s="79" t="s">
        <v>552</v>
      </c>
      <c r="DI1" s="79" t="s">
        <v>554</v>
      </c>
      <c r="DJ1" s="79" t="s">
        <v>555</v>
      </c>
      <c r="DK1" s="79" t="s">
        <v>556</v>
      </c>
      <c r="DL1" s="54" t="s">
        <v>557</v>
      </c>
      <c r="DM1" s="79" t="s">
        <v>561</v>
      </c>
      <c r="DN1" s="79" t="s">
        <v>562</v>
      </c>
      <c r="DO1" t="s">
        <v>563</v>
      </c>
      <c r="DP1" s="79" t="s">
        <v>564</v>
      </c>
      <c r="DQ1" s="79" t="s">
        <v>565</v>
      </c>
      <c r="DR1" s="54" t="s">
        <v>566</v>
      </c>
      <c r="DS1" s="79" t="s">
        <v>569</v>
      </c>
      <c r="DT1" s="79" t="s">
        <v>571</v>
      </c>
      <c r="DU1" t="s">
        <v>572</v>
      </c>
      <c r="DV1" s="79" t="s">
        <v>570</v>
      </c>
      <c r="DW1" t="s">
        <v>405</v>
      </c>
      <c r="DX1" t="s">
        <v>407</v>
      </c>
      <c r="DY1" t="s">
        <v>406</v>
      </c>
      <c r="DZ1" t="s">
        <v>410</v>
      </c>
      <c r="EA1" t="s">
        <v>411</v>
      </c>
      <c r="EB1" t="s">
        <v>567</v>
      </c>
      <c r="EC1" t="s">
        <v>413</v>
      </c>
      <c r="ED1" t="s">
        <v>408</v>
      </c>
      <c r="EE1" t="s">
        <v>409</v>
      </c>
      <c r="EF1" t="s">
        <v>416</v>
      </c>
      <c r="EG1" t="s">
        <v>415</v>
      </c>
      <c r="EH1" t="s">
        <v>568</v>
      </c>
      <c r="EI1" s="56" t="s">
        <v>573</v>
      </c>
      <c r="EJ1" s="56" t="s">
        <v>574</v>
      </c>
      <c r="EK1" s="56" t="s">
        <v>419</v>
      </c>
      <c r="EL1" s="56" t="s">
        <v>428</v>
      </c>
      <c r="EM1" s="56" t="s">
        <v>425</v>
      </c>
      <c r="EN1" s="56" t="s">
        <v>426</v>
      </c>
    </row>
    <row r="2" spans="1:144">
      <c r="A2">
        <f>'Costing 100 Lmin Feed Orig'!A2</f>
        <v>3</v>
      </c>
      <c r="B2">
        <f>'Costing 100 Lmin Feed Orig'!B2</f>
        <v>1.54143585092054E-3</v>
      </c>
      <c r="C2">
        <f>'Costing 100 Lmin Feed Orig'!C2</f>
        <v>1.54143585092054E-3</v>
      </c>
      <c r="D2">
        <f>'Costing 100 Lmin Feed Orig'!D2</f>
        <v>3.4254130020456501E-4</v>
      </c>
      <c r="E2">
        <f>'Costing 100 Lmin Feed Orig'!E2</f>
        <v>0</v>
      </c>
      <c r="F2">
        <f>'Costing 100 Lmin Feed Orig'!F2</f>
        <v>0</v>
      </c>
      <c r="G2">
        <f>'Costing 100 Lmin Feed Orig'!G2</f>
        <v>0</v>
      </c>
      <c r="H2">
        <f>'Costing 100 Lmin Feed Orig'!H2</f>
        <v>1.6300358850230801E-5</v>
      </c>
      <c r="I2">
        <f>'Costing 100 Lmin Feed Orig'!I2</f>
        <v>7.4474859607128495E-7</v>
      </c>
      <c r="J2">
        <f>'Costing 100 Lmin Feed Orig'!J2</f>
        <v>3.2385704147932398E-4</v>
      </c>
      <c r="K2">
        <f>'Costing 100 Lmin Feed Orig'!K2</f>
        <v>8.07271092797512E-2</v>
      </c>
      <c r="L2">
        <f>'Costing 100 Lmin Feed Orig'!L2</f>
        <v>8.15504849440159E-2</v>
      </c>
      <c r="M2">
        <f>'Costing 100 Lmin Feed Orig'!M2</f>
        <v>9.8897848995466706E-4</v>
      </c>
      <c r="N2">
        <f>'Costing 100 Lmin Feed Orig'!N2</f>
        <v>-9.8011876392689601E-17</v>
      </c>
      <c r="O2">
        <f>'Costing 100 Lmin Feed Orig'!O2</f>
        <v>1.94289029309402E-16</v>
      </c>
      <c r="P2">
        <f>'Costing 100 Lmin Feed Orig'!P2</f>
        <v>-4.3537493488870999E-18</v>
      </c>
      <c r="Q2">
        <f>'Costing 100 Lmin Feed Orig'!Q2</f>
        <v>0.18892482409907799</v>
      </c>
      <c r="R2">
        <f>'Costing 100 Lmin Feed Orig'!R2</f>
        <v>94.545399718491396</v>
      </c>
      <c r="S2">
        <f>'Costing 100 Lmin Feed Orig'!S2</f>
        <v>500</v>
      </c>
      <c r="T2">
        <f>'Costing 100 Lmin Feed Orig'!T2</f>
        <v>95</v>
      </c>
      <c r="U2">
        <f>'Costing 100 Lmin Feed Orig'!U2</f>
        <v>1</v>
      </c>
      <c r="V2">
        <f>'Costing 100 Lmin Feed Orig'!V2</f>
        <v>0.1</v>
      </c>
      <c r="W2">
        <f>'Costing 100 Lmin Feed Orig'!W2</f>
        <v>52.931106580020597</v>
      </c>
      <c r="X2" t="str">
        <f>'Costing 100 Lmin Feed Orig'!X2</f>
        <v>ddFc</v>
      </c>
      <c r="Y2">
        <f>'Costing 100 Lmin Feed Orig'!Y2</f>
        <v>1</v>
      </c>
      <c r="Z2">
        <f>'Costing 100 Lmin Feed Orig'!Z2</f>
        <v>0.28318429382522198</v>
      </c>
      <c r="AA2">
        <f>'Costing 100 Lmin Feed Orig'!AA2</f>
        <v>0.56945642916197003</v>
      </c>
      <c r="AB2">
        <f>'Costing 100 Lmin Feed Orig'!AB2</f>
        <v>3.7698628972227502E-3</v>
      </c>
      <c r="AC2">
        <f>'Costing 100 Lmin Feed Orig'!AC2</f>
        <v>1822.2107908876901</v>
      </c>
      <c r="AD2">
        <f>'Costing 100 Lmin Feed Orig'!AD2</f>
        <v>2662.6059073104898</v>
      </c>
      <c r="AE2">
        <f>'Costing 100 Lmin Feed Orig'!AE2</f>
        <v>2401.5030938442701</v>
      </c>
      <c r="AF2">
        <f>'Costing 100 Lmin Feed Orig'!AF2</f>
        <v>4</v>
      </c>
      <c r="AG2">
        <f>'Costing 100 Lmin Feed Orig'!AG2</f>
        <v>1.6455478770638001E-3</v>
      </c>
      <c r="AH2">
        <f>'Costing 100 Lmin Feed Orig'!AH2</f>
        <v>1.66233163271225E-3</v>
      </c>
      <c r="AI2">
        <f>'Costing 100 Lmin Feed Orig'!AI2</f>
        <v>2.0159416943409301E-5</v>
      </c>
      <c r="AJ2">
        <f>'Costing 100 Lmin Feed Orig'!AJ2</f>
        <v>0</v>
      </c>
      <c r="AK2">
        <f>'Costing 100 Lmin Feed Orig'!AK2</f>
        <v>0</v>
      </c>
      <c r="AL2">
        <f>'Costing 100 Lmin Feed Orig'!AL2</f>
        <v>0</v>
      </c>
      <c r="AM2">
        <f>'Costing 100 Lmin Feed Orig'!AM2</f>
        <v>1.5983351284394301E-3</v>
      </c>
      <c r="AN2">
        <f>'Costing 100 Lmin Feed Orig'!AN2</f>
        <v>6.4131851460064998E-5</v>
      </c>
      <c r="AO2">
        <f>'Costing 100 Lmin Feed Orig'!AO2</f>
        <v>1.99910500367739E-5</v>
      </c>
      <c r="AP2">
        <f>'Costing 100 Lmin Feed Orig'!AP2</f>
        <v>2.04098585158686E-3</v>
      </c>
      <c r="AQ2">
        <f>'Costing 100 Lmin Feed Orig'!AQ2</f>
        <v>6.9089456483383896E-2</v>
      </c>
      <c r="AR2">
        <f>'Costing 100 Lmin Feed Orig'!AR2</f>
        <v>7.2784255170584696E-6</v>
      </c>
      <c r="AS2">
        <f>'Costing 100 Lmin Feed Orig'!AS2</f>
        <v>-1.4297916149652499E-18</v>
      </c>
      <c r="AT2">
        <f>'Costing 100 Lmin Feed Orig'!AT2</f>
        <v>2.4286128663675299E-17</v>
      </c>
      <c r="AU2">
        <f>'Costing 100 Lmin Feed Orig'!AU2</f>
        <v>-3.7851784830426501E-21</v>
      </c>
      <c r="AV2">
        <f>'Costing 100 Lmin Feed Orig'!AV2</f>
        <v>0.21439625549974001</v>
      </c>
      <c r="AW2">
        <f>'Costing 100 Lmin Feed Orig'!AW2</f>
        <v>99.164822538727407</v>
      </c>
      <c r="AX2">
        <f>'Costing 100 Lmin Feed Orig'!AX2</f>
        <v>500</v>
      </c>
      <c r="AY2">
        <f>'Costing 100 Lmin Feed Orig'!AY2</f>
        <v>95</v>
      </c>
      <c r="AZ2">
        <f>'Costing 100 Lmin Feed Orig'!AZ2</f>
        <v>0.92682535301965796</v>
      </c>
      <c r="BA2">
        <f>'Costing 100 Lmin Feed Orig'!BA2</f>
        <v>0.1</v>
      </c>
      <c r="BB2">
        <f>'Costing 100 Lmin Feed Orig'!BB2</f>
        <v>43.229549455483898</v>
      </c>
      <c r="BC2" t="str">
        <f>'Costing 100 Lmin Feed Orig'!BC2</f>
        <v>coeFc</v>
      </c>
      <c r="BD2">
        <f>'Costing 100 Lmin Feed Orig'!BD2</f>
        <v>1</v>
      </c>
      <c r="BE2">
        <f>'Costing 100 Lmin Feed Orig'!BE2</f>
        <v>1.8775014999999999E-2</v>
      </c>
      <c r="BF2">
        <f>'Costing 100 Lmin Feed Orig'!BF2</f>
        <v>0.10492961100000001</v>
      </c>
      <c r="BG2">
        <f>'Costing 100 Lmin Feed Orig'!BG2</f>
        <v>1.814625E-3</v>
      </c>
      <c r="BH2">
        <f>'Costing 100 Lmin Feed Orig'!BH2</f>
        <v>285.1951444</v>
      </c>
      <c r="BI2">
        <f>'Costing 100 Lmin Feed Orig'!BI2</f>
        <v>2169.8944889999998</v>
      </c>
      <c r="BJ2">
        <f>'Costing 100 Lmin Feed Orig'!BJ2</f>
        <v>866.49409060000005</v>
      </c>
      <c r="BK2">
        <f>'Costing 100 Lmin Feed Orig'!BK2</f>
        <v>100</v>
      </c>
      <c r="BL2">
        <f>'Costing 100 Lmin Feed Orig'!BL2</f>
        <v>18.892482409907799</v>
      </c>
      <c r="BM2">
        <f>'Costing 100 Lmin Feed Orig'!BM2</f>
        <v>92.6825353019658</v>
      </c>
      <c r="BN2">
        <f>'Costing 100 Lmin Feed Orig'!BN2</f>
        <v>21.439625549974</v>
      </c>
      <c r="BO2">
        <f>(A2+2)*2*BL2</f>
        <v>188.92482409907799</v>
      </c>
      <c r="BP2">
        <f>(AF2+2)*2*BN2</f>
        <v>257.27550659968801</v>
      </c>
      <c r="BQ2">
        <f>BO2*V2</f>
        <v>18.892482409907799</v>
      </c>
      <c r="BR2">
        <f>BP2*BA2</f>
        <v>25.727550659968802</v>
      </c>
      <c r="BS2">
        <f>1.2*0.5*BL2*V2/'Oxidant Feed Composition'!$N$22</f>
        <v>11.335489445944679</v>
      </c>
      <c r="BT2">
        <f>1.2*0.5*BN2*BA2/'Oxidant Feed Composition'!$N$22</f>
        <v>12.863775329984399</v>
      </c>
      <c r="BU2">
        <f>V2*BL2/0.2</f>
        <v>9.4462412049538997</v>
      </c>
      <c r="BV2">
        <f>BA2*BN2/0.2</f>
        <v>10.719812774987</v>
      </c>
      <c r="BW2">
        <f>BM2-BU2</f>
        <v>83.236294097011893</v>
      </c>
      <c r="BX2">
        <f t="shared" ref="BX2:BX65" si="0">(BS2+BL2)*2</f>
        <v>60.455943711704961</v>
      </c>
      <c r="BY2">
        <f>(BU2+BW2+BL2)*2</f>
        <v>223.1500354237472</v>
      </c>
      <c r="BZ2">
        <f>(BT2+BN2)*2</f>
        <v>68.606801759916806</v>
      </c>
      <c r="CA2">
        <f>(BV2+BN2)*2</f>
        <v>64.318876649922004</v>
      </c>
      <c r="CB2">
        <f>BO2*'Reagent cost'!$G$11*'Reagent cost'!$H$11</f>
        <v>2493.8076781078298</v>
      </c>
      <c r="CC2">
        <f>BP2*'Reagent cost'!$G$11*'Reagent cost'!$H$11</f>
        <v>3396.0366871158817</v>
      </c>
      <c r="CD2">
        <f>BQ2*'Reagent cost'!$C$18/1000*'Reagent cost'!$H$18</f>
        <v>3012.9816471142385</v>
      </c>
      <c r="CE2">
        <f>BR2*'Ligand cost'!$B$56*'Ligand cost'!$J$56</f>
        <v>26193.932801696468</v>
      </c>
      <c r="CF2">
        <f>BK2*0.1</f>
        <v>10</v>
      </c>
      <c r="CG2">
        <f>BU2*0.4</f>
        <v>3.7784964819815601</v>
      </c>
      <c r="CH2">
        <f>BV2*0.4</f>
        <v>4.2879251099948004</v>
      </c>
      <c r="CI2">
        <f>7963.6*(BX2/1000)^0.6*1.7*('CAPEX+OPEX'!$G$116/'CAPEX+OPEX'!$G$115)</f>
        <v>2965.5437179814326</v>
      </c>
      <c r="CJ2">
        <f>7963.6*(BY2/1000)^0.6*1.7*('CAPEX+OPEX'!$G$116/'CAPEX+OPEX'!$G$115)</f>
        <v>6492.3078360569407</v>
      </c>
      <c r="CK2">
        <f>7963.6*(BZ2/1000)^0.6*1.7*('CAPEX+OPEX'!$G$116/'CAPEX+OPEX'!$G$115)</f>
        <v>3199.3461630818579</v>
      </c>
      <c r="CL2">
        <f>7963.6*(CA2/1000)^0.6*1.7*('CAPEX+OPEX'!$G$116/'CAPEX+OPEX'!$G$115)</f>
        <v>3077.8255340321039</v>
      </c>
      <c r="CM2">
        <f>'Costing 100 Lmin Feed Orig'!DE2</f>
        <v>39625.826528698344</v>
      </c>
      <c r="CN2">
        <f>'Costing 100 Lmin Feed Orig'!DF2</f>
        <v>4586243.4239371875</v>
      </c>
      <c r="CO2">
        <f>'Costing 100 Lmin Feed Orig'!DG2</f>
        <v>11794834.586807497</v>
      </c>
      <c r="CP2">
        <f>'Costing 100 Lmin Feed Orig'!DH2</f>
        <v>2275209.1661185985</v>
      </c>
      <c r="CQ2">
        <f>'Costing 100 Lmin Feed Orig'!DI2</f>
        <v>14083914.336508472</v>
      </c>
      <c r="CR2">
        <f>'Costing 100 Lmin Feed Orig'!DJ2</f>
        <v>1662824.8986326549</v>
      </c>
      <c r="CS2">
        <f>CN2*(BK2/10000)^0.72*((A2+1)/3)^0.6*('CAPEX+OPEX'!$G$116/'CAPEX+OPEX'!$G$114)</f>
        <v>461850.0978118488</v>
      </c>
      <c r="CT2">
        <f>CO2*(BK2/10000)^0.72*((A2+1)/3)^0.6*('CAPEX+OPEX'!$G$116/'CAPEX+OPEX'!$G$114)</f>
        <v>1187779.4098672394</v>
      </c>
      <c r="CU2">
        <f>CP2*(BK2/10000)^0.72*((A2+1)/3)^0.6*('CAPEX+OPEX'!$G$116/'CAPEX+OPEX'!$G$114)</f>
        <v>229121.19544936769</v>
      </c>
      <c r="CV2">
        <f>CQ2*(BK2/10000)^0.72*((A2+1)/3)^0.6*('CAPEX+OPEX'!$G$116/'CAPEX+OPEX'!$G$114)</f>
        <v>1418297.4196136401</v>
      </c>
      <c r="CW2">
        <f>CR2*(BK2/10000)^0.72*((A2+1)/3)^0.6*('CAPEX+OPEX'!$G$116/'CAPEX+OPEX'!$G$114)</f>
        <v>167452.04540804314</v>
      </c>
      <c r="CX2">
        <f>SUM(CS2:CW2)</f>
        <v>3464500.168150139</v>
      </c>
      <c r="CY2">
        <f>CN2*(BM2/10000)^0.72*((AF2+1)/3)^0.6*('CAPEX+OPEX'!$G$116/'CAPEX+OPEX'!$G$114)</f>
        <v>499902.7657598143</v>
      </c>
      <c r="CZ2">
        <f>CO2*(BM2/10000)^0.72*((AF2+1)/3)^0.6*('CAPEX+OPEX'!$G$116/'CAPEX+OPEX'!$G$114)</f>
        <v>1285642.7116035565</v>
      </c>
      <c r="DA2">
        <f>CP2*(BM2/10000)^0.72*((AF2+1)/3)^0.6*('CAPEX+OPEX'!$G$116/'CAPEX+OPEX'!$G$114)</f>
        <v>247998.90666255786</v>
      </c>
      <c r="DB2">
        <f>CQ2*(BM2/10000)^0.72*((AF2+1)/3)^0.6*('CAPEX+OPEX'!$G$116/'CAPEX+OPEX'!$G$114)</f>
        <v>1535153.5186286946</v>
      </c>
      <c r="DC2">
        <f>CR2*(BM2/10000)^0.72*((AF2+1)/3)^0.6*('CAPEX+OPEX'!$G$116/'CAPEX+OPEX'!$G$114)</f>
        <v>181248.72340228659</v>
      </c>
      <c r="DD2">
        <f>SUM(CY2:DC2)</f>
        <v>3749946.6260569096</v>
      </c>
      <c r="DE2">
        <f>CX2+DD2+1.15*(SUM(CI2:CL2)+SUM(CB2:CE2))</f>
        <v>7272903.3435820136</v>
      </c>
      <c r="DF2">
        <f>DE2/15</f>
        <v>484860.22290546756</v>
      </c>
      <c r="DG2">
        <f>(BS2+BT2)*'Oxidant Feed Composition'!$N$28*60*7200</f>
        <v>26905588.615149572</v>
      </c>
      <c r="DH2">
        <f>((CG2+CH2)*'Reagent cost'!$C$17/1000*'Reagent cost'!$H$17+(CG2+CH2)*0.5*'Reagent cost'!$C$16/1000*'Reagent cost'!$H$16*1.5)*60*7200</f>
        <v>11446540.694250587</v>
      </c>
      <c r="DI2">
        <f>CF2*'Reagent cost'!$C$17/1000*'Reagent cost'!$H$17*60*7200</f>
        <v>504921.59999999998</v>
      </c>
      <c r="DJ2">
        <f>(CB2+CC2)*0.01</f>
        <v>58.898443652237113</v>
      </c>
      <c r="DK2">
        <f>(CD2+CE2)*0.02</f>
        <v>584.13828897621408</v>
      </c>
      <c r="DL2">
        <f>SUM(DG2:DK2)*1.2</f>
        <v>46629232.735359341</v>
      </c>
      <c r="DM2">
        <f>BK2*(B2*(409.81+2)/1000+C2*(248.2+2*22.99)/1000+D2*(315.6+3*22.99)/1000+0.1*58.44/1000)</f>
        <v>0.70639694042110623</v>
      </c>
      <c r="DN2">
        <f>(BS2+BT2)/1000*('Oxidant Feed Composition'!$B$11*'Oxidant Feed Composition'!$O$20+'Oxidant Feed Composition'!$D$11*'Oxidant Feed Composition'!$O$21+'Oxidant Feed Composition'!$F$11*'Oxidant Feed Composition'!$O$27-'Oxidant Feed Composition'!$J$15*18.015)</f>
        <v>2.8261000051950802</v>
      </c>
      <c r="DO2">
        <f>(BU2+BV2)/1000*(0.2*368.34+0.4*58.44)</f>
        <v>1.9569945424293846</v>
      </c>
      <c r="DP2">
        <f>BK2/1000*(B2*195.08+C2*106.42+D2*102.91)</f>
        <v>4.999938342565946E-2</v>
      </c>
      <c r="DQ2">
        <f>SUM(DM2:DO2)-DP2</f>
        <v>5.4394921046199114</v>
      </c>
      <c r="DR2">
        <f>DQ2*60*7200*0.33</f>
        <v>775453.99443461455</v>
      </c>
      <c r="DS2">
        <v>1.2</v>
      </c>
      <c r="DT2">
        <f>BM2/60*(AM2*4+AN2*2+AO2*3)*96485/DV2</f>
        <v>1401.3235056334981</v>
      </c>
      <c r="DU2">
        <f>BN2*BA2*(AP2*4+AQ2*2+AR2*3)*96485/DV2/60</f>
        <v>720.88174659145932</v>
      </c>
      <c r="DV2">
        <v>0.7</v>
      </c>
      <c r="DW2">
        <f>0.499*((BK2/3.78541*15)^(-0.146))*BK2/3.78541*15*300*(1+(A2-2)/9)</f>
        <v>27520.276190787874</v>
      </c>
      <c r="DX2">
        <f>0.248*((BK2/3.78541*15)^(-0.144))*BK2/3.78541*15*300*(1+(A2-2)/3)</f>
        <v>16610.439588917834</v>
      </c>
      <c r="DY2">
        <f>0.105*((BK2/3.78541*15)^(-0.144))*BK2/3.78541*15*300*(1+(A2-2)/3)</f>
        <v>7032.645793695051</v>
      </c>
      <c r="DZ2">
        <f>0.058*((BK2/3.78541*15)^(-0.151))*BK2/3.78541*15*300*(1+(A2-2)/3)</f>
        <v>3725.3886787897172</v>
      </c>
      <c r="EA2">
        <f>0.056*((BK2/3.78541*15)^(-0.144))*BK2/3.78541*15*300*(1+(A2-2)/3)</f>
        <v>3750.7444233040283</v>
      </c>
      <c r="EB2">
        <f>DS2*DT2/(3.6*10^6)*3600*7200*0.07</f>
        <v>847.52045620713966</v>
      </c>
      <c r="EC2">
        <f>0.499*((BM2/3.78541*15)^(-0.146))*BM2/3.78541*15*300*(1+(AF2-2)/9)</f>
        <v>28370.153420241466</v>
      </c>
      <c r="ED2">
        <f>0.248*((BM2/3.78541*15)^(-0.144))*BM2/3.78541*15*300*(1+(AF2-2)/3)</f>
        <v>19455.45293762091</v>
      </c>
      <c r="EE2">
        <f>0.105*((BM2/3.78541*15)^(-0.144))*BM2/3.78541*15*300*(1+(AF2-2)/3)</f>
        <v>8237.1877356862715</v>
      </c>
      <c r="EF2">
        <f>0.058*((BM2/3.78541*15)^(-0.151))*BM2/3.78541*15*300*(1+(AF2-2)/3)</f>
        <v>4365.7898317079243</v>
      </c>
      <c r="EG2">
        <f>0.056*((BM2/3.78541*15)^(-0.144))*BM2/3.78541*15*300*(1+(AF2-2)/3)</f>
        <v>4393.1667923660125</v>
      </c>
      <c r="EH2">
        <f>DS2*DU2/(3.6*10^6)*3600*7200*0.07</f>
        <v>435.98928033851462</v>
      </c>
      <c r="EI2">
        <f>SUM(DW2:EH2)</f>
        <v>124744.75512966275</v>
      </c>
      <c r="EJ2">
        <f>EI2+DR2+DL2</f>
        <v>47529431.484923616</v>
      </c>
      <c r="EK2">
        <f>EJ2+DF2</f>
        <v>48014291.707829081</v>
      </c>
      <c r="EL2">
        <f>EK2/(BK2*60*7200)</f>
        <v>1.1114419376812288</v>
      </c>
      <c r="EM2">
        <f>EK2/(BM2*(AM2*195.084/1000+AN2*106.42/1000+AO2*102.911/1000)*60*7200)</f>
        <v>3739.3919705746248</v>
      </c>
      <c r="EN2">
        <f>EK2/(BN2*BA2*(AP2*195.084/1000+AQ2*106.42/1000+AR2*102.911/1000)*60*7200)</f>
        <v>6687.8838993178961</v>
      </c>
    </row>
    <row r="3" spans="1:144">
      <c r="A3">
        <f>'Costing 100 Lmin Feed Orig'!A3</f>
        <v>3</v>
      </c>
      <c r="B3">
        <f>'Costing 100 Lmin Feed Orig'!B3</f>
        <v>1.54143585092054E-3</v>
      </c>
      <c r="C3">
        <f>'Costing 100 Lmin Feed Orig'!C3</f>
        <v>1.54143585092054E-3</v>
      </c>
      <c r="D3">
        <f>'Costing 100 Lmin Feed Orig'!D3</f>
        <v>3.4254130020456501E-4</v>
      </c>
      <c r="E3">
        <f>'Costing 100 Lmin Feed Orig'!E3</f>
        <v>0</v>
      </c>
      <c r="F3">
        <f>'Costing 100 Lmin Feed Orig'!F3</f>
        <v>0</v>
      </c>
      <c r="G3">
        <f>'Costing 100 Lmin Feed Orig'!G3</f>
        <v>0</v>
      </c>
      <c r="H3">
        <f>'Costing 100 Lmin Feed Orig'!H3</f>
        <v>1.6300358850230801E-5</v>
      </c>
      <c r="I3">
        <f>'Costing 100 Lmin Feed Orig'!I3</f>
        <v>7.4474859607128495E-7</v>
      </c>
      <c r="J3">
        <f>'Costing 100 Lmin Feed Orig'!J3</f>
        <v>3.2385704147932398E-4</v>
      </c>
      <c r="K3">
        <f>'Costing 100 Lmin Feed Orig'!K3</f>
        <v>8.07271092797512E-2</v>
      </c>
      <c r="L3">
        <f>'Costing 100 Lmin Feed Orig'!L3</f>
        <v>8.15504849440159E-2</v>
      </c>
      <c r="M3">
        <f>'Costing 100 Lmin Feed Orig'!M3</f>
        <v>9.8897848995466706E-4</v>
      </c>
      <c r="N3">
        <f>'Costing 100 Lmin Feed Orig'!N3</f>
        <v>-9.8011876392689601E-17</v>
      </c>
      <c r="O3">
        <f>'Costing 100 Lmin Feed Orig'!O3</f>
        <v>1.94289029309402E-16</v>
      </c>
      <c r="P3">
        <f>'Costing 100 Lmin Feed Orig'!P3</f>
        <v>-4.3537493488870999E-18</v>
      </c>
      <c r="Q3">
        <f>'Costing 100 Lmin Feed Orig'!Q3</f>
        <v>0.18892482409907799</v>
      </c>
      <c r="R3">
        <f>'Costing 100 Lmin Feed Orig'!R3</f>
        <v>94.545399718491396</v>
      </c>
      <c r="S3">
        <f>'Costing 100 Lmin Feed Orig'!S3</f>
        <v>500</v>
      </c>
      <c r="T3">
        <f>'Costing 100 Lmin Feed Orig'!T3</f>
        <v>95</v>
      </c>
      <c r="U3">
        <f>'Costing 100 Lmin Feed Orig'!U3</f>
        <v>1</v>
      </c>
      <c r="V3">
        <f>'Costing 100 Lmin Feed Orig'!V3</f>
        <v>0.1</v>
      </c>
      <c r="W3">
        <f>'Costing 100 Lmin Feed Orig'!W3</f>
        <v>52.931106580020597</v>
      </c>
      <c r="X3" t="str">
        <f>'Costing 100 Lmin Feed Orig'!X3</f>
        <v>ddFc</v>
      </c>
      <c r="Y3">
        <f>'Costing 100 Lmin Feed Orig'!Y3</f>
        <v>1</v>
      </c>
      <c r="Z3">
        <f>'Costing 100 Lmin Feed Orig'!Z3</f>
        <v>0.28318429382522198</v>
      </c>
      <c r="AA3">
        <f>'Costing 100 Lmin Feed Orig'!AA3</f>
        <v>0.56945642916197003</v>
      </c>
      <c r="AB3">
        <f>'Costing 100 Lmin Feed Orig'!AB3</f>
        <v>3.7698628972227502E-3</v>
      </c>
      <c r="AC3">
        <f>'Costing 100 Lmin Feed Orig'!AC3</f>
        <v>1822.2107908876901</v>
      </c>
      <c r="AD3">
        <f>'Costing 100 Lmin Feed Orig'!AD3</f>
        <v>2662.6059073104898</v>
      </c>
      <c r="AE3">
        <f>'Costing 100 Lmin Feed Orig'!AE3</f>
        <v>2401.5030938442701</v>
      </c>
      <c r="AF3">
        <f>'Costing 100 Lmin Feed Orig'!AF3</f>
        <v>5</v>
      </c>
      <c r="AG3">
        <f>'Costing 100 Lmin Feed Orig'!AG3</f>
        <v>1.6455478770638001E-3</v>
      </c>
      <c r="AH3">
        <f>'Costing 100 Lmin Feed Orig'!AH3</f>
        <v>1.66233163271225E-3</v>
      </c>
      <c r="AI3">
        <f>'Costing 100 Lmin Feed Orig'!AI3</f>
        <v>2.0159416943409301E-5</v>
      </c>
      <c r="AJ3">
        <f>'Costing 100 Lmin Feed Orig'!AJ3</f>
        <v>0</v>
      </c>
      <c r="AK3">
        <f>'Costing 100 Lmin Feed Orig'!AK3</f>
        <v>0</v>
      </c>
      <c r="AL3">
        <f>'Costing 100 Lmin Feed Orig'!AL3</f>
        <v>0</v>
      </c>
      <c r="AM3">
        <f>'Costing 100 Lmin Feed Orig'!AM3</f>
        <v>1.6052842060858799E-3</v>
      </c>
      <c r="AN3">
        <f>'Costing 100 Lmin Feed Orig'!AN3</f>
        <v>6.4473619347604606E-5</v>
      </c>
      <c r="AO3">
        <f>'Costing 100 Lmin Feed Orig'!AO3</f>
        <v>2.0015023078929502E-5</v>
      </c>
      <c r="AP3">
        <f>'Costing 100 Lmin Feed Orig'!AP3</f>
        <v>1.83001337116067E-3</v>
      </c>
      <c r="AQ3">
        <f>'Costing 100 Lmin Feed Orig'!AQ3</f>
        <v>7.2623818410792906E-2</v>
      </c>
      <c r="AR3">
        <f>'Costing 100 Lmin Feed Orig'!AR3</f>
        <v>6.5628070240175303E-6</v>
      </c>
      <c r="AS3">
        <f>'Costing 100 Lmin Feed Orig'!AS3</f>
        <v>-1.0199428649750001E-15</v>
      </c>
      <c r="AT3">
        <f>'Costing 100 Lmin Feed Orig'!AT3</f>
        <v>-2.9988815250514499E-14</v>
      </c>
      <c r="AU3">
        <f>'Costing 100 Lmin Feed Orig'!AU3</f>
        <v>-1.2040043949627799E-18</v>
      </c>
      <c r="AV3">
        <f>'Costing 100 Lmin Feed Orig'!AV3</f>
        <v>0.20391867981453801</v>
      </c>
      <c r="AW3">
        <f>'Costing 100 Lmin Feed Orig'!AW3</f>
        <v>99.283739877571406</v>
      </c>
      <c r="AX3">
        <f>'Costing 100 Lmin Feed Orig'!AX3</f>
        <v>500</v>
      </c>
      <c r="AY3">
        <f>'Costing 100 Lmin Feed Orig'!AY3</f>
        <v>95</v>
      </c>
      <c r="AZ3">
        <f>'Costing 100 Lmin Feed Orig'!AZ3</f>
        <v>0.92682535301965796</v>
      </c>
      <c r="BA3">
        <f>'Costing 100 Lmin Feed Orig'!BA3</f>
        <v>0.1</v>
      </c>
      <c r="BB3">
        <f>'Costing 100 Lmin Feed Orig'!BB3</f>
        <v>45.450733295379898</v>
      </c>
      <c r="BC3" t="str">
        <f>'Costing 100 Lmin Feed Orig'!BC3</f>
        <v>coeFc</v>
      </c>
      <c r="BD3">
        <f>'Costing 100 Lmin Feed Orig'!BD3</f>
        <v>1</v>
      </c>
      <c r="BE3">
        <f>'Costing 100 Lmin Feed Orig'!BE3</f>
        <v>1.8775014999999999E-2</v>
      </c>
      <c r="BF3">
        <f>'Costing 100 Lmin Feed Orig'!BF3</f>
        <v>0.10492961100000001</v>
      </c>
      <c r="BG3">
        <f>'Costing 100 Lmin Feed Orig'!BG3</f>
        <v>1.814625E-3</v>
      </c>
      <c r="BH3">
        <f>'Costing 100 Lmin Feed Orig'!BH3</f>
        <v>285.1951444</v>
      </c>
      <c r="BI3">
        <f>'Costing 100 Lmin Feed Orig'!BI3</f>
        <v>2169.8944889999998</v>
      </c>
      <c r="BJ3">
        <f>'Costing 100 Lmin Feed Orig'!BJ3</f>
        <v>866.49409060000005</v>
      </c>
      <c r="BK3">
        <f>'Costing 100 Lmin Feed Orig'!BK3</f>
        <v>100</v>
      </c>
      <c r="BL3">
        <f>'Costing 100 Lmin Feed Orig'!BL3</f>
        <v>18.892482409907799</v>
      </c>
      <c r="BM3">
        <f>'Costing 100 Lmin Feed Orig'!BM3</f>
        <v>92.6825353019658</v>
      </c>
      <c r="BN3">
        <f>'Costing 100 Lmin Feed Orig'!BN3</f>
        <v>20.3918679814538</v>
      </c>
      <c r="BO3">
        <f t="shared" ref="BO3:BO66" si="1">(A3+2)*2*BL3</f>
        <v>188.92482409907799</v>
      </c>
      <c r="BP3">
        <f t="shared" ref="BP3:BP66" si="2">(AF3+2)*2*BN3</f>
        <v>285.48615174035319</v>
      </c>
      <c r="BQ3">
        <f t="shared" ref="BQ3:BQ66" si="3">BO3*V3</f>
        <v>18.892482409907799</v>
      </c>
      <c r="BR3">
        <f t="shared" ref="BR3:BR66" si="4">BP3*BA3</f>
        <v>28.548615174035319</v>
      </c>
      <c r="BS3">
        <f>1.2*0.5*BL3*V3/'Oxidant Feed Composition'!$N$22</f>
        <v>11.335489445944679</v>
      </c>
      <c r="BT3">
        <f>1.2*0.5*BN3*BA3/'Oxidant Feed Composition'!$N$22</f>
        <v>12.23512078887228</v>
      </c>
      <c r="BU3">
        <f t="shared" ref="BU3:BU66" si="5">V3*BL3/0.2</f>
        <v>9.4462412049538997</v>
      </c>
      <c r="BV3">
        <f t="shared" ref="BV3:BV66" si="6">BA3*BN3/0.2</f>
        <v>10.1959339907269</v>
      </c>
      <c r="BW3">
        <f t="shared" ref="BW3:BW66" si="7">BM3-BU3</f>
        <v>83.236294097011893</v>
      </c>
      <c r="BX3">
        <f t="shared" si="0"/>
        <v>60.455943711704961</v>
      </c>
      <c r="BY3">
        <f t="shared" ref="BY3:BY66" si="8">(BU3+BW3+BL3)*2</f>
        <v>223.1500354237472</v>
      </c>
      <c r="BZ3">
        <f t="shared" ref="BZ3:BZ66" si="9">(BT3+BN3)*2</f>
        <v>65.253977540652158</v>
      </c>
      <c r="CA3">
        <f t="shared" ref="CA3:CA66" si="10">(BV3+BN3)*2</f>
        <v>61.175603944361399</v>
      </c>
      <c r="CB3">
        <f>BO3*'Reagent cost'!$G$11*'Reagent cost'!$H$11</f>
        <v>2493.8076781078298</v>
      </c>
      <c r="CC3">
        <f>BP3*'Reagent cost'!$G$11*'Reagent cost'!$H$11</f>
        <v>3768.4172029726624</v>
      </c>
      <c r="CD3">
        <f>BQ3*'Reagent cost'!$C$18/1000*'Reagent cost'!$H$18</f>
        <v>3012.9816471142385</v>
      </c>
      <c r="CE3">
        <f>BR3*'Ligand cost'!$B$56*'Ligand cost'!$J$56</f>
        <v>29066.136817047478</v>
      </c>
      <c r="CF3">
        <f t="shared" ref="CF3:CF66" si="11">BK3*0.1</f>
        <v>10</v>
      </c>
      <c r="CG3">
        <f t="shared" ref="CG3:CH66" si="12">BU3*0.4</f>
        <v>3.7784964819815601</v>
      </c>
      <c r="CH3">
        <f t="shared" si="12"/>
        <v>4.0783735962907599</v>
      </c>
      <c r="CI3">
        <f>7963.6*(BX3/1000)^0.6*1.7*('CAPEX+OPEX'!$G$116/'CAPEX+OPEX'!$G$115)</f>
        <v>2965.5437179814326</v>
      </c>
      <c r="CJ3">
        <f>7963.6*(BY3/1000)^0.6*1.7*('CAPEX+OPEX'!$G$116/'CAPEX+OPEX'!$G$115)</f>
        <v>6492.3078360569407</v>
      </c>
      <c r="CK3">
        <f>7963.6*(BZ3/1000)^0.6*1.7*('CAPEX+OPEX'!$G$116/'CAPEX+OPEX'!$G$115)</f>
        <v>3104.5961983371071</v>
      </c>
      <c r="CL3">
        <f>7963.6*(CA3/1000)^0.6*1.7*('CAPEX+OPEX'!$G$116/'CAPEX+OPEX'!$G$115)</f>
        <v>2986.6744531627796</v>
      </c>
      <c r="CM3">
        <f>'Costing 100 Lmin Feed Orig'!DE3</f>
        <v>39625.826528698344</v>
      </c>
      <c r="CN3">
        <f>'Costing 100 Lmin Feed Orig'!DF3</f>
        <v>4586243.4239371875</v>
      </c>
      <c r="CO3">
        <f>'Costing 100 Lmin Feed Orig'!DG3</f>
        <v>11794834.586807497</v>
      </c>
      <c r="CP3">
        <f>'Costing 100 Lmin Feed Orig'!DH3</f>
        <v>2275209.1661185985</v>
      </c>
      <c r="CQ3">
        <f>'Costing 100 Lmin Feed Orig'!DI3</f>
        <v>14083914.336508472</v>
      </c>
      <c r="CR3">
        <f>'Costing 100 Lmin Feed Orig'!DJ3</f>
        <v>1662824.8986326549</v>
      </c>
      <c r="CS3">
        <f>CN3*(BK3/10000)^0.72*((A3+1)/3)^0.6*('CAPEX+OPEX'!$G$116/'CAPEX+OPEX'!$G$114)</f>
        <v>461850.0978118488</v>
      </c>
      <c r="CT3">
        <f>CO3*(BK3/10000)^0.72*((A3+1)/3)^0.6*('CAPEX+OPEX'!$G$116/'CAPEX+OPEX'!$G$114)</f>
        <v>1187779.4098672394</v>
      </c>
      <c r="CU3">
        <f>CP3*(BK3/10000)^0.72*((A3+1)/3)^0.6*('CAPEX+OPEX'!$G$116/'CAPEX+OPEX'!$G$114)</f>
        <v>229121.19544936769</v>
      </c>
      <c r="CV3">
        <f>CQ3*(BK3/10000)^0.72*((A3+1)/3)^0.6*('CAPEX+OPEX'!$G$116/'CAPEX+OPEX'!$G$114)</f>
        <v>1418297.4196136401</v>
      </c>
      <c r="CW3">
        <f>CR3*(BK3/10000)^0.72*((A3+1)/3)^0.6*('CAPEX+OPEX'!$G$116/'CAPEX+OPEX'!$G$114)</f>
        <v>167452.04540804314</v>
      </c>
      <c r="CX3">
        <f t="shared" ref="CX3:CX66" si="13">SUM(CS3:CW3)</f>
        <v>3464500.168150139</v>
      </c>
      <c r="CY3">
        <f>CN3*(BM3/10000)^0.72*((AF3+1)/3)^0.6*('CAPEX+OPEX'!$G$116/'CAPEX+OPEX'!$G$114)</f>
        <v>557691.83628610906</v>
      </c>
      <c r="CZ3">
        <f>CO3*(BM3/10000)^0.72*((AF3+1)/3)^0.6*('CAPEX+OPEX'!$G$116/'CAPEX+OPEX'!$G$114)</f>
        <v>1434263.8083873487</v>
      </c>
      <c r="DA3">
        <f>CP3*(BM3/10000)^0.72*((AF3+1)/3)^0.6*('CAPEX+OPEX'!$G$116/'CAPEX+OPEX'!$G$114)</f>
        <v>276667.73446106695</v>
      </c>
      <c r="DB3">
        <f>CQ3*(BM3/10000)^0.72*((AF3+1)/3)^0.6*('CAPEX+OPEX'!$G$116/'CAPEX+OPEX'!$G$114)</f>
        <v>1712618.2198329037</v>
      </c>
      <c r="DC3">
        <f>CR3*(BM3/10000)^0.72*((AF3+1)/3)^0.6*('CAPEX+OPEX'!$G$116/'CAPEX+OPEX'!$G$114)</f>
        <v>202201.18851532842</v>
      </c>
      <c r="DD3">
        <f t="shared" ref="DD3:DD66" si="14">SUM(CY3:DC3)</f>
        <v>4183442.7874827567</v>
      </c>
      <c r="DE3">
        <f>CX3+DD3+1.15*(SUM(CI3:CL3)+SUM(CB3:CE3))</f>
        <v>7709916.9910162929</v>
      </c>
      <c r="DF3">
        <f t="shared" ref="DF3:DF66" si="15">DE3/15</f>
        <v>513994.46606775286</v>
      </c>
      <c r="DG3">
        <f>(BS3+BT3)*'Oxidant Feed Composition'!$N$28*60*7200</f>
        <v>26206628.517773684</v>
      </c>
      <c r="DH3">
        <f>((CG3+CH3)*'Reagent cost'!$C$17/1000*'Reagent cost'!$H$17+(CG3+CH3)*0.5*'Reagent cost'!$C$16/1000*'Reagent cost'!$H$16*1.5)*60*7200</f>
        <v>11149179.602742419</v>
      </c>
      <c r="DI3">
        <f>CF3*'Reagent cost'!$C$17/1000*'Reagent cost'!$H$17*60*7200</f>
        <v>504921.59999999998</v>
      </c>
      <c r="DJ3">
        <f t="shared" ref="DJ3:DJ66" si="16">(CB3+CC3)*0.01</f>
        <v>62.622248810804926</v>
      </c>
      <c r="DK3">
        <f t="shared" ref="DK3:DK66" si="17">(CD3+CE3)*0.02</f>
        <v>641.58236928323436</v>
      </c>
      <c r="DL3">
        <f t="shared" ref="DL3:DL66" si="18">SUM(DG3:DK3)*1.2</f>
        <v>45433720.710161045</v>
      </c>
      <c r="DM3">
        <f>BK3*(B3*(409.81+2)/1000+C3*(248.2+2*22.99)/1000+D3*(315.6+3*22.99)/1000+0.1*58.44/1000)</f>
        <v>0.70639694042110623</v>
      </c>
      <c r="DN3">
        <f>(BS3+BT3)/1000*('Oxidant Feed Composition'!$B$11*'Oxidant Feed Composition'!$O$20+'Oxidant Feed Composition'!$D$11*'Oxidant Feed Composition'!$O$21+'Oxidant Feed Composition'!$F$11*'Oxidant Feed Composition'!$O$27-'Oxidant Feed Composition'!$J$15*18.015)</f>
        <v>2.7526828737923901</v>
      </c>
      <c r="DO3">
        <f>(BU3+BV3)/1000*(0.2*368.34+0.4*58.44)</f>
        <v>1.9061552496896474</v>
      </c>
      <c r="DP3">
        <f>BK3/1000*(B3*195.08+C3*106.42+D3*102.91)</f>
        <v>4.999938342565946E-2</v>
      </c>
      <c r="DQ3">
        <f>SUM(DM3:DO3)-DP3</f>
        <v>5.3152356804774836</v>
      </c>
      <c r="DR3">
        <f>DQ3*60*7200*0.33</f>
        <v>757739.99860887008</v>
      </c>
      <c r="DS3">
        <v>1.2</v>
      </c>
      <c r="DT3">
        <f>BM3/60*(AM3*4+AN3*2+AO3*3)*96485/DV3</f>
        <v>1407.4026349781827</v>
      </c>
      <c r="DU3">
        <f>BN3*BA3*(AP3*4+AQ3*2+AR3*3)*96485/DV3/60</f>
        <v>714.80261726149911</v>
      </c>
      <c r="DV3">
        <v>0.7</v>
      </c>
      <c r="DW3">
        <f>0.499*((BK3/3.78541*15)^(-0.146))*BK3/3.78541*15*300*(1+(A3-2)/9)</f>
        <v>27520.276190787874</v>
      </c>
      <c r="DX3">
        <f>0.248*((BK3/3.78541*15)^(-0.144))*BK3/3.78541*15*300*(1+(A3-2)/3)</f>
        <v>16610.439588917834</v>
      </c>
      <c r="DY3">
        <f>0.105*((BK3/3.78541*15)^(-0.144))*BK3/3.78541*15*300*(1+(A3-2)/3)</f>
        <v>7032.645793695051</v>
      </c>
      <c r="DZ3">
        <f>0.058*((BK3/3.78541*15)^(-0.151))*BK3/3.78541*15*300*(1+(A3-2)/3)</f>
        <v>3725.3886787897172</v>
      </c>
      <c r="EA3">
        <f>0.056*((BK3/3.78541*15)^(-0.144))*BK3/3.78541*15*300*(1+(A3-2)/3)</f>
        <v>3750.7444233040283</v>
      </c>
      <c r="EB3">
        <f>DS3*DT3/(3.6*10^6)*3600*7200*0.07</f>
        <v>851.19711363480485</v>
      </c>
      <c r="EC3">
        <f>0.499*((BM3/3.78541*15)^(-0.146))*BM3/3.78541*15*300*(1+(AF3-2)/9)</f>
        <v>30949.25827662705</v>
      </c>
      <c r="ED3">
        <f>0.248*((BM3/3.78541*15)^(-0.144))*BM3/3.78541*15*300*(1+(AF3-2)/3)</f>
        <v>23346.543525145094</v>
      </c>
      <c r="EE3">
        <f>0.105*((BM3/3.78541*15)^(-0.144))*BM3/3.78541*15*300*(1+(AF3-2)/3)</f>
        <v>9884.6252828235265</v>
      </c>
      <c r="EF3">
        <f>0.058*((BM3/3.78541*15)^(-0.151))*BM3/3.78541*15*300*(1+(AF3-2)/3)</f>
        <v>5238.9477980495094</v>
      </c>
      <c r="EG3">
        <f>0.056*((BM3/3.78541*15)^(-0.144))*BM3/3.78541*15*300*(1+(AF3-2)/3)</f>
        <v>5271.8001508392153</v>
      </c>
      <c r="EH3">
        <f>DS3*DU3/(3.6*10^6)*3600*7200*0.07</f>
        <v>432.31262291975469</v>
      </c>
      <c r="EI3">
        <f>SUM(DW3:EH3)</f>
        <v>134614.17944553349</v>
      </c>
      <c r="EJ3">
        <f>EI3+DR3+DL3</f>
        <v>46326074.888215452</v>
      </c>
      <c r="EK3">
        <f>EJ3+DF3</f>
        <v>46840069.354283206</v>
      </c>
      <c r="EL3">
        <f>EK3/(BK3*60*7200)</f>
        <v>1.0842608646824816</v>
      </c>
      <c r="EM3">
        <f>EK3/(BM3*(AM3*195.084/1000+AN3*106.42/1000+AO3*102.911/1000)*60*7200)</f>
        <v>3632.1485966834625</v>
      </c>
      <c r="EN3">
        <f>EK3/(BN3*BA3*(AP3*195.084/1000+AQ3*106.42/1000+AR3*102.911/1000)*60*7200)</f>
        <v>6575.46495472878</v>
      </c>
    </row>
    <row r="4" spans="1:144">
      <c r="A4">
        <f>'Costing 100 Lmin Feed Orig'!A4</f>
        <v>3</v>
      </c>
      <c r="B4">
        <f>'Costing 100 Lmin Feed Orig'!B4</f>
        <v>1.54143585092054E-3</v>
      </c>
      <c r="C4">
        <f>'Costing 100 Lmin Feed Orig'!C4</f>
        <v>1.54143585092054E-3</v>
      </c>
      <c r="D4">
        <f>'Costing 100 Lmin Feed Orig'!D4</f>
        <v>3.4254130020456501E-4</v>
      </c>
      <c r="E4">
        <f>'Costing 100 Lmin Feed Orig'!E4</f>
        <v>0</v>
      </c>
      <c r="F4">
        <f>'Costing 100 Lmin Feed Orig'!F4</f>
        <v>0</v>
      </c>
      <c r="G4">
        <f>'Costing 100 Lmin Feed Orig'!G4</f>
        <v>0</v>
      </c>
      <c r="H4">
        <f>'Costing 100 Lmin Feed Orig'!H4</f>
        <v>1.6300358850230801E-5</v>
      </c>
      <c r="I4">
        <f>'Costing 100 Lmin Feed Orig'!I4</f>
        <v>7.4474859607128495E-7</v>
      </c>
      <c r="J4">
        <f>'Costing 100 Lmin Feed Orig'!J4</f>
        <v>3.2385704147932398E-4</v>
      </c>
      <c r="K4">
        <f>'Costing 100 Lmin Feed Orig'!K4</f>
        <v>8.07271092797512E-2</v>
      </c>
      <c r="L4">
        <f>'Costing 100 Lmin Feed Orig'!L4</f>
        <v>8.15504849440159E-2</v>
      </c>
      <c r="M4">
        <f>'Costing 100 Lmin Feed Orig'!M4</f>
        <v>9.8897848995466706E-4</v>
      </c>
      <c r="N4">
        <f>'Costing 100 Lmin Feed Orig'!N4</f>
        <v>-9.8011876392689601E-17</v>
      </c>
      <c r="O4">
        <f>'Costing 100 Lmin Feed Orig'!O4</f>
        <v>1.94289029309402E-16</v>
      </c>
      <c r="P4">
        <f>'Costing 100 Lmin Feed Orig'!P4</f>
        <v>-4.3537493488870999E-18</v>
      </c>
      <c r="Q4">
        <f>'Costing 100 Lmin Feed Orig'!Q4</f>
        <v>0.18892482409907799</v>
      </c>
      <c r="R4">
        <f>'Costing 100 Lmin Feed Orig'!R4</f>
        <v>94.545399718491396</v>
      </c>
      <c r="S4">
        <f>'Costing 100 Lmin Feed Orig'!S4</f>
        <v>500</v>
      </c>
      <c r="T4">
        <f>'Costing 100 Lmin Feed Orig'!T4</f>
        <v>95</v>
      </c>
      <c r="U4">
        <f>'Costing 100 Lmin Feed Orig'!U4</f>
        <v>1</v>
      </c>
      <c r="V4">
        <f>'Costing 100 Lmin Feed Orig'!V4</f>
        <v>0.1</v>
      </c>
      <c r="W4">
        <f>'Costing 100 Lmin Feed Orig'!W4</f>
        <v>52.931106580020597</v>
      </c>
      <c r="X4" t="str">
        <f>'Costing 100 Lmin Feed Orig'!X4</f>
        <v>ddFc</v>
      </c>
      <c r="Y4">
        <f>'Costing 100 Lmin Feed Orig'!Y4</f>
        <v>1</v>
      </c>
      <c r="Z4">
        <f>'Costing 100 Lmin Feed Orig'!Z4</f>
        <v>0.28318429382522198</v>
      </c>
      <c r="AA4">
        <f>'Costing 100 Lmin Feed Orig'!AA4</f>
        <v>0.56945642916197003</v>
      </c>
      <c r="AB4">
        <f>'Costing 100 Lmin Feed Orig'!AB4</f>
        <v>3.7698628972227502E-3</v>
      </c>
      <c r="AC4">
        <f>'Costing 100 Lmin Feed Orig'!AC4</f>
        <v>1822.2107908876901</v>
      </c>
      <c r="AD4">
        <f>'Costing 100 Lmin Feed Orig'!AD4</f>
        <v>2662.6059073104898</v>
      </c>
      <c r="AE4">
        <f>'Costing 100 Lmin Feed Orig'!AE4</f>
        <v>2401.5030938442701</v>
      </c>
      <c r="AF4">
        <f>'Costing 100 Lmin Feed Orig'!AF4</f>
        <v>6</v>
      </c>
      <c r="AG4">
        <f>'Costing 100 Lmin Feed Orig'!AG4</f>
        <v>1.6455478770638001E-3</v>
      </c>
      <c r="AH4">
        <f>'Costing 100 Lmin Feed Orig'!AH4</f>
        <v>1.66233163271225E-3</v>
      </c>
      <c r="AI4">
        <f>'Costing 100 Lmin Feed Orig'!AI4</f>
        <v>2.0159416943409301E-5</v>
      </c>
      <c r="AJ4">
        <f>'Costing 100 Lmin Feed Orig'!AJ4</f>
        <v>0</v>
      </c>
      <c r="AK4">
        <f>'Costing 100 Lmin Feed Orig'!AK4</f>
        <v>0</v>
      </c>
      <c r="AL4">
        <f>'Costing 100 Lmin Feed Orig'!AL4</f>
        <v>0</v>
      </c>
      <c r="AM4">
        <f>'Costing 100 Lmin Feed Orig'!AM4</f>
        <v>1.60744374164569E-3</v>
      </c>
      <c r="AN4">
        <f>'Costing 100 Lmin Feed Orig'!AN4</f>
        <v>6.4579829374686502E-5</v>
      </c>
      <c r="AO4">
        <f>'Costing 100 Lmin Feed Orig'!AO4</f>
        <v>2.0022472818809102E-5</v>
      </c>
      <c r="AP4">
        <f>'Costing 100 Lmin Feed Orig'!AP4</f>
        <v>1.75996255360512E-3</v>
      </c>
      <c r="AQ4">
        <f>'Costing 100 Lmin Feed Orig'!AQ4</f>
        <v>7.3797327061053505E-2</v>
      </c>
      <c r="AR4">
        <f>'Costing 100 Lmin Feed Orig'!AR4</f>
        <v>6.3252066629497999E-6</v>
      </c>
      <c r="AS4">
        <f>'Costing 100 Lmin Feed Orig'!AS4</f>
        <v>-1.5043305143236301E-18</v>
      </c>
      <c r="AT4">
        <f>'Costing 100 Lmin Feed Orig'!AT4</f>
        <v>1.5178830414797E-17</v>
      </c>
      <c r="AU4">
        <f>'Costing 100 Lmin Feed Orig'!AU4</f>
        <v>-9.2908926401955993E-21</v>
      </c>
      <c r="AV4">
        <f>'Costing 100 Lmin Feed Orig'!AV4</f>
        <v>0.20066267141911501</v>
      </c>
      <c r="AW4">
        <f>'Costing 100 Lmin Feed Orig'!AW4</f>
        <v>99.320694021138493</v>
      </c>
      <c r="AX4">
        <f>'Costing 100 Lmin Feed Orig'!AX4</f>
        <v>500</v>
      </c>
      <c r="AY4">
        <f>'Costing 100 Lmin Feed Orig'!AY4</f>
        <v>95</v>
      </c>
      <c r="AZ4">
        <f>'Costing 100 Lmin Feed Orig'!AZ4</f>
        <v>0.92682535301965796</v>
      </c>
      <c r="BA4">
        <f>'Costing 100 Lmin Feed Orig'!BA4</f>
        <v>0.1</v>
      </c>
      <c r="BB4">
        <f>'Costing 100 Lmin Feed Orig'!BB4</f>
        <v>46.188229552861699</v>
      </c>
      <c r="BC4" t="str">
        <f>'Costing 100 Lmin Feed Orig'!BC4</f>
        <v>coeFc</v>
      </c>
      <c r="BD4">
        <f>'Costing 100 Lmin Feed Orig'!BD4</f>
        <v>1</v>
      </c>
      <c r="BE4">
        <f>'Costing 100 Lmin Feed Orig'!BE4</f>
        <v>1.8775014999999999E-2</v>
      </c>
      <c r="BF4">
        <f>'Costing 100 Lmin Feed Orig'!BF4</f>
        <v>0.10492961100000001</v>
      </c>
      <c r="BG4">
        <f>'Costing 100 Lmin Feed Orig'!BG4</f>
        <v>1.814625E-3</v>
      </c>
      <c r="BH4">
        <f>'Costing 100 Lmin Feed Orig'!BH4</f>
        <v>285.1951444</v>
      </c>
      <c r="BI4">
        <f>'Costing 100 Lmin Feed Orig'!BI4</f>
        <v>2169.8944889999998</v>
      </c>
      <c r="BJ4">
        <f>'Costing 100 Lmin Feed Orig'!BJ4</f>
        <v>866.49409060000005</v>
      </c>
      <c r="BK4">
        <f>'Costing 100 Lmin Feed Orig'!BK4</f>
        <v>100</v>
      </c>
      <c r="BL4">
        <f>'Costing 100 Lmin Feed Orig'!BL4</f>
        <v>18.892482409907799</v>
      </c>
      <c r="BM4">
        <f>'Costing 100 Lmin Feed Orig'!BM4</f>
        <v>92.6825353019658</v>
      </c>
      <c r="BN4">
        <f>'Costing 100 Lmin Feed Orig'!BN4</f>
        <v>20.066267141911499</v>
      </c>
      <c r="BO4">
        <f t="shared" si="1"/>
        <v>188.92482409907799</v>
      </c>
      <c r="BP4">
        <f t="shared" si="2"/>
        <v>321.06027427058399</v>
      </c>
      <c r="BQ4">
        <f t="shared" si="3"/>
        <v>18.892482409907799</v>
      </c>
      <c r="BR4">
        <f t="shared" si="4"/>
        <v>32.1060274270584</v>
      </c>
      <c r="BS4">
        <f>1.2*0.5*BL4*V4/'Oxidant Feed Composition'!$N$22</f>
        <v>11.335489445944679</v>
      </c>
      <c r="BT4">
        <f>1.2*0.5*BN4*BA4/'Oxidant Feed Composition'!$N$22</f>
        <v>12.039760285146901</v>
      </c>
      <c r="BU4">
        <f t="shared" si="5"/>
        <v>9.4462412049538997</v>
      </c>
      <c r="BV4">
        <f t="shared" si="6"/>
        <v>10.03313357095575</v>
      </c>
      <c r="BW4">
        <f t="shared" si="7"/>
        <v>83.236294097011893</v>
      </c>
      <c r="BX4">
        <f t="shared" si="0"/>
        <v>60.455943711704961</v>
      </c>
      <c r="BY4">
        <f t="shared" si="8"/>
        <v>223.1500354237472</v>
      </c>
      <c r="BZ4">
        <f t="shared" si="9"/>
        <v>64.212054854116801</v>
      </c>
      <c r="CA4">
        <f t="shared" si="10"/>
        <v>60.198801425734501</v>
      </c>
      <c r="CB4">
        <f>BO4*'Reagent cost'!$G$11*'Reagent cost'!$H$11</f>
        <v>2493.8076781078298</v>
      </c>
      <c r="CC4">
        <f>BP4*'Reagent cost'!$G$11*'Reagent cost'!$H$11</f>
        <v>4237.9956203717084</v>
      </c>
      <c r="CD4">
        <f>BQ4*'Reagent cost'!$C$18/1000*'Reagent cost'!$H$18</f>
        <v>3012.9816471142385</v>
      </c>
      <c r="CE4">
        <f>BR4*'Ligand cost'!$B$56*'Ligand cost'!$J$56</f>
        <v>32688.036885778358</v>
      </c>
      <c r="CF4">
        <f t="shared" si="11"/>
        <v>10</v>
      </c>
      <c r="CG4">
        <f t="shared" si="12"/>
        <v>3.7784964819815601</v>
      </c>
      <c r="CH4">
        <f t="shared" si="12"/>
        <v>4.0132534283823</v>
      </c>
      <c r="CI4">
        <f>7963.6*(BX4/1000)^0.6*1.7*('CAPEX+OPEX'!$G$116/'CAPEX+OPEX'!$G$115)</f>
        <v>2965.5437179814326</v>
      </c>
      <c r="CJ4">
        <f>7963.6*(BY4/1000)^0.6*1.7*('CAPEX+OPEX'!$G$116/'CAPEX+OPEX'!$G$115)</f>
        <v>6492.3078360569407</v>
      </c>
      <c r="CK4">
        <f>7963.6*(BZ4/1000)^0.6*1.7*('CAPEX+OPEX'!$G$116/'CAPEX+OPEX'!$G$115)</f>
        <v>3074.7574940340096</v>
      </c>
      <c r="CL4">
        <f>7963.6*(CA4/1000)^0.6*1.7*('CAPEX+OPEX'!$G$116/'CAPEX+OPEX'!$G$115)</f>
        <v>2957.9691110943741</v>
      </c>
      <c r="CM4">
        <f>'Costing 100 Lmin Feed Orig'!DE4</f>
        <v>39625.826528698344</v>
      </c>
      <c r="CN4">
        <f>'Costing 100 Lmin Feed Orig'!DF4</f>
        <v>4586243.4239371875</v>
      </c>
      <c r="CO4">
        <f>'Costing 100 Lmin Feed Orig'!DG4</f>
        <v>11794834.586807497</v>
      </c>
      <c r="CP4">
        <f>'Costing 100 Lmin Feed Orig'!DH4</f>
        <v>2275209.1661185985</v>
      </c>
      <c r="CQ4">
        <f>'Costing 100 Lmin Feed Orig'!DI4</f>
        <v>14083914.336508472</v>
      </c>
      <c r="CR4">
        <f>'Costing 100 Lmin Feed Orig'!DJ4</f>
        <v>1662824.8986326549</v>
      </c>
      <c r="CS4">
        <f>CN4*(BK4/10000)^0.72*((A4+1)/3)^0.6*('CAPEX+OPEX'!$G$116/'CAPEX+OPEX'!$G$114)</f>
        <v>461850.0978118488</v>
      </c>
      <c r="CT4">
        <f>CO4*(BK4/10000)^0.72*((A4+1)/3)^0.6*('CAPEX+OPEX'!$G$116/'CAPEX+OPEX'!$G$114)</f>
        <v>1187779.4098672394</v>
      </c>
      <c r="CU4">
        <f>CP4*(BK4/10000)^0.72*((A4+1)/3)^0.6*('CAPEX+OPEX'!$G$116/'CAPEX+OPEX'!$G$114)</f>
        <v>229121.19544936769</v>
      </c>
      <c r="CV4">
        <f>CQ4*(BK4/10000)^0.72*((A4+1)/3)^0.6*('CAPEX+OPEX'!$G$116/'CAPEX+OPEX'!$G$114)</f>
        <v>1418297.4196136401</v>
      </c>
      <c r="CW4">
        <f>CR4*(BK4/10000)^0.72*((A4+1)/3)^0.6*('CAPEX+OPEX'!$G$116/'CAPEX+OPEX'!$G$114)</f>
        <v>167452.04540804314</v>
      </c>
      <c r="CX4">
        <f t="shared" si="13"/>
        <v>3464500.168150139</v>
      </c>
      <c r="CY4">
        <f>CN4*(BM4/10000)^0.72*((AF4+1)/3)^0.6*('CAPEX+OPEX'!$G$116/'CAPEX+OPEX'!$G$114)</f>
        <v>611733.63632254547</v>
      </c>
      <c r="CZ4">
        <f>CO4*(BM4/10000)^0.72*((AF4+1)/3)^0.6*('CAPEX+OPEX'!$G$116/'CAPEX+OPEX'!$G$114)</f>
        <v>1573247.7290567602</v>
      </c>
      <c r="DA4">
        <f>CP4*(BM4/10000)^0.72*((AF4+1)/3)^0.6*('CAPEX+OPEX'!$G$116/'CAPEX+OPEX'!$G$114)</f>
        <v>303477.56277386361</v>
      </c>
      <c r="DB4">
        <f>CQ4*(BM4/10000)^0.72*((AF4+1)/3)^0.6*('CAPEX+OPEX'!$G$116/'CAPEX+OPEX'!$G$114)</f>
        <v>1878575.4122338442</v>
      </c>
      <c r="DC4">
        <f>CR4*(BM4/10000)^0.72*((AF4+1)/3)^0.6*('CAPEX+OPEX'!$G$116/'CAPEX+OPEX'!$G$114)</f>
        <v>221795.01343061589</v>
      </c>
      <c r="DD4">
        <f t="shared" si="14"/>
        <v>4588829.3538176296</v>
      </c>
      <c r="DE4">
        <f>CX4+DD4+1.15*(SUM(CI4:CL4)+SUM(CB4:CE4))</f>
        <v>8119941.4319568882</v>
      </c>
      <c r="DF4">
        <f t="shared" si="15"/>
        <v>541329.42879712593</v>
      </c>
      <c r="DG4">
        <f>(BS4+BT4)*'Oxidant Feed Composition'!$N$28*60*7200</f>
        <v>25989419.879678532</v>
      </c>
      <c r="DH4">
        <f>((CG4+CH4)*'Reagent cost'!$C$17/1000*'Reagent cost'!$H$17+(CG4+CH4)*0.5*'Reagent cost'!$C$16/1000*'Reagent cost'!$H$16*1.5)*60*7200</f>
        <v>11056771.755783111</v>
      </c>
      <c r="DI4">
        <f>CF4*'Reagent cost'!$C$17/1000*'Reagent cost'!$H$17*60*7200</f>
        <v>504921.59999999998</v>
      </c>
      <c r="DJ4">
        <f t="shared" si="16"/>
        <v>67.31803298479538</v>
      </c>
      <c r="DK4">
        <f t="shared" si="17"/>
        <v>714.02037065785191</v>
      </c>
      <c r="DL4">
        <f t="shared" si="18"/>
        <v>45062273.488638341</v>
      </c>
      <c r="DM4">
        <f>BK4*(B4*(409.81+2)/1000+C4*(248.2+2*22.99)/1000+D4*(315.6+3*22.99)/1000+0.1*58.44/1000)</f>
        <v>0.70639694042110623</v>
      </c>
      <c r="DN4">
        <f>(BS4+BT4)/1000*('Oxidant Feed Composition'!$B$11*'Oxidant Feed Composition'!$O$20+'Oxidant Feed Composition'!$D$11*'Oxidant Feed Composition'!$O$21+'Oxidant Feed Composition'!$F$11*'Oxidant Feed Composition'!$O$27-'Oxidant Feed Composition'!$J$15*18.015)</f>
        <v>2.7298677872306532</v>
      </c>
      <c r="DO4">
        <f>(BU4+BV4)/1000*(0.2*368.34+0.4*58.44)</f>
        <v>1.8903564457533757</v>
      </c>
      <c r="DP4">
        <f>BK4/1000*(B4*195.08+C4*106.42+D4*102.91)</f>
        <v>4.999938342565946E-2</v>
      </c>
      <c r="DQ4">
        <f>SUM(DM4:DO4)-DP4</f>
        <v>5.2766217899794752</v>
      </c>
      <c r="DR4">
        <f>DQ4*60*7200*0.33</f>
        <v>752235.20237947407</v>
      </c>
      <c r="DS4">
        <v>1.2</v>
      </c>
      <c r="DT4">
        <f>BM4/60*(AM4*4+AN4*2+AO4*3)*96485/DV4</f>
        <v>1409.2918203168488</v>
      </c>
      <c r="DU4">
        <f>BN4*BA4*(AP4*4+AQ4*2+AR4*3)*96485/DV4/60</f>
        <v>712.91343190810642</v>
      </c>
      <c r="DV4">
        <v>0.7</v>
      </c>
      <c r="DW4">
        <f>0.499*((BK4/3.78541*15)^(-0.146))*BK4/3.78541*15*300*(1+(A4-2)/9)</f>
        <v>27520.276190787874</v>
      </c>
      <c r="DX4">
        <f>0.248*((BK4/3.78541*15)^(-0.144))*BK4/3.78541*15*300*(1+(A4-2)/3)</f>
        <v>16610.439588917834</v>
      </c>
      <c r="DY4">
        <f>0.105*((BK4/3.78541*15)^(-0.144))*BK4/3.78541*15*300*(1+(A4-2)/3)</f>
        <v>7032.645793695051</v>
      </c>
      <c r="DZ4">
        <f>0.058*((BK4/3.78541*15)^(-0.151))*BK4/3.78541*15*300*(1+(A4-2)/3)</f>
        <v>3725.3886787897172</v>
      </c>
      <c r="EA4">
        <f>0.056*((BK4/3.78541*15)^(-0.144))*BK4/3.78541*15*300*(1+(A4-2)/3)</f>
        <v>3750.7444233040283</v>
      </c>
      <c r="EB4">
        <f>DS4*DT4/(3.6*10^6)*3600*7200*0.07</f>
        <v>852.33969292763015</v>
      </c>
      <c r="EC4">
        <f>0.499*((BM4/3.78541*15)^(-0.146))*BM4/3.78541*15*300*(1+(AF4-2)/9)</f>
        <v>33528.363133012637</v>
      </c>
      <c r="ED4">
        <f>0.248*((BM4/3.78541*15)^(-0.144))*BM4/3.78541*15*300*(1+(AF4-2)/3)</f>
        <v>27237.634112669275</v>
      </c>
      <c r="EE4">
        <f>0.105*((BM4/3.78541*15)^(-0.144))*BM4/3.78541*15*300*(1+(AF4-2)/3)</f>
        <v>11532.06282996078</v>
      </c>
      <c r="EF4">
        <f>0.058*((BM4/3.78541*15)^(-0.151))*BM4/3.78541*15*300*(1+(AF4-2)/3)</f>
        <v>6112.1057643910935</v>
      </c>
      <c r="EG4">
        <f>0.056*((BM4/3.78541*15)^(-0.144))*BM4/3.78541*15*300*(1+(AF4-2)/3)</f>
        <v>6150.4335093124173</v>
      </c>
      <c r="EH4">
        <f>DS4*DU4/(3.6*10^6)*3600*7200*0.07</f>
        <v>431.1700436180227</v>
      </c>
      <c r="EI4">
        <f>SUM(DW4:EH4)</f>
        <v>144483.60376138636</v>
      </c>
      <c r="EJ4">
        <f>EI4+DR4+DL4</f>
        <v>45958992.294779204</v>
      </c>
      <c r="EK4">
        <f>EJ4+DF4</f>
        <v>46500321.72357633</v>
      </c>
      <c r="EL4">
        <f>EK4/(BK4*60*7200)</f>
        <v>1.0763963361938966</v>
      </c>
      <c r="EM4">
        <f>EK4/(BM4*(AM4*195.084/1000+AN4*106.42/1000+AO4*102.911/1000)*60*7200)</f>
        <v>3600.9583213296601</v>
      </c>
      <c r="EN4">
        <f>EK4/(BN4*BA4*(AP4*195.084/1000+AQ4*106.42/1000+AR4*102.911/1000)*60*7200)</f>
        <v>6543.7098768988008</v>
      </c>
    </row>
    <row r="5" spans="1:144">
      <c r="A5">
        <f>'Costing 100 Lmin Feed Orig'!A5</f>
        <v>3</v>
      </c>
      <c r="B5">
        <f>'Costing 100 Lmin Feed Orig'!B5</f>
        <v>1.54143585092054E-3</v>
      </c>
      <c r="C5">
        <f>'Costing 100 Lmin Feed Orig'!C5</f>
        <v>1.54143585092054E-3</v>
      </c>
      <c r="D5">
        <f>'Costing 100 Lmin Feed Orig'!D5</f>
        <v>3.4254130020456501E-4</v>
      </c>
      <c r="E5">
        <f>'Costing 100 Lmin Feed Orig'!E5</f>
        <v>0</v>
      </c>
      <c r="F5">
        <f>'Costing 100 Lmin Feed Orig'!F5</f>
        <v>0</v>
      </c>
      <c r="G5">
        <f>'Costing 100 Lmin Feed Orig'!G5</f>
        <v>0</v>
      </c>
      <c r="H5">
        <f>'Costing 100 Lmin Feed Orig'!H5</f>
        <v>1.6300358850230801E-5</v>
      </c>
      <c r="I5">
        <f>'Costing 100 Lmin Feed Orig'!I5</f>
        <v>7.4474859607128495E-7</v>
      </c>
      <c r="J5">
        <f>'Costing 100 Lmin Feed Orig'!J5</f>
        <v>3.2385704147932398E-4</v>
      </c>
      <c r="K5">
        <f>'Costing 100 Lmin Feed Orig'!K5</f>
        <v>8.07271092797512E-2</v>
      </c>
      <c r="L5">
        <f>'Costing 100 Lmin Feed Orig'!L5</f>
        <v>8.15504849440159E-2</v>
      </c>
      <c r="M5">
        <f>'Costing 100 Lmin Feed Orig'!M5</f>
        <v>9.8897848995466706E-4</v>
      </c>
      <c r="N5">
        <f>'Costing 100 Lmin Feed Orig'!N5</f>
        <v>-9.8011876392689601E-17</v>
      </c>
      <c r="O5">
        <f>'Costing 100 Lmin Feed Orig'!O5</f>
        <v>1.94289029309402E-16</v>
      </c>
      <c r="P5">
        <f>'Costing 100 Lmin Feed Orig'!P5</f>
        <v>-4.3537493488870999E-18</v>
      </c>
      <c r="Q5">
        <f>'Costing 100 Lmin Feed Orig'!Q5</f>
        <v>0.18892482409907799</v>
      </c>
      <c r="R5">
        <f>'Costing 100 Lmin Feed Orig'!R5</f>
        <v>94.545399718491396</v>
      </c>
      <c r="S5">
        <f>'Costing 100 Lmin Feed Orig'!S5</f>
        <v>500</v>
      </c>
      <c r="T5">
        <f>'Costing 100 Lmin Feed Orig'!T5</f>
        <v>95</v>
      </c>
      <c r="U5">
        <f>'Costing 100 Lmin Feed Orig'!U5</f>
        <v>1</v>
      </c>
      <c r="V5">
        <f>'Costing 100 Lmin Feed Orig'!V5</f>
        <v>0.1</v>
      </c>
      <c r="W5">
        <f>'Costing 100 Lmin Feed Orig'!W5</f>
        <v>52.931106580020597</v>
      </c>
      <c r="X5" t="str">
        <f>'Costing 100 Lmin Feed Orig'!X5</f>
        <v>ddFc</v>
      </c>
      <c r="Y5">
        <f>'Costing 100 Lmin Feed Orig'!Y5</f>
        <v>1</v>
      </c>
      <c r="Z5">
        <f>'Costing 100 Lmin Feed Orig'!Z5</f>
        <v>0.28318429382522198</v>
      </c>
      <c r="AA5">
        <f>'Costing 100 Lmin Feed Orig'!AA5</f>
        <v>0.56945642916197003</v>
      </c>
      <c r="AB5">
        <f>'Costing 100 Lmin Feed Orig'!AB5</f>
        <v>3.7698628972227502E-3</v>
      </c>
      <c r="AC5">
        <f>'Costing 100 Lmin Feed Orig'!AC5</f>
        <v>1822.2107908876901</v>
      </c>
      <c r="AD5">
        <f>'Costing 100 Lmin Feed Orig'!AD5</f>
        <v>2662.6059073104898</v>
      </c>
      <c r="AE5">
        <f>'Costing 100 Lmin Feed Orig'!AE5</f>
        <v>2401.5030938442701</v>
      </c>
      <c r="AF5">
        <f>'Costing 100 Lmin Feed Orig'!AF5</f>
        <v>7</v>
      </c>
      <c r="AG5">
        <f>'Costing 100 Lmin Feed Orig'!AG5</f>
        <v>1.6455478770638001E-3</v>
      </c>
      <c r="AH5">
        <f>'Costing 100 Lmin Feed Orig'!AH5</f>
        <v>1.66233163271225E-3</v>
      </c>
      <c r="AI5">
        <f>'Costing 100 Lmin Feed Orig'!AI5</f>
        <v>2.0159416943409301E-5</v>
      </c>
      <c r="AJ5">
        <f>'Costing 100 Lmin Feed Orig'!AJ5</f>
        <v>0</v>
      </c>
      <c r="AK5">
        <f>'Costing 100 Lmin Feed Orig'!AK5</f>
        <v>0</v>
      </c>
      <c r="AL5">
        <f>'Costing 100 Lmin Feed Orig'!AL5</f>
        <v>0</v>
      </c>
      <c r="AM5">
        <f>'Costing 100 Lmin Feed Orig'!AM5</f>
        <v>1.60808949136668E-3</v>
      </c>
      <c r="AN5">
        <f>'Costing 100 Lmin Feed Orig'!AN5</f>
        <v>6.4611588564249294E-5</v>
      </c>
      <c r="AO5">
        <f>'Costing 100 Lmin Feed Orig'!AO5</f>
        <v>2.0024700455054798E-5</v>
      </c>
      <c r="AP5">
        <f>'Costing 100 Lmin Feed Orig'!AP5</f>
        <v>1.7385721005278799E-3</v>
      </c>
      <c r="AQ5">
        <f>'Costing 100 Lmin Feed Orig'!AQ5</f>
        <v>7.4155664786925493E-2</v>
      </c>
      <c r="AR5">
        <f>'Costing 100 Lmin Feed Orig'!AR5</f>
        <v>6.2526540793269999E-6</v>
      </c>
      <c r="AS5">
        <f>'Costing 100 Lmin Feed Orig'!AS5</f>
        <v>-2.20838430008141E-17</v>
      </c>
      <c r="AT5">
        <f>'Costing 100 Lmin Feed Orig'!AT5</f>
        <v>-3.7493879528893699E-15</v>
      </c>
      <c r="AU5">
        <f>'Costing 100 Lmin Feed Orig'!AU5</f>
        <v>-5.9159957409792503E-20</v>
      </c>
      <c r="AV5">
        <f>'Costing 100 Lmin Feed Orig'!AV5</f>
        <v>0.19968905250902499</v>
      </c>
      <c r="AW5">
        <f>'Costing 100 Lmin Feed Orig'!AW5</f>
        <v>99.331744123688495</v>
      </c>
      <c r="AX5">
        <f>'Costing 100 Lmin Feed Orig'!AX5</f>
        <v>500</v>
      </c>
      <c r="AY5">
        <f>'Costing 100 Lmin Feed Orig'!AY5</f>
        <v>95</v>
      </c>
      <c r="AZ5">
        <f>'Costing 100 Lmin Feed Orig'!AZ5</f>
        <v>0.92682535301965796</v>
      </c>
      <c r="BA5">
        <f>'Costing 100 Lmin Feed Orig'!BA5</f>
        <v>0.1</v>
      </c>
      <c r="BB5">
        <f>'Costing 100 Lmin Feed Orig'!BB5</f>
        <v>46.413428346442103</v>
      </c>
      <c r="BC5" t="str">
        <f>'Costing 100 Lmin Feed Orig'!BC5</f>
        <v>coeFc</v>
      </c>
      <c r="BD5">
        <f>'Costing 100 Lmin Feed Orig'!BD5</f>
        <v>1</v>
      </c>
      <c r="BE5">
        <f>'Costing 100 Lmin Feed Orig'!BE5</f>
        <v>1.8775014999999999E-2</v>
      </c>
      <c r="BF5">
        <f>'Costing 100 Lmin Feed Orig'!BF5</f>
        <v>0.10492961100000001</v>
      </c>
      <c r="BG5">
        <f>'Costing 100 Lmin Feed Orig'!BG5</f>
        <v>1.814625E-3</v>
      </c>
      <c r="BH5">
        <f>'Costing 100 Lmin Feed Orig'!BH5</f>
        <v>285.1951444</v>
      </c>
      <c r="BI5">
        <f>'Costing 100 Lmin Feed Orig'!BI5</f>
        <v>2169.8944889999998</v>
      </c>
      <c r="BJ5">
        <f>'Costing 100 Lmin Feed Orig'!BJ5</f>
        <v>866.49409060000005</v>
      </c>
      <c r="BK5">
        <f>'Costing 100 Lmin Feed Orig'!BK5</f>
        <v>100</v>
      </c>
      <c r="BL5">
        <f>'Costing 100 Lmin Feed Orig'!BL5</f>
        <v>18.892482409907799</v>
      </c>
      <c r="BM5">
        <f>'Costing 100 Lmin Feed Orig'!BM5</f>
        <v>92.6825353019658</v>
      </c>
      <c r="BN5">
        <f>'Costing 100 Lmin Feed Orig'!BN5</f>
        <v>19.968905250902498</v>
      </c>
      <c r="BO5">
        <f t="shared" si="1"/>
        <v>188.92482409907799</v>
      </c>
      <c r="BP5">
        <f t="shared" si="2"/>
        <v>359.44029451624499</v>
      </c>
      <c r="BQ5">
        <f t="shared" si="3"/>
        <v>18.892482409907799</v>
      </c>
      <c r="BR5">
        <f t="shared" si="4"/>
        <v>35.944029451624502</v>
      </c>
      <c r="BS5">
        <f>1.2*0.5*BL5*V5/'Oxidant Feed Composition'!$N$22</f>
        <v>11.335489445944679</v>
      </c>
      <c r="BT5">
        <f>1.2*0.5*BN5*BA5/'Oxidant Feed Composition'!$N$22</f>
        <v>11.981343150541498</v>
      </c>
      <c r="BU5">
        <f t="shared" si="5"/>
        <v>9.4462412049538997</v>
      </c>
      <c r="BV5">
        <f t="shared" si="6"/>
        <v>9.9844526254512491</v>
      </c>
      <c r="BW5">
        <f t="shared" si="7"/>
        <v>83.236294097011893</v>
      </c>
      <c r="BX5">
        <f t="shared" si="0"/>
        <v>60.455943711704961</v>
      </c>
      <c r="BY5">
        <f t="shared" si="8"/>
        <v>223.1500354237472</v>
      </c>
      <c r="BZ5">
        <f t="shared" si="9"/>
        <v>63.900496802887993</v>
      </c>
      <c r="CA5">
        <f t="shared" si="10"/>
        <v>59.906715752707498</v>
      </c>
      <c r="CB5">
        <f>BO5*'Reagent cost'!$G$11*'Reagent cost'!$H$11</f>
        <v>2493.8076781078298</v>
      </c>
      <c r="CC5">
        <f>BP5*'Reagent cost'!$G$11*'Reagent cost'!$H$11</f>
        <v>4744.6118876144337</v>
      </c>
      <c r="CD5">
        <f>BQ5*'Reagent cost'!$C$18/1000*'Reagent cost'!$H$18</f>
        <v>3012.9816471142385</v>
      </c>
      <c r="CE5">
        <f>BR5*'Ligand cost'!$B$56*'Ligand cost'!$J$56</f>
        <v>36595.613182214707</v>
      </c>
      <c r="CF5">
        <f t="shared" si="11"/>
        <v>10</v>
      </c>
      <c r="CG5">
        <f t="shared" si="12"/>
        <v>3.7784964819815601</v>
      </c>
      <c r="CH5">
        <f t="shared" si="12"/>
        <v>3.9937810501805</v>
      </c>
      <c r="CI5">
        <f>7963.6*(BX5/1000)^0.6*1.7*('CAPEX+OPEX'!$G$116/'CAPEX+OPEX'!$G$115)</f>
        <v>2965.5437179814326</v>
      </c>
      <c r="CJ5">
        <f>7963.6*(BY5/1000)^0.6*1.7*('CAPEX+OPEX'!$G$116/'CAPEX+OPEX'!$G$115)</f>
        <v>6492.3078360569407</v>
      </c>
      <c r="CK5">
        <f>7963.6*(BZ5/1000)^0.6*1.7*('CAPEX+OPEX'!$G$116/'CAPEX+OPEX'!$G$115)</f>
        <v>3065.7975205909352</v>
      </c>
      <c r="CL5">
        <f>7963.6*(CA5/1000)^0.6*1.7*('CAPEX+OPEX'!$G$116/'CAPEX+OPEX'!$G$115)</f>
        <v>2949.3494639409755</v>
      </c>
      <c r="CM5">
        <f>'Costing 100 Lmin Feed Orig'!DE5</f>
        <v>39625.826528698344</v>
      </c>
      <c r="CN5">
        <f>'Costing 100 Lmin Feed Orig'!DF5</f>
        <v>4586243.4239371875</v>
      </c>
      <c r="CO5">
        <f>'Costing 100 Lmin Feed Orig'!DG5</f>
        <v>11794834.586807497</v>
      </c>
      <c r="CP5">
        <f>'Costing 100 Lmin Feed Orig'!DH5</f>
        <v>2275209.1661185985</v>
      </c>
      <c r="CQ5">
        <f>'Costing 100 Lmin Feed Orig'!DI5</f>
        <v>14083914.336508472</v>
      </c>
      <c r="CR5">
        <f>'Costing 100 Lmin Feed Orig'!DJ5</f>
        <v>1662824.8986326549</v>
      </c>
      <c r="CS5">
        <f>CN5*(BK5/10000)^0.72*((A5+1)/3)^0.6*('CAPEX+OPEX'!$G$116/'CAPEX+OPEX'!$G$114)</f>
        <v>461850.0978118488</v>
      </c>
      <c r="CT5">
        <f>CO5*(BK5/10000)^0.72*((A5+1)/3)^0.6*('CAPEX+OPEX'!$G$116/'CAPEX+OPEX'!$G$114)</f>
        <v>1187779.4098672394</v>
      </c>
      <c r="CU5">
        <f>CP5*(BK5/10000)^0.72*((A5+1)/3)^0.6*('CAPEX+OPEX'!$G$116/'CAPEX+OPEX'!$G$114)</f>
        <v>229121.19544936769</v>
      </c>
      <c r="CV5">
        <f>CQ5*(BK5/10000)^0.72*((A5+1)/3)^0.6*('CAPEX+OPEX'!$G$116/'CAPEX+OPEX'!$G$114)</f>
        <v>1418297.4196136401</v>
      </c>
      <c r="CW5">
        <f>CR5*(BK5/10000)^0.72*((A5+1)/3)^0.6*('CAPEX+OPEX'!$G$116/'CAPEX+OPEX'!$G$114)</f>
        <v>167452.04540804314</v>
      </c>
      <c r="CX5">
        <f t="shared" si="13"/>
        <v>3464500.168150139</v>
      </c>
      <c r="CY5">
        <f>CN5*(BM5/10000)^0.72*((AF5+1)/3)^0.6*('CAPEX+OPEX'!$G$116/'CAPEX+OPEX'!$G$114)</f>
        <v>662761.89210079471</v>
      </c>
      <c r="CZ5">
        <f>CO5*(BM5/10000)^0.72*((AF5+1)/3)^0.6*('CAPEX+OPEX'!$G$116/'CAPEX+OPEX'!$G$114)</f>
        <v>1704481.4601353123</v>
      </c>
      <c r="DA5">
        <f>CP5*(BM5/10000)^0.72*((AF5+1)/3)^0.6*('CAPEX+OPEX'!$G$116/'CAPEX+OPEX'!$G$114)</f>
        <v>328792.38899345568</v>
      </c>
      <c r="DB5">
        <f>CQ5*(BM5/10000)^0.72*((AF5+1)/3)^0.6*('CAPEX+OPEX'!$G$116/'CAPEX+OPEX'!$G$114)</f>
        <v>2035278.2988209969</v>
      </c>
      <c r="DC5">
        <f>CR5*(BM5/10000)^0.72*((AF5+1)/3)^0.6*('CAPEX+OPEX'!$G$116/'CAPEX+OPEX'!$G$114)</f>
        <v>240296.22376738113</v>
      </c>
      <c r="DD5">
        <f t="shared" si="14"/>
        <v>4971610.2638179408</v>
      </c>
      <c r="DE5">
        <f>CX5+DD5+1.15*(SUM(CI5:CL5)+SUM(CB5:CE5))</f>
        <v>8507778.4468417447</v>
      </c>
      <c r="DF5">
        <f t="shared" si="15"/>
        <v>567185.2297894496</v>
      </c>
      <c r="DG5">
        <f>(BS5+BT5)*'Oxidant Feed Composition'!$N$28*60*7200</f>
        <v>25924469.667086449</v>
      </c>
      <c r="DH5">
        <f>((CG5+CH5)*'Reagent cost'!$C$17/1000*'Reagent cost'!$H$17+(CG5+CH5)*0.5*'Reagent cost'!$C$16/1000*'Reagent cost'!$H$16*1.5)*60*7200</f>
        <v>11029139.754782513</v>
      </c>
      <c r="DI5">
        <f>CF5*'Reagent cost'!$C$17/1000*'Reagent cost'!$H$17*60*7200</f>
        <v>504921.59999999998</v>
      </c>
      <c r="DJ5">
        <f t="shared" si="16"/>
        <v>72.384195657222634</v>
      </c>
      <c r="DK5">
        <f t="shared" si="17"/>
        <v>792.17189658657901</v>
      </c>
      <c r="DL5">
        <f t="shared" si="18"/>
        <v>44951274.693553448</v>
      </c>
      <c r="DM5">
        <f>BK5*(B5*(409.81+2)/1000+C5*(248.2+2*22.99)/1000+D5*(315.6+3*22.99)/1000+0.1*58.44/1000)</f>
        <v>0.70639694042110623</v>
      </c>
      <c r="DN5">
        <f>(BS5+BT5)/1000*('Oxidant Feed Composition'!$B$11*'Oxidant Feed Composition'!$O$20+'Oxidant Feed Composition'!$D$11*'Oxidant Feed Composition'!$O$21+'Oxidant Feed Composition'!$F$11*'Oxidant Feed Composition'!$O$27-'Oxidant Feed Composition'!$J$15*18.015)</f>
        <v>2.7230455690376436</v>
      </c>
      <c r="DO5">
        <f>(BU5+BV5)/1000*(0.2*368.34+0.4*58.44)</f>
        <v>1.885632252077837</v>
      </c>
      <c r="DP5">
        <f>BK5/1000*(B5*195.08+C5*106.42+D5*102.91)</f>
        <v>4.999938342565946E-2</v>
      </c>
      <c r="DQ5">
        <f>SUM(DM5:DO5)-DP5</f>
        <v>5.265075378110927</v>
      </c>
      <c r="DR5">
        <f>DQ5*60*7200*0.33</f>
        <v>750589.14590349386</v>
      </c>
      <c r="DS5">
        <v>1.2</v>
      </c>
      <c r="DT5">
        <f>BM5/60*(AM5*4+AN5*2+AO5*3)*96485/DV5</f>
        <v>1409.8567292374196</v>
      </c>
      <c r="DU5">
        <f>BN5*BA5*(AP5*4+AQ5*2+AR5*3)*96485/DV5/60</f>
        <v>712.34852298928593</v>
      </c>
      <c r="DV5">
        <v>0.7</v>
      </c>
      <c r="DW5">
        <f>0.499*((BK5/3.78541*15)^(-0.146))*BK5/3.78541*15*300*(1+(A5-2)/9)</f>
        <v>27520.276190787874</v>
      </c>
      <c r="DX5">
        <f>0.248*((BK5/3.78541*15)^(-0.144))*BK5/3.78541*15*300*(1+(A5-2)/3)</f>
        <v>16610.439588917834</v>
      </c>
      <c r="DY5">
        <f>0.105*((BK5/3.78541*15)^(-0.144))*BK5/3.78541*15*300*(1+(A5-2)/3)</f>
        <v>7032.645793695051</v>
      </c>
      <c r="DZ5">
        <f>0.058*((BK5/3.78541*15)^(-0.151))*BK5/3.78541*15*300*(1+(A5-2)/3)</f>
        <v>3725.3886787897172</v>
      </c>
      <c r="EA5">
        <f>0.056*((BK5/3.78541*15)^(-0.144))*BK5/3.78541*15*300*(1+(A5-2)/3)</f>
        <v>3750.7444233040283</v>
      </c>
      <c r="EB5">
        <f>DS5*DT5/(3.6*10^6)*3600*7200*0.07</f>
        <v>852.68134984279141</v>
      </c>
      <c r="EC5">
        <f>0.499*((BM5/3.78541*15)^(-0.146))*BM5/3.78541*15*300*(1+(AF5-2)/9)</f>
        <v>36107.467989398225</v>
      </c>
      <c r="ED5">
        <f>0.248*((BM5/3.78541*15)^(-0.144))*BM5/3.78541*15*300*(1+(AF5-2)/3)</f>
        <v>31128.724700193463</v>
      </c>
      <c r="EE5">
        <f>0.105*((BM5/3.78541*15)^(-0.144))*BM5/3.78541*15*300*(1+(AF5-2)/3)</f>
        <v>13179.500377098037</v>
      </c>
      <c r="EF5">
        <f>0.058*((BM5/3.78541*15)^(-0.151))*BM5/3.78541*15*300*(1+(AF5-2)/3)</f>
        <v>6985.2637307326804</v>
      </c>
      <c r="EG5">
        <f>0.056*((BM5/3.78541*15)^(-0.144))*BM5/3.78541*15*300*(1+(AF5-2)/3)</f>
        <v>7029.0668677856211</v>
      </c>
      <c r="EH5">
        <f>DS5*DU5/(3.6*10^6)*3600*7200*0.07</f>
        <v>430.82838670392022</v>
      </c>
      <c r="EI5">
        <f>SUM(DW5:EH5)</f>
        <v>154353.02807724921</v>
      </c>
      <c r="EJ5">
        <f>EI5+DR5+DL5</f>
        <v>45856216.86753419</v>
      </c>
      <c r="EK5">
        <f>EJ5+DF5</f>
        <v>46423402.097323641</v>
      </c>
      <c r="EL5">
        <f>EK5/(BK5*60*7200)</f>
        <v>1.0746157892898991</v>
      </c>
      <c r="EM5">
        <f>EK5/(BM5*(AM5*195.084/1000+AN5*106.42/1000+AO5*102.911/1000)*60*7200)</f>
        <v>3593.5578614214346</v>
      </c>
      <c r="EN5">
        <f>EK5/(BN5*BA5*(AP5*195.084/1000+AQ5*106.42/1000+AR5*102.911/1000)*60*7200)</f>
        <v>6537.6588110463363</v>
      </c>
    </row>
    <row r="6" spans="1:144">
      <c r="A6">
        <f>'Costing 100 Lmin Feed Orig'!A6</f>
        <v>3</v>
      </c>
      <c r="B6">
        <f>'Costing 100 Lmin Feed Orig'!B6</f>
        <v>1.54143585092054E-3</v>
      </c>
      <c r="C6">
        <f>'Costing 100 Lmin Feed Orig'!C6</f>
        <v>1.54143585092054E-3</v>
      </c>
      <c r="D6">
        <f>'Costing 100 Lmin Feed Orig'!D6</f>
        <v>3.4254130020456501E-4</v>
      </c>
      <c r="E6">
        <f>'Costing 100 Lmin Feed Orig'!E6</f>
        <v>0</v>
      </c>
      <c r="F6">
        <f>'Costing 100 Lmin Feed Orig'!F6</f>
        <v>0</v>
      </c>
      <c r="G6">
        <f>'Costing 100 Lmin Feed Orig'!G6</f>
        <v>0</v>
      </c>
      <c r="H6">
        <f>'Costing 100 Lmin Feed Orig'!H6</f>
        <v>1.6300358850230801E-5</v>
      </c>
      <c r="I6">
        <f>'Costing 100 Lmin Feed Orig'!I6</f>
        <v>7.4474859607128495E-7</v>
      </c>
      <c r="J6">
        <f>'Costing 100 Lmin Feed Orig'!J6</f>
        <v>3.2385704147932398E-4</v>
      </c>
      <c r="K6">
        <f>'Costing 100 Lmin Feed Orig'!K6</f>
        <v>8.07271092797512E-2</v>
      </c>
      <c r="L6">
        <f>'Costing 100 Lmin Feed Orig'!L6</f>
        <v>8.15504849440159E-2</v>
      </c>
      <c r="M6">
        <f>'Costing 100 Lmin Feed Orig'!M6</f>
        <v>9.8897848995466706E-4</v>
      </c>
      <c r="N6">
        <f>'Costing 100 Lmin Feed Orig'!N6</f>
        <v>-9.8011876392689601E-17</v>
      </c>
      <c r="O6">
        <f>'Costing 100 Lmin Feed Orig'!O6</f>
        <v>1.94289029309402E-16</v>
      </c>
      <c r="P6">
        <f>'Costing 100 Lmin Feed Orig'!P6</f>
        <v>-4.3537493488870999E-18</v>
      </c>
      <c r="Q6">
        <f>'Costing 100 Lmin Feed Orig'!Q6</f>
        <v>0.18892482409907799</v>
      </c>
      <c r="R6">
        <f>'Costing 100 Lmin Feed Orig'!R6</f>
        <v>94.545399718491396</v>
      </c>
      <c r="S6">
        <f>'Costing 100 Lmin Feed Orig'!S6</f>
        <v>500</v>
      </c>
      <c r="T6">
        <f>'Costing 100 Lmin Feed Orig'!T6</f>
        <v>95</v>
      </c>
      <c r="U6">
        <f>'Costing 100 Lmin Feed Orig'!U6</f>
        <v>1</v>
      </c>
      <c r="V6">
        <f>'Costing 100 Lmin Feed Orig'!V6</f>
        <v>0.1</v>
      </c>
      <c r="W6">
        <f>'Costing 100 Lmin Feed Orig'!W6</f>
        <v>52.931106580020597</v>
      </c>
      <c r="X6" t="str">
        <f>'Costing 100 Lmin Feed Orig'!X6</f>
        <v>ddFc</v>
      </c>
      <c r="Y6">
        <f>'Costing 100 Lmin Feed Orig'!Y6</f>
        <v>1</v>
      </c>
      <c r="Z6">
        <f>'Costing 100 Lmin Feed Orig'!Z6</f>
        <v>0.28318429382522198</v>
      </c>
      <c r="AA6">
        <f>'Costing 100 Lmin Feed Orig'!AA6</f>
        <v>0.56945642916197003</v>
      </c>
      <c r="AB6">
        <f>'Costing 100 Lmin Feed Orig'!AB6</f>
        <v>3.7698628972227502E-3</v>
      </c>
      <c r="AC6">
        <f>'Costing 100 Lmin Feed Orig'!AC6</f>
        <v>1822.2107908876901</v>
      </c>
      <c r="AD6">
        <f>'Costing 100 Lmin Feed Orig'!AD6</f>
        <v>2662.6059073104898</v>
      </c>
      <c r="AE6">
        <f>'Costing 100 Lmin Feed Orig'!AE6</f>
        <v>2401.5030938442701</v>
      </c>
      <c r="AF6">
        <f>'Costing 100 Lmin Feed Orig'!AF6</f>
        <v>8</v>
      </c>
      <c r="AG6">
        <f>'Costing 100 Lmin Feed Orig'!AG6</f>
        <v>1.6455478770638001E-3</v>
      </c>
      <c r="AH6">
        <f>'Costing 100 Lmin Feed Orig'!AH6</f>
        <v>1.66233163271225E-3</v>
      </c>
      <c r="AI6">
        <f>'Costing 100 Lmin Feed Orig'!AI6</f>
        <v>2.0159416943409301E-5</v>
      </c>
      <c r="AJ6">
        <f>'Costing 100 Lmin Feed Orig'!AJ6</f>
        <v>0</v>
      </c>
      <c r="AK6">
        <f>'Costing 100 Lmin Feed Orig'!AK6</f>
        <v>0</v>
      </c>
      <c r="AL6">
        <f>'Costing 100 Lmin Feed Orig'!AL6</f>
        <v>0</v>
      </c>
      <c r="AM6">
        <f>'Costing 100 Lmin Feed Orig'!AM6</f>
        <v>1.60827767677345E-3</v>
      </c>
      <c r="AN6">
        <f>'Costing 100 Lmin Feed Orig'!AN6</f>
        <v>6.4620843878105105E-5</v>
      </c>
      <c r="AO6">
        <f>'Costing 100 Lmin Feed Orig'!AO6</f>
        <v>2.0025349636286901E-5</v>
      </c>
      <c r="AP6">
        <f>'Costing 100 Lmin Feed Orig'!AP6</f>
        <v>1.7322991543913E-3</v>
      </c>
      <c r="AQ6">
        <f>'Costing 100 Lmin Feed Orig'!AQ6</f>
        <v>7.4260750598247896E-2</v>
      </c>
      <c r="AR6">
        <f>'Costing 100 Lmin Feed Orig'!AR6</f>
        <v>6.23137737256415E-6</v>
      </c>
      <c r="AS6">
        <f>'Costing 100 Lmin Feed Orig'!AS6</f>
        <v>8.2236734783025499E-17</v>
      </c>
      <c r="AT6">
        <f>'Costing 100 Lmin Feed Orig'!AT6</f>
        <v>-2.2797735921287199E-14</v>
      </c>
      <c r="AU6">
        <f>'Costing 100 Lmin Feed Orig'!AU6</f>
        <v>-1.82906177047725E-20</v>
      </c>
      <c r="AV6">
        <f>'Costing 100 Lmin Feed Orig'!AV6</f>
        <v>0.19940531895758401</v>
      </c>
      <c r="AW6">
        <f>'Costing 100 Lmin Feed Orig'!AW6</f>
        <v>99.334964361822799</v>
      </c>
      <c r="AX6">
        <f>'Costing 100 Lmin Feed Orig'!AX6</f>
        <v>500</v>
      </c>
      <c r="AY6">
        <f>'Costing 100 Lmin Feed Orig'!AY6</f>
        <v>95</v>
      </c>
      <c r="AZ6">
        <f>'Costing 100 Lmin Feed Orig'!AZ6</f>
        <v>0.92682535301965796</v>
      </c>
      <c r="BA6">
        <f>'Costing 100 Lmin Feed Orig'!BA6</f>
        <v>0.1</v>
      </c>
      <c r="BB6">
        <f>'Costing 100 Lmin Feed Orig'!BB6</f>
        <v>46.479469949184399</v>
      </c>
      <c r="BC6" t="str">
        <f>'Costing 100 Lmin Feed Orig'!BC6</f>
        <v>coeFc</v>
      </c>
      <c r="BD6">
        <f>'Costing 100 Lmin Feed Orig'!BD6</f>
        <v>1</v>
      </c>
      <c r="BE6">
        <f>'Costing 100 Lmin Feed Orig'!BE6</f>
        <v>1.8775014999999999E-2</v>
      </c>
      <c r="BF6">
        <f>'Costing 100 Lmin Feed Orig'!BF6</f>
        <v>0.10492961100000001</v>
      </c>
      <c r="BG6">
        <f>'Costing 100 Lmin Feed Orig'!BG6</f>
        <v>1.814625E-3</v>
      </c>
      <c r="BH6">
        <f>'Costing 100 Lmin Feed Orig'!BH6</f>
        <v>285.1951444</v>
      </c>
      <c r="BI6">
        <f>'Costing 100 Lmin Feed Orig'!BI6</f>
        <v>2169.8944889999998</v>
      </c>
      <c r="BJ6">
        <f>'Costing 100 Lmin Feed Orig'!BJ6</f>
        <v>866.49409060000005</v>
      </c>
      <c r="BK6">
        <f>'Costing 100 Lmin Feed Orig'!BK6</f>
        <v>100</v>
      </c>
      <c r="BL6">
        <f>'Costing 100 Lmin Feed Orig'!BL6</f>
        <v>18.892482409907799</v>
      </c>
      <c r="BM6">
        <f>'Costing 100 Lmin Feed Orig'!BM6</f>
        <v>92.6825353019658</v>
      </c>
      <c r="BN6">
        <f>'Costing 100 Lmin Feed Orig'!BN6</f>
        <v>19.940531895758401</v>
      </c>
      <c r="BO6">
        <f t="shared" si="1"/>
        <v>188.92482409907799</v>
      </c>
      <c r="BP6">
        <f t="shared" si="2"/>
        <v>398.810637915168</v>
      </c>
      <c r="BQ6">
        <f t="shared" si="3"/>
        <v>18.892482409907799</v>
      </c>
      <c r="BR6">
        <f t="shared" si="4"/>
        <v>39.881063791516802</v>
      </c>
      <c r="BS6">
        <f>1.2*0.5*BL6*V6/'Oxidant Feed Composition'!$N$22</f>
        <v>11.335489445944679</v>
      </c>
      <c r="BT6">
        <f>1.2*0.5*BN6*BA6/'Oxidant Feed Composition'!$N$22</f>
        <v>11.964319137455041</v>
      </c>
      <c r="BU6">
        <f t="shared" si="5"/>
        <v>9.4462412049538997</v>
      </c>
      <c r="BV6">
        <f t="shared" si="6"/>
        <v>9.9702659478792004</v>
      </c>
      <c r="BW6">
        <f t="shared" si="7"/>
        <v>83.236294097011893</v>
      </c>
      <c r="BX6">
        <f t="shared" si="0"/>
        <v>60.455943711704961</v>
      </c>
      <c r="BY6">
        <f t="shared" si="8"/>
        <v>223.1500354237472</v>
      </c>
      <c r="BZ6">
        <f t="shared" si="9"/>
        <v>63.80970206642688</v>
      </c>
      <c r="CA6">
        <f t="shared" si="10"/>
        <v>59.821595687275206</v>
      </c>
      <c r="CB6">
        <f>BO6*'Reagent cost'!$G$11*'Reagent cost'!$H$11</f>
        <v>2493.8076781078298</v>
      </c>
      <c r="CC6">
        <f>BP6*'Reagent cost'!$G$11*'Reagent cost'!$H$11</f>
        <v>5264.3004204802173</v>
      </c>
      <c r="CD6">
        <f>BQ6*'Reagent cost'!$C$18/1000*'Reagent cost'!$H$18</f>
        <v>3012.9816471142385</v>
      </c>
      <c r="CE6">
        <f>BR6*'Ligand cost'!$B$56*'Ligand cost'!$J$56</f>
        <v>40604.017025242465</v>
      </c>
      <c r="CF6">
        <f t="shared" si="11"/>
        <v>10</v>
      </c>
      <c r="CG6">
        <f t="shared" si="12"/>
        <v>3.7784964819815601</v>
      </c>
      <c r="CH6">
        <f t="shared" si="12"/>
        <v>3.9881063791516804</v>
      </c>
      <c r="CI6">
        <f>7963.6*(BX6/1000)^0.6*1.7*('CAPEX+OPEX'!$G$116/'CAPEX+OPEX'!$G$115)</f>
        <v>2965.5437179814326</v>
      </c>
      <c r="CJ6">
        <f>7963.6*(BY6/1000)^0.6*1.7*('CAPEX+OPEX'!$G$116/'CAPEX+OPEX'!$G$115)</f>
        <v>6492.3078360569407</v>
      </c>
      <c r="CK6">
        <f>7963.6*(BZ6/1000)^0.6*1.7*('CAPEX+OPEX'!$G$116/'CAPEX+OPEX'!$G$115)</f>
        <v>3063.1831049267225</v>
      </c>
      <c r="CL6">
        <f>7963.6*(CA6/1000)^0.6*1.7*('CAPEX+OPEX'!$G$116/'CAPEX+OPEX'!$G$115)</f>
        <v>2946.8343515155875</v>
      </c>
      <c r="CM6">
        <f>'Costing 100 Lmin Feed Orig'!DE6</f>
        <v>39625.826528698344</v>
      </c>
      <c r="CN6">
        <f>'Costing 100 Lmin Feed Orig'!DF6</f>
        <v>4586243.4239371875</v>
      </c>
      <c r="CO6">
        <f>'Costing 100 Lmin Feed Orig'!DG6</f>
        <v>11794834.586807497</v>
      </c>
      <c r="CP6">
        <f>'Costing 100 Lmin Feed Orig'!DH6</f>
        <v>2275209.1661185985</v>
      </c>
      <c r="CQ6">
        <f>'Costing 100 Lmin Feed Orig'!DI6</f>
        <v>14083914.336508472</v>
      </c>
      <c r="CR6">
        <f>'Costing 100 Lmin Feed Orig'!DJ6</f>
        <v>1662824.8986326549</v>
      </c>
      <c r="CS6">
        <f>CN6*(BK6/10000)^0.72*((A6+1)/3)^0.6*('CAPEX+OPEX'!$G$116/'CAPEX+OPEX'!$G$114)</f>
        <v>461850.0978118488</v>
      </c>
      <c r="CT6">
        <f>CO6*(BK6/10000)^0.72*((A6+1)/3)^0.6*('CAPEX+OPEX'!$G$116/'CAPEX+OPEX'!$G$114)</f>
        <v>1187779.4098672394</v>
      </c>
      <c r="CU6">
        <f>CP6*(BK6/10000)^0.72*((A6+1)/3)^0.6*('CAPEX+OPEX'!$G$116/'CAPEX+OPEX'!$G$114)</f>
        <v>229121.19544936769</v>
      </c>
      <c r="CV6">
        <f>CQ6*(BK6/10000)^0.72*((A6+1)/3)^0.6*('CAPEX+OPEX'!$G$116/'CAPEX+OPEX'!$G$114)</f>
        <v>1418297.4196136401</v>
      </c>
      <c r="CW6">
        <f>CR6*(BK6/10000)^0.72*((A6+1)/3)^0.6*('CAPEX+OPEX'!$G$116/'CAPEX+OPEX'!$G$114)</f>
        <v>167452.04540804314</v>
      </c>
      <c r="CX6">
        <f t="shared" si="13"/>
        <v>3464500.168150139</v>
      </c>
      <c r="CY6">
        <f>CN6*(BM6/10000)^0.72*((AF6+1)/3)^0.6*('CAPEX+OPEX'!$G$116/'CAPEX+OPEX'!$G$114)</f>
        <v>711293.83179829107</v>
      </c>
      <c r="CZ6">
        <f>CO6*(BM6/10000)^0.72*((AF6+1)/3)^0.6*('CAPEX+OPEX'!$G$116/'CAPEX+OPEX'!$G$114)</f>
        <v>1829295.2015780793</v>
      </c>
      <c r="DA6">
        <f>CP6*(BM6/10000)^0.72*((AF6+1)/3)^0.6*('CAPEX+OPEX'!$G$116/'CAPEX+OPEX'!$G$114)</f>
        <v>352868.80706427526</v>
      </c>
      <c r="DB6">
        <f>CQ6*(BM6/10000)^0.72*((AF6+1)/3)^0.6*('CAPEX+OPEX'!$G$116/'CAPEX+OPEX'!$G$114)</f>
        <v>2184315.2377930121</v>
      </c>
      <c r="DC6">
        <f>CR6*(BM6/10000)^0.72*((AF6+1)/3)^0.6*('CAPEX+OPEX'!$G$116/'CAPEX+OPEX'!$G$114)</f>
        <v>257892.34988810416</v>
      </c>
      <c r="DD6">
        <f t="shared" si="14"/>
        <v>5335665.4281217614</v>
      </c>
      <c r="DE6">
        <f>CX6+DD6+1.15*(SUM(CI6:CL6)+SUM(CB6:CE6))</f>
        <v>8877035.0184205398</v>
      </c>
      <c r="DF6">
        <f t="shared" si="15"/>
        <v>591802.33456136927</v>
      </c>
      <c r="DG6">
        <f>(BS6+BT6)*'Oxidant Feed Composition'!$N$28*60*7200</f>
        <v>25905541.774155635</v>
      </c>
      <c r="DH6">
        <f>((CG6+CH6)*'Reagent cost'!$C$17/1000*'Reagent cost'!$H$17+(CG6+CH6)*0.5*'Reagent cost'!$C$16/1000*'Reagent cost'!$H$16*1.5)*60*7200</f>
        <v>11021087.193666384</v>
      </c>
      <c r="DI6">
        <f>CF6*'Reagent cost'!$C$17/1000*'Reagent cost'!$H$17*60*7200</f>
        <v>504921.59999999998</v>
      </c>
      <c r="DJ6">
        <f t="shared" si="16"/>
        <v>77.581080985880476</v>
      </c>
      <c r="DK6">
        <f t="shared" si="17"/>
        <v>872.33997344713407</v>
      </c>
      <c r="DL6">
        <f t="shared" si="18"/>
        <v>44919000.586651742</v>
      </c>
      <c r="DM6">
        <f>BK6*(B6*(409.81+2)/1000+C6*(248.2+2*22.99)/1000+D6*(315.6+3*22.99)/1000+0.1*58.44/1000)</f>
        <v>0.70639694042110623</v>
      </c>
      <c r="DN6">
        <f>(BS6+BT6)/1000*('Oxidant Feed Composition'!$B$11*'Oxidant Feed Composition'!$O$20+'Oxidant Feed Composition'!$D$11*'Oxidant Feed Composition'!$O$21+'Oxidant Feed Composition'!$F$11*'Oxidant Feed Composition'!$O$27-'Oxidant Feed Composition'!$J$15*18.015)</f>
        <v>2.7210574275003871</v>
      </c>
      <c r="DO6">
        <f>(BU6+BV6)/1000*(0.2*368.34+0.4*58.44)</f>
        <v>1.8842555201395352</v>
      </c>
      <c r="DP6">
        <f>BK6/1000*(B6*195.08+C6*106.42+D6*102.91)</f>
        <v>4.999938342565946E-2</v>
      </c>
      <c r="DQ6">
        <f>SUM(DM6:DO6)-DP6</f>
        <v>5.2617105046353689</v>
      </c>
      <c r="DR6">
        <f>DQ6*60*7200*0.33</f>
        <v>750109.44954081823</v>
      </c>
      <c r="DS6">
        <v>1.2</v>
      </c>
      <c r="DT6">
        <f>BM6/60*(AM6*4+AN6*2+AO6*3)*96485/DV6</f>
        <v>1410.0213558902396</v>
      </c>
      <c r="DU6">
        <f>BN6*BA6*(AP6*4+AQ6*2+AR6*3)*96485/DV6/60</f>
        <v>712.18389634512152</v>
      </c>
      <c r="DV6">
        <v>0.7</v>
      </c>
      <c r="DW6">
        <f>0.499*((BK6/3.78541*15)^(-0.146))*BK6/3.78541*15*300*(1+(A6-2)/9)</f>
        <v>27520.276190787874</v>
      </c>
      <c r="DX6">
        <f>0.248*((BK6/3.78541*15)^(-0.144))*BK6/3.78541*15*300*(1+(A6-2)/3)</f>
        <v>16610.439588917834</v>
      </c>
      <c r="DY6">
        <f>0.105*((BK6/3.78541*15)^(-0.144))*BK6/3.78541*15*300*(1+(A6-2)/3)</f>
        <v>7032.645793695051</v>
      </c>
      <c r="DZ6">
        <f>0.058*((BK6/3.78541*15)^(-0.151))*BK6/3.78541*15*300*(1+(A6-2)/3)</f>
        <v>3725.3886787897172</v>
      </c>
      <c r="EA6">
        <f>0.056*((BK6/3.78541*15)^(-0.144))*BK6/3.78541*15*300*(1+(A6-2)/3)</f>
        <v>3750.7444233040283</v>
      </c>
      <c r="EB6">
        <f>DS6*DT6/(3.6*10^6)*3600*7200*0.07</f>
        <v>852.78091604241706</v>
      </c>
      <c r="EC6">
        <f>0.499*((BM6/3.78541*15)^(-0.146))*BM6/3.78541*15*300*(1+(AF6-2)/9)</f>
        <v>38686.572845783812</v>
      </c>
      <c r="ED6">
        <f>0.248*((BM6/3.78541*15)^(-0.144))*BM6/3.78541*15*300*(1+(AF6-2)/3)</f>
        <v>35019.81528771764</v>
      </c>
      <c r="EE6">
        <f>0.105*((BM6/3.78541*15)^(-0.144))*BM6/3.78541*15*300*(1+(AF6-2)/3)</f>
        <v>14826.93792423529</v>
      </c>
      <c r="EF6">
        <f>0.058*((BM6/3.78541*15)^(-0.151))*BM6/3.78541*15*300*(1+(AF6-2)/3)</f>
        <v>7858.4216970742636</v>
      </c>
      <c r="EG6">
        <f>0.056*((BM6/3.78541*15)^(-0.144))*BM6/3.78541*15*300*(1+(AF6-2)/3)</f>
        <v>7907.700226258823</v>
      </c>
      <c r="EH6">
        <f>DS6*DU6/(3.6*10^6)*3600*7200*0.07</f>
        <v>430.72882050952956</v>
      </c>
      <c r="EI6">
        <f>SUM(DW6:EH6)</f>
        <v>164222.45239311631</v>
      </c>
      <c r="EJ6">
        <f>EI6+DR6+DL6</f>
        <v>45833332.488585681</v>
      </c>
      <c r="EK6">
        <f>EJ6+DF6</f>
        <v>46425134.823147051</v>
      </c>
      <c r="EL6">
        <f>EK6/(BK6*60*7200)</f>
        <v>1.0746558986839596</v>
      </c>
      <c r="EM6">
        <f>EK6/(BM6*(AM6*195.084/1000+AN6*106.42/1000+AO6*102.911/1000)*60*7200)</f>
        <v>3593.271422860752</v>
      </c>
      <c r="EN6">
        <f>EK6/(BN6*BA6*(AP6*195.084/1000+AQ6*106.42/1000+AR6*102.911/1000)*60*7200)</f>
        <v>6539.2952528993255</v>
      </c>
    </row>
    <row r="7" spans="1:144">
      <c r="A7">
        <f>'Costing 100 Lmin Feed Orig'!A7</f>
        <v>3</v>
      </c>
      <c r="B7">
        <f>'Costing 100 Lmin Feed Orig'!B7</f>
        <v>1.54143585092054E-3</v>
      </c>
      <c r="C7">
        <f>'Costing 100 Lmin Feed Orig'!C7</f>
        <v>1.54143585092054E-3</v>
      </c>
      <c r="D7">
        <f>'Costing 100 Lmin Feed Orig'!D7</f>
        <v>3.4254130020456501E-4</v>
      </c>
      <c r="E7">
        <f>'Costing 100 Lmin Feed Orig'!E7</f>
        <v>0</v>
      </c>
      <c r="F7">
        <f>'Costing 100 Lmin Feed Orig'!F7</f>
        <v>0</v>
      </c>
      <c r="G7">
        <f>'Costing 100 Lmin Feed Orig'!G7</f>
        <v>0</v>
      </c>
      <c r="H7">
        <f>'Costing 100 Lmin Feed Orig'!H7</f>
        <v>1.6300358850230801E-5</v>
      </c>
      <c r="I7">
        <f>'Costing 100 Lmin Feed Orig'!I7</f>
        <v>7.4474859607128495E-7</v>
      </c>
      <c r="J7">
        <f>'Costing 100 Lmin Feed Orig'!J7</f>
        <v>3.2385704147932398E-4</v>
      </c>
      <c r="K7">
        <f>'Costing 100 Lmin Feed Orig'!K7</f>
        <v>8.07271092797512E-2</v>
      </c>
      <c r="L7">
        <f>'Costing 100 Lmin Feed Orig'!L7</f>
        <v>8.15504849440159E-2</v>
      </c>
      <c r="M7">
        <f>'Costing 100 Lmin Feed Orig'!M7</f>
        <v>9.8897848995466706E-4</v>
      </c>
      <c r="N7">
        <f>'Costing 100 Lmin Feed Orig'!N7</f>
        <v>-9.8011876392689601E-17</v>
      </c>
      <c r="O7">
        <f>'Costing 100 Lmin Feed Orig'!O7</f>
        <v>1.94289029309402E-16</v>
      </c>
      <c r="P7">
        <f>'Costing 100 Lmin Feed Orig'!P7</f>
        <v>-4.3537493488870999E-18</v>
      </c>
      <c r="Q7">
        <f>'Costing 100 Lmin Feed Orig'!Q7</f>
        <v>0.18892482409907799</v>
      </c>
      <c r="R7">
        <f>'Costing 100 Lmin Feed Orig'!R7</f>
        <v>94.545399718491396</v>
      </c>
      <c r="S7">
        <f>'Costing 100 Lmin Feed Orig'!S7</f>
        <v>500</v>
      </c>
      <c r="T7">
        <f>'Costing 100 Lmin Feed Orig'!T7</f>
        <v>95</v>
      </c>
      <c r="U7">
        <f>'Costing 100 Lmin Feed Orig'!U7</f>
        <v>1</v>
      </c>
      <c r="V7">
        <f>'Costing 100 Lmin Feed Orig'!V7</f>
        <v>0.1</v>
      </c>
      <c r="W7">
        <f>'Costing 100 Lmin Feed Orig'!W7</f>
        <v>52.931106580020597</v>
      </c>
      <c r="X7" t="str">
        <f>'Costing 100 Lmin Feed Orig'!X7</f>
        <v>ddFc</v>
      </c>
      <c r="Y7">
        <f>'Costing 100 Lmin Feed Orig'!Y7</f>
        <v>1</v>
      </c>
      <c r="Z7">
        <f>'Costing 100 Lmin Feed Orig'!Z7</f>
        <v>0.28318429382522198</v>
      </c>
      <c r="AA7">
        <f>'Costing 100 Lmin Feed Orig'!AA7</f>
        <v>0.56945642916197003</v>
      </c>
      <c r="AB7">
        <f>'Costing 100 Lmin Feed Orig'!AB7</f>
        <v>3.7698628972227502E-3</v>
      </c>
      <c r="AC7">
        <f>'Costing 100 Lmin Feed Orig'!AC7</f>
        <v>1822.2107908876901</v>
      </c>
      <c r="AD7">
        <f>'Costing 100 Lmin Feed Orig'!AD7</f>
        <v>2662.6059073104898</v>
      </c>
      <c r="AE7">
        <f>'Costing 100 Lmin Feed Orig'!AE7</f>
        <v>2401.5030938442701</v>
      </c>
      <c r="AF7">
        <f>'Costing 100 Lmin Feed Orig'!AF7</f>
        <v>9</v>
      </c>
      <c r="AG7">
        <f>'Costing 100 Lmin Feed Orig'!AG7</f>
        <v>1.6455478770638001E-3</v>
      </c>
      <c r="AH7">
        <f>'Costing 100 Lmin Feed Orig'!AH7</f>
        <v>1.66233163271225E-3</v>
      </c>
      <c r="AI7">
        <f>'Costing 100 Lmin Feed Orig'!AI7</f>
        <v>2.0159416943409301E-5</v>
      </c>
      <c r="AJ7">
        <f>'Costing 100 Lmin Feed Orig'!AJ7</f>
        <v>0</v>
      </c>
      <c r="AK7">
        <f>'Costing 100 Lmin Feed Orig'!AK7</f>
        <v>0</v>
      </c>
      <c r="AL7">
        <f>'Costing 100 Lmin Feed Orig'!AL7</f>
        <v>0</v>
      </c>
      <c r="AM7">
        <f>'Costing 100 Lmin Feed Orig'!AM7</f>
        <v>1.6083318712016E-3</v>
      </c>
      <c r="AN7">
        <f>'Costing 100 Lmin Feed Orig'!AN7</f>
        <v>6.46235091896047E-5</v>
      </c>
      <c r="AO7">
        <f>'Costing 100 Lmin Feed Orig'!AO7</f>
        <v>2.0025536590245201E-5</v>
      </c>
      <c r="AP7">
        <f>'Costing 100 Lmin Feed Orig'!AP7</f>
        <v>1.7304893324093099E-3</v>
      </c>
      <c r="AQ7">
        <f>'Costing 100 Lmin Feed Orig'!AQ7</f>
        <v>7.4291069145050903E-2</v>
      </c>
      <c r="AR7">
        <f>'Costing 100 Lmin Feed Orig'!AR7</f>
        <v>6.2252387814425299E-6</v>
      </c>
      <c r="AS7">
        <f>'Costing 100 Lmin Feed Orig'!AS7</f>
        <v>2.10275590342701E-15</v>
      </c>
      <c r="AT7">
        <f>'Costing 100 Lmin Feed Orig'!AT7</f>
        <v>-3.1233609448788598E-13</v>
      </c>
      <c r="AU7">
        <f>'Costing 100 Lmin Feed Orig'!AU7</f>
        <v>8.7085574889582693E-21</v>
      </c>
      <c r="AV7">
        <f>'Costing 100 Lmin Feed Orig'!AV7</f>
        <v>0.19932360820213499</v>
      </c>
      <c r="AW7">
        <f>'Costing 100 Lmin Feed Orig'!AW7</f>
        <v>99.335891739627598</v>
      </c>
      <c r="AX7">
        <f>'Costing 100 Lmin Feed Orig'!AX7</f>
        <v>500</v>
      </c>
      <c r="AY7">
        <f>'Costing 100 Lmin Feed Orig'!AY7</f>
        <v>95</v>
      </c>
      <c r="AZ7">
        <f>'Costing 100 Lmin Feed Orig'!AZ7</f>
        <v>0.92682535301965796</v>
      </c>
      <c r="BA7">
        <f>'Costing 100 Lmin Feed Orig'!BA7</f>
        <v>0.1</v>
      </c>
      <c r="BB7">
        <f>'Costing 100 Lmin Feed Orig'!BB7</f>
        <v>46.498523751374002</v>
      </c>
      <c r="BC7" t="str">
        <f>'Costing 100 Lmin Feed Orig'!BC7</f>
        <v>coeFc</v>
      </c>
      <c r="BD7">
        <f>'Costing 100 Lmin Feed Orig'!BD7</f>
        <v>1</v>
      </c>
      <c r="BE7">
        <f>'Costing 100 Lmin Feed Orig'!BE7</f>
        <v>1.8775014999999999E-2</v>
      </c>
      <c r="BF7">
        <f>'Costing 100 Lmin Feed Orig'!BF7</f>
        <v>0.10492961100000001</v>
      </c>
      <c r="BG7">
        <f>'Costing 100 Lmin Feed Orig'!BG7</f>
        <v>1.814625E-3</v>
      </c>
      <c r="BH7">
        <f>'Costing 100 Lmin Feed Orig'!BH7</f>
        <v>285.1951444</v>
      </c>
      <c r="BI7">
        <f>'Costing 100 Lmin Feed Orig'!BI7</f>
        <v>2169.8944889999998</v>
      </c>
      <c r="BJ7">
        <f>'Costing 100 Lmin Feed Orig'!BJ7</f>
        <v>866.49409060000005</v>
      </c>
      <c r="BK7">
        <f>'Costing 100 Lmin Feed Orig'!BK7</f>
        <v>100</v>
      </c>
      <c r="BL7">
        <f>'Costing 100 Lmin Feed Orig'!BL7</f>
        <v>18.892482409907799</v>
      </c>
      <c r="BM7">
        <f>'Costing 100 Lmin Feed Orig'!BM7</f>
        <v>92.6825353019658</v>
      </c>
      <c r="BN7">
        <f>'Costing 100 Lmin Feed Orig'!BN7</f>
        <v>19.9323608202135</v>
      </c>
      <c r="BO7">
        <f t="shared" si="1"/>
        <v>188.92482409907799</v>
      </c>
      <c r="BP7">
        <f t="shared" si="2"/>
        <v>438.51193804469699</v>
      </c>
      <c r="BQ7">
        <f t="shared" si="3"/>
        <v>18.892482409907799</v>
      </c>
      <c r="BR7">
        <f t="shared" si="4"/>
        <v>43.851193804469702</v>
      </c>
      <c r="BS7">
        <f>1.2*0.5*BL7*V7/'Oxidant Feed Composition'!$N$22</f>
        <v>11.335489445944679</v>
      </c>
      <c r="BT7">
        <f>1.2*0.5*BN7*BA7/'Oxidant Feed Composition'!$N$22</f>
        <v>11.959416492128097</v>
      </c>
      <c r="BU7">
        <f t="shared" si="5"/>
        <v>9.4462412049538997</v>
      </c>
      <c r="BV7">
        <f t="shared" si="6"/>
        <v>9.9661804101067499</v>
      </c>
      <c r="BW7">
        <f t="shared" si="7"/>
        <v>83.236294097011893</v>
      </c>
      <c r="BX7">
        <f t="shared" si="0"/>
        <v>60.455943711704961</v>
      </c>
      <c r="BY7">
        <f t="shared" si="8"/>
        <v>223.1500354237472</v>
      </c>
      <c r="BZ7">
        <f t="shared" si="9"/>
        <v>63.783554624683191</v>
      </c>
      <c r="CA7">
        <f t="shared" si="10"/>
        <v>59.797082460640496</v>
      </c>
      <c r="CB7">
        <f>BO7*'Reagent cost'!$G$11*'Reagent cost'!$H$11</f>
        <v>2493.8076781078298</v>
      </c>
      <c r="CC7">
        <f>BP7*'Reagent cost'!$G$11*'Reagent cost'!$H$11</f>
        <v>5788.3575821900004</v>
      </c>
      <c r="CD7">
        <f>BQ7*'Reagent cost'!$C$18/1000*'Reagent cost'!$H$18</f>
        <v>3012.9816471142385</v>
      </c>
      <c r="CE7">
        <f>BR7*'Ligand cost'!$B$56*'Ligand cost'!$J$56</f>
        <v>44646.116490820306</v>
      </c>
      <c r="CF7">
        <f t="shared" si="11"/>
        <v>10</v>
      </c>
      <c r="CG7">
        <f t="shared" si="12"/>
        <v>3.7784964819815601</v>
      </c>
      <c r="CH7">
        <f t="shared" si="12"/>
        <v>3.9864721640427003</v>
      </c>
      <c r="CI7">
        <f>7963.6*(BX7/1000)^0.6*1.7*('CAPEX+OPEX'!$G$116/'CAPEX+OPEX'!$G$115)</f>
        <v>2965.5437179814326</v>
      </c>
      <c r="CJ7">
        <f>7963.6*(BY7/1000)^0.6*1.7*('CAPEX+OPEX'!$G$116/'CAPEX+OPEX'!$G$115)</f>
        <v>6492.3078360569407</v>
      </c>
      <c r="CK7">
        <f>7963.6*(BZ7/1000)^0.6*1.7*('CAPEX+OPEX'!$G$116/'CAPEX+OPEX'!$G$115)</f>
        <v>3062.4299188323866</v>
      </c>
      <c r="CL7">
        <f>7963.6*(CA7/1000)^0.6*1.7*('CAPEX+OPEX'!$G$116/'CAPEX+OPEX'!$G$115)</f>
        <v>2946.109773656593</v>
      </c>
      <c r="CM7">
        <f>'Costing 100 Lmin Feed Orig'!DE7</f>
        <v>39625.826528698344</v>
      </c>
      <c r="CN7">
        <f>'Costing 100 Lmin Feed Orig'!DF7</f>
        <v>4586243.4239371875</v>
      </c>
      <c r="CO7">
        <f>'Costing 100 Lmin Feed Orig'!DG7</f>
        <v>11794834.586807497</v>
      </c>
      <c r="CP7">
        <f>'Costing 100 Lmin Feed Orig'!DH7</f>
        <v>2275209.1661185985</v>
      </c>
      <c r="CQ7">
        <f>'Costing 100 Lmin Feed Orig'!DI7</f>
        <v>14083914.336508472</v>
      </c>
      <c r="CR7">
        <f>'Costing 100 Lmin Feed Orig'!DJ7</f>
        <v>1662824.8986326549</v>
      </c>
      <c r="CS7">
        <f>CN7*(BK7/10000)^0.72*((A7+1)/3)^0.6*('CAPEX+OPEX'!$G$116/'CAPEX+OPEX'!$G$114)</f>
        <v>461850.0978118488</v>
      </c>
      <c r="CT7">
        <f>CO7*(BK7/10000)^0.72*((A7+1)/3)^0.6*('CAPEX+OPEX'!$G$116/'CAPEX+OPEX'!$G$114)</f>
        <v>1187779.4098672394</v>
      </c>
      <c r="CU7">
        <f>CP7*(BK7/10000)^0.72*((A7+1)/3)^0.6*('CAPEX+OPEX'!$G$116/'CAPEX+OPEX'!$G$114)</f>
        <v>229121.19544936769</v>
      </c>
      <c r="CV7">
        <f>CQ7*(BK7/10000)^0.72*((A7+1)/3)^0.6*('CAPEX+OPEX'!$G$116/'CAPEX+OPEX'!$G$114)</f>
        <v>1418297.4196136401</v>
      </c>
      <c r="CW7">
        <f>CR7*(BK7/10000)^0.72*((A7+1)/3)^0.6*('CAPEX+OPEX'!$G$116/'CAPEX+OPEX'!$G$114)</f>
        <v>167452.04540804314</v>
      </c>
      <c r="CX7">
        <f t="shared" si="13"/>
        <v>3464500.168150139</v>
      </c>
      <c r="CY7">
        <f>CN7*(BM7/10000)^0.72*((AF7+1)/3)^0.6*('CAPEX+OPEX'!$G$116/'CAPEX+OPEX'!$G$114)</f>
        <v>757710.90370651742</v>
      </c>
      <c r="CZ7">
        <f>CO7*(BM7/10000)^0.72*((AF7+1)/3)^0.6*('CAPEX+OPEX'!$G$116/'CAPEX+OPEX'!$G$114)</f>
        <v>1948669.9565908599</v>
      </c>
      <c r="DA7">
        <f>CP7*(BM7/10000)^0.72*((AF7+1)/3)^0.6*('CAPEX+OPEX'!$G$116/'CAPEX+OPEX'!$G$114)</f>
        <v>375896.05130490486</v>
      </c>
      <c r="DB7">
        <f>CQ7*(BM7/10000)^0.72*((AF7+1)/3)^0.6*('CAPEX+OPEX'!$G$116/'CAPEX+OPEX'!$G$114)</f>
        <v>2326857.620322241</v>
      </c>
      <c r="DC7">
        <f>CR7*(BM7/10000)^0.72*((AF7+1)/3)^0.6*('CAPEX+OPEX'!$G$116/'CAPEX+OPEX'!$G$114)</f>
        <v>274721.69271970663</v>
      </c>
      <c r="DD7">
        <f t="shared" si="14"/>
        <v>5683856.2246442297</v>
      </c>
      <c r="DE7">
        <f>CX7+DD7+1.15*(SUM(CI7:CL7)+SUM(CB7:CE7))</f>
        <v>9230475.1956358422</v>
      </c>
      <c r="DF7">
        <f t="shared" si="15"/>
        <v>615365.01304238953</v>
      </c>
      <c r="DG7">
        <f>(BS7+BT7)*'Oxidant Feed Composition'!$N$28*60*7200</f>
        <v>25900090.841678385</v>
      </c>
      <c r="DH7">
        <f>((CG7+CH7)*'Reagent cost'!$C$17/1000*'Reagent cost'!$H$17+(CG7+CH7)*0.5*'Reagent cost'!$C$16/1000*'Reagent cost'!$H$16*1.5)*60*7200</f>
        <v>11018768.183987206</v>
      </c>
      <c r="DI7">
        <f>CF7*'Reagent cost'!$C$17/1000*'Reagent cost'!$H$17*60*7200</f>
        <v>504921.59999999998</v>
      </c>
      <c r="DJ7">
        <f t="shared" si="16"/>
        <v>82.821652602978304</v>
      </c>
      <c r="DK7">
        <f t="shared" si="17"/>
        <v>953.18196275869093</v>
      </c>
      <c r="DL7">
        <f t="shared" si="18"/>
        <v>44909779.955137141</v>
      </c>
      <c r="DM7">
        <f>BK7*(B7*(409.81+2)/1000+C7*(248.2+2*22.99)/1000+D7*(315.6+3*22.99)/1000+0.1*58.44/1000)</f>
        <v>0.70639694042110623</v>
      </c>
      <c r="DN7">
        <f>(BS7+BT7)/1000*('Oxidant Feed Composition'!$B$11*'Oxidant Feed Composition'!$O$20+'Oxidant Feed Composition'!$D$11*'Oxidant Feed Composition'!$O$21+'Oxidant Feed Composition'!$F$11*'Oxidant Feed Composition'!$O$27-'Oxidant Feed Composition'!$J$15*18.015)</f>
        <v>2.7204848743210972</v>
      </c>
      <c r="DO7">
        <f>(BU7+BV7)/1000*(0.2*368.34+0.4*58.44)</f>
        <v>1.8838590432119457</v>
      </c>
      <c r="DP7">
        <f>BK7/1000*(B7*195.08+C7*106.42+D7*102.91)</f>
        <v>4.999938342565946E-2</v>
      </c>
      <c r="DQ7">
        <f>SUM(DM7:DO7)-DP7</f>
        <v>5.2607414745284897</v>
      </c>
      <c r="DR7">
        <f>DQ7*60*7200*0.33</f>
        <v>749971.30460878159</v>
      </c>
      <c r="DS7">
        <v>1.2</v>
      </c>
      <c r="DT7">
        <f>BM7/60*(AM7*4+AN7*2+AO7*3)*96485/DV7</f>
        <v>1410.0687657379119</v>
      </c>
      <c r="DU7">
        <f>BN7*BA7*(AP7*4+AQ7*2+AR7*3)*96485/DV7/60</f>
        <v>712.1364866286201</v>
      </c>
      <c r="DV7">
        <v>0.7</v>
      </c>
      <c r="DW7">
        <f>0.499*((BK7/3.78541*15)^(-0.146))*BK7/3.78541*15*300*(1+(A7-2)/9)</f>
        <v>27520.276190787874</v>
      </c>
      <c r="DX7">
        <f>0.248*((BK7/3.78541*15)^(-0.144))*BK7/3.78541*15*300*(1+(A7-2)/3)</f>
        <v>16610.439588917834</v>
      </c>
      <c r="DY7">
        <f>0.105*((BK7/3.78541*15)^(-0.144))*BK7/3.78541*15*300*(1+(A7-2)/3)</f>
        <v>7032.645793695051</v>
      </c>
      <c r="DZ7">
        <f>0.058*((BK7/3.78541*15)^(-0.151))*BK7/3.78541*15*300*(1+(A7-2)/3)</f>
        <v>3725.3886787897172</v>
      </c>
      <c r="EA7">
        <f>0.056*((BK7/3.78541*15)^(-0.144))*BK7/3.78541*15*300*(1+(A7-2)/3)</f>
        <v>3750.7444233040283</v>
      </c>
      <c r="EB7">
        <f>DS7*DT7/(3.6*10^6)*3600*7200*0.07</f>
        <v>852.80958951828916</v>
      </c>
      <c r="EC7">
        <f>0.499*((BM7/3.78541*15)^(-0.146))*BM7/3.78541*15*300*(1+(AF7-2)/9)</f>
        <v>41265.6777021694</v>
      </c>
      <c r="ED7">
        <f>0.248*((BM7/3.78541*15)^(-0.144))*BM7/3.78541*15*300*(1+(AF7-2)/3)</f>
        <v>38910.905875241828</v>
      </c>
      <c r="EE7">
        <f>0.105*((BM7/3.78541*15)^(-0.144))*BM7/3.78541*15*300*(1+(AF7-2)/3)</f>
        <v>16474.375471372547</v>
      </c>
      <c r="EF7">
        <f>0.058*((BM7/3.78541*15)^(-0.151))*BM7/3.78541*15*300*(1+(AF7-2)/3)</f>
        <v>8731.5796634158487</v>
      </c>
      <c r="EG7">
        <f>0.056*((BM7/3.78541*15)^(-0.144))*BM7/3.78541*15*300*(1+(AF7-2)/3)</f>
        <v>8786.3335847320268</v>
      </c>
      <c r="EH7">
        <f>DS7*DU7/(3.6*10^6)*3600*7200*0.07</f>
        <v>430.7001471129895</v>
      </c>
      <c r="EI7">
        <f>SUM(DW7:EH7)</f>
        <v>174091.87670905743</v>
      </c>
      <c r="EJ7">
        <f>EI7+DR7+DL7</f>
        <v>45833843.136454977</v>
      </c>
      <c r="EK7">
        <f>EJ7+DF7</f>
        <v>46449208.149497367</v>
      </c>
      <c r="EL7">
        <f>EK7/(BK7*60*7200)</f>
        <v>1.0752131516087353</v>
      </c>
      <c r="EM7">
        <f>EK7/(BM7*(AM7*195.084/1000+AN7*106.42/1000+AO7*102.911/1000)*60*7200)</f>
        <v>3595.0135198677663</v>
      </c>
      <c r="EN7">
        <f>EK7/(BN7*BA7*(AP7*195.084/1000+AQ7*106.42/1000+AR7*102.911/1000)*60*7200)</f>
        <v>6543.0874579741048</v>
      </c>
    </row>
    <row r="8" spans="1:144">
      <c r="A8">
        <f>'Costing 100 Lmin Feed Orig'!A8</f>
        <v>3</v>
      </c>
      <c r="B8">
        <f>'Costing 100 Lmin Feed Orig'!B8</f>
        <v>1.54143585092054E-3</v>
      </c>
      <c r="C8">
        <f>'Costing 100 Lmin Feed Orig'!C8</f>
        <v>1.54143585092054E-3</v>
      </c>
      <c r="D8">
        <f>'Costing 100 Lmin Feed Orig'!D8</f>
        <v>3.4254130020456501E-4</v>
      </c>
      <c r="E8">
        <f>'Costing 100 Lmin Feed Orig'!E8</f>
        <v>0</v>
      </c>
      <c r="F8">
        <f>'Costing 100 Lmin Feed Orig'!F8</f>
        <v>0</v>
      </c>
      <c r="G8">
        <f>'Costing 100 Lmin Feed Orig'!G8</f>
        <v>0</v>
      </c>
      <c r="H8">
        <f>'Costing 100 Lmin Feed Orig'!H8</f>
        <v>1.6300358850230801E-5</v>
      </c>
      <c r="I8">
        <f>'Costing 100 Lmin Feed Orig'!I8</f>
        <v>7.4474859607128495E-7</v>
      </c>
      <c r="J8">
        <f>'Costing 100 Lmin Feed Orig'!J8</f>
        <v>3.2385704147932398E-4</v>
      </c>
      <c r="K8">
        <f>'Costing 100 Lmin Feed Orig'!K8</f>
        <v>8.07271092797512E-2</v>
      </c>
      <c r="L8">
        <f>'Costing 100 Lmin Feed Orig'!L8</f>
        <v>8.15504849440159E-2</v>
      </c>
      <c r="M8">
        <f>'Costing 100 Lmin Feed Orig'!M8</f>
        <v>9.8897848995466706E-4</v>
      </c>
      <c r="N8">
        <f>'Costing 100 Lmin Feed Orig'!N8</f>
        <v>-9.8011876392689601E-17</v>
      </c>
      <c r="O8">
        <f>'Costing 100 Lmin Feed Orig'!O8</f>
        <v>1.94289029309402E-16</v>
      </c>
      <c r="P8">
        <f>'Costing 100 Lmin Feed Orig'!P8</f>
        <v>-4.3537493488870999E-18</v>
      </c>
      <c r="Q8">
        <f>'Costing 100 Lmin Feed Orig'!Q8</f>
        <v>0.18892482409907799</v>
      </c>
      <c r="R8">
        <f>'Costing 100 Lmin Feed Orig'!R8</f>
        <v>94.545399718491396</v>
      </c>
      <c r="S8">
        <f>'Costing 100 Lmin Feed Orig'!S8</f>
        <v>500</v>
      </c>
      <c r="T8">
        <f>'Costing 100 Lmin Feed Orig'!T8</f>
        <v>95</v>
      </c>
      <c r="U8">
        <f>'Costing 100 Lmin Feed Orig'!U8</f>
        <v>1</v>
      </c>
      <c r="V8">
        <f>'Costing 100 Lmin Feed Orig'!V8</f>
        <v>0.1</v>
      </c>
      <c r="W8">
        <f>'Costing 100 Lmin Feed Orig'!W8</f>
        <v>52.931106580020597</v>
      </c>
      <c r="X8" t="str">
        <f>'Costing 100 Lmin Feed Orig'!X8</f>
        <v>ddFc</v>
      </c>
      <c r="Y8">
        <f>'Costing 100 Lmin Feed Orig'!Y8</f>
        <v>1</v>
      </c>
      <c r="Z8">
        <f>'Costing 100 Lmin Feed Orig'!Z8</f>
        <v>0.28318429382522198</v>
      </c>
      <c r="AA8">
        <f>'Costing 100 Lmin Feed Orig'!AA8</f>
        <v>0.56945642916197003</v>
      </c>
      <c r="AB8">
        <f>'Costing 100 Lmin Feed Orig'!AB8</f>
        <v>3.7698628972227502E-3</v>
      </c>
      <c r="AC8">
        <f>'Costing 100 Lmin Feed Orig'!AC8</f>
        <v>1822.2107908876901</v>
      </c>
      <c r="AD8">
        <f>'Costing 100 Lmin Feed Orig'!AD8</f>
        <v>2662.6059073104898</v>
      </c>
      <c r="AE8">
        <f>'Costing 100 Lmin Feed Orig'!AE8</f>
        <v>2401.5030938442701</v>
      </c>
      <c r="AF8">
        <f>'Costing 100 Lmin Feed Orig'!AF8</f>
        <v>10</v>
      </c>
      <c r="AG8">
        <f>'Costing 100 Lmin Feed Orig'!AG8</f>
        <v>1.6455478770638001E-3</v>
      </c>
      <c r="AH8">
        <f>'Costing 100 Lmin Feed Orig'!AH8</f>
        <v>1.66233163271225E-3</v>
      </c>
      <c r="AI8">
        <f>'Costing 100 Lmin Feed Orig'!AI8</f>
        <v>2.0159416943409301E-5</v>
      </c>
      <c r="AJ8">
        <f>'Costing 100 Lmin Feed Orig'!AJ8</f>
        <v>0</v>
      </c>
      <c r="AK8">
        <f>'Costing 100 Lmin Feed Orig'!AK8</f>
        <v>0</v>
      </c>
      <c r="AL8">
        <f>'Costing 100 Lmin Feed Orig'!AL8</f>
        <v>0</v>
      </c>
      <c r="AM8">
        <f>'Costing 100 Lmin Feed Orig'!AM8</f>
        <v>1.6083474060022401E-3</v>
      </c>
      <c r="AN8">
        <f>'Costing 100 Lmin Feed Orig'!AN8</f>
        <v>6.4624273291128494E-5</v>
      </c>
      <c r="AO8">
        <f>'Costing 100 Lmin Feed Orig'!AO8</f>
        <v>2.0025590180477699E-5</v>
      </c>
      <c r="AP8">
        <f>'Costing 100 Lmin Feed Orig'!AP8</f>
        <v>1.7299702748473499E-3</v>
      </c>
      <c r="AQ8">
        <f>'Costing 100 Lmin Feed Orig'!AQ8</f>
        <v>7.42997645145482E-2</v>
      </c>
      <c r="AR8">
        <f>'Costing 100 Lmin Feed Orig'!AR8</f>
        <v>6.2234782314335099E-6</v>
      </c>
      <c r="AS8">
        <f>'Costing 100 Lmin Feed Orig'!AS8</f>
        <v>1.84991995680339E-18</v>
      </c>
      <c r="AT8">
        <f>'Costing 100 Lmin Feed Orig'!AT8</f>
        <v>-4.37800837249646E-16</v>
      </c>
      <c r="AU8">
        <f>'Costing 100 Lmin Feed Orig'!AU8</f>
        <v>-4.9498487855173101E-21</v>
      </c>
      <c r="AV8">
        <f>'Costing 100 Lmin Feed Orig'!AV8</f>
        <v>0.19930018582065301</v>
      </c>
      <c r="AW8">
        <f>'Costing 100 Lmin Feed Orig'!AW8</f>
        <v>99.336157571881799</v>
      </c>
      <c r="AX8">
        <f>'Costing 100 Lmin Feed Orig'!AX8</f>
        <v>500</v>
      </c>
      <c r="AY8">
        <f>'Costing 100 Lmin Feed Orig'!AY8</f>
        <v>95</v>
      </c>
      <c r="AZ8">
        <f>'Costing 100 Lmin Feed Orig'!AZ8</f>
        <v>0.92682535301965796</v>
      </c>
      <c r="BA8">
        <f>'Costing 100 Lmin Feed Orig'!BA8</f>
        <v>0.1</v>
      </c>
      <c r="BB8">
        <f>'Costing 100 Lmin Feed Orig'!BB8</f>
        <v>46.503988403387098</v>
      </c>
      <c r="BC8" t="str">
        <f>'Costing 100 Lmin Feed Orig'!BC8</f>
        <v>coeFc</v>
      </c>
      <c r="BD8">
        <f>'Costing 100 Lmin Feed Orig'!BD8</f>
        <v>1</v>
      </c>
      <c r="BE8">
        <f>'Costing 100 Lmin Feed Orig'!BE8</f>
        <v>1.8775014999999999E-2</v>
      </c>
      <c r="BF8">
        <f>'Costing 100 Lmin Feed Orig'!BF8</f>
        <v>0.10492961100000001</v>
      </c>
      <c r="BG8">
        <f>'Costing 100 Lmin Feed Orig'!BG8</f>
        <v>1.814625E-3</v>
      </c>
      <c r="BH8">
        <f>'Costing 100 Lmin Feed Orig'!BH8</f>
        <v>285.1951444</v>
      </c>
      <c r="BI8">
        <f>'Costing 100 Lmin Feed Orig'!BI8</f>
        <v>2169.8944889999998</v>
      </c>
      <c r="BJ8">
        <f>'Costing 100 Lmin Feed Orig'!BJ8</f>
        <v>866.49409060000005</v>
      </c>
      <c r="BK8">
        <f>'Costing 100 Lmin Feed Orig'!BK8</f>
        <v>100</v>
      </c>
      <c r="BL8">
        <f>'Costing 100 Lmin Feed Orig'!BL8</f>
        <v>18.892482409907799</v>
      </c>
      <c r="BM8">
        <f>'Costing 100 Lmin Feed Orig'!BM8</f>
        <v>92.6825353019658</v>
      </c>
      <c r="BN8">
        <f>'Costing 100 Lmin Feed Orig'!BN8</f>
        <v>19.930018582065301</v>
      </c>
      <c r="BO8">
        <f t="shared" si="1"/>
        <v>188.92482409907799</v>
      </c>
      <c r="BP8">
        <f t="shared" si="2"/>
        <v>478.32044596956723</v>
      </c>
      <c r="BQ8">
        <f t="shared" si="3"/>
        <v>18.892482409907799</v>
      </c>
      <c r="BR8">
        <f t="shared" si="4"/>
        <v>47.832044596956727</v>
      </c>
      <c r="BS8">
        <f>1.2*0.5*BL8*V8/'Oxidant Feed Composition'!$N$22</f>
        <v>11.335489445944679</v>
      </c>
      <c r="BT8">
        <f>1.2*0.5*BN8*BA8/'Oxidant Feed Composition'!$N$22</f>
        <v>11.95801114923918</v>
      </c>
      <c r="BU8">
        <f t="shared" si="5"/>
        <v>9.4462412049538997</v>
      </c>
      <c r="BV8">
        <f t="shared" si="6"/>
        <v>9.9650092910326507</v>
      </c>
      <c r="BW8">
        <f t="shared" si="7"/>
        <v>83.236294097011893</v>
      </c>
      <c r="BX8">
        <f t="shared" si="0"/>
        <v>60.455943711704961</v>
      </c>
      <c r="BY8">
        <f t="shared" si="8"/>
        <v>223.1500354237472</v>
      </c>
      <c r="BZ8">
        <f t="shared" si="9"/>
        <v>63.776059462608963</v>
      </c>
      <c r="CA8">
        <f t="shared" si="10"/>
        <v>59.790055746195904</v>
      </c>
      <c r="CB8">
        <f>BO8*'Reagent cost'!$G$11*'Reagent cost'!$H$11</f>
        <v>2493.8076781078298</v>
      </c>
      <c r="CC8">
        <f>BP8*'Reagent cost'!$G$11*'Reagent cost'!$H$11</f>
        <v>6313.8298867982885</v>
      </c>
      <c r="CD8">
        <f>BQ8*'Reagent cost'!$C$18/1000*'Reagent cost'!$H$18</f>
        <v>3012.9816471142385</v>
      </c>
      <c r="CE8">
        <f>BR8*'Ligand cost'!$B$56*'Ligand cost'!$J$56</f>
        <v>48699.131079349805</v>
      </c>
      <c r="CF8">
        <f t="shared" si="11"/>
        <v>10</v>
      </c>
      <c r="CG8">
        <f t="shared" si="12"/>
        <v>3.7784964819815601</v>
      </c>
      <c r="CH8">
        <f t="shared" si="12"/>
        <v>3.9860037164130606</v>
      </c>
      <c r="CI8">
        <f>7963.6*(BX8/1000)^0.6*1.7*('CAPEX+OPEX'!$G$116/'CAPEX+OPEX'!$G$115)</f>
        <v>2965.5437179814326</v>
      </c>
      <c r="CJ8">
        <f>7963.6*(BY8/1000)^0.6*1.7*('CAPEX+OPEX'!$G$116/'CAPEX+OPEX'!$G$115)</f>
        <v>6492.3078360569407</v>
      </c>
      <c r="CK8">
        <f>7963.6*(BZ8/1000)^0.6*1.7*('CAPEX+OPEX'!$G$116/'CAPEX+OPEX'!$G$115)</f>
        <v>3062.2139953248757</v>
      </c>
      <c r="CL8">
        <f>7963.6*(CA8/1000)^0.6*1.7*('CAPEX+OPEX'!$G$116/'CAPEX+OPEX'!$G$115)</f>
        <v>2945.9020515624716</v>
      </c>
      <c r="CM8">
        <f>'Costing 100 Lmin Feed Orig'!DE8</f>
        <v>39625.826528698344</v>
      </c>
      <c r="CN8">
        <f>'Costing 100 Lmin Feed Orig'!DF8</f>
        <v>4586243.4239371875</v>
      </c>
      <c r="CO8">
        <f>'Costing 100 Lmin Feed Orig'!DG8</f>
        <v>11794834.586807497</v>
      </c>
      <c r="CP8">
        <f>'Costing 100 Lmin Feed Orig'!DH8</f>
        <v>2275209.1661185985</v>
      </c>
      <c r="CQ8">
        <f>'Costing 100 Lmin Feed Orig'!DI8</f>
        <v>14083914.336508472</v>
      </c>
      <c r="CR8">
        <f>'Costing 100 Lmin Feed Orig'!DJ8</f>
        <v>1662824.8986326549</v>
      </c>
      <c r="CS8">
        <f>CN8*(BK8/10000)^0.72*((A8+1)/3)^0.6*('CAPEX+OPEX'!$G$116/'CAPEX+OPEX'!$G$114)</f>
        <v>461850.0978118488</v>
      </c>
      <c r="CT8">
        <f>CO8*(BK8/10000)^0.72*((A8+1)/3)^0.6*('CAPEX+OPEX'!$G$116/'CAPEX+OPEX'!$G$114)</f>
        <v>1187779.4098672394</v>
      </c>
      <c r="CU8">
        <f>CP8*(BK8/10000)^0.72*((A8+1)/3)^0.6*('CAPEX+OPEX'!$G$116/'CAPEX+OPEX'!$G$114)</f>
        <v>229121.19544936769</v>
      </c>
      <c r="CV8">
        <f>CQ8*(BK8/10000)^0.72*((A8+1)/3)^0.6*('CAPEX+OPEX'!$G$116/'CAPEX+OPEX'!$G$114)</f>
        <v>1418297.4196136401</v>
      </c>
      <c r="CW8">
        <f>CR8*(BK8/10000)^0.72*((A8+1)/3)^0.6*('CAPEX+OPEX'!$G$116/'CAPEX+OPEX'!$G$114)</f>
        <v>167452.04540804314</v>
      </c>
      <c r="CX8">
        <f t="shared" si="13"/>
        <v>3464500.168150139</v>
      </c>
      <c r="CY8">
        <f>CN8*(BM8/10000)^0.72*((AF8+1)/3)^0.6*('CAPEX+OPEX'!$G$116/'CAPEX+OPEX'!$G$114)</f>
        <v>802304.35207958962</v>
      </c>
      <c r="CZ8">
        <f>CO8*(BM8/10000)^0.72*((AF8+1)/3)^0.6*('CAPEX+OPEX'!$G$116/'CAPEX+OPEX'!$G$114)</f>
        <v>2063354.7429392026</v>
      </c>
      <c r="DA8">
        <f>CP8*(BM8/10000)^0.72*((AF8+1)/3)^0.6*('CAPEX+OPEX'!$G$116/'CAPEX+OPEX'!$G$114)</f>
        <v>398018.60632623197</v>
      </c>
      <c r="DB8">
        <f>CQ8*(BM8/10000)^0.72*((AF8+1)/3)^0.6*('CAPEX+OPEX'!$G$116/'CAPEX+OPEX'!$G$114)</f>
        <v>2463799.8296209997</v>
      </c>
      <c r="DC8">
        <f>CR8*(BM8/10000)^0.72*((AF8+1)/3)^0.6*('CAPEX+OPEX'!$G$116/'CAPEX+OPEX'!$G$114)</f>
        <v>290889.84809576324</v>
      </c>
      <c r="DD8">
        <f t="shared" si="14"/>
        <v>6018367.3790617865</v>
      </c>
      <c r="DE8">
        <f>CX8+DD8+1.15*(SUM(CI8:CL8)+SUM(CB8:CE8))</f>
        <v>9570251.122788066</v>
      </c>
      <c r="DF8">
        <f t="shared" si="15"/>
        <v>638016.74151920446</v>
      </c>
      <c r="DG8">
        <f>(BS8+BT8)*'Oxidant Feed Composition'!$N$28*60*7200</f>
        <v>25898528.332321897</v>
      </c>
      <c r="DH8">
        <f>((CG8+CH8)*'Reagent cost'!$C$17/1000*'Reagent cost'!$H$17+(CG8+CH8)*0.5*'Reagent cost'!$C$16/1000*'Reagent cost'!$H$16*1.5)*60*7200</f>
        <v>11018103.440049062</v>
      </c>
      <c r="DI8">
        <f>CF8*'Reagent cost'!$C$17/1000*'Reagent cost'!$H$17*60*7200</f>
        <v>504921.59999999998</v>
      </c>
      <c r="DJ8">
        <f t="shared" si="16"/>
        <v>88.076375649061191</v>
      </c>
      <c r="DK8">
        <f t="shared" si="17"/>
        <v>1034.2422545292809</v>
      </c>
      <c r="DL8">
        <f t="shared" si="18"/>
        <v>44907210.829201363</v>
      </c>
      <c r="DM8">
        <f>BK8*(B8*(409.81+2)/1000+C8*(248.2+2*22.99)/1000+D8*(315.6+3*22.99)/1000+0.1*58.44/1000)</f>
        <v>0.70639694042110623</v>
      </c>
      <c r="DN8">
        <f>(BS8+BT8)/1000*('Oxidant Feed Composition'!$B$11*'Oxidant Feed Composition'!$O$20+'Oxidant Feed Composition'!$D$11*'Oxidant Feed Composition'!$O$21+'Oxidant Feed Composition'!$F$11*'Oxidant Feed Composition'!$O$27-'Oxidant Feed Composition'!$J$15*18.015)</f>
        <v>2.7203207519982726</v>
      </c>
      <c r="DO8">
        <f>(BU8+BV8)/1000*(0.2*368.34+0.4*58.44)</f>
        <v>1.883745393132519</v>
      </c>
      <c r="DP8">
        <f>BK8/1000*(B8*195.08+C8*106.42+D8*102.91)</f>
        <v>4.999938342565946E-2</v>
      </c>
      <c r="DQ8">
        <f>SUM(DM8:DO8)-DP8</f>
        <v>5.2604637021262377</v>
      </c>
      <c r="DR8">
        <f>DQ8*60*7200*0.33</f>
        <v>749931.70537511655</v>
      </c>
      <c r="DS8">
        <v>1.2</v>
      </c>
      <c r="DT8">
        <f>BM8/60*(AM8*4+AN8*2+AO8*3)*96485/DV8</f>
        <v>1410.0823557815738</v>
      </c>
      <c r="DU8">
        <f>BN8*BA8*(AP8*4+AQ8*2+AR8*3)*96485/DV8/60</f>
        <v>712.12289644358816</v>
      </c>
      <c r="DV8">
        <v>0.7</v>
      </c>
      <c r="DW8">
        <f>0.499*((BK8/3.78541*15)^(-0.146))*BK8/3.78541*15*300*(1+(A8-2)/9)</f>
        <v>27520.276190787874</v>
      </c>
      <c r="DX8">
        <f>0.248*((BK8/3.78541*15)^(-0.144))*BK8/3.78541*15*300*(1+(A8-2)/3)</f>
        <v>16610.439588917834</v>
      </c>
      <c r="DY8">
        <f>0.105*((BK8/3.78541*15)^(-0.144))*BK8/3.78541*15*300*(1+(A8-2)/3)</f>
        <v>7032.645793695051</v>
      </c>
      <c r="DZ8">
        <f>0.058*((BK8/3.78541*15)^(-0.151))*BK8/3.78541*15*300*(1+(A8-2)/3)</f>
        <v>3725.3886787897172</v>
      </c>
      <c r="EA8">
        <f>0.056*((BK8/3.78541*15)^(-0.144))*BK8/3.78541*15*300*(1+(A8-2)/3)</f>
        <v>3750.7444233040283</v>
      </c>
      <c r="EB8">
        <f>DS8*DT8/(3.6*10^6)*3600*7200*0.07</f>
        <v>852.81780877669598</v>
      </c>
      <c r="EC8">
        <f>0.499*((BM8/3.78541*15)^(-0.146))*BM8/3.78541*15*300*(1+(AF8-2)/9)</f>
        <v>43844.782558554987</v>
      </c>
      <c r="ED8">
        <f>0.248*((BM8/3.78541*15)^(-0.144))*BM8/3.78541*15*300*(1+(AF8-2)/3)</f>
        <v>42801.996462766008</v>
      </c>
      <c r="EE8">
        <f>0.105*((BM8/3.78541*15)^(-0.144))*BM8/3.78541*15*300*(1+(AF8-2)/3)</f>
        <v>18121.813018509798</v>
      </c>
      <c r="EF8">
        <f>0.058*((BM8/3.78541*15)^(-0.151))*BM8/3.78541*15*300*(1+(AF8-2)/3)</f>
        <v>9604.7376297574338</v>
      </c>
      <c r="EG8">
        <f>0.056*((BM8/3.78541*15)^(-0.144))*BM8/3.78541*15*300*(1+(AF8-2)/3)</f>
        <v>9664.9669432052269</v>
      </c>
      <c r="EH8">
        <f>DS8*DU8/(3.6*10^6)*3600*7200*0.07</f>
        <v>430.6919277690821</v>
      </c>
      <c r="EI8">
        <f>SUM(DW8:EH8)</f>
        <v>183961.30102483375</v>
      </c>
      <c r="EJ8">
        <f>EI8+DR8+DL8</f>
        <v>45841103.835601315</v>
      </c>
      <c r="EK8">
        <f>EJ8+DF8</f>
        <v>46479120.57712052</v>
      </c>
      <c r="EL8">
        <f>EK8/(BK8*60*7200)</f>
        <v>1.0759055689148269</v>
      </c>
      <c r="EM8">
        <f>EK8/(BM8*(AM8*195.084/1000+AN8*106.42/1000+AO8*102.911/1000)*60*7200)</f>
        <v>3597.293890182309</v>
      </c>
      <c r="EN8">
        <f>EK8/(BN8*BA8*(AP8*195.084/1000+AQ8*106.42/1000+AR8*102.911/1000)*60*7200)</f>
        <v>6547.4162063274825</v>
      </c>
    </row>
    <row r="9" spans="1:144">
      <c r="A9">
        <f>'Costing 100 Lmin Feed Orig'!A9</f>
        <v>3</v>
      </c>
      <c r="B9">
        <f>'Costing 100 Lmin Feed Orig'!B9</f>
        <v>1.54143585092054E-3</v>
      </c>
      <c r="C9">
        <f>'Costing 100 Lmin Feed Orig'!C9</f>
        <v>1.54143585092054E-3</v>
      </c>
      <c r="D9">
        <f>'Costing 100 Lmin Feed Orig'!D9</f>
        <v>3.4254130020456501E-4</v>
      </c>
      <c r="E9">
        <f>'Costing 100 Lmin Feed Orig'!E9</f>
        <v>0</v>
      </c>
      <c r="F9">
        <f>'Costing 100 Lmin Feed Orig'!F9</f>
        <v>0</v>
      </c>
      <c r="G9">
        <f>'Costing 100 Lmin Feed Orig'!G9</f>
        <v>0</v>
      </c>
      <c r="H9">
        <f>'Costing 100 Lmin Feed Orig'!H9</f>
        <v>1.6300358850230801E-5</v>
      </c>
      <c r="I9">
        <f>'Costing 100 Lmin Feed Orig'!I9</f>
        <v>7.4474859607128495E-7</v>
      </c>
      <c r="J9">
        <f>'Costing 100 Lmin Feed Orig'!J9</f>
        <v>3.2385704147932398E-4</v>
      </c>
      <c r="K9">
        <f>'Costing 100 Lmin Feed Orig'!K9</f>
        <v>8.07271092797512E-2</v>
      </c>
      <c r="L9">
        <f>'Costing 100 Lmin Feed Orig'!L9</f>
        <v>8.15504849440159E-2</v>
      </c>
      <c r="M9">
        <f>'Costing 100 Lmin Feed Orig'!M9</f>
        <v>9.8897848995466706E-4</v>
      </c>
      <c r="N9">
        <f>'Costing 100 Lmin Feed Orig'!N9</f>
        <v>-9.8011876392689601E-17</v>
      </c>
      <c r="O9">
        <f>'Costing 100 Lmin Feed Orig'!O9</f>
        <v>1.94289029309402E-16</v>
      </c>
      <c r="P9">
        <f>'Costing 100 Lmin Feed Orig'!P9</f>
        <v>-4.3537493488870999E-18</v>
      </c>
      <c r="Q9">
        <f>'Costing 100 Lmin Feed Orig'!Q9</f>
        <v>0.18892482409907799</v>
      </c>
      <c r="R9">
        <f>'Costing 100 Lmin Feed Orig'!R9</f>
        <v>94.545399718491396</v>
      </c>
      <c r="S9">
        <f>'Costing 100 Lmin Feed Orig'!S9</f>
        <v>500</v>
      </c>
      <c r="T9">
        <f>'Costing 100 Lmin Feed Orig'!T9</f>
        <v>95</v>
      </c>
      <c r="U9">
        <f>'Costing 100 Lmin Feed Orig'!U9</f>
        <v>1</v>
      </c>
      <c r="V9">
        <f>'Costing 100 Lmin Feed Orig'!V9</f>
        <v>0.1</v>
      </c>
      <c r="W9">
        <f>'Costing 100 Lmin Feed Orig'!W9</f>
        <v>52.931106580020597</v>
      </c>
      <c r="X9" t="str">
        <f>'Costing 100 Lmin Feed Orig'!X9</f>
        <v>ddFc</v>
      </c>
      <c r="Y9">
        <f>'Costing 100 Lmin Feed Orig'!Y9</f>
        <v>1</v>
      </c>
      <c r="Z9">
        <f>'Costing 100 Lmin Feed Orig'!Z9</f>
        <v>0.28318429382522198</v>
      </c>
      <c r="AA9">
        <f>'Costing 100 Lmin Feed Orig'!AA9</f>
        <v>0.56945642916197003</v>
      </c>
      <c r="AB9">
        <f>'Costing 100 Lmin Feed Orig'!AB9</f>
        <v>3.7698628972227502E-3</v>
      </c>
      <c r="AC9">
        <f>'Costing 100 Lmin Feed Orig'!AC9</f>
        <v>1822.2107908876901</v>
      </c>
      <c r="AD9">
        <f>'Costing 100 Lmin Feed Orig'!AD9</f>
        <v>2662.6059073104898</v>
      </c>
      <c r="AE9">
        <f>'Costing 100 Lmin Feed Orig'!AE9</f>
        <v>2401.5030938442701</v>
      </c>
      <c r="AF9">
        <f>'Costing 100 Lmin Feed Orig'!AF9</f>
        <v>11</v>
      </c>
      <c r="AG9">
        <f>'Costing 100 Lmin Feed Orig'!AG9</f>
        <v>1.6455478770638001E-3</v>
      </c>
      <c r="AH9">
        <f>'Costing 100 Lmin Feed Orig'!AH9</f>
        <v>1.66233163271225E-3</v>
      </c>
      <c r="AI9">
        <f>'Costing 100 Lmin Feed Orig'!AI9</f>
        <v>2.0159416943409301E-5</v>
      </c>
      <c r="AJ9">
        <f>'Costing 100 Lmin Feed Orig'!AJ9</f>
        <v>0</v>
      </c>
      <c r="AK9">
        <f>'Costing 100 Lmin Feed Orig'!AK9</f>
        <v>0</v>
      </c>
      <c r="AL9">
        <f>'Costing 100 Lmin Feed Orig'!AL9</f>
        <v>0</v>
      </c>
      <c r="AM9">
        <f>'Costing 100 Lmin Feed Orig'!AM9</f>
        <v>1.60835185158262E-3</v>
      </c>
      <c r="AN9">
        <f>'Costing 100 Lmin Feed Orig'!AN9</f>
        <v>6.4624491935312605E-5</v>
      </c>
      <c r="AO9">
        <f>'Costing 100 Lmin Feed Orig'!AO9</f>
        <v>2.0025605516349801E-5</v>
      </c>
      <c r="AP9">
        <f>'Costing 100 Lmin Feed Orig'!AP9</f>
        <v>1.72982171403333E-3</v>
      </c>
      <c r="AQ9">
        <f>'Costing 100 Lmin Feed Orig'!AQ9</f>
        <v>7.4302253238869895E-2</v>
      </c>
      <c r="AR9">
        <f>'Costing 100 Lmin Feed Orig'!AR9</f>
        <v>6.2229743398349396E-6</v>
      </c>
      <c r="AS9">
        <f>'Costing 100 Lmin Feed Orig'!AS9</f>
        <v>1.3552527156068801E-19</v>
      </c>
      <c r="AT9">
        <f>'Costing 100 Lmin Feed Orig'!AT9</f>
        <v>-2.168404344971E-19</v>
      </c>
      <c r="AU9">
        <f>'Costing 100 Lmin Feed Orig'!AU9</f>
        <v>2.46168950295781E-21</v>
      </c>
      <c r="AV9">
        <f>'Costing 100 Lmin Feed Orig'!AV9</f>
        <v>0.19929348306734301</v>
      </c>
      <c r="AW9">
        <f>'Costing 100 Lmin Feed Orig'!AW9</f>
        <v>99.336233644876302</v>
      </c>
      <c r="AX9">
        <f>'Costing 100 Lmin Feed Orig'!AX9</f>
        <v>500</v>
      </c>
      <c r="AY9">
        <f>'Costing 100 Lmin Feed Orig'!AY9</f>
        <v>95</v>
      </c>
      <c r="AZ9">
        <f>'Costing 100 Lmin Feed Orig'!AZ9</f>
        <v>0.92682535301965796</v>
      </c>
      <c r="BA9">
        <f>'Costing 100 Lmin Feed Orig'!BA9</f>
        <v>0.1</v>
      </c>
      <c r="BB9">
        <f>'Costing 100 Lmin Feed Orig'!BB9</f>
        <v>46.505552452333497</v>
      </c>
      <c r="BC9" t="str">
        <f>'Costing 100 Lmin Feed Orig'!BC9</f>
        <v>coeFc</v>
      </c>
      <c r="BD9">
        <f>'Costing 100 Lmin Feed Orig'!BD9</f>
        <v>1</v>
      </c>
      <c r="BE9">
        <f>'Costing 100 Lmin Feed Orig'!BE9</f>
        <v>1.8775014999999999E-2</v>
      </c>
      <c r="BF9">
        <f>'Costing 100 Lmin Feed Orig'!BF9</f>
        <v>0.10492961100000001</v>
      </c>
      <c r="BG9">
        <f>'Costing 100 Lmin Feed Orig'!BG9</f>
        <v>1.814625E-3</v>
      </c>
      <c r="BH9">
        <f>'Costing 100 Lmin Feed Orig'!BH9</f>
        <v>285.1951444</v>
      </c>
      <c r="BI9">
        <f>'Costing 100 Lmin Feed Orig'!BI9</f>
        <v>2169.8944889999998</v>
      </c>
      <c r="BJ9">
        <f>'Costing 100 Lmin Feed Orig'!BJ9</f>
        <v>866.49409060000005</v>
      </c>
      <c r="BK9">
        <f>'Costing 100 Lmin Feed Orig'!BK9</f>
        <v>100</v>
      </c>
      <c r="BL9">
        <f>'Costing 100 Lmin Feed Orig'!BL9</f>
        <v>18.892482409907799</v>
      </c>
      <c r="BM9">
        <f>'Costing 100 Lmin Feed Orig'!BM9</f>
        <v>92.6825353019658</v>
      </c>
      <c r="BN9">
        <f>'Costing 100 Lmin Feed Orig'!BN9</f>
        <v>19.929348306734301</v>
      </c>
      <c r="BO9">
        <f t="shared" si="1"/>
        <v>188.92482409907799</v>
      </c>
      <c r="BP9">
        <f t="shared" si="2"/>
        <v>518.16305597509188</v>
      </c>
      <c r="BQ9">
        <f t="shared" si="3"/>
        <v>18.892482409907799</v>
      </c>
      <c r="BR9">
        <f t="shared" si="4"/>
        <v>51.816305597509192</v>
      </c>
      <c r="BS9">
        <f>1.2*0.5*BL9*V9/'Oxidant Feed Composition'!$N$22</f>
        <v>11.335489445944679</v>
      </c>
      <c r="BT9">
        <f>1.2*0.5*BN9*BA9/'Oxidant Feed Composition'!$N$22</f>
        <v>11.957608984040581</v>
      </c>
      <c r="BU9">
        <f t="shared" si="5"/>
        <v>9.4462412049538997</v>
      </c>
      <c r="BV9">
        <f t="shared" si="6"/>
        <v>9.9646741533671506</v>
      </c>
      <c r="BW9">
        <f t="shared" si="7"/>
        <v>83.236294097011893</v>
      </c>
      <c r="BX9">
        <f t="shared" si="0"/>
        <v>60.455943711704961</v>
      </c>
      <c r="BY9">
        <f t="shared" si="8"/>
        <v>223.1500354237472</v>
      </c>
      <c r="BZ9">
        <f t="shared" si="9"/>
        <v>63.773914581549761</v>
      </c>
      <c r="CA9">
        <f t="shared" si="10"/>
        <v>59.788044920202907</v>
      </c>
      <c r="CB9">
        <f>BO9*'Reagent cost'!$G$11*'Reagent cost'!$H$11</f>
        <v>2493.8076781078298</v>
      </c>
      <c r="CC9">
        <f>BP9*'Reagent cost'!$G$11*'Reagent cost'!$H$11</f>
        <v>6839.7523388712134</v>
      </c>
      <c r="CD9">
        <f>BQ9*'Reagent cost'!$C$18/1000*'Reagent cost'!$H$18</f>
        <v>3012.9816471142385</v>
      </c>
      <c r="CE9">
        <f>BR9*'Ligand cost'!$B$56*'Ligand cost'!$J$56</f>
        <v>52755.617695282395</v>
      </c>
      <c r="CF9">
        <f t="shared" si="11"/>
        <v>10</v>
      </c>
      <c r="CG9">
        <f t="shared" si="12"/>
        <v>3.7784964819815601</v>
      </c>
      <c r="CH9">
        <f t="shared" si="12"/>
        <v>3.9858696613468605</v>
      </c>
      <c r="CI9">
        <f>7963.6*(BX9/1000)^0.6*1.7*('CAPEX+OPEX'!$G$116/'CAPEX+OPEX'!$G$115)</f>
        <v>2965.5437179814326</v>
      </c>
      <c r="CJ9">
        <f>7963.6*(BY9/1000)^0.6*1.7*('CAPEX+OPEX'!$G$116/'CAPEX+OPEX'!$G$115)</f>
        <v>6492.3078360569407</v>
      </c>
      <c r="CK9">
        <f>7963.6*(BZ9/1000)^0.6*1.7*('CAPEX+OPEX'!$G$116/'CAPEX+OPEX'!$G$115)</f>
        <v>3062.152202899636</v>
      </c>
      <c r="CL9">
        <f>7963.6*(CA9/1000)^0.6*1.7*('CAPEX+OPEX'!$G$116/'CAPEX+OPEX'!$G$115)</f>
        <v>2945.8426061962891</v>
      </c>
      <c r="CM9">
        <f>'Costing 100 Lmin Feed Orig'!DE9</f>
        <v>39625.826528698344</v>
      </c>
      <c r="CN9">
        <f>'Costing 100 Lmin Feed Orig'!DF9</f>
        <v>4586243.4239371875</v>
      </c>
      <c r="CO9">
        <f>'Costing 100 Lmin Feed Orig'!DG9</f>
        <v>11794834.586807497</v>
      </c>
      <c r="CP9">
        <f>'Costing 100 Lmin Feed Orig'!DH9</f>
        <v>2275209.1661185985</v>
      </c>
      <c r="CQ9">
        <f>'Costing 100 Lmin Feed Orig'!DI9</f>
        <v>14083914.336508472</v>
      </c>
      <c r="CR9">
        <f>'Costing 100 Lmin Feed Orig'!DJ9</f>
        <v>1662824.8986326549</v>
      </c>
      <c r="CS9">
        <f>CN9*(BK9/10000)^0.72*((A9+1)/3)^0.6*('CAPEX+OPEX'!$G$116/'CAPEX+OPEX'!$G$114)</f>
        <v>461850.0978118488</v>
      </c>
      <c r="CT9">
        <f>CO9*(BK9/10000)^0.72*((A9+1)/3)^0.6*('CAPEX+OPEX'!$G$116/'CAPEX+OPEX'!$G$114)</f>
        <v>1187779.4098672394</v>
      </c>
      <c r="CU9">
        <f>CP9*(BK9/10000)^0.72*((A9+1)/3)^0.6*('CAPEX+OPEX'!$G$116/'CAPEX+OPEX'!$G$114)</f>
        <v>229121.19544936769</v>
      </c>
      <c r="CV9">
        <f>CQ9*(BK9/10000)^0.72*((A9+1)/3)^0.6*('CAPEX+OPEX'!$G$116/'CAPEX+OPEX'!$G$114)</f>
        <v>1418297.4196136401</v>
      </c>
      <c r="CW9">
        <f>CR9*(BK9/10000)^0.72*((A9+1)/3)^0.6*('CAPEX+OPEX'!$G$116/'CAPEX+OPEX'!$G$114)</f>
        <v>167452.04540804314</v>
      </c>
      <c r="CX9">
        <f t="shared" si="13"/>
        <v>3464500.168150139</v>
      </c>
      <c r="CY9">
        <f>CN9*(BM9/10000)^0.72*((AF9+1)/3)^0.6*('CAPEX+OPEX'!$G$116/'CAPEX+OPEX'!$G$114)</f>
        <v>845302.75526646047</v>
      </c>
      <c r="CZ9">
        <f>CO9*(BM9/10000)^0.72*((AF9+1)/3)^0.6*('CAPEX+OPEX'!$G$116/'CAPEX+OPEX'!$G$114)</f>
        <v>2173937.4151190002</v>
      </c>
      <c r="DA9">
        <f>CP9*(BM9/10000)^0.72*((AF9+1)/3)^0.6*('CAPEX+OPEX'!$G$116/'CAPEX+OPEX'!$G$114)</f>
        <v>419349.86854153901</v>
      </c>
      <c r="DB9">
        <f>CQ9*(BM9/10000)^0.72*((AF9+1)/3)^0.6*('CAPEX+OPEX'!$G$116/'CAPEX+OPEX'!$G$114)</f>
        <v>2595843.8079082798</v>
      </c>
      <c r="DC9">
        <f>CR9*(BM9/10000)^0.72*((AF9+1)/3)^0.6*('CAPEX+OPEX'!$G$116/'CAPEX+OPEX'!$G$114)</f>
        <v>306479.69120077539</v>
      </c>
      <c r="DD9">
        <f t="shared" si="14"/>
        <v>6340913.5380360549</v>
      </c>
      <c r="DE9">
        <f>CX9+DD9+1.15*(SUM(CI9:CL9)+SUM(CB9:CE9))</f>
        <v>9898066.9127670806</v>
      </c>
      <c r="DF9">
        <f t="shared" si="15"/>
        <v>659871.12751780532</v>
      </c>
      <c r="DG9">
        <f>(BS9+BT9)*'Oxidant Feed Composition'!$N$28*60*7200</f>
        <v>25898081.190993886</v>
      </c>
      <c r="DH9">
        <f>((CG9+CH9)*'Reagent cost'!$C$17/1000*'Reagent cost'!$H$17+(CG9+CH9)*0.5*'Reagent cost'!$C$16/1000*'Reagent cost'!$H$16*1.5)*60*7200</f>
        <v>11017913.211116312</v>
      </c>
      <c r="DI9">
        <f>CF9*'Reagent cost'!$C$17/1000*'Reagent cost'!$H$17*60*7200</f>
        <v>504921.59999999998</v>
      </c>
      <c r="DJ9">
        <f t="shared" si="16"/>
        <v>93.335600169790439</v>
      </c>
      <c r="DK9">
        <f t="shared" si="17"/>
        <v>1115.3719868479327</v>
      </c>
      <c r="DL9">
        <f t="shared" si="18"/>
        <v>44906549.65163666</v>
      </c>
      <c r="DM9">
        <f>BK9*(B9*(409.81+2)/1000+C9*(248.2+2*22.99)/1000+D9*(315.6+3*22.99)/1000+0.1*58.44/1000)</f>
        <v>0.70639694042110623</v>
      </c>
      <c r="DN9">
        <f>(BS9+BT9)/1000*('Oxidant Feed Composition'!$B$11*'Oxidant Feed Composition'!$O$20+'Oxidant Feed Composition'!$D$11*'Oxidant Feed Composition'!$O$21+'Oxidant Feed Composition'!$F$11*'Oxidant Feed Composition'!$O$27-'Oxidant Feed Composition'!$J$15*18.015)</f>
        <v>2.7202737853205505</v>
      </c>
      <c r="DO9">
        <f>(BU9+BV9)/1000*(0.2*368.34+0.4*58.44)</f>
        <v>1.8837128700329075</v>
      </c>
      <c r="DP9">
        <f>BK9/1000*(B9*195.08+C9*106.42+D9*102.91)</f>
        <v>4.999938342565946E-2</v>
      </c>
      <c r="DQ9">
        <f>SUM(DM9:DO9)-DP9</f>
        <v>5.260384212348904</v>
      </c>
      <c r="DR9">
        <f>DQ9*60*7200*0.33</f>
        <v>749920.37331245968</v>
      </c>
      <c r="DS9">
        <v>1.2</v>
      </c>
      <c r="DT9">
        <f>BM9/60*(AM9*4+AN9*2+AO9*3)*96485/DV9</f>
        <v>1410.0862448248422</v>
      </c>
      <c r="DU9">
        <f>BN9*BA9*(AP9*4+AQ9*2+AR9*3)*96485/DV9/60</f>
        <v>712.11900740011947</v>
      </c>
      <c r="DV9">
        <v>0.7</v>
      </c>
      <c r="DW9">
        <f>0.499*((BK9/3.78541*15)^(-0.146))*BK9/3.78541*15*300*(1+(A9-2)/9)</f>
        <v>27520.276190787874</v>
      </c>
      <c r="DX9">
        <f>0.248*((BK9/3.78541*15)^(-0.144))*BK9/3.78541*15*300*(1+(A9-2)/3)</f>
        <v>16610.439588917834</v>
      </c>
      <c r="DY9">
        <f>0.105*((BK9/3.78541*15)^(-0.144))*BK9/3.78541*15*300*(1+(A9-2)/3)</f>
        <v>7032.645793695051</v>
      </c>
      <c r="DZ9">
        <f>0.058*((BK9/3.78541*15)^(-0.151))*BK9/3.78541*15*300*(1+(A9-2)/3)</f>
        <v>3725.3886787897172</v>
      </c>
      <c r="EA9">
        <f>0.056*((BK9/3.78541*15)^(-0.144))*BK9/3.78541*15*300*(1+(A9-2)/3)</f>
        <v>3750.7444233040283</v>
      </c>
      <c r="EB9">
        <f>DS9*DT9/(3.6*10^6)*3600*7200*0.07</f>
        <v>852.82016087006468</v>
      </c>
      <c r="EC9">
        <f>0.499*((BM9/3.78541*15)^(-0.146))*BM9/3.78541*15*300*(1+(AF9-2)/9)</f>
        <v>46423.887414940575</v>
      </c>
      <c r="ED9">
        <f>0.248*((BM9/3.78541*15)^(-0.144))*BM9/3.78541*15*300*(1+(AF9-2)/3)</f>
        <v>46693.087050290189</v>
      </c>
      <c r="EE9">
        <f>0.105*((BM9/3.78541*15)^(-0.144))*BM9/3.78541*15*300*(1+(AF9-2)/3)</f>
        <v>19769.250565647053</v>
      </c>
      <c r="EF9">
        <f>0.058*((BM9/3.78541*15)^(-0.151))*BM9/3.78541*15*300*(1+(AF9-2)/3)</f>
        <v>10477.895596099019</v>
      </c>
      <c r="EG9">
        <f>0.056*((BM9/3.78541*15)^(-0.144))*BM9/3.78541*15*300*(1+(AF9-2)/3)</f>
        <v>10543.600301678431</v>
      </c>
      <c r="EH9">
        <f>DS9*DU9/(3.6*10^6)*3600*7200*0.07</f>
        <v>430.68957567559227</v>
      </c>
      <c r="EI9">
        <f>SUM(DW9:EH9)</f>
        <v>193830.72534069544</v>
      </c>
      <c r="EJ9">
        <f>EI9+DR9+DL9</f>
        <v>45850300.750289813</v>
      </c>
      <c r="EK9">
        <f>EJ9+DF9</f>
        <v>46510171.877807617</v>
      </c>
      <c r="EL9">
        <f>EK9/(BK9*60*7200)</f>
        <v>1.0766243490233245</v>
      </c>
      <c r="EM9">
        <f>EK9/(BM9*(AM9*195.084/1000+AN9*106.42/1000+AO9*102.911/1000)*60*7200)</f>
        <v>3599.6871825475291</v>
      </c>
      <c r="EN9">
        <f>EK9/(BN9*BA9*(AP9*195.084/1000+AQ9*106.42/1000+AR9*102.911/1000)*60*7200)</f>
        <v>6551.8233044476083</v>
      </c>
    </row>
    <row r="10" spans="1:144">
      <c r="A10">
        <f>'Costing 100 Lmin Feed Orig'!A10</f>
        <v>3</v>
      </c>
      <c r="B10">
        <f>'Costing 100 Lmin Feed Orig'!B10</f>
        <v>1.54143585092054E-3</v>
      </c>
      <c r="C10">
        <f>'Costing 100 Lmin Feed Orig'!C10</f>
        <v>1.54143585092054E-3</v>
      </c>
      <c r="D10">
        <f>'Costing 100 Lmin Feed Orig'!D10</f>
        <v>3.4254130020456501E-4</v>
      </c>
      <c r="E10">
        <f>'Costing 100 Lmin Feed Orig'!E10</f>
        <v>0</v>
      </c>
      <c r="F10">
        <f>'Costing 100 Lmin Feed Orig'!F10</f>
        <v>0</v>
      </c>
      <c r="G10">
        <f>'Costing 100 Lmin Feed Orig'!G10</f>
        <v>0</v>
      </c>
      <c r="H10">
        <f>'Costing 100 Lmin Feed Orig'!H10</f>
        <v>1.6300358850230801E-5</v>
      </c>
      <c r="I10">
        <f>'Costing 100 Lmin Feed Orig'!I10</f>
        <v>7.4474859607128495E-7</v>
      </c>
      <c r="J10">
        <f>'Costing 100 Lmin Feed Orig'!J10</f>
        <v>3.2385704147932398E-4</v>
      </c>
      <c r="K10">
        <f>'Costing 100 Lmin Feed Orig'!K10</f>
        <v>8.07271092797512E-2</v>
      </c>
      <c r="L10">
        <f>'Costing 100 Lmin Feed Orig'!L10</f>
        <v>8.15504849440159E-2</v>
      </c>
      <c r="M10">
        <f>'Costing 100 Lmin Feed Orig'!M10</f>
        <v>9.8897848995466706E-4</v>
      </c>
      <c r="N10">
        <f>'Costing 100 Lmin Feed Orig'!N10</f>
        <v>-9.8011876392689601E-17</v>
      </c>
      <c r="O10">
        <f>'Costing 100 Lmin Feed Orig'!O10</f>
        <v>1.94289029309402E-16</v>
      </c>
      <c r="P10">
        <f>'Costing 100 Lmin Feed Orig'!P10</f>
        <v>-4.3537493488870999E-18</v>
      </c>
      <c r="Q10">
        <f>'Costing 100 Lmin Feed Orig'!Q10</f>
        <v>0.18892482409907799</v>
      </c>
      <c r="R10">
        <f>'Costing 100 Lmin Feed Orig'!R10</f>
        <v>94.545399718491396</v>
      </c>
      <c r="S10">
        <f>'Costing 100 Lmin Feed Orig'!S10</f>
        <v>500</v>
      </c>
      <c r="T10">
        <f>'Costing 100 Lmin Feed Orig'!T10</f>
        <v>95</v>
      </c>
      <c r="U10">
        <f>'Costing 100 Lmin Feed Orig'!U10</f>
        <v>1</v>
      </c>
      <c r="V10">
        <f>'Costing 100 Lmin Feed Orig'!V10</f>
        <v>0.1</v>
      </c>
      <c r="W10">
        <f>'Costing 100 Lmin Feed Orig'!W10</f>
        <v>52.931106580020597</v>
      </c>
      <c r="X10" t="str">
        <f>'Costing 100 Lmin Feed Orig'!X10</f>
        <v>ddFc</v>
      </c>
      <c r="Y10">
        <f>'Costing 100 Lmin Feed Orig'!Y10</f>
        <v>1</v>
      </c>
      <c r="Z10">
        <f>'Costing 100 Lmin Feed Orig'!Z10</f>
        <v>0.28318429382522198</v>
      </c>
      <c r="AA10">
        <f>'Costing 100 Lmin Feed Orig'!AA10</f>
        <v>0.56945642916197003</v>
      </c>
      <c r="AB10">
        <f>'Costing 100 Lmin Feed Orig'!AB10</f>
        <v>3.7698628972227502E-3</v>
      </c>
      <c r="AC10">
        <f>'Costing 100 Lmin Feed Orig'!AC10</f>
        <v>1822.2107908876901</v>
      </c>
      <c r="AD10">
        <f>'Costing 100 Lmin Feed Orig'!AD10</f>
        <v>2662.6059073104898</v>
      </c>
      <c r="AE10">
        <f>'Costing 100 Lmin Feed Orig'!AE10</f>
        <v>2401.5030938442701</v>
      </c>
      <c r="AF10">
        <f>'Costing 100 Lmin Feed Orig'!AF10</f>
        <v>12</v>
      </c>
      <c r="AG10">
        <f>'Costing 100 Lmin Feed Orig'!AG10</f>
        <v>1.6455478770638001E-3</v>
      </c>
      <c r="AH10">
        <f>'Costing 100 Lmin Feed Orig'!AH10</f>
        <v>1.66233163271225E-3</v>
      </c>
      <c r="AI10">
        <f>'Costing 100 Lmin Feed Orig'!AI10</f>
        <v>2.0159416943409301E-5</v>
      </c>
      <c r="AJ10">
        <f>'Costing 100 Lmin Feed Orig'!AJ10</f>
        <v>0</v>
      </c>
      <c r="AK10">
        <f>'Costing 100 Lmin Feed Orig'!AK10</f>
        <v>0</v>
      </c>
      <c r="AL10">
        <f>'Costing 100 Lmin Feed Orig'!AL10</f>
        <v>0</v>
      </c>
      <c r="AM10">
        <f>'Costing 100 Lmin Feed Orig'!AM10</f>
        <v>1.6083531230386601E-3</v>
      </c>
      <c r="AN10">
        <f>'Costing 100 Lmin Feed Orig'!AN10</f>
        <v>6.4624554467975802E-5</v>
      </c>
      <c r="AO10">
        <f>'Costing 100 Lmin Feed Orig'!AO10</f>
        <v>2.0025609902478401E-5</v>
      </c>
      <c r="AP10">
        <f>'Costing 100 Lmin Feed Orig'!AP10</f>
        <v>1.72977922313241E-3</v>
      </c>
      <c r="AQ10">
        <f>'Costing 100 Lmin Feed Orig'!AQ10</f>
        <v>7.4302965056042405E-2</v>
      </c>
      <c r="AR10">
        <f>'Costing 100 Lmin Feed Orig'!AR10</f>
        <v>6.2228302183306801E-6</v>
      </c>
      <c r="AS10">
        <f>'Costing 100 Lmin Feed Orig'!AS10</f>
        <v>6.7762635780344003E-20</v>
      </c>
      <c r="AT10">
        <f>'Costing 100 Lmin Feed Orig'!AT10</f>
        <v>2.168404344971E-19</v>
      </c>
      <c r="AU10">
        <f>'Costing 100 Lmin Feed Orig'!AU10</f>
        <v>3.8381180422460401E-21</v>
      </c>
      <c r="AV10">
        <f>'Costing 100 Lmin Feed Orig'!AV10</f>
        <v>0.199291566049737</v>
      </c>
      <c r="AW10">
        <f>'Costing 100 Lmin Feed Orig'!AW10</f>
        <v>99.336255402095702</v>
      </c>
      <c r="AX10">
        <f>'Costing 100 Lmin Feed Orig'!AX10</f>
        <v>500</v>
      </c>
      <c r="AY10">
        <f>'Costing 100 Lmin Feed Orig'!AY10</f>
        <v>95</v>
      </c>
      <c r="AZ10">
        <f>'Costing 100 Lmin Feed Orig'!AZ10</f>
        <v>0.92682535301965796</v>
      </c>
      <c r="BA10">
        <f>'Costing 100 Lmin Feed Orig'!BA10</f>
        <v>0.1</v>
      </c>
      <c r="BB10">
        <f>'Costing 100 Lmin Feed Orig'!BB10</f>
        <v>46.505999796717497</v>
      </c>
      <c r="BC10" t="str">
        <f>'Costing 100 Lmin Feed Orig'!BC10</f>
        <v>coeFc</v>
      </c>
      <c r="BD10">
        <f>'Costing 100 Lmin Feed Orig'!BD10</f>
        <v>1</v>
      </c>
      <c r="BE10">
        <f>'Costing 100 Lmin Feed Orig'!BE10</f>
        <v>1.8775014999999999E-2</v>
      </c>
      <c r="BF10">
        <f>'Costing 100 Lmin Feed Orig'!BF10</f>
        <v>0.10492961100000001</v>
      </c>
      <c r="BG10">
        <f>'Costing 100 Lmin Feed Orig'!BG10</f>
        <v>1.814625E-3</v>
      </c>
      <c r="BH10">
        <f>'Costing 100 Lmin Feed Orig'!BH10</f>
        <v>285.1951444</v>
      </c>
      <c r="BI10">
        <f>'Costing 100 Lmin Feed Orig'!BI10</f>
        <v>2169.8944889999998</v>
      </c>
      <c r="BJ10">
        <f>'Costing 100 Lmin Feed Orig'!BJ10</f>
        <v>866.49409060000005</v>
      </c>
      <c r="BK10">
        <f>'Costing 100 Lmin Feed Orig'!BK10</f>
        <v>100</v>
      </c>
      <c r="BL10">
        <f>'Costing 100 Lmin Feed Orig'!BL10</f>
        <v>18.892482409907799</v>
      </c>
      <c r="BM10">
        <f>'Costing 100 Lmin Feed Orig'!BM10</f>
        <v>92.6825353019658</v>
      </c>
      <c r="BN10">
        <f>'Costing 100 Lmin Feed Orig'!BN10</f>
        <v>19.929156604973699</v>
      </c>
      <c r="BO10">
        <f t="shared" si="1"/>
        <v>188.92482409907799</v>
      </c>
      <c r="BP10">
        <f>(AF10+2)*2*BN10</f>
        <v>558.01638493926362</v>
      </c>
      <c r="BQ10">
        <f t="shared" si="3"/>
        <v>18.892482409907799</v>
      </c>
      <c r="BR10">
        <f t="shared" si="4"/>
        <v>55.801638493926362</v>
      </c>
      <c r="BS10">
        <f>1.2*0.5*BL10*V10/'Oxidant Feed Composition'!$N$22</f>
        <v>11.335489445944679</v>
      </c>
      <c r="BT10">
        <f>1.2*0.5*BN10*BA10/'Oxidant Feed Composition'!$N$22</f>
        <v>11.957493962984218</v>
      </c>
      <c r="BU10">
        <f t="shared" si="5"/>
        <v>9.4462412049538997</v>
      </c>
      <c r="BV10">
        <f t="shared" si="6"/>
        <v>9.9645783024868493</v>
      </c>
      <c r="BW10">
        <f t="shared" si="7"/>
        <v>83.236294097011893</v>
      </c>
      <c r="BX10">
        <f t="shared" si="0"/>
        <v>60.455943711704961</v>
      </c>
      <c r="BY10">
        <f t="shared" si="8"/>
        <v>223.1500354237472</v>
      </c>
      <c r="BZ10">
        <f t="shared" si="9"/>
        <v>63.77330113591583</v>
      </c>
      <c r="CA10">
        <f t="shared" si="10"/>
        <v>59.787469814921096</v>
      </c>
      <c r="CB10">
        <f>BO10*'Reagent cost'!$G$11*'Reagent cost'!$H$11</f>
        <v>2493.8076781078298</v>
      </c>
      <c r="CC10">
        <f>BP10*'Reagent cost'!$G$11*'Reagent cost'!$H$11</f>
        <v>7365.8162811982802</v>
      </c>
      <c r="CD10">
        <f>BQ10*'Reagent cost'!$C$18/1000*'Reagent cost'!$H$18</f>
        <v>3012.9816471142385</v>
      </c>
      <c r="CE10">
        <f>BR10*'Ligand cost'!$B$56*'Ligand cost'!$J$56</f>
        <v>56813.195638120589</v>
      </c>
      <c r="CF10">
        <f t="shared" si="11"/>
        <v>10</v>
      </c>
      <c r="CG10">
        <f t="shared" si="12"/>
        <v>3.7784964819815601</v>
      </c>
      <c r="CH10">
        <f t="shared" si="12"/>
        <v>3.9858313209947398</v>
      </c>
      <c r="CI10">
        <f>7963.6*(BX10/1000)^0.6*1.7*('CAPEX+OPEX'!$G$116/'CAPEX+OPEX'!$G$115)</f>
        <v>2965.5437179814326</v>
      </c>
      <c r="CJ10">
        <f>7963.6*(BY10/1000)^0.6*1.7*('CAPEX+OPEX'!$G$116/'CAPEX+OPEX'!$G$115)</f>
        <v>6492.3078360569407</v>
      </c>
      <c r="CK10">
        <f>7963.6*(BZ10/1000)^0.6*1.7*('CAPEX+OPEX'!$G$116/'CAPEX+OPEX'!$G$115)</f>
        <v>3062.1345298351043</v>
      </c>
      <c r="CL10">
        <f>7963.6*(CA10/1000)^0.6*1.7*('CAPEX+OPEX'!$G$116/'CAPEX+OPEX'!$G$115)</f>
        <v>2945.825604407014</v>
      </c>
      <c r="CM10">
        <f>'Costing 100 Lmin Feed Orig'!DE10</f>
        <v>39625.826528698344</v>
      </c>
      <c r="CN10">
        <f>'Costing 100 Lmin Feed Orig'!DF10</f>
        <v>4586243.4239371875</v>
      </c>
      <c r="CO10">
        <f>'Costing 100 Lmin Feed Orig'!DG10</f>
        <v>11794834.586807497</v>
      </c>
      <c r="CP10">
        <f>'Costing 100 Lmin Feed Orig'!DH10</f>
        <v>2275209.1661185985</v>
      </c>
      <c r="CQ10">
        <f>'Costing 100 Lmin Feed Orig'!DI10</f>
        <v>14083914.336508472</v>
      </c>
      <c r="CR10">
        <f>'Costing 100 Lmin Feed Orig'!DJ10</f>
        <v>1662824.8986326549</v>
      </c>
      <c r="CS10">
        <f>CN10*(BK10/10000)^0.72*((A10+1)/3)^0.6*('CAPEX+OPEX'!$G$116/'CAPEX+OPEX'!$G$114)</f>
        <v>461850.0978118488</v>
      </c>
      <c r="CT10">
        <f>CO10*(BK10/10000)^0.72*((A10+1)/3)^0.6*('CAPEX+OPEX'!$G$116/'CAPEX+OPEX'!$G$114)</f>
        <v>1187779.4098672394</v>
      </c>
      <c r="CU10">
        <f>CP10*(BK10/10000)^0.72*((A10+1)/3)^0.6*('CAPEX+OPEX'!$G$116/'CAPEX+OPEX'!$G$114)</f>
        <v>229121.19544936769</v>
      </c>
      <c r="CV10">
        <f>CQ10*(BK10/10000)^0.72*((A10+1)/3)^0.6*('CAPEX+OPEX'!$G$116/'CAPEX+OPEX'!$G$114)</f>
        <v>1418297.4196136401</v>
      </c>
      <c r="CW10">
        <f>CR10*(BK10/10000)^0.72*((A10+1)/3)^0.6*('CAPEX+OPEX'!$G$116/'CAPEX+OPEX'!$G$114)</f>
        <v>167452.04540804314</v>
      </c>
      <c r="CX10">
        <f t="shared" si="13"/>
        <v>3464500.168150139</v>
      </c>
      <c r="CY10">
        <f>CN10*(BM10/10000)^0.72*((AF10+1)/3)^0.6*('CAPEX+OPEX'!$G$116/'CAPEX+OPEX'!$G$114)</f>
        <v>886889.57159349206</v>
      </c>
      <c r="CZ10">
        <f>CO10*(BM10/10000)^0.72*((AF10+1)/3)^0.6*('CAPEX+OPEX'!$G$116/'CAPEX+OPEX'!$G$114)</f>
        <v>2280889.7886038315</v>
      </c>
      <c r="DA10">
        <f>CP10*(BM10/10000)^0.72*((AF10+1)/3)^0.6*('CAPEX+OPEX'!$G$116/'CAPEX+OPEX'!$G$114)</f>
        <v>439980.85057862528</v>
      </c>
      <c r="DB10">
        <f>CQ10*(BM10/10000)^0.72*((AF10+1)/3)^0.6*('CAPEX+OPEX'!$G$116/'CAPEX+OPEX'!$G$114)</f>
        <v>2723552.9381347802</v>
      </c>
      <c r="DC10">
        <f>CR10*(BM10/10000)^0.72*((AF10+1)/3)^0.6*('CAPEX+OPEX'!$G$116/'CAPEX+OPEX'!$G$114)</f>
        <v>321557.73814493133</v>
      </c>
      <c r="DD10">
        <f t="shared" si="14"/>
        <v>6652870.8870556606</v>
      </c>
      <c r="DE10">
        <f>CX10+DD10+1.15*(SUM(CI10:CL10)+SUM(CB10:CE10))</f>
        <v>10215295.410078544</v>
      </c>
      <c r="DF10">
        <f t="shared" si="15"/>
        <v>681019.69400523626</v>
      </c>
      <c r="DG10">
        <f>(BS10+BT10)*'Oxidant Feed Composition'!$N$28*60*7200</f>
        <v>25897953.306562137</v>
      </c>
      <c r="DH10">
        <f>((CG10+CH10)*'Reagent cost'!$C$17/1000*'Reagent cost'!$H$17+(CG10+CH10)*0.5*'Reagent cost'!$C$16/1000*'Reagent cost'!$H$16*1.5)*60*7200</f>
        <v>11017858.804785602</v>
      </c>
      <c r="DI10">
        <f>CF10*'Reagent cost'!$C$17/1000*'Reagent cost'!$H$17*60*7200</f>
        <v>504921.59999999998</v>
      </c>
      <c r="DJ10">
        <f t="shared" si="16"/>
        <v>98.596239593061114</v>
      </c>
      <c r="DK10">
        <f t="shared" si="17"/>
        <v>1196.5235457046965</v>
      </c>
      <c r="DL10">
        <f t="shared" si="18"/>
        <v>44906434.597359642</v>
      </c>
      <c r="DM10">
        <f>BK10*(B10*(409.81+2)/1000+C10*(248.2+2*22.99)/1000+D10*(315.6+3*22.99)/1000+0.1*58.44/1000)</f>
        <v>0.70639694042110623</v>
      </c>
      <c r="DN10">
        <f>(BS10+BT10)/1000*('Oxidant Feed Composition'!$B$11*'Oxidant Feed Composition'!$O$20+'Oxidant Feed Composition'!$D$11*'Oxidant Feed Composition'!$O$21+'Oxidant Feed Composition'!$F$11*'Oxidant Feed Composition'!$O$27-'Oxidant Feed Composition'!$J$15*18.015)</f>
        <v>2.7202603526393925</v>
      </c>
      <c r="DO10">
        <f>(BU10+BV10)/1000*(0.2*368.34+0.4*58.44)</f>
        <v>1.88370356828008</v>
      </c>
      <c r="DP10">
        <f>BK10/1000*(B10*195.08+C10*106.42+D10*102.91)</f>
        <v>4.999938342565946E-2</v>
      </c>
      <c r="DQ10">
        <f>SUM(DM10:DO10)-DP10</f>
        <v>5.2603614779149188</v>
      </c>
      <c r="DR10">
        <f>DQ10*60*7200*0.33</f>
        <v>749917.13229155098</v>
      </c>
      <c r="DS10">
        <v>1.2</v>
      </c>
      <c r="DT10">
        <f>BM10/60*(AM10*4+AN10*2+AO10*3)*96485/DV10</f>
        <v>1410.0873571085197</v>
      </c>
      <c r="DU10">
        <f>BN10*BA10*(AP10*4+AQ10*2+AR10*3)*96485/DV10/60</f>
        <v>712.11789511644781</v>
      </c>
      <c r="DV10">
        <v>0.7</v>
      </c>
      <c r="DW10">
        <f>0.499*((BK10/3.78541*15)^(-0.146))*BK10/3.78541*15*300*(1+(A10-2)/9)</f>
        <v>27520.276190787874</v>
      </c>
      <c r="DX10">
        <f>0.248*((BK10/3.78541*15)^(-0.144))*BK10/3.78541*15*300*(1+(A10-2)/3)</f>
        <v>16610.439588917834</v>
      </c>
      <c r="DY10">
        <f>0.105*((BK10/3.78541*15)^(-0.144))*BK10/3.78541*15*300*(1+(A10-2)/3)</f>
        <v>7032.645793695051</v>
      </c>
      <c r="DZ10">
        <f>0.058*((BK10/3.78541*15)^(-0.151))*BK10/3.78541*15*300*(1+(A10-2)/3)</f>
        <v>3725.3886787897172</v>
      </c>
      <c r="EA10">
        <f>0.056*((BK10/3.78541*15)^(-0.144))*BK10/3.78541*15*300*(1+(A10-2)/3)</f>
        <v>3750.7444233040283</v>
      </c>
      <c r="EB10">
        <f>DS10*DT10/(3.6*10^6)*3600*7200*0.07</f>
        <v>852.82083357923284</v>
      </c>
      <c r="EC10">
        <f>0.499*((BM10/3.78541*15)^(-0.146))*BM10/3.78541*15*300*(1+(AF10-2)/9)</f>
        <v>49002.992271326162</v>
      </c>
      <c r="ED10">
        <f>0.248*((BM10/3.78541*15)^(-0.144))*BM10/3.78541*15*300*(1+(AF10-2)/3)</f>
        <v>50584.177637814377</v>
      </c>
      <c r="EE10">
        <f>0.105*((BM10/3.78541*15)^(-0.144))*BM10/3.78541*15*300*(1+(AF10-2)/3)</f>
        <v>21416.688112784312</v>
      </c>
      <c r="EF10">
        <f>0.058*((BM10/3.78541*15)^(-0.151))*BM10/3.78541*15*300*(1+(AF10-2)/3)</f>
        <v>11351.053562440606</v>
      </c>
      <c r="EG10">
        <f>0.056*((BM10/3.78541*15)^(-0.144))*BM10/3.78541*15*300*(1+(AF10-2)/3)</f>
        <v>11422.233660151634</v>
      </c>
      <c r="EH10">
        <f>DS10*DU10/(3.6*10^6)*3600*7200*0.07</f>
        <v>430.68890296642769</v>
      </c>
      <c r="EI10">
        <f>SUM(DW10:EH10)</f>
        <v>203700.14965655727</v>
      </c>
      <c r="EJ10">
        <f>EI10+DR10+DL10</f>
        <v>45860051.879307747</v>
      </c>
      <c r="EK10">
        <f>EJ10+DF10</f>
        <v>46541071.573312983</v>
      </c>
      <c r="EL10">
        <f>EK10/(BK10*60*7200)</f>
        <v>1.0773396197526153</v>
      </c>
      <c r="EM10">
        <f>EK10/(BM10*(AM10*195.084/1000+AN10*106.42/1000+AO10*102.911/1000)*60*7200)</f>
        <v>3602.0758380165385</v>
      </c>
      <c r="EN10">
        <f>EK10/(BN10*BA10*(AP10*195.084/1000+AQ10*106.42/1000+AR10*102.911/1000)*60*7200)</f>
        <v>6556.1855365303172</v>
      </c>
    </row>
    <row r="11" spans="1:144">
      <c r="A11">
        <f>'Costing 100 Lmin Feed Orig'!A11</f>
        <v>3</v>
      </c>
      <c r="B11">
        <f>'Costing 100 Lmin Feed Orig'!B11</f>
        <v>1.54143585092054E-3</v>
      </c>
      <c r="C11">
        <f>'Costing 100 Lmin Feed Orig'!C11</f>
        <v>1.54143585092054E-3</v>
      </c>
      <c r="D11">
        <f>'Costing 100 Lmin Feed Orig'!D11</f>
        <v>3.4254130020456501E-4</v>
      </c>
      <c r="E11">
        <f>'Costing 100 Lmin Feed Orig'!E11</f>
        <v>0</v>
      </c>
      <c r="F11">
        <f>'Costing 100 Lmin Feed Orig'!F11</f>
        <v>0</v>
      </c>
      <c r="G11">
        <f>'Costing 100 Lmin Feed Orig'!G11</f>
        <v>0</v>
      </c>
      <c r="H11">
        <f>'Costing 100 Lmin Feed Orig'!H11</f>
        <v>1.6300358850230801E-5</v>
      </c>
      <c r="I11">
        <f>'Costing 100 Lmin Feed Orig'!I11</f>
        <v>7.4474859607128495E-7</v>
      </c>
      <c r="J11">
        <f>'Costing 100 Lmin Feed Orig'!J11</f>
        <v>3.2385704147932398E-4</v>
      </c>
      <c r="K11">
        <f>'Costing 100 Lmin Feed Orig'!K11</f>
        <v>8.07271092797512E-2</v>
      </c>
      <c r="L11">
        <f>'Costing 100 Lmin Feed Orig'!L11</f>
        <v>8.15504849440159E-2</v>
      </c>
      <c r="M11">
        <f>'Costing 100 Lmin Feed Orig'!M11</f>
        <v>9.8897848995466706E-4</v>
      </c>
      <c r="N11">
        <f>'Costing 100 Lmin Feed Orig'!N11</f>
        <v>-9.8011876392689601E-17</v>
      </c>
      <c r="O11">
        <f>'Costing 100 Lmin Feed Orig'!O11</f>
        <v>1.94289029309402E-16</v>
      </c>
      <c r="P11">
        <f>'Costing 100 Lmin Feed Orig'!P11</f>
        <v>-4.3537493488870999E-18</v>
      </c>
      <c r="Q11">
        <f>'Costing 100 Lmin Feed Orig'!Q11</f>
        <v>0.18892482409907799</v>
      </c>
      <c r="R11">
        <f>'Costing 100 Lmin Feed Orig'!R11</f>
        <v>94.545399718491396</v>
      </c>
      <c r="S11">
        <f>'Costing 100 Lmin Feed Orig'!S11</f>
        <v>500</v>
      </c>
      <c r="T11">
        <f>'Costing 100 Lmin Feed Orig'!T11</f>
        <v>95</v>
      </c>
      <c r="U11">
        <f>'Costing 100 Lmin Feed Orig'!U11</f>
        <v>1</v>
      </c>
      <c r="V11">
        <f>'Costing 100 Lmin Feed Orig'!V11</f>
        <v>0.1</v>
      </c>
      <c r="W11">
        <f>'Costing 100 Lmin Feed Orig'!W11</f>
        <v>52.931106580020597</v>
      </c>
      <c r="X11" t="str">
        <f>'Costing 100 Lmin Feed Orig'!X11</f>
        <v>ddFc</v>
      </c>
      <c r="Y11">
        <f>'Costing 100 Lmin Feed Orig'!Y11</f>
        <v>1</v>
      </c>
      <c r="Z11">
        <f>'Costing 100 Lmin Feed Orig'!Z11</f>
        <v>0.28318429382522198</v>
      </c>
      <c r="AA11">
        <f>'Costing 100 Lmin Feed Orig'!AA11</f>
        <v>0.56945642916197003</v>
      </c>
      <c r="AB11">
        <f>'Costing 100 Lmin Feed Orig'!AB11</f>
        <v>3.7698628972227502E-3</v>
      </c>
      <c r="AC11">
        <f>'Costing 100 Lmin Feed Orig'!AC11</f>
        <v>1822.2107908876901</v>
      </c>
      <c r="AD11">
        <f>'Costing 100 Lmin Feed Orig'!AD11</f>
        <v>2662.6059073104898</v>
      </c>
      <c r="AE11">
        <f>'Costing 100 Lmin Feed Orig'!AE11</f>
        <v>2401.5030938442701</v>
      </c>
      <c r="AF11">
        <f>'Costing 100 Lmin Feed Orig'!AF11</f>
        <v>13</v>
      </c>
      <c r="AG11">
        <f>'Costing 100 Lmin Feed Orig'!AG11</f>
        <v>1.6455478770638001E-3</v>
      </c>
      <c r="AH11">
        <f>'Costing 100 Lmin Feed Orig'!AH11</f>
        <v>1.66233163271225E-3</v>
      </c>
      <c r="AI11">
        <f>'Costing 100 Lmin Feed Orig'!AI11</f>
        <v>2.0159416943409301E-5</v>
      </c>
      <c r="AJ11">
        <f>'Costing 100 Lmin Feed Orig'!AJ11</f>
        <v>0</v>
      </c>
      <c r="AK11">
        <f>'Costing 100 Lmin Feed Orig'!AK11</f>
        <v>0</v>
      </c>
      <c r="AL11">
        <f>'Costing 100 Lmin Feed Orig'!AL11</f>
        <v>0</v>
      </c>
      <c r="AM11">
        <f>'Costing 100 Lmin Feed Orig'!AM11</f>
        <v>1.60835348661086E-3</v>
      </c>
      <c r="AN11">
        <f>'Costing 100 Lmin Feed Orig'!AN11</f>
        <v>6.4624572349144705E-5</v>
      </c>
      <c r="AO11">
        <f>'Costing 100 Lmin Feed Orig'!AO11</f>
        <v>2.0025611156689701E-5</v>
      </c>
      <c r="AP11">
        <f>'Costing 100 Lmin Feed Orig'!AP11</f>
        <v>1.72976707272807E-3</v>
      </c>
      <c r="AQ11">
        <f>'Costing 100 Lmin Feed Orig'!AQ11</f>
        <v>7.43031686023614E-2</v>
      </c>
      <c r="AR11">
        <f>'Costing 100 Lmin Feed Orig'!AR11</f>
        <v>6.2227890063413899E-6</v>
      </c>
      <c r="AS11">
        <f>'Costing 100 Lmin Feed Orig'!AS11</f>
        <v>2.6305455209929499E-17</v>
      </c>
      <c r="AT11">
        <f>'Costing 100 Lmin Feed Orig'!AT11</f>
        <v>-2.1278551837200498E-15</v>
      </c>
      <c r="AU11">
        <f>'Costing 100 Lmin Feed Orig'!AU11</f>
        <v>-5.2939559203393696E-22</v>
      </c>
      <c r="AV11">
        <f>'Costing 100 Lmin Feed Orig'!AV11</f>
        <v>0.19929101787970099</v>
      </c>
      <c r="AW11">
        <f>'Costing 100 Lmin Feed Orig'!AW11</f>
        <v>99.336261623561896</v>
      </c>
      <c r="AX11">
        <f>'Costing 100 Lmin Feed Orig'!AX11</f>
        <v>500</v>
      </c>
      <c r="AY11">
        <f>'Costing 100 Lmin Feed Orig'!AY11</f>
        <v>95</v>
      </c>
      <c r="AZ11">
        <f>'Costing 100 Lmin Feed Orig'!AZ11</f>
        <v>0.92682535301965796</v>
      </c>
      <c r="BA11">
        <f>'Costing 100 Lmin Feed Orig'!BA11</f>
        <v>0.1</v>
      </c>
      <c r="BB11">
        <f>'Costing 100 Lmin Feed Orig'!BB11</f>
        <v>46.506127716158304</v>
      </c>
      <c r="BC11" t="str">
        <f>'Costing 100 Lmin Feed Orig'!BC11</f>
        <v>coeFc</v>
      </c>
      <c r="BD11">
        <f>'Costing 100 Lmin Feed Orig'!BD11</f>
        <v>1</v>
      </c>
      <c r="BE11">
        <f>'Costing 100 Lmin Feed Orig'!BE11</f>
        <v>1.8775014999999999E-2</v>
      </c>
      <c r="BF11">
        <f>'Costing 100 Lmin Feed Orig'!BF11</f>
        <v>0.10492961100000001</v>
      </c>
      <c r="BG11">
        <f>'Costing 100 Lmin Feed Orig'!BG11</f>
        <v>1.814625E-3</v>
      </c>
      <c r="BH11">
        <f>'Costing 100 Lmin Feed Orig'!BH11</f>
        <v>285.1951444</v>
      </c>
      <c r="BI11">
        <f>'Costing 100 Lmin Feed Orig'!BI11</f>
        <v>2169.8944889999998</v>
      </c>
      <c r="BJ11">
        <f>'Costing 100 Lmin Feed Orig'!BJ11</f>
        <v>866.49409060000005</v>
      </c>
      <c r="BK11">
        <f>'Costing 100 Lmin Feed Orig'!BK11</f>
        <v>100</v>
      </c>
      <c r="BL11">
        <f>'Costing 100 Lmin Feed Orig'!BL11</f>
        <v>18.892482409907799</v>
      </c>
      <c r="BM11">
        <f>'Costing 100 Lmin Feed Orig'!BM11</f>
        <v>92.6825353019658</v>
      </c>
      <c r="BN11">
        <f>'Costing 100 Lmin Feed Orig'!BN11</f>
        <v>19.929101787970101</v>
      </c>
      <c r="BO11">
        <f t="shared" si="1"/>
        <v>188.92482409907799</v>
      </c>
      <c r="BP11">
        <f t="shared" si="2"/>
        <v>597.87305363910298</v>
      </c>
      <c r="BQ11">
        <f t="shared" si="3"/>
        <v>18.892482409907799</v>
      </c>
      <c r="BR11">
        <f t="shared" si="4"/>
        <v>59.787305363910299</v>
      </c>
      <c r="BS11">
        <f>1.2*0.5*BL11*V11/'Oxidant Feed Composition'!$N$22</f>
        <v>11.335489445944679</v>
      </c>
      <c r="BT11">
        <f>1.2*0.5*BN11*BA11/'Oxidant Feed Composition'!$N$22</f>
        <v>11.95746107278206</v>
      </c>
      <c r="BU11">
        <f t="shared" si="5"/>
        <v>9.4462412049538997</v>
      </c>
      <c r="BV11">
        <f t="shared" si="6"/>
        <v>9.9645508939850505</v>
      </c>
      <c r="BW11">
        <f t="shared" si="7"/>
        <v>83.236294097011893</v>
      </c>
      <c r="BX11">
        <f t="shared" si="0"/>
        <v>60.455943711704961</v>
      </c>
      <c r="BY11">
        <f t="shared" si="8"/>
        <v>223.1500354237472</v>
      </c>
      <c r="BZ11">
        <f t="shared" si="9"/>
        <v>63.773125721504321</v>
      </c>
      <c r="CA11">
        <f t="shared" si="10"/>
        <v>59.787305363910306</v>
      </c>
      <c r="CB11">
        <f>BO11*'Reagent cost'!$G$11*'Reagent cost'!$H$11</f>
        <v>2493.8076781078298</v>
      </c>
      <c r="CC11">
        <f>BP11*'Reagent cost'!$G$11*'Reagent cost'!$H$11</f>
        <v>7891.9243080361593</v>
      </c>
      <c r="CD11">
        <f>BQ11*'Reagent cost'!$C$18/1000*'Reagent cost'!$H$18</f>
        <v>3012.9816471142385</v>
      </c>
      <c r="CE11">
        <f>BR11*'Ligand cost'!$B$56*'Ligand cost'!$J$56</f>
        <v>60871.113608708845</v>
      </c>
      <c r="CF11">
        <f t="shared" si="11"/>
        <v>10</v>
      </c>
      <c r="CG11">
        <f t="shared" si="12"/>
        <v>3.7784964819815601</v>
      </c>
      <c r="CH11">
        <f t="shared" si="12"/>
        <v>3.9858203575940205</v>
      </c>
      <c r="CI11">
        <f>7963.6*(BX11/1000)^0.6*1.7*('CAPEX+OPEX'!$G$116/'CAPEX+OPEX'!$G$115)</f>
        <v>2965.5437179814326</v>
      </c>
      <c r="CJ11">
        <f>7963.6*(BY11/1000)^0.6*1.7*('CAPEX+OPEX'!$G$116/'CAPEX+OPEX'!$G$115)</f>
        <v>6492.3078360569407</v>
      </c>
      <c r="CK11">
        <f>7963.6*(BZ11/1000)^0.6*1.7*('CAPEX+OPEX'!$G$116/'CAPEX+OPEX'!$G$115)</f>
        <v>3062.1294762203861</v>
      </c>
      <c r="CL11">
        <f>7963.6*(CA11/1000)^0.6*1.7*('CAPEX+OPEX'!$G$116/'CAPEX+OPEX'!$G$115)</f>
        <v>2945.8207427435282</v>
      </c>
      <c r="CM11">
        <f>'Costing 100 Lmin Feed Orig'!DE11</f>
        <v>39625.826528698344</v>
      </c>
      <c r="CN11">
        <f>'Costing 100 Lmin Feed Orig'!DF11</f>
        <v>4586243.4239371875</v>
      </c>
      <c r="CO11">
        <f>'Costing 100 Lmin Feed Orig'!DG11</f>
        <v>11794834.586807497</v>
      </c>
      <c r="CP11">
        <f>'Costing 100 Lmin Feed Orig'!DH11</f>
        <v>2275209.1661185985</v>
      </c>
      <c r="CQ11">
        <f>'Costing 100 Lmin Feed Orig'!DI11</f>
        <v>14083914.336508472</v>
      </c>
      <c r="CR11">
        <f>'Costing 100 Lmin Feed Orig'!DJ11</f>
        <v>1662824.8986326549</v>
      </c>
      <c r="CS11">
        <f>CN11*(BK11/10000)^0.72*((A11+1)/3)^0.6*('CAPEX+OPEX'!$G$116/'CAPEX+OPEX'!$G$114)</f>
        <v>461850.0978118488</v>
      </c>
      <c r="CT11">
        <f>CO11*(BK11/10000)^0.72*((A11+1)/3)^0.6*('CAPEX+OPEX'!$G$116/'CAPEX+OPEX'!$G$114)</f>
        <v>1187779.4098672394</v>
      </c>
      <c r="CU11">
        <f>CP11*(BK11/10000)^0.72*((A11+1)/3)^0.6*('CAPEX+OPEX'!$G$116/'CAPEX+OPEX'!$G$114)</f>
        <v>229121.19544936769</v>
      </c>
      <c r="CV11">
        <f>CQ11*(BK11/10000)^0.72*((A11+1)/3)^0.6*('CAPEX+OPEX'!$G$116/'CAPEX+OPEX'!$G$114)</f>
        <v>1418297.4196136401</v>
      </c>
      <c r="CW11">
        <f>CR11*(BK11/10000)^0.72*((A11+1)/3)^0.6*('CAPEX+OPEX'!$G$116/'CAPEX+OPEX'!$G$114)</f>
        <v>167452.04540804314</v>
      </c>
      <c r="CX11">
        <f t="shared" si="13"/>
        <v>3464500.168150139</v>
      </c>
      <c r="CY11">
        <f>CN11*(BM11/10000)^0.72*((AF11+1)/3)^0.6*('CAPEX+OPEX'!$G$116/'CAPEX+OPEX'!$G$114)</f>
        <v>927214.80686572916</v>
      </c>
      <c r="CZ11">
        <f>CO11*(BM11/10000)^0.72*((AF11+1)/3)^0.6*('CAPEX+OPEX'!$G$116/'CAPEX+OPEX'!$G$114)</f>
        <v>2384597.6461561932</v>
      </c>
      <c r="DA11">
        <f>CP11*(BM11/10000)^0.72*((AF11+1)/3)^0.6*('CAPEX+OPEX'!$G$116/'CAPEX+OPEX'!$G$114)</f>
        <v>459985.96946054435</v>
      </c>
      <c r="DB11">
        <f>CQ11*(BM11/10000)^0.72*((AF11+1)/3)^0.6*('CAPEX+OPEX'!$G$116/'CAPEX+OPEX'!$G$114)</f>
        <v>2847387.873761938</v>
      </c>
      <c r="DC11">
        <f>CR11*(BM11/10000)^0.72*((AF11+1)/3)^0.6*('CAPEX+OPEX'!$G$116/'CAPEX+OPEX'!$G$114)</f>
        <v>336178.3762261807</v>
      </c>
      <c r="DD11">
        <f t="shared" si="14"/>
        <v>6955364.6724705845</v>
      </c>
      <c r="DE11">
        <f>CX11+DD11+1.15*(SUM(CI11:CL11)+SUM(CB11:CE11))</f>
        <v>10523060.813987937</v>
      </c>
      <c r="DF11">
        <f t="shared" si="15"/>
        <v>701537.38759919582</v>
      </c>
      <c r="DG11">
        <f>(BS11+BT11)*'Oxidant Feed Composition'!$N$28*60*7200</f>
        <v>25897916.738085497</v>
      </c>
      <c r="DH11">
        <f>((CG11+CH11)*'Reagent cost'!$C$17/1000*'Reagent cost'!$H$17+(CG11+CH11)*0.5*'Reagent cost'!$C$16/1000*'Reagent cost'!$H$16*1.5)*60*7200</f>
        <v>11017843.247327933</v>
      </c>
      <c r="DI11">
        <f>CF11*'Reagent cost'!$C$17/1000*'Reagent cost'!$H$17*60*7200</f>
        <v>504921.59999999998</v>
      </c>
      <c r="DJ11">
        <f t="shared" si="16"/>
        <v>103.8573198614399</v>
      </c>
      <c r="DK11">
        <f t="shared" si="17"/>
        <v>1277.6819051164618</v>
      </c>
      <c r="DL11">
        <f t="shared" si="18"/>
        <v>44906475.749566086</v>
      </c>
      <c r="DM11">
        <f>BK11*(B11*(409.81+2)/1000+C11*(248.2+2*22.99)/1000+D11*(315.6+3*22.99)/1000+0.1*58.44/1000)</f>
        <v>0.70639694042110623</v>
      </c>
      <c r="DN11">
        <f>(BS11+BT11)/1000*('Oxidant Feed Composition'!$B$11*'Oxidant Feed Composition'!$O$20+'Oxidant Feed Composition'!$D$11*'Oxidant Feed Composition'!$O$21+'Oxidant Feed Composition'!$F$11*'Oxidant Feed Composition'!$O$27-'Oxidant Feed Composition'!$J$15*18.015)</f>
        <v>2.7202565115722632</v>
      </c>
      <c r="DO11">
        <f>(BU11+BV11)/1000*(0.2*368.34+0.4*58.44)</f>
        <v>1.8837009084494312</v>
      </c>
      <c r="DP11">
        <f>BK11/1000*(B11*195.08+C11*106.42+D11*102.91)</f>
        <v>4.999938342565946E-2</v>
      </c>
      <c r="DQ11">
        <f>SUM(DM11:DO11)-DP11</f>
        <v>5.2603549770171405</v>
      </c>
      <c r="DR11">
        <f>DQ11*60*7200*0.33</f>
        <v>749916.20552356355</v>
      </c>
      <c r="DS11">
        <v>1.2</v>
      </c>
      <c r="DT11">
        <f>BM11/60*(AM11*4+AN11*2+AO11*3)*96485/DV11</f>
        <v>1410.0876751654584</v>
      </c>
      <c r="DU11">
        <f>BN11*BA11*(AP11*4+AQ11*2+AR11*3)*96485/DV11/60</f>
        <v>712.11757706046228</v>
      </c>
      <c r="DV11">
        <v>0.7</v>
      </c>
      <c r="DW11">
        <f>0.499*((BK11/3.78541*15)^(-0.146))*BK11/3.78541*15*300*(1+(A11-2)/9)</f>
        <v>27520.276190787874</v>
      </c>
      <c r="DX11">
        <f>0.248*((BK11/3.78541*15)^(-0.144))*BK11/3.78541*15*300*(1+(A11-2)/3)</f>
        <v>16610.439588917834</v>
      </c>
      <c r="DY11">
        <f>0.105*((BK11/3.78541*15)^(-0.144))*BK11/3.78541*15*300*(1+(A11-2)/3)</f>
        <v>7032.645793695051</v>
      </c>
      <c r="DZ11">
        <f>0.058*((BK11/3.78541*15)^(-0.151))*BK11/3.78541*15*300*(1+(A11-2)/3)</f>
        <v>3725.3886787897172</v>
      </c>
      <c r="EA11">
        <f>0.056*((BK11/3.78541*15)^(-0.144))*BK11/3.78541*15*300*(1+(A11-2)/3)</f>
        <v>3750.7444233040283</v>
      </c>
      <c r="EB11">
        <f>DS11*DT11/(3.6*10^6)*3600*7200*0.07</f>
        <v>852.82102594006926</v>
      </c>
      <c r="EC11">
        <f>0.499*((BM11/3.78541*15)^(-0.146))*BM11/3.78541*15*300*(1+(AF11-2)/9)</f>
        <v>51582.09712771175</v>
      </c>
      <c r="ED11">
        <f>0.248*((BM11/3.78541*15)^(-0.144))*BM11/3.78541*15*300*(1+(AF11-2)/3)</f>
        <v>54475.26822533855</v>
      </c>
      <c r="EE11">
        <f>0.105*((BM11/3.78541*15)^(-0.144))*BM11/3.78541*15*300*(1+(AF11-2)/3)</f>
        <v>23064.125659921559</v>
      </c>
      <c r="EF11">
        <f>0.058*((BM11/3.78541*15)^(-0.151))*BM11/3.78541*15*300*(1+(AF11-2)/3)</f>
        <v>12224.211528782187</v>
      </c>
      <c r="EG11">
        <f>0.056*((BM11/3.78541*15)^(-0.144))*BM11/3.78541*15*300*(1+(AF11-2)/3)</f>
        <v>12300.867018624835</v>
      </c>
      <c r="EH11">
        <f>DS11*DU11/(3.6*10^6)*3600*7200*0.07</f>
        <v>430.6887106061676</v>
      </c>
      <c r="EI11">
        <f>SUM(DW11:EH11)</f>
        <v>213569.57397241963</v>
      </c>
      <c r="EJ11">
        <f>EI11+DR11+DL11</f>
        <v>45869961.52906207</v>
      </c>
      <c r="EK11">
        <f>EJ11+DF11</f>
        <v>46571498.916661263</v>
      </c>
      <c r="EL11">
        <f>EK11/(BK11*60*7200)</f>
        <v>1.0780439564041959</v>
      </c>
      <c r="EM11">
        <f>EK11/(BM11*(AM11*195.084/1000+AN11*106.42/1000+AO11*102.911/1000)*60*7200)</f>
        <v>3604.4299666904699</v>
      </c>
      <c r="EN11">
        <f>EK11/(BN11*BA11*(AP11*195.084/1000+AQ11*106.42/1000+AR11*102.911/1000)*60*7200)</f>
        <v>6560.4744999537661</v>
      </c>
    </row>
    <row r="12" spans="1:144">
      <c r="A12">
        <f>'Costing 100 Lmin Feed Orig'!A12</f>
        <v>4</v>
      </c>
      <c r="B12">
        <f>'Costing 100 Lmin Feed Orig'!B12</f>
        <v>1.54143585092054E-3</v>
      </c>
      <c r="C12">
        <f>'Costing 100 Lmin Feed Orig'!C12</f>
        <v>1.54143585092054E-3</v>
      </c>
      <c r="D12">
        <f>'Costing 100 Lmin Feed Orig'!D12</f>
        <v>3.4254130020456501E-4</v>
      </c>
      <c r="E12">
        <f>'Costing 100 Lmin Feed Orig'!E12</f>
        <v>0</v>
      </c>
      <c r="F12">
        <f>'Costing 100 Lmin Feed Orig'!F12</f>
        <v>0</v>
      </c>
      <c r="G12">
        <f>'Costing 100 Lmin Feed Orig'!G12</f>
        <v>0</v>
      </c>
      <c r="H12">
        <f>'Costing 100 Lmin Feed Orig'!H12</f>
        <v>1.7208960911287699E-5</v>
      </c>
      <c r="I12">
        <f>'Costing 100 Lmin Feed Orig'!I12</f>
        <v>2.8768784818324402E-7</v>
      </c>
      <c r="J12">
        <f>'Costing 100 Lmin Feed Orig'!J12</f>
        <v>3.3243632642994598E-4</v>
      </c>
      <c r="K12">
        <f>'Costing 100 Lmin Feed Orig'!K12</f>
        <v>0.10920586178936199</v>
      </c>
      <c r="L12">
        <f>'Costing 100 Lmin Feed Orig'!L12</f>
        <v>0.110418215553449</v>
      </c>
      <c r="M12">
        <f>'Costing 100 Lmin Feed Orig'!M12</f>
        <v>7.2398825703009801E-4</v>
      </c>
      <c r="N12">
        <f>'Costing 100 Lmin Feed Orig'!N12</f>
        <v>-2.168404344971E-18</v>
      </c>
      <c r="O12">
        <f>'Costing 100 Lmin Feed Orig'!O12</f>
        <v>2.3635607360183901E-17</v>
      </c>
      <c r="P12">
        <f>'Costing 100 Lmin Feed Orig'!P12</f>
        <v>-7.4538899358378406E-20</v>
      </c>
      <c r="Q12">
        <f>'Costing 100 Lmin Feed Orig'!Q12</f>
        <v>0.13957372480144001</v>
      </c>
      <c r="R12">
        <f>'Costing 100 Lmin Feed Orig'!R12</f>
        <v>97.0499984181222</v>
      </c>
      <c r="S12">
        <f>'Costing 100 Lmin Feed Orig'!S12</f>
        <v>500</v>
      </c>
      <c r="T12">
        <f>'Costing 100 Lmin Feed Orig'!T12</f>
        <v>95</v>
      </c>
      <c r="U12">
        <f>'Costing 100 Lmin Feed Orig'!U12</f>
        <v>1</v>
      </c>
      <c r="V12">
        <f>'Costing 100 Lmin Feed Orig'!V12</f>
        <v>0.1</v>
      </c>
      <c r="W12">
        <f>'Costing 100 Lmin Feed Orig'!W12</f>
        <v>71.646723007687299</v>
      </c>
      <c r="X12" t="str">
        <f>'Costing 100 Lmin Feed Orig'!X12</f>
        <v>ddFc</v>
      </c>
      <c r="Y12">
        <f>'Costing 100 Lmin Feed Orig'!Y12</f>
        <v>1</v>
      </c>
      <c r="Z12">
        <f>'Costing 100 Lmin Feed Orig'!Z12</f>
        <v>0.28318429382522198</v>
      </c>
      <c r="AA12">
        <f>'Costing 100 Lmin Feed Orig'!AA12</f>
        <v>0.56945642916197003</v>
      </c>
      <c r="AB12">
        <f>'Costing 100 Lmin Feed Orig'!AB12</f>
        <v>3.7698628972227502E-3</v>
      </c>
      <c r="AC12">
        <f>'Costing 100 Lmin Feed Orig'!AC12</f>
        <v>1822.2107908876901</v>
      </c>
      <c r="AD12">
        <f>'Costing 100 Lmin Feed Orig'!AD12</f>
        <v>2662.6059073104898</v>
      </c>
      <c r="AE12">
        <f>'Costing 100 Lmin Feed Orig'!AE12</f>
        <v>2401.5030938442701</v>
      </c>
      <c r="AF12">
        <f>'Costing 100 Lmin Feed Orig'!AF12</f>
        <v>4</v>
      </c>
      <c r="AG12">
        <f>'Costing 100 Lmin Feed Orig'!AG12</f>
        <v>1.6481650483119699E-3</v>
      </c>
      <c r="AH12">
        <f>'Costing 100 Lmin Feed Orig'!AH12</f>
        <v>1.6664622263884801E-3</v>
      </c>
      <c r="AI12">
        <f>'Costing 100 Lmin Feed Orig'!AI12</f>
        <v>1.0926630870116399E-5</v>
      </c>
      <c r="AJ12">
        <f>'Costing 100 Lmin Feed Orig'!AJ12</f>
        <v>0</v>
      </c>
      <c r="AK12">
        <f>'Costing 100 Lmin Feed Orig'!AK12</f>
        <v>0</v>
      </c>
      <c r="AL12">
        <f>'Costing 100 Lmin Feed Orig'!AL12</f>
        <v>0</v>
      </c>
      <c r="AM12">
        <f>'Costing 100 Lmin Feed Orig'!AM12</f>
        <v>1.6024673892141501E-3</v>
      </c>
      <c r="AN12">
        <f>'Costing 100 Lmin Feed Orig'!AN12</f>
        <v>7.3502024125801294E-5</v>
      </c>
      <c r="AO12">
        <f>'Costing 100 Lmin Feed Orig'!AO12</f>
        <v>1.0838364815948499E-5</v>
      </c>
      <c r="AP12">
        <f>'Costing 100 Lmin Feed Orig'!AP12</f>
        <v>2.0055299493415999E-3</v>
      </c>
      <c r="AQ12">
        <f>'Costing 100 Lmin Feed Orig'!AQ12</f>
        <v>6.9910132309146902E-2</v>
      </c>
      <c r="AR12">
        <f>'Costing 100 Lmin Feed Orig'!AR12</f>
        <v>3.8737261084868501E-6</v>
      </c>
      <c r="AS12">
        <f>'Costing 100 Lmin Feed Orig'!AS12</f>
        <v>-3.2526065174565099E-19</v>
      </c>
      <c r="AT12">
        <f>'Costing 100 Lmin Feed Orig'!AT12</f>
        <v>2.6020852139652099E-18</v>
      </c>
      <c r="AU12">
        <f>'Costing 100 Lmin Feed Orig'!AU12</f>
        <v>7.9409338805090598E-23</v>
      </c>
      <c r="AV12">
        <f>'Costing 100 Lmin Feed Orig'!AV12</f>
        <v>0.21072386371722801</v>
      </c>
      <c r="AW12">
        <f>'Costing 100 Lmin Feed Orig'!AW12</f>
        <v>99.192193319083202</v>
      </c>
      <c r="AX12">
        <f>'Costing 100 Lmin Feed Orig'!AX12</f>
        <v>500</v>
      </c>
      <c r="AY12">
        <f>'Costing 100 Lmin Feed Orig'!AY12</f>
        <v>95</v>
      </c>
      <c r="AZ12">
        <f>'Costing 100 Lmin Feed Orig'!AZ12</f>
        <v>0.92480233795174105</v>
      </c>
      <c r="BA12">
        <f>'Costing 100 Lmin Feed Orig'!BA12</f>
        <v>0.1</v>
      </c>
      <c r="BB12">
        <f>'Costing 100 Lmin Feed Orig'!BB12</f>
        <v>43.8869296356837</v>
      </c>
      <c r="BC12" t="str">
        <f>'Costing 100 Lmin Feed Orig'!BC12</f>
        <v>coeFc</v>
      </c>
      <c r="BD12">
        <f>'Costing 100 Lmin Feed Orig'!BD12</f>
        <v>1</v>
      </c>
      <c r="BE12">
        <f>'Costing 100 Lmin Feed Orig'!BE12</f>
        <v>1.8775014999999999E-2</v>
      </c>
      <c r="BF12">
        <f>'Costing 100 Lmin Feed Orig'!BF12</f>
        <v>0.10492961100000001</v>
      </c>
      <c r="BG12">
        <f>'Costing 100 Lmin Feed Orig'!BG12</f>
        <v>1.814625E-3</v>
      </c>
      <c r="BH12">
        <f>'Costing 100 Lmin Feed Orig'!BH12</f>
        <v>285.1951444</v>
      </c>
      <c r="BI12">
        <f>'Costing 100 Lmin Feed Orig'!BI12</f>
        <v>2169.8944889999998</v>
      </c>
      <c r="BJ12">
        <f>'Costing 100 Lmin Feed Orig'!BJ12</f>
        <v>866.49409060000005</v>
      </c>
      <c r="BK12">
        <f>'Costing 100 Lmin Feed Orig'!BK12</f>
        <v>100</v>
      </c>
      <c r="BL12">
        <f>'Costing 100 Lmin Feed Orig'!BL12</f>
        <v>13.957372480144</v>
      </c>
      <c r="BM12">
        <f>'Costing 100 Lmin Feed Orig'!BM12</f>
        <v>92.480233795174101</v>
      </c>
      <c r="BN12">
        <f>'Costing 100 Lmin Feed Orig'!BN12</f>
        <v>21.0723863717228</v>
      </c>
      <c r="BO12">
        <f t="shared" si="1"/>
        <v>167.488469761728</v>
      </c>
      <c r="BP12">
        <f t="shared" si="2"/>
        <v>252.8686364606736</v>
      </c>
      <c r="BQ12">
        <f t="shared" si="3"/>
        <v>16.7488469761728</v>
      </c>
      <c r="BR12">
        <f t="shared" si="4"/>
        <v>25.28686364606736</v>
      </c>
      <c r="BS12">
        <f>1.2*0.5*BL12*V12/'Oxidant Feed Composition'!$N$22</f>
        <v>8.3744234880863999</v>
      </c>
      <c r="BT12">
        <f>1.2*0.5*BN12*BA12/'Oxidant Feed Composition'!$N$22</f>
        <v>12.643431823033682</v>
      </c>
      <c r="BU12">
        <f t="shared" si="5"/>
        <v>6.9786862400720002</v>
      </c>
      <c r="BV12">
        <f t="shared" si="6"/>
        <v>10.5361931858614</v>
      </c>
      <c r="BW12">
        <f t="shared" si="7"/>
        <v>85.501547555102107</v>
      </c>
      <c r="BX12">
        <f t="shared" si="0"/>
        <v>44.663591936460804</v>
      </c>
      <c r="BY12">
        <f t="shared" si="8"/>
        <v>212.87521255063621</v>
      </c>
      <c r="BZ12">
        <f t="shared" si="9"/>
        <v>67.43163638951296</v>
      </c>
      <c r="CA12">
        <f t="shared" si="10"/>
        <v>63.2171591151684</v>
      </c>
      <c r="CB12">
        <f>BO12*'Reagent cost'!$G$11*'Reagent cost'!$H$11</f>
        <v>2210.8478008548095</v>
      </c>
      <c r="CC12">
        <f>BP12*'Reagent cost'!$G$11*'Reagent cost'!$H$11</f>
        <v>3337.8660012808914</v>
      </c>
      <c r="CD12">
        <f>BQ12*'Reagent cost'!$C$18/1000*'Reagent cost'!$H$18</f>
        <v>2671.1136977461792</v>
      </c>
      <c r="CE12">
        <f>BR12*'Ligand cost'!$B$56*'Ligand cost'!$J$56</f>
        <v>25745.25713173945</v>
      </c>
      <c r="CF12">
        <f t="shared" si="11"/>
        <v>10</v>
      </c>
      <c r="CG12">
        <f t="shared" si="12"/>
        <v>2.7914744960288003</v>
      </c>
      <c r="CH12">
        <f t="shared" si="12"/>
        <v>4.21447727434456</v>
      </c>
      <c r="CI12">
        <f>7963.6*(BX12/1000)^0.6*1.7*('CAPEX+OPEX'!$G$116/'CAPEX+OPEX'!$G$115)</f>
        <v>2472.9373618126128</v>
      </c>
      <c r="CJ12">
        <f>7963.6*(BY12/1000)^0.6*1.7*('CAPEX+OPEX'!$G$116/'CAPEX+OPEX'!$G$115)</f>
        <v>6311.2587327211604</v>
      </c>
      <c r="CK12">
        <f>7963.6*(BZ12/1000)^0.6*1.7*('CAPEX+OPEX'!$G$116/'CAPEX+OPEX'!$G$115)</f>
        <v>3166.3516645760283</v>
      </c>
      <c r="CL12">
        <f>7963.6*(CA12/1000)^0.6*1.7*('CAPEX+OPEX'!$G$116/'CAPEX+OPEX'!$G$115)</f>
        <v>3046.0842641577597</v>
      </c>
      <c r="CM12">
        <f>'Costing 100 Lmin Feed Orig'!DE12</f>
        <v>39625.826528698344</v>
      </c>
      <c r="CN12">
        <f>'Costing 100 Lmin Feed Orig'!DF12</f>
        <v>4586243.4239371875</v>
      </c>
      <c r="CO12">
        <f>'Costing 100 Lmin Feed Orig'!DG12</f>
        <v>11794834.586807497</v>
      </c>
      <c r="CP12">
        <f>'Costing 100 Lmin Feed Orig'!DH12</f>
        <v>2275209.1661185985</v>
      </c>
      <c r="CQ12">
        <f>'Costing 100 Lmin Feed Orig'!DI12</f>
        <v>14083914.336508472</v>
      </c>
      <c r="CR12">
        <f>'Costing 100 Lmin Feed Orig'!DJ12</f>
        <v>1662824.8986326549</v>
      </c>
      <c r="CS12">
        <f>CN12*(BK12/10000)^0.72*((A12+1)/3)^0.6*('CAPEX+OPEX'!$G$116/'CAPEX+OPEX'!$G$114)</f>
        <v>528015.95740622084</v>
      </c>
      <c r="CT12">
        <f>CO12*(BK12/10000)^0.72*((A12+1)/3)^0.6*('CAPEX+OPEX'!$G$116/'CAPEX+OPEX'!$G$114)</f>
        <v>1357943.8117688675</v>
      </c>
      <c r="CU12">
        <f>CP12*(BK12/10000)^0.72*((A12+1)/3)^0.6*('CAPEX+OPEX'!$G$116/'CAPEX+OPEX'!$G$114)</f>
        <v>261945.7004565605</v>
      </c>
      <c r="CV12">
        <f>CQ12*(BK12/10000)^0.72*((A12+1)/3)^0.6*('CAPEX+OPEX'!$G$116/'CAPEX+OPEX'!$G$114)</f>
        <v>1621486.4378120217</v>
      </c>
      <c r="CW12">
        <f>CR12*(BK12/10000)^0.72*((A12+1)/3)^0.6*('CAPEX+OPEX'!$G$116/'CAPEX+OPEX'!$G$114)</f>
        <v>191441.6658016555</v>
      </c>
      <c r="CX12">
        <f t="shared" si="13"/>
        <v>3960833.5732453261</v>
      </c>
      <c r="CY12">
        <f>CN12*(BM12/10000)^0.72*((AF12+1)/3)^0.6*('CAPEX+OPEX'!$G$116/'CAPEX+OPEX'!$G$114)</f>
        <v>499116.89330887963</v>
      </c>
      <c r="CZ12">
        <f>CO12*(BM12/10000)^0.72*((AF12+1)/3)^0.6*('CAPEX+OPEX'!$G$116/'CAPEX+OPEX'!$G$114)</f>
        <v>1283621.6161866134</v>
      </c>
      <c r="DA12">
        <f>CP12*(BM12/10000)^0.72*((AF12+1)/3)^0.6*('CAPEX+OPEX'!$G$116/'CAPEX+OPEX'!$G$114)</f>
        <v>247609.03982853101</v>
      </c>
      <c r="DB12">
        <f>CQ12*(BM12/10000)^0.72*((AF12+1)/3)^0.6*('CAPEX+OPEX'!$G$116/'CAPEX+OPEX'!$G$114)</f>
        <v>1532740.1795938283</v>
      </c>
      <c r="DC12">
        <f>CR12*(BM12/10000)^0.72*((AF12+1)/3)^0.6*('CAPEX+OPEX'!$G$116/'CAPEX+OPEX'!$G$114)</f>
        <v>180963.79123498313</v>
      </c>
      <c r="DD12">
        <f t="shared" si="14"/>
        <v>3744051.5201528352</v>
      </c>
      <c r="DE12">
        <f>CX12+DD12+1.15*(SUM(CI12:CL12)+SUM(CB12:CE12))</f>
        <v>7761191.0675512832</v>
      </c>
      <c r="DF12">
        <f t="shared" si="15"/>
        <v>517412.7378367522</v>
      </c>
      <c r="DG12">
        <f>(BS12+BT12)*'Oxidant Feed Composition'!$N$28*60*7200</f>
        <v>23368386.346027832</v>
      </c>
      <c r="DH12">
        <f>((CG12+CH12)*'Reagent cost'!$C$17/1000*'Reagent cost'!$H$17+(CG12+CH12)*0.5*'Reagent cost'!$C$16/1000*'Reagent cost'!$H$16*1.5)*60*7200</f>
        <v>9941696.0949951056</v>
      </c>
      <c r="DI12">
        <f>CF12*'Reagent cost'!$C$17/1000*'Reagent cost'!$H$17*60*7200</f>
        <v>504921.59999999998</v>
      </c>
      <c r="DJ12">
        <f t="shared" si="16"/>
        <v>55.487138021357005</v>
      </c>
      <c r="DK12">
        <f t="shared" si="17"/>
        <v>568.32741658971258</v>
      </c>
      <c r="DL12">
        <f t="shared" si="18"/>
        <v>40578753.42669306</v>
      </c>
      <c r="DM12">
        <f>BK12*(B12*(409.81+2)/1000+C12*(248.2+2*22.99)/1000+D12*(315.6+3*22.99)/1000+0.1*58.44/1000)</f>
        <v>0.70639694042110623</v>
      </c>
      <c r="DN12">
        <f>(BS12+BT12)/1000*('Oxidant Feed Composition'!$B$11*'Oxidant Feed Composition'!$O$20+'Oxidant Feed Composition'!$D$11*'Oxidant Feed Composition'!$O$21+'Oxidant Feed Composition'!$F$11*'Oxidant Feed Composition'!$O$27-'Oxidant Feed Composition'!$J$15*18.015)</f>
        <v>2.4545605642957149</v>
      </c>
      <c r="DO12">
        <f>(BU12+BV12)/1000*(0.2*368.34+0.4*58.44)</f>
        <v>1.6997139590102808</v>
      </c>
      <c r="DP12">
        <f>BK12/1000*(B12*195.08+C12*106.42+D12*102.91)</f>
        <v>4.999938342565946E-2</v>
      </c>
      <c r="DQ12">
        <f>SUM(DM12:DO12)-DP12</f>
        <v>4.8106720803014422</v>
      </c>
      <c r="DR12">
        <f>DQ12*60*7200*0.33</f>
        <v>685809.41176777356</v>
      </c>
      <c r="DS12">
        <v>1.2</v>
      </c>
      <c r="DT12">
        <f>BM12/60*(AM12*4+AN12*2+AO12*3)*96485/DV12</f>
        <v>1399.9243143059966</v>
      </c>
      <c r="DU12">
        <f>BN12*BA12*(AP12*4+AQ12*2+AR12*3)*96485/DV12/60</f>
        <v>715.74335746108125</v>
      </c>
      <c r="DV12">
        <v>0.7</v>
      </c>
      <c r="DW12">
        <f>0.499*((BK12/3.78541*15)^(-0.146))*BK12/3.78541*15*300*(1+(A12-2)/9)</f>
        <v>30272.303809866662</v>
      </c>
      <c r="DX12">
        <f>0.248*((BK12/3.78541*15)^(-0.144))*BK12/3.78541*15*300*(1+(A12-2)/3)</f>
        <v>20763.049486147294</v>
      </c>
      <c r="DY12">
        <f>0.105*((BK12/3.78541*15)^(-0.144))*BK12/3.78541*15*300*(1+(A12-2)/3)</f>
        <v>8790.8072421188135</v>
      </c>
      <c r="DZ12">
        <f>0.058*((BK12/3.78541*15)^(-0.151))*BK12/3.78541*15*300*(1+(A12-2)/3)</f>
        <v>4656.7358484871465</v>
      </c>
      <c r="EA12">
        <f>0.056*((BK12/3.78541*15)^(-0.144))*BK12/3.78541*15*300*(1+(A12-2)/3)</f>
        <v>4688.4305291300352</v>
      </c>
      <c r="EB12">
        <f>DS12*DT12/(3.6*10^6)*3600*7200*0.07</f>
        <v>846.6742252922669</v>
      </c>
      <c r="EC12">
        <f>0.499*((BM12/3.78541*15)^(-0.146))*BM12/3.78541*15*300*(1+(AF12-2)/9)</f>
        <v>28317.261416507248</v>
      </c>
      <c r="ED12">
        <f>0.248*((BM12/3.78541*15)^(-0.144))*BM12/3.78541*15*300*(1+(AF12-2)/3)</f>
        <v>19419.096223372169</v>
      </c>
      <c r="EE12">
        <f>0.105*((BM12/3.78541*15)^(-0.144))*BM12/3.78541*15*300*(1+(AF12-2)/3)</f>
        <v>8221.7947719922486</v>
      </c>
      <c r="EF12">
        <f>0.058*((BM12/3.78541*15)^(-0.151))*BM12/3.78541*15*300*(1+(AF12-2)/3)</f>
        <v>4357.6980650255673</v>
      </c>
      <c r="EG12">
        <f>0.056*((BM12/3.78541*15)^(-0.144))*BM12/3.78541*15*300*(1+(AF12-2)/3)</f>
        <v>4384.9572117292009</v>
      </c>
      <c r="EH12">
        <f>DS12*DU12/(3.6*10^6)*3600*7200*0.07</f>
        <v>432.88158259246194</v>
      </c>
      <c r="EI12">
        <f>SUM(DW12:EH12)</f>
        <v>135151.69041226112</v>
      </c>
      <c r="EJ12">
        <f>EI12+DR12+DL12</f>
        <v>41399714.528873093</v>
      </c>
      <c r="EK12">
        <f>EJ12+DF12</f>
        <v>41917127.266709849</v>
      </c>
      <c r="EL12">
        <f>EK12/(BK12*60*7200)</f>
        <v>0.9703038719145799</v>
      </c>
      <c r="EM12">
        <f>EK12/(BM12*(AM12*195.084/1000+AN12*106.42/1000+AO12*102.911/1000)*60*7200)</f>
        <v>3262.9166630160294</v>
      </c>
      <c r="EN12">
        <f>EK12/(BN12*BA12*(AP12*195.084/1000+AQ12*106.42/1000+AR12*102.911/1000)*60*7200)</f>
        <v>5879.6314517606361</v>
      </c>
    </row>
    <row r="13" spans="1:144">
      <c r="A13">
        <f>'Costing 100 Lmin Feed Orig'!A13</f>
        <v>4</v>
      </c>
      <c r="B13">
        <f>'Costing 100 Lmin Feed Orig'!B13</f>
        <v>1.54143585092054E-3</v>
      </c>
      <c r="C13">
        <f>'Costing 100 Lmin Feed Orig'!C13</f>
        <v>1.54143585092054E-3</v>
      </c>
      <c r="D13">
        <f>'Costing 100 Lmin Feed Orig'!D13</f>
        <v>3.4254130020456501E-4</v>
      </c>
      <c r="E13">
        <f>'Costing 100 Lmin Feed Orig'!E13</f>
        <v>0</v>
      </c>
      <c r="F13">
        <f>'Costing 100 Lmin Feed Orig'!F13</f>
        <v>0</v>
      </c>
      <c r="G13">
        <f>'Costing 100 Lmin Feed Orig'!G13</f>
        <v>0</v>
      </c>
      <c r="H13">
        <f>'Costing 100 Lmin Feed Orig'!H13</f>
        <v>1.7208960911287699E-5</v>
      </c>
      <c r="I13">
        <f>'Costing 100 Lmin Feed Orig'!I13</f>
        <v>2.8768784818324402E-7</v>
      </c>
      <c r="J13">
        <f>'Costing 100 Lmin Feed Orig'!J13</f>
        <v>3.3243632642994598E-4</v>
      </c>
      <c r="K13">
        <f>'Costing 100 Lmin Feed Orig'!K13</f>
        <v>0.10920586178936199</v>
      </c>
      <c r="L13">
        <f>'Costing 100 Lmin Feed Orig'!L13</f>
        <v>0.110418215553449</v>
      </c>
      <c r="M13">
        <f>'Costing 100 Lmin Feed Orig'!M13</f>
        <v>7.2398825703009801E-4</v>
      </c>
      <c r="N13">
        <f>'Costing 100 Lmin Feed Orig'!N13</f>
        <v>-2.168404344971E-18</v>
      </c>
      <c r="O13">
        <f>'Costing 100 Lmin Feed Orig'!O13</f>
        <v>2.3635607360183901E-17</v>
      </c>
      <c r="P13">
        <f>'Costing 100 Lmin Feed Orig'!P13</f>
        <v>-7.4538899358378406E-20</v>
      </c>
      <c r="Q13">
        <f>'Costing 100 Lmin Feed Orig'!Q13</f>
        <v>0.13957372480144001</v>
      </c>
      <c r="R13">
        <f>'Costing 100 Lmin Feed Orig'!R13</f>
        <v>97.0499984181222</v>
      </c>
      <c r="S13">
        <f>'Costing 100 Lmin Feed Orig'!S13</f>
        <v>500</v>
      </c>
      <c r="T13">
        <f>'Costing 100 Lmin Feed Orig'!T13</f>
        <v>95</v>
      </c>
      <c r="U13">
        <f>'Costing 100 Lmin Feed Orig'!U13</f>
        <v>1</v>
      </c>
      <c r="V13">
        <f>'Costing 100 Lmin Feed Orig'!V13</f>
        <v>0.1</v>
      </c>
      <c r="W13">
        <f>'Costing 100 Lmin Feed Orig'!W13</f>
        <v>71.646723007687299</v>
      </c>
      <c r="X13" t="str">
        <f>'Costing 100 Lmin Feed Orig'!X13</f>
        <v>ddFc</v>
      </c>
      <c r="Y13">
        <f>'Costing 100 Lmin Feed Orig'!Y13</f>
        <v>1</v>
      </c>
      <c r="Z13">
        <f>'Costing 100 Lmin Feed Orig'!Z13</f>
        <v>0.28318429382522198</v>
      </c>
      <c r="AA13">
        <f>'Costing 100 Lmin Feed Orig'!AA13</f>
        <v>0.56945642916197003</v>
      </c>
      <c r="AB13">
        <f>'Costing 100 Lmin Feed Orig'!AB13</f>
        <v>3.7698628972227502E-3</v>
      </c>
      <c r="AC13">
        <f>'Costing 100 Lmin Feed Orig'!AC13</f>
        <v>1822.2107908876901</v>
      </c>
      <c r="AD13">
        <f>'Costing 100 Lmin Feed Orig'!AD13</f>
        <v>2662.6059073104898</v>
      </c>
      <c r="AE13">
        <f>'Costing 100 Lmin Feed Orig'!AE13</f>
        <v>2401.5030938442701</v>
      </c>
      <c r="AF13">
        <f>'Costing 100 Lmin Feed Orig'!AF13</f>
        <v>5</v>
      </c>
      <c r="AG13">
        <f>'Costing 100 Lmin Feed Orig'!AG13</f>
        <v>1.6481650483119699E-3</v>
      </c>
      <c r="AH13">
        <f>'Costing 100 Lmin Feed Orig'!AH13</f>
        <v>1.6664622263884801E-3</v>
      </c>
      <c r="AI13">
        <f>'Costing 100 Lmin Feed Orig'!AI13</f>
        <v>1.0926630870116399E-5</v>
      </c>
      <c r="AJ13">
        <f>'Costing 100 Lmin Feed Orig'!AJ13</f>
        <v>0</v>
      </c>
      <c r="AK13">
        <f>'Costing 100 Lmin Feed Orig'!AK13</f>
        <v>0</v>
      </c>
      <c r="AL13">
        <f>'Costing 100 Lmin Feed Orig'!AL13</f>
        <v>0</v>
      </c>
      <c r="AM13">
        <f>'Costing 100 Lmin Feed Orig'!AM13</f>
        <v>1.6085253260061899E-3</v>
      </c>
      <c r="AN13">
        <f>'Costing 100 Lmin Feed Orig'!AN13</f>
        <v>7.3809557032336595E-5</v>
      </c>
      <c r="AO13">
        <f>'Costing 100 Lmin Feed Orig'!AO13</f>
        <v>1.08496706522018E-5</v>
      </c>
      <c r="AP13">
        <f>'Costing 100 Lmin Feed Orig'!AP13</f>
        <v>1.817766908322E-3</v>
      </c>
      <c r="AQ13">
        <f>'Costing 100 Lmin Feed Orig'!AQ13</f>
        <v>7.3034601414750294E-2</v>
      </c>
      <c r="AR13">
        <f>'Costing 100 Lmin Feed Orig'!AR13</f>
        <v>3.5291805604209299E-6</v>
      </c>
      <c r="AS13">
        <f>'Costing 100 Lmin Feed Orig'!AS13</f>
        <v>-2.4283418158244002E-16</v>
      </c>
      <c r="AT13">
        <f>'Costing 100 Lmin Feed Orig'!AT13</f>
        <v>-3.67848113080881E-15</v>
      </c>
      <c r="AU13">
        <f>'Costing 100 Lmin Feed Orig'!AU13</f>
        <v>-2.6574335231123502E-19</v>
      </c>
      <c r="AV13">
        <f>'Costing 100 Lmin Feed Orig'!AV13</f>
        <v>0.201670014436726</v>
      </c>
      <c r="AW13">
        <f>'Costing 100 Lmin Feed Orig'!AW13</f>
        <v>99.295663788504896</v>
      </c>
      <c r="AX13">
        <f>'Costing 100 Lmin Feed Orig'!AX13</f>
        <v>500</v>
      </c>
      <c r="AY13">
        <f>'Costing 100 Lmin Feed Orig'!AY13</f>
        <v>95</v>
      </c>
      <c r="AZ13">
        <f>'Costing 100 Lmin Feed Orig'!AZ13</f>
        <v>0.92480233795174105</v>
      </c>
      <c r="BA13">
        <f>'Costing 100 Lmin Feed Orig'!BA13</f>
        <v>0.1</v>
      </c>
      <c r="BB13">
        <f>'Costing 100 Lmin Feed Orig'!BB13</f>
        <v>45.857205918031703</v>
      </c>
      <c r="BC13" t="str">
        <f>'Costing 100 Lmin Feed Orig'!BC13</f>
        <v>coeFc</v>
      </c>
      <c r="BD13">
        <f>'Costing 100 Lmin Feed Orig'!BD13</f>
        <v>1</v>
      </c>
      <c r="BE13">
        <f>'Costing 100 Lmin Feed Orig'!BE13</f>
        <v>1.8775014999999999E-2</v>
      </c>
      <c r="BF13">
        <f>'Costing 100 Lmin Feed Orig'!BF13</f>
        <v>0.10492961100000001</v>
      </c>
      <c r="BG13">
        <f>'Costing 100 Lmin Feed Orig'!BG13</f>
        <v>1.814625E-3</v>
      </c>
      <c r="BH13">
        <f>'Costing 100 Lmin Feed Orig'!BH13</f>
        <v>285.1951444</v>
      </c>
      <c r="BI13">
        <f>'Costing 100 Lmin Feed Orig'!BI13</f>
        <v>2169.8944889999998</v>
      </c>
      <c r="BJ13">
        <f>'Costing 100 Lmin Feed Orig'!BJ13</f>
        <v>866.49409060000005</v>
      </c>
      <c r="BK13">
        <f>'Costing 100 Lmin Feed Orig'!BK13</f>
        <v>100</v>
      </c>
      <c r="BL13">
        <f>'Costing 100 Lmin Feed Orig'!BL13</f>
        <v>13.957372480144</v>
      </c>
      <c r="BM13">
        <f>'Costing 100 Lmin Feed Orig'!BM13</f>
        <v>92.480233795174101</v>
      </c>
      <c r="BN13">
        <f>'Costing 100 Lmin Feed Orig'!BN13</f>
        <v>20.1670014436726</v>
      </c>
      <c r="BO13">
        <f t="shared" si="1"/>
        <v>167.488469761728</v>
      </c>
      <c r="BP13">
        <f t="shared" si="2"/>
        <v>282.33802021141639</v>
      </c>
      <c r="BQ13">
        <f t="shared" si="3"/>
        <v>16.7488469761728</v>
      </c>
      <c r="BR13">
        <f t="shared" si="4"/>
        <v>28.233802021141642</v>
      </c>
      <c r="BS13">
        <f>1.2*0.5*BL13*V13/'Oxidant Feed Composition'!$N$22</f>
        <v>8.3744234880863999</v>
      </c>
      <c r="BT13">
        <f>1.2*0.5*BN13*BA13/'Oxidant Feed Composition'!$N$22</f>
        <v>12.10020086620356</v>
      </c>
      <c r="BU13">
        <f t="shared" si="5"/>
        <v>6.9786862400720002</v>
      </c>
      <c r="BV13">
        <f t="shared" si="6"/>
        <v>10.0835007218363</v>
      </c>
      <c r="BW13">
        <f t="shared" si="7"/>
        <v>85.501547555102107</v>
      </c>
      <c r="BX13">
        <f t="shared" si="0"/>
        <v>44.663591936460804</v>
      </c>
      <c r="BY13">
        <f t="shared" si="8"/>
        <v>212.87521255063621</v>
      </c>
      <c r="BZ13">
        <f t="shared" si="9"/>
        <v>64.534404619752323</v>
      </c>
      <c r="CA13">
        <f t="shared" si="10"/>
        <v>60.501004331017796</v>
      </c>
      <c r="CB13">
        <f>BO13*'Reagent cost'!$G$11*'Reagent cost'!$H$11</f>
        <v>2210.8478008548095</v>
      </c>
      <c r="CC13">
        <f>BP13*'Reagent cost'!$G$11*'Reagent cost'!$H$11</f>
        <v>3726.8618667906962</v>
      </c>
      <c r="CD13">
        <f>BQ13*'Reagent cost'!$C$18/1000*'Reagent cost'!$H$18</f>
        <v>2671.1136977461792</v>
      </c>
      <c r="CE13">
        <f>BR13*'Ligand cost'!$B$56*'Ligand cost'!$J$56</f>
        <v>28745.61681570829</v>
      </c>
      <c r="CF13">
        <f t="shared" si="11"/>
        <v>10</v>
      </c>
      <c r="CG13">
        <f t="shared" si="12"/>
        <v>2.7914744960288003</v>
      </c>
      <c r="CH13">
        <f t="shared" si="12"/>
        <v>4.0334002887345202</v>
      </c>
      <c r="CI13">
        <f>7963.6*(BX13/1000)^0.6*1.7*('CAPEX+OPEX'!$G$116/'CAPEX+OPEX'!$G$115)</f>
        <v>2472.9373618126128</v>
      </c>
      <c r="CJ13">
        <f>7963.6*(BY13/1000)^0.6*1.7*('CAPEX+OPEX'!$G$116/'CAPEX+OPEX'!$G$115)</f>
        <v>6311.2587327211604</v>
      </c>
      <c r="CK13">
        <f>7963.6*(BZ13/1000)^0.6*1.7*('CAPEX+OPEX'!$G$116/'CAPEX+OPEX'!$G$115)</f>
        <v>3084.0095376508261</v>
      </c>
      <c r="CL13">
        <f>7963.6*(CA13/1000)^0.6*1.7*('CAPEX+OPEX'!$G$116/'CAPEX+OPEX'!$G$115)</f>
        <v>2966.8697347325451</v>
      </c>
      <c r="CM13">
        <f>'Costing 100 Lmin Feed Orig'!DE13</f>
        <v>39625.826528698344</v>
      </c>
      <c r="CN13">
        <f>'Costing 100 Lmin Feed Orig'!DF13</f>
        <v>4586243.4239371875</v>
      </c>
      <c r="CO13">
        <f>'Costing 100 Lmin Feed Orig'!DG13</f>
        <v>11794834.586807497</v>
      </c>
      <c r="CP13">
        <f>'Costing 100 Lmin Feed Orig'!DH13</f>
        <v>2275209.1661185985</v>
      </c>
      <c r="CQ13">
        <f>'Costing 100 Lmin Feed Orig'!DI13</f>
        <v>14083914.336508472</v>
      </c>
      <c r="CR13">
        <f>'Costing 100 Lmin Feed Orig'!DJ13</f>
        <v>1662824.8986326549</v>
      </c>
      <c r="CS13">
        <f>CN13*(BK13/10000)^0.72*((A13+1)/3)^0.6*('CAPEX+OPEX'!$G$116/'CAPEX+OPEX'!$G$114)</f>
        <v>528015.95740622084</v>
      </c>
      <c r="CT13">
        <f>CO13*(BK13/10000)^0.72*((A13+1)/3)^0.6*('CAPEX+OPEX'!$G$116/'CAPEX+OPEX'!$G$114)</f>
        <v>1357943.8117688675</v>
      </c>
      <c r="CU13">
        <f>CP13*(BK13/10000)^0.72*((A13+1)/3)^0.6*('CAPEX+OPEX'!$G$116/'CAPEX+OPEX'!$G$114)</f>
        <v>261945.7004565605</v>
      </c>
      <c r="CV13">
        <f>CQ13*(BK13/10000)^0.72*((A13+1)/3)^0.6*('CAPEX+OPEX'!$G$116/'CAPEX+OPEX'!$G$114)</f>
        <v>1621486.4378120217</v>
      </c>
      <c r="CW13">
        <f>CR13*(BK13/10000)^0.72*((A13+1)/3)^0.6*('CAPEX+OPEX'!$G$116/'CAPEX+OPEX'!$G$114)</f>
        <v>191441.6658016555</v>
      </c>
      <c r="CX13">
        <f t="shared" si="13"/>
        <v>3960833.5732453261</v>
      </c>
      <c r="CY13">
        <f>CN13*(BM13/10000)^0.72*((AF13+1)/3)^0.6*('CAPEX+OPEX'!$G$116/'CAPEX+OPEX'!$G$114)</f>
        <v>556815.11649124604</v>
      </c>
      <c r="CZ13">
        <f>CO13*(BM13/10000)^0.72*((AF13+1)/3)^0.6*('CAPEX+OPEX'!$G$116/'CAPEX+OPEX'!$G$114)</f>
        <v>1432009.0730836319</v>
      </c>
      <c r="DA13">
        <f>CP13*(BM13/10000)^0.72*((AF13+1)/3)^0.6*('CAPEX+OPEX'!$G$116/'CAPEX+OPEX'!$G$114)</f>
        <v>276232.79877863475</v>
      </c>
      <c r="DB13">
        <f>CQ13*(BM13/10000)^0.72*((AF13+1)/3)^0.6*('CAPEX+OPEX'!$G$116/'CAPEX+OPEX'!$G$114)</f>
        <v>1709925.8973051622</v>
      </c>
      <c r="DC13">
        <f>CR13*(BM13/10000)^0.72*((AF13+1)/3)^0.6*('CAPEX+OPEX'!$G$116/'CAPEX+OPEX'!$G$114)</f>
        <v>201883.31801233388</v>
      </c>
      <c r="DD13">
        <f t="shared" si="14"/>
        <v>4176866.2036710088</v>
      </c>
      <c r="DE13">
        <f>CX13+DD13+1.15*(SUM(CI13:CL13)+SUM(CB13:CE13))</f>
        <v>8197717.7197965542</v>
      </c>
      <c r="DF13">
        <f t="shared" si="15"/>
        <v>546514.51465310366</v>
      </c>
      <c r="DG13">
        <f>(BS13+BT13)*'Oxidant Feed Composition'!$N$28*60*7200</f>
        <v>22764403.176174518</v>
      </c>
      <c r="DH13">
        <f>((CG13+CH13)*'Reagent cost'!$C$17/1000*'Reagent cost'!$H$17+(CG13+CH13)*0.5*'Reagent cost'!$C$16/1000*'Reagent cost'!$H$16*1.5)*60*7200</f>
        <v>9684741.377101453</v>
      </c>
      <c r="DI13">
        <f>CF13*'Reagent cost'!$C$17/1000*'Reagent cost'!$H$17*60*7200</f>
        <v>504921.59999999998</v>
      </c>
      <c r="DJ13">
        <f t="shared" si="16"/>
        <v>59.377096676455061</v>
      </c>
      <c r="DK13">
        <f t="shared" si="17"/>
        <v>628.33461026908935</v>
      </c>
      <c r="DL13">
        <f t="shared" si="18"/>
        <v>39545704.6379795</v>
      </c>
      <c r="DM13">
        <f>BK13*(B13*(409.81+2)/1000+C13*(248.2+2*22.99)/1000+D13*(315.6+3*22.99)/1000+0.1*58.44/1000)</f>
        <v>0.70639694042110623</v>
      </c>
      <c r="DN13">
        <f>(BS13+BT13)/1000*('Oxidant Feed Composition'!$B$11*'Oxidant Feed Composition'!$O$20+'Oxidant Feed Composition'!$D$11*'Oxidant Feed Composition'!$O$21+'Oxidant Feed Composition'!$F$11*'Oxidant Feed Composition'!$O$27-'Oxidant Feed Composition'!$J$15*18.015)</f>
        <v>2.3911195868885495</v>
      </c>
      <c r="DO13">
        <f>(BU13+BV13)/1000*(0.2*368.34+0.4*58.44)</f>
        <v>1.6557828715314289</v>
      </c>
      <c r="DP13">
        <f>BK13/1000*(B13*195.08+C13*106.42+D13*102.91)</f>
        <v>4.999938342565946E-2</v>
      </c>
      <c r="DQ13">
        <f>SUM(DM13:DO13)-DP13</f>
        <v>4.703300015415425</v>
      </c>
      <c r="DR13">
        <f>DQ13*60*7200*0.33</f>
        <v>670502.45019762299</v>
      </c>
      <c r="DS13">
        <v>1.2</v>
      </c>
      <c r="DT13">
        <f>BM13/60*(AM13*4+AN13*2+AO13*3)*96485/DV13</f>
        <v>1405.210258292421</v>
      </c>
      <c r="DU13">
        <f>BN13*BA13*(AP13*4+AQ13*2+AR13*3)*96485/DV13/60</f>
        <v>710.45741347657167</v>
      </c>
      <c r="DV13">
        <v>0.7</v>
      </c>
      <c r="DW13">
        <f>0.499*((BK13/3.78541*15)^(-0.146))*BK13/3.78541*15*300*(1+(A13-2)/9)</f>
        <v>30272.303809866662</v>
      </c>
      <c r="DX13">
        <f>0.248*((BK13/3.78541*15)^(-0.144))*BK13/3.78541*15*300*(1+(A13-2)/3)</f>
        <v>20763.049486147294</v>
      </c>
      <c r="DY13">
        <f>0.105*((BK13/3.78541*15)^(-0.144))*BK13/3.78541*15*300*(1+(A13-2)/3)</f>
        <v>8790.8072421188135</v>
      </c>
      <c r="DZ13">
        <f>0.058*((BK13/3.78541*15)^(-0.151))*BK13/3.78541*15*300*(1+(A13-2)/3)</f>
        <v>4656.7358484871465</v>
      </c>
      <c r="EA13">
        <f>0.056*((BK13/3.78541*15)^(-0.144))*BK13/3.78541*15*300*(1+(A13-2)/3)</f>
        <v>4688.4305291300352</v>
      </c>
      <c r="EB13">
        <f>DS13*DT13/(3.6*10^6)*3600*7200*0.07</f>
        <v>849.87116421525627</v>
      </c>
      <c r="EC13">
        <f>0.499*((BM13/3.78541*15)^(-0.146))*BM13/3.78541*15*300*(1+(AF13-2)/9)</f>
        <v>30891.557908916995</v>
      </c>
      <c r="ED13">
        <f>0.248*((BM13/3.78541*15)^(-0.144))*BM13/3.78541*15*300*(1+(AF13-2)/3)</f>
        <v>23302.915468046605</v>
      </c>
      <c r="EE13">
        <f>0.105*((BM13/3.78541*15)^(-0.144))*BM13/3.78541*15*300*(1+(AF13-2)/3)</f>
        <v>9866.1537263906994</v>
      </c>
      <c r="EF13">
        <f>0.058*((BM13/3.78541*15)^(-0.151))*BM13/3.78541*15*300*(1+(AF13-2)/3)</f>
        <v>5229.2376780306813</v>
      </c>
      <c r="EG13">
        <f>0.056*((BM13/3.78541*15)^(-0.144))*BM13/3.78541*15*300*(1+(AF13-2)/3)</f>
        <v>5261.9486540750413</v>
      </c>
      <c r="EH13">
        <f>DS13*DU13/(3.6*10^6)*3600*7200*0.07</f>
        <v>429.68464367063052</v>
      </c>
      <c r="EI13">
        <f>SUM(DW13:EH13)</f>
        <v>145002.69615909585</v>
      </c>
      <c r="EJ13">
        <f>EI13+DR13+DL13</f>
        <v>40361209.784336217</v>
      </c>
      <c r="EK13">
        <f>EJ13+DF13</f>
        <v>40907724.298989318</v>
      </c>
      <c r="EL13">
        <f>EK13/(BK13*60*7200)</f>
        <v>0.94693806247660461</v>
      </c>
      <c r="EM13">
        <f>EK13/(BM13*(AM13*195.084/1000+AN13*106.42/1000+AO13*102.911/1000)*60*7200)</f>
        <v>3172.3489158665138</v>
      </c>
      <c r="EN13">
        <f>EK13/(BN13*BA13*(AP13*195.084/1000+AQ13*106.42/1000+AR13*102.911/1000)*60*7200)</f>
        <v>5777.4040215010846</v>
      </c>
    </row>
    <row r="14" spans="1:144">
      <c r="A14">
        <f>'Costing 100 Lmin Feed Orig'!A14</f>
        <v>4</v>
      </c>
      <c r="B14">
        <f>'Costing 100 Lmin Feed Orig'!B14</f>
        <v>1.54143585092054E-3</v>
      </c>
      <c r="C14">
        <f>'Costing 100 Lmin Feed Orig'!C14</f>
        <v>1.54143585092054E-3</v>
      </c>
      <c r="D14">
        <f>'Costing 100 Lmin Feed Orig'!D14</f>
        <v>3.4254130020456501E-4</v>
      </c>
      <c r="E14">
        <f>'Costing 100 Lmin Feed Orig'!E14</f>
        <v>0</v>
      </c>
      <c r="F14">
        <f>'Costing 100 Lmin Feed Orig'!F14</f>
        <v>0</v>
      </c>
      <c r="G14">
        <f>'Costing 100 Lmin Feed Orig'!G14</f>
        <v>0</v>
      </c>
      <c r="H14">
        <f>'Costing 100 Lmin Feed Orig'!H14</f>
        <v>1.7208960911287699E-5</v>
      </c>
      <c r="I14">
        <f>'Costing 100 Lmin Feed Orig'!I14</f>
        <v>2.8768784818324402E-7</v>
      </c>
      <c r="J14">
        <f>'Costing 100 Lmin Feed Orig'!J14</f>
        <v>3.3243632642994598E-4</v>
      </c>
      <c r="K14">
        <f>'Costing 100 Lmin Feed Orig'!K14</f>
        <v>0.10920586178936199</v>
      </c>
      <c r="L14">
        <f>'Costing 100 Lmin Feed Orig'!L14</f>
        <v>0.110418215553449</v>
      </c>
      <c r="M14">
        <f>'Costing 100 Lmin Feed Orig'!M14</f>
        <v>7.2398825703009801E-4</v>
      </c>
      <c r="N14">
        <f>'Costing 100 Lmin Feed Orig'!N14</f>
        <v>-2.168404344971E-18</v>
      </c>
      <c r="O14">
        <f>'Costing 100 Lmin Feed Orig'!O14</f>
        <v>2.3635607360183901E-17</v>
      </c>
      <c r="P14">
        <f>'Costing 100 Lmin Feed Orig'!P14</f>
        <v>-7.4538899358378406E-20</v>
      </c>
      <c r="Q14">
        <f>'Costing 100 Lmin Feed Orig'!Q14</f>
        <v>0.13957372480144001</v>
      </c>
      <c r="R14">
        <f>'Costing 100 Lmin Feed Orig'!R14</f>
        <v>97.0499984181222</v>
      </c>
      <c r="S14">
        <f>'Costing 100 Lmin Feed Orig'!S14</f>
        <v>500</v>
      </c>
      <c r="T14">
        <f>'Costing 100 Lmin Feed Orig'!T14</f>
        <v>95</v>
      </c>
      <c r="U14">
        <f>'Costing 100 Lmin Feed Orig'!U14</f>
        <v>1</v>
      </c>
      <c r="V14">
        <f>'Costing 100 Lmin Feed Orig'!V14</f>
        <v>0.1</v>
      </c>
      <c r="W14">
        <f>'Costing 100 Lmin Feed Orig'!W14</f>
        <v>71.646723007687299</v>
      </c>
      <c r="X14" t="str">
        <f>'Costing 100 Lmin Feed Orig'!X14</f>
        <v>ddFc</v>
      </c>
      <c r="Y14">
        <f>'Costing 100 Lmin Feed Orig'!Y14</f>
        <v>1</v>
      </c>
      <c r="Z14">
        <f>'Costing 100 Lmin Feed Orig'!Z14</f>
        <v>0.28318429382522198</v>
      </c>
      <c r="AA14">
        <f>'Costing 100 Lmin Feed Orig'!AA14</f>
        <v>0.56945642916197003</v>
      </c>
      <c r="AB14">
        <f>'Costing 100 Lmin Feed Orig'!AB14</f>
        <v>3.7698628972227502E-3</v>
      </c>
      <c r="AC14">
        <f>'Costing 100 Lmin Feed Orig'!AC14</f>
        <v>1822.2107908876901</v>
      </c>
      <c r="AD14">
        <f>'Costing 100 Lmin Feed Orig'!AD14</f>
        <v>2662.6059073104898</v>
      </c>
      <c r="AE14">
        <f>'Costing 100 Lmin Feed Orig'!AE14</f>
        <v>2401.5030938442701</v>
      </c>
      <c r="AF14">
        <f>'Costing 100 Lmin Feed Orig'!AF14</f>
        <v>6</v>
      </c>
      <c r="AG14">
        <f>'Costing 100 Lmin Feed Orig'!AG14</f>
        <v>1.6481650483119699E-3</v>
      </c>
      <c r="AH14">
        <f>'Costing 100 Lmin Feed Orig'!AH14</f>
        <v>1.6664622263884801E-3</v>
      </c>
      <c r="AI14">
        <f>'Costing 100 Lmin Feed Orig'!AI14</f>
        <v>1.0926630870116399E-5</v>
      </c>
      <c r="AJ14">
        <f>'Costing 100 Lmin Feed Orig'!AJ14</f>
        <v>0</v>
      </c>
      <c r="AK14">
        <f>'Costing 100 Lmin Feed Orig'!AK14</f>
        <v>0</v>
      </c>
      <c r="AL14">
        <f>'Costing 100 Lmin Feed Orig'!AL14</f>
        <v>0</v>
      </c>
      <c r="AM14">
        <f>'Costing 100 Lmin Feed Orig'!AM14</f>
        <v>1.61036674463848E-3</v>
      </c>
      <c r="AN14">
        <f>'Costing 100 Lmin Feed Orig'!AN14</f>
        <v>7.3903037307057197E-5</v>
      </c>
      <c r="AO14">
        <f>'Costing 100 Lmin Feed Orig'!AO14</f>
        <v>1.0853107147603801E-5</v>
      </c>
      <c r="AP14">
        <f>'Costing 100 Lmin Feed Orig'!AP14</f>
        <v>1.75730512408255E-3</v>
      </c>
      <c r="AQ14">
        <f>'Costing 100 Lmin Feed Orig'!AQ14</f>
        <v>7.4040688374865299E-2</v>
      </c>
      <c r="AR14">
        <f>'Costing 100 Lmin Feed Orig'!AR14</f>
        <v>3.41823843284434E-6</v>
      </c>
      <c r="AS14">
        <f>'Costing 100 Lmin Feed Orig'!AS14</f>
        <v>-3.20923843055709E-17</v>
      </c>
      <c r="AT14">
        <f>'Costing 100 Lmin Feed Orig'!AT14</f>
        <v>-6.4501355645507598E-15</v>
      </c>
      <c r="AU14">
        <f>'Costing 100 Lmin Feed Orig'!AU14</f>
        <v>-2.57948002218536E-20</v>
      </c>
      <c r="AV14">
        <f>'Costing 100 Lmin Feed Orig'!AV14</f>
        <v>0.19891798600503799</v>
      </c>
      <c r="AW14">
        <f>'Costing 100 Lmin Feed Orig'!AW14</f>
        <v>99.327114429080396</v>
      </c>
      <c r="AX14">
        <f>'Costing 100 Lmin Feed Orig'!AX14</f>
        <v>500</v>
      </c>
      <c r="AY14">
        <f>'Costing 100 Lmin Feed Orig'!AY14</f>
        <v>95</v>
      </c>
      <c r="AZ14">
        <f>'Costing 100 Lmin Feed Orig'!AZ14</f>
        <v>0.92480233795174105</v>
      </c>
      <c r="BA14">
        <f>'Costing 100 Lmin Feed Orig'!BA14</f>
        <v>0.1</v>
      </c>
      <c r="BB14">
        <f>'Costing 100 Lmin Feed Orig'!BB14</f>
        <v>46.491639922813</v>
      </c>
      <c r="BC14" t="str">
        <f>'Costing 100 Lmin Feed Orig'!BC14</f>
        <v>coeFc</v>
      </c>
      <c r="BD14">
        <f>'Costing 100 Lmin Feed Orig'!BD14</f>
        <v>1</v>
      </c>
      <c r="BE14">
        <f>'Costing 100 Lmin Feed Orig'!BE14</f>
        <v>1.8775014999999999E-2</v>
      </c>
      <c r="BF14">
        <f>'Costing 100 Lmin Feed Orig'!BF14</f>
        <v>0.10492961100000001</v>
      </c>
      <c r="BG14">
        <f>'Costing 100 Lmin Feed Orig'!BG14</f>
        <v>1.814625E-3</v>
      </c>
      <c r="BH14">
        <f>'Costing 100 Lmin Feed Orig'!BH14</f>
        <v>285.1951444</v>
      </c>
      <c r="BI14">
        <f>'Costing 100 Lmin Feed Orig'!BI14</f>
        <v>2169.8944889999998</v>
      </c>
      <c r="BJ14">
        <f>'Costing 100 Lmin Feed Orig'!BJ14</f>
        <v>866.49409060000005</v>
      </c>
      <c r="BK14">
        <f>'Costing 100 Lmin Feed Orig'!BK14</f>
        <v>100</v>
      </c>
      <c r="BL14">
        <f>'Costing 100 Lmin Feed Orig'!BL14</f>
        <v>13.957372480144</v>
      </c>
      <c r="BM14">
        <f>'Costing 100 Lmin Feed Orig'!BM14</f>
        <v>92.480233795174101</v>
      </c>
      <c r="BN14">
        <f>'Costing 100 Lmin Feed Orig'!BN14</f>
        <v>19.891798600503797</v>
      </c>
      <c r="BO14">
        <f t="shared" si="1"/>
        <v>167.488469761728</v>
      </c>
      <c r="BP14">
        <f t="shared" si="2"/>
        <v>318.26877760806076</v>
      </c>
      <c r="BQ14">
        <f t="shared" si="3"/>
        <v>16.7488469761728</v>
      </c>
      <c r="BR14">
        <f t="shared" si="4"/>
        <v>31.826877760806077</v>
      </c>
      <c r="BS14">
        <f>1.2*0.5*BL14*V14/'Oxidant Feed Composition'!$N$22</f>
        <v>8.3744234880863999</v>
      </c>
      <c r="BT14">
        <f>1.2*0.5*BN14*BA14/'Oxidant Feed Composition'!$N$22</f>
        <v>11.935079160302276</v>
      </c>
      <c r="BU14">
        <f t="shared" si="5"/>
        <v>6.9786862400720002</v>
      </c>
      <c r="BV14">
        <f t="shared" si="6"/>
        <v>9.9458993002518987</v>
      </c>
      <c r="BW14">
        <f t="shared" si="7"/>
        <v>85.501547555102107</v>
      </c>
      <c r="BX14">
        <f t="shared" si="0"/>
        <v>44.663591936460804</v>
      </c>
      <c r="BY14">
        <f t="shared" si="8"/>
        <v>212.87521255063621</v>
      </c>
      <c r="BZ14">
        <f t="shared" si="9"/>
        <v>63.653755521612148</v>
      </c>
      <c r="CA14">
        <f t="shared" si="10"/>
        <v>59.675395801511392</v>
      </c>
      <c r="CB14">
        <f>BO14*'Reagent cost'!$G$11*'Reagent cost'!$H$11</f>
        <v>2210.8478008548095</v>
      </c>
      <c r="CC14">
        <f>BP14*'Reagent cost'!$G$11*'Reagent cost'!$H$11</f>
        <v>4201.1478644264016</v>
      </c>
      <c r="CD14">
        <f>BQ14*'Reagent cost'!$C$18/1000*'Reagent cost'!$H$18</f>
        <v>2671.1136977461792</v>
      </c>
      <c r="CE14">
        <f>BR14*'Ligand cost'!$B$56*'Ligand cost'!$J$56</f>
        <v>32403.826869206256</v>
      </c>
      <c r="CF14">
        <f t="shared" si="11"/>
        <v>10</v>
      </c>
      <c r="CG14">
        <f t="shared" si="12"/>
        <v>2.7914744960288003</v>
      </c>
      <c r="CH14">
        <f t="shared" si="12"/>
        <v>3.9783597201007597</v>
      </c>
      <c r="CI14">
        <f>7963.6*(BX14/1000)^0.6*1.7*('CAPEX+OPEX'!$G$116/'CAPEX+OPEX'!$G$115)</f>
        <v>2472.9373618126128</v>
      </c>
      <c r="CJ14">
        <f>7963.6*(BY14/1000)^0.6*1.7*('CAPEX+OPEX'!$G$116/'CAPEX+OPEX'!$G$115)</f>
        <v>6311.2587327211604</v>
      </c>
      <c r="CK14">
        <f>7963.6*(BZ14/1000)^0.6*1.7*('CAPEX+OPEX'!$G$116/'CAPEX+OPEX'!$G$115)</f>
        <v>3058.6891810035263</v>
      </c>
      <c r="CL14">
        <f>7963.6*(CA14/1000)^0.6*1.7*('CAPEX+OPEX'!$G$116/'CAPEX+OPEX'!$G$115)</f>
        <v>2942.5111201133659</v>
      </c>
      <c r="CM14">
        <f>'Costing 100 Lmin Feed Orig'!DE14</f>
        <v>39625.826528698344</v>
      </c>
      <c r="CN14">
        <f>'Costing 100 Lmin Feed Orig'!DF14</f>
        <v>4586243.4239371875</v>
      </c>
      <c r="CO14">
        <f>'Costing 100 Lmin Feed Orig'!DG14</f>
        <v>11794834.586807497</v>
      </c>
      <c r="CP14">
        <f>'Costing 100 Lmin Feed Orig'!DH14</f>
        <v>2275209.1661185985</v>
      </c>
      <c r="CQ14">
        <f>'Costing 100 Lmin Feed Orig'!DI14</f>
        <v>14083914.336508472</v>
      </c>
      <c r="CR14">
        <f>'Costing 100 Lmin Feed Orig'!DJ14</f>
        <v>1662824.8986326549</v>
      </c>
      <c r="CS14">
        <f>CN14*(BK14/10000)^0.72*((A14+1)/3)^0.6*('CAPEX+OPEX'!$G$116/'CAPEX+OPEX'!$G$114)</f>
        <v>528015.95740622084</v>
      </c>
      <c r="CT14">
        <f>CO14*(BK14/10000)^0.72*((A14+1)/3)^0.6*('CAPEX+OPEX'!$G$116/'CAPEX+OPEX'!$G$114)</f>
        <v>1357943.8117688675</v>
      </c>
      <c r="CU14">
        <f>CP14*(BK14/10000)^0.72*((A14+1)/3)^0.6*('CAPEX+OPEX'!$G$116/'CAPEX+OPEX'!$G$114)</f>
        <v>261945.7004565605</v>
      </c>
      <c r="CV14">
        <f>CQ14*(BK14/10000)^0.72*((A14+1)/3)^0.6*('CAPEX+OPEX'!$G$116/'CAPEX+OPEX'!$G$114)</f>
        <v>1621486.4378120217</v>
      </c>
      <c r="CW14">
        <f>CR14*(BK14/10000)^0.72*((A14+1)/3)^0.6*('CAPEX+OPEX'!$G$116/'CAPEX+OPEX'!$G$114)</f>
        <v>191441.6658016555</v>
      </c>
      <c r="CX14">
        <f t="shared" si="13"/>
        <v>3960833.5732453261</v>
      </c>
      <c r="CY14">
        <f>CN14*(BM14/10000)^0.72*((AF14+1)/3)^0.6*('CAPEX+OPEX'!$G$116/'CAPEX+OPEX'!$G$114)</f>
        <v>610771.96008263668</v>
      </c>
      <c r="CZ14">
        <f>CO14*(BM14/10000)^0.72*((AF14+1)/3)^0.6*('CAPEX+OPEX'!$G$116/'CAPEX+OPEX'!$G$114)</f>
        <v>1570774.5039949177</v>
      </c>
      <c r="DA14">
        <f>CP14*(BM14/10000)^0.72*((AF14+1)/3)^0.6*('CAPEX+OPEX'!$G$116/'CAPEX+OPEX'!$G$114)</f>
        <v>303000.48068431305</v>
      </c>
      <c r="DB14">
        <f>CQ14*(BM14/10000)^0.72*((AF14+1)/3)^0.6*('CAPEX+OPEX'!$G$116/'CAPEX+OPEX'!$G$114)</f>
        <v>1875622.1965995319</v>
      </c>
      <c r="DC14">
        <f>CR14*(BM14/10000)^0.72*((AF14+1)/3)^0.6*('CAPEX+OPEX'!$G$116/'CAPEX+OPEX'!$G$114)</f>
        <v>221446.34044309024</v>
      </c>
      <c r="DD14">
        <f t="shared" si="14"/>
        <v>4581615.4818044901</v>
      </c>
      <c r="DE14">
        <f>CX14+DD14+1.15*(SUM(CI14:CL14)+SUM(CB14:CE14))</f>
        <v>8607162.2375718839</v>
      </c>
      <c r="DF14">
        <f t="shared" si="15"/>
        <v>573810.81583812565</v>
      </c>
      <c r="DG14">
        <f>(BS14+BT14)*'Oxidant Feed Composition'!$N$28*60*7200</f>
        <v>22580815.090687279</v>
      </c>
      <c r="DH14">
        <f>((CG14+CH14)*'Reagent cost'!$C$17/1000*'Reagent cost'!$H$17+(CG14+CH14)*0.5*'Reagent cost'!$C$16/1000*'Reagent cost'!$H$16*1.5)*60*7200</f>
        <v>9606636.841959415</v>
      </c>
      <c r="DI14">
        <f>CF14*'Reagent cost'!$C$17/1000*'Reagent cost'!$H$17*60*7200</f>
        <v>504921.59999999998</v>
      </c>
      <c r="DJ14">
        <f t="shared" si="16"/>
        <v>64.119956652812107</v>
      </c>
      <c r="DK14">
        <f t="shared" si="17"/>
        <v>701.49881133904876</v>
      </c>
      <c r="DL14">
        <f t="shared" si="18"/>
        <v>39231766.981697619</v>
      </c>
      <c r="DM14">
        <f>BK14*(B14*(409.81+2)/1000+C14*(248.2+2*22.99)/1000+D14*(315.6+3*22.99)/1000+0.1*58.44/1000)</f>
        <v>0.70639694042110623</v>
      </c>
      <c r="DN14">
        <f>(BS14+BT14)/1000*('Oxidant Feed Composition'!$B$11*'Oxidant Feed Composition'!$O$20+'Oxidant Feed Composition'!$D$11*'Oxidant Feed Composition'!$O$21+'Oxidant Feed Composition'!$F$11*'Oxidant Feed Composition'!$O$27-'Oxidant Feed Composition'!$J$15*18.015)</f>
        <v>2.3718359244208527</v>
      </c>
      <c r="DO14">
        <f>(BU14+BV14)/1000*(0.2*368.34+0.4*58.44)</f>
        <v>1.6424294791751923</v>
      </c>
      <c r="DP14">
        <f>BK14/1000*(B14*195.08+C14*106.42+D14*102.91)</f>
        <v>4.999938342565946E-2</v>
      </c>
      <c r="DQ14">
        <f>SUM(DM14:DO14)-DP14</f>
        <v>4.6706629605914918</v>
      </c>
      <c r="DR14">
        <f>DQ14*60*7200*0.33</f>
        <v>665849.71166192309</v>
      </c>
      <c r="DS14">
        <v>1.2</v>
      </c>
      <c r="DT14">
        <f>BM14/60*(AM14*4+AN14*2+AO14*3)*96485/DV14</f>
        <v>1406.8170158334865</v>
      </c>
      <c r="DU14">
        <f>BN14*BA14*(AP14*4+AQ14*2+AR14*3)*96485/DV14/60</f>
        <v>708.85065593658192</v>
      </c>
      <c r="DV14">
        <v>0.7</v>
      </c>
      <c r="DW14">
        <f>0.499*((BK14/3.78541*15)^(-0.146))*BK14/3.78541*15*300*(1+(A14-2)/9)</f>
        <v>30272.303809866662</v>
      </c>
      <c r="DX14">
        <f>0.248*((BK14/3.78541*15)^(-0.144))*BK14/3.78541*15*300*(1+(A14-2)/3)</f>
        <v>20763.049486147294</v>
      </c>
      <c r="DY14">
        <f>0.105*((BK14/3.78541*15)^(-0.144))*BK14/3.78541*15*300*(1+(A14-2)/3)</f>
        <v>8790.8072421188135</v>
      </c>
      <c r="DZ14">
        <f>0.058*((BK14/3.78541*15)^(-0.151))*BK14/3.78541*15*300*(1+(A14-2)/3)</f>
        <v>4656.7358484871465</v>
      </c>
      <c r="EA14">
        <f>0.056*((BK14/3.78541*15)^(-0.144))*BK14/3.78541*15*300*(1+(A14-2)/3)</f>
        <v>4688.4305291300352</v>
      </c>
      <c r="EB14">
        <f>DS14*DT14/(3.6*10^6)*3600*7200*0.07</f>
        <v>850.84293117609263</v>
      </c>
      <c r="EC14">
        <f>0.499*((BM14/3.78541*15)^(-0.146))*BM14/3.78541*15*300*(1+(AF14-2)/9)</f>
        <v>33465.854401326746</v>
      </c>
      <c r="ED14">
        <f>0.248*((BM14/3.78541*15)^(-0.144))*BM14/3.78541*15*300*(1+(AF14-2)/3)</f>
        <v>27186.734712721038</v>
      </c>
      <c r="EE14">
        <f>0.105*((BM14/3.78541*15)^(-0.144))*BM14/3.78541*15*300*(1+(AF14-2)/3)</f>
        <v>11510.512680789148</v>
      </c>
      <c r="EF14">
        <f>0.058*((BM14/3.78541*15)^(-0.151))*BM14/3.78541*15*300*(1+(AF14-2)/3)</f>
        <v>6100.7772910357944</v>
      </c>
      <c r="EG14">
        <f>0.056*((BM14/3.78541*15)^(-0.144))*BM14/3.78541*15*300*(1+(AF14-2)/3)</f>
        <v>6138.9400964208808</v>
      </c>
      <c r="EH14">
        <f>DS14*DU14/(3.6*10^6)*3600*7200*0.07</f>
        <v>428.71287671044473</v>
      </c>
      <c r="EI14">
        <f>SUM(DW14:EH14)</f>
        <v>154853.70190593012</v>
      </c>
      <c r="EJ14">
        <f>EI14+DR14+DL14</f>
        <v>40052470.395265475</v>
      </c>
      <c r="EK14">
        <f>EJ14+DF14</f>
        <v>40626281.211103603</v>
      </c>
      <c r="EL14">
        <f>EK14/(BK14*60*7200)</f>
        <v>0.94042317618295379</v>
      </c>
      <c r="EM14">
        <f>EK14/(BM14*(AM14*195.084/1000+AN14*106.42/1000+AO14*102.911/1000)*60*7200)</f>
        <v>3146.9204542120988</v>
      </c>
      <c r="EN14">
        <f>EK14/(BN14*BA14*(AP14*195.084/1000+AQ14*106.42/1000+AR14*102.911/1000)*60*7200)</f>
        <v>5749.6439844475035</v>
      </c>
    </row>
    <row r="15" spans="1:144">
      <c r="A15">
        <f>'Costing 100 Lmin Feed Orig'!A15</f>
        <v>4</v>
      </c>
      <c r="B15">
        <f>'Costing 100 Lmin Feed Orig'!B15</f>
        <v>1.54143585092054E-3</v>
      </c>
      <c r="C15">
        <f>'Costing 100 Lmin Feed Orig'!C15</f>
        <v>1.54143585092054E-3</v>
      </c>
      <c r="D15">
        <f>'Costing 100 Lmin Feed Orig'!D15</f>
        <v>3.4254130020456501E-4</v>
      </c>
      <c r="E15">
        <f>'Costing 100 Lmin Feed Orig'!E15</f>
        <v>0</v>
      </c>
      <c r="F15">
        <f>'Costing 100 Lmin Feed Orig'!F15</f>
        <v>0</v>
      </c>
      <c r="G15">
        <f>'Costing 100 Lmin Feed Orig'!G15</f>
        <v>0</v>
      </c>
      <c r="H15">
        <f>'Costing 100 Lmin Feed Orig'!H15</f>
        <v>1.7208960911287699E-5</v>
      </c>
      <c r="I15">
        <f>'Costing 100 Lmin Feed Orig'!I15</f>
        <v>2.8768784818324402E-7</v>
      </c>
      <c r="J15">
        <f>'Costing 100 Lmin Feed Orig'!J15</f>
        <v>3.3243632642994598E-4</v>
      </c>
      <c r="K15">
        <f>'Costing 100 Lmin Feed Orig'!K15</f>
        <v>0.10920586178936199</v>
      </c>
      <c r="L15">
        <f>'Costing 100 Lmin Feed Orig'!L15</f>
        <v>0.110418215553449</v>
      </c>
      <c r="M15">
        <f>'Costing 100 Lmin Feed Orig'!M15</f>
        <v>7.2398825703009801E-4</v>
      </c>
      <c r="N15">
        <f>'Costing 100 Lmin Feed Orig'!N15</f>
        <v>-2.168404344971E-18</v>
      </c>
      <c r="O15">
        <f>'Costing 100 Lmin Feed Orig'!O15</f>
        <v>2.3635607360183901E-17</v>
      </c>
      <c r="P15">
        <f>'Costing 100 Lmin Feed Orig'!P15</f>
        <v>-7.4538899358378406E-20</v>
      </c>
      <c r="Q15">
        <f>'Costing 100 Lmin Feed Orig'!Q15</f>
        <v>0.13957372480144001</v>
      </c>
      <c r="R15">
        <f>'Costing 100 Lmin Feed Orig'!R15</f>
        <v>97.0499984181222</v>
      </c>
      <c r="S15">
        <f>'Costing 100 Lmin Feed Orig'!S15</f>
        <v>500</v>
      </c>
      <c r="T15">
        <f>'Costing 100 Lmin Feed Orig'!T15</f>
        <v>95</v>
      </c>
      <c r="U15">
        <f>'Costing 100 Lmin Feed Orig'!U15</f>
        <v>1</v>
      </c>
      <c r="V15">
        <f>'Costing 100 Lmin Feed Orig'!V15</f>
        <v>0.1</v>
      </c>
      <c r="W15">
        <f>'Costing 100 Lmin Feed Orig'!W15</f>
        <v>71.646723007687299</v>
      </c>
      <c r="X15" t="str">
        <f>'Costing 100 Lmin Feed Orig'!X15</f>
        <v>ddFc</v>
      </c>
      <c r="Y15">
        <f>'Costing 100 Lmin Feed Orig'!Y15</f>
        <v>1</v>
      </c>
      <c r="Z15">
        <f>'Costing 100 Lmin Feed Orig'!Z15</f>
        <v>0.28318429382522198</v>
      </c>
      <c r="AA15">
        <f>'Costing 100 Lmin Feed Orig'!AA15</f>
        <v>0.56945642916197003</v>
      </c>
      <c r="AB15">
        <f>'Costing 100 Lmin Feed Orig'!AB15</f>
        <v>3.7698628972227502E-3</v>
      </c>
      <c r="AC15">
        <f>'Costing 100 Lmin Feed Orig'!AC15</f>
        <v>1822.2107908876901</v>
      </c>
      <c r="AD15">
        <f>'Costing 100 Lmin Feed Orig'!AD15</f>
        <v>2662.6059073104898</v>
      </c>
      <c r="AE15">
        <f>'Costing 100 Lmin Feed Orig'!AE15</f>
        <v>2401.5030938442701</v>
      </c>
      <c r="AF15">
        <f>'Costing 100 Lmin Feed Orig'!AF15</f>
        <v>7</v>
      </c>
      <c r="AG15">
        <f>'Costing 100 Lmin Feed Orig'!AG15</f>
        <v>1.6481650483119699E-3</v>
      </c>
      <c r="AH15">
        <f>'Costing 100 Lmin Feed Orig'!AH15</f>
        <v>1.6664622263884801E-3</v>
      </c>
      <c r="AI15">
        <f>'Costing 100 Lmin Feed Orig'!AI15</f>
        <v>1.0926630870116399E-5</v>
      </c>
      <c r="AJ15">
        <f>'Costing 100 Lmin Feed Orig'!AJ15</f>
        <v>0</v>
      </c>
      <c r="AK15">
        <f>'Costing 100 Lmin Feed Orig'!AK15</f>
        <v>0</v>
      </c>
      <c r="AL15">
        <f>'Costing 100 Lmin Feed Orig'!AL15</f>
        <v>0</v>
      </c>
      <c r="AM15">
        <f>'Costing 100 Lmin Feed Orig'!AM15</f>
        <v>1.61090754837377E-3</v>
      </c>
      <c r="AN15">
        <f>'Costing 100 Lmin Feed Orig'!AN15</f>
        <v>7.3930491403475195E-5</v>
      </c>
      <c r="AO15">
        <f>'Costing 100 Lmin Feed Orig'!AO15</f>
        <v>1.08541164056693E-5</v>
      </c>
      <c r="AP15">
        <f>'Costing 100 Lmin Feed Orig'!AP15</f>
        <v>1.73922906321953E-3</v>
      </c>
      <c r="AQ15">
        <f>'Costing 100 Lmin Feed Orig'!AQ15</f>
        <v>7.4341474522921697E-2</v>
      </c>
      <c r="AR15">
        <f>'Costing 100 Lmin Feed Orig'!AR15</f>
        <v>3.3850705039854299E-6</v>
      </c>
      <c r="AS15">
        <f>'Costing 100 Lmin Feed Orig'!AS15</f>
        <v>6.2377335826972699E-15</v>
      </c>
      <c r="AT15">
        <f>'Costing 100 Lmin Feed Orig'!AT15</f>
        <v>-2.31652956365902E-12</v>
      </c>
      <c r="AU15">
        <f>'Costing 100 Lmin Feed Orig'!AU15</f>
        <v>-1.8555315500789499E-20</v>
      </c>
      <c r="AV15">
        <f>'Costing 100 Lmin Feed Orig'!AV15</f>
        <v>0.19810974742489201</v>
      </c>
      <c r="AW15">
        <f>'Costing 100 Lmin Feed Orig'!AW15</f>
        <v>99.336351110337105</v>
      </c>
      <c r="AX15">
        <f>'Costing 100 Lmin Feed Orig'!AX15</f>
        <v>500</v>
      </c>
      <c r="AY15">
        <f>'Costing 100 Lmin Feed Orig'!AY15</f>
        <v>95</v>
      </c>
      <c r="AZ15">
        <f>'Costing 100 Lmin Feed Orig'!AZ15</f>
        <v>0.92480233795174105</v>
      </c>
      <c r="BA15">
        <f>'Costing 100 Lmin Feed Orig'!BA15</f>
        <v>0.1</v>
      </c>
      <c r="BB15">
        <f>'Costing 100 Lmin Feed Orig'!BB15</f>
        <v>46.681314270129498</v>
      </c>
      <c r="BC15" t="str">
        <f>'Costing 100 Lmin Feed Orig'!BC15</f>
        <v>coeFc</v>
      </c>
      <c r="BD15">
        <f>'Costing 100 Lmin Feed Orig'!BD15</f>
        <v>1</v>
      </c>
      <c r="BE15">
        <f>'Costing 100 Lmin Feed Orig'!BE15</f>
        <v>1.8775014999999999E-2</v>
      </c>
      <c r="BF15">
        <f>'Costing 100 Lmin Feed Orig'!BF15</f>
        <v>0.10492961100000001</v>
      </c>
      <c r="BG15">
        <f>'Costing 100 Lmin Feed Orig'!BG15</f>
        <v>1.814625E-3</v>
      </c>
      <c r="BH15">
        <f>'Costing 100 Lmin Feed Orig'!BH15</f>
        <v>285.1951444</v>
      </c>
      <c r="BI15">
        <f>'Costing 100 Lmin Feed Orig'!BI15</f>
        <v>2169.8944889999998</v>
      </c>
      <c r="BJ15">
        <f>'Costing 100 Lmin Feed Orig'!BJ15</f>
        <v>866.49409060000005</v>
      </c>
      <c r="BK15">
        <f>'Costing 100 Lmin Feed Orig'!BK15</f>
        <v>100</v>
      </c>
      <c r="BL15">
        <f>'Costing 100 Lmin Feed Orig'!BL15</f>
        <v>13.957372480144</v>
      </c>
      <c r="BM15">
        <f>'Costing 100 Lmin Feed Orig'!BM15</f>
        <v>92.480233795174101</v>
      </c>
      <c r="BN15">
        <f>'Costing 100 Lmin Feed Orig'!BN15</f>
        <v>19.810974742489201</v>
      </c>
      <c r="BO15">
        <f t="shared" si="1"/>
        <v>167.488469761728</v>
      </c>
      <c r="BP15">
        <f t="shared" si="2"/>
        <v>356.59754536480563</v>
      </c>
      <c r="BQ15">
        <f t="shared" si="3"/>
        <v>16.7488469761728</v>
      </c>
      <c r="BR15">
        <f t="shared" si="4"/>
        <v>35.659754536480563</v>
      </c>
      <c r="BS15">
        <f>1.2*0.5*BL15*V15/'Oxidant Feed Composition'!$N$22</f>
        <v>8.3744234880863999</v>
      </c>
      <c r="BT15">
        <f>1.2*0.5*BN15*BA15/'Oxidant Feed Composition'!$N$22</f>
        <v>11.88658484549352</v>
      </c>
      <c r="BU15">
        <f t="shared" si="5"/>
        <v>6.9786862400720002</v>
      </c>
      <c r="BV15">
        <f t="shared" si="6"/>
        <v>9.9054873712446003</v>
      </c>
      <c r="BW15">
        <f t="shared" si="7"/>
        <v>85.501547555102107</v>
      </c>
      <c r="BX15">
        <f t="shared" si="0"/>
        <v>44.663591936460804</v>
      </c>
      <c r="BY15">
        <f t="shared" si="8"/>
        <v>212.87521255063621</v>
      </c>
      <c r="BZ15">
        <f t="shared" si="9"/>
        <v>63.395119175965441</v>
      </c>
      <c r="CA15">
        <f t="shared" si="10"/>
        <v>59.432924227467602</v>
      </c>
      <c r="CB15">
        <f>BO15*'Reagent cost'!$G$11*'Reagent cost'!$H$11</f>
        <v>2210.8478008548095</v>
      </c>
      <c r="CC15">
        <f>BP15*'Reagent cost'!$G$11*'Reagent cost'!$H$11</f>
        <v>4707.0875988154348</v>
      </c>
      <c r="CD15">
        <f>BQ15*'Reagent cost'!$C$18/1000*'Reagent cost'!$H$18</f>
        <v>2671.1136977461792</v>
      </c>
      <c r="CE15">
        <f>BR15*'Ligand cost'!$B$56*'Ligand cost'!$J$56</f>
        <v>36306.185007612978</v>
      </c>
      <c r="CF15">
        <f t="shared" si="11"/>
        <v>10</v>
      </c>
      <c r="CG15">
        <f t="shared" si="12"/>
        <v>2.7914744960288003</v>
      </c>
      <c r="CH15">
        <f t="shared" si="12"/>
        <v>3.9621949484978405</v>
      </c>
      <c r="CI15">
        <f>7963.6*(BX15/1000)^0.6*1.7*('CAPEX+OPEX'!$G$116/'CAPEX+OPEX'!$G$115)</f>
        <v>2472.9373618126128</v>
      </c>
      <c r="CJ15">
        <f>7963.6*(BY15/1000)^0.6*1.7*('CAPEX+OPEX'!$G$116/'CAPEX+OPEX'!$G$115)</f>
        <v>6311.2587327211604</v>
      </c>
      <c r="CK15">
        <f>7963.6*(BZ15/1000)^0.6*1.7*('CAPEX+OPEX'!$G$116/'CAPEX+OPEX'!$G$115)</f>
        <v>3051.226316256721</v>
      </c>
      <c r="CL15">
        <f>7963.6*(CA15/1000)^0.6*1.7*('CAPEX+OPEX'!$G$116/'CAPEX+OPEX'!$G$115)</f>
        <v>2935.3317170403893</v>
      </c>
      <c r="CM15">
        <f>'Costing 100 Lmin Feed Orig'!DE15</f>
        <v>39625.826528698344</v>
      </c>
      <c r="CN15">
        <f>'Costing 100 Lmin Feed Orig'!DF15</f>
        <v>4586243.4239371875</v>
      </c>
      <c r="CO15">
        <f>'Costing 100 Lmin Feed Orig'!DG15</f>
        <v>11794834.586807497</v>
      </c>
      <c r="CP15">
        <f>'Costing 100 Lmin Feed Orig'!DH15</f>
        <v>2275209.1661185985</v>
      </c>
      <c r="CQ15">
        <f>'Costing 100 Lmin Feed Orig'!DI15</f>
        <v>14083914.336508472</v>
      </c>
      <c r="CR15">
        <f>'Costing 100 Lmin Feed Orig'!DJ15</f>
        <v>1662824.8986326549</v>
      </c>
      <c r="CS15">
        <f>CN15*(BK15/10000)^0.72*((A15+1)/3)^0.6*('CAPEX+OPEX'!$G$116/'CAPEX+OPEX'!$G$114)</f>
        <v>528015.95740622084</v>
      </c>
      <c r="CT15">
        <f>CO15*(BK15/10000)^0.72*((A15+1)/3)^0.6*('CAPEX+OPEX'!$G$116/'CAPEX+OPEX'!$G$114)</f>
        <v>1357943.8117688675</v>
      </c>
      <c r="CU15">
        <f>CP15*(BK15/10000)^0.72*((A15+1)/3)^0.6*('CAPEX+OPEX'!$G$116/'CAPEX+OPEX'!$G$114)</f>
        <v>261945.7004565605</v>
      </c>
      <c r="CV15">
        <f>CQ15*(BK15/10000)^0.72*((A15+1)/3)^0.6*('CAPEX+OPEX'!$G$116/'CAPEX+OPEX'!$G$114)</f>
        <v>1621486.4378120217</v>
      </c>
      <c r="CW15">
        <f>CR15*(BK15/10000)^0.72*((A15+1)/3)^0.6*('CAPEX+OPEX'!$G$116/'CAPEX+OPEX'!$G$114)</f>
        <v>191441.6658016555</v>
      </c>
      <c r="CX15">
        <f t="shared" si="13"/>
        <v>3960833.5732453261</v>
      </c>
      <c r="CY15">
        <f>CN15*(BM15/10000)^0.72*((AF15+1)/3)^0.6*('CAPEX+OPEX'!$G$116/'CAPEX+OPEX'!$G$114)</f>
        <v>661719.9968599478</v>
      </c>
      <c r="CZ15">
        <f>CO15*(BM15/10000)^0.72*((AF15+1)/3)^0.6*('CAPEX+OPEX'!$G$116/'CAPEX+OPEX'!$G$114)</f>
        <v>1701801.9290056669</v>
      </c>
      <c r="DA15">
        <f>CP15*(BM15/10000)^0.72*((AF15+1)/3)^0.6*('CAPEX+OPEX'!$G$116/'CAPEX+OPEX'!$G$114)</f>
        <v>328275.51071574847</v>
      </c>
      <c r="DB15">
        <f>CQ15*(BM15/10000)^0.72*((AF15+1)/3)^0.6*('CAPEX+OPEX'!$G$116/'CAPEX+OPEX'!$G$114)</f>
        <v>2032078.7383172708</v>
      </c>
      <c r="DC15">
        <f>CR15*(BM15/10000)^0.72*((AF15+1)/3)^0.6*('CAPEX+OPEX'!$G$116/'CAPEX+OPEX'!$G$114)</f>
        <v>239918.46594074578</v>
      </c>
      <c r="DD15">
        <f t="shared" si="14"/>
        <v>4963794.6408393793</v>
      </c>
      <c r="DE15">
        <f>CX15+DD15+1.15*(SUM(CI15:CL15)+SUM(CB15:CE15))</f>
        <v>8994394.1005524956</v>
      </c>
      <c r="DF15">
        <f t="shared" si="15"/>
        <v>599626.27337016643</v>
      </c>
      <c r="DG15">
        <f>(BS15+BT15)*'Oxidant Feed Composition'!$N$28*60*7200</f>
        <v>22526897.416059583</v>
      </c>
      <c r="DH15">
        <f>((CG15+CH15)*'Reagent cost'!$C$17/1000*'Reagent cost'!$H$17+(CG15+CH15)*0.5*'Reagent cost'!$C$16/1000*'Reagent cost'!$H$16*1.5)*60*7200</f>
        <v>9583698.4530026391</v>
      </c>
      <c r="DI15">
        <f>CF15*'Reagent cost'!$C$17/1000*'Reagent cost'!$H$17*60*7200</f>
        <v>504921.59999999998</v>
      </c>
      <c r="DJ15">
        <f t="shared" si="16"/>
        <v>69.179353996702446</v>
      </c>
      <c r="DK15">
        <f t="shared" si="17"/>
        <v>779.54597410718316</v>
      </c>
      <c r="DL15">
        <f t="shared" si="18"/>
        <v>39139639.433268391</v>
      </c>
      <c r="DM15">
        <f>BK15*(B15*(409.81+2)/1000+C15*(248.2+2*22.99)/1000+D15*(315.6+3*22.99)/1000+0.1*58.44/1000)</f>
        <v>0.70639694042110623</v>
      </c>
      <c r="DN15">
        <f>(BS15+BT15)/1000*('Oxidant Feed Composition'!$B$11*'Oxidant Feed Composition'!$O$20+'Oxidant Feed Composition'!$D$11*'Oxidant Feed Composition'!$O$21+'Oxidant Feed Composition'!$F$11*'Oxidant Feed Composition'!$O$27-'Oxidant Feed Composition'!$J$15*18.015)</f>
        <v>2.3661725381732972</v>
      </c>
      <c r="DO15">
        <f>(BU15+BV15)/1000*(0.2*368.34+0.4*58.44)</f>
        <v>1.638507743936608</v>
      </c>
      <c r="DP15">
        <f>BK15/1000*(B15*195.08+C15*106.42+D15*102.91)</f>
        <v>4.999938342565946E-2</v>
      </c>
      <c r="DQ15">
        <f>SUM(DM15:DO15)-DP15</f>
        <v>4.661077839105352</v>
      </c>
      <c r="DR15">
        <f>DQ15*60*7200*0.33</f>
        <v>664483.25674285903</v>
      </c>
      <c r="DS15">
        <v>1.2</v>
      </c>
      <c r="DT15">
        <f>BM15/60*(AM15*4+AN15*2+AO15*3)*96485/DV15</f>
        <v>1407.2889022715001</v>
      </c>
      <c r="DU15">
        <f>BN15*BA15*(AP15*4+AQ15*2+AR15*3)*96485/DV15/60</f>
        <v>708.37877055417789</v>
      </c>
      <c r="DV15">
        <v>0.7</v>
      </c>
      <c r="DW15">
        <f>0.499*((BK15/3.78541*15)^(-0.146))*BK15/3.78541*15*300*(1+(A15-2)/9)</f>
        <v>30272.303809866662</v>
      </c>
      <c r="DX15">
        <f>0.248*((BK15/3.78541*15)^(-0.144))*BK15/3.78541*15*300*(1+(A15-2)/3)</f>
        <v>20763.049486147294</v>
      </c>
      <c r="DY15">
        <f>0.105*((BK15/3.78541*15)^(-0.144))*BK15/3.78541*15*300*(1+(A15-2)/3)</f>
        <v>8790.8072421188135</v>
      </c>
      <c r="DZ15">
        <f>0.058*((BK15/3.78541*15)^(-0.151))*BK15/3.78541*15*300*(1+(A15-2)/3)</f>
        <v>4656.7358484871465</v>
      </c>
      <c r="EA15">
        <f>0.056*((BK15/3.78541*15)^(-0.144))*BK15/3.78541*15*300*(1+(A15-2)/3)</f>
        <v>4688.4305291300352</v>
      </c>
      <c r="EB15">
        <f>DS15*DT15/(3.6*10^6)*3600*7200*0.07</f>
        <v>851.12832809380325</v>
      </c>
      <c r="EC15">
        <f>0.499*((BM15/3.78541*15)^(-0.146))*BM15/3.78541*15*300*(1+(AF15-2)/9)</f>
        <v>36040.1508937365</v>
      </c>
      <c r="ED15">
        <f>0.248*((BM15/3.78541*15)^(-0.144))*BM15/3.78541*15*300*(1+(AF15-2)/3)</f>
        <v>31070.553957395477</v>
      </c>
      <c r="EE15">
        <f>0.105*((BM15/3.78541*15)^(-0.144))*BM15/3.78541*15*300*(1+(AF15-2)/3)</f>
        <v>13154.871635187601</v>
      </c>
      <c r="EF15">
        <f>0.058*((BM15/3.78541*15)^(-0.151))*BM15/3.78541*15*300*(1+(AF15-2)/3)</f>
        <v>6972.3169040409093</v>
      </c>
      <c r="EG15">
        <f>0.056*((BM15/3.78541*15)^(-0.144))*BM15/3.78541*15*300*(1+(AF15-2)/3)</f>
        <v>7015.931538766723</v>
      </c>
      <c r="EH15">
        <f>DS15*DU15/(3.6*10^6)*3600*7200*0.07</f>
        <v>428.42748043116683</v>
      </c>
      <c r="EI15">
        <f>SUM(DW15:EH15)</f>
        <v>164704.70765340209</v>
      </c>
      <c r="EJ15">
        <f>EI15+DR15+DL15</f>
        <v>39968827.397664651</v>
      </c>
      <c r="EK15">
        <f>EJ15+DF15</f>
        <v>40568453.67103482</v>
      </c>
      <c r="EL15">
        <f>EK15/(BK15*60*7200)</f>
        <v>0.93908457571839865</v>
      </c>
      <c r="EM15">
        <f>EK15/(BM15*(AM15*195.084/1000+AN15*106.42/1000+AO15*102.911/1000)*60*7200)</f>
        <v>3141.3860701451022</v>
      </c>
      <c r="EN15">
        <f>EK15/(BN15*BA15*(AP15*195.084/1000+AQ15*106.42/1000+AR15*102.911/1000)*60*7200)</f>
        <v>5744.9852190397078</v>
      </c>
    </row>
    <row r="16" spans="1:144">
      <c r="A16">
        <f>'Costing 100 Lmin Feed Orig'!A16</f>
        <v>4</v>
      </c>
      <c r="B16">
        <f>'Costing 100 Lmin Feed Orig'!B16</f>
        <v>1.54143585092054E-3</v>
      </c>
      <c r="C16">
        <f>'Costing 100 Lmin Feed Orig'!C16</f>
        <v>1.54143585092054E-3</v>
      </c>
      <c r="D16">
        <f>'Costing 100 Lmin Feed Orig'!D16</f>
        <v>3.4254130020456501E-4</v>
      </c>
      <c r="E16">
        <f>'Costing 100 Lmin Feed Orig'!E16</f>
        <v>0</v>
      </c>
      <c r="F16">
        <f>'Costing 100 Lmin Feed Orig'!F16</f>
        <v>0</v>
      </c>
      <c r="G16">
        <f>'Costing 100 Lmin Feed Orig'!G16</f>
        <v>0</v>
      </c>
      <c r="H16">
        <f>'Costing 100 Lmin Feed Orig'!H16</f>
        <v>1.7208960911287699E-5</v>
      </c>
      <c r="I16">
        <f>'Costing 100 Lmin Feed Orig'!I16</f>
        <v>2.8768784818324402E-7</v>
      </c>
      <c r="J16">
        <f>'Costing 100 Lmin Feed Orig'!J16</f>
        <v>3.3243632642994598E-4</v>
      </c>
      <c r="K16">
        <f>'Costing 100 Lmin Feed Orig'!K16</f>
        <v>0.10920586178936199</v>
      </c>
      <c r="L16">
        <f>'Costing 100 Lmin Feed Orig'!L16</f>
        <v>0.110418215553449</v>
      </c>
      <c r="M16">
        <f>'Costing 100 Lmin Feed Orig'!M16</f>
        <v>7.2398825703009801E-4</v>
      </c>
      <c r="N16">
        <f>'Costing 100 Lmin Feed Orig'!N16</f>
        <v>-2.168404344971E-18</v>
      </c>
      <c r="O16">
        <f>'Costing 100 Lmin Feed Orig'!O16</f>
        <v>2.3635607360183901E-17</v>
      </c>
      <c r="P16">
        <f>'Costing 100 Lmin Feed Orig'!P16</f>
        <v>-7.4538899358378406E-20</v>
      </c>
      <c r="Q16">
        <f>'Costing 100 Lmin Feed Orig'!Q16</f>
        <v>0.13957372480144001</v>
      </c>
      <c r="R16">
        <f>'Costing 100 Lmin Feed Orig'!R16</f>
        <v>97.0499984181222</v>
      </c>
      <c r="S16">
        <f>'Costing 100 Lmin Feed Orig'!S16</f>
        <v>500</v>
      </c>
      <c r="T16">
        <f>'Costing 100 Lmin Feed Orig'!T16</f>
        <v>95</v>
      </c>
      <c r="U16">
        <f>'Costing 100 Lmin Feed Orig'!U16</f>
        <v>1</v>
      </c>
      <c r="V16">
        <f>'Costing 100 Lmin Feed Orig'!V16</f>
        <v>0.1</v>
      </c>
      <c r="W16">
        <f>'Costing 100 Lmin Feed Orig'!W16</f>
        <v>71.646723007687299</v>
      </c>
      <c r="X16" t="str">
        <f>'Costing 100 Lmin Feed Orig'!X16</f>
        <v>ddFc</v>
      </c>
      <c r="Y16">
        <f>'Costing 100 Lmin Feed Orig'!Y16</f>
        <v>1</v>
      </c>
      <c r="Z16">
        <f>'Costing 100 Lmin Feed Orig'!Z16</f>
        <v>0.28318429382522198</v>
      </c>
      <c r="AA16">
        <f>'Costing 100 Lmin Feed Orig'!AA16</f>
        <v>0.56945642916197003</v>
      </c>
      <c r="AB16">
        <f>'Costing 100 Lmin Feed Orig'!AB16</f>
        <v>3.7698628972227502E-3</v>
      </c>
      <c r="AC16">
        <f>'Costing 100 Lmin Feed Orig'!AC16</f>
        <v>1822.2107908876901</v>
      </c>
      <c r="AD16">
        <f>'Costing 100 Lmin Feed Orig'!AD16</f>
        <v>2662.6059073104898</v>
      </c>
      <c r="AE16">
        <f>'Costing 100 Lmin Feed Orig'!AE16</f>
        <v>2401.5030938442701</v>
      </c>
      <c r="AF16">
        <f>'Costing 100 Lmin Feed Orig'!AF16</f>
        <v>8</v>
      </c>
      <c r="AG16">
        <f>'Costing 100 Lmin Feed Orig'!AG16</f>
        <v>1.6481650483119699E-3</v>
      </c>
      <c r="AH16">
        <f>'Costing 100 Lmin Feed Orig'!AH16</f>
        <v>1.6664622263884801E-3</v>
      </c>
      <c r="AI16">
        <f>'Costing 100 Lmin Feed Orig'!AI16</f>
        <v>1.0926630870116399E-5</v>
      </c>
      <c r="AJ16">
        <f>'Costing 100 Lmin Feed Orig'!AJ16</f>
        <v>0</v>
      </c>
      <c r="AK16">
        <f>'Costing 100 Lmin Feed Orig'!AK16</f>
        <v>0</v>
      </c>
      <c r="AL16">
        <f>'Costing 100 Lmin Feed Orig'!AL16</f>
        <v>0</v>
      </c>
      <c r="AM16">
        <f>'Costing 100 Lmin Feed Orig'!AM16</f>
        <v>1.6110629319685101E-3</v>
      </c>
      <c r="AN16">
        <f>'Costing 100 Lmin Feed Orig'!AN16</f>
        <v>7.3938379507668505E-5</v>
      </c>
      <c r="AO16">
        <f>'Costing 100 Lmin Feed Orig'!AO16</f>
        <v>1.085440638541E-5</v>
      </c>
      <c r="AP16">
        <f>'Costing 100 Lmin Feed Orig'!AP16</f>
        <v>1.73400814806823E-3</v>
      </c>
      <c r="AQ16">
        <f>'Costing 100 Lmin Feed Orig'!AQ16</f>
        <v>7.4428350688171094E-2</v>
      </c>
      <c r="AR16">
        <f>'Costing 100 Lmin Feed Orig'!AR16</f>
        <v>3.37549060036281E-6</v>
      </c>
      <c r="AS16">
        <f>'Costing 100 Lmin Feed Orig'!AS16</f>
        <v>-2.23616698075135E-19</v>
      </c>
      <c r="AT16">
        <f>'Costing 100 Lmin Feed Orig'!AT16</f>
        <v>-1.3010426069825999E-18</v>
      </c>
      <c r="AU16">
        <f>'Costing 100 Lmin Feed Orig'!AU16</f>
        <v>-9.26442286059391E-23</v>
      </c>
      <c r="AV16">
        <f>'Costing 100 Lmin Feed Orig'!AV16</f>
        <v>0.19787752425277699</v>
      </c>
      <c r="AW16">
        <f>'Costing 100 Lmin Feed Orig'!AW16</f>
        <v>99.339004990971901</v>
      </c>
      <c r="AX16">
        <f>'Costing 100 Lmin Feed Orig'!AX16</f>
        <v>500</v>
      </c>
      <c r="AY16">
        <f>'Costing 100 Lmin Feed Orig'!AY16</f>
        <v>95</v>
      </c>
      <c r="AZ16">
        <f>'Costing 100 Lmin Feed Orig'!AZ16</f>
        <v>0.92480233795174105</v>
      </c>
      <c r="BA16">
        <f>'Costing 100 Lmin Feed Orig'!BA16</f>
        <v>0.1</v>
      </c>
      <c r="BB16">
        <f>'Costing 100 Lmin Feed Orig'!BB16</f>
        <v>46.736098070964097</v>
      </c>
      <c r="BC16" t="str">
        <f>'Costing 100 Lmin Feed Orig'!BC16</f>
        <v>coeFc</v>
      </c>
      <c r="BD16">
        <f>'Costing 100 Lmin Feed Orig'!BD16</f>
        <v>1</v>
      </c>
      <c r="BE16">
        <f>'Costing 100 Lmin Feed Orig'!BE16</f>
        <v>1.8775014999999999E-2</v>
      </c>
      <c r="BF16">
        <f>'Costing 100 Lmin Feed Orig'!BF16</f>
        <v>0.10492961100000001</v>
      </c>
      <c r="BG16">
        <f>'Costing 100 Lmin Feed Orig'!BG16</f>
        <v>1.814625E-3</v>
      </c>
      <c r="BH16">
        <f>'Costing 100 Lmin Feed Orig'!BH16</f>
        <v>285.1951444</v>
      </c>
      <c r="BI16">
        <f>'Costing 100 Lmin Feed Orig'!BI16</f>
        <v>2169.8944889999998</v>
      </c>
      <c r="BJ16">
        <f>'Costing 100 Lmin Feed Orig'!BJ16</f>
        <v>866.49409060000005</v>
      </c>
      <c r="BK16">
        <f>'Costing 100 Lmin Feed Orig'!BK16</f>
        <v>100</v>
      </c>
      <c r="BL16">
        <f>'Costing 100 Lmin Feed Orig'!BL16</f>
        <v>13.957372480144</v>
      </c>
      <c r="BM16">
        <f>'Costing 100 Lmin Feed Orig'!BM16</f>
        <v>92.480233795174101</v>
      </c>
      <c r="BN16">
        <f>'Costing 100 Lmin Feed Orig'!BN16</f>
        <v>19.787752425277699</v>
      </c>
      <c r="BO16">
        <f t="shared" si="1"/>
        <v>167.488469761728</v>
      </c>
      <c r="BP16">
        <f t="shared" si="2"/>
        <v>395.75504850555399</v>
      </c>
      <c r="BQ16">
        <f t="shared" si="3"/>
        <v>16.7488469761728</v>
      </c>
      <c r="BR16">
        <f t="shared" si="4"/>
        <v>39.575504850555404</v>
      </c>
      <c r="BS16">
        <f>1.2*0.5*BL16*V16/'Oxidant Feed Composition'!$N$22</f>
        <v>8.3744234880863999</v>
      </c>
      <c r="BT16">
        <f>1.2*0.5*BN16*BA16/'Oxidant Feed Composition'!$N$22</f>
        <v>11.872651455166618</v>
      </c>
      <c r="BU16">
        <f t="shared" si="5"/>
        <v>6.9786862400720002</v>
      </c>
      <c r="BV16">
        <f t="shared" si="6"/>
        <v>9.8938762126388493</v>
      </c>
      <c r="BW16">
        <f t="shared" si="7"/>
        <v>85.501547555102107</v>
      </c>
      <c r="BX16">
        <f t="shared" si="0"/>
        <v>44.663591936460804</v>
      </c>
      <c r="BY16">
        <f t="shared" si="8"/>
        <v>212.87521255063621</v>
      </c>
      <c r="BZ16">
        <f t="shared" si="9"/>
        <v>63.320807760888634</v>
      </c>
      <c r="CA16">
        <f t="shared" si="10"/>
        <v>59.363257275833092</v>
      </c>
      <c r="CB16">
        <f>BO16*'Reagent cost'!$G$11*'Reagent cost'!$H$11</f>
        <v>2210.8478008548095</v>
      </c>
      <c r="CC16">
        <f>BP16*'Reagent cost'!$G$11*'Reagent cost'!$H$11</f>
        <v>5223.9666402733128</v>
      </c>
      <c r="CD16">
        <f>BQ16*'Reagent cost'!$C$18/1000*'Reagent cost'!$H$18</f>
        <v>2671.1136977461792</v>
      </c>
      <c r="CE16">
        <f>BR16*'Ligand cost'!$B$56*'Ligand cost'!$J$56</f>
        <v>40292.918993708743</v>
      </c>
      <c r="CF16">
        <f t="shared" si="11"/>
        <v>10</v>
      </c>
      <c r="CG16">
        <f t="shared" si="12"/>
        <v>2.7914744960288003</v>
      </c>
      <c r="CH16">
        <f t="shared" si="12"/>
        <v>3.9575504850555401</v>
      </c>
      <c r="CI16">
        <f>7963.6*(BX16/1000)^0.6*1.7*('CAPEX+OPEX'!$G$116/'CAPEX+OPEX'!$G$115)</f>
        <v>2472.9373618126128</v>
      </c>
      <c r="CJ16">
        <f>7963.6*(BY16/1000)^0.6*1.7*('CAPEX+OPEX'!$G$116/'CAPEX+OPEX'!$G$115)</f>
        <v>6311.2587327211604</v>
      </c>
      <c r="CK16">
        <f>7963.6*(BZ16/1000)^0.6*1.7*('CAPEX+OPEX'!$G$116/'CAPEX+OPEX'!$G$115)</f>
        <v>3049.0798343108368</v>
      </c>
      <c r="CL16">
        <f>7963.6*(CA16/1000)^0.6*1.7*('CAPEX+OPEX'!$G$116/'CAPEX+OPEX'!$G$115)</f>
        <v>2933.2667648268352</v>
      </c>
      <c r="CM16">
        <f>'Costing 100 Lmin Feed Orig'!DE16</f>
        <v>39625.826528698344</v>
      </c>
      <c r="CN16">
        <f>'Costing 100 Lmin Feed Orig'!DF16</f>
        <v>4586243.4239371875</v>
      </c>
      <c r="CO16">
        <f>'Costing 100 Lmin Feed Orig'!DG16</f>
        <v>11794834.586807497</v>
      </c>
      <c r="CP16">
        <f>'Costing 100 Lmin Feed Orig'!DH16</f>
        <v>2275209.1661185985</v>
      </c>
      <c r="CQ16">
        <f>'Costing 100 Lmin Feed Orig'!DI16</f>
        <v>14083914.336508472</v>
      </c>
      <c r="CR16">
        <f>'Costing 100 Lmin Feed Orig'!DJ16</f>
        <v>1662824.8986326549</v>
      </c>
      <c r="CS16">
        <f>CN16*(BK16/10000)^0.72*((A16+1)/3)^0.6*('CAPEX+OPEX'!$G$116/'CAPEX+OPEX'!$G$114)</f>
        <v>528015.95740622084</v>
      </c>
      <c r="CT16">
        <f>CO16*(BK16/10000)^0.72*((A16+1)/3)^0.6*('CAPEX+OPEX'!$G$116/'CAPEX+OPEX'!$G$114)</f>
        <v>1357943.8117688675</v>
      </c>
      <c r="CU16">
        <f>CP16*(BK16/10000)^0.72*((A16+1)/3)^0.6*('CAPEX+OPEX'!$G$116/'CAPEX+OPEX'!$G$114)</f>
        <v>261945.7004565605</v>
      </c>
      <c r="CV16">
        <f>CQ16*(BK16/10000)^0.72*((A16+1)/3)^0.6*('CAPEX+OPEX'!$G$116/'CAPEX+OPEX'!$G$114)</f>
        <v>1621486.4378120217</v>
      </c>
      <c r="CW16">
        <f>CR16*(BK16/10000)^0.72*((A16+1)/3)^0.6*('CAPEX+OPEX'!$G$116/'CAPEX+OPEX'!$G$114)</f>
        <v>191441.6658016555</v>
      </c>
      <c r="CX16">
        <f t="shared" si="13"/>
        <v>3960833.5732453261</v>
      </c>
      <c r="CY16">
        <f>CN16*(BM16/10000)^0.72*((AF16+1)/3)^0.6*('CAPEX+OPEX'!$G$116/'CAPEX+OPEX'!$G$114)</f>
        <v>710175.64189173898</v>
      </c>
      <c r="CZ16">
        <f>CO16*(BM16/10000)^0.72*((AF16+1)/3)^0.6*('CAPEX+OPEX'!$G$116/'CAPEX+OPEX'!$G$114)</f>
        <v>1826419.4569292928</v>
      </c>
      <c r="DA16">
        <f>CP16*(BM16/10000)^0.72*((AF16+1)/3)^0.6*('CAPEX+OPEX'!$G$116/'CAPEX+OPEX'!$G$114)</f>
        <v>352314.07943870482</v>
      </c>
      <c r="DB16">
        <f>CQ16*(BM16/10000)^0.72*((AF16+1)/3)^0.6*('CAPEX+OPEX'!$G$116/'CAPEX+OPEX'!$G$114)</f>
        <v>2180881.3836775436</v>
      </c>
      <c r="DC16">
        <f>CR16*(BM16/10000)^0.72*((AF16+1)/3)^0.6*('CAPEX+OPEX'!$G$116/'CAPEX+OPEX'!$G$114)</f>
        <v>257486.93006055866</v>
      </c>
      <c r="DD16">
        <f t="shared" si="14"/>
        <v>5327277.491997839</v>
      </c>
      <c r="DE16">
        <f>CX16+DD16+1.15*(SUM(CI16:CL16)+SUM(CB16:CE16))</f>
        <v>9363051.2635433581</v>
      </c>
      <c r="DF16">
        <f t="shared" si="15"/>
        <v>624203.4175695572</v>
      </c>
      <c r="DG16">
        <f>(BS16+BT16)*'Oxidant Feed Composition'!$N$28*60*7200</f>
        <v>22511405.785564974</v>
      </c>
      <c r="DH16">
        <f>((CG16+CH16)*'Reagent cost'!$C$17/1000*'Reagent cost'!$H$17+(CG16+CH16)*0.5*'Reagent cost'!$C$16/1000*'Reagent cost'!$H$16*1.5)*60*7200</f>
        <v>9577107.7932920028</v>
      </c>
      <c r="DI16">
        <f>CF16*'Reagent cost'!$C$17/1000*'Reagent cost'!$H$17*60*7200</f>
        <v>504921.59999999998</v>
      </c>
      <c r="DJ16">
        <f t="shared" si="16"/>
        <v>74.348144411281226</v>
      </c>
      <c r="DK16">
        <f t="shared" si="17"/>
        <v>859.28065382909847</v>
      </c>
      <c r="DL16">
        <f t="shared" si="18"/>
        <v>39113242.569186263</v>
      </c>
      <c r="DM16">
        <f>BK16*(B16*(409.81+2)/1000+C16*(248.2+2*22.99)/1000+D16*(315.6+3*22.99)/1000+0.1*58.44/1000)</f>
        <v>0.70639694042110623</v>
      </c>
      <c r="DN16">
        <f>(BS16+BT16)/1000*('Oxidant Feed Composition'!$B$11*'Oxidant Feed Composition'!$O$20+'Oxidant Feed Composition'!$D$11*'Oxidant Feed Composition'!$O$21+'Oxidant Feed Composition'!$F$11*'Oxidant Feed Composition'!$O$27-'Oxidant Feed Composition'!$J$15*18.015)</f>
        <v>2.3645453335933295</v>
      </c>
      <c r="DO16">
        <f>(BU16+BV16)/1000*(0.2*368.34+0.4*58.44)</f>
        <v>1.6373809506608716</v>
      </c>
      <c r="DP16">
        <f>BK16/1000*(B16*195.08+C16*106.42+D16*102.91)</f>
        <v>4.999938342565946E-2</v>
      </c>
      <c r="DQ16">
        <f>SUM(DM16:DO16)-DP16</f>
        <v>4.6583238412496479</v>
      </c>
      <c r="DR16">
        <f>DQ16*60*7200*0.33</f>
        <v>664090.64680854976</v>
      </c>
      <c r="DS16">
        <v>1.2</v>
      </c>
      <c r="DT16">
        <f>BM16/60*(AM16*4+AN16*2+AO16*3)*96485/DV16</f>
        <v>1407.4244845655176</v>
      </c>
      <c r="DU16">
        <f>BN16*BA16*(AP16*4+AQ16*2+AR16*3)*96485/DV16/60</f>
        <v>708.24318720155725</v>
      </c>
      <c r="DV16">
        <v>0.7</v>
      </c>
      <c r="DW16">
        <f>0.499*((BK16/3.78541*15)^(-0.146))*BK16/3.78541*15*300*(1+(A16-2)/9)</f>
        <v>30272.303809866662</v>
      </c>
      <c r="DX16">
        <f>0.248*((BK16/3.78541*15)^(-0.144))*BK16/3.78541*15*300*(1+(A16-2)/3)</f>
        <v>20763.049486147294</v>
      </c>
      <c r="DY16">
        <f>0.105*((BK16/3.78541*15)^(-0.144))*BK16/3.78541*15*300*(1+(A16-2)/3)</f>
        <v>8790.8072421188135</v>
      </c>
      <c r="DZ16">
        <f>0.058*((BK16/3.78541*15)^(-0.151))*BK16/3.78541*15*300*(1+(A16-2)/3)</f>
        <v>4656.7358484871465</v>
      </c>
      <c r="EA16">
        <f>0.056*((BK16/3.78541*15)^(-0.144))*BK16/3.78541*15*300*(1+(A16-2)/3)</f>
        <v>4688.4305291300352</v>
      </c>
      <c r="EB16">
        <f>DS16*DT16/(3.6*10^6)*3600*7200*0.07</f>
        <v>851.21032826522514</v>
      </c>
      <c r="EC16">
        <f>0.499*((BM16/3.78541*15)^(-0.146))*BM16/3.78541*15*300*(1+(AF16-2)/9)</f>
        <v>38614.447386146239</v>
      </c>
      <c r="ED16">
        <f>0.248*((BM16/3.78541*15)^(-0.144))*BM16/3.78541*15*300*(1+(AF16-2)/3)</f>
        <v>34954.37320206991</v>
      </c>
      <c r="EE16">
        <f>0.105*((BM16/3.78541*15)^(-0.144))*BM16/3.78541*15*300*(1+(AF16-2)/3)</f>
        <v>14799.230589586048</v>
      </c>
      <c r="EF16">
        <f>0.058*((BM16/3.78541*15)^(-0.151))*BM16/3.78541*15*300*(1+(AF16-2)/3)</f>
        <v>7843.8565170460224</v>
      </c>
      <c r="EG16">
        <f>0.056*((BM16/3.78541*15)^(-0.144))*BM16/3.78541*15*300*(1+(AF16-2)/3)</f>
        <v>7892.9229811125624</v>
      </c>
      <c r="EH16">
        <f>DS16*DU16/(3.6*10^6)*3600*7200*0.07</f>
        <v>428.34547961950182</v>
      </c>
      <c r="EI16">
        <f>SUM(DW16:EH16)</f>
        <v>174555.71339959546</v>
      </c>
      <c r="EJ16">
        <f>EI16+DR16+DL16</f>
        <v>39951888.929394409</v>
      </c>
      <c r="EK16">
        <f>EJ16+DF16</f>
        <v>40576092.346963964</v>
      </c>
      <c r="EL16">
        <f>EK16/(BK16*60*7200)</f>
        <v>0.93926139692046218</v>
      </c>
      <c r="EM16">
        <f>EK16/(BM16*(AM16*195.084/1000+AN16*106.42/1000+AO16*102.911/1000)*60*7200)</f>
        <v>3141.6745020938292</v>
      </c>
      <c r="EN16">
        <f>EK16/(BN16*BA16*(AP16*195.084/1000+AQ16*106.42/1000+AR16*102.911/1000)*60*7200)</f>
        <v>5747.080836606945</v>
      </c>
    </row>
    <row r="17" spans="1:144">
      <c r="A17">
        <f>'Costing 100 Lmin Feed Orig'!A17</f>
        <v>4</v>
      </c>
      <c r="B17">
        <f>'Costing 100 Lmin Feed Orig'!B17</f>
        <v>1.54143585092054E-3</v>
      </c>
      <c r="C17">
        <f>'Costing 100 Lmin Feed Orig'!C17</f>
        <v>1.54143585092054E-3</v>
      </c>
      <c r="D17">
        <f>'Costing 100 Lmin Feed Orig'!D17</f>
        <v>3.4254130020456501E-4</v>
      </c>
      <c r="E17">
        <f>'Costing 100 Lmin Feed Orig'!E17</f>
        <v>0</v>
      </c>
      <c r="F17">
        <f>'Costing 100 Lmin Feed Orig'!F17</f>
        <v>0</v>
      </c>
      <c r="G17">
        <f>'Costing 100 Lmin Feed Orig'!G17</f>
        <v>0</v>
      </c>
      <c r="H17">
        <f>'Costing 100 Lmin Feed Orig'!H17</f>
        <v>1.7208960911287699E-5</v>
      </c>
      <c r="I17">
        <f>'Costing 100 Lmin Feed Orig'!I17</f>
        <v>2.8768784818324402E-7</v>
      </c>
      <c r="J17">
        <f>'Costing 100 Lmin Feed Orig'!J17</f>
        <v>3.3243632642994598E-4</v>
      </c>
      <c r="K17">
        <f>'Costing 100 Lmin Feed Orig'!K17</f>
        <v>0.10920586178936199</v>
      </c>
      <c r="L17">
        <f>'Costing 100 Lmin Feed Orig'!L17</f>
        <v>0.110418215553449</v>
      </c>
      <c r="M17">
        <f>'Costing 100 Lmin Feed Orig'!M17</f>
        <v>7.2398825703009801E-4</v>
      </c>
      <c r="N17">
        <f>'Costing 100 Lmin Feed Orig'!N17</f>
        <v>-2.168404344971E-18</v>
      </c>
      <c r="O17">
        <f>'Costing 100 Lmin Feed Orig'!O17</f>
        <v>2.3635607360183901E-17</v>
      </c>
      <c r="P17">
        <f>'Costing 100 Lmin Feed Orig'!P17</f>
        <v>-7.4538899358378406E-20</v>
      </c>
      <c r="Q17">
        <f>'Costing 100 Lmin Feed Orig'!Q17</f>
        <v>0.13957372480144001</v>
      </c>
      <c r="R17">
        <f>'Costing 100 Lmin Feed Orig'!R17</f>
        <v>97.0499984181222</v>
      </c>
      <c r="S17">
        <f>'Costing 100 Lmin Feed Orig'!S17</f>
        <v>500</v>
      </c>
      <c r="T17">
        <f>'Costing 100 Lmin Feed Orig'!T17</f>
        <v>95</v>
      </c>
      <c r="U17">
        <f>'Costing 100 Lmin Feed Orig'!U17</f>
        <v>1</v>
      </c>
      <c r="V17">
        <f>'Costing 100 Lmin Feed Orig'!V17</f>
        <v>0.1</v>
      </c>
      <c r="W17">
        <f>'Costing 100 Lmin Feed Orig'!W17</f>
        <v>71.646723007687299</v>
      </c>
      <c r="X17" t="str">
        <f>'Costing 100 Lmin Feed Orig'!X17</f>
        <v>ddFc</v>
      </c>
      <c r="Y17">
        <f>'Costing 100 Lmin Feed Orig'!Y17</f>
        <v>1</v>
      </c>
      <c r="Z17">
        <f>'Costing 100 Lmin Feed Orig'!Z17</f>
        <v>0.28318429382522198</v>
      </c>
      <c r="AA17">
        <f>'Costing 100 Lmin Feed Orig'!AA17</f>
        <v>0.56945642916197003</v>
      </c>
      <c r="AB17">
        <f>'Costing 100 Lmin Feed Orig'!AB17</f>
        <v>3.7698628972227502E-3</v>
      </c>
      <c r="AC17">
        <f>'Costing 100 Lmin Feed Orig'!AC17</f>
        <v>1822.2107908876901</v>
      </c>
      <c r="AD17">
        <f>'Costing 100 Lmin Feed Orig'!AD17</f>
        <v>2662.6059073104898</v>
      </c>
      <c r="AE17">
        <f>'Costing 100 Lmin Feed Orig'!AE17</f>
        <v>2401.5030938442701</v>
      </c>
      <c r="AF17">
        <f>'Costing 100 Lmin Feed Orig'!AF17</f>
        <v>9</v>
      </c>
      <c r="AG17">
        <f>'Costing 100 Lmin Feed Orig'!AG17</f>
        <v>1.6481650483119699E-3</v>
      </c>
      <c r="AH17">
        <f>'Costing 100 Lmin Feed Orig'!AH17</f>
        <v>1.6664622263884801E-3</v>
      </c>
      <c r="AI17">
        <f>'Costing 100 Lmin Feed Orig'!AI17</f>
        <v>1.0926630870116399E-5</v>
      </c>
      <c r="AJ17">
        <f>'Costing 100 Lmin Feed Orig'!AJ17</f>
        <v>0</v>
      </c>
      <c r="AK17">
        <f>'Costing 100 Lmin Feed Orig'!AK17</f>
        <v>0</v>
      </c>
      <c r="AL17">
        <f>'Costing 100 Lmin Feed Orig'!AL17</f>
        <v>0</v>
      </c>
      <c r="AM17">
        <f>'Costing 100 Lmin Feed Orig'!AM17</f>
        <v>1.6111071396005901E-3</v>
      </c>
      <c r="AN17">
        <f>'Costing 100 Lmin Feed Orig'!AN17</f>
        <v>7.3940623679874496E-5</v>
      </c>
      <c r="AO17">
        <f>'Costing 100 Lmin Feed Orig'!AO17</f>
        <v>1.0854488886514799E-5</v>
      </c>
      <c r="AP17">
        <f>'Costing 100 Lmin Feed Orig'!AP17</f>
        <v>1.73252052347845E-3</v>
      </c>
      <c r="AQ17">
        <f>'Costing 100 Lmin Feed Orig'!AQ17</f>
        <v>7.4453104800508499E-2</v>
      </c>
      <c r="AR17">
        <f>'Costing 100 Lmin Feed Orig'!AR17</f>
        <v>3.37276094477029E-6</v>
      </c>
      <c r="AS17">
        <f>'Costing 100 Lmin Feed Orig'!AS17</f>
        <v>6.3475293814521601E-16</v>
      </c>
      <c r="AT17">
        <f>'Costing 100 Lmin Feed Orig'!AT17</f>
        <v>-7.9814627129692894E-14</v>
      </c>
      <c r="AU17">
        <f>'Costing 100 Lmin Feed Orig'!AU17</f>
        <v>-9.9261673506363302E-22</v>
      </c>
      <c r="AV17">
        <f>'Costing 100 Lmin Feed Orig'!AV17</f>
        <v>0.19781145533817099</v>
      </c>
      <c r="AW17">
        <f>'Costing 100 Lmin Feed Orig'!AW17</f>
        <v>99.339760037113095</v>
      </c>
      <c r="AX17">
        <f>'Costing 100 Lmin Feed Orig'!AX17</f>
        <v>500</v>
      </c>
      <c r="AY17">
        <f>'Costing 100 Lmin Feed Orig'!AY17</f>
        <v>95</v>
      </c>
      <c r="AZ17">
        <f>'Costing 100 Lmin Feed Orig'!AZ17</f>
        <v>0.92480233795174105</v>
      </c>
      <c r="BA17">
        <f>'Costing 100 Lmin Feed Orig'!BA17</f>
        <v>0.1</v>
      </c>
      <c r="BB17">
        <f>'Costing 100 Lmin Feed Orig'!BB17</f>
        <v>46.751707901381799</v>
      </c>
      <c r="BC17" t="str">
        <f>'Costing 100 Lmin Feed Orig'!BC17</f>
        <v>coeFc</v>
      </c>
      <c r="BD17">
        <f>'Costing 100 Lmin Feed Orig'!BD17</f>
        <v>1</v>
      </c>
      <c r="BE17">
        <f>'Costing 100 Lmin Feed Orig'!BE17</f>
        <v>1.8775014999999999E-2</v>
      </c>
      <c r="BF17">
        <f>'Costing 100 Lmin Feed Orig'!BF17</f>
        <v>0.10492961100000001</v>
      </c>
      <c r="BG17">
        <f>'Costing 100 Lmin Feed Orig'!BG17</f>
        <v>1.814625E-3</v>
      </c>
      <c r="BH17">
        <f>'Costing 100 Lmin Feed Orig'!BH17</f>
        <v>285.1951444</v>
      </c>
      <c r="BI17">
        <f>'Costing 100 Lmin Feed Orig'!BI17</f>
        <v>2169.8944889999998</v>
      </c>
      <c r="BJ17">
        <f>'Costing 100 Lmin Feed Orig'!BJ17</f>
        <v>866.49409060000005</v>
      </c>
      <c r="BK17">
        <f>'Costing 100 Lmin Feed Orig'!BK17</f>
        <v>100</v>
      </c>
      <c r="BL17">
        <f>'Costing 100 Lmin Feed Orig'!BL17</f>
        <v>13.957372480144</v>
      </c>
      <c r="BM17">
        <f>'Costing 100 Lmin Feed Orig'!BM17</f>
        <v>92.480233795174101</v>
      </c>
      <c r="BN17">
        <f>'Costing 100 Lmin Feed Orig'!BN17</f>
        <v>19.781145533817099</v>
      </c>
      <c r="BO17">
        <f t="shared" si="1"/>
        <v>167.488469761728</v>
      </c>
      <c r="BP17">
        <f t="shared" si="2"/>
        <v>435.18520174397617</v>
      </c>
      <c r="BQ17">
        <f t="shared" si="3"/>
        <v>16.7488469761728</v>
      </c>
      <c r="BR17">
        <f t="shared" si="4"/>
        <v>43.518520174397622</v>
      </c>
      <c r="BS17">
        <f>1.2*0.5*BL17*V17/'Oxidant Feed Composition'!$N$22</f>
        <v>8.3744234880863999</v>
      </c>
      <c r="BT17">
        <f>1.2*0.5*BN17*BA17/'Oxidant Feed Composition'!$N$22</f>
        <v>11.86868732029026</v>
      </c>
      <c r="BU17">
        <f t="shared" si="5"/>
        <v>6.9786862400720002</v>
      </c>
      <c r="BV17">
        <f t="shared" si="6"/>
        <v>9.8905727669085497</v>
      </c>
      <c r="BW17">
        <f t="shared" si="7"/>
        <v>85.501547555102107</v>
      </c>
      <c r="BX17">
        <f t="shared" si="0"/>
        <v>44.663591936460804</v>
      </c>
      <c r="BY17">
        <f t="shared" si="8"/>
        <v>212.87521255063621</v>
      </c>
      <c r="BZ17">
        <f t="shared" si="9"/>
        <v>63.299665708214718</v>
      </c>
      <c r="CA17">
        <f t="shared" si="10"/>
        <v>59.343436601451302</v>
      </c>
      <c r="CB17">
        <f>BO17*'Reagent cost'!$G$11*'Reagent cost'!$H$11</f>
        <v>2210.8478008548095</v>
      </c>
      <c r="CC17">
        <f>BP17*'Reagent cost'!$G$11*'Reagent cost'!$H$11</f>
        <v>5744.4446630204857</v>
      </c>
      <c r="CD17">
        <f>BQ17*'Reagent cost'!$C$18/1000*'Reagent cost'!$H$18</f>
        <v>2671.1136977461792</v>
      </c>
      <c r="CE17">
        <f>BR17*'Ligand cost'!$B$56*'Ligand cost'!$J$56</f>
        <v>44307.41224236018</v>
      </c>
      <c r="CF17">
        <f t="shared" si="11"/>
        <v>10</v>
      </c>
      <c r="CG17">
        <f t="shared" si="12"/>
        <v>2.7914744960288003</v>
      </c>
      <c r="CH17">
        <f t="shared" si="12"/>
        <v>3.9562291067634199</v>
      </c>
      <c r="CI17">
        <f>7963.6*(BX17/1000)^0.6*1.7*('CAPEX+OPEX'!$G$116/'CAPEX+OPEX'!$G$115)</f>
        <v>2472.9373618126128</v>
      </c>
      <c r="CJ17">
        <f>7963.6*(BY17/1000)^0.6*1.7*('CAPEX+OPEX'!$G$116/'CAPEX+OPEX'!$G$115)</f>
        <v>6311.2587327211604</v>
      </c>
      <c r="CK17">
        <f>7963.6*(BZ17/1000)^0.6*1.7*('CAPEX+OPEX'!$G$116/'CAPEX+OPEX'!$G$115)</f>
        <v>3048.4689629639438</v>
      </c>
      <c r="CL17">
        <f>7963.6*(CA17/1000)^0.6*1.7*('CAPEX+OPEX'!$G$116/'CAPEX+OPEX'!$G$115)</f>
        <v>2932.679096180294</v>
      </c>
      <c r="CM17">
        <f>'Costing 100 Lmin Feed Orig'!DE17</f>
        <v>39625.826528698344</v>
      </c>
      <c r="CN17">
        <f>'Costing 100 Lmin Feed Orig'!DF17</f>
        <v>4586243.4239371875</v>
      </c>
      <c r="CO17">
        <f>'Costing 100 Lmin Feed Orig'!DG17</f>
        <v>11794834.586807497</v>
      </c>
      <c r="CP17">
        <f>'Costing 100 Lmin Feed Orig'!DH17</f>
        <v>2275209.1661185985</v>
      </c>
      <c r="CQ17">
        <f>'Costing 100 Lmin Feed Orig'!DI17</f>
        <v>14083914.336508472</v>
      </c>
      <c r="CR17">
        <f>'Costing 100 Lmin Feed Orig'!DJ17</f>
        <v>1662824.8986326549</v>
      </c>
      <c r="CS17">
        <f>CN17*(BK17/10000)^0.72*((A17+1)/3)^0.6*('CAPEX+OPEX'!$G$116/'CAPEX+OPEX'!$G$114)</f>
        <v>528015.95740622084</v>
      </c>
      <c r="CT17">
        <f>CO17*(BK17/10000)^0.72*((A17+1)/3)^0.6*('CAPEX+OPEX'!$G$116/'CAPEX+OPEX'!$G$114)</f>
        <v>1357943.8117688675</v>
      </c>
      <c r="CU17">
        <f>CP17*(BK17/10000)^0.72*((A17+1)/3)^0.6*('CAPEX+OPEX'!$G$116/'CAPEX+OPEX'!$G$114)</f>
        <v>261945.7004565605</v>
      </c>
      <c r="CV17">
        <f>CQ17*(BK17/10000)^0.72*((A17+1)/3)^0.6*('CAPEX+OPEX'!$G$116/'CAPEX+OPEX'!$G$114)</f>
        <v>1621486.4378120217</v>
      </c>
      <c r="CW17">
        <f>CR17*(BK17/10000)^0.72*((A17+1)/3)^0.6*('CAPEX+OPEX'!$G$116/'CAPEX+OPEX'!$G$114)</f>
        <v>191441.6658016555</v>
      </c>
      <c r="CX17">
        <f t="shared" si="13"/>
        <v>3960833.5732453261</v>
      </c>
      <c r="CY17">
        <f>CN17*(BM17/10000)^0.72*((AF17+1)/3)^0.6*('CAPEX+OPEX'!$G$116/'CAPEX+OPEX'!$G$114)</f>
        <v>756519.74381347164</v>
      </c>
      <c r="CZ17">
        <f>CO17*(BM17/10000)^0.72*((AF17+1)/3)^0.6*('CAPEX+OPEX'!$G$116/'CAPEX+OPEX'!$G$114)</f>
        <v>1945606.5487849014</v>
      </c>
      <c r="DA17">
        <f>CP17*(BM17/10000)^0.72*((AF17+1)/3)^0.6*('CAPEX+OPEX'!$G$116/'CAPEX+OPEX'!$G$114)</f>
        <v>375305.12368583737</v>
      </c>
      <c r="DB17">
        <f>CQ17*(BM17/10000)^0.72*((AF17+1)/3)^0.6*('CAPEX+OPEX'!$G$116/'CAPEX+OPEX'!$G$114)</f>
        <v>2323199.682366488</v>
      </c>
      <c r="DC17">
        <f>CR17*(BM17/10000)^0.72*((AF17+1)/3)^0.6*('CAPEX+OPEX'!$G$116/'CAPEX+OPEX'!$G$114)</f>
        <v>274289.81631339306</v>
      </c>
      <c r="DD17">
        <f t="shared" si="14"/>
        <v>5674920.914964092</v>
      </c>
      <c r="DE17">
        <f>CX17+DD17+1.15*(SUM(CI17:CL17)+SUM(CB17:CE17))</f>
        <v>9715908.5251507275</v>
      </c>
      <c r="DF17">
        <f t="shared" si="15"/>
        <v>647727.23501004849</v>
      </c>
      <c r="DG17">
        <f>(BS17+BT17)*'Oxidant Feed Composition'!$N$28*60*7200</f>
        <v>22506998.32181821</v>
      </c>
      <c r="DH17">
        <f>((CG17+CH17)*'Reagent cost'!$C$17/1000*'Reagent cost'!$H$17+(CG17+CH17)*0.5*'Reagent cost'!$C$16/1000*'Reagent cost'!$H$16*1.5)*60*7200</f>
        <v>9575232.710242996</v>
      </c>
      <c r="DI17">
        <f>CF17*'Reagent cost'!$C$17/1000*'Reagent cost'!$H$17*60*7200</f>
        <v>504921.59999999998</v>
      </c>
      <c r="DJ17">
        <f t="shared" si="16"/>
        <v>79.552924638752955</v>
      </c>
      <c r="DK17">
        <f t="shared" si="17"/>
        <v>939.57051880212725</v>
      </c>
      <c r="DL17">
        <f t="shared" si="18"/>
        <v>39105806.106605574</v>
      </c>
      <c r="DM17">
        <f>BK17*(B17*(409.81+2)/1000+C17*(248.2+2*22.99)/1000+D17*(315.6+3*22.99)/1000+0.1*58.44/1000)</f>
        <v>0.70639694042110623</v>
      </c>
      <c r="DN17">
        <f>(BS17+BT17)/1000*('Oxidant Feed Composition'!$B$11*'Oxidant Feed Composition'!$O$20+'Oxidant Feed Composition'!$D$11*'Oxidant Feed Composition'!$O$21+'Oxidant Feed Composition'!$F$11*'Oxidant Feed Composition'!$O$27-'Oxidant Feed Composition'!$J$15*18.015)</f>
        <v>2.3640823839252958</v>
      </c>
      <c r="DO17">
        <f>(BU17+BV17)/1000*(0.2*368.34+0.4*58.44)</f>
        <v>1.6370603710734204</v>
      </c>
      <c r="DP17">
        <f>BK17/1000*(B17*195.08+C17*106.42+D17*102.91)</f>
        <v>4.999938342565946E-2</v>
      </c>
      <c r="DQ17">
        <f>SUM(DM17:DO17)-DP17</f>
        <v>4.6575403119941621</v>
      </c>
      <c r="DR17">
        <f>DQ17*60*7200*0.33</f>
        <v>663978.94687788771</v>
      </c>
      <c r="DS17">
        <v>1.2</v>
      </c>
      <c r="DT17">
        <f>BM17/60*(AM17*4+AN17*2+AO17*3)*96485/DV17</f>
        <v>1407.4630585814209</v>
      </c>
      <c r="DU17">
        <f>BN17*BA17*(AP17*4+AQ17*2+AR17*3)*96485/DV17/60</f>
        <v>708.2046132217464</v>
      </c>
      <c r="DV17">
        <v>0.7</v>
      </c>
      <c r="DW17">
        <f>0.499*((BK17/3.78541*15)^(-0.146))*BK17/3.78541*15*300*(1+(A17-2)/9)</f>
        <v>30272.303809866662</v>
      </c>
      <c r="DX17">
        <f>0.248*((BK17/3.78541*15)^(-0.144))*BK17/3.78541*15*300*(1+(A17-2)/3)</f>
        <v>20763.049486147294</v>
      </c>
      <c r="DY17">
        <f>0.105*((BK17/3.78541*15)^(-0.144))*BK17/3.78541*15*300*(1+(A17-2)/3)</f>
        <v>8790.8072421188135</v>
      </c>
      <c r="DZ17">
        <f>0.058*((BK17/3.78541*15)^(-0.151))*BK17/3.78541*15*300*(1+(A17-2)/3)</f>
        <v>4656.7358484871465</v>
      </c>
      <c r="EA17">
        <f>0.056*((BK17/3.78541*15)^(-0.144))*BK17/3.78541*15*300*(1+(A17-2)/3)</f>
        <v>4688.4305291300352</v>
      </c>
      <c r="EB17">
        <f>DS17*DT17/(3.6*10^6)*3600*7200*0.07</f>
        <v>851.2336578300434</v>
      </c>
      <c r="EC17">
        <f>0.499*((BM17/3.78541*15)^(-0.146))*BM17/3.78541*15*300*(1+(AF17-2)/9)</f>
        <v>41188.743878555993</v>
      </c>
      <c r="ED17">
        <f>0.248*((BM17/3.78541*15)^(-0.144))*BM17/3.78541*15*300*(1+(AF17-2)/3)</f>
        <v>38838.192446744346</v>
      </c>
      <c r="EE17">
        <f>0.105*((BM17/3.78541*15)^(-0.144))*BM17/3.78541*15*300*(1+(AF17-2)/3)</f>
        <v>16443.589543984501</v>
      </c>
      <c r="EF17">
        <f>0.058*((BM17/3.78541*15)^(-0.151))*BM17/3.78541*15*300*(1+(AF17-2)/3)</f>
        <v>8715.3961300511364</v>
      </c>
      <c r="EG17">
        <f>0.056*((BM17/3.78541*15)^(-0.144))*BM17/3.78541*15*300*(1+(AF17-2)/3)</f>
        <v>8769.9144234584019</v>
      </c>
      <c r="EH17">
        <f>DS17*DU17/(3.6*10^6)*3600*7200*0.07</f>
        <v>428.32215007651229</v>
      </c>
      <c r="EI17">
        <f>SUM(DW17:EH17)</f>
        <v>184406.71914645089</v>
      </c>
      <c r="EJ17">
        <f>EI17+DR17+DL17</f>
        <v>39954191.772629917</v>
      </c>
      <c r="EK17">
        <f>EJ17+DF17</f>
        <v>40601919.007639967</v>
      </c>
      <c r="EL17">
        <f>EK17/(BK17*60*7200)</f>
        <v>0.9398592362879622</v>
      </c>
      <c r="EM17">
        <f>EK17/(BM17*(AM17*195.084/1000+AN17*106.42/1000+AO17*102.911/1000)*60*7200)</f>
        <v>3143.587908721333</v>
      </c>
      <c r="EN17">
        <f>EK17/(BN17*BA17*(AP17*195.084/1000+AQ17*106.42/1000+AR17*102.911/1000)*60*7200)</f>
        <v>5751.0275543182443</v>
      </c>
    </row>
    <row r="18" spans="1:144">
      <c r="A18">
        <f>'Costing 100 Lmin Feed Orig'!A18</f>
        <v>4</v>
      </c>
      <c r="B18">
        <f>'Costing 100 Lmin Feed Orig'!B18</f>
        <v>1.54143585092054E-3</v>
      </c>
      <c r="C18">
        <f>'Costing 100 Lmin Feed Orig'!C18</f>
        <v>1.54143585092054E-3</v>
      </c>
      <c r="D18">
        <f>'Costing 100 Lmin Feed Orig'!D18</f>
        <v>3.4254130020456501E-4</v>
      </c>
      <c r="E18">
        <f>'Costing 100 Lmin Feed Orig'!E18</f>
        <v>0</v>
      </c>
      <c r="F18">
        <f>'Costing 100 Lmin Feed Orig'!F18</f>
        <v>0</v>
      </c>
      <c r="G18">
        <f>'Costing 100 Lmin Feed Orig'!G18</f>
        <v>0</v>
      </c>
      <c r="H18">
        <f>'Costing 100 Lmin Feed Orig'!H18</f>
        <v>1.7208960911287699E-5</v>
      </c>
      <c r="I18">
        <f>'Costing 100 Lmin Feed Orig'!I18</f>
        <v>2.8768784818324402E-7</v>
      </c>
      <c r="J18">
        <f>'Costing 100 Lmin Feed Orig'!J18</f>
        <v>3.3243632642994598E-4</v>
      </c>
      <c r="K18">
        <f>'Costing 100 Lmin Feed Orig'!K18</f>
        <v>0.10920586178936199</v>
      </c>
      <c r="L18">
        <f>'Costing 100 Lmin Feed Orig'!L18</f>
        <v>0.110418215553449</v>
      </c>
      <c r="M18">
        <f>'Costing 100 Lmin Feed Orig'!M18</f>
        <v>7.2398825703009801E-4</v>
      </c>
      <c r="N18">
        <f>'Costing 100 Lmin Feed Orig'!N18</f>
        <v>-2.168404344971E-18</v>
      </c>
      <c r="O18">
        <f>'Costing 100 Lmin Feed Orig'!O18</f>
        <v>2.3635607360183901E-17</v>
      </c>
      <c r="P18">
        <f>'Costing 100 Lmin Feed Orig'!P18</f>
        <v>-7.4538899358378406E-20</v>
      </c>
      <c r="Q18">
        <f>'Costing 100 Lmin Feed Orig'!Q18</f>
        <v>0.13957372480144001</v>
      </c>
      <c r="R18">
        <f>'Costing 100 Lmin Feed Orig'!R18</f>
        <v>97.0499984181222</v>
      </c>
      <c r="S18">
        <f>'Costing 100 Lmin Feed Orig'!S18</f>
        <v>500</v>
      </c>
      <c r="T18">
        <f>'Costing 100 Lmin Feed Orig'!T18</f>
        <v>95</v>
      </c>
      <c r="U18">
        <f>'Costing 100 Lmin Feed Orig'!U18</f>
        <v>1</v>
      </c>
      <c r="V18">
        <f>'Costing 100 Lmin Feed Orig'!V18</f>
        <v>0.1</v>
      </c>
      <c r="W18">
        <f>'Costing 100 Lmin Feed Orig'!W18</f>
        <v>71.646723007687299</v>
      </c>
      <c r="X18" t="str">
        <f>'Costing 100 Lmin Feed Orig'!X18</f>
        <v>ddFc</v>
      </c>
      <c r="Y18">
        <f>'Costing 100 Lmin Feed Orig'!Y18</f>
        <v>1</v>
      </c>
      <c r="Z18">
        <f>'Costing 100 Lmin Feed Orig'!Z18</f>
        <v>0.28318429382522198</v>
      </c>
      <c r="AA18">
        <f>'Costing 100 Lmin Feed Orig'!AA18</f>
        <v>0.56945642916197003</v>
      </c>
      <c r="AB18">
        <f>'Costing 100 Lmin Feed Orig'!AB18</f>
        <v>3.7698628972227502E-3</v>
      </c>
      <c r="AC18">
        <f>'Costing 100 Lmin Feed Orig'!AC18</f>
        <v>1822.2107908876901</v>
      </c>
      <c r="AD18">
        <f>'Costing 100 Lmin Feed Orig'!AD18</f>
        <v>2662.6059073104898</v>
      </c>
      <c r="AE18">
        <f>'Costing 100 Lmin Feed Orig'!AE18</f>
        <v>2401.5030938442701</v>
      </c>
      <c r="AF18">
        <f>'Costing 100 Lmin Feed Orig'!AF18</f>
        <v>10</v>
      </c>
      <c r="AG18">
        <f>'Costing 100 Lmin Feed Orig'!AG18</f>
        <v>1.6481650483119699E-3</v>
      </c>
      <c r="AH18">
        <f>'Costing 100 Lmin Feed Orig'!AH18</f>
        <v>1.6664622263884801E-3</v>
      </c>
      <c r="AI18">
        <f>'Costing 100 Lmin Feed Orig'!AI18</f>
        <v>1.0926630870116399E-5</v>
      </c>
      <c r="AJ18">
        <f>'Costing 100 Lmin Feed Orig'!AJ18</f>
        <v>0</v>
      </c>
      <c r="AK18">
        <f>'Costing 100 Lmin Feed Orig'!AK18</f>
        <v>0</v>
      </c>
      <c r="AL18">
        <f>'Costing 100 Lmin Feed Orig'!AL18</f>
        <v>0</v>
      </c>
      <c r="AM18">
        <f>'Costing 100 Lmin Feed Orig'!AM18</f>
        <v>1.6111196692703601E-3</v>
      </c>
      <c r="AN18">
        <f>'Costing 100 Lmin Feed Orig'!AN18</f>
        <v>7.3941259795984898E-5</v>
      </c>
      <c r="AO18">
        <f>'Costing 100 Lmin Feed Orig'!AO18</f>
        <v>1.08545122697032E-5</v>
      </c>
      <c r="AP18">
        <f>'Costing 100 Lmin Feed Orig'!AP18</f>
        <v>1.73209870318316E-3</v>
      </c>
      <c r="AQ18">
        <f>'Costing 100 Lmin Feed Orig'!AQ18</f>
        <v>7.4460123902013106E-2</v>
      </c>
      <c r="AR18">
        <f>'Costing 100 Lmin Feed Orig'!AR18</f>
        <v>3.3719869428578601E-6</v>
      </c>
      <c r="AS18">
        <f>'Costing 100 Lmin Feed Orig'!AS18</f>
        <v>4.70535543579779E-14</v>
      </c>
      <c r="AT18">
        <f>'Costing 100 Lmin Feed Orig'!AT18</f>
        <v>-4.6022981432802804E-12</v>
      </c>
      <c r="AU18">
        <f>'Costing 100 Lmin Feed Orig'!AU18</f>
        <v>6.0744173718954098E-19</v>
      </c>
      <c r="AV18">
        <f>'Costing 100 Lmin Feed Orig'!AV18</f>
        <v>0.19779272992915201</v>
      </c>
      <c r="AW18">
        <f>'Costing 100 Lmin Feed Orig'!AW18</f>
        <v>99.339974038928602</v>
      </c>
      <c r="AX18">
        <f>'Costing 100 Lmin Feed Orig'!AX18</f>
        <v>500</v>
      </c>
      <c r="AY18">
        <f>'Costing 100 Lmin Feed Orig'!AY18</f>
        <v>95</v>
      </c>
      <c r="AZ18">
        <f>'Costing 100 Lmin Feed Orig'!AZ18</f>
        <v>0.92480233795174105</v>
      </c>
      <c r="BA18">
        <f>'Costing 100 Lmin Feed Orig'!BA18</f>
        <v>0.1</v>
      </c>
      <c r="BB18">
        <f>'Costing 100 Lmin Feed Orig'!BB18</f>
        <v>46.7561339733263</v>
      </c>
      <c r="BC18" t="str">
        <f>'Costing 100 Lmin Feed Orig'!BC18</f>
        <v>coeFc</v>
      </c>
      <c r="BD18">
        <f>'Costing 100 Lmin Feed Orig'!BD18</f>
        <v>1</v>
      </c>
      <c r="BE18">
        <f>'Costing 100 Lmin Feed Orig'!BE18</f>
        <v>1.8775014999999999E-2</v>
      </c>
      <c r="BF18">
        <f>'Costing 100 Lmin Feed Orig'!BF18</f>
        <v>0.10492961100000001</v>
      </c>
      <c r="BG18">
        <f>'Costing 100 Lmin Feed Orig'!BG18</f>
        <v>1.814625E-3</v>
      </c>
      <c r="BH18">
        <f>'Costing 100 Lmin Feed Orig'!BH18</f>
        <v>285.1951444</v>
      </c>
      <c r="BI18">
        <f>'Costing 100 Lmin Feed Orig'!BI18</f>
        <v>2169.8944889999998</v>
      </c>
      <c r="BJ18">
        <f>'Costing 100 Lmin Feed Orig'!BJ18</f>
        <v>866.49409060000005</v>
      </c>
      <c r="BK18">
        <f>'Costing 100 Lmin Feed Orig'!BK18</f>
        <v>100</v>
      </c>
      <c r="BL18">
        <f>'Costing 100 Lmin Feed Orig'!BL18</f>
        <v>13.957372480144</v>
      </c>
      <c r="BM18">
        <f>'Costing 100 Lmin Feed Orig'!BM18</f>
        <v>92.480233795174101</v>
      </c>
      <c r="BN18">
        <f>'Costing 100 Lmin Feed Orig'!BN18</f>
        <v>19.7792729929152</v>
      </c>
      <c r="BO18">
        <f t="shared" si="1"/>
        <v>167.488469761728</v>
      </c>
      <c r="BP18">
        <f t="shared" si="2"/>
        <v>474.70255182996482</v>
      </c>
      <c r="BQ18">
        <f t="shared" si="3"/>
        <v>16.7488469761728</v>
      </c>
      <c r="BR18">
        <f t="shared" si="4"/>
        <v>47.470255182996482</v>
      </c>
      <c r="BS18">
        <f>1.2*0.5*BL18*V18/'Oxidant Feed Composition'!$N$22</f>
        <v>8.3744234880863999</v>
      </c>
      <c r="BT18">
        <f>1.2*0.5*BN18*BA18/'Oxidant Feed Composition'!$N$22</f>
        <v>11.867563795749119</v>
      </c>
      <c r="BU18">
        <f t="shared" si="5"/>
        <v>6.9786862400720002</v>
      </c>
      <c r="BV18">
        <f t="shared" si="6"/>
        <v>9.8896364964575998</v>
      </c>
      <c r="BW18">
        <f t="shared" si="7"/>
        <v>85.501547555102107</v>
      </c>
      <c r="BX18">
        <f t="shared" si="0"/>
        <v>44.663591936460804</v>
      </c>
      <c r="BY18">
        <f t="shared" si="8"/>
        <v>212.87521255063621</v>
      </c>
      <c r="BZ18">
        <f t="shared" si="9"/>
        <v>63.293673577328633</v>
      </c>
      <c r="CA18">
        <f t="shared" si="10"/>
        <v>59.337818978745602</v>
      </c>
      <c r="CB18">
        <f>BO18*'Reagent cost'!$G$11*'Reagent cost'!$H$11</f>
        <v>2210.8478008548095</v>
      </c>
      <c r="CC18">
        <f>BP18*'Reagent cost'!$G$11*'Reagent cost'!$H$11</f>
        <v>6266.0736841555354</v>
      </c>
      <c r="CD18">
        <f>BQ18*'Reagent cost'!$C$18/1000*'Reagent cost'!$H$18</f>
        <v>2671.1136977461792</v>
      </c>
      <c r="CE18">
        <f>BR18*'Ligand cost'!$B$56*'Ligand cost'!$J$56</f>
        <v>48330.783243876089</v>
      </c>
      <c r="CF18">
        <f t="shared" si="11"/>
        <v>10</v>
      </c>
      <c r="CG18">
        <f t="shared" si="12"/>
        <v>2.7914744960288003</v>
      </c>
      <c r="CH18">
        <f t="shared" si="12"/>
        <v>3.95585459858304</v>
      </c>
      <c r="CI18">
        <f>7963.6*(BX18/1000)^0.6*1.7*('CAPEX+OPEX'!$G$116/'CAPEX+OPEX'!$G$115)</f>
        <v>2472.9373618126128</v>
      </c>
      <c r="CJ18">
        <f>7963.6*(BY18/1000)^0.6*1.7*('CAPEX+OPEX'!$G$116/'CAPEX+OPEX'!$G$115)</f>
        <v>6311.2587327211604</v>
      </c>
      <c r="CK18">
        <f>7963.6*(BZ18/1000)^0.6*1.7*('CAPEX+OPEX'!$G$116/'CAPEX+OPEX'!$G$115)</f>
        <v>3048.2958135103663</v>
      </c>
      <c r="CL18">
        <f>7963.6*(CA18/1000)^0.6*1.7*('CAPEX+OPEX'!$G$116/'CAPEX+OPEX'!$G$115)</f>
        <v>2932.5125234550369</v>
      </c>
      <c r="CM18">
        <f>'Costing 100 Lmin Feed Orig'!DE18</f>
        <v>39625.826528698344</v>
      </c>
      <c r="CN18">
        <f>'Costing 100 Lmin Feed Orig'!DF18</f>
        <v>4586243.4239371875</v>
      </c>
      <c r="CO18">
        <f>'Costing 100 Lmin Feed Orig'!DG18</f>
        <v>11794834.586807497</v>
      </c>
      <c r="CP18">
        <f>'Costing 100 Lmin Feed Orig'!DH18</f>
        <v>2275209.1661185985</v>
      </c>
      <c r="CQ18">
        <f>'Costing 100 Lmin Feed Orig'!DI18</f>
        <v>14083914.336508472</v>
      </c>
      <c r="CR18">
        <f>'Costing 100 Lmin Feed Orig'!DJ18</f>
        <v>1662824.8986326549</v>
      </c>
      <c r="CS18">
        <f>CN18*(BK18/10000)^0.72*((A18+1)/3)^0.6*('CAPEX+OPEX'!$G$116/'CAPEX+OPEX'!$G$114)</f>
        <v>528015.95740622084</v>
      </c>
      <c r="CT18">
        <f>CO18*(BK18/10000)^0.72*((A18+1)/3)^0.6*('CAPEX+OPEX'!$G$116/'CAPEX+OPEX'!$G$114)</f>
        <v>1357943.8117688675</v>
      </c>
      <c r="CU18">
        <f>CP18*(BK18/10000)^0.72*((A18+1)/3)^0.6*('CAPEX+OPEX'!$G$116/'CAPEX+OPEX'!$G$114)</f>
        <v>261945.7004565605</v>
      </c>
      <c r="CV18">
        <f>CQ18*(BK18/10000)^0.72*((A18+1)/3)^0.6*('CAPEX+OPEX'!$G$116/'CAPEX+OPEX'!$G$114)</f>
        <v>1621486.4378120217</v>
      </c>
      <c r="CW18">
        <f>CR18*(BK18/10000)^0.72*((A18+1)/3)^0.6*('CAPEX+OPEX'!$G$116/'CAPEX+OPEX'!$G$114)</f>
        <v>191441.6658016555</v>
      </c>
      <c r="CX18">
        <f t="shared" si="13"/>
        <v>3960833.5732453261</v>
      </c>
      <c r="CY18">
        <f>CN18*(BM18/10000)^0.72*((AF18+1)/3)^0.6*('CAPEX+OPEX'!$G$116/'CAPEX+OPEX'!$G$114)</f>
        <v>801043.08902855217</v>
      </c>
      <c r="CZ18">
        <f>CO18*(BM18/10000)^0.72*((AF18+1)/3)^0.6*('CAPEX+OPEX'!$G$116/'CAPEX+OPEX'!$G$114)</f>
        <v>2060111.0448442006</v>
      </c>
      <c r="DA18">
        <f>CP18*(BM18/10000)^0.72*((AF18+1)/3)^0.6*('CAPEX+OPEX'!$G$116/'CAPEX+OPEX'!$G$114)</f>
        <v>397392.90093091218</v>
      </c>
      <c r="DB18">
        <f>CQ18*(BM18/10000)^0.72*((AF18+1)/3)^0.6*('CAPEX+OPEX'!$G$116/'CAPEX+OPEX'!$G$114)</f>
        <v>2459926.6115807402</v>
      </c>
      <c r="DC18">
        <f>CR18*(BM18/10000)^0.72*((AF18+1)/3)^0.6*('CAPEX+OPEX'!$G$116/'CAPEX+OPEX'!$G$114)</f>
        <v>290432.55453082855</v>
      </c>
      <c r="DD18">
        <f t="shared" si="14"/>
        <v>6008906.2009152332</v>
      </c>
      <c r="DE18">
        <f>CX18+DD18+1.15*(SUM(CI18:CL18)+SUM(CB18:CE18))</f>
        <v>10055120.170447411</v>
      </c>
      <c r="DF18">
        <f t="shared" si="15"/>
        <v>670341.34469649405</v>
      </c>
      <c r="DG18">
        <f>(BS18+BT18)*'Oxidant Feed Composition'!$N$28*60*7200</f>
        <v>22505749.147953514</v>
      </c>
      <c r="DH18">
        <f>((CG18+CH18)*'Reagent cost'!$C$17/1000*'Reagent cost'!$H$17+(CG18+CH18)*0.5*'Reagent cost'!$C$16/1000*'Reagent cost'!$H$16*1.5)*60*7200</f>
        <v>9574701.2697426248</v>
      </c>
      <c r="DI18">
        <f>CF18*'Reagent cost'!$C$17/1000*'Reagent cost'!$H$17*60*7200</f>
        <v>504921.59999999998</v>
      </c>
      <c r="DJ18">
        <f t="shared" si="16"/>
        <v>84.769214850103452</v>
      </c>
      <c r="DK18">
        <f t="shared" si="17"/>
        <v>1020.0379388324454</v>
      </c>
      <c r="DL18">
        <f t="shared" si="18"/>
        <v>39103772.18981979</v>
      </c>
      <c r="DM18">
        <f>BK18*(B18*(409.81+2)/1000+C18*(248.2+2*22.99)/1000+D18*(315.6+3*22.99)/1000+0.1*58.44/1000)</f>
        <v>0.70639694042110623</v>
      </c>
      <c r="DN18">
        <f>(BS18+BT18)/1000*('Oxidant Feed Composition'!$B$11*'Oxidant Feed Composition'!$O$20+'Oxidant Feed Composition'!$D$11*'Oxidant Feed Composition'!$O$21+'Oxidant Feed Composition'!$F$11*'Oxidant Feed Composition'!$O$27-'Oxidant Feed Composition'!$J$15*18.015)</f>
        <v>2.3639511736285801</v>
      </c>
      <c r="DO18">
        <f>(BU18+BV18)/1000*(0.2*368.34+0.4*58.44)</f>
        <v>1.6369695116437784</v>
      </c>
      <c r="DP18">
        <f>BK18/1000*(B18*195.08+C18*106.42+D18*102.91)</f>
        <v>4.999938342565946E-2</v>
      </c>
      <c r="DQ18">
        <f>SUM(DM18:DO18)-DP18</f>
        <v>4.657318242267805</v>
      </c>
      <c r="DR18">
        <f>DQ18*60*7200*0.33</f>
        <v>663947.28861769824</v>
      </c>
      <c r="DS18">
        <v>1.2</v>
      </c>
      <c r="DT18">
        <f>BM18/60*(AM18*4+AN18*2+AO18*3)*96485/DV18</f>
        <v>1407.4739915516295</v>
      </c>
      <c r="DU18">
        <f>BN18*BA18*(AP18*4+AQ18*2+AR18*3)*96485/DV18/60</f>
        <v>708.19368228674409</v>
      </c>
      <c r="DV18">
        <v>0.7</v>
      </c>
      <c r="DW18">
        <f>0.499*((BK18/3.78541*15)^(-0.146))*BK18/3.78541*15*300*(1+(A18-2)/9)</f>
        <v>30272.303809866662</v>
      </c>
      <c r="DX18">
        <f>0.248*((BK18/3.78541*15)^(-0.144))*BK18/3.78541*15*300*(1+(A18-2)/3)</f>
        <v>20763.049486147294</v>
      </c>
      <c r="DY18">
        <f>0.105*((BK18/3.78541*15)^(-0.144))*BK18/3.78541*15*300*(1+(A18-2)/3)</f>
        <v>8790.8072421188135</v>
      </c>
      <c r="DZ18">
        <f>0.058*((BK18/3.78541*15)^(-0.151))*BK18/3.78541*15*300*(1+(A18-2)/3)</f>
        <v>4656.7358484871465</v>
      </c>
      <c r="EA18">
        <f>0.056*((BK18/3.78541*15)^(-0.144))*BK18/3.78541*15*300*(1+(A18-2)/3)</f>
        <v>4688.4305291300352</v>
      </c>
      <c r="EB18">
        <f>DS18*DT18/(3.6*10^6)*3600*7200*0.07</f>
        <v>851.24027009042561</v>
      </c>
      <c r="EC18">
        <f>0.499*((BM18/3.78541*15)^(-0.146))*BM18/3.78541*15*300*(1+(AF18-2)/9)</f>
        <v>43763.04037096574</v>
      </c>
      <c r="ED18">
        <f>0.248*((BM18/3.78541*15)^(-0.144))*BM18/3.78541*15*300*(1+(AF18-2)/3)</f>
        <v>42722.011691418775</v>
      </c>
      <c r="EE18">
        <f>0.105*((BM18/3.78541*15)^(-0.144))*BM18/3.78541*15*300*(1+(AF18-2)/3)</f>
        <v>18087.94849838295</v>
      </c>
      <c r="EF18">
        <f>0.058*((BM18/3.78541*15)^(-0.151))*BM18/3.78541*15*300*(1+(AF18-2)/3)</f>
        <v>9586.9357430562486</v>
      </c>
      <c r="EG18">
        <f>0.056*((BM18/3.78541*15)^(-0.144))*BM18/3.78541*15*300*(1+(AF18-2)/3)</f>
        <v>9646.9058658042413</v>
      </c>
      <c r="EH18">
        <f>DS18*DU18/(3.6*10^6)*3600*7200*0.07</f>
        <v>428.31553904702292</v>
      </c>
      <c r="EI18">
        <f>SUM(DW18:EH18)</f>
        <v>194257.72489451536</v>
      </c>
      <c r="EJ18">
        <f>EI18+DR18+DL18</f>
        <v>39961977.203332007</v>
      </c>
      <c r="EK18">
        <f>EJ18+DF18</f>
        <v>40632318.548028499</v>
      </c>
      <c r="EL18">
        <f>EK18/(BK18*60*7200)</f>
        <v>0.94056292935251151</v>
      </c>
      <c r="EM18">
        <f>EK18/(BM18*(AM18*195.084/1000+AN18*106.42/1000+AO18*102.911/1000)*60*7200)</f>
        <v>3145.9171133023096</v>
      </c>
      <c r="EN18">
        <f>EK18/(BN18*BA18*(AP18*195.084/1000+AQ18*106.42/1000+AR18*102.911/1000)*60*7200)</f>
        <v>5755.4153506899502</v>
      </c>
    </row>
    <row r="19" spans="1:144">
      <c r="A19">
        <f>'Costing 100 Lmin Feed Orig'!A19</f>
        <v>4</v>
      </c>
      <c r="B19">
        <f>'Costing 100 Lmin Feed Orig'!B19</f>
        <v>1.54143585092054E-3</v>
      </c>
      <c r="C19">
        <f>'Costing 100 Lmin Feed Orig'!C19</f>
        <v>1.54143585092054E-3</v>
      </c>
      <c r="D19">
        <f>'Costing 100 Lmin Feed Orig'!D19</f>
        <v>3.4254130020456501E-4</v>
      </c>
      <c r="E19">
        <f>'Costing 100 Lmin Feed Orig'!E19</f>
        <v>0</v>
      </c>
      <c r="F19">
        <f>'Costing 100 Lmin Feed Orig'!F19</f>
        <v>0</v>
      </c>
      <c r="G19">
        <f>'Costing 100 Lmin Feed Orig'!G19</f>
        <v>0</v>
      </c>
      <c r="H19">
        <f>'Costing 100 Lmin Feed Orig'!H19</f>
        <v>1.7208960911287699E-5</v>
      </c>
      <c r="I19">
        <f>'Costing 100 Lmin Feed Orig'!I19</f>
        <v>2.8768784818324402E-7</v>
      </c>
      <c r="J19">
        <f>'Costing 100 Lmin Feed Orig'!J19</f>
        <v>3.3243632642994598E-4</v>
      </c>
      <c r="K19">
        <f>'Costing 100 Lmin Feed Orig'!K19</f>
        <v>0.10920586178936199</v>
      </c>
      <c r="L19">
        <f>'Costing 100 Lmin Feed Orig'!L19</f>
        <v>0.110418215553449</v>
      </c>
      <c r="M19">
        <f>'Costing 100 Lmin Feed Orig'!M19</f>
        <v>7.2398825703009801E-4</v>
      </c>
      <c r="N19">
        <f>'Costing 100 Lmin Feed Orig'!N19</f>
        <v>-2.168404344971E-18</v>
      </c>
      <c r="O19">
        <f>'Costing 100 Lmin Feed Orig'!O19</f>
        <v>2.3635607360183901E-17</v>
      </c>
      <c r="P19">
        <f>'Costing 100 Lmin Feed Orig'!P19</f>
        <v>-7.4538899358378406E-20</v>
      </c>
      <c r="Q19">
        <f>'Costing 100 Lmin Feed Orig'!Q19</f>
        <v>0.13957372480144001</v>
      </c>
      <c r="R19">
        <f>'Costing 100 Lmin Feed Orig'!R19</f>
        <v>97.0499984181222</v>
      </c>
      <c r="S19">
        <f>'Costing 100 Lmin Feed Orig'!S19</f>
        <v>500</v>
      </c>
      <c r="T19">
        <f>'Costing 100 Lmin Feed Orig'!T19</f>
        <v>95</v>
      </c>
      <c r="U19">
        <f>'Costing 100 Lmin Feed Orig'!U19</f>
        <v>1</v>
      </c>
      <c r="V19">
        <f>'Costing 100 Lmin Feed Orig'!V19</f>
        <v>0.1</v>
      </c>
      <c r="W19">
        <f>'Costing 100 Lmin Feed Orig'!W19</f>
        <v>71.646723007687299</v>
      </c>
      <c r="X19" t="str">
        <f>'Costing 100 Lmin Feed Orig'!X19</f>
        <v>ddFc</v>
      </c>
      <c r="Y19">
        <f>'Costing 100 Lmin Feed Orig'!Y19</f>
        <v>1</v>
      </c>
      <c r="Z19">
        <f>'Costing 100 Lmin Feed Orig'!Z19</f>
        <v>0.28318429382522198</v>
      </c>
      <c r="AA19">
        <f>'Costing 100 Lmin Feed Orig'!AA19</f>
        <v>0.56945642916197003</v>
      </c>
      <c r="AB19">
        <f>'Costing 100 Lmin Feed Orig'!AB19</f>
        <v>3.7698628972227502E-3</v>
      </c>
      <c r="AC19">
        <f>'Costing 100 Lmin Feed Orig'!AC19</f>
        <v>1822.2107908876901</v>
      </c>
      <c r="AD19">
        <f>'Costing 100 Lmin Feed Orig'!AD19</f>
        <v>2662.6059073104898</v>
      </c>
      <c r="AE19">
        <f>'Costing 100 Lmin Feed Orig'!AE19</f>
        <v>2401.5030938442701</v>
      </c>
      <c r="AF19">
        <f>'Costing 100 Lmin Feed Orig'!AF19</f>
        <v>11</v>
      </c>
      <c r="AG19">
        <f>'Costing 100 Lmin Feed Orig'!AG19</f>
        <v>1.6481650483119699E-3</v>
      </c>
      <c r="AH19">
        <f>'Costing 100 Lmin Feed Orig'!AH19</f>
        <v>1.6664622263884801E-3</v>
      </c>
      <c r="AI19">
        <f>'Costing 100 Lmin Feed Orig'!AI19</f>
        <v>1.0926630870116399E-5</v>
      </c>
      <c r="AJ19">
        <f>'Costing 100 Lmin Feed Orig'!AJ19</f>
        <v>0</v>
      </c>
      <c r="AK19">
        <f>'Costing 100 Lmin Feed Orig'!AK19</f>
        <v>0</v>
      </c>
      <c r="AL19">
        <f>'Costing 100 Lmin Feed Orig'!AL19</f>
        <v>0</v>
      </c>
      <c r="AM19">
        <f>'Costing 100 Lmin Feed Orig'!AM19</f>
        <v>1.61112321598457E-3</v>
      </c>
      <c r="AN19">
        <f>'Costing 100 Lmin Feed Orig'!AN19</f>
        <v>7.3941439847443504E-5</v>
      </c>
      <c r="AO19">
        <f>'Costing 100 Lmin Feed Orig'!AO19</f>
        <v>1.08545188885599E-5</v>
      </c>
      <c r="AP19">
        <f>'Costing 100 Lmin Feed Orig'!AP19</f>
        <v>1.7319792931660401E-3</v>
      </c>
      <c r="AQ19">
        <f>'Costing 100 Lmin Feed Orig'!AQ19</f>
        <v>7.4462110887135197E-2</v>
      </c>
      <c r="AR19">
        <f>'Costing 100 Lmin Feed Orig'!AR19</f>
        <v>3.3717678364587601E-6</v>
      </c>
      <c r="AS19">
        <f>'Costing 100 Lmin Feed Orig'!AS19</f>
        <v>6.0986372202309596E-19</v>
      </c>
      <c r="AT19">
        <f>'Costing 100 Lmin Feed Orig'!AT19</f>
        <v>-1.1882855810441099E-16</v>
      </c>
      <c r="AU19">
        <f>'Costing 100 Lmin Feed Orig'!AU19</f>
        <v>-2.6999175193730801E-21</v>
      </c>
      <c r="AV19">
        <f>'Costing 100 Lmin Feed Orig'!AV19</f>
        <v>0.19778742894656101</v>
      </c>
      <c r="AW19">
        <f>'Costing 100 Lmin Feed Orig'!AW19</f>
        <v>99.340034614386695</v>
      </c>
      <c r="AX19">
        <f>'Costing 100 Lmin Feed Orig'!AX19</f>
        <v>500</v>
      </c>
      <c r="AY19">
        <f>'Costing 100 Lmin Feed Orig'!AY19</f>
        <v>95</v>
      </c>
      <c r="AZ19">
        <f>'Costing 100 Lmin Feed Orig'!AZ19</f>
        <v>0.92480233795174105</v>
      </c>
      <c r="BA19">
        <f>'Costing 100 Lmin Feed Orig'!BA19</f>
        <v>0.1</v>
      </c>
      <c r="BB19">
        <f>'Costing 100 Lmin Feed Orig'!BB19</f>
        <v>46.757387103788297</v>
      </c>
      <c r="BC19" t="str">
        <f>'Costing 100 Lmin Feed Orig'!BC19</f>
        <v>coeFc</v>
      </c>
      <c r="BD19">
        <f>'Costing 100 Lmin Feed Orig'!BD19</f>
        <v>1</v>
      </c>
      <c r="BE19">
        <f>'Costing 100 Lmin Feed Orig'!BE19</f>
        <v>1.8775014999999999E-2</v>
      </c>
      <c r="BF19">
        <f>'Costing 100 Lmin Feed Orig'!BF19</f>
        <v>0.10492961100000001</v>
      </c>
      <c r="BG19">
        <f>'Costing 100 Lmin Feed Orig'!BG19</f>
        <v>1.814625E-3</v>
      </c>
      <c r="BH19">
        <f>'Costing 100 Lmin Feed Orig'!BH19</f>
        <v>285.1951444</v>
      </c>
      <c r="BI19">
        <f>'Costing 100 Lmin Feed Orig'!BI19</f>
        <v>2169.8944889999998</v>
      </c>
      <c r="BJ19">
        <f>'Costing 100 Lmin Feed Orig'!BJ19</f>
        <v>866.49409060000005</v>
      </c>
      <c r="BK19">
        <f>'Costing 100 Lmin Feed Orig'!BK19</f>
        <v>100</v>
      </c>
      <c r="BL19">
        <f>'Costing 100 Lmin Feed Orig'!BL19</f>
        <v>13.957372480144</v>
      </c>
      <c r="BM19">
        <f>'Costing 100 Lmin Feed Orig'!BM19</f>
        <v>92.480233795174101</v>
      </c>
      <c r="BN19">
        <f>'Costing 100 Lmin Feed Orig'!BN19</f>
        <v>19.778742894656101</v>
      </c>
      <c r="BO19">
        <f t="shared" si="1"/>
        <v>167.488469761728</v>
      </c>
      <c r="BP19">
        <f t="shared" si="2"/>
        <v>514.24731526105859</v>
      </c>
      <c r="BQ19">
        <f t="shared" si="3"/>
        <v>16.7488469761728</v>
      </c>
      <c r="BR19">
        <f t="shared" si="4"/>
        <v>51.424731526105859</v>
      </c>
      <c r="BS19">
        <f>1.2*0.5*BL19*V19/'Oxidant Feed Composition'!$N$22</f>
        <v>8.3744234880863999</v>
      </c>
      <c r="BT19">
        <f>1.2*0.5*BN19*BA19/'Oxidant Feed Composition'!$N$22</f>
        <v>11.867245736793661</v>
      </c>
      <c r="BU19">
        <f t="shared" si="5"/>
        <v>6.9786862400720002</v>
      </c>
      <c r="BV19">
        <f t="shared" si="6"/>
        <v>9.8893714473280507</v>
      </c>
      <c r="BW19">
        <f t="shared" si="7"/>
        <v>85.501547555102107</v>
      </c>
      <c r="BX19">
        <f t="shared" si="0"/>
        <v>44.663591936460804</v>
      </c>
      <c r="BY19">
        <f t="shared" si="8"/>
        <v>212.87521255063621</v>
      </c>
      <c r="BZ19">
        <f t="shared" si="9"/>
        <v>63.291977262899522</v>
      </c>
      <c r="CA19">
        <f t="shared" si="10"/>
        <v>59.336228683968301</v>
      </c>
      <c r="CB19">
        <f>BO19*'Reagent cost'!$G$11*'Reagent cost'!$H$11</f>
        <v>2210.8478008548095</v>
      </c>
      <c r="CC19">
        <f>BP19*'Reagent cost'!$G$11*'Reagent cost'!$H$11</f>
        <v>6788.0645614459736</v>
      </c>
      <c r="CD19">
        <f>BQ19*'Reagent cost'!$C$18/1000*'Reagent cost'!$H$18</f>
        <v>2671.1136977461792</v>
      </c>
      <c r="CE19">
        <f>BR19*'Ligand cost'!$B$56*'Ligand cost'!$J$56</f>
        <v>52356.945274079662</v>
      </c>
      <c r="CF19">
        <f t="shared" si="11"/>
        <v>10</v>
      </c>
      <c r="CG19">
        <f t="shared" si="12"/>
        <v>2.7914744960288003</v>
      </c>
      <c r="CH19">
        <f t="shared" si="12"/>
        <v>3.9557485789312206</v>
      </c>
      <c r="CI19">
        <f>7963.6*(BX19/1000)^0.6*1.7*('CAPEX+OPEX'!$G$116/'CAPEX+OPEX'!$G$115)</f>
        <v>2472.9373618126128</v>
      </c>
      <c r="CJ19">
        <f>7963.6*(BY19/1000)^0.6*1.7*('CAPEX+OPEX'!$G$116/'CAPEX+OPEX'!$G$115)</f>
        <v>6311.2587327211604</v>
      </c>
      <c r="CK19">
        <f>7963.6*(BZ19/1000)^0.6*1.7*('CAPEX+OPEX'!$G$116/'CAPEX+OPEX'!$G$115)</f>
        <v>3048.2467953801424</v>
      </c>
      <c r="CL19">
        <f>7963.6*(CA19/1000)^0.6*1.7*('CAPEX+OPEX'!$G$116/'CAPEX+OPEX'!$G$115)</f>
        <v>2932.4653671783653</v>
      </c>
      <c r="CM19">
        <f>'Costing 100 Lmin Feed Orig'!DE19</f>
        <v>39625.826528698344</v>
      </c>
      <c r="CN19">
        <f>'Costing 100 Lmin Feed Orig'!DF19</f>
        <v>4586243.4239371875</v>
      </c>
      <c r="CO19">
        <f>'Costing 100 Lmin Feed Orig'!DG19</f>
        <v>11794834.586807497</v>
      </c>
      <c r="CP19">
        <f>'Costing 100 Lmin Feed Orig'!DH19</f>
        <v>2275209.1661185985</v>
      </c>
      <c r="CQ19">
        <f>'Costing 100 Lmin Feed Orig'!DI19</f>
        <v>14083914.336508472</v>
      </c>
      <c r="CR19">
        <f>'Costing 100 Lmin Feed Orig'!DJ19</f>
        <v>1662824.8986326549</v>
      </c>
      <c r="CS19">
        <f>CN19*(BK19/10000)^0.72*((A19+1)/3)^0.6*('CAPEX+OPEX'!$G$116/'CAPEX+OPEX'!$G$114)</f>
        <v>528015.95740622084</v>
      </c>
      <c r="CT19">
        <f>CO19*(BK19/10000)^0.72*((A19+1)/3)^0.6*('CAPEX+OPEX'!$G$116/'CAPEX+OPEX'!$G$114)</f>
        <v>1357943.8117688675</v>
      </c>
      <c r="CU19">
        <f>CP19*(BK19/10000)^0.72*((A19+1)/3)^0.6*('CAPEX+OPEX'!$G$116/'CAPEX+OPEX'!$G$114)</f>
        <v>261945.7004565605</v>
      </c>
      <c r="CV19">
        <f>CQ19*(BK19/10000)^0.72*((A19+1)/3)^0.6*('CAPEX+OPEX'!$G$116/'CAPEX+OPEX'!$G$114)</f>
        <v>1621486.4378120217</v>
      </c>
      <c r="CW19">
        <f>CR19*(BK19/10000)^0.72*((A19+1)/3)^0.6*('CAPEX+OPEX'!$G$116/'CAPEX+OPEX'!$G$114)</f>
        <v>191441.6658016555</v>
      </c>
      <c r="CX19">
        <f t="shared" si="13"/>
        <v>3960833.5732453261</v>
      </c>
      <c r="CY19">
        <f>CN19*(BM19/10000)^0.72*((AF19+1)/3)^0.6*('CAPEX+OPEX'!$G$116/'CAPEX+OPEX'!$G$114)</f>
        <v>843973.89654919889</v>
      </c>
      <c r="CZ19">
        <f>CO19*(BM19/10000)^0.72*((AF19+1)/3)^0.6*('CAPEX+OPEX'!$G$116/'CAPEX+OPEX'!$G$114)</f>
        <v>2170519.8754660604</v>
      </c>
      <c r="DA19">
        <f>CP19*(BM19/10000)^0.72*((AF19+1)/3)^0.6*('CAPEX+OPEX'!$G$116/'CAPEX+OPEX'!$G$114)</f>
        <v>418690.62932231004</v>
      </c>
      <c r="DB19">
        <f>CQ19*(BM19/10000)^0.72*((AF19+1)/3)^0.6*('CAPEX+OPEX'!$G$116/'CAPEX+OPEX'!$G$114)</f>
        <v>2591763.010050592</v>
      </c>
      <c r="DC19">
        <f>CR19*(BM19/10000)^0.72*((AF19+1)/3)^0.6*('CAPEX+OPEX'!$G$116/'CAPEX+OPEX'!$G$114)</f>
        <v>305997.88961338153</v>
      </c>
      <c r="DD19">
        <f t="shared" si="14"/>
        <v>6330945.3010015422</v>
      </c>
      <c r="DE19">
        <f>CX19+DD19+1.15*(SUM(CI19:CL19)+SUM(CB19:CE19))</f>
        <v>10382389.535776772</v>
      </c>
      <c r="DF19">
        <f t="shared" si="15"/>
        <v>692159.30238511809</v>
      </c>
      <c r="DG19">
        <f>(BS19+BT19)*'Oxidant Feed Composition'!$N$28*60*7200</f>
        <v>22505395.518887088</v>
      </c>
      <c r="DH19">
        <f>((CG19+CH19)*'Reagent cost'!$C$17/1000*'Reagent cost'!$H$17+(CG19+CH19)*0.5*'Reagent cost'!$C$16/1000*'Reagent cost'!$H$16*1.5)*60*7200</f>
        <v>9574550.8240654282</v>
      </c>
      <c r="DI19">
        <f>CF19*'Reagent cost'!$C$17/1000*'Reagent cost'!$H$17*60*7200</f>
        <v>504921.59999999998</v>
      </c>
      <c r="DJ19">
        <f t="shared" si="16"/>
        <v>89.989123623007842</v>
      </c>
      <c r="DK19">
        <f t="shared" si="17"/>
        <v>1100.5611794365168</v>
      </c>
      <c r="DL19">
        <f t="shared" si="18"/>
        <v>39103270.191906691</v>
      </c>
      <c r="DM19">
        <f>BK19*(B19*(409.81+2)/1000+C19*(248.2+2*22.99)/1000+D19*(315.6+3*22.99)/1000+0.1*58.44/1000)</f>
        <v>0.70639694042110623</v>
      </c>
      <c r="DN19">
        <f>(BS19+BT19)/1000*('Oxidant Feed Composition'!$B$11*'Oxidant Feed Composition'!$O$20+'Oxidant Feed Composition'!$D$11*'Oxidant Feed Composition'!$O$21+'Oxidant Feed Composition'!$F$11*'Oxidant Feed Composition'!$O$27-'Oxidant Feed Composition'!$J$15*18.015)</f>
        <v>2.3639140292597745</v>
      </c>
      <c r="DO19">
        <f>(BU19+BV19)/1000*(0.2*368.34+0.4*58.44)</f>
        <v>1.6369437902160502</v>
      </c>
      <c r="DP19">
        <f>BK19/1000*(B19*195.08+C19*106.42+D19*102.91)</f>
        <v>4.999938342565946E-2</v>
      </c>
      <c r="DQ19">
        <f>SUM(DM19:DO19)-DP19</f>
        <v>4.6572553764712712</v>
      </c>
      <c r="DR19">
        <f>DQ19*60*7200*0.33</f>
        <v>663938.32646974444</v>
      </c>
      <c r="DS19">
        <v>1.2</v>
      </c>
      <c r="DT19">
        <f>BM19/60*(AM19*4+AN19*2+AO19*3)*96485/DV19</f>
        <v>1407.4770862909579</v>
      </c>
      <c r="DU19">
        <f>BN19*BA19*(AP19*4+AQ19*2+AR19*3)*96485/DV19/60</f>
        <v>708.19058547617715</v>
      </c>
      <c r="DV19">
        <v>0.7</v>
      </c>
      <c r="DW19">
        <f>0.499*((BK19/3.78541*15)^(-0.146))*BK19/3.78541*15*300*(1+(A19-2)/9)</f>
        <v>30272.303809866662</v>
      </c>
      <c r="DX19">
        <f>0.248*((BK19/3.78541*15)^(-0.144))*BK19/3.78541*15*300*(1+(A19-2)/3)</f>
        <v>20763.049486147294</v>
      </c>
      <c r="DY19">
        <f>0.105*((BK19/3.78541*15)^(-0.144))*BK19/3.78541*15*300*(1+(A19-2)/3)</f>
        <v>8790.8072421188135</v>
      </c>
      <c r="DZ19">
        <f>0.058*((BK19/3.78541*15)^(-0.151))*BK19/3.78541*15*300*(1+(A19-2)/3)</f>
        <v>4656.7358484871465</v>
      </c>
      <c r="EA19">
        <f>0.056*((BK19/3.78541*15)^(-0.144))*BK19/3.78541*15*300*(1+(A19-2)/3)</f>
        <v>4688.4305291300352</v>
      </c>
      <c r="EB19">
        <f>DS19*DT19/(3.6*10^6)*3600*7200*0.07</f>
        <v>851.24214178877139</v>
      </c>
      <c r="EC19">
        <f>0.499*((BM19/3.78541*15)^(-0.146))*BM19/3.78541*15*300*(1+(AF19-2)/9)</f>
        <v>46337.336863375494</v>
      </c>
      <c r="ED19">
        <f>0.248*((BM19/3.78541*15)^(-0.144))*BM19/3.78541*15*300*(1+(AF19-2)/3)</f>
        <v>46605.830936093211</v>
      </c>
      <c r="EE19">
        <f>0.105*((BM19/3.78541*15)^(-0.144))*BM19/3.78541*15*300*(1+(AF19-2)/3)</f>
        <v>19732.307452781399</v>
      </c>
      <c r="EF19">
        <f>0.058*((BM19/3.78541*15)^(-0.151))*BM19/3.78541*15*300*(1+(AF19-2)/3)</f>
        <v>10458.475356061363</v>
      </c>
      <c r="EG19">
        <f>0.056*((BM19/3.78541*15)^(-0.144))*BM19/3.78541*15*300*(1+(AF19-2)/3)</f>
        <v>10523.897308150083</v>
      </c>
      <c r="EH19">
        <f>DS19*DU19/(3.6*10^6)*3600*7200*0.07</f>
        <v>428.31366609599201</v>
      </c>
      <c r="EI19">
        <f>SUM(DW19:EH19)</f>
        <v>204108.73064009621</v>
      </c>
      <c r="EJ19">
        <f>EI19+DR19+DL19</f>
        <v>39971317.249016531</v>
      </c>
      <c r="EK19">
        <f>EJ19+DF19</f>
        <v>40663476.551401652</v>
      </c>
      <c r="EL19">
        <f>EK19/(BK19*60*7200)</f>
        <v>0.94128417943059384</v>
      </c>
      <c r="EM19">
        <f>EK19/(BM19*(AM19*195.084/1000+AN19*106.42/1000+AO19*102.911/1000)*60*7200)</f>
        <v>3148.3225596253274</v>
      </c>
      <c r="EN19">
        <f>EK19/(BN19*BA19*(AP19*195.084/1000+AQ19*106.42/1000+AR19*102.911/1000)*60*7200)</f>
        <v>5759.8519811791612</v>
      </c>
    </row>
    <row r="20" spans="1:144">
      <c r="A20">
        <f>'Costing 100 Lmin Feed Orig'!A20</f>
        <v>4</v>
      </c>
      <c r="B20">
        <f>'Costing 100 Lmin Feed Orig'!B20</f>
        <v>1.54143585092054E-3</v>
      </c>
      <c r="C20">
        <f>'Costing 100 Lmin Feed Orig'!C20</f>
        <v>1.54143585092054E-3</v>
      </c>
      <c r="D20">
        <f>'Costing 100 Lmin Feed Orig'!D20</f>
        <v>3.4254130020456501E-4</v>
      </c>
      <c r="E20">
        <f>'Costing 100 Lmin Feed Orig'!E20</f>
        <v>0</v>
      </c>
      <c r="F20">
        <f>'Costing 100 Lmin Feed Orig'!F20</f>
        <v>0</v>
      </c>
      <c r="G20">
        <f>'Costing 100 Lmin Feed Orig'!G20</f>
        <v>0</v>
      </c>
      <c r="H20">
        <f>'Costing 100 Lmin Feed Orig'!H20</f>
        <v>1.7208960911287699E-5</v>
      </c>
      <c r="I20">
        <f>'Costing 100 Lmin Feed Orig'!I20</f>
        <v>2.8768784818324402E-7</v>
      </c>
      <c r="J20">
        <f>'Costing 100 Lmin Feed Orig'!J20</f>
        <v>3.3243632642994598E-4</v>
      </c>
      <c r="K20">
        <f>'Costing 100 Lmin Feed Orig'!K20</f>
        <v>0.10920586178936199</v>
      </c>
      <c r="L20">
        <f>'Costing 100 Lmin Feed Orig'!L20</f>
        <v>0.110418215553449</v>
      </c>
      <c r="M20">
        <f>'Costing 100 Lmin Feed Orig'!M20</f>
        <v>7.2398825703009801E-4</v>
      </c>
      <c r="N20">
        <f>'Costing 100 Lmin Feed Orig'!N20</f>
        <v>-2.168404344971E-18</v>
      </c>
      <c r="O20">
        <f>'Costing 100 Lmin Feed Orig'!O20</f>
        <v>2.3635607360183901E-17</v>
      </c>
      <c r="P20">
        <f>'Costing 100 Lmin Feed Orig'!P20</f>
        <v>-7.4538899358378406E-20</v>
      </c>
      <c r="Q20">
        <f>'Costing 100 Lmin Feed Orig'!Q20</f>
        <v>0.13957372480144001</v>
      </c>
      <c r="R20">
        <f>'Costing 100 Lmin Feed Orig'!R20</f>
        <v>97.0499984181222</v>
      </c>
      <c r="S20">
        <f>'Costing 100 Lmin Feed Orig'!S20</f>
        <v>500</v>
      </c>
      <c r="T20">
        <f>'Costing 100 Lmin Feed Orig'!T20</f>
        <v>95</v>
      </c>
      <c r="U20">
        <f>'Costing 100 Lmin Feed Orig'!U20</f>
        <v>1</v>
      </c>
      <c r="V20">
        <f>'Costing 100 Lmin Feed Orig'!V20</f>
        <v>0.1</v>
      </c>
      <c r="W20">
        <f>'Costing 100 Lmin Feed Orig'!W20</f>
        <v>71.646723007687299</v>
      </c>
      <c r="X20" t="str">
        <f>'Costing 100 Lmin Feed Orig'!X20</f>
        <v>ddFc</v>
      </c>
      <c r="Y20">
        <f>'Costing 100 Lmin Feed Orig'!Y20</f>
        <v>1</v>
      </c>
      <c r="Z20">
        <f>'Costing 100 Lmin Feed Orig'!Z20</f>
        <v>0.28318429382522198</v>
      </c>
      <c r="AA20">
        <f>'Costing 100 Lmin Feed Orig'!AA20</f>
        <v>0.56945642916197003</v>
      </c>
      <c r="AB20">
        <f>'Costing 100 Lmin Feed Orig'!AB20</f>
        <v>3.7698628972227502E-3</v>
      </c>
      <c r="AC20">
        <f>'Costing 100 Lmin Feed Orig'!AC20</f>
        <v>1822.2107908876901</v>
      </c>
      <c r="AD20">
        <f>'Costing 100 Lmin Feed Orig'!AD20</f>
        <v>2662.6059073104898</v>
      </c>
      <c r="AE20">
        <f>'Costing 100 Lmin Feed Orig'!AE20</f>
        <v>2401.5030938442701</v>
      </c>
      <c r="AF20">
        <f>'Costing 100 Lmin Feed Orig'!AF20</f>
        <v>12</v>
      </c>
      <c r="AG20">
        <f>'Costing 100 Lmin Feed Orig'!AG20</f>
        <v>1.6481650483119699E-3</v>
      </c>
      <c r="AH20">
        <f>'Costing 100 Lmin Feed Orig'!AH20</f>
        <v>1.6664622263884801E-3</v>
      </c>
      <c r="AI20">
        <f>'Costing 100 Lmin Feed Orig'!AI20</f>
        <v>1.0926630870116399E-5</v>
      </c>
      <c r="AJ20">
        <f>'Costing 100 Lmin Feed Orig'!AJ20</f>
        <v>0</v>
      </c>
      <c r="AK20">
        <f>'Costing 100 Lmin Feed Orig'!AK20</f>
        <v>0</v>
      </c>
      <c r="AL20">
        <f>'Costing 100 Lmin Feed Orig'!AL20</f>
        <v>0</v>
      </c>
      <c r="AM20">
        <f>'Costing 100 Lmin Feed Orig'!AM20</f>
        <v>1.6111242193774301E-3</v>
      </c>
      <c r="AN20">
        <f>'Costing 100 Lmin Feed Orig'!AN20</f>
        <v>7.3941490785069596E-5</v>
      </c>
      <c r="AO20">
        <f>'Costing 100 Lmin Feed Orig'!AO20</f>
        <v>1.08545207611103E-5</v>
      </c>
      <c r="AP20">
        <f>'Costing 100 Lmin Feed Orig'!AP20</f>
        <v>1.7319455084018099E-3</v>
      </c>
      <c r="AQ20">
        <f>'Costing 100 Lmin Feed Orig'!AQ20</f>
        <v>7.4462673066500798E-2</v>
      </c>
      <c r="AR20">
        <f>'Costing 100 Lmin Feed Orig'!AR20</f>
        <v>3.3717058444944401E-6</v>
      </c>
      <c r="AS20">
        <f>'Costing 100 Lmin Feed Orig'!AS20</f>
        <v>6.09863722023096E-20</v>
      </c>
      <c r="AT20">
        <f>'Costing 100 Lmin Feed Orig'!AT20</f>
        <v>-2.3852447794681001E-18</v>
      </c>
      <c r="AU20">
        <f>'Costing 100 Lmin Feed Orig'!AU20</f>
        <v>1.9719985803264101E-21</v>
      </c>
      <c r="AV20">
        <f>'Costing 100 Lmin Feed Orig'!AV20</f>
        <v>0.19778592936186601</v>
      </c>
      <c r="AW20">
        <f>'Costing 100 Lmin Feed Orig'!AW20</f>
        <v>99.340051751877695</v>
      </c>
      <c r="AX20">
        <f>'Costing 100 Lmin Feed Orig'!AX20</f>
        <v>500</v>
      </c>
      <c r="AY20">
        <f>'Costing 100 Lmin Feed Orig'!AY20</f>
        <v>95</v>
      </c>
      <c r="AZ20">
        <f>'Costing 100 Lmin Feed Orig'!AZ20</f>
        <v>0.92480233795174105</v>
      </c>
      <c r="BA20">
        <f>'Costing 100 Lmin Feed Orig'!BA20</f>
        <v>0.1</v>
      </c>
      <c r="BB20">
        <f>'Costing 100 Lmin Feed Orig'!BB20</f>
        <v>46.757741611625697</v>
      </c>
      <c r="BC20" t="str">
        <f>'Costing 100 Lmin Feed Orig'!BC20</f>
        <v>coeFc</v>
      </c>
      <c r="BD20">
        <f>'Costing 100 Lmin Feed Orig'!BD20</f>
        <v>1</v>
      </c>
      <c r="BE20">
        <f>'Costing 100 Lmin Feed Orig'!BE20</f>
        <v>1.8775014999999999E-2</v>
      </c>
      <c r="BF20">
        <f>'Costing 100 Lmin Feed Orig'!BF20</f>
        <v>0.10492961100000001</v>
      </c>
      <c r="BG20">
        <f>'Costing 100 Lmin Feed Orig'!BG20</f>
        <v>1.814625E-3</v>
      </c>
      <c r="BH20">
        <f>'Costing 100 Lmin Feed Orig'!BH20</f>
        <v>285.1951444</v>
      </c>
      <c r="BI20">
        <f>'Costing 100 Lmin Feed Orig'!BI20</f>
        <v>2169.8944889999998</v>
      </c>
      <c r="BJ20">
        <f>'Costing 100 Lmin Feed Orig'!BJ20</f>
        <v>866.49409060000005</v>
      </c>
      <c r="BK20">
        <f>'Costing 100 Lmin Feed Orig'!BK20</f>
        <v>100</v>
      </c>
      <c r="BL20">
        <f>'Costing 100 Lmin Feed Orig'!BL20</f>
        <v>13.957372480144</v>
      </c>
      <c r="BM20">
        <f>'Costing 100 Lmin Feed Orig'!BM20</f>
        <v>92.480233795174101</v>
      </c>
      <c r="BN20">
        <f>'Costing 100 Lmin Feed Orig'!BN20</f>
        <v>19.778592936186602</v>
      </c>
      <c r="BO20">
        <f t="shared" si="1"/>
        <v>167.488469761728</v>
      </c>
      <c r="BP20">
        <f t="shared" si="2"/>
        <v>553.80060221322481</v>
      </c>
      <c r="BQ20">
        <f t="shared" si="3"/>
        <v>16.7488469761728</v>
      </c>
      <c r="BR20">
        <f t="shared" si="4"/>
        <v>55.380060221322481</v>
      </c>
      <c r="BS20">
        <f>1.2*0.5*BL20*V20/'Oxidant Feed Composition'!$N$22</f>
        <v>8.3744234880863999</v>
      </c>
      <c r="BT20">
        <f>1.2*0.5*BN20*BA20/'Oxidant Feed Composition'!$N$22</f>
        <v>11.867155761711961</v>
      </c>
      <c r="BU20">
        <f t="shared" si="5"/>
        <v>6.9786862400720002</v>
      </c>
      <c r="BV20">
        <f t="shared" si="6"/>
        <v>9.8892964680933009</v>
      </c>
      <c r="BW20">
        <f t="shared" si="7"/>
        <v>85.501547555102107</v>
      </c>
      <c r="BX20">
        <f t="shared" si="0"/>
        <v>44.663591936460804</v>
      </c>
      <c r="BY20">
        <f t="shared" si="8"/>
        <v>212.87521255063621</v>
      </c>
      <c r="BZ20">
        <f t="shared" si="9"/>
        <v>63.291497395797123</v>
      </c>
      <c r="CA20">
        <f t="shared" si="10"/>
        <v>59.335778808559809</v>
      </c>
      <c r="CB20">
        <f>BO20*'Reagent cost'!$G$11*'Reagent cost'!$H$11</f>
        <v>2210.8478008548095</v>
      </c>
      <c r="CC20">
        <f>BP20*'Reagent cost'!$G$11*'Reagent cost'!$H$11</f>
        <v>7310.1679492145686</v>
      </c>
      <c r="CD20">
        <f>BQ20*'Reagent cost'!$C$18/1000*'Reagent cost'!$H$18</f>
        <v>2671.1136977461792</v>
      </c>
      <c r="CE20">
        <f>BR20*'Ligand cost'!$B$56*'Ligand cost'!$J$56</f>
        <v>56383.975107601007</v>
      </c>
      <c r="CF20">
        <f t="shared" si="11"/>
        <v>10</v>
      </c>
      <c r="CG20">
        <f t="shared" si="12"/>
        <v>2.7914744960288003</v>
      </c>
      <c r="CH20">
        <f t="shared" si="12"/>
        <v>3.9557185872373206</v>
      </c>
      <c r="CI20">
        <f>7963.6*(BX20/1000)^0.6*1.7*('CAPEX+OPEX'!$G$116/'CAPEX+OPEX'!$G$115)</f>
        <v>2472.9373618126128</v>
      </c>
      <c r="CJ20">
        <f>7963.6*(BY20/1000)^0.6*1.7*('CAPEX+OPEX'!$G$116/'CAPEX+OPEX'!$G$115)</f>
        <v>6311.2587327211604</v>
      </c>
      <c r="CK20">
        <f>7963.6*(BZ20/1000)^0.6*1.7*('CAPEX+OPEX'!$G$116/'CAPEX+OPEX'!$G$115)</f>
        <v>3048.2329286408958</v>
      </c>
      <c r="CL20">
        <f>7963.6*(CA20/1000)^0.6*1.7*('CAPEX+OPEX'!$G$116/'CAPEX+OPEX'!$G$115)</f>
        <v>2932.452027138886</v>
      </c>
      <c r="CM20">
        <f>'Costing 100 Lmin Feed Orig'!DE20</f>
        <v>39625.826528698344</v>
      </c>
      <c r="CN20">
        <f>'Costing 100 Lmin Feed Orig'!DF20</f>
        <v>4586243.4239371875</v>
      </c>
      <c r="CO20">
        <f>'Costing 100 Lmin Feed Orig'!DG20</f>
        <v>11794834.586807497</v>
      </c>
      <c r="CP20">
        <f>'Costing 100 Lmin Feed Orig'!DH20</f>
        <v>2275209.1661185985</v>
      </c>
      <c r="CQ20">
        <f>'Costing 100 Lmin Feed Orig'!DI20</f>
        <v>14083914.336508472</v>
      </c>
      <c r="CR20">
        <f>'Costing 100 Lmin Feed Orig'!DJ20</f>
        <v>1662824.8986326549</v>
      </c>
      <c r="CS20">
        <f>CN20*(BK20/10000)^0.72*((A20+1)/3)^0.6*('CAPEX+OPEX'!$G$116/'CAPEX+OPEX'!$G$114)</f>
        <v>528015.95740622084</v>
      </c>
      <c r="CT20">
        <f>CO20*(BK20/10000)^0.72*((A20+1)/3)^0.6*('CAPEX+OPEX'!$G$116/'CAPEX+OPEX'!$G$114)</f>
        <v>1357943.8117688675</v>
      </c>
      <c r="CU20">
        <f>CP20*(BK20/10000)^0.72*((A20+1)/3)^0.6*('CAPEX+OPEX'!$G$116/'CAPEX+OPEX'!$G$114)</f>
        <v>261945.7004565605</v>
      </c>
      <c r="CV20">
        <f>CQ20*(BK20/10000)^0.72*((A20+1)/3)^0.6*('CAPEX+OPEX'!$G$116/'CAPEX+OPEX'!$G$114)</f>
        <v>1621486.4378120217</v>
      </c>
      <c r="CW20">
        <f>CR20*(BK20/10000)^0.72*((A20+1)/3)^0.6*('CAPEX+OPEX'!$G$116/'CAPEX+OPEX'!$G$114)</f>
        <v>191441.6658016555</v>
      </c>
      <c r="CX20">
        <f t="shared" si="13"/>
        <v>3960833.5732453261</v>
      </c>
      <c r="CY20">
        <f>CN20*(BM20/10000)^0.72*((AF20+1)/3)^0.6*('CAPEX+OPEX'!$G$116/'CAPEX+OPEX'!$G$114)</f>
        <v>885495.33629599935</v>
      </c>
      <c r="CZ20">
        <f>CO20*(BM20/10000)^0.72*((AF20+1)/3)^0.6*('CAPEX+OPEX'!$G$116/'CAPEX+OPEX'!$G$114)</f>
        <v>2277304.1144062551</v>
      </c>
      <c r="DA20">
        <f>CP20*(BM20/10000)^0.72*((AF20+1)/3)^0.6*('CAPEX+OPEX'!$G$116/'CAPEX+OPEX'!$G$114)</f>
        <v>439289.17841137282</v>
      </c>
      <c r="DB20">
        <f>CQ20*(BM20/10000)^0.72*((AF20+1)/3)^0.6*('CAPEX+OPEX'!$G$116/'CAPEX+OPEX'!$G$114)</f>
        <v>2719271.3750602305</v>
      </c>
      <c r="DC20">
        <f>CR20*(BM20/10000)^0.72*((AF20+1)/3)^0.6*('CAPEX+OPEX'!$G$116/'CAPEX+OPEX'!$G$114)</f>
        <v>321052.23310454836</v>
      </c>
      <c r="DD20">
        <f t="shared" si="14"/>
        <v>6642412.2372784065</v>
      </c>
      <c r="DE20">
        <f>CX20+DD20+1.15*(SUM(CI20:CL20)+SUM(CB20:CE20))</f>
        <v>10699087.943970323</v>
      </c>
      <c r="DF20">
        <f t="shared" si="15"/>
        <v>713272.52959802153</v>
      </c>
      <c r="DG20">
        <f>(BS20+BT20)*'Oxidant Feed Composition'!$N$28*60*7200</f>
        <v>22505295.481445614</v>
      </c>
      <c r="DH20">
        <f>((CG20+CH20)*'Reagent cost'!$C$17/1000*'Reagent cost'!$H$17+(CG20+CH20)*0.5*'Reagent cost'!$C$16/1000*'Reagent cost'!$H$16*1.5)*60*7200</f>
        <v>9574508.2647792809</v>
      </c>
      <c r="DI20">
        <f>CF20*'Reagent cost'!$C$17/1000*'Reagent cost'!$H$17*60*7200</f>
        <v>504921.59999999998</v>
      </c>
      <c r="DJ20">
        <f t="shared" si="16"/>
        <v>95.210157500693782</v>
      </c>
      <c r="DK20">
        <f t="shared" si="17"/>
        <v>1181.1017761069438</v>
      </c>
      <c r="DL20">
        <f t="shared" si="18"/>
        <v>39103201.989790209</v>
      </c>
      <c r="DM20">
        <f>BK20*(B20*(409.81+2)/1000+C20*(248.2+2*22.99)/1000+D20*(315.6+3*22.99)/1000+0.1*58.44/1000)</f>
        <v>0.70639694042110623</v>
      </c>
      <c r="DN20">
        <f>(BS20+BT20)/1000*('Oxidant Feed Composition'!$B$11*'Oxidant Feed Composition'!$O$20+'Oxidant Feed Composition'!$D$11*'Oxidant Feed Composition'!$O$21+'Oxidant Feed Composition'!$F$11*'Oxidant Feed Composition'!$O$27-'Oxidant Feed Composition'!$J$15*18.015)</f>
        <v>2.3639035215612463</v>
      </c>
      <c r="DO20">
        <f>(BU20+BV20)/1000*(0.2*368.34+0.4*58.44)</f>
        <v>1.6369365139311933</v>
      </c>
      <c r="DP20">
        <f>BK20/1000*(B20*195.08+C20*106.42+D20*102.91)</f>
        <v>4.999938342565946E-2</v>
      </c>
      <c r="DQ20">
        <f>SUM(DM20:DO20)-DP20</f>
        <v>4.6572375924878857</v>
      </c>
      <c r="DR20">
        <f>DQ20*60*7200*0.33</f>
        <v>663935.79118507297</v>
      </c>
      <c r="DS20">
        <v>1.2</v>
      </c>
      <c r="DT20">
        <f>BM20/60*(AM20*4+AN20*2+AO20*3)*96485/DV20</f>
        <v>1407.4779618165098</v>
      </c>
      <c r="DU20">
        <f>BN20*BA20*(AP20*4+AQ20*2+AR20*3)*96485/DV20/60</f>
        <v>708.18970995057066</v>
      </c>
      <c r="DV20">
        <v>0.7</v>
      </c>
      <c r="DW20">
        <f>0.499*((BK20/3.78541*15)^(-0.146))*BK20/3.78541*15*300*(1+(A20-2)/9)</f>
        <v>30272.303809866662</v>
      </c>
      <c r="DX20">
        <f>0.248*((BK20/3.78541*15)^(-0.144))*BK20/3.78541*15*300*(1+(A20-2)/3)</f>
        <v>20763.049486147294</v>
      </c>
      <c r="DY20">
        <f>0.105*((BK20/3.78541*15)^(-0.144))*BK20/3.78541*15*300*(1+(A20-2)/3)</f>
        <v>8790.8072421188135</v>
      </c>
      <c r="DZ20">
        <f>0.058*((BK20/3.78541*15)^(-0.151))*BK20/3.78541*15*300*(1+(A20-2)/3)</f>
        <v>4656.7358484871465</v>
      </c>
      <c r="EA20">
        <f>0.056*((BK20/3.78541*15)^(-0.144))*BK20/3.78541*15*300*(1+(A20-2)/3)</f>
        <v>4688.4305291300352</v>
      </c>
      <c r="EB20">
        <f>DS20*DT20/(3.6*10^6)*3600*7200*0.07</f>
        <v>851.24267130662531</v>
      </c>
      <c r="EC20">
        <f>0.499*((BM20/3.78541*15)^(-0.146))*BM20/3.78541*15*300*(1+(AF20-2)/9)</f>
        <v>48911.633355785249</v>
      </c>
      <c r="ED20">
        <f>0.248*((BM20/3.78541*15)^(-0.144))*BM20/3.78541*15*300*(1+(AF20-2)/3)</f>
        <v>50489.650180767654</v>
      </c>
      <c r="EE20">
        <f>0.105*((BM20/3.78541*15)^(-0.144))*BM20/3.78541*15*300*(1+(AF20-2)/3)</f>
        <v>21376.666407179851</v>
      </c>
      <c r="EF20">
        <f>0.058*((BM20/3.78541*15)^(-0.151))*BM20/3.78541*15*300*(1+(AF20-2)/3)</f>
        <v>11330.014969066478</v>
      </c>
      <c r="EG20">
        <f>0.056*((BM20/3.78541*15)^(-0.144))*BM20/3.78541*15*300*(1+(AF20-2)/3)</f>
        <v>11400.888750495924</v>
      </c>
      <c r="EH20">
        <f>DS20*DU20/(3.6*10^6)*3600*7200*0.07</f>
        <v>428.31313657810517</v>
      </c>
      <c r="EI20">
        <f>SUM(DW20:EH20)</f>
        <v>213959.73638692981</v>
      </c>
      <c r="EJ20">
        <f>EI20+DR20+DL20</f>
        <v>39981097.517362215</v>
      </c>
      <c r="EK20">
        <f>EJ20+DF20</f>
        <v>40694370.046960235</v>
      </c>
      <c r="EL20">
        <f>EK20/(BK20*60*7200)</f>
        <v>0.94199930664259801</v>
      </c>
      <c r="EM20">
        <f>EK20/(BM20*(AM20*195.084/1000+AN20*106.42/1000+AO20*102.911/1000)*60*7200)</f>
        <v>3150.7124903237986</v>
      </c>
      <c r="EN20">
        <f>EK20/(BN20*BA20*(AP20*195.084/1000+AQ20*106.42/1000+AR20*102.911/1000)*60*7200)</f>
        <v>5764.2345147608985</v>
      </c>
    </row>
    <row r="21" spans="1:144">
      <c r="A21">
        <f>'Costing 100 Lmin Feed Orig'!A21</f>
        <v>4</v>
      </c>
      <c r="B21">
        <f>'Costing 100 Lmin Feed Orig'!B21</f>
        <v>1.54143585092054E-3</v>
      </c>
      <c r="C21">
        <f>'Costing 100 Lmin Feed Orig'!C21</f>
        <v>1.54143585092054E-3</v>
      </c>
      <c r="D21">
        <f>'Costing 100 Lmin Feed Orig'!D21</f>
        <v>3.4254130020456501E-4</v>
      </c>
      <c r="E21">
        <f>'Costing 100 Lmin Feed Orig'!E21</f>
        <v>0</v>
      </c>
      <c r="F21">
        <f>'Costing 100 Lmin Feed Orig'!F21</f>
        <v>0</v>
      </c>
      <c r="G21">
        <f>'Costing 100 Lmin Feed Orig'!G21</f>
        <v>0</v>
      </c>
      <c r="H21">
        <f>'Costing 100 Lmin Feed Orig'!H21</f>
        <v>1.7208960911287699E-5</v>
      </c>
      <c r="I21">
        <f>'Costing 100 Lmin Feed Orig'!I21</f>
        <v>2.8768784818324402E-7</v>
      </c>
      <c r="J21">
        <f>'Costing 100 Lmin Feed Orig'!J21</f>
        <v>3.3243632642994598E-4</v>
      </c>
      <c r="K21">
        <f>'Costing 100 Lmin Feed Orig'!K21</f>
        <v>0.10920586178936199</v>
      </c>
      <c r="L21">
        <f>'Costing 100 Lmin Feed Orig'!L21</f>
        <v>0.110418215553449</v>
      </c>
      <c r="M21">
        <f>'Costing 100 Lmin Feed Orig'!M21</f>
        <v>7.2398825703009801E-4</v>
      </c>
      <c r="N21">
        <f>'Costing 100 Lmin Feed Orig'!N21</f>
        <v>-2.168404344971E-18</v>
      </c>
      <c r="O21">
        <f>'Costing 100 Lmin Feed Orig'!O21</f>
        <v>2.3635607360183901E-17</v>
      </c>
      <c r="P21">
        <f>'Costing 100 Lmin Feed Orig'!P21</f>
        <v>-7.4538899358378406E-20</v>
      </c>
      <c r="Q21">
        <f>'Costing 100 Lmin Feed Orig'!Q21</f>
        <v>0.13957372480144001</v>
      </c>
      <c r="R21">
        <f>'Costing 100 Lmin Feed Orig'!R21</f>
        <v>97.0499984181222</v>
      </c>
      <c r="S21">
        <f>'Costing 100 Lmin Feed Orig'!S21</f>
        <v>500</v>
      </c>
      <c r="T21">
        <f>'Costing 100 Lmin Feed Orig'!T21</f>
        <v>95</v>
      </c>
      <c r="U21">
        <f>'Costing 100 Lmin Feed Orig'!U21</f>
        <v>1</v>
      </c>
      <c r="V21">
        <f>'Costing 100 Lmin Feed Orig'!V21</f>
        <v>0.1</v>
      </c>
      <c r="W21">
        <f>'Costing 100 Lmin Feed Orig'!W21</f>
        <v>71.646723007687299</v>
      </c>
      <c r="X21" t="str">
        <f>'Costing 100 Lmin Feed Orig'!X21</f>
        <v>ddFc</v>
      </c>
      <c r="Y21">
        <f>'Costing 100 Lmin Feed Orig'!Y21</f>
        <v>1</v>
      </c>
      <c r="Z21">
        <f>'Costing 100 Lmin Feed Orig'!Z21</f>
        <v>0.28318429382522198</v>
      </c>
      <c r="AA21">
        <f>'Costing 100 Lmin Feed Orig'!AA21</f>
        <v>0.56945642916197003</v>
      </c>
      <c r="AB21">
        <f>'Costing 100 Lmin Feed Orig'!AB21</f>
        <v>3.7698628972227502E-3</v>
      </c>
      <c r="AC21">
        <f>'Costing 100 Lmin Feed Orig'!AC21</f>
        <v>1822.2107908876901</v>
      </c>
      <c r="AD21">
        <f>'Costing 100 Lmin Feed Orig'!AD21</f>
        <v>2662.6059073104898</v>
      </c>
      <c r="AE21">
        <f>'Costing 100 Lmin Feed Orig'!AE21</f>
        <v>2401.5030938442701</v>
      </c>
      <c r="AF21">
        <f>'Costing 100 Lmin Feed Orig'!AF21</f>
        <v>13</v>
      </c>
      <c r="AG21">
        <f>'Costing 100 Lmin Feed Orig'!AG21</f>
        <v>1.6481650483119699E-3</v>
      </c>
      <c r="AH21">
        <f>'Costing 100 Lmin Feed Orig'!AH21</f>
        <v>1.6664622263884801E-3</v>
      </c>
      <c r="AI21">
        <f>'Costing 100 Lmin Feed Orig'!AI21</f>
        <v>1.0926630870116399E-5</v>
      </c>
      <c r="AJ21">
        <f>'Costing 100 Lmin Feed Orig'!AJ21</f>
        <v>0</v>
      </c>
      <c r="AK21">
        <f>'Costing 100 Lmin Feed Orig'!AK21</f>
        <v>0</v>
      </c>
      <c r="AL21">
        <f>'Costing 100 Lmin Feed Orig'!AL21</f>
        <v>0</v>
      </c>
      <c r="AM21">
        <f>'Costing 100 Lmin Feed Orig'!AM21</f>
        <v>1.6111245032140399E-3</v>
      </c>
      <c r="AN21">
        <f>'Costing 100 Lmin Feed Orig'!AN21</f>
        <v>7.3941505194138695E-5</v>
      </c>
      <c r="AO21">
        <f>'Costing 100 Lmin Feed Orig'!AO21</f>
        <v>1.08545212908117E-5</v>
      </c>
      <c r="AP21">
        <f>'Costing 100 Lmin Feed Orig'!AP21</f>
        <v>1.73193595136525E-3</v>
      </c>
      <c r="AQ21">
        <f>'Costing 100 Lmin Feed Orig'!AQ21</f>
        <v>7.4462832095842299E-2</v>
      </c>
      <c r="AR21">
        <f>'Costing 100 Lmin Feed Orig'!AR21</f>
        <v>3.3716883082028299E-6</v>
      </c>
      <c r="AS21">
        <f>'Costing 100 Lmin Feed Orig'!AS21</f>
        <v>1.3839163105419599E-16</v>
      </c>
      <c r="AT21">
        <f>'Costing 100 Lmin Feed Orig'!AT21</f>
        <v>-1.25862861799497E-14</v>
      </c>
      <c r="AU21">
        <f>'Costing 100 Lmin Feed Orig'!AU21</f>
        <v>-9.5423555464117197E-21</v>
      </c>
      <c r="AV21">
        <f>'Costing 100 Lmin Feed Orig'!AV21</f>
        <v>0.19778550516505899</v>
      </c>
      <c r="AW21">
        <f>'Costing 100 Lmin Feed Orig'!AW21</f>
        <v>99.340056599679698</v>
      </c>
      <c r="AX21">
        <f>'Costing 100 Lmin Feed Orig'!AX21</f>
        <v>500</v>
      </c>
      <c r="AY21">
        <f>'Costing 100 Lmin Feed Orig'!AY21</f>
        <v>95</v>
      </c>
      <c r="AZ21">
        <f>'Costing 100 Lmin Feed Orig'!AZ21</f>
        <v>0.92480233795174105</v>
      </c>
      <c r="BA21">
        <f>'Costing 100 Lmin Feed Orig'!BA21</f>
        <v>0.1</v>
      </c>
      <c r="BB21">
        <f>'Costing 100 Lmin Feed Orig'!BB21</f>
        <v>46.757841894427997</v>
      </c>
      <c r="BC21" t="str">
        <f>'Costing 100 Lmin Feed Orig'!BC21</f>
        <v>coeFc</v>
      </c>
      <c r="BD21">
        <f>'Costing 100 Lmin Feed Orig'!BD21</f>
        <v>1</v>
      </c>
      <c r="BE21">
        <f>'Costing 100 Lmin Feed Orig'!BE21</f>
        <v>1.8775014999999999E-2</v>
      </c>
      <c r="BF21">
        <f>'Costing 100 Lmin Feed Orig'!BF21</f>
        <v>0.10492961100000001</v>
      </c>
      <c r="BG21">
        <f>'Costing 100 Lmin Feed Orig'!BG21</f>
        <v>1.814625E-3</v>
      </c>
      <c r="BH21">
        <f>'Costing 100 Lmin Feed Orig'!BH21</f>
        <v>285.1951444</v>
      </c>
      <c r="BI21">
        <f>'Costing 100 Lmin Feed Orig'!BI21</f>
        <v>2169.8944889999998</v>
      </c>
      <c r="BJ21">
        <f>'Costing 100 Lmin Feed Orig'!BJ21</f>
        <v>866.49409060000005</v>
      </c>
      <c r="BK21">
        <f>'Costing 100 Lmin Feed Orig'!BK21</f>
        <v>100</v>
      </c>
      <c r="BL21">
        <f>'Costing 100 Lmin Feed Orig'!BL21</f>
        <v>13.957372480144</v>
      </c>
      <c r="BM21">
        <f>'Costing 100 Lmin Feed Orig'!BM21</f>
        <v>92.480233795174101</v>
      </c>
      <c r="BN21">
        <f>'Costing 100 Lmin Feed Orig'!BN21</f>
        <v>19.778550516505899</v>
      </c>
      <c r="BO21">
        <f t="shared" si="1"/>
        <v>167.488469761728</v>
      </c>
      <c r="BP21">
        <f t="shared" si="2"/>
        <v>593.35651549517695</v>
      </c>
      <c r="BQ21">
        <f t="shared" si="3"/>
        <v>16.7488469761728</v>
      </c>
      <c r="BR21">
        <f t="shared" si="4"/>
        <v>59.335651549517699</v>
      </c>
      <c r="BS21">
        <f>1.2*0.5*BL21*V21/'Oxidant Feed Composition'!$N$22</f>
        <v>8.3744234880863999</v>
      </c>
      <c r="BT21">
        <f>1.2*0.5*BN21*BA21/'Oxidant Feed Composition'!$N$22</f>
        <v>11.867130309903539</v>
      </c>
      <c r="BU21">
        <f t="shared" si="5"/>
        <v>6.9786862400720002</v>
      </c>
      <c r="BV21">
        <f t="shared" si="6"/>
        <v>9.8892752582529493</v>
      </c>
      <c r="BW21">
        <f t="shared" si="7"/>
        <v>85.501547555102107</v>
      </c>
      <c r="BX21">
        <f t="shared" si="0"/>
        <v>44.663591936460804</v>
      </c>
      <c r="BY21">
        <f t="shared" si="8"/>
        <v>212.87521255063621</v>
      </c>
      <c r="BZ21">
        <f t="shared" si="9"/>
        <v>63.291361652818878</v>
      </c>
      <c r="CA21">
        <f t="shared" si="10"/>
        <v>59.335651549517692</v>
      </c>
      <c r="CB21">
        <f>BO21*'Reagent cost'!$G$11*'Reagent cost'!$H$11</f>
        <v>2210.8478008548095</v>
      </c>
      <c r="CC21">
        <f>BP21*'Reagent cost'!$G$11*'Reagent cost'!$H$11</f>
        <v>7832.3060045363363</v>
      </c>
      <c r="CD21">
        <f>BQ21*'Reagent cost'!$C$18/1000*'Reagent cost'!$H$18</f>
        <v>2671.1136977461792</v>
      </c>
      <c r="CE21">
        <f>BR21*'Ligand cost'!$B$56*'Ligand cost'!$J$56</f>
        <v>60411.272335041176</v>
      </c>
      <c r="CF21">
        <f t="shared" si="11"/>
        <v>10</v>
      </c>
      <c r="CG21">
        <f t="shared" si="12"/>
        <v>2.7914744960288003</v>
      </c>
      <c r="CH21">
        <f t="shared" si="12"/>
        <v>3.9557101033011799</v>
      </c>
      <c r="CI21">
        <f>7963.6*(BX21/1000)^0.6*1.7*('CAPEX+OPEX'!$G$116/'CAPEX+OPEX'!$G$115)</f>
        <v>2472.9373618126128</v>
      </c>
      <c r="CJ21">
        <f>7963.6*(BY21/1000)^0.6*1.7*('CAPEX+OPEX'!$G$116/'CAPEX+OPEX'!$G$115)</f>
        <v>6311.2587327211604</v>
      </c>
      <c r="CK21">
        <f>7963.6*(BZ21/1000)^0.6*1.7*('CAPEX+OPEX'!$G$116/'CAPEX+OPEX'!$G$115)</f>
        <v>3048.2290060628816</v>
      </c>
      <c r="CL21">
        <f>7963.6*(CA21/1000)^0.6*1.7*('CAPEX+OPEX'!$G$116/'CAPEX+OPEX'!$G$115)</f>
        <v>2932.4482535519846</v>
      </c>
      <c r="CM21">
        <f>'Costing 100 Lmin Feed Orig'!DE21</f>
        <v>39625.826528698344</v>
      </c>
      <c r="CN21">
        <f>'Costing 100 Lmin Feed Orig'!DF21</f>
        <v>4586243.4239371875</v>
      </c>
      <c r="CO21">
        <f>'Costing 100 Lmin Feed Orig'!DG21</f>
        <v>11794834.586807497</v>
      </c>
      <c r="CP21">
        <f>'Costing 100 Lmin Feed Orig'!DH21</f>
        <v>2275209.1661185985</v>
      </c>
      <c r="CQ21">
        <f>'Costing 100 Lmin Feed Orig'!DI21</f>
        <v>14083914.336508472</v>
      </c>
      <c r="CR21">
        <f>'Costing 100 Lmin Feed Orig'!DJ21</f>
        <v>1662824.8986326549</v>
      </c>
      <c r="CS21">
        <f>CN21*(BK21/10000)^0.72*((A21+1)/3)^0.6*('CAPEX+OPEX'!$G$116/'CAPEX+OPEX'!$G$114)</f>
        <v>528015.95740622084</v>
      </c>
      <c r="CT21">
        <f>CO21*(BK21/10000)^0.72*((A21+1)/3)^0.6*('CAPEX+OPEX'!$G$116/'CAPEX+OPEX'!$G$114)</f>
        <v>1357943.8117688675</v>
      </c>
      <c r="CU21">
        <f>CP21*(BK21/10000)^0.72*((A21+1)/3)^0.6*('CAPEX+OPEX'!$G$116/'CAPEX+OPEX'!$G$114)</f>
        <v>261945.7004565605</v>
      </c>
      <c r="CV21">
        <f>CQ21*(BK21/10000)^0.72*((A21+1)/3)^0.6*('CAPEX+OPEX'!$G$116/'CAPEX+OPEX'!$G$114)</f>
        <v>1621486.4378120217</v>
      </c>
      <c r="CW21">
        <f>CR21*(BK21/10000)^0.72*((A21+1)/3)^0.6*('CAPEX+OPEX'!$G$116/'CAPEX+OPEX'!$G$114)</f>
        <v>191441.6658016555</v>
      </c>
      <c r="CX21">
        <f t="shared" si="13"/>
        <v>3960833.5732453261</v>
      </c>
      <c r="CY21">
        <f>CN21*(BM21/10000)^0.72*((AF21+1)/3)^0.6*('CAPEX+OPEX'!$G$116/'CAPEX+OPEX'!$G$114)</f>
        <v>925757.1782572798</v>
      </c>
      <c r="CZ21">
        <f>CO21*(BM21/10000)^0.72*((AF21+1)/3)^0.6*('CAPEX+OPEX'!$G$116/'CAPEX+OPEX'!$G$114)</f>
        <v>2380848.93795725</v>
      </c>
      <c r="DA21">
        <f>CP21*(BM21/10000)^0.72*((AF21+1)/3)^0.6*('CAPEX+OPEX'!$G$116/'CAPEX+OPEX'!$G$114)</f>
        <v>459262.8482338271</v>
      </c>
      <c r="DB21">
        <f>CQ21*(BM21/10000)^0.72*((AF21+1)/3)^0.6*('CAPEX+OPEX'!$G$116/'CAPEX+OPEX'!$G$114)</f>
        <v>2842911.6359005328</v>
      </c>
      <c r="DC21">
        <f>CR21*(BM21/10000)^0.72*((AF21+1)/3)^0.6*('CAPEX+OPEX'!$G$116/'CAPEX+OPEX'!$G$114)</f>
        <v>335649.88680269336</v>
      </c>
      <c r="DD21">
        <f t="shared" si="14"/>
        <v>6944430.4871515837</v>
      </c>
      <c r="DE21">
        <f>CX21+DD21+1.15*(SUM(CI21:CL21)+SUM(CB21:CE21))</f>
        <v>11006338.035568086</v>
      </c>
      <c r="DF21">
        <f t="shared" si="15"/>
        <v>733755.86903787241</v>
      </c>
      <c r="DG21">
        <f>(BS21+BT21)*'Oxidant Feed Composition'!$N$28*60*7200</f>
        <v>22505267.183235176</v>
      </c>
      <c r="DH21">
        <f>((CG21+CH21)*'Reagent cost'!$C$17/1000*'Reagent cost'!$H$17+(CG21+CH21)*0.5*'Reagent cost'!$C$16/1000*'Reagent cost'!$H$16*1.5)*60*7200</f>
        <v>9574496.2257705145</v>
      </c>
      <c r="DI21">
        <f>CF21*'Reagent cost'!$C$17/1000*'Reagent cost'!$H$17*60*7200</f>
        <v>504921.59999999998</v>
      </c>
      <c r="DJ21">
        <f t="shared" si="16"/>
        <v>100.43153805391147</v>
      </c>
      <c r="DK21">
        <f t="shared" si="17"/>
        <v>1261.6477206557472</v>
      </c>
      <c r="DL21">
        <f t="shared" si="18"/>
        <v>39103256.505917281</v>
      </c>
      <c r="DM21">
        <f>BK21*(B21*(409.81+2)/1000+C21*(248.2+2*22.99)/1000+D21*(315.6+3*22.99)/1000+0.1*58.44/1000)</f>
        <v>0.70639694042110623</v>
      </c>
      <c r="DN21">
        <f>(BS21+BT21)/1000*('Oxidant Feed Composition'!$B$11*'Oxidant Feed Composition'!$O$20+'Oxidant Feed Composition'!$D$11*'Oxidant Feed Composition'!$O$21+'Oxidant Feed Composition'!$F$11*'Oxidant Feed Composition'!$O$27-'Oxidant Feed Composition'!$J$15*18.015)</f>
        <v>2.3639005491835072</v>
      </c>
      <c r="DO21">
        <f>(BU21+BV21)/1000*(0.2*368.34+0.4*58.44)</f>
        <v>1.6369344556434462</v>
      </c>
      <c r="DP21">
        <f>BK21/1000*(B21*195.08+C21*106.42+D21*102.91)</f>
        <v>4.999938342565946E-2</v>
      </c>
      <c r="DQ21">
        <f>SUM(DM21:DO21)-DP21</f>
        <v>4.6572325618223998</v>
      </c>
      <c r="DR21">
        <f>DQ21*60*7200*0.33</f>
        <v>663935.0740134014</v>
      </c>
      <c r="DS21">
        <v>1.2</v>
      </c>
      <c r="DT21">
        <f>BM21/60*(AM21*4+AN21*2+AO21*3)*96485/DV21</f>
        <v>1407.4782094824159</v>
      </c>
      <c r="DU21">
        <f>BN21*BA21*(AP21*4+AQ21*2+AR21*3)*96485/DV21/60</f>
        <v>708.18946229031474</v>
      </c>
      <c r="DV21">
        <v>0.7</v>
      </c>
      <c r="DW21">
        <f>0.499*((BK21/3.78541*15)^(-0.146))*BK21/3.78541*15*300*(1+(A21-2)/9)</f>
        <v>30272.303809866662</v>
      </c>
      <c r="DX21">
        <f>0.248*((BK21/3.78541*15)^(-0.144))*BK21/3.78541*15*300*(1+(A21-2)/3)</f>
        <v>20763.049486147294</v>
      </c>
      <c r="DY21">
        <f>0.105*((BK21/3.78541*15)^(-0.144))*BK21/3.78541*15*300*(1+(A21-2)/3)</f>
        <v>8790.8072421188135</v>
      </c>
      <c r="DZ21">
        <f>0.058*((BK21/3.78541*15)^(-0.151))*BK21/3.78541*15*300*(1+(A21-2)/3)</f>
        <v>4656.7358484871465</v>
      </c>
      <c r="EA21">
        <f>0.056*((BK21/3.78541*15)^(-0.144))*BK21/3.78541*15*300*(1+(A21-2)/3)</f>
        <v>4688.4305291300352</v>
      </c>
      <c r="EB21">
        <f>DS21*DT21/(3.6*10^6)*3600*7200*0.07</f>
        <v>851.24282109496528</v>
      </c>
      <c r="EC21">
        <f>0.499*((BM21/3.78541*15)^(-0.146))*BM21/3.78541*15*300*(1+(AF21-2)/9)</f>
        <v>51485.929848194995</v>
      </c>
      <c r="ED21">
        <f>0.248*((BM21/3.78541*15)^(-0.144))*BM21/3.78541*15*300*(1+(AF21-2)/3)</f>
        <v>54373.469425442076</v>
      </c>
      <c r="EE21">
        <f>0.105*((BM21/3.78541*15)^(-0.144))*BM21/3.78541*15*300*(1+(AF21-2)/3)</f>
        <v>23021.025361578297</v>
      </c>
      <c r="EF21">
        <f>0.058*((BM21/3.78541*15)^(-0.151))*BM21/3.78541*15*300*(1+(AF21-2)/3)</f>
        <v>12201.554582071589</v>
      </c>
      <c r="EG21">
        <f>0.056*((BM21/3.78541*15)^(-0.144))*BM21/3.78541*15*300*(1+(AF21-2)/3)</f>
        <v>12277.880192841762</v>
      </c>
      <c r="EH21">
        <f>DS21*DU21/(3.6*10^6)*3600*7200*0.07</f>
        <v>428.3129867931824</v>
      </c>
      <c r="EI21">
        <f>SUM(DW21:EH21)</f>
        <v>223810.74213376676</v>
      </c>
      <c r="EJ21">
        <f>EI21+DR21+DL21</f>
        <v>39991002.322064452</v>
      </c>
      <c r="EK21">
        <f>EJ21+DF21</f>
        <v>40724758.191102326</v>
      </c>
      <c r="EL21">
        <f>EK21/(BK21*60*7200)</f>
        <v>0.94270273590514642</v>
      </c>
      <c r="EM21">
        <f>EK21/(BM21*(AM21*195.084/1000+AN21*106.42/1000+AO21*102.911/1000)*60*7200)</f>
        <v>3153.064700178913</v>
      </c>
      <c r="EN21">
        <f>EK21/(BN21*BA21*(AP21*195.084/1000+AQ21*106.42/1000+AR21*102.911/1000)*60*7200)</f>
        <v>5768.5407628916437</v>
      </c>
    </row>
    <row r="22" spans="1:144">
      <c r="A22">
        <f>'Costing 100 Lmin Feed Orig'!A22</f>
        <v>5</v>
      </c>
      <c r="B22">
        <f>'Costing 100 Lmin Feed Orig'!B22</f>
        <v>1.54143585092054E-3</v>
      </c>
      <c r="C22">
        <f>'Costing 100 Lmin Feed Orig'!C22</f>
        <v>1.54143585092054E-3</v>
      </c>
      <c r="D22">
        <f>'Costing 100 Lmin Feed Orig'!D22</f>
        <v>3.4254130020456501E-4</v>
      </c>
      <c r="E22">
        <f>'Costing 100 Lmin Feed Orig'!E22</f>
        <v>0</v>
      </c>
      <c r="F22">
        <f>'Costing 100 Lmin Feed Orig'!F22</f>
        <v>0</v>
      </c>
      <c r="G22">
        <f>'Costing 100 Lmin Feed Orig'!G22</f>
        <v>0</v>
      </c>
      <c r="H22">
        <f>'Costing 100 Lmin Feed Orig'!H22</f>
        <v>1.7558377832426001E-5</v>
      </c>
      <c r="I22">
        <f>'Costing 100 Lmin Feed Orig'!I22</f>
        <v>1.05063644964669E-7</v>
      </c>
      <c r="J22">
        <f>'Costing 100 Lmin Feed Orig'!J22</f>
        <v>3.35605387572801E-4</v>
      </c>
      <c r="K22">
        <f>'Costing 100 Lmin Feed Orig'!K22</f>
        <v>0.12557893497872399</v>
      </c>
      <c r="L22">
        <f>'Costing 100 Lmin Feed Orig'!L22</f>
        <v>0.12701721899235199</v>
      </c>
      <c r="M22">
        <f>'Costing 100 Lmin Feed Orig'!M22</f>
        <v>5.7157122982957897E-4</v>
      </c>
      <c r="N22">
        <f>'Costing 100 Lmin Feed Orig'!N22</f>
        <v>-1.88000656708986E-16</v>
      </c>
      <c r="O22">
        <f>'Costing 100 Lmin Feed Orig'!O22</f>
        <v>-6.2354635343986299E-15</v>
      </c>
      <c r="P22">
        <f>'Costing 100 Lmin Feed Orig'!P22</f>
        <v>-1.51703600853245E-18</v>
      </c>
      <c r="Q22">
        <f>'Costing 100 Lmin Feed Orig'!Q22</f>
        <v>0.121348176216534</v>
      </c>
      <c r="R22">
        <f>'Costing 100 Lmin Feed Orig'!R22</f>
        <v>97.975160184298204</v>
      </c>
      <c r="S22">
        <f>'Costing 100 Lmin Feed Orig'!S22</f>
        <v>500</v>
      </c>
      <c r="T22">
        <f>'Costing 100 Lmin Feed Orig'!T22</f>
        <v>95</v>
      </c>
      <c r="U22">
        <f>'Costing 100 Lmin Feed Orig'!U22</f>
        <v>1</v>
      </c>
      <c r="V22">
        <f>'Costing 100 Lmin Feed Orig'!V22</f>
        <v>0.1</v>
      </c>
      <c r="W22">
        <f>'Costing 100 Lmin Feed Orig'!W22</f>
        <v>82.407501388038199</v>
      </c>
      <c r="X22" t="str">
        <f>'Costing 100 Lmin Feed Orig'!X22</f>
        <v>ddFc</v>
      </c>
      <c r="Y22">
        <f>'Costing 100 Lmin Feed Orig'!Y22</f>
        <v>1</v>
      </c>
      <c r="Z22">
        <f>'Costing 100 Lmin Feed Orig'!Z22</f>
        <v>0.28318429382522198</v>
      </c>
      <c r="AA22">
        <f>'Costing 100 Lmin Feed Orig'!AA22</f>
        <v>0.56945642916197003</v>
      </c>
      <c r="AB22">
        <f>'Costing 100 Lmin Feed Orig'!AB22</f>
        <v>3.7698628972227502E-3</v>
      </c>
      <c r="AC22">
        <f>'Costing 100 Lmin Feed Orig'!AC22</f>
        <v>1822.2107908876901</v>
      </c>
      <c r="AD22">
        <f>'Costing 100 Lmin Feed Orig'!AD22</f>
        <v>2662.6059073104898</v>
      </c>
      <c r="AE22">
        <f>'Costing 100 Lmin Feed Orig'!AE22</f>
        <v>2401.5030938442701</v>
      </c>
      <c r="AF22">
        <f>'Costing 100 Lmin Feed Orig'!AF22</f>
        <v>4</v>
      </c>
      <c r="AG22">
        <f>'Costing 100 Lmin Feed Orig'!AG22</f>
        <v>1.64912412966352E-3</v>
      </c>
      <c r="AH22">
        <f>'Costing 100 Lmin Feed Orig'!AH22</f>
        <v>1.66801192221077E-3</v>
      </c>
      <c r="AI22">
        <f>'Costing 100 Lmin Feed Orig'!AI22</f>
        <v>7.5059714998626504E-6</v>
      </c>
      <c r="AJ22">
        <f>'Costing 100 Lmin Feed Orig'!AJ22</f>
        <v>0</v>
      </c>
      <c r="AK22">
        <f>'Costing 100 Lmin Feed Orig'!AK22</f>
        <v>0</v>
      </c>
      <c r="AL22">
        <f>'Costing 100 Lmin Feed Orig'!AL22</f>
        <v>0</v>
      </c>
      <c r="AM22">
        <f>'Costing 100 Lmin Feed Orig'!AM22</f>
        <v>1.6039135383284699E-3</v>
      </c>
      <c r="AN22">
        <f>'Costing 100 Lmin Feed Orig'!AN22</f>
        <v>7.6970500542168304E-5</v>
      </c>
      <c r="AO22">
        <f>'Costing 100 Lmin Feed Orig'!AO22</f>
        <v>7.4460014818516096E-6</v>
      </c>
      <c r="AP22">
        <f>'Costing 100 Lmin Feed Orig'!AP22</f>
        <v>1.9942467256961298E-3</v>
      </c>
      <c r="AQ22">
        <f>'Costing 100 Lmin Feed Orig'!AQ22</f>
        <v>7.0181102522975894E-2</v>
      </c>
      <c r="AR22">
        <f>'Costing 100 Lmin Feed Orig'!AR22</f>
        <v>2.6452874985014601E-6</v>
      </c>
      <c r="AS22">
        <f>'Costing 100 Lmin Feed Orig'!AS22</f>
        <v>2.23616698075135E-19</v>
      </c>
      <c r="AT22">
        <f>'Costing 100 Lmin Feed Orig'!AT22</f>
        <v>8.6736173798840297E-19</v>
      </c>
      <c r="AU22">
        <f>'Costing 100 Lmin Feed Orig'!AU22</f>
        <v>-4.6983858793011897E-22</v>
      </c>
      <c r="AV22">
        <f>'Costing 100 Lmin Feed Orig'!AV22</f>
        <v>0.20948744629576599</v>
      </c>
      <c r="AW22">
        <f>'Costing 100 Lmin Feed Orig'!AW22</f>
        <v>99.201035895058396</v>
      </c>
      <c r="AX22">
        <f>'Costing 100 Lmin Feed Orig'!AX22</f>
        <v>500</v>
      </c>
      <c r="AY22">
        <f>'Costing 100 Lmin Feed Orig'!AY22</f>
        <v>95</v>
      </c>
      <c r="AZ22">
        <f>'Costing 100 Lmin Feed Orig'!AZ22</f>
        <v>0.92405262022284995</v>
      </c>
      <c r="BA22">
        <f>'Costing 100 Lmin Feed Orig'!BA22</f>
        <v>0.1</v>
      </c>
      <c r="BB22">
        <f>'Costing 100 Lmin Feed Orig'!BB22</f>
        <v>44.110166817262098</v>
      </c>
      <c r="BC22" t="str">
        <f>'Costing 100 Lmin Feed Orig'!BC22</f>
        <v>coeFc</v>
      </c>
      <c r="BD22">
        <f>'Costing 100 Lmin Feed Orig'!BD22</f>
        <v>1</v>
      </c>
      <c r="BE22">
        <f>'Costing 100 Lmin Feed Orig'!BE22</f>
        <v>1.8775014999999999E-2</v>
      </c>
      <c r="BF22">
        <f>'Costing 100 Lmin Feed Orig'!BF22</f>
        <v>0.10492961100000001</v>
      </c>
      <c r="BG22">
        <f>'Costing 100 Lmin Feed Orig'!BG22</f>
        <v>1.814625E-3</v>
      </c>
      <c r="BH22">
        <f>'Costing 100 Lmin Feed Orig'!BH22</f>
        <v>285.1951444</v>
      </c>
      <c r="BI22">
        <f>'Costing 100 Lmin Feed Orig'!BI22</f>
        <v>2169.8944889999998</v>
      </c>
      <c r="BJ22">
        <f>'Costing 100 Lmin Feed Orig'!BJ22</f>
        <v>866.49409060000005</v>
      </c>
      <c r="BK22">
        <f>'Costing 100 Lmin Feed Orig'!BK22</f>
        <v>100</v>
      </c>
      <c r="BL22">
        <f>'Costing 100 Lmin Feed Orig'!BL22</f>
        <v>12.134817621653401</v>
      </c>
      <c r="BM22">
        <f>'Costing 100 Lmin Feed Orig'!BM22</f>
        <v>92.405262022285001</v>
      </c>
      <c r="BN22">
        <f>'Costing 100 Lmin Feed Orig'!BN22</f>
        <v>20.948744629576598</v>
      </c>
      <c r="BO22">
        <f t="shared" si="1"/>
        <v>169.88744670314762</v>
      </c>
      <c r="BP22">
        <f t="shared" si="2"/>
        <v>251.3849355549192</v>
      </c>
      <c r="BQ22">
        <f t="shared" si="3"/>
        <v>16.988744670314762</v>
      </c>
      <c r="BR22">
        <f t="shared" si="4"/>
        <v>25.13849355549192</v>
      </c>
      <c r="BS22">
        <f>1.2*0.5*BL22*V22/'Oxidant Feed Composition'!$N$22</f>
        <v>7.2808905729920399</v>
      </c>
      <c r="BT22">
        <f>1.2*0.5*BN22*BA22/'Oxidant Feed Composition'!$N$22</f>
        <v>12.569246777745958</v>
      </c>
      <c r="BU22">
        <f t="shared" si="5"/>
        <v>6.0674088108267004</v>
      </c>
      <c r="BV22">
        <f t="shared" si="6"/>
        <v>10.474372314788299</v>
      </c>
      <c r="BW22">
        <f t="shared" si="7"/>
        <v>86.337853211458295</v>
      </c>
      <c r="BX22">
        <f t="shared" si="0"/>
        <v>38.831416389290879</v>
      </c>
      <c r="BY22">
        <f t="shared" si="8"/>
        <v>209.0801592878768</v>
      </c>
      <c r="BZ22">
        <f t="shared" si="9"/>
        <v>67.035982814645109</v>
      </c>
      <c r="CA22">
        <f t="shared" si="10"/>
        <v>62.846233888729799</v>
      </c>
      <c r="CB22">
        <f>BO22*'Reagent cost'!$G$11*'Reagent cost'!$H$11</f>
        <v>2242.5142964815486</v>
      </c>
      <c r="CC22">
        <f>BP22*'Reagent cost'!$G$11*'Reagent cost'!$H$11</f>
        <v>3318.2811493249337</v>
      </c>
      <c r="CD22">
        <f>BQ22*'Reagent cost'!$C$18/1000*'Reagent cost'!$H$18</f>
        <v>2709.3726906065185</v>
      </c>
      <c r="CE22">
        <f>BR22*'Ligand cost'!$B$56*'Ligand cost'!$J$56</f>
        <v>25594.197427934774</v>
      </c>
      <c r="CF22">
        <f t="shared" si="11"/>
        <v>10</v>
      </c>
      <c r="CG22">
        <f t="shared" si="12"/>
        <v>2.4269635243306804</v>
      </c>
      <c r="CH22">
        <f t="shared" si="12"/>
        <v>4.1897489259153202</v>
      </c>
      <c r="CI22">
        <f>7963.6*(BX22/1000)^0.6*1.7*('CAPEX+OPEX'!$G$116/'CAPEX+OPEX'!$G$115)</f>
        <v>2273.7926954959794</v>
      </c>
      <c r="CJ22">
        <f>7963.6*(BY22/1000)^0.6*1.7*('CAPEX+OPEX'!$G$116/'CAPEX+OPEX'!$G$115)</f>
        <v>6243.5072626595684</v>
      </c>
      <c r="CK22">
        <f>7963.6*(BZ22/1000)^0.6*1.7*('CAPEX+OPEX'!$G$116/'CAPEX+OPEX'!$G$115)</f>
        <v>3155.191450244818</v>
      </c>
      <c r="CL22">
        <f>7963.6*(CA22/1000)^0.6*1.7*('CAPEX+OPEX'!$G$116/'CAPEX+OPEX'!$G$115)</f>
        <v>3035.3479477721703</v>
      </c>
      <c r="CM22">
        <f>'Costing 100 Lmin Feed Orig'!DE22</f>
        <v>39625.826528698344</v>
      </c>
      <c r="CN22">
        <f>'Costing 100 Lmin Feed Orig'!DF22</f>
        <v>4586243.4239371875</v>
      </c>
      <c r="CO22">
        <f>'Costing 100 Lmin Feed Orig'!DG22</f>
        <v>11794834.586807497</v>
      </c>
      <c r="CP22">
        <f>'Costing 100 Lmin Feed Orig'!DH22</f>
        <v>2275209.1661185985</v>
      </c>
      <c r="CQ22">
        <f>'Costing 100 Lmin Feed Orig'!DI22</f>
        <v>14083914.336508472</v>
      </c>
      <c r="CR22">
        <f>'Costing 100 Lmin Feed Orig'!DJ22</f>
        <v>1662824.8986326549</v>
      </c>
      <c r="CS22">
        <f>CN22*(BK22/10000)^0.72*((A22+1)/3)^0.6*('CAPEX+OPEX'!$G$116/'CAPEX+OPEX'!$G$114)</f>
        <v>589054.93036564998</v>
      </c>
      <c r="CT22">
        <f>CO22*(BK22/10000)^0.72*((A22+1)/3)^0.6*('CAPEX+OPEX'!$G$116/'CAPEX+OPEX'!$G$114)</f>
        <v>1514922.9606835202</v>
      </c>
      <c r="CU22">
        <f>CP22*(BK22/10000)^0.72*((A22+1)/3)^0.6*('CAPEX+OPEX'!$G$116/'CAPEX+OPEX'!$G$114)</f>
        <v>292226.78628879401</v>
      </c>
      <c r="CV22">
        <f>CQ22*(BK22/10000)^0.72*((A22+1)/3)^0.6*('CAPEX+OPEX'!$G$116/'CAPEX+OPEX'!$G$114)</f>
        <v>1808931.2781495745</v>
      </c>
      <c r="CW22">
        <f>CR22*(BK22/10000)^0.72*((A22+1)/3)^0.6*('CAPEX+OPEX'!$G$116/'CAPEX+OPEX'!$G$114)</f>
        <v>213572.44139332071</v>
      </c>
      <c r="CX22">
        <f t="shared" si="13"/>
        <v>4418708.3968808586</v>
      </c>
      <c r="CY22">
        <f>CN22*(BM22/10000)^0.72*((AF22+1)/3)^0.6*('CAPEX+OPEX'!$G$116/'CAPEX+OPEX'!$G$114)</f>
        <v>498825.5312936515</v>
      </c>
      <c r="CZ22">
        <f>CO22*(BM22/10000)^0.72*((AF22+1)/3)^0.6*('CAPEX+OPEX'!$G$116/'CAPEX+OPEX'!$G$114)</f>
        <v>1282872.2955647383</v>
      </c>
      <c r="DA22">
        <f>CP22*(BM22/10000)^0.72*((AF22+1)/3)^0.6*('CAPEX+OPEX'!$G$116/'CAPEX+OPEX'!$G$114)</f>
        <v>247464.49679702814</v>
      </c>
      <c r="DB22">
        <f>CQ22*(BM22/10000)^0.72*((AF22+1)/3)^0.6*('CAPEX+OPEX'!$G$116/'CAPEX+OPEX'!$G$114)</f>
        <v>1531845.4347484135</v>
      </c>
      <c r="DC22">
        <f>CR22*(BM22/10000)^0.72*((AF22+1)/3)^0.6*('CAPEX+OPEX'!$G$116/'CAPEX+OPEX'!$G$114)</f>
        <v>180858.15270500266</v>
      </c>
      <c r="DD22">
        <f t="shared" si="14"/>
        <v>3741865.9111088342</v>
      </c>
      <c r="DE22">
        <f>CX22+DD22+1.15*(SUM(CI22:CL22)+SUM(CB22:CE22))</f>
        <v>8216432.3436482903</v>
      </c>
      <c r="DF22">
        <f t="shared" si="15"/>
        <v>547762.15624321939</v>
      </c>
      <c r="DG22">
        <f>(BS22+BT22)*'Oxidant Feed Composition'!$N$28*60*7200</f>
        <v>22070076.69276046</v>
      </c>
      <c r="DH22">
        <f>((CG22+CH22)*'Reagent cost'!$C$17/1000*'Reagent cost'!$H$17+(CG22+CH22)*0.5*'Reagent cost'!$C$16/1000*'Reagent cost'!$H$16*1.5)*60*7200</f>
        <v>9389351.5805362966</v>
      </c>
      <c r="DI22">
        <f>CF22*'Reagent cost'!$C$17/1000*'Reagent cost'!$H$17*60*7200</f>
        <v>504921.59999999998</v>
      </c>
      <c r="DJ22">
        <f t="shared" si="16"/>
        <v>55.607954458064825</v>
      </c>
      <c r="DK22">
        <f t="shared" si="17"/>
        <v>566.07140237082581</v>
      </c>
      <c r="DL22">
        <f t="shared" si="18"/>
        <v>38357965.863184303</v>
      </c>
      <c r="DM22">
        <f>BK22*(B22*(409.81+2)/1000+C22*(248.2+2*22.99)/1000+D22*(315.6+3*22.99)/1000+0.1*58.44/1000)</f>
        <v>0.70639694042110623</v>
      </c>
      <c r="DN22">
        <f>(BS22+BT22)/1000*('Oxidant Feed Composition'!$B$11*'Oxidant Feed Composition'!$O$20+'Oxidant Feed Composition'!$D$11*'Oxidant Feed Composition'!$O$21+'Oxidant Feed Composition'!$F$11*'Oxidant Feed Composition'!$O$27-'Oxidant Feed Composition'!$J$15*18.015)</f>
        <v>2.3181891594427553</v>
      </c>
      <c r="DO22">
        <f>(BU22+BV22)/1000*(0.2*368.34+0.4*58.44)</f>
        <v>1.6052806075541819</v>
      </c>
      <c r="DP22">
        <f>BK22/1000*(B22*195.08+C22*106.42+D22*102.91)</f>
        <v>4.999938342565946E-2</v>
      </c>
      <c r="DQ22">
        <f>SUM(DM22:DO22)-DP22</f>
        <v>4.5798673239923833</v>
      </c>
      <c r="DR22">
        <f>DQ22*60*7200*0.33</f>
        <v>652905.88570835418</v>
      </c>
      <c r="DS22">
        <v>1.2</v>
      </c>
      <c r="DT22">
        <f>BM22/60*(AM22*4+AN22*2+AO22*3)*96485/DV22</f>
        <v>1399.3295607203786</v>
      </c>
      <c r="DU22">
        <f>BN22*BA22*(AP22*4+AQ22*2+AR22*3)*96485/DV22/60</f>
        <v>713.9168882708085</v>
      </c>
      <c r="DV22">
        <v>0.7</v>
      </c>
      <c r="DW22">
        <f>0.499*((BK22/3.78541*15)^(-0.146))*BK22/3.78541*15*300*(1+(A22-2)/9)</f>
        <v>33024.331428945443</v>
      </c>
      <c r="DX22">
        <f>0.248*((BK22/3.78541*15)^(-0.144))*BK22/3.78541*15*300*(1+(A22-2)/3)</f>
        <v>24915.659383376755</v>
      </c>
      <c r="DY22">
        <f>0.105*((BK22/3.78541*15)^(-0.144))*BK22/3.78541*15*300*(1+(A22-2)/3)</f>
        <v>10548.968690542577</v>
      </c>
      <c r="DZ22">
        <f>0.058*((BK22/3.78541*15)^(-0.151))*BK22/3.78541*15*300*(1+(A22-2)/3)</f>
        <v>5588.0830181845758</v>
      </c>
      <c r="EA22">
        <f>0.056*((BK22/3.78541*15)^(-0.144))*BK22/3.78541*15*300*(1+(A22-2)/3)</f>
        <v>5626.1166349560426</v>
      </c>
      <c r="EB22">
        <f>DS22*DT22/(3.6*10^6)*3600*7200*0.07</f>
        <v>846.31451832368498</v>
      </c>
      <c r="EC22">
        <f>0.499*((BM22/3.78541*15)^(-0.146))*BM22/3.78541*15*300*(1+(AF22-2)/9)</f>
        <v>28297.65565608922</v>
      </c>
      <c r="ED22">
        <f>0.248*((BM22/3.78541*15)^(-0.144))*BM22/3.78541*15*300*(1+(AF22-2)/3)</f>
        <v>19405.619727063386</v>
      </c>
      <c r="EE22">
        <f>0.105*((BM22/3.78541*15)^(-0.144))*BM22/3.78541*15*300*(1+(AF22-2)/3)</f>
        <v>8216.0889973453832</v>
      </c>
      <c r="EF22">
        <f>0.058*((BM22/3.78541*15)^(-0.151))*BM22/3.78541*15*300*(1+(AF22-2)/3)</f>
        <v>4354.6986243488573</v>
      </c>
      <c r="EG22">
        <f>0.056*((BM22/3.78541*15)^(-0.144))*BM22/3.78541*15*300*(1+(AF22-2)/3)</f>
        <v>4381.9141319175396</v>
      </c>
      <c r="EH22">
        <f>DS22*DU22/(3.6*10^6)*3600*7200*0.07</f>
        <v>431.77693402618496</v>
      </c>
      <c r="EI22">
        <f>SUM(DW22:EH22)</f>
        <v>145637.22774511963</v>
      </c>
      <c r="EJ22">
        <f>EI22+DR22+DL22</f>
        <v>39156508.976637773</v>
      </c>
      <c r="EK22">
        <f>EJ22+DF22</f>
        <v>39704271.132880993</v>
      </c>
      <c r="EL22">
        <f>EK22/(BK22*60*7200)</f>
        <v>0.91908035029817114</v>
      </c>
      <c r="EM22">
        <f>EK22/(BM22*(AM22*195.084/1000+AN22*106.42/1000+AO22*102.911/1000)*60*7200)</f>
        <v>3090.2673448852584</v>
      </c>
      <c r="EN22">
        <f>EK22/(BN22*BA22*(AP22*195.084/1000+AQ22*106.42/1000+AR22*102.911/1000)*60*7200)</f>
        <v>5583.209999273623</v>
      </c>
    </row>
    <row r="23" spans="1:144">
      <c r="A23">
        <f>'Costing 100 Lmin Feed Orig'!A23</f>
        <v>5</v>
      </c>
      <c r="B23">
        <f>'Costing 100 Lmin Feed Orig'!B23</f>
        <v>1.54143585092054E-3</v>
      </c>
      <c r="C23">
        <f>'Costing 100 Lmin Feed Orig'!C23</f>
        <v>1.54143585092054E-3</v>
      </c>
      <c r="D23">
        <f>'Costing 100 Lmin Feed Orig'!D23</f>
        <v>3.4254130020456501E-4</v>
      </c>
      <c r="E23">
        <f>'Costing 100 Lmin Feed Orig'!E23</f>
        <v>0</v>
      </c>
      <c r="F23">
        <f>'Costing 100 Lmin Feed Orig'!F23</f>
        <v>0</v>
      </c>
      <c r="G23">
        <f>'Costing 100 Lmin Feed Orig'!G23</f>
        <v>0</v>
      </c>
      <c r="H23">
        <f>'Costing 100 Lmin Feed Orig'!H23</f>
        <v>1.7558377832426001E-5</v>
      </c>
      <c r="I23">
        <f>'Costing 100 Lmin Feed Orig'!I23</f>
        <v>1.05063644964669E-7</v>
      </c>
      <c r="J23">
        <f>'Costing 100 Lmin Feed Orig'!J23</f>
        <v>3.35605387572801E-4</v>
      </c>
      <c r="K23">
        <f>'Costing 100 Lmin Feed Orig'!K23</f>
        <v>0.12557893497872399</v>
      </c>
      <c r="L23">
        <f>'Costing 100 Lmin Feed Orig'!L23</f>
        <v>0.12701721899235199</v>
      </c>
      <c r="M23">
        <f>'Costing 100 Lmin Feed Orig'!M23</f>
        <v>5.7157122982957897E-4</v>
      </c>
      <c r="N23">
        <f>'Costing 100 Lmin Feed Orig'!N23</f>
        <v>-1.88000656708986E-16</v>
      </c>
      <c r="O23">
        <f>'Costing 100 Lmin Feed Orig'!O23</f>
        <v>-6.2354635343986299E-15</v>
      </c>
      <c r="P23">
        <f>'Costing 100 Lmin Feed Orig'!P23</f>
        <v>-1.51703600853245E-18</v>
      </c>
      <c r="Q23">
        <f>'Costing 100 Lmin Feed Orig'!Q23</f>
        <v>0.121348176216534</v>
      </c>
      <c r="R23">
        <f>'Costing 100 Lmin Feed Orig'!R23</f>
        <v>97.975160184298204</v>
      </c>
      <c r="S23">
        <f>'Costing 100 Lmin Feed Orig'!S23</f>
        <v>500</v>
      </c>
      <c r="T23">
        <f>'Costing 100 Lmin Feed Orig'!T23</f>
        <v>95</v>
      </c>
      <c r="U23">
        <f>'Costing 100 Lmin Feed Orig'!U23</f>
        <v>1</v>
      </c>
      <c r="V23">
        <f>'Costing 100 Lmin Feed Orig'!V23</f>
        <v>0.1</v>
      </c>
      <c r="W23">
        <f>'Costing 100 Lmin Feed Orig'!W23</f>
        <v>82.407501388038199</v>
      </c>
      <c r="X23" t="str">
        <f>'Costing 100 Lmin Feed Orig'!X23</f>
        <v>ddFc</v>
      </c>
      <c r="Y23">
        <f>'Costing 100 Lmin Feed Orig'!Y23</f>
        <v>1</v>
      </c>
      <c r="Z23">
        <f>'Costing 100 Lmin Feed Orig'!Z23</f>
        <v>0.28318429382522198</v>
      </c>
      <c r="AA23">
        <f>'Costing 100 Lmin Feed Orig'!AA23</f>
        <v>0.56945642916197003</v>
      </c>
      <c r="AB23">
        <f>'Costing 100 Lmin Feed Orig'!AB23</f>
        <v>3.7698628972227502E-3</v>
      </c>
      <c r="AC23">
        <f>'Costing 100 Lmin Feed Orig'!AC23</f>
        <v>1822.2107908876901</v>
      </c>
      <c r="AD23">
        <f>'Costing 100 Lmin Feed Orig'!AD23</f>
        <v>2662.6059073104898</v>
      </c>
      <c r="AE23">
        <f>'Costing 100 Lmin Feed Orig'!AE23</f>
        <v>2401.5030938442701</v>
      </c>
      <c r="AF23">
        <f>'Costing 100 Lmin Feed Orig'!AF23</f>
        <v>5</v>
      </c>
      <c r="AG23">
        <f>'Costing 100 Lmin Feed Orig'!AG23</f>
        <v>1.64912412966352E-3</v>
      </c>
      <c r="AH23">
        <f>'Costing 100 Lmin Feed Orig'!AH23</f>
        <v>1.66801192221077E-3</v>
      </c>
      <c r="AI23">
        <f>'Costing 100 Lmin Feed Orig'!AI23</f>
        <v>7.5059714998626504E-6</v>
      </c>
      <c r="AJ23">
        <f>'Costing 100 Lmin Feed Orig'!AJ23</f>
        <v>0</v>
      </c>
      <c r="AK23">
        <f>'Costing 100 Lmin Feed Orig'!AK23</f>
        <v>0</v>
      </c>
      <c r="AL23">
        <f>'Costing 100 Lmin Feed Orig'!AL23</f>
        <v>0</v>
      </c>
      <c r="AM23">
        <f>'Costing 100 Lmin Feed Orig'!AM23</f>
        <v>1.6096879788713E-3</v>
      </c>
      <c r="AN23">
        <f>'Costing 100 Lmin Feed Orig'!AN23</f>
        <v>7.7267020721356303E-5</v>
      </c>
      <c r="AO23">
        <f>'Costing 100 Lmin Feed Orig'!AO23</f>
        <v>7.45339932047821E-6</v>
      </c>
      <c r="AP23">
        <f>'Costing 100 Lmin Feed Orig'!AP23</f>
        <v>1.8140228936544E-3</v>
      </c>
      <c r="AQ23">
        <f>'Costing 100 Lmin Feed Orig'!AQ23</f>
        <v>7.3172650253414503E-2</v>
      </c>
      <c r="AR23">
        <f>'Costing 100 Lmin Feed Orig'!AR23</f>
        <v>2.4182668707984701E-6</v>
      </c>
      <c r="AS23">
        <f>'Costing 100 Lmin Feed Orig'!AS23</f>
        <v>-8.2860151032204602E-17</v>
      </c>
      <c r="AT23">
        <f>'Costing 100 Lmin Feed Orig'!AT23</f>
        <v>-2.00577401909818E-16</v>
      </c>
      <c r="AU23">
        <f>'Costing 100 Lmin Feed Orig'!AU23</f>
        <v>-8.2771000814506101E-20</v>
      </c>
      <c r="AV23">
        <f>'Costing 100 Lmin Feed Orig'!AV23</f>
        <v>0.200885438649126</v>
      </c>
      <c r="AW23">
        <f>'Costing 100 Lmin Feed Orig'!AW23</f>
        <v>99.299595270440307</v>
      </c>
      <c r="AX23">
        <f>'Costing 100 Lmin Feed Orig'!AX23</f>
        <v>500</v>
      </c>
      <c r="AY23">
        <f>'Costing 100 Lmin Feed Orig'!AY23</f>
        <v>95</v>
      </c>
      <c r="AZ23">
        <f>'Costing 100 Lmin Feed Orig'!AZ23</f>
        <v>0.92405262022284995</v>
      </c>
      <c r="BA23">
        <f>'Costing 100 Lmin Feed Orig'!BA23</f>
        <v>0.1</v>
      </c>
      <c r="BB23">
        <f>'Costing 100 Lmin Feed Orig'!BB23</f>
        <v>45.998984617139399</v>
      </c>
      <c r="BC23" t="str">
        <f>'Costing 100 Lmin Feed Orig'!BC23</f>
        <v>coeFc</v>
      </c>
      <c r="BD23">
        <f>'Costing 100 Lmin Feed Orig'!BD23</f>
        <v>1</v>
      </c>
      <c r="BE23">
        <f>'Costing 100 Lmin Feed Orig'!BE23</f>
        <v>1.8775014999999999E-2</v>
      </c>
      <c r="BF23">
        <f>'Costing 100 Lmin Feed Orig'!BF23</f>
        <v>0.10492961100000001</v>
      </c>
      <c r="BG23">
        <f>'Costing 100 Lmin Feed Orig'!BG23</f>
        <v>1.814625E-3</v>
      </c>
      <c r="BH23">
        <f>'Costing 100 Lmin Feed Orig'!BH23</f>
        <v>285.1951444</v>
      </c>
      <c r="BI23">
        <f>'Costing 100 Lmin Feed Orig'!BI23</f>
        <v>2169.8944889999998</v>
      </c>
      <c r="BJ23">
        <f>'Costing 100 Lmin Feed Orig'!BJ23</f>
        <v>866.49409060000005</v>
      </c>
      <c r="BK23">
        <f>'Costing 100 Lmin Feed Orig'!BK23</f>
        <v>100</v>
      </c>
      <c r="BL23">
        <f>'Costing 100 Lmin Feed Orig'!BL23</f>
        <v>12.134817621653401</v>
      </c>
      <c r="BM23">
        <f>'Costing 100 Lmin Feed Orig'!BM23</f>
        <v>92.405262022285001</v>
      </c>
      <c r="BN23">
        <f>'Costing 100 Lmin Feed Orig'!BN23</f>
        <v>20.088543864912602</v>
      </c>
      <c r="BO23">
        <f t="shared" si="1"/>
        <v>169.88744670314762</v>
      </c>
      <c r="BP23">
        <f t="shared" si="2"/>
        <v>281.23961410877644</v>
      </c>
      <c r="BQ23">
        <f t="shared" si="3"/>
        <v>16.988744670314762</v>
      </c>
      <c r="BR23">
        <f t="shared" si="4"/>
        <v>28.123961410877644</v>
      </c>
      <c r="BS23">
        <f>1.2*0.5*BL23*V23/'Oxidant Feed Composition'!$N$22</f>
        <v>7.2808905729920399</v>
      </c>
      <c r="BT23">
        <f>1.2*0.5*BN23*BA23/'Oxidant Feed Composition'!$N$22</f>
        <v>12.053126318947562</v>
      </c>
      <c r="BU23">
        <f t="shared" si="5"/>
        <v>6.0674088108267004</v>
      </c>
      <c r="BV23">
        <f t="shared" si="6"/>
        <v>10.044271932456301</v>
      </c>
      <c r="BW23">
        <f t="shared" si="7"/>
        <v>86.337853211458295</v>
      </c>
      <c r="BX23">
        <f t="shared" si="0"/>
        <v>38.831416389290879</v>
      </c>
      <c r="BY23">
        <f t="shared" si="8"/>
        <v>209.0801592878768</v>
      </c>
      <c r="BZ23">
        <f t="shared" si="9"/>
        <v>64.283340367720328</v>
      </c>
      <c r="CA23">
        <f t="shared" si="10"/>
        <v>60.265631594737805</v>
      </c>
      <c r="CB23">
        <f>BO23*'Reagent cost'!$G$11*'Reagent cost'!$H$11</f>
        <v>2242.5142964815486</v>
      </c>
      <c r="CC23">
        <f>BP23*'Reagent cost'!$G$11*'Reagent cost'!$H$11</f>
        <v>3712.3629062358491</v>
      </c>
      <c r="CD23">
        <f>BQ23*'Reagent cost'!$C$18/1000*'Reagent cost'!$H$18</f>
        <v>2709.3726906065185</v>
      </c>
      <c r="CE23">
        <f>BR23*'Ligand cost'!$B$56*'Ligand cost'!$J$56</f>
        <v>28633.785044305765</v>
      </c>
      <c r="CF23">
        <f t="shared" si="11"/>
        <v>10</v>
      </c>
      <c r="CG23">
        <f t="shared" si="12"/>
        <v>2.4269635243306804</v>
      </c>
      <c r="CH23">
        <f t="shared" si="12"/>
        <v>4.0177087729825205</v>
      </c>
      <c r="CI23">
        <f>7963.6*(BX23/1000)^0.6*1.7*('CAPEX+OPEX'!$G$116/'CAPEX+OPEX'!$G$115)</f>
        <v>2273.7926954959794</v>
      </c>
      <c r="CJ23">
        <f>7963.6*(BY23/1000)^0.6*1.7*('CAPEX+OPEX'!$G$116/'CAPEX+OPEX'!$G$115)</f>
        <v>6243.5072626595684</v>
      </c>
      <c r="CK23">
        <f>7963.6*(BZ23/1000)^0.6*1.7*('CAPEX+OPEX'!$G$116/'CAPEX+OPEX'!$G$115)</f>
        <v>3076.8051191417244</v>
      </c>
      <c r="CL23">
        <f>7963.6*(CA23/1000)^0.6*1.7*('CAPEX+OPEX'!$G$116/'CAPEX+OPEX'!$G$115)</f>
        <v>2959.9389613448329</v>
      </c>
      <c r="CM23">
        <f>'Costing 100 Lmin Feed Orig'!DE23</f>
        <v>39625.826528698344</v>
      </c>
      <c r="CN23">
        <f>'Costing 100 Lmin Feed Orig'!DF23</f>
        <v>4586243.4239371875</v>
      </c>
      <c r="CO23">
        <f>'Costing 100 Lmin Feed Orig'!DG23</f>
        <v>11794834.586807497</v>
      </c>
      <c r="CP23">
        <f>'Costing 100 Lmin Feed Orig'!DH23</f>
        <v>2275209.1661185985</v>
      </c>
      <c r="CQ23">
        <f>'Costing 100 Lmin Feed Orig'!DI23</f>
        <v>14083914.336508472</v>
      </c>
      <c r="CR23">
        <f>'Costing 100 Lmin Feed Orig'!DJ23</f>
        <v>1662824.8986326549</v>
      </c>
      <c r="CS23">
        <f>CN23*(BK23/10000)^0.72*((A23+1)/3)^0.6*('CAPEX+OPEX'!$G$116/'CAPEX+OPEX'!$G$114)</f>
        <v>589054.93036564998</v>
      </c>
      <c r="CT23">
        <f>CO23*(BK23/10000)^0.72*((A23+1)/3)^0.6*('CAPEX+OPEX'!$G$116/'CAPEX+OPEX'!$G$114)</f>
        <v>1514922.9606835202</v>
      </c>
      <c r="CU23">
        <f>CP23*(BK23/10000)^0.72*((A23+1)/3)^0.6*('CAPEX+OPEX'!$G$116/'CAPEX+OPEX'!$G$114)</f>
        <v>292226.78628879401</v>
      </c>
      <c r="CV23">
        <f>CQ23*(BK23/10000)^0.72*((A23+1)/3)^0.6*('CAPEX+OPEX'!$G$116/'CAPEX+OPEX'!$G$114)</f>
        <v>1808931.2781495745</v>
      </c>
      <c r="CW23">
        <f>CR23*(BK23/10000)^0.72*((A23+1)/3)^0.6*('CAPEX+OPEX'!$G$116/'CAPEX+OPEX'!$G$114)</f>
        <v>213572.44139332071</v>
      </c>
      <c r="CX23">
        <f t="shared" si="13"/>
        <v>4418708.3968808586</v>
      </c>
      <c r="CY23">
        <f>CN23*(BM23/10000)^0.72*((AF23+1)/3)^0.6*('CAPEX+OPEX'!$G$116/'CAPEX+OPEX'!$G$114)</f>
        <v>556490.07284590905</v>
      </c>
      <c r="CZ23">
        <f>CO23*(BM23/10000)^0.72*((AF23+1)/3)^0.6*('CAPEX+OPEX'!$G$116/'CAPEX+OPEX'!$G$114)</f>
        <v>1431173.130531993</v>
      </c>
      <c r="DA23">
        <f>CP23*(BM23/10000)^0.72*((AF23+1)/3)^0.6*('CAPEX+OPEX'!$G$116/'CAPEX+OPEX'!$G$114)</f>
        <v>276071.5464828235</v>
      </c>
      <c r="DB23">
        <f>CQ23*(BM23/10000)^0.72*((AF23+1)/3)^0.6*('CAPEX+OPEX'!$G$116/'CAPEX+OPEX'!$G$114)</f>
        <v>1708927.7193993276</v>
      </c>
      <c r="DC23">
        <f>CR23*(BM23/10000)^0.72*((AF23+1)/3)^0.6*('CAPEX+OPEX'!$G$116/'CAPEX+OPEX'!$G$114)</f>
        <v>201765.46760260907</v>
      </c>
      <c r="DD23">
        <f t="shared" si="14"/>
        <v>4174427.936862662</v>
      </c>
      <c r="DE23">
        <f>CX23+DD23+1.15*(SUM(CI23:CL23)+SUM(CB23:CE23))</f>
        <v>8652766.2245662324</v>
      </c>
      <c r="DF23">
        <f t="shared" si="15"/>
        <v>576851.08163774887</v>
      </c>
      <c r="DG23">
        <f>(BS23+BT23)*'Oxidant Feed Composition'!$N$28*60*7200</f>
        <v>21496235.922436528</v>
      </c>
      <c r="DH23">
        <f>((CG23+CH23)*'Reagent cost'!$C$17/1000*'Reagent cost'!$H$17+(CG23+CH23)*0.5*'Reagent cost'!$C$16/1000*'Reagent cost'!$H$16*1.5)*60*7200</f>
        <v>9145220.4513687845</v>
      </c>
      <c r="DI23">
        <f>CF23*'Reagent cost'!$C$17/1000*'Reagent cost'!$H$17*60*7200</f>
        <v>504921.59999999998</v>
      </c>
      <c r="DJ23">
        <f t="shared" si="16"/>
        <v>59.548772027173982</v>
      </c>
      <c r="DK23">
        <f t="shared" si="17"/>
        <v>626.86315469824569</v>
      </c>
      <c r="DL23">
        <f t="shared" si="18"/>
        <v>37376477.262878448</v>
      </c>
      <c r="DM23">
        <f>BK23*(B23*(409.81+2)/1000+C23*(248.2+2*22.99)/1000+D23*(315.6+3*22.99)/1000+0.1*58.44/1000)</f>
        <v>0.70639694042110623</v>
      </c>
      <c r="DN23">
        <f>(BS23+BT23)/1000*('Oxidant Feed Composition'!$B$11*'Oxidant Feed Composition'!$O$20+'Oxidant Feed Composition'!$D$11*'Oxidant Feed Composition'!$O$21+'Oxidant Feed Composition'!$F$11*'Oxidant Feed Composition'!$O$27-'Oxidant Feed Composition'!$J$15*18.015)</f>
        <v>2.2579142690773955</v>
      </c>
      <c r="DO23">
        <f>(BU23+BV23)/1000*(0.2*368.34+0.4*58.44)</f>
        <v>1.5635419460511559</v>
      </c>
      <c r="DP23">
        <f>BK23/1000*(B23*195.08+C23*106.42+D23*102.91)</f>
        <v>4.999938342565946E-2</v>
      </c>
      <c r="DQ23">
        <f>SUM(DM23:DO23)-DP23</f>
        <v>4.4778537721239973</v>
      </c>
      <c r="DR23">
        <f>DQ23*60*7200*0.33</f>
        <v>638362.83375399711</v>
      </c>
      <c r="DS23">
        <v>1.2</v>
      </c>
      <c r="DT23">
        <f>BM23/60*(AM23*4+AN23*2+AO23*3)*96485/DV23</f>
        <v>1404.3633339004512</v>
      </c>
      <c r="DU23">
        <f>BN23*BA23*(AP23*4+AQ23*2+AR23*3)*96485/DV23/60</f>
        <v>708.88311509089783</v>
      </c>
      <c r="DV23">
        <v>0.7</v>
      </c>
      <c r="DW23">
        <f>0.499*((BK23/3.78541*15)^(-0.146))*BK23/3.78541*15*300*(1+(A23-2)/9)</f>
        <v>33024.331428945443</v>
      </c>
      <c r="DX23">
        <f>0.248*((BK23/3.78541*15)^(-0.144))*BK23/3.78541*15*300*(1+(A23-2)/3)</f>
        <v>24915.659383376755</v>
      </c>
      <c r="DY23">
        <f>0.105*((BK23/3.78541*15)^(-0.144))*BK23/3.78541*15*300*(1+(A23-2)/3)</f>
        <v>10548.968690542577</v>
      </c>
      <c r="DZ23">
        <f>0.058*((BK23/3.78541*15)^(-0.151))*BK23/3.78541*15*300*(1+(A23-2)/3)</f>
        <v>5588.0830181845758</v>
      </c>
      <c r="EA23">
        <f>0.056*((BK23/3.78541*15)^(-0.144))*BK23/3.78541*15*300*(1+(A23-2)/3)</f>
        <v>5626.1166349560426</v>
      </c>
      <c r="EB23">
        <f>DS23*DT23/(3.6*10^6)*3600*7200*0.07</f>
        <v>849.35894434299291</v>
      </c>
      <c r="EC23">
        <f>0.499*((BM23/3.78541*15)^(-0.146))*BM23/3.78541*15*300*(1+(AF23-2)/9)</f>
        <v>30870.169806642782</v>
      </c>
      <c r="ED23">
        <f>0.248*((BM23/3.78541*15)^(-0.144))*BM23/3.78541*15*300*(1+(AF23-2)/3)</f>
        <v>23286.743672476066</v>
      </c>
      <c r="EE23">
        <f>0.105*((BM23/3.78541*15)^(-0.144))*BM23/3.78541*15*300*(1+(AF23-2)/3)</f>
        <v>9859.3067968144605</v>
      </c>
      <c r="EF23">
        <f>0.058*((BM23/3.78541*15)^(-0.151))*BM23/3.78541*15*300*(1+(AF23-2)/3)</f>
        <v>5225.6383492186287</v>
      </c>
      <c r="EG23">
        <f>0.056*((BM23/3.78541*15)^(-0.144))*BM23/3.78541*15*300*(1+(AF23-2)/3)</f>
        <v>5258.2969583010481</v>
      </c>
      <c r="EH23">
        <f>DS23*DU23/(3.6*10^6)*3600*7200*0.07</f>
        <v>428.73250800697502</v>
      </c>
      <c r="EI23">
        <f>SUM(DW23:EH23)</f>
        <v>155481.40619180835</v>
      </c>
      <c r="EJ23">
        <f>EI23+DR23+DL23</f>
        <v>38170321.502824254</v>
      </c>
      <c r="EK23">
        <f>EJ23+DF23</f>
        <v>38747172.584462002</v>
      </c>
      <c r="EL23">
        <f>EK23/(BK23*60*7200)</f>
        <v>0.89692529130699084</v>
      </c>
      <c r="EM23">
        <f>EK23/(BM23*(AM23*195.084/1000+AN23*106.42/1000+AO23*102.911/1000)*60*7200)</f>
        <v>3004.9552080192689</v>
      </c>
      <c r="EN23">
        <f>EK23/(BN23*BA23*(AP23*195.084/1000+AQ23*106.42/1000+AR23*102.911/1000)*60*7200)</f>
        <v>5484.2978675540862</v>
      </c>
    </row>
    <row r="24" spans="1:144">
      <c r="A24">
        <f>'Costing 100 Lmin Feed Orig'!A24</f>
        <v>5</v>
      </c>
      <c r="B24">
        <f>'Costing 100 Lmin Feed Orig'!B24</f>
        <v>1.54143585092054E-3</v>
      </c>
      <c r="C24">
        <f>'Costing 100 Lmin Feed Orig'!C24</f>
        <v>1.54143585092054E-3</v>
      </c>
      <c r="D24">
        <f>'Costing 100 Lmin Feed Orig'!D24</f>
        <v>3.4254130020456501E-4</v>
      </c>
      <c r="E24">
        <f>'Costing 100 Lmin Feed Orig'!E24</f>
        <v>0</v>
      </c>
      <c r="F24">
        <f>'Costing 100 Lmin Feed Orig'!F24</f>
        <v>0</v>
      </c>
      <c r="G24">
        <f>'Costing 100 Lmin Feed Orig'!G24</f>
        <v>0</v>
      </c>
      <c r="H24">
        <f>'Costing 100 Lmin Feed Orig'!H24</f>
        <v>1.7558377832426001E-5</v>
      </c>
      <c r="I24">
        <f>'Costing 100 Lmin Feed Orig'!I24</f>
        <v>1.05063644964669E-7</v>
      </c>
      <c r="J24">
        <f>'Costing 100 Lmin Feed Orig'!J24</f>
        <v>3.35605387572801E-4</v>
      </c>
      <c r="K24">
        <f>'Costing 100 Lmin Feed Orig'!K24</f>
        <v>0.12557893497872399</v>
      </c>
      <c r="L24">
        <f>'Costing 100 Lmin Feed Orig'!L24</f>
        <v>0.12701721899235199</v>
      </c>
      <c r="M24">
        <f>'Costing 100 Lmin Feed Orig'!M24</f>
        <v>5.7157122982957897E-4</v>
      </c>
      <c r="N24">
        <f>'Costing 100 Lmin Feed Orig'!N24</f>
        <v>-1.88000656708986E-16</v>
      </c>
      <c r="O24">
        <f>'Costing 100 Lmin Feed Orig'!O24</f>
        <v>-6.2354635343986299E-15</v>
      </c>
      <c r="P24">
        <f>'Costing 100 Lmin Feed Orig'!P24</f>
        <v>-1.51703600853245E-18</v>
      </c>
      <c r="Q24">
        <f>'Costing 100 Lmin Feed Orig'!Q24</f>
        <v>0.121348176216534</v>
      </c>
      <c r="R24">
        <f>'Costing 100 Lmin Feed Orig'!R24</f>
        <v>97.975160184298204</v>
      </c>
      <c r="S24">
        <f>'Costing 100 Lmin Feed Orig'!S24</f>
        <v>500</v>
      </c>
      <c r="T24">
        <f>'Costing 100 Lmin Feed Orig'!T24</f>
        <v>95</v>
      </c>
      <c r="U24">
        <f>'Costing 100 Lmin Feed Orig'!U24</f>
        <v>1</v>
      </c>
      <c r="V24">
        <f>'Costing 100 Lmin Feed Orig'!V24</f>
        <v>0.1</v>
      </c>
      <c r="W24">
        <f>'Costing 100 Lmin Feed Orig'!W24</f>
        <v>82.407501388038199</v>
      </c>
      <c r="X24" t="str">
        <f>'Costing 100 Lmin Feed Orig'!X24</f>
        <v>ddFc</v>
      </c>
      <c r="Y24">
        <f>'Costing 100 Lmin Feed Orig'!Y24</f>
        <v>1</v>
      </c>
      <c r="Z24">
        <f>'Costing 100 Lmin Feed Orig'!Z24</f>
        <v>0.28318429382522198</v>
      </c>
      <c r="AA24">
        <f>'Costing 100 Lmin Feed Orig'!AA24</f>
        <v>0.56945642916197003</v>
      </c>
      <c r="AB24">
        <f>'Costing 100 Lmin Feed Orig'!AB24</f>
        <v>3.7698628972227502E-3</v>
      </c>
      <c r="AC24">
        <f>'Costing 100 Lmin Feed Orig'!AC24</f>
        <v>1822.2107908876901</v>
      </c>
      <c r="AD24">
        <f>'Costing 100 Lmin Feed Orig'!AD24</f>
        <v>2662.6059073104898</v>
      </c>
      <c r="AE24">
        <f>'Costing 100 Lmin Feed Orig'!AE24</f>
        <v>2401.5030938442701</v>
      </c>
      <c r="AF24">
        <f>'Costing 100 Lmin Feed Orig'!AF24</f>
        <v>6</v>
      </c>
      <c r="AG24">
        <f>'Costing 100 Lmin Feed Orig'!AG24</f>
        <v>1.64912412966352E-3</v>
      </c>
      <c r="AH24">
        <f>'Costing 100 Lmin Feed Orig'!AH24</f>
        <v>1.66801192221077E-3</v>
      </c>
      <c r="AI24">
        <f>'Costing 100 Lmin Feed Orig'!AI24</f>
        <v>7.5059714998626504E-6</v>
      </c>
      <c r="AJ24">
        <f>'Costing 100 Lmin Feed Orig'!AJ24</f>
        <v>0</v>
      </c>
      <c r="AK24">
        <f>'Costing 100 Lmin Feed Orig'!AK24</f>
        <v>0</v>
      </c>
      <c r="AL24">
        <f>'Costing 100 Lmin Feed Orig'!AL24</f>
        <v>0</v>
      </c>
      <c r="AM24">
        <f>'Costing 100 Lmin Feed Orig'!AM24</f>
        <v>1.6114297833378999E-3</v>
      </c>
      <c r="AN24">
        <f>'Costing 100 Lmin Feed Orig'!AN24</f>
        <v>7.7356463127358006E-5</v>
      </c>
      <c r="AO24">
        <f>'Costing 100 Lmin Feed Orig'!AO24</f>
        <v>7.4556307325320903E-6</v>
      </c>
      <c r="AP24">
        <f>'Costing 100 Lmin Feed Orig'!AP24</f>
        <v>1.7565900233430501E-3</v>
      </c>
      <c r="AQ24">
        <f>'Costing 100 Lmin Feed Orig'!AQ24</f>
        <v>7.4125957401307799E-2</v>
      </c>
      <c r="AR24">
        <f>'Costing 100 Lmin Feed Orig'!AR24</f>
        <v>2.3459244762174398E-6</v>
      </c>
      <c r="AS24">
        <f>'Costing 100 Lmin Feed Orig'!AS24</f>
        <v>-5.3532482266471697E-18</v>
      </c>
      <c r="AT24">
        <f>'Costing 100 Lmin Feed Orig'!AT24</f>
        <v>-7.2164496600635096E-16</v>
      </c>
      <c r="AU24">
        <f>'Costing 100 Lmin Feed Orig'!AU24</f>
        <v>-4.9035266712143398E-21</v>
      </c>
      <c r="AV24">
        <f>'Costing 100 Lmin Feed Orig'!AV24</f>
        <v>0.198290773754322</v>
      </c>
      <c r="AW24">
        <f>'Costing 100 Lmin Feed Orig'!AW24</f>
        <v>99.329323761334805</v>
      </c>
      <c r="AX24">
        <f>'Costing 100 Lmin Feed Orig'!AX24</f>
        <v>500</v>
      </c>
      <c r="AY24">
        <f>'Costing 100 Lmin Feed Orig'!AY24</f>
        <v>95</v>
      </c>
      <c r="AZ24">
        <f>'Costing 100 Lmin Feed Orig'!AZ24</f>
        <v>0.92405262022284995</v>
      </c>
      <c r="BA24">
        <f>'Costing 100 Lmin Feed Orig'!BA24</f>
        <v>0.1</v>
      </c>
      <c r="BB24">
        <f>'Costing 100 Lmin Feed Orig'!BB24</f>
        <v>46.600888318068002</v>
      </c>
      <c r="BC24" t="str">
        <f>'Costing 100 Lmin Feed Orig'!BC24</f>
        <v>coeFc</v>
      </c>
      <c r="BD24">
        <f>'Costing 100 Lmin Feed Orig'!BD24</f>
        <v>1</v>
      </c>
      <c r="BE24">
        <f>'Costing 100 Lmin Feed Orig'!BE24</f>
        <v>1.8775014999999999E-2</v>
      </c>
      <c r="BF24">
        <f>'Costing 100 Lmin Feed Orig'!BF24</f>
        <v>0.10492961100000001</v>
      </c>
      <c r="BG24">
        <f>'Costing 100 Lmin Feed Orig'!BG24</f>
        <v>1.814625E-3</v>
      </c>
      <c r="BH24">
        <f>'Costing 100 Lmin Feed Orig'!BH24</f>
        <v>285.1951444</v>
      </c>
      <c r="BI24">
        <f>'Costing 100 Lmin Feed Orig'!BI24</f>
        <v>2169.8944889999998</v>
      </c>
      <c r="BJ24">
        <f>'Costing 100 Lmin Feed Orig'!BJ24</f>
        <v>866.49409060000005</v>
      </c>
      <c r="BK24">
        <f>'Costing 100 Lmin Feed Orig'!BK24</f>
        <v>100</v>
      </c>
      <c r="BL24">
        <f>'Costing 100 Lmin Feed Orig'!BL24</f>
        <v>12.134817621653401</v>
      </c>
      <c r="BM24">
        <f>'Costing 100 Lmin Feed Orig'!BM24</f>
        <v>92.405262022285001</v>
      </c>
      <c r="BN24">
        <f>'Costing 100 Lmin Feed Orig'!BN24</f>
        <v>19.829077375432199</v>
      </c>
      <c r="BO24">
        <f t="shared" si="1"/>
        <v>169.88744670314762</v>
      </c>
      <c r="BP24">
        <f t="shared" si="2"/>
        <v>317.26523800691518</v>
      </c>
      <c r="BQ24">
        <f t="shared" si="3"/>
        <v>16.988744670314762</v>
      </c>
      <c r="BR24">
        <f t="shared" si="4"/>
        <v>31.72652380069152</v>
      </c>
      <c r="BS24">
        <f>1.2*0.5*BL24*V24/'Oxidant Feed Composition'!$N$22</f>
        <v>7.2808905729920399</v>
      </c>
      <c r="BT24">
        <f>1.2*0.5*BN24*BA24/'Oxidant Feed Composition'!$N$22</f>
        <v>11.897446425259318</v>
      </c>
      <c r="BU24">
        <f t="shared" si="5"/>
        <v>6.0674088108267004</v>
      </c>
      <c r="BV24">
        <f t="shared" si="6"/>
        <v>9.9145386877160995</v>
      </c>
      <c r="BW24">
        <f t="shared" si="7"/>
        <v>86.337853211458295</v>
      </c>
      <c r="BX24">
        <f t="shared" si="0"/>
        <v>38.831416389290879</v>
      </c>
      <c r="BY24">
        <f t="shared" si="8"/>
        <v>209.0801592878768</v>
      </c>
      <c r="BZ24">
        <f t="shared" si="9"/>
        <v>63.453047601383034</v>
      </c>
      <c r="CA24">
        <f t="shared" si="10"/>
        <v>59.487232126296597</v>
      </c>
      <c r="CB24">
        <f>BO24*'Reagent cost'!$G$11*'Reagent cost'!$H$11</f>
        <v>2242.5142964815486</v>
      </c>
      <c r="CC24">
        <f>BP24*'Reagent cost'!$G$11*'Reagent cost'!$H$11</f>
        <v>4187.9011416912808</v>
      </c>
      <c r="CD24">
        <f>BQ24*'Reagent cost'!$C$18/1000*'Reagent cost'!$H$18</f>
        <v>2709.3726906065185</v>
      </c>
      <c r="CE24">
        <f>BR24*'Ligand cost'!$B$56*'Ligand cost'!$J$56</f>
        <v>32301.65371940405</v>
      </c>
      <c r="CF24">
        <f t="shared" si="11"/>
        <v>10</v>
      </c>
      <c r="CG24">
        <f t="shared" si="12"/>
        <v>2.4269635243306804</v>
      </c>
      <c r="CH24">
        <f t="shared" si="12"/>
        <v>3.9658154750864401</v>
      </c>
      <c r="CI24">
        <f>7963.6*(BX24/1000)^0.6*1.7*('CAPEX+OPEX'!$G$116/'CAPEX+OPEX'!$G$115)</f>
        <v>2273.7926954959794</v>
      </c>
      <c r="CJ24">
        <f>7963.6*(BY24/1000)^0.6*1.7*('CAPEX+OPEX'!$G$116/'CAPEX+OPEX'!$G$115)</f>
        <v>6243.5072626595684</v>
      </c>
      <c r="CK24">
        <f>7963.6*(BZ24/1000)^0.6*1.7*('CAPEX+OPEX'!$G$116/'CAPEX+OPEX'!$G$115)</f>
        <v>3052.8988782769065</v>
      </c>
      <c r="CL24">
        <f>7963.6*(CA24/1000)^0.6*1.7*('CAPEX+OPEX'!$G$116/'CAPEX+OPEX'!$G$115)</f>
        <v>2936.9407502085974</v>
      </c>
      <c r="CM24">
        <f>'Costing 100 Lmin Feed Orig'!DE24</f>
        <v>39625.826528698344</v>
      </c>
      <c r="CN24">
        <f>'Costing 100 Lmin Feed Orig'!DF24</f>
        <v>4586243.4239371875</v>
      </c>
      <c r="CO24">
        <f>'Costing 100 Lmin Feed Orig'!DG24</f>
        <v>11794834.586807497</v>
      </c>
      <c r="CP24">
        <f>'Costing 100 Lmin Feed Orig'!DH24</f>
        <v>2275209.1661185985</v>
      </c>
      <c r="CQ24">
        <f>'Costing 100 Lmin Feed Orig'!DI24</f>
        <v>14083914.336508472</v>
      </c>
      <c r="CR24">
        <f>'Costing 100 Lmin Feed Orig'!DJ24</f>
        <v>1662824.8986326549</v>
      </c>
      <c r="CS24">
        <f>CN24*(BK24/10000)^0.72*((A24+1)/3)^0.6*('CAPEX+OPEX'!$G$116/'CAPEX+OPEX'!$G$114)</f>
        <v>589054.93036564998</v>
      </c>
      <c r="CT24">
        <f>CO24*(BK24/10000)^0.72*((A24+1)/3)^0.6*('CAPEX+OPEX'!$G$116/'CAPEX+OPEX'!$G$114)</f>
        <v>1514922.9606835202</v>
      </c>
      <c r="CU24">
        <f>CP24*(BK24/10000)^0.72*((A24+1)/3)^0.6*('CAPEX+OPEX'!$G$116/'CAPEX+OPEX'!$G$114)</f>
        <v>292226.78628879401</v>
      </c>
      <c r="CV24">
        <f>CQ24*(BK24/10000)^0.72*((A24+1)/3)^0.6*('CAPEX+OPEX'!$G$116/'CAPEX+OPEX'!$G$114)</f>
        <v>1808931.2781495745</v>
      </c>
      <c r="CW24">
        <f>CR24*(BK24/10000)^0.72*((A24+1)/3)^0.6*('CAPEX+OPEX'!$G$116/'CAPEX+OPEX'!$G$114)</f>
        <v>213572.44139332071</v>
      </c>
      <c r="CX24">
        <f t="shared" si="13"/>
        <v>4418708.3968808586</v>
      </c>
      <c r="CY24">
        <f>CN24*(BM24/10000)^0.72*((AF24+1)/3)^0.6*('CAPEX+OPEX'!$G$116/'CAPEX+OPEX'!$G$114)</f>
        <v>610415.4188564826</v>
      </c>
      <c r="CZ24">
        <f>CO24*(BM24/10000)^0.72*((AF24+1)/3)^0.6*('CAPEX+OPEX'!$G$116/'CAPEX+OPEX'!$G$114)</f>
        <v>1569857.5564199341</v>
      </c>
      <c r="DA24">
        <f>CP24*(BM24/10000)^0.72*((AF24+1)/3)^0.6*('CAPEX+OPEX'!$G$116/'CAPEX+OPEX'!$G$114)</f>
        <v>302823.60261857172</v>
      </c>
      <c r="DB24">
        <f>CQ24*(BM24/10000)^0.72*((AF24+1)/3)^0.6*('CAPEX+OPEX'!$G$116/'CAPEX+OPEX'!$G$114)</f>
        <v>1874527.2926394895</v>
      </c>
      <c r="DC24">
        <f>CR24*(BM24/10000)^0.72*((AF24+1)/3)^0.6*('CAPEX+OPEX'!$G$116/'CAPEX+OPEX'!$G$114)</f>
        <v>221317.07001990607</v>
      </c>
      <c r="DD24">
        <f t="shared" si="14"/>
        <v>4578940.9405543841</v>
      </c>
      <c r="DE24">
        <f>CX24+DD24+1.15*(SUM(CI24:CL24)+SUM(CB24:CE24))</f>
        <v>9061990.2060852908</v>
      </c>
      <c r="DF24">
        <f t="shared" si="15"/>
        <v>604132.68040568603</v>
      </c>
      <c r="DG24">
        <f>(BS24+BT24)*'Oxidant Feed Composition'!$N$28*60*7200</f>
        <v>21323145.573865589</v>
      </c>
      <c r="DH24">
        <f>((CG24+CH24)*'Reagent cost'!$C$17/1000*'Reagent cost'!$H$17+(CG24+CH24)*0.5*'Reagent cost'!$C$16/1000*'Reagent cost'!$H$16*1.5)*60*7200</f>
        <v>9071582.0059499145</v>
      </c>
      <c r="DI24">
        <f>CF24*'Reagent cost'!$C$17/1000*'Reagent cost'!$H$17*60*7200</f>
        <v>504921.59999999998</v>
      </c>
      <c r="DJ24">
        <f t="shared" si="16"/>
        <v>64.304154381728296</v>
      </c>
      <c r="DK24">
        <f t="shared" si="17"/>
        <v>700.22052820021145</v>
      </c>
      <c r="DL24">
        <f t="shared" si="18"/>
        <v>37080496.445397705</v>
      </c>
      <c r="DM24">
        <f>BK24*(B24*(409.81+2)/1000+C24*(248.2+2*22.99)/1000+D24*(315.6+3*22.99)/1000+0.1*58.44/1000)</f>
        <v>0.70639694042110623</v>
      </c>
      <c r="DN24">
        <f>(BS24+BT24)/1000*('Oxidant Feed Composition'!$B$11*'Oxidant Feed Composition'!$O$20+'Oxidant Feed Composition'!$D$11*'Oxidant Feed Composition'!$O$21+'Oxidant Feed Composition'!$F$11*'Oxidant Feed Composition'!$O$27-'Oxidant Feed Composition'!$J$15*18.015)</f>
        <v>2.239733264305765</v>
      </c>
      <c r="DO24">
        <f>(BU24+BV24)/1000*(0.2*368.34+0.4*58.44)</f>
        <v>1.5509521130485875</v>
      </c>
      <c r="DP24">
        <f>BK24/1000*(B24*195.08+C24*106.42+D24*102.91)</f>
        <v>4.999938342565946E-2</v>
      </c>
      <c r="DQ24">
        <f>SUM(DM24:DO24)-DP24</f>
        <v>4.4470829343497984</v>
      </c>
      <c r="DR24">
        <f>DQ24*60*7200*0.33</f>
        <v>633976.14312090725</v>
      </c>
      <c r="DS24">
        <v>1.2</v>
      </c>
      <c r="DT24">
        <f>BM24/60*(AM24*4+AN24*2+AO24*3)*96485/DV24</f>
        <v>1405.8817231078647</v>
      </c>
      <c r="DU24">
        <f>BN24*BA24*(AP24*4+AQ24*2+AR24*3)*96485/DV24/60</f>
        <v>707.36472588365746</v>
      </c>
      <c r="DV24">
        <v>0.7</v>
      </c>
      <c r="DW24">
        <f>0.499*((BK24/3.78541*15)^(-0.146))*BK24/3.78541*15*300*(1+(A24-2)/9)</f>
        <v>33024.331428945443</v>
      </c>
      <c r="DX24">
        <f>0.248*((BK24/3.78541*15)^(-0.144))*BK24/3.78541*15*300*(1+(A24-2)/3)</f>
        <v>24915.659383376755</v>
      </c>
      <c r="DY24">
        <f>0.105*((BK24/3.78541*15)^(-0.144))*BK24/3.78541*15*300*(1+(A24-2)/3)</f>
        <v>10548.968690542577</v>
      </c>
      <c r="DZ24">
        <f>0.058*((BK24/3.78541*15)^(-0.151))*BK24/3.78541*15*300*(1+(A24-2)/3)</f>
        <v>5588.0830181845758</v>
      </c>
      <c r="EA24">
        <f>0.056*((BK24/3.78541*15)^(-0.144))*BK24/3.78541*15*300*(1+(A24-2)/3)</f>
        <v>5626.1166349560426</v>
      </c>
      <c r="EB24">
        <f>DS24*DT24/(3.6*10^6)*3600*7200*0.07</f>
        <v>850.27726613563675</v>
      </c>
      <c r="EC24">
        <f>0.499*((BM24/3.78541*15)^(-0.146))*BM24/3.78541*15*300*(1+(AF24-2)/9)</f>
        <v>33442.68395719635</v>
      </c>
      <c r="ED24">
        <f>0.248*((BM24/3.78541*15)^(-0.144))*BM24/3.78541*15*300*(1+(AF24-2)/3)</f>
        <v>27167.86761788874</v>
      </c>
      <c r="EE24">
        <f>0.105*((BM24/3.78541*15)^(-0.144))*BM24/3.78541*15*300*(1+(AF24-2)/3)</f>
        <v>11502.524596283536</v>
      </c>
      <c r="EF24">
        <f>0.058*((BM24/3.78541*15)^(-0.151))*BM24/3.78541*15*300*(1+(AF24-2)/3)</f>
        <v>6096.5780740883993</v>
      </c>
      <c r="EG24">
        <f>0.056*((BM24/3.78541*15)^(-0.144))*BM24/3.78541*15*300*(1+(AF24-2)/3)</f>
        <v>6134.6797846845557</v>
      </c>
      <c r="EH24">
        <f>DS24*DU24/(3.6*10^6)*3600*7200*0.07</f>
        <v>427.81418621443606</v>
      </c>
      <c r="EI24">
        <f>SUM(DW24:EH24)</f>
        <v>165325.58463849706</v>
      </c>
      <c r="EJ24">
        <f>EI24+DR24+DL24</f>
        <v>37879798.173157111</v>
      </c>
      <c r="EK24">
        <f>EJ24+DF24</f>
        <v>38483930.853562795</v>
      </c>
      <c r="EL24">
        <f>EK24/(BK24*60*7200)</f>
        <v>0.89083173272136096</v>
      </c>
      <c r="EM24">
        <f>EK24/(BM24*(AM24*195.084/1000+AN24*106.42/1000+AO24*102.911/1000)*60*7200)</f>
        <v>2981.31385453434</v>
      </c>
      <c r="EN24">
        <f>EK24/(BN24*BA24*(AP24*195.084/1000+AQ24*106.42/1000+AR24*102.911/1000)*60*7200)</f>
        <v>5457.8176426092468</v>
      </c>
    </row>
    <row r="25" spans="1:144">
      <c r="A25">
        <f>'Costing 100 Lmin Feed Orig'!A25</f>
        <v>5</v>
      </c>
      <c r="B25">
        <f>'Costing 100 Lmin Feed Orig'!B25</f>
        <v>1.54143585092054E-3</v>
      </c>
      <c r="C25">
        <f>'Costing 100 Lmin Feed Orig'!C25</f>
        <v>1.54143585092054E-3</v>
      </c>
      <c r="D25">
        <f>'Costing 100 Lmin Feed Orig'!D25</f>
        <v>3.4254130020456501E-4</v>
      </c>
      <c r="E25">
        <f>'Costing 100 Lmin Feed Orig'!E25</f>
        <v>0</v>
      </c>
      <c r="F25">
        <f>'Costing 100 Lmin Feed Orig'!F25</f>
        <v>0</v>
      </c>
      <c r="G25">
        <f>'Costing 100 Lmin Feed Orig'!G25</f>
        <v>0</v>
      </c>
      <c r="H25">
        <f>'Costing 100 Lmin Feed Orig'!H25</f>
        <v>1.7558377832426001E-5</v>
      </c>
      <c r="I25">
        <f>'Costing 100 Lmin Feed Orig'!I25</f>
        <v>1.05063644964669E-7</v>
      </c>
      <c r="J25">
        <f>'Costing 100 Lmin Feed Orig'!J25</f>
        <v>3.35605387572801E-4</v>
      </c>
      <c r="K25">
        <f>'Costing 100 Lmin Feed Orig'!K25</f>
        <v>0.12557893497872399</v>
      </c>
      <c r="L25">
        <f>'Costing 100 Lmin Feed Orig'!L25</f>
        <v>0.12701721899235199</v>
      </c>
      <c r="M25">
        <f>'Costing 100 Lmin Feed Orig'!M25</f>
        <v>5.7157122982957897E-4</v>
      </c>
      <c r="N25">
        <f>'Costing 100 Lmin Feed Orig'!N25</f>
        <v>-1.88000656708986E-16</v>
      </c>
      <c r="O25">
        <f>'Costing 100 Lmin Feed Orig'!O25</f>
        <v>-6.2354635343986299E-15</v>
      </c>
      <c r="P25">
        <f>'Costing 100 Lmin Feed Orig'!P25</f>
        <v>-1.51703600853245E-18</v>
      </c>
      <c r="Q25">
        <f>'Costing 100 Lmin Feed Orig'!Q25</f>
        <v>0.121348176216534</v>
      </c>
      <c r="R25">
        <f>'Costing 100 Lmin Feed Orig'!R25</f>
        <v>97.975160184298204</v>
      </c>
      <c r="S25">
        <f>'Costing 100 Lmin Feed Orig'!S25</f>
        <v>500</v>
      </c>
      <c r="T25">
        <f>'Costing 100 Lmin Feed Orig'!T25</f>
        <v>95</v>
      </c>
      <c r="U25">
        <f>'Costing 100 Lmin Feed Orig'!U25</f>
        <v>1</v>
      </c>
      <c r="V25">
        <f>'Costing 100 Lmin Feed Orig'!V25</f>
        <v>0.1</v>
      </c>
      <c r="W25">
        <f>'Costing 100 Lmin Feed Orig'!W25</f>
        <v>82.407501388038199</v>
      </c>
      <c r="X25" t="str">
        <f>'Costing 100 Lmin Feed Orig'!X25</f>
        <v>ddFc</v>
      </c>
      <c r="Y25">
        <f>'Costing 100 Lmin Feed Orig'!Y25</f>
        <v>1</v>
      </c>
      <c r="Z25">
        <f>'Costing 100 Lmin Feed Orig'!Z25</f>
        <v>0.28318429382522198</v>
      </c>
      <c r="AA25">
        <f>'Costing 100 Lmin Feed Orig'!AA25</f>
        <v>0.56945642916197003</v>
      </c>
      <c r="AB25">
        <f>'Costing 100 Lmin Feed Orig'!AB25</f>
        <v>3.7698628972227502E-3</v>
      </c>
      <c r="AC25">
        <f>'Costing 100 Lmin Feed Orig'!AC25</f>
        <v>1822.2107908876901</v>
      </c>
      <c r="AD25">
        <f>'Costing 100 Lmin Feed Orig'!AD25</f>
        <v>2662.6059073104898</v>
      </c>
      <c r="AE25">
        <f>'Costing 100 Lmin Feed Orig'!AE25</f>
        <v>2401.5030938442701</v>
      </c>
      <c r="AF25">
        <f>'Costing 100 Lmin Feed Orig'!AF25</f>
        <v>7</v>
      </c>
      <c r="AG25">
        <f>'Costing 100 Lmin Feed Orig'!AG25</f>
        <v>1.64912412966352E-3</v>
      </c>
      <c r="AH25">
        <f>'Costing 100 Lmin Feed Orig'!AH25</f>
        <v>1.66801192221077E-3</v>
      </c>
      <c r="AI25">
        <f>'Costing 100 Lmin Feed Orig'!AI25</f>
        <v>7.5059714998626504E-6</v>
      </c>
      <c r="AJ25">
        <f>'Costing 100 Lmin Feed Orig'!AJ25</f>
        <v>0</v>
      </c>
      <c r="AK25">
        <f>'Costing 100 Lmin Feed Orig'!AK25</f>
        <v>0</v>
      </c>
      <c r="AL25">
        <f>'Costing 100 Lmin Feed Orig'!AL25</f>
        <v>0</v>
      </c>
      <c r="AM25">
        <f>'Costing 100 Lmin Feed Orig'!AM25</f>
        <v>1.6119381310433301E-3</v>
      </c>
      <c r="AN25">
        <f>'Costing 100 Lmin Feed Orig'!AN25</f>
        <v>7.7382567030457797E-5</v>
      </c>
      <c r="AO25">
        <f>'Costing 100 Lmin Feed Orig'!AO25</f>
        <v>7.4562819717611701E-6</v>
      </c>
      <c r="AP25">
        <f>'Costing 100 Lmin Feed Orig'!AP25</f>
        <v>1.73954373622606E-3</v>
      </c>
      <c r="AQ25">
        <f>'Costing 100 Lmin Feed Orig'!AQ25</f>
        <v>7.4408902129409704E-2</v>
      </c>
      <c r="AR25">
        <f>'Costing 100 Lmin Feed Orig'!AR25</f>
        <v>2.32445303539035E-6</v>
      </c>
      <c r="AS25">
        <f>'Costing 100 Lmin Feed Orig'!AS25</f>
        <v>6.9016244542280303E-16</v>
      </c>
      <c r="AT25">
        <f>'Costing 100 Lmin Feed Orig'!AT25</f>
        <v>-2.1108657356772001E-13</v>
      </c>
      <c r="AU25">
        <f>'Costing 100 Lmin Feed Orig'!AU25</f>
        <v>-1.7602403435128399E-20</v>
      </c>
      <c r="AV25">
        <f>'Costing 100 Lmin Feed Orig'!AV25</f>
        <v>0.19753351838366801</v>
      </c>
      <c r="AW25">
        <f>'Costing 100 Lmin Feed Orig'!AW25</f>
        <v>99.338000043000505</v>
      </c>
      <c r="AX25">
        <f>'Costing 100 Lmin Feed Orig'!AX25</f>
        <v>500</v>
      </c>
      <c r="AY25">
        <f>'Costing 100 Lmin Feed Orig'!AY25</f>
        <v>95</v>
      </c>
      <c r="AZ25">
        <f>'Costing 100 Lmin Feed Orig'!AZ25</f>
        <v>0.92405262022284995</v>
      </c>
      <c r="BA25">
        <f>'Costing 100 Lmin Feed Orig'!BA25</f>
        <v>0.1</v>
      </c>
      <c r="BB25">
        <f>'Costing 100 Lmin Feed Orig'!BB25</f>
        <v>46.779535330711099</v>
      </c>
      <c r="BC25" t="str">
        <f>'Costing 100 Lmin Feed Orig'!BC25</f>
        <v>coeFc</v>
      </c>
      <c r="BD25">
        <f>'Costing 100 Lmin Feed Orig'!BD25</f>
        <v>1</v>
      </c>
      <c r="BE25">
        <f>'Costing 100 Lmin Feed Orig'!BE25</f>
        <v>1.8775014999999999E-2</v>
      </c>
      <c r="BF25">
        <f>'Costing 100 Lmin Feed Orig'!BF25</f>
        <v>0.10492961100000001</v>
      </c>
      <c r="BG25">
        <f>'Costing 100 Lmin Feed Orig'!BG25</f>
        <v>1.814625E-3</v>
      </c>
      <c r="BH25">
        <f>'Costing 100 Lmin Feed Orig'!BH25</f>
        <v>285.1951444</v>
      </c>
      <c r="BI25">
        <f>'Costing 100 Lmin Feed Orig'!BI25</f>
        <v>2169.8944889999998</v>
      </c>
      <c r="BJ25">
        <f>'Costing 100 Lmin Feed Orig'!BJ25</f>
        <v>866.49409060000005</v>
      </c>
      <c r="BK25">
        <f>'Costing 100 Lmin Feed Orig'!BK25</f>
        <v>100</v>
      </c>
      <c r="BL25">
        <f>'Costing 100 Lmin Feed Orig'!BL25</f>
        <v>12.134817621653401</v>
      </c>
      <c r="BM25">
        <f>'Costing 100 Lmin Feed Orig'!BM25</f>
        <v>92.405262022285001</v>
      </c>
      <c r="BN25">
        <f>'Costing 100 Lmin Feed Orig'!BN25</f>
        <v>19.7533518383668</v>
      </c>
      <c r="BO25">
        <f t="shared" si="1"/>
        <v>169.88744670314762</v>
      </c>
      <c r="BP25">
        <f t="shared" si="2"/>
        <v>355.5603330906024</v>
      </c>
      <c r="BQ25">
        <f t="shared" si="3"/>
        <v>16.988744670314762</v>
      </c>
      <c r="BR25">
        <f t="shared" si="4"/>
        <v>35.55603330906024</v>
      </c>
      <c r="BS25">
        <f>1.2*0.5*BL25*V25/'Oxidant Feed Composition'!$N$22</f>
        <v>7.2808905729920399</v>
      </c>
      <c r="BT25">
        <f>1.2*0.5*BN25*BA25/'Oxidant Feed Composition'!$N$22</f>
        <v>11.852011103020081</v>
      </c>
      <c r="BU25">
        <f t="shared" si="5"/>
        <v>6.0674088108267004</v>
      </c>
      <c r="BV25">
        <f t="shared" si="6"/>
        <v>9.8766759191834002</v>
      </c>
      <c r="BW25">
        <f t="shared" si="7"/>
        <v>86.337853211458295</v>
      </c>
      <c r="BX25">
        <f t="shared" si="0"/>
        <v>38.831416389290879</v>
      </c>
      <c r="BY25">
        <f t="shared" si="8"/>
        <v>209.0801592878768</v>
      </c>
      <c r="BZ25">
        <f t="shared" si="9"/>
        <v>63.210725882773758</v>
      </c>
      <c r="CA25">
        <f t="shared" si="10"/>
        <v>59.260055515100404</v>
      </c>
      <c r="CB25">
        <f>BO25*'Reagent cost'!$G$11*'Reagent cost'!$H$11</f>
        <v>2242.5142964815486</v>
      </c>
      <c r="CC25">
        <f>BP25*'Reagent cost'!$G$11*'Reagent cost'!$H$11</f>
        <v>4693.3963967959517</v>
      </c>
      <c r="CD25">
        <f>BQ25*'Reagent cost'!$C$18/1000*'Reagent cost'!$H$18</f>
        <v>2709.3726906065185</v>
      </c>
      <c r="CE25">
        <f>BR25*'Ligand cost'!$B$56*'Ligand cost'!$J$56</f>
        <v>36200.583549585928</v>
      </c>
      <c r="CF25">
        <f t="shared" si="11"/>
        <v>10</v>
      </c>
      <c r="CG25">
        <f t="shared" si="12"/>
        <v>2.4269635243306804</v>
      </c>
      <c r="CH25">
        <f t="shared" si="12"/>
        <v>3.9506703676733603</v>
      </c>
      <c r="CI25">
        <f>7963.6*(BX25/1000)^0.6*1.7*('CAPEX+OPEX'!$G$116/'CAPEX+OPEX'!$G$115)</f>
        <v>2273.7926954959794</v>
      </c>
      <c r="CJ25">
        <f>7963.6*(BY25/1000)^0.6*1.7*('CAPEX+OPEX'!$G$116/'CAPEX+OPEX'!$G$115)</f>
        <v>6243.5072626595684</v>
      </c>
      <c r="CK25">
        <f>7963.6*(BZ25/1000)^0.6*1.7*('CAPEX+OPEX'!$G$116/'CAPEX+OPEX'!$G$115)</f>
        <v>3045.8982712998541</v>
      </c>
      <c r="CL25">
        <f>7963.6*(CA25/1000)^0.6*1.7*('CAPEX+OPEX'!$G$116/'CAPEX+OPEX'!$G$115)</f>
        <v>2930.206046988194</v>
      </c>
      <c r="CM25">
        <f>'Costing 100 Lmin Feed Orig'!DE25</f>
        <v>39625.826528698344</v>
      </c>
      <c r="CN25">
        <f>'Costing 100 Lmin Feed Orig'!DF25</f>
        <v>4586243.4239371875</v>
      </c>
      <c r="CO25">
        <f>'Costing 100 Lmin Feed Orig'!DG25</f>
        <v>11794834.586807497</v>
      </c>
      <c r="CP25">
        <f>'Costing 100 Lmin Feed Orig'!DH25</f>
        <v>2275209.1661185985</v>
      </c>
      <c r="CQ25">
        <f>'Costing 100 Lmin Feed Orig'!DI25</f>
        <v>14083914.336508472</v>
      </c>
      <c r="CR25">
        <f>'Costing 100 Lmin Feed Orig'!DJ25</f>
        <v>1662824.8986326549</v>
      </c>
      <c r="CS25">
        <f>CN25*(BK25/10000)^0.72*((A25+1)/3)^0.6*('CAPEX+OPEX'!$G$116/'CAPEX+OPEX'!$G$114)</f>
        <v>589054.93036564998</v>
      </c>
      <c r="CT25">
        <f>CO25*(BK25/10000)^0.72*((A25+1)/3)^0.6*('CAPEX+OPEX'!$G$116/'CAPEX+OPEX'!$G$114)</f>
        <v>1514922.9606835202</v>
      </c>
      <c r="CU25">
        <f>CP25*(BK25/10000)^0.72*((A25+1)/3)^0.6*('CAPEX+OPEX'!$G$116/'CAPEX+OPEX'!$G$114)</f>
        <v>292226.78628879401</v>
      </c>
      <c r="CV25">
        <f>CQ25*(BK25/10000)^0.72*((A25+1)/3)^0.6*('CAPEX+OPEX'!$G$116/'CAPEX+OPEX'!$G$114)</f>
        <v>1808931.2781495745</v>
      </c>
      <c r="CW25">
        <f>CR25*(BK25/10000)^0.72*((A25+1)/3)^0.6*('CAPEX+OPEX'!$G$116/'CAPEX+OPEX'!$G$114)</f>
        <v>213572.44139332071</v>
      </c>
      <c r="CX25">
        <f t="shared" si="13"/>
        <v>4418708.3968808586</v>
      </c>
      <c r="CY25">
        <f>CN25*(BM25/10000)^0.72*((AF25+1)/3)^0.6*('CAPEX+OPEX'!$G$116/'CAPEX+OPEX'!$G$114)</f>
        <v>661333.71445919841</v>
      </c>
      <c r="CZ25">
        <f>CO25*(BM25/10000)^0.72*((AF25+1)/3)^0.6*('CAPEX+OPEX'!$G$116/'CAPEX+OPEX'!$G$114)</f>
        <v>1700808.493507487</v>
      </c>
      <c r="DA25">
        <f>CP25*(BM25/10000)^0.72*((AF25+1)/3)^0.6*('CAPEX+OPEX'!$G$116/'CAPEX+OPEX'!$G$114)</f>
        <v>328083.87822317128</v>
      </c>
      <c r="DB25">
        <f>CQ25*(BM25/10000)^0.72*((AF25+1)/3)^0.6*('CAPEX+OPEX'!$G$116/'CAPEX+OPEX'!$G$114)</f>
        <v>2030892.5020583186</v>
      </c>
      <c r="DC25">
        <f>CR25*(BM25/10000)^0.72*((AF25+1)/3)^0.6*('CAPEX+OPEX'!$G$116/'CAPEX+OPEX'!$G$114)</f>
        <v>239778.41232071392</v>
      </c>
      <c r="DD25">
        <f t="shared" si="14"/>
        <v>4960897.0005688891</v>
      </c>
      <c r="DE25">
        <f>CX25+DD25+1.15*(SUM(CI25:CL25)+SUM(CB25:CE25))</f>
        <v>9448995.5593411475</v>
      </c>
      <c r="DF25">
        <f t="shared" si="15"/>
        <v>629933.03728940978</v>
      </c>
      <c r="DG25">
        <f>(BS25+BT25)*'Oxidant Feed Composition'!$N$28*60*7200</f>
        <v>21272628.994122982</v>
      </c>
      <c r="DH25">
        <f>((CG25+CH25)*'Reagent cost'!$C$17/1000*'Reagent cost'!$H$17+(CG25+CH25)*0.5*'Reagent cost'!$C$16/1000*'Reagent cost'!$H$16*1.5)*60*7200</f>
        <v>9050090.5569417104</v>
      </c>
      <c r="DI25">
        <f>CF25*'Reagent cost'!$C$17/1000*'Reagent cost'!$H$17*60*7200</f>
        <v>504921.59999999998</v>
      </c>
      <c r="DJ25">
        <f t="shared" si="16"/>
        <v>69.359106932775006</v>
      </c>
      <c r="DK25">
        <f t="shared" si="17"/>
        <v>778.19912480384903</v>
      </c>
      <c r="DL25">
        <f t="shared" si="18"/>
        <v>36994186.451155715</v>
      </c>
      <c r="DM25">
        <f>BK25*(B25*(409.81+2)/1000+C25*(248.2+2*22.99)/1000+D25*(315.6+3*22.99)/1000+0.1*58.44/1000)</f>
        <v>0.70639694042110623</v>
      </c>
      <c r="DN25">
        <f>(BS25+BT25)/1000*('Oxidant Feed Composition'!$B$11*'Oxidant Feed Composition'!$O$20+'Oxidant Feed Composition'!$D$11*'Oxidant Feed Composition'!$O$21+'Oxidant Feed Composition'!$F$11*'Oxidant Feed Composition'!$O$27-'Oxidant Feed Composition'!$J$15*18.015)</f>
        <v>2.2344271210983044</v>
      </c>
      <c r="DO25">
        <f>(BU25+BV25)/1000*(0.2*368.34+0.4*58.44)</f>
        <v>1.5472777585391002</v>
      </c>
      <c r="DP25">
        <f>BK25/1000*(B25*195.08+C25*106.42+D25*102.91)</f>
        <v>4.999938342565946E-2</v>
      </c>
      <c r="DQ25">
        <f>SUM(DM25:DO25)-DP25</f>
        <v>4.4381024366328505</v>
      </c>
      <c r="DR25">
        <f>DQ25*60*7200*0.33</f>
        <v>632695.8833663793</v>
      </c>
      <c r="DS25">
        <v>1.2</v>
      </c>
      <c r="DT25">
        <f>BM25/60*(AM25*4+AN25*2+AO25*3)*96485/DV25</f>
        <v>1406.3248668164506</v>
      </c>
      <c r="DU25">
        <f>BN25*BA25*(AP25*4+AQ25*2+AR25*3)*96485/DV25/60</f>
        <v>706.92158227108644</v>
      </c>
      <c r="DV25">
        <v>0.7</v>
      </c>
      <c r="DW25">
        <f>0.499*((BK25/3.78541*15)^(-0.146))*BK25/3.78541*15*300*(1+(A25-2)/9)</f>
        <v>33024.331428945443</v>
      </c>
      <c r="DX25">
        <f>0.248*((BK25/3.78541*15)^(-0.144))*BK25/3.78541*15*300*(1+(A25-2)/3)</f>
        <v>24915.659383376755</v>
      </c>
      <c r="DY25">
        <f>0.105*((BK25/3.78541*15)^(-0.144))*BK25/3.78541*15*300*(1+(A25-2)/3)</f>
        <v>10548.968690542577</v>
      </c>
      <c r="DZ25">
        <f>0.058*((BK25/3.78541*15)^(-0.151))*BK25/3.78541*15*300*(1+(A25-2)/3)</f>
        <v>5588.0830181845758</v>
      </c>
      <c r="EA25">
        <f>0.056*((BK25/3.78541*15)^(-0.144))*BK25/3.78541*15*300*(1+(A25-2)/3)</f>
        <v>5626.1166349560426</v>
      </c>
      <c r="EB25">
        <f>DS25*DT25/(3.6*10^6)*3600*7200*0.07</f>
        <v>850.54527945058942</v>
      </c>
      <c r="EC25">
        <f>0.499*((BM25/3.78541*15)^(-0.146))*BM25/3.78541*15*300*(1+(AF25-2)/9)</f>
        <v>36015.198107749915</v>
      </c>
      <c r="ED25">
        <f>0.248*((BM25/3.78541*15)^(-0.144))*BM25/3.78541*15*300*(1+(AF25-2)/3)</f>
        <v>31048.991563301424</v>
      </c>
      <c r="EE25">
        <f>0.105*((BM25/3.78541*15)^(-0.144))*BM25/3.78541*15*300*(1+(AF25-2)/3)</f>
        <v>13145.742395752615</v>
      </c>
      <c r="EF25">
        <f>0.058*((BM25/3.78541*15)^(-0.151))*BM25/3.78541*15*300*(1+(AF25-2)/3)</f>
        <v>6967.5177989581725</v>
      </c>
      <c r="EG25">
        <f>0.056*((BM25/3.78541*15)^(-0.144))*BM25/3.78541*15*300*(1+(AF25-2)/3)</f>
        <v>7011.0626110680651</v>
      </c>
      <c r="EH25">
        <f>DS25*DU25/(3.6*10^6)*3600*7200*0.07</f>
        <v>427.5461729575531</v>
      </c>
      <c r="EI25">
        <f>SUM(DW25:EH25)</f>
        <v>175169.7630852437</v>
      </c>
      <c r="EJ25">
        <f>EI25+DR25+DL25</f>
        <v>37802052.097607337</v>
      </c>
      <c r="EK25">
        <f>EJ25+DF25</f>
        <v>38431985.134896748</v>
      </c>
      <c r="EL25">
        <f>EK25/(BK25*60*7200)</f>
        <v>0.8896292855300173</v>
      </c>
      <c r="EM25">
        <f>EK25/(BM25*(AM25*195.084/1000+AN25*106.42/1000+AO25*102.911/1000)*60*7200)</f>
        <v>2976.3506829438311</v>
      </c>
      <c r="EN25">
        <f>EK25/(BN25*BA25*(AP25*195.084/1000+AQ25*106.42/1000+AR25*102.911/1000)*60*7200)</f>
        <v>5453.6003665790695</v>
      </c>
    </row>
    <row r="26" spans="1:144">
      <c r="A26">
        <f>'Costing 100 Lmin Feed Orig'!A26</f>
        <v>5</v>
      </c>
      <c r="B26">
        <f>'Costing 100 Lmin Feed Orig'!B26</f>
        <v>1.54143585092054E-3</v>
      </c>
      <c r="C26">
        <f>'Costing 100 Lmin Feed Orig'!C26</f>
        <v>1.54143585092054E-3</v>
      </c>
      <c r="D26">
        <f>'Costing 100 Lmin Feed Orig'!D26</f>
        <v>3.4254130020456501E-4</v>
      </c>
      <c r="E26">
        <f>'Costing 100 Lmin Feed Orig'!E26</f>
        <v>0</v>
      </c>
      <c r="F26">
        <f>'Costing 100 Lmin Feed Orig'!F26</f>
        <v>0</v>
      </c>
      <c r="G26">
        <f>'Costing 100 Lmin Feed Orig'!G26</f>
        <v>0</v>
      </c>
      <c r="H26">
        <f>'Costing 100 Lmin Feed Orig'!H26</f>
        <v>1.7558377832426001E-5</v>
      </c>
      <c r="I26">
        <f>'Costing 100 Lmin Feed Orig'!I26</f>
        <v>1.05063644964669E-7</v>
      </c>
      <c r="J26">
        <f>'Costing 100 Lmin Feed Orig'!J26</f>
        <v>3.35605387572801E-4</v>
      </c>
      <c r="K26">
        <f>'Costing 100 Lmin Feed Orig'!K26</f>
        <v>0.12557893497872399</v>
      </c>
      <c r="L26">
        <f>'Costing 100 Lmin Feed Orig'!L26</f>
        <v>0.12701721899235199</v>
      </c>
      <c r="M26">
        <f>'Costing 100 Lmin Feed Orig'!M26</f>
        <v>5.7157122982957897E-4</v>
      </c>
      <c r="N26">
        <f>'Costing 100 Lmin Feed Orig'!N26</f>
        <v>-1.88000656708986E-16</v>
      </c>
      <c r="O26">
        <f>'Costing 100 Lmin Feed Orig'!O26</f>
        <v>-6.2354635343986299E-15</v>
      </c>
      <c r="P26">
        <f>'Costing 100 Lmin Feed Orig'!P26</f>
        <v>-1.51703600853245E-18</v>
      </c>
      <c r="Q26">
        <f>'Costing 100 Lmin Feed Orig'!Q26</f>
        <v>0.121348176216534</v>
      </c>
      <c r="R26">
        <f>'Costing 100 Lmin Feed Orig'!R26</f>
        <v>97.975160184298204</v>
      </c>
      <c r="S26">
        <f>'Costing 100 Lmin Feed Orig'!S26</f>
        <v>500</v>
      </c>
      <c r="T26">
        <f>'Costing 100 Lmin Feed Orig'!T26</f>
        <v>95</v>
      </c>
      <c r="U26">
        <f>'Costing 100 Lmin Feed Orig'!U26</f>
        <v>1</v>
      </c>
      <c r="V26">
        <f>'Costing 100 Lmin Feed Orig'!V26</f>
        <v>0.1</v>
      </c>
      <c r="W26">
        <f>'Costing 100 Lmin Feed Orig'!W26</f>
        <v>82.407501388038199</v>
      </c>
      <c r="X26" t="str">
        <f>'Costing 100 Lmin Feed Orig'!X26</f>
        <v>ddFc</v>
      </c>
      <c r="Y26">
        <f>'Costing 100 Lmin Feed Orig'!Y26</f>
        <v>1</v>
      </c>
      <c r="Z26">
        <f>'Costing 100 Lmin Feed Orig'!Z26</f>
        <v>0.28318429382522198</v>
      </c>
      <c r="AA26">
        <f>'Costing 100 Lmin Feed Orig'!AA26</f>
        <v>0.56945642916197003</v>
      </c>
      <c r="AB26">
        <f>'Costing 100 Lmin Feed Orig'!AB26</f>
        <v>3.7698628972227502E-3</v>
      </c>
      <c r="AC26">
        <f>'Costing 100 Lmin Feed Orig'!AC26</f>
        <v>1822.2107908876901</v>
      </c>
      <c r="AD26">
        <f>'Costing 100 Lmin Feed Orig'!AD26</f>
        <v>2662.6059073104898</v>
      </c>
      <c r="AE26">
        <f>'Costing 100 Lmin Feed Orig'!AE26</f>
        <v>2401.5030938442701</v>
      </c>
      <c r="AF26">
        <f>'Costing 100 Lmin Feed Orig'!AF26</f>
        <v>8</v>
      </c>
      <c r="AG26">
        <f>'Costing 100 Lmin Feed Orig'!AG26</f>
        <v>1.64912412966352E-3</v>
      </c>
      <c r="AH26">
        <f>'Costing 100 Lmin Feed Orig'!AH26</f>
        <v>1.66801192221077E-3</v>
      </c>
      <c r="AI26">
        <f>'Costing 100 Lmin Feed Orig'!AI26</f>
        <v>7.5059714998626504E-6</v>
      </c>
      <c r="AJ26">
        <f>'Costing 100 Lmin Feed Orig'!AJ26</f>
        <v>0</v>
      </c>
      <c r="AK26">
        <f>'Costing 100 Lmin Feed Orig'!AK26</f>
        <v>0</v>
      </c>
      <c r="AL26">
        <f>'Costing 100 Lmin Feed Orig'!AL26</f>
        <v>0</v>
      </c>
      <c r="AM26">
        <f>'Costing 100 Lmin Feed Orig'!AM26</f>
        <v>1.6120834525789199E-3</v>
      </c>
      <c r="AN26">
        <f>'Costing 100 Lmin Feed Orig'!AN26</f>
        <v>7.7390029362408002E-5</v>
      </c>
      <c r="AO26">
        <f>'Costing 100 Lmin Feed Orig'!AO26</f>
        <v>7.4564681417452103E-6</v>
      </c>
      <c r="AP26">
        <f>'Costing 100 Lmin Feed Orig'!AP26</f>
        <v>1.73464665743558E-3</v>
      </c>
      <c r="AQ26">
        <f>'Costing 100 Lmin Feed Orig'!AQ26</f>
        <v>7.4490186842272293E-2</v>
      </c>
      <c r="AR26">
        <f>'Costing 100 Lmin Feed Orig'!AR26</f>
        <v>2.3182846935160901E-6</v>
      </c>
      <c r="AS26">
        <f>'Costing 100 Lmin Feed Orig'!AS26</f>
        <v>1.3007864642193499E-14</v>
      </c>
      <c r="AT26">
        <f>'Costing 100 Lmin Feed Orig'!AT26</f>
        <v>-3.2357883733569101E-12</v>
      </c>
      <c r="AU26">
        <f>'Costing 100 Lmin Feed Orig'!AU26</f>
        <v>1.045225422022E-19</v>
      </c>
      <c r="AV26">
        <f>'Costing 100 Lmin Feed Orig'!AV26</f>
        <v>0.19731704180288601</v>
      </c>
      <c r="AW26">
        <f>'Costing 100 Lmin Feed Orig'!AW26</f>
        <v>99.340480334646202</v>
      </c>
      <c r="AX26">
        <f>'Costing 100 Lmin Feed Orig'!AX26</f>
        <v>500</v>
      </c>
      <c r="AY26">
        <f>'Costing 100 Lmin Feed Orig'!AY26</f>
        <v>95</v>
      </c>
      <c r="AZ26">
        <f>'Costing 100 Lmin Feed Orig'!AZ26</f>
        <v>0.92405262022284995</v>
      </c>
      <c r="BA26">
        <f>'Costing 100 Lmin Feed Orig'!BA26</f>
        <v>0.1</v>
      </c>
      <c r="BB26">
        <f>'Costing 100 Lmin Feed Orig'!BB26</f>
        <v>46.830857171776799</v>
      </c>
      <c r="BC26" t="str">
        <f>'Costing 100 Lmin Feed Orig'!BC26</f>
        <v>coeFc</v>
      </c>
      <c r="BD26">
        <f>'Costing 100 Lmin Feed Orig'!BD26</f>
        <v>1</v>
      </c>
      <c r="BE26">
        <f>'Costing 100 Lmin Feed Orig'!BE26</f>
        <v>1.8775014999999999E-2</v>
      </c>
      <c r="BF26">
        <f>'Costing 100 Lmin Feed Orig'!BF26</f>
        <v>0.10492961100000001</v>
      </c>
      <c r="BG26">
        <f>'Costing 100 Lmin Feed Orig'!BG26</f>
        <v>1.814625E-3</v>
      </c>
      <c r="BH26">
        <f>'Costing 100 Lmin Feed Orig'!BH26</f>
        <v>285.1951444</v>
      </c>
      <c r="BI26">
        <f>'Costing 100 Lmin Feed Orig'!BI26</f>
        <v>2169.8944889999998</v>
      </c>
      <c r="BJ26">
        <f>'Costing 100 Lmin Feed Orig'!BJ26</f>
        <v>866.49409060000005</v>
      </c>
      <c r="BK26">
        <f>'Costing 100 Lmin Feed Orig'!BK26</f>
        <v>100</v>
      </c>
      <c r="BL26">
        <f>'Costing 100 Lmin Feed Orig'!BL26</f>
        <v>12.134817621653401</v>
      </c>
      <c r="BM26">
        <f>'Costing 100 Lmin Feed Orig'!BM26</f>
        <v>92.405262022285001</v>
      </c>
      <c r="BN26">
        <f>'Costing 100 Lmin Feed Orig'!BN26</f>
        <v>19.731704180288602</v>
      </c>
      <c r="BO26">
        <f t="shared" si="1"/>
        <v>169.88744670314762</v>
      </c>
      <c r="BP26">
        <f t="shared" si="2"/>
        <v>394.63408360577205</v>
      </c>
      <c r="BQ26">
        <f t="shared" si="3"/>
        <v>16.988744670314762</v>
      </c>
      <c r="BR26">
        <f t="shared" si="4"/>
        <v>39.463408360577205</v>
      </c>
      <c r="BS26">
        <f>1.2*0.5*BL26*V26/'Oxidant Feed Composition'!$N$22</f>
        <v>7.2808905729920399</v>
      </c>
      <c r="BT26">
        <f>1.2*0.5*BN26*BA26/'Oxidant Feed Composition'!$N$22</f>
        <v>11.83902250817316</v>
      </c>
      <c r="BU26">
        <f t="shared" si="5"/>
        <v>6.0674088108267004</v>
      </c>
      <c r="BV26">
        <f t="shared" si="6"/>
        <v>9.8658520901443012</v>
      </c>
      <c r="BW26">
        <f t="shared" si="7"/>
        <v>86.337853211458295</v>
      </c>
      <c r="BX26">
        <f t="shared" si="0"/>
        <v>38.831416389290879</v>
      </c>
      <c r="BY26">
        <f t="shared" si="8"/>
        <v>209.0801592878768</v>
      </c>
      <c r="BZ26">
        <f t="shared" si="9"/>
        <v>63.141453376923522</v>
      </c>
      <c r="CA26">
        <f t="shared" si="10"/>
        <v>59.195112540865807</v>
      </c>
      <c r="CB26">
        <f>BO26*'Reagent cost'!$G$11*'Reagent cost'!$H$11</f>
        <v>2242.5142964815486</v>
      </c>
      <c r="CC26">
        <f>BP26*'Reagent cost'!$G$11*'Reagent cost'!$H$11</f>
        <v>5209.1699035961919</v>
      </c>
      <c r="CD26">
        <f>BQ26*'Reagent cost'!$C$18/1000*'Reagent cost'!$H$18</f>
        <v>2709.3726906065185</v>
      </c>
      <c r="CE26">
        <f>BR26*'Ligand cost'!$B$56*'Ligand cost'!$J$56</f>
        <v>40178.790448609281</v>
      </c>
      <c r="CF26">
        <f t="shared" si="11"/>
        <v>10</v>
      </c>
      <c r="CG26">
        <f t="shared" si="12"/>
        <v>2.4269635243306804</v>
      </c>
      <c r="CH26">
        <f t="shared" si="12"/>
        <v>3.9463408360577206</v>
      </c>
      <c r="CI26">
        <f>7963.6*(BX26/1000)^0.6*1.7*('CAPEX+OPEX'!$G$116/'CAPEX+OPEX'!$G$115)</f>
        <v>2273.7926954959794</v>
      </c>
      <c r="CJ26">
        <f>7963.6*(BY26/1000)^0.6*1.7*('CAPEX+OPEX'!$G$116/'CAPEX+OPEX'!$G$115)</f>
        <v>6243.5072626595684</v>
      </c>
      <c r="CK26">
        <f>7963.6*(BZ26/1000)^0.6*1.7*('CAPEX+OPEX'!$G$116/'CAPEX+OPEX'!$G$115)</f>
        <v>3043.8950358731904</v>
      </c>
      <c r="CL26">
        <f>7963.6*(CA26/1000)^0.6*1.7*('CAPEX+OPEX'!$G$116/'CAPEX+OPEX'!$G$115)</f>
        <v>2928.2789003674211</v>
      </c>
      <c r="CM26">
        <f>'Costing 100 Lmin Feed Orig'!DE26</f>
        <v>39625.826528698344</v>
      </c>
      <c r="CN26">
        <f>'Costing 100 Lmin Feed Orig'!DF26</f>
        <v>4586243.4239371875</v>
      </c>
      <c r="CO26">
        <f>'Costing 100 Lmin Feed Orig'!DG26</f>
        <v>11794834.586807497</v>
      </c>
      <c r="CP26">
        <f>'Costing 100 Lmin Feed Orig'!DH26</f>
        <v>2275209.1661185985</v>
      </c>
      <c r="CQ26">
        <f>'Costing 100 Lmin Feed Orig'!DI26</f>
        <v>14083914.336508472</v>
      </c>
      <c r="CR26">
        <f>'Costing 100 Lmin Feed Orig'!DJ26</f>
        <v>1662824.8986326549</v>
      </c>
      <c r="CS26">
        <f>CN26*(BK26/10000)^0.72*((A26+1)/3)^0.6*('CAPEX+OPEX'!$G$116/'CAPEX+OPEX'!$G$114)</f>
        <v>589054.93036564998</v>
      </c>
      <c r="CT26">
        <f>CO26*(BK26/10000)^0.72*((A26+1)/3)^0.6*('CAPEX+OPEX'!$G$116/'CAPEX+OPEX'!$G$114)</f>
        <v>1514922.9606835202</v>
      </c>
      <c r="CU26">
        <f>CP26*(BK26/10000)^0.72*((A26+1)/3)^0.6*('CAPEX+OPEX'!$G$116/'CAPEX+OPEX'!$G$114)</f>
        <v>292226.78628879401</v>
      </c>
      <c r="CV26">
        <f>CQ26*(BK26/10000)^0.72*((A26+1)/3)^0.6*('CAPEX+OPEX'!$G$116/'CAPEX+OPEX'!$G$114)</f>
        <v>1808931.2781495745</v>
      </c>
      <c r="CW26">
        <f>CR26*(BK26/10000)^0.72*((A26+1)/3)^0.6*('CAPEX+OPEX'!$G$116/'CAPEX+OPEX'!$G$114)</f>
        <v>213572.44139332071</v>
      </c>
      <c r="CX26">
        <f t="shared" si="13"/>
        <v>4418708.3968808586</v>
      </c>
      <c r="CY26">
        <f>CN26*(BM26/10000)^0.72*((AF26+1)/3)^0.6*('CAPEX+OPEX'!$G$116/'CAPEX+OPEX'!$G$114)</f>
        <v>709761.0732627036</v>
      </c>
      <c r="CZ26">
        <f>CO26*(BM26/10000)^0.72*((AF26+1)/3)^0.6*('CAPEX+OPEX'!$G$116/'CAPEX+OPEX'!$G$114)</f>
        <v>1825353.2753178168</v>
      </c>
      <c r="DA26">
        <f>CP26*(BM26/10000)^0.72*((AF26+1)/3)^0.6*('CAPEX+OPEX'!$G$116/'CAPEX+OPEX'!$G$114)</f>
        <v>352108.41430984496</v>
      </c>
      <c r="DB26">
        <f>CQ26*(BM26/10000)^0.72*((AF26+1)/3)^0.6*('CAPEX+OPEX'!$G$116/'CAPEX+OPEX'!$G$114)</f>
        <v>2179608.2831204594</v>
      </c>
      <c r="DC26">
        <f>CR26*(BM26/10000)^0.72*((AF26+1)/3)^0.6*('CAPEX+OPEX'!$G$116/'CAPEX+OPEX'!$G$114)</f>
        <v>257336.62076058687</v>
      </c>
      <c r="DD26">
        <f t="shared" si="14"/>
        <v>5324167.6667714119</v>
      </c>
      <c r="DE26">
        <f>CX26+DD26+1.15*(SUM(CI26:CL26)+SUM(CB26:CE26))</f>
        <v>9817429.7830710132</v>
      </c>
      <c r="DF26">
        <f t="shared" si="15"/>
        <v>654495.3188714009</v>
      </c>
      <c r="DG26">
        <f>(BS26+BT26)*'Oxidant Feed Composition'!$N$28*60*7200</f>
        <v>21258187.820274275</v>
      </c>
      <c r="DH26">
        <f>((CG26+CH26)*'Reagent cost'!$C$17/1000*'Reagent cost'!$H$17+(CG26+CH26)*0.5*'Reagent cost'!$C$16/1000*'Reagent cost'!$H$16*1.5)*60*7200</f>
        <v>9043946.7967550699</v>
      </c>
      <c r="DI26">
        <f>CF26*'Reagent cost'!$C$17/1000*'Reagent cost'!$H$17*60*7200</f>
        <v>504921.59999999998</v>
      </c>
      <c r="DJ26">
        <f t="shared" si="16"/>
        <v>74.516842000777402</v>
      </c>
      <c r="DK26">
        <f t="shared" si="17"/>
        <v>857.763262784316</v>
      </c>
      <c r="DL26">
        <f t="shared" si="18"/>
        <v>36969586.196560957</v>
      </c>
      <c r="DM26">
        <f>BK26*(B26*(409.81+2)/1000+C26*(248.2+2*22.99)/1000+D26*(315.6+3*22.99)/1000+0.1*58.44/1000)</f>
        <v>0.70639694042110623</v>
      </c>
      <c r="DN26">
        <f>(BS26+BT26)/1000*('Oxidant Feed Composition'!$B$11*'Oxidant Feed Composition'!$O$20+'Oxidant Feed Composition'!$D$11*'Oxidant Feed Composition'!$O$21+'Oxidant Feed Composition'!$F$11*'Oxidant Feed Composition'!$O$27-'Oxidant Feed Composition'!$J$15*18.015)</f>
        <v>2.2329102540238606</v>
      </c>
      <c r="DO26">
        <f>(BU26+BV26)/1000*(0.2*368.34+0.4*58.44)</f>
        <v>1.5462273708738297</v>
      </c>
      <c r="DP26">
        <f>BK26/1000*(B26*195.08+C26*106.42+D26*102.91)</f>
        <v>4.999938342565946E-2</v>
      </c>
      <c r="DQ26">
        <f>SUM(DM26:DO26)-DP26</f>
        <v>4.4355351818931368</v>
      </c>
      <c r="DR26">
        <f>DQ26*60*7200*0.33</f>
        <v>632329.89553068567</v>
      </c>
      <c r="DS26">
        <v>1.2</v>
      </c>
      <c r="DT26">
        <f>BM26/60*(AM26*4+AN26*2+AO26*3)*96485/DV26</f>
        <v>1406.4515484627877</v>
      </c>
      <c r="DU26">
        <f>BN26*BA26*(AP26*4+AQ26*2+AR26*3)*96485/DV26/60</f>
        <v>706.79490200313717</v>
      </c>
      <c r="DV26">
        <v>0.7</v>
      </c>
      <c r="DW26">
        <f>0.499*((BK26/3.78541*15)^(-0.146))*BK26/3.78541*15*300*(1+(A26-2)/9)</f>
        <v>33024.331428945443</v>
      </c>
      <c r="DX26">
        <f>0.248*((BK26/3.78541*15)^(-0.144))*BK26/3.78541*15*300*(1+(A26-2)/3)</f>
        <v>24915.659383376755</v>
      </c>
      <c r="DY26">
        <f>0.105*((BK26/3.78541*15)^(-0.144))*BK26/3.78541*15*300*(1+(A26-2)/3)</f>
        <v>10548.968690542577</v>
      </c>
      <c r="DZ26">
        <f>0.058*((BK26/3.78541*15)^(-0.151))*BK26/3.78541*15*300*(1+(A26-2)/3)</f>
        <v>5588.0830181845758</v>
      </c>
      <c r="EA26">
        <f>0.056*((BK26/3.78541*15)^(-0.144))*BK26/3.78541*15*300*(1+(A26-2)/3)</f>
        <v>5626.1166349560426</v>
      </c>
      <c r="EB26">
        <f>DS26*DT26/(3.6*10^6)*3600*7200*0.07</f>
        <v>850.62189651029416</v>
      </c>
      <c r="EC26">
        <f>0.499*((BM26/3.78541*15)^(-0.146))*BM26/3.78541*15*300*(1+(AF26-2)/9)</f>
        <v>38587.712258303472</v>
      </c>
      <c r="ED26">
        <f>0.248*((BM26/3.78541*15)^(-0.144))*BM26/3.78541*15*300*(1+(AF26-2)/3)</f>
        <v>34930.115508714101</v>
      </c>
      <c r="EE26">
        <f>0.105*((BM26/3.78541*15)^(-0.144))*BM26/3.78541*15*300*(1+(AF26-2)/3)</f>
        <v>14788.960195221691</v>
      </c>
      <c r="EF26">
        <f>0.058*((BM26/3.78541*15)^(-0.151))*BM26/3.78541*15*300*(1+(AF26-2)/3)</f>
        <v>7838.4575238279431</v>
      </c>
      <c r="EG26">
        <f>0.056*((BM26/3.78541*15)^(-0.144))*BM26/3.78541*15*300*(1+(AF26-2)/3)</f>
        <v>7887.4454374515717</v>
      </c>
      <c r="EH26">
        <f>DS26*DU26/(3.6*10^6)*3600*7200*0.07</f>
        <v>427.46955673149739</v>
      </c>
      <c r="EI26">
        <f>SUM(DW26:EH26)</f>
        <v>185013.94153276595</v>
      </c>
      <c r="EJ26">
        <f>EI26+DR26+DL26</f>
        <v>37786930.033624411</v>
      </c>
      <c r="EK26">
        <f>EJ26+DF26</f>
        <v>38441425.352495812</v>
      </c>
      <c r="EL26">
        <f>EK26/(BK26*60*7200)</f>
        <v>0.88984780908555117</v>
      </c>
      <c r="EM26">
        <f>EK26/(BM26*(AM26*195.084/1000+AN26*106.42/1000+AO26*102.911/1000)*60*7200)</f>
        <v>2976.8133918225003</v>
      </c>
      <c r="EN26">
        <f>EK26/(BN26*BA26*(AP26*195.084/1000+AQ26*106.42/1000+AR26*102.911/1000)*60*7200)</f>
        <v>5455.8412447836336</v>
      </c>
    </row>
    <row r="27" spans="1:144">
      <c r="A27">
        <f>'Costing 100 Lmin Feed Orig'!A27</f>
        <v>5</v>
      </c>
      <c r="B27">
        <f>'Costing 100 Lmin Feed Orig'!B27</f>
        <v>1.54143585092054E-3</v>
      </c>
      <c r="C27">
        <f>'Costing 100 Lmin Feed Orig'!C27</f>
        <v>1.54143585092054E-3</v>
      </c>
      <c r="D27">
        <f>'Costing 100 Lmin Feed Orig'!D27</f>
        <v>3.4254130020456501E-4</v>
      </c>
      <c r="E27">
        <f>'Costing 100 Lmin Feed Orig'!E27</f>
        <v>0</v>
      </c>
      <c r="F27">
        <f>'Costing 100 Lmin Feed Orig'!F27</f>
        <v>0</v>
      </c>
      <c r="G27">
        <f>'Costing 100 Lmin Feed Orig'!G27</f>
        <v>0</v>
      </c>
      <c r="H27">
        <f>'Costing 100 Lmin Feed Orig'!H27</f>
        <v>1.7558377832426001E-5</v>
      </c>
      <c r="I27">
        <f>'Costing 100 Lmin Feed Orig'!I27</f>
        <v>1.05063644964669E-7</v>
      </c>
      <c r="J27">
        <f>'Costing 100 Lmin Feed Orig'!J27</f>
        <v>3.35605387572801E-4</v>
      </c>
      <c r="K27">
        <f>'Costing 100 Lmin Feed Orig'!K27</f>
        <v>0.12557893497872399</v>
      </c>
      <c r="L27">
        <f>'Costing 100 Lmin Feed Orig'!L27</f>
        <v>0.12701721899235199</v>
      </c>
      <c r="M27">
        <f>'Costing 100 Lmin Feed Orig'!M27</f>
        <v>5.7157122982957897E-4</v>
      </c>
      <c r="N27">
        <f>'Costing 100 Lmin Feed Orig'!N27</f>
        <v>-1.88000656708986E-16</v>
      </c>
      <c r="O27">
        <f>'Costing 100 Lmin Feed Orig'!O27</f>
        <v>-6.2354635343986299E-15</v>
      </c>
      <c r="P27">
        <f>'Costing 100 Lmin Feed Orig'!P27</f>
        <v>-1.51703600853245E-18</v>
      </c>
      <c r="Q27">
        <f>'Costing 100 Lmin Feed Orig'!Q27</f>
        <v>0.121348176216534</v>
      </c>
      <c r="R27">
        <f>'Costing 100 Lmin Feed Orig'!R27</f>
        <v>97.975160184298204</v>
      </c>
      <c r="S27">
        <f>'Costing 100 Lmin Feed Orig'!S27</f>
        <v>500</v>
      </c>
      <c r="T27">
        <f>'Costing 100 Lmin Feed Orig'!T27</f>
        <v>95</v>
      </c>
      <c r="U27">
        <f>'Costing 100 Lmin Feed Orig'!U27</f>
        <v>1</v>
      </c>
      <c r="V27">
        <f>'Costing 100 Lmin Feed Orig'!V27</f>
        <v>0.1</v>
      </c>
      <c r="W27">
        <f>'Costing 100 Lmin Feed Orig'!W27</f>
        <v>82.407501388038199</v>
      </c>
      <c r="X27" t="str">
        <f>'Costing 100 Lmin Feed Orig'!X27</f>
        <v>ddFc</v>
      </c>
      <c r="Y27">
        <f>'Costing 100 Lmin Feed Orig'!Y27</f>
        <v>1</v>
      </c>
      <c r="Z27">
        <f>'Costing 100 Lmin Feed Orig'!Z27</f>
        <v>0.28318429382522198</v>
      </c>
      <c r="AA27">
        <f>'Costing 100 Lmin Feed Orig'!AA27</f>
        <v>0.56945642916197003</v>
      </c>
      <c r="AB27">
        <f>'Costing 100 Lmin Feed Orig'!AB27</f>
        <v>3.7698628972227502E-3</v>
      </c>
      <c r="AC27">
        <f>'Costing 100 Lmin Feed Orig'!AC27</f>
        <v>1822.2107908876901</v>
      </c>
      <c r="AD27">
        <f>'Costing 100 Lmin Feed Orig'!AD27</f>
        <v>2662.6059073104898</v>
      </c>
      <c r="AE27">
        <f>'Costing 100 Lmin Feed Orig'!AE27</f>
        <v>2401.5030938442701</v>
      </c>
      <c r="AF27">
        <f>'Costing 100 Lmin Feed Orig'!AF27</f>
        <v>9</v>
      </c>
      <c r="AG27">
        <f>'Costing 100 Lmin Feed Orig'!AG27</f>
        <v>1.64912412966352E-3</v>
      </c>
      <c r="AH27">
        <f>'Costing 100 Lmin Feed Orig'!AH27</f>
        <v>1.66801192221077E-3</v>
      </c>
      <c r="AI27">
        <f>'Costing 100 Lmin Feed Orig'!AI27</f>
        <v>7.5059714998626504E-6</v>
      </c>
      <c r="AJ27">
        <f>'Costing 100 Lmin Feed Orig'!AJ27</f>
        <v>0</v>
      </c>
      <c r="AK27">
        <f>'Costing 100 Lmin Feed Orig'!AK27</f>
        <v>0</v>
      </c>
      <c r="AL27">
        <f>'Costing 100 Lmin Feed Orig'!AL27</f>
        <v>0</v>
      </c>
      <c r="AM27">
        <f>'Costing 100 Lmin Feed Orig'!AM27</f>
        <v>1.6121246149811801E-3</v>
      </c>
      <c r="AN27">
        <f>'Costing 100 Lmin Feed Orig'!AN27</f>
        <v>7.7392143035352694E-5</v>
      </c>
      <c r="AO27">
        <f>'Costing 100 Lmin Feed Orig'!AO27</f>
        <v>7.4565208744733498E-6</v>
      </c>
      <c r="AP27">
        <f>'Costing 100 Lmin Feed Orig'!AP27</f>
        <v>1.73325760784225E-3</v>
      </c>
      <c r="AQ27">
        <f>'Costing 100 Lmin Feed Orig'!AQ27</f>
        <v>7.4513243137229707E-2</v>
      </c>
      <c r="AR27">
        <f>'Costing 100 Lmin Feed Orig'!AR27</f>
        <v>2.3165350520080302E-6</v>
      </c>
      <c r="AS27">
        <f>'Costing 100 Lmin Feed Orig'!AS27</f>
        <v>1.36270660554271E-16</v>
      </c>
      <c r="AT27">
        <f>'Costing 100 Lmin Feed Orig'!AT27</f>
        <v>-1.76959141784394E-14</v>
      </c>
      <c r="AU27">
        <f>'Costing 100 Lmin Feed Orig'!AU27</f>
        <v>-3.3351922298138001E-21</v>
      </c>
      <c r="AV27">
        <f>'Costing 100 Lmin Feed Orig'!AV27</f>
        <v>0.19725572433293401</v>
      </c>
      <c r="AW27">
        <f>'Costing 100 Lmin Feed Orig'!AW27</f>
        <v>99.341182878322797</v>
      </c>
      <c r="AX27">
        <f>'Costing 100 Lmin Feed Orig'!AX27</f>
        <v>500</v>
      </c>
      <c r="AY27">
        <f>'Costing 100 Lmin Feed Orig'!AY27</f>
        <v>95</v>
      </c>
      <c r="AZ27">
        <f>'Costing 100 Lmin Feed Orig'!AZ27</f>
        <v>0.92405262022284995</v>
      </c>
      <c r="BA27">
        <f>'Costing 100 Lmin Feed Orig'!BA27</f>
        <v>0.1</v>
      </c>
      <c r="BB27">
        <f>'Costing 100 Lmin Feed Orig'!BB27</f>
        <v>46.8454146690923</v>
      </c>
      <c r="BC27" t="str">
        <f>'Costing 100 Lmin Feed Orig'!BC27</f>
        <v>coeFc</v>
      </c>
      <c r="BD27">
        <f>'Costing 100 Lmin Feed Orig'!BD27</f>
        <v>1</v>
      </c>
      <c r="BE27">
        <f>'Costing 100 Lmin Feed Orig'!BE27</f>
        <v>1.8775014999999999E-2</v>
      </c>
      <c r="BF27">
        <f>'Costing 100 Lmin Feed Orig'!BF27</f>
        <v>0.10492961100000001</v>
      </c>
      <c r="BG27">
        <f>'Costing 100 Lmin Feed Orig'!BG27</f>
        <v>1.814625E-3</v>
      </c>
      <c r="BH27">
        <f>'Costing 100 Lmin Feed Orig'!BH27</f>
        <v>285.1951444</v>
      </c>
      <c r="BI27">
        <f>'Costing 100 Lmin Feed Orig'!BI27</f>
        <v>2169.8944889999998</v>
      </c>
      <c r="BJ27">
        <f>'Costing 100 Lmin Feed Orig'!BJ27</f>
        <v>866.49409060000005</v>
      </c>
      <c r="BK27">
        <f>'Costing 100 Lmin Feed Orig'!BK27</f>
        <v>100</v>
      </c>
      <c r="BL27">
        <f>'Costing 100 Lmin Feed Orig'!BL27</f>
        <v>12.134817621653401</v>
      </c>
      <c r="BM27">
        <f>'Costing 100 Lmin Feed Orig'!BM27</f>
        <v>92.405262022285001</v>
      </c>
      <c r="BN27">
        <f>'Costing 100 Lmin Feed Orig'!BN27</f>
        <v>19.725572433293401</v>
      </c>
      <c r="BO27">
        <f t="shared" si="1"/>
        <v>169.88744670314762</v>
      </c>
      <c r="BP27">
        <f t="shared" si="2"/>
        <v>433.96259353245483</v>
      </c>
      <c r="BQ27">
        <f t="shared" si="3"/>
        <v>16.988744670314762</v>
      </c>
      <c r="BR27">
        <f t="shared" si="4"/>
        <v>43.396259353245483</v>
      </c>
      <c r="BS27">
        <f>1.2*0.5*BL27*V27/'Oxidant Feed Composition'!$N$22</f>
        <v>7.2808905729920399</v>
      </c>
      <c r="BT27">
        <f>1.2*0.5*BN27*BA27/'Oxidant Feed Composition'!$N$22</f>
        <v>11.835343459976039</v>
      </c>
      <c r="BU27">
        <f t="shared" si="5"/>
        <v>6.0674088108267004</v>
      </c>
      <c r="BV27">
        <f t="shared" si="6"/>
        <v>9.8627862166467004</v>
      </c>
      <c r="BW27">
        <f t="shared" si="7"/>
        <v>86.337853211458295</v>
      </c>
      <c r="BX27">
        <f t="shared" si="0"/>
        <v>38.831416389290879</v>
      </c>
      <c r="BY27">
        <f t="shared" si="8"/>
        <v>209.0801592878768</v>
      </c>
      <c r="BZ27">
        <f t="shared" si="9"/>
        <v>63.121831786538877</v>
      </c>
      <c r="CA27">
        <f t="shared" si="10"/>
        <v>59.176717299880202</v>
      </c>
      <c r="CB27">
        <f>BO27*'Reagent cost'!$G$11*'Reagent cost'!$H$11</f>
        <v>2242.5142964815486</v>
      </c>
      <c r="CC27">
        <f>BP27*'Reagent cost'!$G$11*'Reagent cost'!$H$11</f>
        <v>5728.3062346284041</v>
      </c>
      <c r="CD27">
        <f>BQ27*'Reagent cost'!$C$18/1000*'Reagent cost'!$H$18</f>
        <v>2709.3726906065185</v>
      </c>
      <c r="CE27">
        <f>BR27*'Ligand cost'!$B$56*'Ligand cost'!$J$56</f>
        <v>44182.935109815946</v>
      </c>
      <c r="CF27">
        <f t="shared" si="11"/>
        <v>10</v>
      </c>
      <c r="CG27">
        <f t="shared" si="12"/>
        <v>2.4269635243306804</v>
      </c>
      <c r="CH27">
        <f t="shared" si="12"/>
        <v>3.9451144866586803</v>
      </c>
      <c r="CI27">
        <f>7963.6*(BX27/1000)^0.6*1.7*('CAPEX+OPEX'!$G$116/'CAPEX+OPEX'!$G$115)</f>
        <v>2273.7926954959794</v>
      </c>
      <c r="CJ27">
        <f>7963.6*(BY27/1000)^0.6*1.7*('CAPEX+OPEX'!$G$116/'CAPEX+OPEX'!$G$115)</f>
        <v>6243.5072626595684</v>
      </c>
      <c r="CK27">
        <f>7963.6*(BZ27/1000)^0.6*1.7*('CAPEX+OPEX'!$G$116/'CAPEX+OPEX'!$G$115)</f>
        <v>3043.3274552652783</v>
      </c>
      <c r="CL27">
        <f>7963.6*(CA27/1000)^0.6*1.7*('CAPEX+OPEX'!$G$116/'CAPEX+OPEX'!$G$115)</f>
        <v>2927.7328781495667</v>
      </c>
      <c r="CM27">
        <f>'Costing 100 Lmin Feed Orig'!DE27</f>
        <v>39625.826528698344</v>
      </c>
      <c r="CN27">
        <f>'Costing 100 Lmin Feed Orig'!DF27</f>
        <v>4586243.4239371875</v>
      </c>
      <c r="CO27">
        <f>'Costing 100 Lmin Feed Orig'!DG27</f>
        <v>11794834.586807497</v>
      </c>
      <c r="CP27">
        <f>'Costing 100 Lmin Feed Orig'!DH27</f>
        <v>2275209.1661185985</v>
      </c>
      <c r="CQ27">
        <f>'Costing 100 Lmin Feed Orig'!DI27</f>
        <v>14083914.336508472</v>
      </c>
      <c r="CR27">
        <f>'Costing 100 Lmin Feed Orig'!DJ27</f>
        <v>1662824.8986326549</v>
      </c>
      <c r="CS27">
        <f>CN27*(BK27/10000)^0.72*((A27+1)/3)^0.6*('CAPEX+OPEX'!$G$116/'CAPEX+OPEX'!$G$114)</f>
        <v>589054.93036564998</v>
      </c>
      <c r="CT27">
        <f>CO27*(BK27/10000)^0.72*((A27+1)/3)^0.6*('CAPEX+OPEX'!$G$116/'CAPEX+OPEX'!$G$114)</f>
        <v>1514922.9606835202</v>
      </c>
      <c r="CU27">
        <f>CP27*(BK27/10000)^0.72*((A27+1)/3)^0.6*('CAPEX+OPEX'!$G$116/'CAPEX+OPEX'!$G$114)</f>
        <v>292226.78628879401</v>
      </c>
      <c r="CV27">
        <f>CQ27*(BK27/10000)^0.72*((A27+1)/3)^0.6*('CAPEX+OPEX'!$G$116/'CAPEX+OPEX'!$G$114)</f>
        <v>1808931.2781495745</v>
      </c>
      <c r="CW27">
        <f>CR27*(BK27/10000)^0.72*((A27+1)/3)^0.6*('CAPEX+OPEX'!$G$116/'CAPEX+OPEX'!$G$114)</f>
        <v>213572.44139332071</v>
      </c>
      <c r="CX27">
        <f t="shared" si="13"/>
        <v>4418708.3968808586</v>
      </c>
      <c r="CY27">
        <f>CN27*(BM27/10000)^0.72*((AF27+1)/3)^0.6*('CAPEX+OPEX'!$G$116/'CAPEX+OPEX'!$G$114)</f>
        <v>756078.12158013834</v>
      </c>
      <c r="CZ27">
        <f>CO27*(BM27/10000)^0.72*((AF27+1)/3)^0.6*('CAPEX+OPEX'!$G$116/'CAPEX+OPEX'!$G$114)</f>
        <v>1944470.7911046974</v>
      </c>
      <c r="DA27">
        <f>CP27*(BM27/10000)^0.72*((AF27+1)/3)^0.6*('CAPEX+OPEX'!$G$116/'CAPEX+OPEX'!$G$114)</f>
        <v>375086.03741841484</v>
      </c>
      <c r="DB27">
        <f>CQ27*(BM27/10000)^0.72*((AF27+1)/3)^0.6*('CAPEX+OPEX'!$G$116/'CAPEX+OPEX'!$G$114)</f>
        <v>2321843.5027814927</v>
      </c>
      <c r="DC27">
        <f>CR27*(BM27/10000)^0.72*((AF27+1)/3)^0.6*('CAPEX+OPEX'!$G$116/'CAPEX+OPEX'!$G$114)</f>
        <v>274129.6982434399</v>
      </c>
      <c r="DD27">
        <f t="shared" si="14"/>
        <v>5671608.1511281831</v>
      </c>
      <c r="DE27">
        <f>CX27+DD27+1.15*(SUM(CI27:CL27)+SUM(CB27:CE27))</f>
        <v>10170070.759925609</v>
      </c>
      <c r="DF27">
        <f t="shared" si="15"/>
        <v>678004.71732837392</v>
      </c>
      <c r="DG27">
        <f>(BS27+BT27)*'Oxidant Feed Composition'!$N$28*60*7200</f>
        <v>21254097.325864483</v>
      </c>
      <c r="DH27">
        <f>((CG27+CH27)*'Reagent cost'!$C$17/1000*'Reagent cost'!$H$17+(CG27+CH27)*0.5*'Reagent cost'!$C$16/1000*'Reagent cost'!$H$16*1.5)*60*7200</f>
        <v>9042206.5631035753</v>
      </c>
      <c r="DI27">
        <f>CF27*'Reagent cost'!$C$17/1000*'Reagent cost'!$H$17*60*7200</f>
        <v>504921.59999999998</v>
      </c>
      <c r="DJ27">
        <f t="shared" si="16"/>
        <v>79.708205311099533</v>
      </c>
      <c r="DK27">
        <f t="shared" si="17"/>
        <v>937.84615600844938</v>
      </c>
      <c r="DL27">
        <f t="shared" si="18"/>
        <v>36962691.651995257</v>
      </c>
      <c r="DM27">
        <f>BK27*(B27*(409.81+2)/1000+C27*(248.2+2*22.99)/1000+D27*(315.6+3*22.99)/1000+0.1*58.44/1000)</f>
        <v>0.70639694042110623</v>
      </c>
      <c r="DN27">
        <f>(BS27+BT27)/1000*('Oxidant Feed Composition'!$B$11*'Oxidant Feed Composition'!$O$20+'Oxidant Feed Composition'!$D$11*'Oxidant Feed Composition'!$O$21+'Oxidant Feed Composition'!$F$11*'Oxidant Feed Composition'!$O$27-'Oxidant Feed Composition'!$J$15*18.015)</f>
        <v>2.2324805980725215</v>
      </c>
      <c r="DO27">
        <f>(BU27+BV27)/1000*(0.2*368.34+0.4*58.44)</f>
        <v>1.5459298462461286</v>
      </c>
      <c r="DP27">
        <f>BK27/1000*(B27*195.08+C27*106.42+D27*102.91)</f>
        <v>4.999938342565946E-2</v>
      </c>
      <c r="DQ27">
        <f>SUM(DM27:DO27)-DP27</f>
        <v>4.4348080013140967</v>
      </c>
      <c r="DR27">
        <f>DQ27*60*7200*0.33</f>
        <v>632226.22866733768</v>
      </c>
      <c r="DS27">
        <v>1.2</v>
      </c>
      <c r="DT27">
        <f>BM27/60*(AM27*4+AN27*2+AO27*3)*96485/DV27</f>
        <v>1406.4874310909718</v>
      </c>
      <c r="DU27">
        <f>BN27*BA27*(AP27*4+AQ27*2+AR27*3)*96485/DV27/60</f>
        <v>706.75901790821581</v>
      </c>
      <c r="DV27">
        <v>0.7</v>
      </c>
      <c r="DW27">
        <f>0.499*((BK27/3.78541*15)^(-0.146))*BK27/3.78541*15*300*(1+(A27-2)/9)</f>
        <v>33024.331428945443</v>
      </c>
      <c r="DX27">
        <f>0.248*((BK27/3.78541*15)^(-0.144))*BK27/3.78541*15*300*(1+(A27-2)/3)</f>
        <v>24915.659383376755</v>
      </c>
      <c r="DY27">
        <f>0.105*((BK27/3.78541*15)^(-0.144))*BK27/3.78541*15*300*(1+(A27-2)/3)</f>
        <v>10548.968690542577</v>
      </c>
      <c r="DZ27">
        <f>0.058*((BK27/3.78541*15)^(-0.151))*BK27/3.78541*15*300*(1+(A27-2)/3)</f>
        <v>5588.0830181845758</v>
      </c>
      <c r="EA27">
        <f>0.056*((BK27/3.78541*15)^(-0.144))*BK27/3.78541*15*300*(1+(A27-2)/3)</f>
        <v>5626.1166349560426</v>
      </c>
      <c r="EB27">
        <f>DS27*DT27/(3.6*10^6)*3600*7200*0.07</f>
        <v>850.64359832381979</v>
      </c>
      <c r="EC27">
        <f>0.499*((BM27/3.78541*15)^(-0.146))*BM27/3.78541*15*300*(1+(AF27-2)/9)</f>
        <v>41160.226408857045</v>
      </c>
      <c r="ED27">
        <f>0.248*((BM27/3.78541*15)^(-0.144))*BM27/3.78541*15*300*(1+(AF27-2)/3)</f>
        <v>38811.239454126779</v>
      </c>
      <c r="EE27">
        <f>0.105*((BM27/3.78541*15)^(-0.144))*BM27/3.78541*15*300*(1+(AF27-2)/3)</f>
        <v>16432.17799469077</v>
      </c>
      <c r="EF27">
        <f>0.058*((BM27/3.78541*15)^(-0.151))*BM27/3.78541*15*300*(1+(AF27-2)/3)</f>
        <v>8709.3972486977145</v>
      </c>
      <c r="EG27">
        <f>0.056*((BM27/3.78541*15)^(-0.144))*BM27/3.78541*15*300*(1+(AF27-2)/3)</f>
        <v>8763.8282638350811</v>
      </c>
      <c r="EH27">
        <f>DS27*DU27/(3.6*10^6)*3600*7200*0.07</f>
        <v>427.44785403088895</v>
      </c>
      <c r="EI27">
        <f>SUM(DW27:EH27)</f>
        <v>194858.1199785675</v>
      </c>
      <c r="EJ27">
        <f>EI27+DR27+DL27</f>
        <v>37789776.00064116</v>
      </c>
      <c r="EK27">
        <f>EJ27+DF27</f>
        <v>38467780.717969537</v>
      </c>
      <c r="EL27">
        <f>EK27/(BK27*60*7200)</f>
        <v>0.89045788699003559</v>
      </c>
      <c r="EM27">
        <f>EK27/(BM27*(AM27*195.084/1000+AN27*106.42/1000+AO27*102.911/1000)*60*7200)</f>
        <v>2978.7782256744331</v>
      </c>
      <c r="EN27">
        <f>EK27/(BN27*BA27*(AP27*195.084/1000+AQ27*106.42/1000+AR27*102.911/1000)*60*7200)</f>
        <v>5459.8372921123755</v>
      </c>
    </row>
    <row r="28" spans="1:144">
      <c r="A28">
        <f>'Costing 100 Lmin Feed Orig'!A28</f>
        <v>5</v>
      </c>
      <c r="B28">
        <f>'Costing 100 Lmin Feed Orig'!B28</f>
        <v>1.54143585092054E-3</v>
      </c>
      <c r="C28">
        <f>'Costing 100 Lmin Feed Orig'!C28</f>
        <v>1.54143585092054E-3</v>
      </c>
      <c r="D28">
        <f>'Costing 100 Lmin Feed Orig'!D28</f>
        <v>3.4254130020456501E-4</v>
      </c>
      <c r="E28">
        <f>'Costing 100 Lmin Feed Orig'!E28</f>
        <v>0</v>
      </c>
      <c r="F28">
        <f>'Costing 100 Lmin Feed Orig'!F28</f>
        <v>0</v>
      </c>
      <c r="G28">
        <f>'Costing 100 Lmin Feed Orig'!G28</f>
        <v>0</v>
      </c>
      <c r="H28">
        <f>'Costing 100 Lmin Feed Orig'!H28</f>
        <v>1.7558377832426001E-5</v>
      </c>
      <c r="I28">
        <f>'Costing 100 Lmin Feed Orig'!I28</f>
        <v>1.05063644964669E-7</v>
      </c>
      <c r="J28">
        <f>'Costing 100 Lmin Feed Orig'!J28</f>
        <v>3.35605387572801E-4</v>
      </c>
      <c r="K28">
        <f>'Costing 100 Lmin Feed Orig'!K28</f>
        <v>0.12557893497872399</v>
      </c>
      <c r="L28">
        <f>'Costing 100 Lmin Feed Orig'!L28</f>
        <v>0.12701721899235199</v>
      </c>
      <c r="M28">
        <f>'Costing 100 Lmin Feed Orig'!M28</f>
        <v>5.7157122982957897E-4</v>
      </c>
      <c r="N28">
        <f>'Costing 100 Lmin Feed Orig'!N28</f>
        <v>-1.88000656708986E-16</v>
      </c>
      <c r="O28">
        <f>'Costing 100 Lmin Feed Orig'!O28</f>
        <v>-6.2354635343986299E-15</v>
      </c>
      <c r="P28">
        <f>'Costing 100 Lmin Feed Orig'!P28</f>
        <v>-1.51703600853245E-18</v>
      </c>
      <c r="Q28">
        <f>'Costing 100 Lmin Feed Orig'!Q28</f>
        <v>0.121348176216534</v>
      </c>
      <c r="R28">
        <f>'Costing 100 Lmin Feed Orig'!R28</f>
        <v>97.975160184298204</v>
      </c>
      <c r="S28">
        <f>'Costing 100 Lmin Feed Orig'!S28</f>
        <v>500</v>
      </c>
      <c r="T28">
        <f>'Costing 100 Lmin Feed Orig'!T28</f>
        <v>95</v>
      </c>
      <c r="U28">
        <f>'Costing 100 Lmin Feed Orig'!U28</f>
        <v>1</v>
      </c>
      <c r="V28">
        <f>'Costing 100 Lmin Feed Orig'!V28</f>
        <v>0.1</v>
      </c>
      <c r="W28">
        <f>'Costing 100 Lmin Feed Orig'!W28</f>
        <v>82.407501388038199</v>
      </c>
      <c r="X28" t="str">
        <f>'Costing 100 Lmin Feed Orig'!X28</f>
        <v>ddFc</v>
      </c>
      <c r="Y28">
        <f>'Costing 100 Lmin Feed Orig'!Y28</f>
        <v>1</v>
      </c>
      <c r="Z28">
        <f>'Costing 100 Lmin Feed Orig'!Z28</f>
        <v>0.28318429382522198</v>
      </c>
      <c r="AA28">
        <f>'Costing 100 Lmin Feed Orig'!AA28</f>
        <v>0.56945642916197003</v>
      </c>
      <c r="AB28">
        <f>'Costing 100 Lmin Feed Orig'!AB28</f>
        <v>3.7698628972227502E-3</v>
      </c>
      <c r="AC28">
        <f>'Costing 100 Lmin Feed Orig'!AC28</f>
        <v>1822.2107908876901</v>
      </c>
      <c r="AD28">
        <f>'Costing 100 Lmin Feed Orig'!AD28</f>
        <v>2662.6059073104898</v>
      </c>
      <c r="AE28">
        <f>'Costing 100 Lmin Feed Orig'!AE28</f>
        <v>2401.5030938442701</v>
      </c>
      <c r="AF28">
        <f>'Costing 100 Lmin Feed Orig'!AF28</f>
        <v>10</v>
      </c>
      <c r="AG28">
        <f>'Costing 100 Lmin Feed Orig'!AG28</f>
        <v>1.64912412966352E-3</v>
      </c>
      <c r="AH28">
        <f>'Costing 100 Lmin Feed Orig'!AH28</f>
        <v>1.66801192221077E-3</v>
      </c>
      <c r="AI28">
        <f>'Costing 100 Lmin Feed Orig'!AI28</f>
        <v>7.5059714998626504E-6</v>
      </c>
      <c r="AJ28">
        <f>'Costing 100 Lmin Feed Orig'!AJ28</f>
        <v>0</v>
      </c>
      <c r="AK28">
        <f>'Costing 100 Lmin Feed Orig'!AK28</f>
        <v>0</v>
      </c>
      <c r="AL28">
        <f>'Costing 100 Lmin Feed Orig'!AL28</f>
        <v>0</v>
      </c>
      <c r="AM28">
        <f>'Costing 100 Lmin Feed Orig'!AM28</f>
        <v>1.6121362331363101E-3</v>
      </c>
      <c r="AN28">
        <f>'Costing 100 Lmin Feed Orig'!AN28</f>
        <v>7.7392739668893999E-5</v>
      </c>
      <c r="AO28">
        <f>'Costing 100 Lmin Feed Orig'!AO28</f>
        <v>7.4565357583961302E-6</v>
      </c>
      <c r="AP28">
        <f>'Costing 100 Lmin Feed Orig'!AP28</f>
        <v>1.73286538721668E-3</v>
      </c>
      <c r="AQ28">
        <f>'Costing 100 Lmin Feed Orig'!AQ28</f>
        <v>7.4519753455558904E-2</v>
      </c>
      <c r="AR28">
        <f>'Costing 100 Lmin Feed Orig'!AR28</f>
        <v>2.3160410123781799E-6</v>
      </c>
      <c r="AS28">
        <f>'Costing 100 Lmin Feed Orig'!AS28</f>
        <v>1.6048882329425901E-14</v>
      </c>
      <c r="AT28">
        <f>'Costing 100 Lmin Feed Orig'!AT28</f>
        <v>-1.6442669708433E-12</v>
      </c>
      <c r="AU28">
        <f>'Costing 100 Lmin Feed Orig'!AU28</f>
        <v>1.7745340244977501E-19</v>
      </c>
      <c r="AV28">
        <f>'Costing 100 Lmin Feed Orig'!AV28</f>
        <v>0.19723841758619901</v>
      </c>
      <c r="AW28">
        <f>'Costing 100 Lmin Feed Orig'!AW28</f>
        <v>99.341381172744505</v>
      </c>
      <c r="AX28">
        <f>'Costing 100 Lmin Feed Orig'!AX28</f>
        <v>500</v>
      </c>
      <c r="AY28">
        <f>'Costing 100 Lmin Feed Orig'!AY28</f>
        <v>95</v>
      </c>
      <c r="AZ28">
        <f>'Costing 100 Lmin Feed Orig'!AZ28</f>
        <v>0.92405262022284995</v>
      </c>
      <c r="BA28">
        <f>'Costing 100 Lmin Feed Orig'!BA28</f>
        <v>0.1</v>
      </c>
      <c r="BB28">
        <f>'Costing 100 Lmin Feed Orig'!BB28</f>
        <v>46.849525134676597</v>
      </c>
      <c r="BC28" t="str">
        <f>'Costing 100 Lmin Feed Orig'!BC28</f>
        <v>coeFc</v>
      </c>
      <c r="BD28">
        <f>'Costing 100 Lmin Feed Orig'!BD28</f>
        <v>1</v>
      </c>
      <c r="BE28">
        <f>'Costing 100 Lmin Feed Orig'!BE28</f>
        <v>1.8775014999999999E-2</v>
      </c>
      <c r="BF28">
        <f>'Costing 100 Lmin Feed Orig'!BF28</f>
        <v>0.10492961100000001</v>
      </c>
      <c r="BG28">
        <f>'Costing 100 Lmin Feed Orig'!BG28</f>
        <v>1.814625E-3</v>
      </c>
      <c r="BH28">
        <f>'Costing 100 Lmin Feed Orig'!BH28</f>
        <v>285.1951444</v>
      </c>
      <c r="BI28">
        <f>'Costing 100 Lmin Feed Orig'!BI28</f>
        <v>2169.8944889999998</v>
      </c>
      <c r="BJ28">
        <f>'Costing 100 Lmin Feed Orig'!BJ28</f>
        <v>866.49409060000005</v>
      </c>
      <c r="BK28">
        <f>'Costing 100 Lmin Feed Orig'!BK28</f>
        <v>100</v>
      </c>
      <c r="BL28">
        <f>'Costing 100 Lmin Feed Orig'!BL28</f>
        <v>12.134817621653401</v>
      </c>
      <c r="BM28">
        <f>'Costing 100 Lmin Feed Orig'!BM28</f>
        <v>92.405262022285001</v>
      </c>
      <c r="BN28">
        <f>'Costing 100 Lmin Feed Orig'!BN28</f>
        <v>19.723841758619901</v>
      </c>
      <c r="BO28">
        <f t="shared" si="1"/>
        <v>169.88744670314762</v>
      </c>
      <c r="BP28">
        <f t="shared" si="2"/>
        <v>473.37220220687766</v>
      </c>
      <c r="BQ28">
        <f t="shared" si="3"/>
        <v>16.988744670314762</v>
      </c>
      <c r="BR28">
        <f t="shared" si="4"/>
        <v>47.337220220687769</v>
      </c>
      <c r="BS28">
        <f>1.2*0.5*BL28*V28/'Oxidant Feed Composition'!$N$22</f>
        <v>7.2808905729920399</v>
      </c>
      <c r="BT28">
        <f>1.2*0.5*BN28*BA28/'Oxidant Feed Composition'!$N$22</f>
        <v>11.83430505517194</v>
      </c>
      <c r="BU28">
        <f t="shared" si="5"/>
        <v>6.0674088108267004</v>
      </c>
      <c r="BV28">
        <f t="shared" si="6"/>
        <v>9.8619208793099506</v>
      </c>
      <c r="BW28">
        <f t="shared" si="7"/>
        <v>86.337853211458295</v>
      </c>
      <c r="BX28">
        <f t="shared" si="0"/>
        <v>38.831416389290879</v>
      </c>
      <c r="BY28">
        <f t="shared" si="8"/>
        <v>209.0801592878768</v>
      </c>
      <c r="BZ28">
        <f t="shared" si="9"/>
        <v>63.116293627583687</v>
      </c>
      <c r="CA28">
        <f t="shared" si="10"/>
        <v>59.171525275859707</v>
      </c>
      <c r="CB28">
        <f>BO28*'Reagent cost'!$G$11*'Reagent cost'!$H$11</f>
        <v>2242.5142964815486</v>
      </c>
      <c r="CC28">
        <f>BP28*'Reagent cost'!$G$11*'Reagent cost'!$H$11</f>
        <v>6248.5130691307859</v>
      </c>
      <c r="CD28">
        <f>BQ28*'Reagent cost'!$C$18/1000*'Reagent cost'!$H$18</f>
        <v>2709.3726906065185</v>
      </c>
      <c r="CE28">
        <f>BR28*'Ligand cost'!$B$56*'Ligand cost'!$J$56</f>
        <v>48195.336659432556</v>
      </c>
      <c r="CF28">
        <f t="shared" si="11"/>
        <v>10</v>
      </c>
      <c r="CG28">
        <f t="shared" si="12"/>
        <v>2.4269635243306804</v>
      </c>
      <c r="CH28">
        <f t="shared" si="12"/>
        <v>3.9447683517239804</v>
      </c>
      <c r="CI28">
        <f>7963.6*(BX28/1000)^0.6*1.7*('CAPEX+OPEX'!$G$116/'CAPEX+OPEX'!$G$115)</f>
        <v>2273.7926954959794</v>
      </c>
      <c r="CJ28">
        <f>7963.6*(BY28/1000)^0.6*1.7*('CAPEX+OPEX'!$G$116/'CAPEX+OPEX'!$G$115)</f>
        <v>6243.5072626595684</v>
      </c>
      <c r="CK28">
        <f>7963.6*(BZ28/1000)^0.6*1.7*('CAPEX+OPEX'!$G$116/'CAPEX+OPEX'!$G$115)</f>
        <v>3043.167243878931</v>
      </c>
      <c r="CL28">
        <f>7963.6*(CA28/1000)^0.6*1.7*('CAPEX+OPEX'!$G$116/'CAPEX+OPEX'!$G$115)</f>
        <v>2927.5787520654831</v>
      </c>
      <c r="CM28">
        <f>'Costing 100 Lmin Feed Orig'!DE28</f>
        <v>39625.826528698344</v>
      </c>
      <c r="CN28">
        <f>'Costing 100 Lmin Feed Orig'!DF28</f>
        <v>4586243.4239371875</v>
      </c>
      <c r="CO28">
        <f>'Costing 100 Lmin Feed Orig'!DG28</f>
        <v>11794834.586807497</v>
      </c>
      <c r="CP28">
        <f>'Costing 100 Lmin Feed Orig'!DH28</f>
        <v>2275209.1661185985</v>
      </c>
      <c r="CQ28">
        <f>'Costing 100 Lmin Feed Orig'!DI28</f>
        <v>14083914.336508472</v>
      </c>
      <c r="CR28">
        <f>'Costing 100 Lmin Feed Orig'!DJ28</f>
        <v>1662824.8986326549</v>
      </c>
      <c r="CS28">
        <f>CN28*(BK28/10000)^0.72*((A28+1)/3)^0.6*('CAPEX+OPEX'!$G$116/'CAPEX+OPEX'!$G$114)</f>
        <v>589054.93036564998</v>
      </c>
      <c r="CT28">
        <f>CO28*(BK28/10000)^0.72*((A28+1)/3)^0.6*('CAPEX+OPEX'!$G$116/'CAPEX+OPEX'!$G$114)</f>
        <v>1514922.9606835202</v>
      </c>
      <c r="CU28">
        <f>CP28*(BK28/10000)^0.72*((A28+1)/3)^0.6*('CAPEX+OPEX'!$G$116/'CAPEX+OPEX'!$G$114)</f>
        <v>292226.78628879401</v>
      </c>
      <c r="CV28">
        <f>CQ28*(BK28/10000)^0.72*((A28+1)/3)^0.6*('CAPEX+OPEX'!$G$116/'CAPEX+OPEX'!$G$114)</f>
        <v>1808931.2781495745</v>
      </c>
      <c r="CW28">
        <f>CR28*(BK28/10000)^0.72*((A28+1)/3)^0.6*('CAPEX+OPEX'!$G$116/'CAPEX+OPEX'!$G$114)</f>
        <v>213572.44139332071</v>
      </c>
      <c r="CX28">
        <f t="shared" si="13"/>
        <v>4418708.3968808586</v>
      </c>
      <c r="CY28">
        <f>CN28*(BM28/10000)^0.72*((AF28+1)/3)^0.6*('CAPEX+OPEX'!$G$116/'CAPEX+OPEX'!$G$114)</f>
        <v>800575.47606687353</v>
      </c>
      <c r="CZ28">
        <f>CO28*(BM28/10000)^0.72*((AF28+1)/3)^0.6*('CAPEX+OPEX'!$G$116/'CAPEX+OPEX'!$G$114)</f>
        <v>2058908.4445842884</v>
      </c>
      <c r="DA28">
        <f>CP28*(BM28/10000)^0.72*((AF28+1)/3)^0.6*('CAPEX+OPEX'!$G$116/'CAPEX+OPEX'!$G$114)</f>
        <v>397160.92081161588</v>
      </c>
      <c r="DB28">
        <f>CQ28*(BM28/10000)^0.72*((AF28+1)/3)^0.6*('CAPEX+OPEX'!$G$116/'CAPEX+OPEX'!$G$114)</f>
        <v>2458490.6169580934</v>
      </c>
      <c r="DC28">
        <f>CR28*(BM28/10000)^0.72*((AF28+1)/3)^0.6*('CAPEX+OPEX'!$G$116/'CAPEX+OPEX'!$G$114)</f>
        <v>290263.0130556543</v>
      </c>
      <c r="DD28">
        <f t="shared" si="14"/>
        <v>6005398.4714765251</v>
      </c>
      <c r="DE28">
        <f>CX28+DD28+1.15*(SUM(CI28:CL28)+SUM(CB28:CE28))</f>
        <v>10509073.218427597</v>
      </c>
      <c r="DF28">
        <f t="shared" si="15"/>
        <v>700604.88122850645</v>
      </c>
      <c r="DG28">
        <f>(BS28+BT28)*'Oxidant Feed Composition'!$N$28*60*7200</f>
        <v>21252942.791099321</v>
      </c>
      <c r="DH28">
        <f>((CG28+CH28)*'Reagent cost'!$C$17/1000*'Reagent cost'!$H$17+(CG28+CH28)*0.5*'Reagent cost'!$C$16/1000*'Reagent cost'!$H$16*1.5)*60*7200</f>
        <v>9041715.3852534499</v>
      </c>
      <c r="DI28">
        <f>CF28*'Reagent cost'!$C$17/1000*'Reagent cost'!$H$17*60*7200</f>
        <v>504921.59999999998</v>
      </c>
      <c r="DJ28">
        <f t="shared" si="16"/>
        <v>84.910273656123351</v>
      </c>
      <c r="DK28">
        <f t="shared" si="17"/>
        <v>1018.0941870007815</v>
      </c>
      <c r="DL28">
        <f t="shared" si="18"/>
        <v>36960819.336976111</v>
      </c>
      <c r="DM28">
        <f>BK28*(B28*(409.81+2)/1000+C28*(248.2+2*22.99)/1000+D28*(315.6+3*22.99)/1000+0.1*58.44/1000)</f>
        <v>0.70639694042110623</v>
      </c>
      <c r="DN28">
        <f>(BS28+BT28)/1000*('Oxidant Feed Composition'!$B$11*'Oxidant Feed Composition'!$O$20+'Oxidant Feed Composition'!$D$11*'Oxidant Feed Composition'!$O$21+'Oxidant Feed Composition'!$F$11*'Oxidant Feed Composition'!$O$27-'Oxidant Feed Composition'!$J$15*18.015)</f>
        <v>2.2323593284451411</v>
      </c>
      <c r="DO28">
        <f>(BU28+BV28)/1000*(0.2*368.34+0.4*58.44)</f>
        <v>1.5458458704496212</v>
      </c>
      <c r="DP28">
        <f>BK28/1000*(B28*195.08+C28*106.42+D28*102.91)</f>
        <v>4.999938342565946E-2</v>
      </c>
      <c r="DQ28">
        <f>SUM(DM28:DO28)-DP28</f>
        <v>4.4346027558902081</v>
      </c>
      <c r="DR28">
        <f>DQ28*60*7200*0.33</f>
        <v>632196.96887970809</v>
      </c>
      <c r="DS28">
        <v>1.2</v>
      </c>
      <c r="DT28">
        <f>BM28/60*(AM28*4+AN28*2+AO28*3)*96485/DV28</f>
        <v>1406.4975590407691</v>
      </c>
      <c r="DU28">
        <f>BN28*BA28*(AP28*4+AQ28*2+AR28*3)*96485/DV28/60</f>
        <v>706.74889069113362</v>
      </c>
      <c r="DV28">
        <v>0.7</v>
      </c>
      <c r="DW28">
        <f>0.499*((BK28/3.78541*15)^(-0.146))*BK28/3.78541*15*300*(1+(A28-2)/9)</f>
        <v>33024.331428945443</v>
      </c>
      <c r="DX28">
        <f>0.248*((BK28/3.78541*15)^(-0.144))*BK28/3.78541*15*300*(1+(A28-2)/3)</f>
        <v>24915.659383376755</v>
      </c>
      <c r="DY28">
        <f>0.105*((BK28/3.78541*15)^(-0.144))*BK28/3.78541*15*300*(1+(A28-2)/3)</f>
        <v>10548.968690542577</v>
      </c>
      <c r="DZ28">
        <f>0.058*((BK28/3.78541*15)^(-0.151))*BK28/3.78541*15*300*(1+(A28-2)/3)</f>
        <v>5588.0830181845758</v>
      </c>
      <c r="EA28">
        <f>0.056*((BK28/3.78541*15)^(-0.144))*BK28/3.78541*15*300*(1+(A28-2)/3)</f>
        <v>5626.1166349560426</v>
      </c>
      <c r="EB28">
        <f>DS28*DT28/(3.6*10^6)*3600*7200*0.07</f>
        <v>850.64972370785733</v>
      </c>
      <c r="EC28">
        <f>0.499*((BM28/3.78541*15)^(-0.146))*BM28/3.78541*15*300*(1+(AF28-2)/9)</f>
        <v>43732.740559410609</v>
      </c>
      <c r="ED28">
        <f>0.248*((BM28/3.78541*15)^(-0.144))*BM28/3.78541*15*300*(1+(AF28-2)/3)</f>
        <v>42692.363399539456</v>
      </c>
      <c r="EE28">
        <f>0.105*((BM28/3.78541*15)^(-0.144))*BM28/3.78541*15*300*(1+(AF28-2)/3)</f>
        <v>18075.395794159842</v>
      </c>
      <c r="EF28">
        <f>0.058*((BM28/3.78541*15)^(-0.151))*BM28/3.78541*15*300*(1+(AF28-2)/3)</f>
        <v>9580.336973567486</v>
      </c>
      <c r="EG28">
        <f>0.056*((BM28/3.78541*15)^(-0.144))*BM28/3.78541*15*300*(1+(AF28-2)/3)</f>
        <v>9640.2110902185887</v>
      </c>
      <c r="EH28">
        <f>DS28*DU28/(3.6*10^6)*3600*7200*0.07</f>
        <v>427.44172908999764</v>
      </c>
      <c r="EI28">
        <f>SUM(DW28:EH28)</f>
        <v>204702.29842569926</v>
      </c>
      <c r="EJ28">
        <f>EI28+DR28+DL28</f>
        <v>37797718.604281515</v>
      </c>
      <c r="EK28">
        <f>EJ28+DF28</f>
        <v>38498323.485510021</v>
      </c>
      <c r="EL28">
        <f>EK28/(BK28*60*7200)</f>
        <v>0.89116489549791711</v>
      </c>
      <c r="EM28">
        <f>EK28/(BM28*(AM28*195.084/1000+AN28*106.42/1000+AO28*102.911/1000)*60*7200)</f>
        <v>2981.1218397785342</v>
      </c>
      <c r="EN28">
        <f>EK28/(BN28*BA28*(AP28*195.084/1000+AQ28*106.42/1000+AR28*102.911/1000)*60*7200)</f>
        <v>5464.2444881517076</v>
      </c>
    </row>
    <row r="29" spans="1:144">
      <c r="A29">
        <f>'Costing 100 Lmin Feed Orig'!A29</f>
        <v>5</v>
      </c>
      <c r="B29">
        <f>'Costing 100 Lmin Feed Orig'!B29</f>
        <v>1.54143585092054E-3</v>
      </c>
      <c r="C29">
        <f>'Costing 100 Lmin Feed Orig'!C29</f>
        <v>1.54143585092054E-3</v>
      </c>
      <c r="D29">
        <f>'Costing 100 Lmin Feed Orig'!D29</f>
        <v>3.4254130020456501E-4</v>
      </c>
      <c r="E29">
        <f>'Costing 100 Lmin Feed Orig'!E29</f>
        <v>0</v>
      </c>
      <c r="F29">
        <f>'Costing 100 Lmin Feed Orig'!F29</f>
        <v>0</v>
      </c>
      <c r="G29">
        <f>'Costing 100 Lmin Feed Orig'!G29</f>
        <v>0</v>
      </c>
      <c r="H29">
        <f>'Costing 100 Lmin Feed Orig'!H29</f>
        <v>1.7558377832426001E-5</v>
      </c>
      <c r="I29">
        <f>'Costing 100 Lmin Feed Orig'!I29</f>
        <v>1.05063644964669E-7</v>
      </c>
      <c r="J29">
        <f>'Costing 100 Lmin Feed Orig'!J29</f>
        <v>3.35605387572801E-4</v>
      </c>
      <c r="K29">
        <f>'Costing 100 Lmin Feed Orig'!K29</f>
        <v>0.12557893497872399</v>
      </c>
      <c r="L29">
        <f>'Costing 100 Lmin Feed Orig'!L29</f>
        <v>0.12701721899235199</v>
      </c>
      <c r="M29">
        <f>'Costing 100 Lmin Feed Orig'!M29</f>
        <v>5.7157122982957897E-4</v>
      </c>
      <c r="N29">
        <f>'Costing 100 Lmin Feed Orig'!N29</f>
        <v>-1.88000656708986E-16</v>
      </c>
      <c r="O29">
        <f>'Costing 100 Lmin Feed Orig'!O29</f>
        <v>-6.2354635343986299E-15</v>
      </c>
      <c r="P29">
        <f>'Costing 100 Lmin Feed Orig'!P29</f>
        <v>-1.51703600853245E-18</v>
      </c>
      <c r="Q29">
        <f>'Costing 100 Lmin Feed Orig'!Q29</f>
        <v>0.121348176216534</v>
      </c>
      <c r="R29">
        <f>'Costing 100 Lmin Feed Orig'!R29</f>
        <v>97.975160184298204</v>
      </c>
      <c r="S29">
        <f>'Costing 100 Lmin Feed Orig'!S29</f>
        <v>500</v>
      </c>
      <c r="T29">
        <f>'Costing 100 Lmin Feed Orig'!T29</f>
        <v>95</v>
      </c>
      <c r="U29">
        <f>'Costing 100 Lmin Feed Orig'!U29</f>
        <v>1</v>
      </c>
      <c r="V29">
        <f>'Costing 100 Lmin Feed Orig'!V29</f>
        <v>0.1</v>
      </c>
      <c r="W29">
        <f>'Costing 100 Lmin Feed Orig'!W29</f>
        <v>82.407501388038199</v>
      </c>
      <c r="X29" t="str">
        <f>'Costing 100 Lmin Feed Orig'!X29</f>
        <v>ddFc</v>
      </c>
      <c r="Y29">
        <f>'Costing 100 Lmin Feed Orig'!Y29</f>
        <v>1</v>
      </c>
      <c r="Z29">
        <f>'Costing 100 Lmin Feed Orig'!Z29</f>
        <v>0.28318429382522198</v>
      </c>
      <c r="AA29">
        <f>'Costing 100 Lmin Feed Orig'!AA29</f>
        <v>0.56945642916197003</v>
      </c>
      <c r="AB29">
        <f>'Costing 100 Lmin Feed Orig'!AB29</f>
        <v>3.7698628972227502E-3</v>
      </c>
      <c r="AC29">
        <f>'Costing 100 Lmin Feed Orig'!AC29</f>
        <v>1822.2107908876901</v>
      </c>
      <c r="AD29">
        <f>'Costing 100 Lmin Feed Orig'!AD29</f>
        <v>2662.6059073104898</v>
      </c>
      <c r="AE29">
        <f>'Costing 100 Lmin Feed Orig'!AE29</f>
        <v>2401.5030938442701</v>
      </c>
      <c r="AF29">
        <f>'Costing 100 Lmin Feed Orig'!AF29</f>
        <v>11</v>
      </c>
      <c r="AG29">
        <f>'Costing 100 Lmin Feed Orig'!AG29</f>
        <v>1.64912412966352E-3</v>
      </c>
      <c r="AH29">
        <f>'Costing 100 Lmin Feed Orig'!AH29</f>
        <v>1.66801192221077E-3</v>
      </c>
      <c r="AI29">
        <f>'Costing 100 Lmin Feed Orig'!AI29</f>
        <v>7.5059714998626504E-6</v>
      </c>
      <c r="AJ29">
        <f>'Costing 100 Lmin Feed Orig'!AJ29</f>
        <v>0</v>
      </c>
      <c r="AK29">
        <f>'Costing 100 Lmin Feed Orig'!AK29</f>
        <v>0</v>
      </c>
      <c r="AL29">
        <f>'Costing 100 Lmin Feed Orig'!AL29</f>
        <v>0</v>
      </c>
      <c r="AM29">
        <f>'Costing 100 Lmin Feed Orig'!AM29</f>
        <v>1.6121395083820099E-3</v>
      </c>
      <c r="AN29">
        <f>'Costing 100 Lmin Feed Orig'!AN29</f>
        <v>7.7392907855296494E-5</v>
      </c>
      <c r="AO29">
        <f>'Costing 100 Lmin Feed Orig'!AO29</f>
        <v>7.4565399542604097E-6</v>
      </c>
      <c r="AP29">
        <f>'Costing 100 Lmin Feed Orig'!AP29</f>
        <v>1.73275480734907E-3</v>
      </c>
      <c r="AQ29">
        <f>'Costing 100 Lmin Feed Orig'!AQ29</f>
        <v>7.4521588927651899E-2</v>
      </c>
      <c r="AR29">
        <f>'Costing 100 Lmin Feed Orig'!AR29</f>
        <v>2.3159017264239102E-6</v>
      </c>
      <c r="AS29">
        <f>'Costing 100 Lmin Feed Orig'!AS29</f>
        <v>3.11708124589582E-19</v>
      </c>
      <c r="AT29">
        <f>'Costing 100 Lmin Feed Orig'!AT29</f>
        <v>-5.4210108624275199E-18</v>
      </c>
      <c r="AU29">
        <f>'Costing 100 Lmin Feed Orig'!AU29</f>
        <v>1.34334131478611E-21</v>
      </c>
      <c r="AV29">
        <f>'Costing 100 Lmin Feed Orig'!AV29</f>
        <v>0.197233538514378</v>
      </c>
      <c r="AW29">
        <f>'Costing 100 Lmin Feed Orig'!AW29</f>
        <v>99.3414370730938</v>
      </c>
      <c r="AX29">
        <f>'Costing 100 Lmin Feed Orig'!AX29</f>
        <v>500</v>
      </c>
      <c r="AY29">
        <f>'Costing 100 Lmin Feed Orig'!AY29</f>
        <v>95</v>
      </c>
      <c r="AZ29">
        <f>'Costing 100 Lmin Feed Orig'!AZ29</f>
        <v>0.92405262022284995</v>
      </c>
      <c r="BA29">
        <f>'Costing 100 Lmin Feed Orig'!BA29</f>
        <v>0.1</v>
      </c>
      <c r="BB29">
        <f>'Costing 100 Lmin Feed Orig'!BB29</f>
        <v>46.850684076505999</v>
      </c>
      <c r="BC29" t="str">
        <f>'Costing 100 Lmin Feed Orig'!BC29</f>
        <v>coeFc</v>
      </c>
      <c r="BD29">
        <f>'Costing 100 Lmin Feed Orig'!BD29</f>
        <v>1</v>
      </c>
      <c r="BE29">
        <f>'Costing 100 Lmin Feed Orig'!BE29</f>
        <v>1.8775014999999999E-2</v>
      </c>
      <c r="BF29">
        <f>'Costing 100 Lmin Feed Orig'!BF29</f>
        <v>0.10492961100000001</v>
      </c>
      <c r="BG29">
        <f>'Costing 100 Lmin Feed Orig'!BG29</f>
        <v>1.814625E-3</v>
      </c>
      <c r="BH29">
        <f>'Costing 100 Lmin Feed Orig'!BH29</f>
        <v>285.1951444</v>
      </c>
      <c r="BI29">
        <f>'Costing 100 Lmin Feed Orig'!BI29</f>
        <v>2169.8944889999998</v>
      </c>
      <c r="BJ29">
        <f>'Costing 100 Lmin Feed Orig'!BJ29</f>
        <v>866.49409060000005</v>
      </c>
      <c r="BK29">
        <f>'Costing 100 Lmin Feed Orig'!BK29</f>
        <v>100</v>
      </c>
      <c r="BL29">
        <f>'Costing 100 Lmin Feed Orig'!BL29</f>
        <v>12.134817621653401</v>
      </c>
      <c r="BM29">
        <f>'Costing 100 Lmin Feed Orig'!BM29</f>
        <v>92.405262022285001</v>
      </c>
      <c r="BN29">
        <f>'Costing 100 Lmin Feed Orig'!BN29</f>
        <v>19.7233538514378</v>
      </c>
      <c r="BO29">
        <f t="shared" si="1"/>
        <v>169.88744670314762</v>
      </c>
      <c r="BP29">
        <f t="shared" si="2"/>
        <v>512.80720013738278</v>
      </c>
      <c r="BQ29">
        <f t="shared" si="3"/>
        <v>16.988744670314762</v>
      </c>
      <c r="BR29">
        <f t="shared" si="4"/>
        <v>51.280720013738282</v>
      </c>
      <c r="BS29">
        <f>1.2*0.5*BL29*V29/'Oxidant Feed Composition'!$N$22</f>
        <v>7.2808905729920399</v>
      </c>
      <c r="BT29">
        <f>1.2*0.5*BN29*BA29/'Oxidant Feed Composition'!$N$22</f>
        <v>11.834012310862679</v>
      </c>
      <c r="BU29">
        <f t="shared" si="5"/>
        <v>6.0674088108267004</v>
      </c>
      <c r="BV29">
        <f t="shared" si="6"/>
        <v>9.8616769257188999</v>
      </c>
      <c r="BW29">
        <f t="shared" si="7"/>
        <v>86.337853211458295</v>
      </c>
      <c r="BX29">
        <f t="shared" si="0"/>
        <v>38.831416389290879</v>
      </c>
      <c r="BY29">
        <f t="shared" si="8"/>
        <v>209.0801592878768</v>
      </c>
      <c r="BZ29">
        <f t="shared" si="9"/>
        <v>63.114732324600958</v>
      </c>
      <c r="CA29">
        <f t="shared" si="10"/>
        <v>59.170061554313399</v>
      </c>
      <c r="CB29">
        <f>BO29*'Reagent cost'!$G$11*'Reagent cost'!$H$11</f>
        <v>2242.5142964815486</v>
      </c>
      <c r="CC29">
        <f>BP29*'Reagent cost'!$G$11*'Reagent cost'!$H$11</f>
        <v>6769.0550418134535</v>
      </c>
      <c r="CD29">
        <f>BQ29*'Reagent cost'!$C$18/1000*'Reagent cost'!$H$18</f>
        <v>2709.3726906065185</v>
      </c>
      <c r="CE29">
        <f>BR29*'Ligand cost'!$B$56*'Ligand cost'!$J$56</f>
        <v>52210.323159620224</v>
      </c>
      <c r="CF29">
        <f t="shared" si="11"/>
        <v>10</v>
      </c>
      <c r="CG29">
        <f t="shared" si="12"/>
        <v>2.4269635243306804</v>
      </c>
      <c r="CH29">
        <f t="shared" si="12"/>
        <v>3.9446707702875603</v>
      </c>
      <c r="CI29">
        <f>7963.6*(BX29/1000)^0.6*1.7*('CAPEX+OPEX'!$G$116/'CAPEX+OPEX'!$G$115)</f>
        <v>2273.7926954959794</v>
      </c>
      <c r="CJ29">
        <f>7963.6*(BY29/1000)^0.6*1.7*('CAPEX+OPEX'!$G$116/'CAPEX+OPEX'!$G$115)</f>
        <v>6243.5072626595684</v>
      </c>
      <c r="CK29">
        <f>7963.6*(BZ29/1000)^0.6*1.7*('CAPEX+OPEX'!$G$116/'CAPEX+OPEX'!$G$115)</f>
        <v>3043.1220764966729</v>
      </c>
      <c r="CL29">
        <f>7963.6*(CA29/1000)^0.6*1.7*('CAPEX+OPEX'!$G$116/'CAPEX+OPEX'!$G$115)</f>
        <v>2927.5353002739821</v>
      </c>
      <c r="CM29">
        <f>'Costing 100 Lmin Feed Orig'!DE29</f>
        <v>39625.826528698344</v>
      </c>
      <c r="CN29">
        <f>'Costing 100 Lmin Feed Orig'!DF29</f>
        <v>4586243.4239371875</v>
      </c>
      <c r="CO29">
        <f>'Costing 100 Lmin Feed Orig'!DG29</f>
        <v>11794834.586807497</v>
      </c>
      <c r="CP29">
        <f>'Costing 100 Lmin Feed Orig'!DH29</f>
        <v>2275209.1661185985</v>
      </c>
      <c r="CQ29">
        <f>'Costing 100 Lmin Feed Orig'!DI29</f>
        <v>14083914.336508472</v>
      </c>
      <c r="CR29">
        <f>'Costing 100 Lmin Feed Orig'!DJ29</f>
        <v>1662824.8986326549</v>
      </c>
      <c r="CS29">
        <f>CN29*(BK29/10000)^0.72*((A29+1)/3)^0.6*('CAPEX+OPEX'!$G$116/'CAPEX+OPEX'!$G$114)</f>
        <v>589054.93036564998</v>
      </c>
      <c r="CT29">
        <f>CO29*(BK29/10000)^0.72*((A29+1)/3)^0.6*('CAPEX+OPEX'!$G$116/'CAPEX+OPEX'!$G$114)</f>
        <v>1514922.9606835202</v>
      </c>
      <c r="CU29">
        <f>CP29*(BK29/10000)^0.72*((A29+1)/3)^0.6*('CAPEX+OPEX'!$G$116/'CAPEX+OPEX'!$G$114)</f>
        <v>292226.78628879401</v>
      </c>
      <c r="CV29">
        <f>CQ29*(BK29/10000)^0.72*((A29+1)/3)^0.6*('CAPEX+OPEX'!$G$116/'CAPEX+OPEX'!$G$114)</f>
        <v>1808931.2781495745</v>
      </c>
      <c r="CW29">
        <f>CR29*(BK29/10000)^0.72*((A29+1)/3)^0.6*('CAPEX+OPEX'!$G$116/'CAPEX+OPEX'!$G$114)</f>
        <v>213572.44139332071</v>
      </c>
      <c r="CX29">
        <f t="shared" si="13"/>
        <v>4418708.3968808586</v>
      </c>
      <c r="CY29">
        <f>CN29*(BM29/10000)^0.72*((AF29+1)/3)^0.6*('CAPEX+OPEX'!$G$116/'CAPEX+OPEX'!$G$114)</f>
        <v>843481.2225111227</v>
      </c>
      <c r="CZ29">
        <f>CO29*(BM29/10000)^0.72*((AF29+1)/3)^0.6*('CAPEX+OPEX'!$G$116/'CAPEX+OPEX'!$G$114)</f>
        <v>2169252.8234918904</v>
      </c>
      <c r="DA29">
        <f>CP29*(BM29/10000)^0.72*((AF29+1)/3)^0.6*('CAPEX+OPEX'!$G$116/'CAPEX+OPEX'!$G$114)</f>
        <v>418446.21654616104</v>
      </c>
      <c r="DB29">
        <f>CQ29*(BM29/10000)^0.72*((AF29+1)/3)^0.6*('CAPEX+OPEX'!$G$116/'CAPEX+OPEX'!$G$114)</f>
        <v>2590250.0552623947</v>
      </c>
      <c r="DC29">
        <f>CR29*(BM29/10000)^0.72*((AF29+1)/3)^0.6*('CAPEX+OPEX'!$G$116/'CAPEX+OPEX'!$G$114)</f>
        <v>305819.26179499162</v>
      </c>
      <c r="DD29">
        <f t="shared" si="14"/>
        <v>6327249.579606561</v>
      </c>
      <c r="DE29">
        <f>CX29+DD29+1.15*(SUM(CI29:CL29)+SUM(CB29:CE29))</f>
        <v>10836140.082389386</v>
      </c>
      <c r="DF29">
        <f t="shared" si="15"/>
        <v>722409.33882595913</v>
      </c>
      <c r="DG29">
        <f>(BS29+BT29)*'Oxidant Feed Composition'!$N$28*60*7200</f>
        <v>21252617.307741567</v>
      </c>
      <c r="DH29">
        <f>((CG29+CH29)*'Reagent cost'!$C$17/1000*'Reagent cost'!$H$17+(CG29+CH29)*0.5*'Reagent cost'!$C$16/1000*'Reagent cost'!$H$16*1.5)*60*7200</f>
        <v>9041576.9137056619</v>
      </c>
      <c r="DI29">
        <f>CF29*'Reagent cost'!$C$17/1000*'Reagent cost'!$H$17*60*7200</f>
        <v>504921.59999999998</v>
      </c>
      <c r="DJ29">
        <f t="shared" si="16"/>
        <v>90.115693382950013</v>
      </c>
      <c r="DK29">
        <f t="shared" si="17"/>
        <v>1098.3939170045348</v>
      </c>
      <c r="DL29">
        <f t="shared" si="18"/>
        <v>36960365.197269142</v>
      </c>
      <c r="DM29">
        <f>BK29*(B29*(409.81+2)/1000+C29*(248.2+2*22.99)/1000+D29*(315.6+3*22.99)/1000+0.1*58.44/1000)</f>
        <v>0.70639694042110623</v>
      </c>
      <c r="DN29">
        <f>(BS29+BT29)/1000*('Oxidant Feed Composition'!$B$11*'Oxidant Feed Composition'!$O$20+'Oxidant Feed Composition'!$D$11*'Oxidant Feed Composition'!$O$21+'Oxidant Feed Composition'!$F$11*'Oxidant Feed Composition'!$O$27-'Oxidant Feed Composition'!$J$15*18.015)</f>
        <v>2.2323251404356461</v>
      </c>
      <c r="DO29">
        <f>(BU29+BV29)/1000*(0.2*368.34+0.4*58.44)</f>
        <v>1.5458221962173313</v>
      </c>
      <c r="DP29">
        <f>BK29/1000*(B29*195.08+C29*106.42+D29*102.91)</f>
        <v>4.999938342565946E-2</v>
      </c>
      <c r="DQ29">
        <f>SUM(DM29:DO29)-DP29</f>
        <v>4.4345448936484235</v>
      </c>
      <c r="DR29">
        <f>DQ29*60*7200*0.33</f>
        <v>632188.72003851936</v>
      </c>
      <c r="DS29">
        <v>1.2</v>
      </c>
      <c r="DT29">
        <f>BM29/60*(AM29*4+AN29*2+AO29*3)*96485/DV29</f>
        <v>1406.5004141824479</v>
      </c>
      <c r="DU29">
        <f>BN29*BA29*(AP29*4+AQ29*2+AR29*3)*96485/DV29/60</f>
        <v>706.74603480874009</v>
      </c>
      <c r="DV29">
        <v>0.7</v>
      </c>
      <c r="DW29">
        <f>0.499*((BK29/3.78541*15)^(-0.146))*BK29/3.78541*15*300*(1+(A29-2)/9)</f>
        <v>33024.331428945443</v>
      </c>
      <c r="DX29">
        <f>0.248*((BK29/3.78541*15)^(-0.144))*BK29/3.78541*15*300*(1+(A29-2)/3)</f>
        <v>24915.659383376755</v>
      </c>
      <c r="DY29">
        <f>0.105*((BK29/3.78541*15)^(-0.144))*BK29/3.78541*15*300*(1+(A29-2)/3)</f>
        <v>10548.968690542577</v>
      </c>
      <c r="DZ29">
        <f>0.058*((BK29/3.78541*15)^(-0.151))*BK29/3.78541*15*300*(1+(A29-2)/3)</f>
        <v>5588.0830181845758</v>
      </c>
      <c r="EA29">
        <f>0.056*((BK29/3.78541*15)^(-0.144))*BK29/3.78541*15*300*(1+(A29-2)/3)</f>
        <v>5626.1166349560426</v>
      </c>
      <c r="EB29">
        <f>DS29*DT29/(3.6*10^6)*3600*7200*0.07</f>
        <v>850.6514504975446</v>
      </c>
      <c r="EC29">
        <f>0.499*((BM29/3.78541*15)^(-0.146))*BM29/3.78541*15*300*(1+(AF29-2)/9)</f>
        <v>46305.254709964174</v>
      </c>
      <c r="ED29">
        <f>0.248*((BM29/3.78541*15)^(-0.144))*BM29/3.78541*15*300*(1+(AF29-2)/3)</f>
        <v>46573.487344952133</v>
      </c>
      <c r="EE29">
        <f>0.105*((BM29/3.78541*15)^(-0.144))*BM29/3.78541*15*300*(1+(AF29-2)/3)</f>
        <v>19718.613593628921</v>
      </c>
      <c r="EF29">
        <f>0.058*((BM29/3.78541*15)^(-0.151))*BM29/3.78541*15*300*(1+(AF29-2)/3)</f>
        <v>10451.276698437257</v>
      </c>
      <c r="EG29">
        <f>0.056*((BM29/3.78541*15)^(-0.144))*BM29/3.78541*15*300*(1+(AF29-2)/3)</f>
        <v>10516.593916602096</v>
      </c>
      <c r="EH29">
        <f>DS29*DU29/(3.6*10^6)*3600*7200*0.07</f>
        <v>427.44000185232608</v>
      </c>
      <c r="EI29">
        <f>SUM(DW29:EH29)</f>
        <v>214546.47687193981</v>
      </c>
      <c r="EJ29">
        <f>EI29+DR29+DL29</f>
        <v>37807100.394179597</v>
      </c>
      <c r="EK29">
        <f>EJ29+DF29</f>
        <v>38529509.733005553</v>
      </c>
      <c r="EL29">
        <f>EK29/(BK29*60*7200)</f>
        <v>0.8918867993751286</v>
      </c>
      <c r="EM29">
        <f>EK29/(BM29*(AM29*195.084/1000+AN29*106.42/1000+AO29*102.911/1000)*60*7200)</f>
        <v>2983.5306884724619</v>
      </c>
      <c r="EN29">
        <f>EK29/(BN29*BA29*(AP29*195.084/1000+AQ29*106.42/1000+AR29*102.911/1000)*60*7200)</f>
        <v>5468.6912675532167</v>
      </c>
    </row>
    <row r="30" spans="1:144">
      <c r="A30">
        <f>'Costing 100 Lmin Feed Orig'!A30</f>
        <v>5</v>
      </c>
      <c r="B30">
        <f>'Costing 100 Lmin Feed Orig'!B30</f>
        <v>1.54143585092054E-3</v>
      </c>
      <c r="C30">
        <f>'Costing 100 Lmin Feed Orig'!C30</f>
        <v>1.54143585092054E-3</v>
      </c>
      <c r="D30">
        <f>'Costing 100 Lmin Feed Orig'!D30</f>
        <v>3.4254130020456501E-4</v>
      </c>
      <c r="E30">
        <f>'Costing 100 Lmin Feed Orig'!E30</f>
        <v>0</v>
      </c>
      <c r="F30">
        <f>'Costing 100 Lmin Feed Orig'!F30</f>
        <v>0</v>
      </c>
      <c r="G30">
        <f>'Costing 100 Lmin Feed Orig'!G30</f>
        <v>0</v>
      </c>
      <c r="H30">
        <f>'Costing 100 Lmin Feed Orig'!H30</f>
        <v>1.7558377832426001E-5</v>
      </c>
      <c r="I30">
        <f>'Costing 100 Lmin Feed Orig'!I30</f>
        <v>1.05063644964669E-7</v>
      </c>
      <c r="J30">
        <f>'Costing 100 Lmin Feed Orig'!J30</f>
        <v>3.35605387572801E-4</v>
      </c>
      <c r="K30">
        <f>'Costing 100 Lmin Feed Orig'!K30</f>
        <v>0.12557893497872399</v>
      </c>
      <c r="L30">
        <f>'Costing 100 Lmin Feed Orig'!L30</f>
        <v>0.12701721899235199</v>
      </c>
      <c r="M30">
        <f>'Costing 100 Lmin Feed Orig'!M30</f>
        <v>5.7157122982957897E-4</v>
      </c>
      <c r="N30">
        <f>'Costing 100 Lmin Feed Orig'!N30</f>
        <v>-1.88000656708986E-16</v>
      </c>
      <c r="O30">
        <f>'Costing 100 Lmin Feed Orig'!O30</f>
        <v>-6.2354635343986299E-15</v>
      </c>
      <c r="P30">
        <f>'Costing 100 Lmin Feed Orig'!P30</f>
        <v>-1.51703600853245E-18</v>
      </c>
      <c r="Q30">
        <f>'Costing 100 Lmin Feed Orig'!Q30</f>
        <v>0.121348176216534</v>
      </c>
      <c r="R30">
        <f>'Costing 100 Lmin Feed Orig'!R30</f>
        <v>97.975160184298204</v>
      </c>
      <c r="S30">
        <f>'Costing 100 Lmin Feed Orig'!S30</f>
        <v>500</v>
      </c>
      <c r="T30">
        <f>'Costing 100 Lmin Feed Orig'!T30</f>
        <v>95</v>
      </c>
      <c r="U30">
        <f>'Costing 100 Lmin Feed Orig'!U30</f>
        <v>1</v>
      </c>
      <c r="V30">
        <f>'Costing 100 Lmin Feed Orig'!V30</f>
        <v>0.1</v>
      </c>
      <c r="W30">
        <f>'Costing 100 Lmin Feed Orig'!W30</f>
        <v>82.407501388038199</v>
      </c>
      <c r="X30" t="str">
        <f>'Costing 100 Lmin Feed Orig'!X30</f>
        <v>ddFc</v>
      </c>
      <c r="Y30">
        <f>'Costing 100 Lmin Feed Orig'!Y30</f>
        <v>1</v>
      </c>
      <c r="Z30">
        <f>'Costing 100 Lmin Feed Orig'!Z30</f>
        <v>0.28318429382522198</v>
      </c>
      <c r="AA30">
        <f>'Costing 100 Lmin Feed Orig'!AA30</f>
        <v>0.56945642916197003</v>
      </c>
      <c r="AB30">
        <f>'Costing 100 Lmin Feed Orig'!AB30</f>
        <v>3.7698628972227502E-3</v>
      </c>
      <c r="AC30">
        <f>'Costing 100 Lmin Feed Orig'!AC30</f>
        <v>1822.2107908876901</v>
      </c>
      <c r="AD30">
        <f>'Costing 100 Lmin Feed Orig'!AD30</f>
        <v>2662.6059073104898</v>
      </c>
      <c r="AE30">
        <f>'Costing 100 Lmin Feed Orig'!AE30</f>
        <v>2401.5030938442701</v>
      </c>
      <c r="AF30">
        <f>'Costing 100 Lmin Feed Orig'!AF30</f>
        <v>12</v>
      </c>
      <c r="AG30">
        <f>'Costing 100 Lmin Feed Orig'!AG30</f>
        <v>1.64912412966352E-3</v>
      </c>
      <c r="AH30">
        <f>'Costing 100 Lmin Feed Orig'!AH30</f>
        <v>1.66801192221077E-3</v>
      </c>
      <c r="AI30">
        <f>'Costing 100 Lmin Feed Orig'!AI30</f>
        <v>7.5059714998626504E-6</v>
      </c>
      <c r="AJ30">
        <f>'Costing 100 Lmin Feed Orig'!AJ30</f>
        <v>0</v>
      </c>
      <c r="AK30">
        <f>'Costing 100 Lmin Feed Orig'!AK30</f>
        <v>0</v>
      </c>
      <c r="AL30">
        <f>'Costing 100 Lmin Feed Orig'!AL30</f>
        <v>0</v>
      </c>
      <c r="AM30">
        <f>'Costing 100 Lmin Feed Orig'!AM30</f>
        <v>1.6121404312672901E-3</v>
      </c>
      <c r="AN30">
        <f>'Costing 100 Lmin Feed Orig'!AN30</f>
        <v>7.73929552459276E-5</v>
      </c>
      <c r="AO30">
        <f>'Costing 100 Lmin Feed Orig'!AO30</f>
        <v>7.4565411365620697E-6</v>
      </c>
      <c r="AP30">
        <f>'Costing 100 Lmin Feed Orig'!AP30</f>
        <v>1.73272364681595E-3</v>
      </c>
      <c r="AQ30">
        <f>'Costing 100 Lmin Feed Orig'!AQ30</f>
        <v>7.4522106149284603E-2</v>
      </c>
      <c r="AR30">
        <f>'Costing 100 Lmin Feed Orig'!AR30</f>
        <v>2.3158624767325598E-6</v>
      </c>
      <c r="AS30">
        <f>'Costing 100 Lmin Feed Orig'!AS30</f>
        <v>1.9933395754324901E-15</v>
      </c>
      <c r="AT30">
        <f>'Costing 100 Lmin Feed Orig'!AT30</f>
        <v>-2.0379531395775499E-13</v>
      </c>
      <c r="AU30">
        <f>'Costing 100 Lmin Feed Orig'!AU30</f>
        <v>-4.3741310791804103E-21</v>
      </c>
      <c r="AV30">
        <f>'Costing 100 Lmin Feed Orig'!AV30</f>
        <v>0.19723216376352101</v>
      </c>
      <c r="AW30">
        <f>'Costing 100 Lmin Feed Orig'!AW30</f>
        <v>99.341452824574603</v>
      </c>
      <c r="AX30">
        <f>'Costing 100 Lmin Feed Orig'!AX30</f>
        <v>500</v>
      </c>
      <c r="AY30">
        <f>'Costing 100 Lmin Feed Orig'!AY30</f>
        <v>95</v>
      </c>
      <c r="AZ30">
        <f>'Costing 100 Lmin Feed Orig'!AZ30</f>
        <v>0.92405262022284995</v>
      </c>
      <c r="BA30">
        <f>'Costing 100 Lmin Feed Orig'!BA30</f>
        <v>0.1</v>
      </c>
      <c r="BB30">
        <f>'Costing 100 Lmin Feed Orig'!BB30</f>
        <v>46.851010635911102</v>
      </c>
      <c r="BC30" t="str">
        <f>'Costing 100 Lmin Feed Orig'!BC30</f>
        <v>coeFc</v>
      </c>
      <c r="BD30">
        <f>'Costing 100 Lmin Feed Orig'!BD30</f>
        <v>1</v>
      </c>
      <c r="BE30">
        <f>'Costing 100 Lmin Feed Orig'!BE30</f>
        <v>1.8775014999999999E-2</v>
      </c>
      <c r="BF30">
        <f>'Costing 100 Lmin Feed Orig'!BF30</f>
        <v>0.10492961100000001</v>
      </c>
      <c r="BG30">
        <f>'Costing 100 Lmin Feed Orig'!BG30</f>
        <v>1.814625E-3</v>
      </c>
      <c r="BH30">
        <f>'Costing 100 Lmin Feed Orig'!BH30</f>
        <v>285.1951444</v>
      </c>
      <c r="BI30">
        <f>'Costing 100 Lmin Feed Orig'!BI30</f>
        <v>2169.8944889999998</v>
      </c>
      <c r="BJ30">
        <f>'Costing 100 Lmin Feed Orig'!BJ30</f>
        <v>866.49409060000005</v>
      </c>
      <c r="BK30">
        <f>'Costing 100 Lmin Feed Orig'!BK30</f>
        <v>100</v>
      </c>
      <c r="BL30">
        <f>'Costing 100 Lmin Feed Orig'!BL30</f>
        <v>12.134817621653401</v>
      </c>
      <c r="BM30">
        <f>'Costing 100 Lmin Feed Orig'!BM30</f>
        <v>92.405262022285001</v>
      </c>
      <c r="BN30">
        <f>'Costing 100 Lmin Feed Orig'!BN30</f>
        <v>19.723216376352102</v>
      </c>
      <c r="BO30">
        <f t="shared" si="1"/>
        <v>169.88744670314762</v>
      </c>
      <c r="BP30">
        <f t="shared" si="2"/>
        <v>552.25005853785888</v>
      </c>
      <c r="BQ30">
        <f t="shared" si="3"/>
        <v>16.988744670314762</v>
      </c>
      <c r="BR30">
        <f t="shared" si="4"/>
        <v>55.225005853785888</v>
      </c>
      <c r="BS30">
        <f>1.2*0.5*BL30*V30/'Oxidant Feed Composition'!$N$22</f>
        <v>7.2808905729920399</v>
      </c>
      <c r="BT30">
        <f>1.2*0.5*BN30*BA30/'Oxidant Feed Composition'!$N$22</f>
        <v>11.833929825811259</v>
      </c>
      <c r="BU30">
        <f t="shared" si="5"/>
        <v>6.0674088108267004</v>
      </c>
      <c r="BV30">
        <f t="shared" si="6"/>
        <v>9.8616081881760511</v>
      </c>
      <c r="BW30">
        <f t="shared" si="7"/>
        <v>86.337853211458295</v>
      </c>
      <c r="BX30">
        <f t="shared" si="0"/>
        <v>38.831416389290879</v>
      </c>
      <c r="BY30">
        <f t="shared" si="8"/>
        <v>209.0801592878768</v>
      </c>
      <c r="BZ30">
        <f t="shared" si="9"/>
        <v>63.114292404326719</v>
      </c>
      <c r="CA30">
        <f t="shared" si="10"/>
        <v>59.16964912905631</v>
      </c>
      <c r="CB30">
        <f>BO30*'Reagent cost'!$G$11*'Reagent cost'!$H$11</f>
        <v>2242.5142964815486</v>
      </c>
      <c r="CC30">
        <f>BP30*'Reagent cost'!$G$11*'Reagent cost'!$H$11</f>
        <v>7289.7007726997381</v>
      </c>
      <c r="CD30">
        <f>BQ30*'Reagent cost'!$C$18/1000*'Reagent cost'!$H$18</f>
        <v>2709.3726906065185</v>
      </c>
      <c r="CE30">
        <f>BR30*'Ligand cost'!$B$56*'Ligand cost'!$J$56</f>
        <v>56226.109956054243</v>
      </c>
      <c r="CF30">
        <f t="shared" si="11"/>
        <v>10</v>
      </c>
      <c r="CG30">
        <f t="shared" si="12"/>
        <v>2.4269635243306804</v>
      </c>
      <c r="CH30">
        <f t="shared" si="12"/>
        <v>3.9446432752704208</v>
      </c>
      <c r="CI30">
        <f>7963.6*(BX30/1000)^0.6*1.7*('CAPEX+OPEX'!$G$116/'CAPEX+OPEX'!$G$115)</f>
        <v>2273.7926954959794</v>
      </c>
      <c r="CJ30">
        <f>7963.6*(BY30/1000)^0.6*1.7*('CAPEX+OPEX'!$G$116/'CAPEX+OPEX'!$G$115)</f>
        <v>6243.5072626595684</v>
      </c>
      <c r="CK30">
        <f>7963.6*(BZ30/1000)^0.6*1.7*('CAPEX+OPEX'!$G$116/'CAPEX+OPEX'!$G$115)</f>
        <v>3043.1093498360469</v>
      </c>
      <c r="CL30">
        <f>7963.6*(CA30/1000)^0.6*1.7*('CAPEX+OPEX'!$G$116/'CAPEX+OPEX'!$G$115)</f>
        <v>2927.5230570095641</v>
      </c>
      <c r="CM30">
        <f>'Costing 100 Lmin Feed Orig'!DE30</f>
        <v>39625.826528698344</v>
      </c>
      <c r="CN30">
        <f>'Costing 100 Lmin Feed Orig'!DF30</f>
        <v>4586243.4239371875</v>
      </c>
      <c r="CO30">
        <f>'Costing 100 Lmin Feed Orig'!DG30</f>
        <v>11794834.586807497</v>
      </c>
      <c r="CP30">
        <f>'Costing 100 Lmin Feed Orig'!DH30</f>
        <v>2275209.1661185985</v>
      </c>
      <c r="CQ30">
        <f>'Costing 100 Lmin Feed Orig'!DI30</f>
        <v>14083914.336508472</v>
      </c>
      <c r="CR30">
        <f>'Costing 100 Lmin Feed Orig'!DJ30</f>
        <v>1662824.8986326549</v>
      </c>
      <c r="CS30">
        <f>CN30*(BK30/10000)^0.72*((A30+1)/3)^0.6*('CAPEX+OPEX'!$G$116/'CAPEX+OPEX'!$G$114)</f>
        <v>589054.93036564998</v>
      </c>
      <c r="CT30">
        <f>CO30*(BK30/10000)^0.72*((A30+1)/3)^0.6*('CAPEX+OPEX'!$G$116/'CAPEX+OPEX'!$G$114)</f>
        <v>1514922.9606835202</v>
      </c>
      <c r="CU30">
        <f>CP30*(BK30/10000)^0.72*((A30+1)/3)^0.6*('CAPEX+OPEX'!$G$116/'CAPEX+OPEX'!$G$114)</f>
        <v>292226.78628879401</v>
      </c>
      <c r="CV30">
        <f>CQ30*(BK30/10000)^0.72*((A30+1)/3)^0.6*('CAPEX+OPEX'!$G$116/'CAPEX+OPEX'!$G$114)</f>
        <v>1808931.2781495745</v>
      </c>
      <c r="CW30">
        <f>CR30*(BK30/10000)^0.72*((A30+1)/3)^0.6*('CAPEX+OPEX'!$G$116/'CAPEX+OPEX'!$G$114)</f>
        <v>213572.44139332071</v>
      </c>
      <c r="CX30">
        <f t="shared" si="13"/>
        <v>4418708.3968808586</v>
      </c>
      <c r="CY30">
        <f>CN30*(BM30/10000)^0.72*((AF30+1)/3)^0.6*('CAPEX+OPEX'!$G$116/'CAPEX+OPEX'!$G$114)</f>
        <v>884978.42390710395</v>
      </c>
      <c r="CZ30">
        <f>CO30*(BM30/10000)^0.72*((AF30+1)/3)^0.6*('CAPEX+OPEX'!$G$116/'CAPEX+OPEX'!$G$114)</f>
        <v>2275974.7265915852</v>
      </c>
      <c r="DA30">
        <f>CP30*(BM30/10000)^0.72*((AF30+1)/3)^0.6*('CAPEX+OPEX'!$G$116/'CAPEX+OPEX'!$G$114)</f>
        <v>439032.74112783116</v>
      </c>
      <c r="DB30">
        <f>CQ30*(BM30/10000)^0.72*((AF30+1)/3)^0.6*('CAPEX+OPEX'!$G$116/'CAPEX+OPEX'!$G$114)</f>
        <v>2717683.9866179414</v>
      </c>
      <c r="DC30">
        <f>CR30*(BM30/10000)^0.72*((AF30+1)/3)^0.6*('CAPEX+OPEX'!$G$116/'CAPEX+OPEX'!$G$114)</f>
        <v>320864.81723687309</v>
      </c>
      <c r="DD30">
        <f t="shared" si="14"/>
        <v>6638534.6954813348</v>
      </c>
      <c r="DE30">
        <f>CX30+DD30+1.15*(SUM(CI30:CL30)+SUM(CB30:CE30))</f>
        <v>11152642.066955162</v>
      </c>
      <c r="DF30">
        <f t="shared" si="15"/>
        <v>743509.4711303442</v>
      </c>
      <c r="DG30">
        <f>(BS30+BT30)*'Oxidant Feed Composition'!$N$28*60*7200</f>
        <v>21252525.597977616</v>
      </c>
      <c r="DH30">
        <f>((CG30+CH30)*'Reagent cost'!$C$17/1000*'Reagent cost'!$H$17+(CG30+CH30)*0.5*'Reagent cost'!$C$16/1000*'Reagent cost'!$H$16*1.5)*60*7200</f>
        <v>9041537.897293115</v>
      </c>
      <c r="DI30">
        <f>CF30*'Reagent cost'!$C$17/1000*'Reagent cost'!$H$17*60*7200</f>
        <v>504921.59999999998</v>
      </c>
      <c r="DJ30">
        <f t="shared" si="16"/>
        <v>95.322150691812865</v>
      </c>
      <c r="DK30">
        <f t="shared" si="17"/>
        <v>1178.7096529332152</v>
      </c>
      <c r="DL30">
        <f t="shared" si="18"/>
        <v>36960310.952489227</v>
      </c>
      <c r="DM30">
        <f>BK30*(B30*(409.81+2)/1000+C30*(248.2+2*22.99)/1000+D30*(315.6+3*22.99)/1000+0.1*58.44/1000)</f>
        <v>0.70639694042110623</v>
      </c>
      <c r="DN30">
        <f>(BS30+BT30)/1000*('Oxidant Feed Composition'!$B$11*'Oxidant Feed Composition'!$O$20+'Oxidant Feed Composition'!$D$11*'Oxidant Feed Composition'!$O$21+'Oxidant Feed Composition'!$F$11*'Oxidant Feed Composition'!$O$27-'Oxidant Feed Composition'!$J$15*18.015)</f>
        <v>2.2323155074568595</v>
      </c>
      <c r="DO30">
        <f>(BU30+BV30)/1000*(0.2*368.34+0.4*58.44)</f>
        <v>1.5458155256512232</v>
      </c>
      <c r="DP30">
        <f>BK30/1000*(B30*195.08+C30*106.42+D30*102.91)</f>
        <v>4.999938342565946E-2</v>
      </c>
      <c r="DQ30">
        <f>SUM(DM30:DO30)-DP30</f>
        <v>4.434528590103529</v>
      </c>
      <c r="DR30">
        <f>DQ30*60*7200*0.33</f>
        <v>632186.39580515923</v>
      </c>
      <c r="DS30">
        <v>1.2</v>
      </c>
      <c r="DT30">
        <f>BM30/60*(AM30*4+AN30*2+AO30*3)*96485/DV30</f>
        <v>1406.5012186924448</v>
      </c>
      <c r="DU30">
        <f>BN30*BA30*(AP30*4+AQ30*2+AR30*3)*96485/DV30/60</f>
        <v>706.74523039054441</v>
      </c>
      <c r="DV30">
        <v>0.7</v>
      </c>
      <c r="DW30">
        <f>0.499*((BK30/3.78541*15)^(-0.146))*BK30/3.78541*15*300*(1+(A30-2)/9)</f>
        <v>33024.331428945443</v>
      </c>
      <c r="DX30">
        <f>0.248*((BK30/3.78541*15)^(-0.144))*BK30/3.78541*15*300*(1+(A30-2)/3)</f>
        <v>24915.659383376755</v>
      </c>
      <c r="DY30">
        <f>0.105*((BK30/3.78541*15)^(-0.144))*BK30/3.78541*15*300*(1+(A30-2)/3)</f>
        <v>10548.968690542577</v>
      </c>
      <c r="DZ30">
        <f>0.058*((BK30/3.78541*15)^(-0.151))*BK30/3.78541*15*300*(1+(A30-2)/3)</f>
        <v>5588.0830181845758</v>
      </c>
      <c r="EA30">
        <f>0.056*((BK30/3.78541*15)^(-0.144))*BK30/3.78541*15*300*(1+(A30-2)/3)</f>
        <v>5626.1166349560426</v>
      </c>
      <c r="EB30">
        <f>DS30*DT30/(3.6*10^6)*3600*7200*0.07</f>
        <v>850.65193706519062</v>
      </c>
      <c r="EC30">
        <f>0.499*((BM30/3.78541*15)^(-0.146))*BM30/3.78541*15*300*(1+(AF30-2)/9)</f>
        <v>48877.768860517739</v>
      </c>
      <c r="ED30">
        <f>0.248*((BM30/3.78541*15)^(-0.144))*BM30/3.78541*15*300*(1+(AF30-2)/3)</f>
        <v>50454.611290364817</v>
      </c>
      <c r="EE30">
        <f>0.105*((BM30/3.78541*15)^(-0.144))*BM30/3.78541*15*300*(1+(AF30-2)/3)</f>
        <v>21361.831393098</v>
      </c>
      <c r="EF30">
        <f>0.058*((BM30/3.78541*15)^(-0.151))*BM30/3.78541*15*300*(1+(AF30-2)/3)</f>
        <v>11322.216423307031</v>
      </c>
      <c r="EG30">
        <f>0.056*((BM30/3.78541*15)^(-0.144))*BM30/3.78541*15*300*(1+(AF30-2)/3)</f>
        <v>11392.976742985606</v>
      </c>
      <c r="EH30">
        <f>DS30*DU30/(3.6*10^6)*3600*7200*0.07</f>
        <v>427.4395153402013</v>
      </c>
      <c r="EI30">
        <f>SUM(DW30:EH30)</f>
        <v>224390.65531868394</v>
      </c>
      <c r="EJ30">
        <f>EI30+DR30+DL30</f>
        <v>37816888.00361307</v>
      </c>
      <c r="EK30">
        <f>EJ30+DF30</f>
        <v>38560397.474743411</v>
      </c>
      <c r="EL30">
        <f>EK30/(BK30*60*7200)</f>
        <v>0.89260179339683821</v>
      </c>
      <c r="EM30">
        <f>EK30/(BM30*(AM30*195.084/1000+AN30*106.42/1000+AO30*102.911/1000)*60*7200)</f>
        <v>2985.9207698126188</v>
      </c>
      <c r="EN30">
        <f>EK30/(BN30*BA30*(AP30*195.084/1000+AQ30*106.42/1000+AR30*102.911/1000)*60*7200)</f>
        <v>5473.0810659314056</v>
      </c>
    </row>
    <row r="31" spans="1:144">
      <c r="A31">
        <f>'Costing 100 Lmin Feed Orig'!A31</f>
        <v>5</v>
      </c>
      <c r="B31">
        <f>'Costing 100 Lmin Feed Orig'!B31</f>
        <v>1.54143585092054E-3</v>
      </c>
      <c r="C31">
        <f>'Costing 100 Lmin Feed Orig'!C31</f>
        <v>1.54143585092054E-3</v>
      </c>
      <c r="D31">
        <f>'Costing 100 Lmin Feed Orig'!D31</f>
        <v>3.4254130020456501E-4</v>
      </c>
      <c r="E31">
        <f>'Costing 100 Lmin Feed Orig'!E31</f>
        <v>0</v>
      </c>
      <c r="F31">
        <f>'Costing 100 Lmin Feed Orig'!F31</f>
        <v>0</v>
      </c>
      <c r="G31">
        <f>'Costing 100 Lmin Feed Orig'!G31</f>
        <v>0</v>
      </c>
      <c r="H31">
        <f>'Costing 100 Lmin Feed Orig'!H31</f>
        <v>1.7558377832426001E-5</v>
      </c>
      <c r="I31">
        <f>'Costing 100 Lmin Feed Orig'!I31</f>
        <v>1.05063644964669E-7</v>
      </c>
      <c r="J31">
        <f>'Costing 100 Lmin Feed Orig'!J31</f>
        <v>3.35605387572801E-4</v>
      </c>
      <c r="K31">
        <f>'Costing 100 Lmin Feed Orig'!K31</f>
        <v>0.12557893497872399</v>
      </c>
      <c r="L31">
        <f>'Costing 100 Lmin Feed Orig'!L31</f>
        <v>0.12701721899235199</v>
      </c>
      <c r="M31">
        <f>'Costing 100 Lmin Feed Orig'!M31</f>
        <v>5.7157122982957897E-4</v>
      </c>
      <c r="N31">
        <f>'Costing 100 Lmin Feed Orig'!N31</f>
        <v>-1.88000656708986E-16</v>
      </c>
      <c r="O31">
        <f>'Costing 100 Lmin Feed Orig'!O31</f>
        <v>-6.2354635343986299E-15</v>
      </c>
      <c r="P31">
        <f>'Costing 100 Lmin Feed Orig'!P31</f>
        <v>-1.51703600853245E-18</v>
      </c>
      <c r="Q31">
        <f>'Costing 100 Lmin Feed Orig'!Q31</f>
        <v>0.121348176216534</v>
      </c>
      <c r="R31">
        <f>'Costing 100 Lmin Feed Orig'!R31</f>
        <v>97.975160184298204</v>
      </c>
      <c r="S31">
        <f>'Costing 100 Lmin Feed Orig'!S31</f>
        <v>500</v>
      </c>
      <c r="T31">
        <f>'Costing 100 Lmin Feed Orig'!T31</f>
        <v>95</v>
      </c>
      <c r="U31">
        <f>'Costing 100 Lmin Feed Orig'!U31</f>
        <v>1</v>
      </c>
      <c r="V31">
        <f>'Costing 100 Lmin Feed Orig'!V31</f>
        <v>0.1</v>
      </c>
      <c r="W31">
        <f>'Costing 100 Lmin Feed Orig'!W31</f>
        <v>82.407501388038199</v>
      </c>
      <c r="X31" t="str">
        <f>'Costing 100 Lmin Feed Orig'!X31</f>
        <v>ddFc</v>
      </c>
      <c r="Y31">
        <f>'Costing 100 Lmin Feed Orig'!Y31</f>
        <v>1</v>
      </c>
      <c r="Z31">
        <f>'Costing 100 Lmin Feed Orig'!Z31</f>
        <v>0.28318429382522198</v>
      </c>
      <c r="AA31">
        <f>'Costing 100 Lmin Feed Orig'!AA31</f>
        <v>0.56945642916197003</v>
      </c>
      <c r="AB31">
        <f>'Costing 100 Lmin Feed Orig'!AB31</f>
        <v>3.7698628972227502E-3</v>
      </c>
      <c r="AC31">
        <f>'Costing 100 Lmin Feed Orig'!AC31</f>
        <v>1822.2107908876901</v>
      </c>
      <c r="AD31">
        <f>'Costing 100 Lmin Feed Orig'!AD31</f>
        <v>2662.6059073104898</v>
      </c>
      <c r="AE31">
        <f>'Costing 100 Lmin Feed Orig'!AE31</f>
        <v>2401.5030938442701</v>
      </c>
      <c r="AF31">
        <f>'Costing 100 Lmin Feed Orig'!AF31</f>
        <v>13</v>
      </c>
      <c r="AG31">
        <f>'Costing 100 Lmin Feed Orig'!AG31</f>
        <v>1.64912412966352E-3</v>
      </c>
      <c r="AH31">
        <f>'Costing 100 Lmin Feed Orig'!AH31</f>
        <v>1.66801192221077E-3</v>
      </c>
      <c r="AI31">
        <f>'Costing 100 Lmin Feed Orig'!AI31</f>
        <v>7.5059714998626504E-6</v>
      </c>
      <c r="AJ31">
        <f>'Costing 100 Lmin Feed Orig'!AJ31</f>
        <v>0</v>
      </c>
      <c r="AK31">
        <f>'Costing 100 Lmin Feed Orig'!AK31</f>
        <v>0</v>
      </c>
      <c r="AL31">
        <f>'Costing 100 Lmin Feed Orig'!AL31</f>
        <v>0</v>
      </c>
      <c r="AM31">
        <f>'Costing 100 Lmin Feed Orig'!AM31</f>
        <v>1.61214069129301E-3</v>
      </c>
      <c r="AN31">
        <f>'Costing 100 Lmin Feed Orig'!AN31</f>
        <v>7.7392968598377306E-5</v>
      </c>
      <c r="AO31">
        <f>'Costing 100 Lmin Feed Orig'!AO31</f>
        <v>7.4565414696759002E-6</v>
      </c>
      <c r="AP31">
        <f>'Costing 100 Lmin Feed Orig'!AP31</f>
        <v>1.73271486747767E-3</v>
      </c>
      <c r="AQ31">
        <f>'Costing 100 Lmin Feed Orig'!AQ31</f>
        <v>7.4522251874090506E-2</v>
      </c>
      <c r="AR31">
        <f>'Costing 100 Lmin Feed Orig'!AR31</f>
        <v>2.3158514183141602E-6</v>
      </c>
      <c r="AS31">
        <f>'Costing 100 Lmin Feed Orig'!AS31</f>
        <v>2.9341221292888898E-18</v>
      </c>
      <c r="AT31">
        <f>'Costing 100 Lmin Feed Orig'!AT31</f>
        <v>-2.4871597836817398E-16</v>
      </c>
      <c r="AU31">
        <f>'Costing 100 Lmin Feed Orig'!AU31</f>
        <v>-1.16467030247466E-21</v>
      </c>
      <c r="AV31">
        <f>'Costing 100 Lmin Feed Orig'!AV31</f>
        <v>0.19723177640219999</v>
      </c>
      <c r="AW31">
        <f>'Costing 100 Lmin Feed Orig'!AW31</f>
        <v>99.341457262558706</v>
      </c>
      <c r="AX31">
        <f>'Costing 100 Lmin Feed Orig'!AX31</f>
        <v>500</v>
      </c>
      <c r="AY31">
        <f>'Costing 100 Lmin Feed Orig'!AY31</f>
        <v>95</v>
      </c>
      <c r="AZ31">
        <f>'Costing 100 Lmin Feed Orig'!AZ31</f>
        <v>0.92405262022284995</v>
      </c>
      <c r="BA31">
        <f>'Costing 100 Lmin Feed Orig'!BA31</f>
        <v>0.1</v>
      </c>
      <c r="BB31">
        <f>'Costing 100 Lmin Feed Orig'!BB31</f>
        <v>46.851102650847501</v>
      </c>
      <c r="BC31" t="str">
        <f>'Costing 100 Lmin Feed Orig'!BC31</f>
        <v>coeFc</v>
      </c>
      <c r="BD31">
        <f>'Costing 100 Lmin Feed Orig'!BD31</f>
        <v>1</v>
      </c>
      <c r="BE31">
        <f>'Costing 100 Lmin Feed Orig'!BE31</f>
        <v>1.8775014999999999E-2</v>
      </c>
      <c r="BF31">
        <f>'Costing 100 Lmin Feed Orig'!BF31</f>
        <v>0.10492961100000001</v>
      </c>
      <c r="BG31">
        <f>'Costing 100 Lmin Feed Orig'!BG31</f>
        <v>1.814625E-3</v>
      </c>
      <c r="BH31">
        <f>'Costing 100 Lmin Feed Orig'!BH31</f>
        <v>285.1951444</v>
      </c>
      <c r="BI31">
        <f>'Costing 100 Lmin Feed Orig'!BI31</f>
        <v>2169.8944889999998</v>
      </c>
      <c r="BJ31">
        <f>'Costing 100 Lmin Feed Orig'!BJ31</f>
        <v>866.49409060000005</v>
      </c>
      <c r="BK31">
        <f>'Costing 100 Lmin Feed Orig'!BK31</f>
        <v>100</v>
      </c>
      <c r="BL31">
        <f>'Costing 100 Lmin Feed Orig'!BL31</f>
        <v>12.134817621653401</v>
      </c>
      <c r="BM31">
        <f>'Costing 100 Lmin Feed Orig'!BM31</f>
        <v>92.405262022285001</v>
      </c>
      <c r="BN31">
        <f>'Costing 100 Lmin Feed Orig'!BN31</f>
        <v>19.723177640219998</v>
      </c>
      <c r="BO31">
        <f t="shared" si="1"/>
        <v>169.88744670314762</v>
      </c>
      <c r="BP31">
        <f t="shared" si="2"/>
        <v>591.69532920659992</v>
      </c>
      <c r="BQ31">
        <f t="shared" si="3"/>
        <v>16.988744670314762</v>
      </c>
      <c r="BR31">
        <f t="shared" si="4"/>
        <v>59.169532920659996</v>
      </c>
      <c r="BS31">
        <f>1.2*0.5*BL31*V31/'Oxidant Feed Composition'!$N$22</f>
        <v>7.2808905729920399</v>
      </c>
      <c r="BT31">
        <f>1.2*0.5*BN31*BA31/'Oxidant Feed Composition'!$N$22</f>
        <v>11.833906584131999</v>
      </c>
      <c r="BU31">
        <f t="shared" si="5"/>
        <v>6.0674088108267004</v>
      </c>
      <c r="BV31">
        <f t="shared" si="6"/>
        <v>9.8615888201099988</v>
      </c>
      <c r="BW31">
        <f t="shared" si="7"/>
        <v>86.337853211458295</v>
      </c>
      <c r="BX31">
        <f t="shared" si="0"/>
        <v>38.831416389290879</v>
      </c>
      <c r="BY31">
        <f t="shared" si="8"/>
        <v>209.0801592878768</v>
      </c>
      <c r="BZ31">
        <f t="shared" si="9"/>
        <v>63.114168448703992</v>
      </c>
      <c r="CA31">
        <f t="shared" si="10"/>
        <v>59.169532920659989</v>
      </c>
      <c r="CB31">
        <f>BO31*'Reagent cost'!$G$11*'Reagent cost'!$H$11</f>
        <v>2242.5142964815486</v>
      </c>
      <c r="CC31">
        <f>BP31*'Reagent cost'!$G$11*'Reagent cost'!$H$11</f>
        <v>7810.3783455271196</v>
      </c>
      <c r="CD31">
        <f>BQ31*'Reagent cost'!$C$18/1000*'Reagent cost'!$H$18</f>
        <v>2709.3726906065185</v>
      </c>
      <c r="CE31">
        <f>BR31*'Ligand cost'!$B$56*'Ligand cost'!$J$56</f>
        <v>60242.142352210001</v>
      </c>
      <c r="CF31">
        <f t="shared" si="11"/>
        <v>10</v>
      </c>
      <c r="CG31">
        <f t="shared" si="12"/>
        <v>2.4269635243306804</v>
      </c>
      <c r="CH31">
        <f t="shared" si="12"/>
        <v>3.9446355280439995</v>
      </c>
      <c r="CI31">
        <f>7963.6*(BX31/1000)^0.6*1.7*('CAPEX+OPEX'!$G$116/'CAPEX+OPEX'!$G$115)</f>
        <v>2273.7926954959794</v>
      </c>
      <c r="CJ31">
        <f>7963.6*(BY31/1000)^0.6*1.7*('CAPEX+OPEX'!$G$116/'CAPEX+OPEX'!$G$115)</f>
        <v>6243.5072626595684</v>
      </c>
      <c r="CK31">
        <f>7963.6*(BZ31/1000)^0.6*1.7*('CAPEX+OPEX'!$G$116/'CAPEX+OPEX'!$G$115)</f>
        <v>3043.1057638590996</v>
      </c>
      <c r="CL31">
        <f>7963.6*(CA31/1000)^0.6*1.7*('CAPEX+OPEX'!$G$116/'CAPEX+OPEX'!$G$115)</f>
        <v>2927.5196072386261</v>
      </c>
      <c r="CM31">
        <f>'Costing 100 Lmin Feed Orig'!DE31</f>
        <v>39625.826528698344</v>
      </c>
      <c r="CN31">
        <f>'Costing 100 Lmin Feed Orig'!DF31</f>
        <v>4586243.4239371875</v>
      </c>
      <c r="CO31">
        <f>'Costing 100 Lmin Feed Orig'!DG31</f>
        <v>11794834.586807497</v>
      </c>
      <c r="CP31">
        <f>'Costing 100 Lmin Feed Orig'!DH31</f>
        <v>2275209.1661185985</v>
      </c>
      <c r="CQ31">
        <f>'Costing 100 Lmin Feed Orig'!DI31</f>
        <v>14083914.336508472</v>
      </c>
      <c r="CR31">
        <f>'Costing 100 Lmin Feed Orig'!DJ31</f>
        <v>1662824.8986326549</v>
      </c>
      <c r="CS31">
        <f>CN31*(BK31/10000)^0.72*((A31+1)/3)^0.6*('CAPEX+OPEX'!$G$116/'CAPEX+OPEX'!$G$114)</f>
        <v>589054.93036564998</v>
      </c>
      <c r="CT31">
        <f>CO31*(BK31/10000)^0.72*((A31+1)/3)^0.6*('CAPEX+OPEX'!$G$116/'CAPEX+OPEX'!$G$114)</f>
        <v>1514922.9606835202</v>
      </c>
      <c r="CU31">
        <f>CP31*(BK31/10000)^0.72*((A31+1)/3)^0.6*('CAPEX+OPEX'!$G$116/'CAPEX+OPEX'!$G$114)</f>
        <v>292226.78628879401</v>
      </c>
      <c r="CV31">
        <f>CQ31*(BK31/10000)^0.72*((A31+1)/3)^0.6*('CAPEX+OPEX'!$G$116/'CAPEX+OPEX'!$G$114)</f>
        <v>1808931.2781495745</v>
      </c>
      <c r="CW31">
        <f>CR31*(BK31/10000)^0.72*((A31+1)/3)^0.6*('CAPEX+OPEX'!$G$116/'CAPEX+OPEX'!$G$114)</f>
        <v>213572.44139332071</v>
      </c>
      <c r="CX31">
        <f t="shared" si="13"/>
        <v>4418708.3968808586</v>
      </c>
      <c r="CY31">
        <f>CN31*(BM31/10000)^0.72*((AF31+1)/3)^0.6*('CAPEX+OPEX'!$G$116/'CAPEX+OPEX'!$G$114)</f>
        <v>925216.76281415427</v>
      </c>
      <c r="CZ31">
        <f>CO31*(BM31/10000)^0.72*((AF31+1)/3)^0.6*('CAPEX+OPEX'!$G$116/'CAPEX+OPEX'!$G$114)</f>
        <v>2379459.1053272258</v>
      </c>
      <c r="DA31">
        <f>CP31*(BM31/10000)^0.72*((AF31+1)/3)^0.6*('CAPEX+OPEX'!$G$116/'CAPEX+OPEX'!$G$114)</f>
        <v>458994.7512193307</v>
      </c>
      <c r="DB31">
        <f>CQ31*(BM31/10000)^0.72*((AF31+1)/3)^0.6*('CAPEX+OPEX'!$G$116/'CAPEX+OPEX'!$G$114)</f>
        <v>2841252.0718295593</v>
      </c>
      <c r="DC31">
        <f>CR31*(BM31/10000)^0.72*((AF31+1)/3)^0.6*('CAPEX+OPEX'!$G$116/'CAPEX+OPEX'!$G$114)</f>
        <v>335453.94948071335</v>
      </c>
      <c r="DD31">
        <f t="shared" si="14"/>
        <v>6940376.6406709841</v>
      </c>
      <c r="DE31">
        <f>CX31+DD31+1.15*(SUM(CI31:CL31)+SUM(CB31:CE31))</f>
        <v>11459701.220518032</v>
      </c>
      <c r="DF31">
        <f t="shared" si="15"/>
        <v>763980.08136786881</v>
      </c>
      <c r="DG31">
        <f>(BS31+BT31)*'Oxidant Feed Composition'!$N$28*60*7200</f>
        <v>21252499.757066056</v>
      </c>
      <c r="DH31">
        <f>((CG31+CH31)*'Reagent cost'!$C$17/1000*'Reagent cost'!$H$17+(CG31+CH31)*0.5*'Reagent cost'!$C$16/1000*'Reagent cost'!$H$16*1.5)*60*7200</f>
        <v>9041526.9037017841</v>
      </c>
      <c r="DI31">
        <f>CF31*'Reagent cost'!$C$17/1000*'Reagent cost'!$H$17*60*7200</f>
        <v>504921.59999999998</v>
      </c>
      <c r="DJ31">
        <f t="shared" si="16"/>
        <v>100.52892642008669</v>
      </c>
      <c r="DK31">
        <f t="shared" si="17"/>
        <v>1259.0303008563305</v>
      </c>
      <c r="DL31">
        <f t="shared" si="18"/>
        <v>36960369.38399414</v>
      </c>
      <c r="DM31">
        <f>BK31*(B31*(409.81+2)/1000+C31*(248.2+2*22.99)/1000+D31*(315.6+3*22.99)/1000+0.1*58.44/1000)</f>
        <v>0.70639694042110623</v>
      </c>
      <c r="DN31">
        <f>(BS31+BT31)/1000*('Oxidant Feed Composition'!$B$11*'Oxidant Feed Composition'!$O$20+'Oxidant Feed Composition'!$D$11*'Oxidant Feed Composition'!$O$21+'Oxidant Feed Composition'!$F$11*'Oxidant Feed Composition'!$O$27-'Oxidant Feed Composition'!$J$15*18.015)</f>
        <v>2.2323127931880382</v>
      </c>
      <c r="DO31">
        <f>(BU31+BV31)/1000*(0.2*368.34+0.4*58.44)</f>
        <v>1.545813646096621</v>
      </c>
      <c r="DP31">
        <f>BK31/1000*(B31*195.08+C31*106.42+D31*102.91)</f>
        <v>4.999938342565946E-2</v>
      </c>
      <c r="DQ31">
        <f>SUM(DM31:DO31)-DP31</f>
        <v>4.4345239962801051</v>
      </c>
      <c r="DR31">
        <f>DQ31*60*7200*0.33</f>
        <v>632185.74090969178</v>
      </c>
      <c r="DS31">
        <v>1.2</v>
      </c>
      <c r="DT31">
        <f>BM31/60*(AM31*4+AN31*2+AO31*3)*96485/DV31</f>
        <v>1406.5014453655667</v>
      </c>
      <c r="DU31">
        <f>BN31*BA31*(AP31*4+AQ31*2+AR31*3)*96485/DV31/60</f>
        <v>706.74500362572746</v>
      </c>
      <c r="DV31">
        <v>0.7</v>
      </c>
      <c r="DW31">
        <f>0.499*((BK31/3.78541*15)^(-0.146))*BK31/3.78541*15*300*(1+(A31-2)/9)</f>
        <v>33024.331428945443</v>
      </c>
      <c r="DX31">
        <f>0.248*((BK31/3.78541*15)^(-0.144))*BK31/3.78541*15*300*(1+(A31-2)/3)</f>
        <v>24915.659383376755</v>
      </c>
      <c r="DY31">
        <f>0.105*((BK31/3.78541*15)^(-0.144))*BK31/3.78541*15*300*(1+(A31-2)/3)</f>
        <v>10548.968690542577</v>
      </c>
      <c r="DZ31">
        <f>0.058*((BK31/3.78541*15)^(-0.151))*BK31/3.78541*15*300*(1+(A31-2)/3)</f>
        <v>5588.0830181845758</v>
      </c>
      <c r="EA31">
        <f>0.056*((BK31/3.78541*15)^(-0.144))*BK31/3.78541*15*300*(1+(A31-2)/3)</f>
        <v>5626.1166349560426</v>
      </c>
      <c r="EB31">
        <f>DS31*DT31/(3.6*10^6)*3600*7200*0.07</f>
        <v>850.65207415709494</v>
      </c>
      <c r="EC31">
        <f>0.499*((BM31/3.78541*15)^(-0.146))*BM31/3.78541*15*300*(1+(AF31-2)/9)</f>
        <v>51450.283011071304</v>
      </c>
      <c r="ED31">
        <f>0.248*((BM31/3.78541*15)^(-0.144))*BM31/3.78541*15*300*(1+(AF31-2)/3)</f>
        <v>54335.73523577748</v>
      </c>
      <c r="EE31">
        <f>0.105*((BM31/3.78541*15)^(-0.144))*BM31/3.78541*15*300*(1+(AF31-2)/3)</f>
        <v>23005.049192567072</v>
      </c>
      <c r="EF31">
        <f>0.058*((BM31/3.78541*15)^(-0.151))*BM31/3.78541*15*300*(1+(AF31-2)/3)</f>
        <v>12193.156148176799</v>
      </c>
      <c r="EG31">
        <f>0.056*((BM31/3.78541*15)^(-0.144))*BM31/3.78541*15*300*(1+(AF31-2)/3)</f>
        <v>12269.359569369111</v>
      </c>
      <c r="EH31">
        <f>DS31*DU31/(3.6*10^6)*3600*7200*0.07</f>
        <v>427.43937819284008</v>
      </c>
      <c r="EI31">
        <f>SUM(DW31:EH31)</f>
        <v>234234.8337653171</v>
      </c>
      <c r="EJ31">
        <f>EI31+DR31+DL31</f>
        <v>37826789.958669148</v>
      </c>
      <c r="EK31">
        <f>EJ31+DF31</f>
        <v>38590770.040037014</v>
      </c>
      <c r="EL31">
        <f>EK31/(BK31*60*7200)</f>
        <v>0.89330486203789383</v>
      </c>
      <c r="EM31">
        <f>EK31/(BM31*(AM31*195.084/1000+AN31*106.42/1000+AO31*102.911/1000)*60*7200)</f>
        <v>2988.272184550478</v>
      </c>
      <c r="EN31">
        <f>EK31/(BN31*BA31*(AP31*195.084/1000+AQ31*106.42/1000+AR31*102.911/1000)*60*7200)</f>
        <v>5477.3936248504733</v>
      </c>
    </row>
    <row r="32" spans="1:144">
      <c r="A32">
        <f>'Costing 100 Lmin Feed Orig'!A32</f>
        <v>6</v>
      </c>
      <c r="B32">
        <f>'Costing 100 Lmin Feed Orig'!B32</f>
        <v>1.54143585092054E-3</v>
      </c>
      <c r="C32">
        <f>'Costing 100 Lmin Feed Orig'!C32</f>
        <v>1.54143585092054E-3</v>
      </c>
      <c r="D32">
        <f>'Costing 100 Lmin Feed Orig'!D32</f>
        <v>3.4254130020456501E-4</v>
      </c>
      <c r="E32">
        <f>'Costing 100 Lmin Feed Orig'!E32</f>
        <v>0</v>
      </c>
      <c r="F32">
        <f>'Costing 100 Lmin Feed Orig'!F32</f>
        <v>0</v>
      </c>
      <c r="G32">
        <f>'Costing 100 Lmin Feed Orig'!G32</f>
        <v>0</v>
      </c>
      <c r="H32">
        <f>'Costing 100 Lmin Feed Orig'!H32</f>
        <v>1.7693893431643E-5</v>
      </c>
      <c r="I32">
        <f>'Costing 100 Lmin Feed Orig'!I32</f>
        <v>3.7175600603836103E-8</v>
      </c>
      <c r="J32">
        <f>'Costing 100 Lmin Feed Orig'!J32</f>
        <v>3.36890310328726E-4</v>
      </c>
      <c r="K32">
        <f>'Costing 100 Lmin Feed Orig'!K32</f>
        <v>0.133710118829723</v>
      </c>
      <c r="L32">
        <f>'Costing 100 Lmin Feed Orig'!L32</f>
        <v>0.13525951632913</v>
      </c>
      <c r="M32">
        <f>'Costing 100 Lmin Feed Orig'!M32</f>
        <v>4.9588089642288804E-4</v>
      </c>
      <c r="N32">
        <f>'Costing 100 Lmin Feed Orig'!N32</f>
        <v>-1.72886878424538E-14</v>
      </c>
      <c r="O32">
        <f>'Costing 100 Lmin Feed Orig'!O32</f>
        <v>-1.05961268405396E-12</v>
      </c>
      <c r="P32">
        <f>'Costing 100 Lmin Feed Orig'!P32</f>
        <v>-9.6595637304880395E-18</v>
      </c>
      <c r="Q32">
        <f>'Costing 100 Lmin Feed Orig'!Q32</f>
        <v>0.11395861217105201</v>
      </c>
      <c r="R32">
        <f>'Costing 100 Lmin Feed Orig'!R32</f>
        <v>98.3502748800029</v>
      </c>
      <c r="S32">
        <f>'Costing 100 Lmin Feed Orig'!S32</f>
        <v>500</v>
      </c>
      <c r="T32">
        <f>'Costing 100 Lmin Feed Orig'!T32</f>
        <v>95</v>
      </c>
      <c r="U32">
        <f>'Costing 100 Lmin Feed Orig'!U32</f>
        <v>1</v>
      </c>
      <c r="V32">
        <f>'Costing 100 Lmin Feed Orig'!V32</f>
        <v>0.1</v>
      </c>
      <c r="W32">
        <f>'Costing 100 Lmin Feed Orig'!W32</f>
        <v>87.751156402202497</v>
      </c>
      <c r="X32" t="str">
        <f>'Costing 100 Lmin Feed Orig'!X32</f>
        <v>ddFc</v>
      </c>
      <c r="Y32">
        <f>'Costing 100 Lmin Feed Orig'!Y32</f>
        <v>1</v>
      </c>
      <c r="Z32">
        <f>'Costing 100 Lmin Feed Orig'!Z32</f>
        <v>0.28318429382522198</v>
      </c>
      <c r="AA32">
        <f>'Costing 100 Lmin Feed Orig'!AA32</f>
        <v>0.56945642916197003</v>
      </c>
      <c r="AB32">
        <f>'Costing 100 Lmin Feed Orig'!AB32</f>
        <v>3.7698628972227502E-3</v>
      </c>
      <c r="AC32">
        <f>'Costing 100 Lmin Feed Orig'!AC32</f>
        <v>1822.2107908876901</v>
      </c>
      <c r="AD32">
        <f>'Costing 100 Lmin Feed Orig'!AD32</f>
        <v>2662.6059073104898</v>
      </c>
      <c r="AE32">
        <f>'Costing 100 Lmin Feed Orig'!AE32</f>
        <v>2401.5030938442701</v>
      </c>
      <c r="AF32">
        <f>'Costing 100 Lmin Feed Orig'!AF32</f>
        <v>4</v>
      </c>
      <c r="AG32">
        <f>'Costing 100 Lmin Feed Orig'!AG32</f>
        <v>1.64951815726537E-3</v>
      </c>
      <c r="AH32">
        <f>'Costing 100 Lmin Feed Orig'!AH32</f>
        <v>1.6686323374819601E-3</v>
      </c>
      <c r="AI32">
        <f>'Costing 100 Lmin Feed Orig'!AI32</f>
        <v>6.1174468293775103E-6</v>
      </c>
      <c r="AJ32">
        <f>'Costing 100 Lmin Feed Orig'!AJ32</f>
        <v>0</v>
      </c>
      <c r="AK32">
        <f>'Costing 100 Lmin Feed Orig'!AK32</f>
        <v>0</v>
      </c>
      <c r="AL32">
        <f>'Costing 100 Lmin Feed Orig'!AL32</f>
        <v>0</v>
      </c>
      <c r="AM32">
        <f>'Costing 100 Lmin Feed Orig'!AM32</f>
        <v>1.60449551819817E-3</v>
      </c>
      <c r="AN32">
        <f>'Costing 100 Lmin Feed Orig'!AN32</f>
        <v>7.8378352599036395E-5</v>
      </c>
      <c r="AO32">
        <f>'Costing 100 Lmin Feed Orig'!AO32</f>
        <v>6.0687799409797502E-6</v>
      </c>
      <c r="AP32">
        <f>'Costing 100 Lmin Feed Orig'!AP32</f>
        <v>1.98992535233798E-3</v>
      </c>
      <c r="AQ32">
        <f>'Costing 100 Lmin Feed Orig'!AQ32</f>
        <v>7.0286566630574296E-2</v>
      </c>
      <c r="AR32">
        <f>'Costing 100 Lmin Feed Orig'!AR32</f>
        <v>2.1509950778718299E-6</v>
      </c>
      <c r="AS32">
        <f>'Costing 100 Lmin Feed Orig'!AS32</f>
        <v>-1.0218998498963401E-14</v>
      </c>
      <c r="AT32">
        <f>'Costing 100 Lmin Feed Orig'!AT32</f>
        <v>-1.31525649746389E-13</v>
      </c>
      <c r="AU32">
        <f>'Costing 100 Lmin Feed Orig'!AU32</f>
        <v>-3.7253567811428197E-18</v>
      </c>
      <c r="AV32">
        <f>'Costing 100 Lmin Feed Orig'!AV32</f>
        <v>0.20900106017960299</v>
      </c>
      <c r="AW32">
        <f>'Costing 100 Lmin Feed Orig'!AW32</f>
        <v>99.204457517079604</v>
      </c>
      <c r="AX32">
        <f>'Costing 100 Lmin Feed Orig'!AX32</f>
        <v>500</v>
      </c>
      <c r="AY32">
        <f>'Costing 100 Lmin Feed Orig'!AY32</f>
        <v>95</v>
      </c>
      <c r="AZ32">
        <f>'Costing 100 Lmin Feed Orig'!AZ32</f>
        <v>0.92374973309314701</v>
      </c>
      <c r="BA32">
        <f>'Costing 100 Lmin Feed Orig'!BA32</f>
        <v>0.1</v>
      </c>
      <c r="BB32">
        <f>'Costing 100 Lmin Feed Orig'!BB32</f>
        <v>44.198327620889899</v>
      </c>
      <c r="BC32" t="str">
        <f>'Costing 100 Lmin Feed Orig'!BC32</f>
        <v>coeFc</v>
      </c>
      <c r="BD32">
        <f>'Costing 100 Lmin Feed Orig'!BD32</f>
        <v>1</v>
      </c>
      <c r="BE32">
        <f>'Costing 100 Lmin Feed Orig'!BE32</f>
        <v>1.8775014999999999E-2</v>
      </c>
      <c r="BF32">
        <f>'Costing 100 Lmin Feed Orig'!BF32</f>
        <v>0.10492961100000001</v>
      </c>
      <c r="BG32">
        <f>'Costing 100 Lmin Feed Orig'!BG32</f>
        <v>1.814625E-3</v>
      </c>
      <c r="BH32">
        <f>'Costing 100 Lmin Feed Orig'!BH32</f>
        <v>285.1951444</v>
      </c>
      <c r="BI32">
        <f>'Costing 100 Lmin Feed Orig'!BI32</f>
        <v>2169.8944889999998</v>
      </c>
      <c r="BJ32">
        <f>'Costing 100 Lmin Feed Orig'!BJ32</f>
        <v>866.49409060000005</v>
      </c>
      <c r="BK32">
        <f>'Costing 100 Lmin Feed Orig'!BK32</f>
        <v>100</v>
      </c>
      <c r="BL32">
        <f>'Costing 100 Lmin Feed Orig'!BL32</f>
        <v>11.395861217105201</v>
      </c>
      <c r="BM32">
        <f>'Costing 100 Lmin Feed Orig'!BM32</f>
        <v>92.374973309314697</v>
      </c>
      <c r="BN32">
        <f>'Costing 100 Lmin Feed Orig'!BN32</f>
        <v>20.900106017960297</v>
      </c>
      <c r="BO32">
        <f t="shared" si="1"/>
        <v>182.33377947368322</v>
      </c>
      <c r="BP32">
        <f t="shared" si="2"/>
        <v>250.80127221552357</v>
      </c>
      <c r="BQ32">
        <f t="shared" si="3"/>
        <v>18.233377947368322</v>
      </c>
      <c r="BR32">
        <f t="shared" si="4"/>
        <v>25.08012722155236</v>
      </c>
      <c r="BS32">
        <f>1.2*0.5*BL32*V32/'Oxidant Feed Composition'!$N$22</f>
        <v>6.837516730263121</v>
      </c>
      <c r="BT32">
        <f>1.2*0.5*BN32*BA32/'Oxidant Feed Composition'!$N$22</f>
        <v>12.54006361077618</v>
      </c>
      <c r="BU32">
        <f t="shared" si="5"/>
        <v>5.6979306085525998</v>
      </c>
      <c r="BV32">
        <f t="shared" si="6"/>
        <v>10.450053008980149</v>
      </c>
      <c r="BW32">
        <f t="shared" si="7"/>
        <v>86.677042700762101</v>
      </c>
      <c r="BX32">
        <f t="shared" si="0"/>
        <v>36.466755894736643</v>
      </c>
      <c r="BY32">
        <f t="shared" si="8"/>
        <v>207.54166905283981</v>
      </c>
      <c r="BZ32">
        <f t="shared" si="9"/>
        <v>66.880339257472954</v>
      </c>
      <c r="CA32">
        <f t="shared" si="10"/>
        <v>62.700318053880892</v>
      </c>
      <c r="CB32">
        <f>BO32*'Reagent cost'!$G$11*'Reagent cost'!$H$11</f>
        <v>2406.8058890526186</v>
      </c>
      <c r="CC32">
        <f>BP32*'Reagent cost'!$G$11*'Reagent cost'!$H$11</f>
        <v>3310.5767932449112</v>
      </c>
      <c r="CD32">
        <f>BQ32*'Reagent cost'!$C$18/1000*'Reagent cost'!$H$18</f>
        <v>2907.8673690603878</v>
      </c>
      <c r="CE32">
        <f>BR32*'Ligand cost'!$B$56*'Ligand cost'!$J$56</f>
        <v>25534.773044739486</v>
      </c>
      <c r="CF32">
        <f t="shared" si="11"/>
        <v>10</v>
      </c>
      <c r="CG32">
        <f t="shared" si="12"/>
        <v>2.2791722434210402</v>
      </c>
      <c r="CH32">
        <f t="shared" si="12"/>
        <v>4.1800212035920596</v>
      </c>
      <c r="CI32">
        <f>7963.6*(BX32/1000)^0.6*1.7*('CAPEX+OPEX'!$G$116/'CAPEX+OPEX'!$G$115)</f>
        <v>2189.6727102460782</v>
      </c>
      <c r="CJ32">
        <f>7963.6*(BY32/1000)^0.6*1.7*('CAPEX+OPEX'!$G$116/'CAPEX+OPEX'!$G$115)</f>
        <v>6215.9013146876341</v>
      </c>
      <c r="CK32">
        <f>7963.6*(BZ32/1000)^0.6*1.7*('CAPEX+OPEX'!$G$116/'CAPEX+OPEX'!$G$115)</f>
        <v>3150.7939894739484</v>
      </c>
      <c r="CL32">
        <f>7963.6*(CA32/1000)^0.6*1.7*('CAPEX+OPEX'!$G$116/'CAPEX+OPEX'!$G$115)</f>
        <v>3031.11751556647</v>
      </c>
      <c r="CM32">
        <f>'Costing 100 Lmin Feed Orig'!DE32</f>
        <v>39625.826528698344</v>
      </c>
      <c r="CN32">
        <f>'Costing 100 Lmin Feed Orig'!DF32</f>
        <v>4586243.4239371875</v>
      </c>
      <c r="CO32">
        <f>'Costing 100 Lmin Feed Orig'!DG32</f>
        <v>11794834.586807497</v>
      </c>
      <c r="CP32">
        <f>'Costing 100 Lmin Feed Orig'!DH32</f>
        <v>2275209.1661185985</v>
      </c>
      <c r="CQ32">
        <f>'Costing 100 Lmin Feed Orig'!DI32</f>
        <v>14083914.336508472</v>
      </c>
      <c r="CR32">
        <f>'Costing 100 Lmin Feed Orig'!DJ32</f>
        <v>1662824.8986326549</v>
      </c>
      <c r="CS32">
        <f>CN32*(BK32/10000)^0.72*((A32+1)/3)^0.6*('CAPEX+OPEX'!$G$116/'CAPEX+OPEX'!$G$114)</f>
        <v>646135.89638675924</v>
      </c>
      <c r="CT32">
        <f>CO32*(BK32/10000)^0.72*((A32+1)/3)^0.6*('CAPEX+OPEX'!$G$116/'CAPEX+OPEX'!$G$114)</f>
        <v>1661722.9645298459</v>
      </c>
      <c r="CU32">
        <f>CP32*(BK32/10000)^0.72*((A32+1)/3)^0.6*('CAPEX+OPEX'!$G$116/'CAPEX+OPEX'!$G$114)</f>
        <v>320544.32748695416</v>
      </c>
      <c r="CV32">
        <f>CQ32*(BK32/10000)^0.72*((A32+1)/3)^0.6*('CAPEX+OPEX'!$G$116/'CAPEX+OPEX'!$G$114)</f>
        <v>1984221.4582325809</v>
      </c>
      <c r="CW32">
        <f>CR32*(BK32/10000)^0.72*((A32+1)/3)^0.6*('CAPEX+OPEX'!$G$116/'CAPEX+OPEX'!$G$114)</f>
        <v>234268.17050410178</v>
      </c>
      <c r="CX32">
        <f t="shared" si="13"/>
        <v>4846892.8171402421</v>
      </c>
      <c r="CY32">
        <f>CN32*(BM32/10000)^0.72*((AF32+1)/3)^0.6*('CAPEX+OPEX'!$G$116/'CAPEX+OPEX'!$G$114)</f>
        <v>498707.80181552708</v>
      </c>
      <c r="CZ32">
        <f>CO32*(BM32/10000)^0.72*((AF32+1)/3)^0.6*('CAPEX+OPEX'!$G$116/'CAPEX+OPEX'!$G$114)</f>
        <v>1282569.5205935668</v>
      </c>
      <c r="DA32">
        <f>CP32*(BM32/10000)^0.72*((AF32+1)/3)^0.6*('CAPEX+OPEX'!$G$116/'CAPEX+OPEX'!$G$114)</f>
        <v>247406.09187539818</v>
      </c>
      <c r="DB32">
        <f>CQ32*(BM32/10000)^0.72*((AF32+1)/3)^0.6*('CAPEX+OPEX'!$G$116/'CAPEX+OPEX'!$G$114)</f>
        <v>1531483.8987958883</v>
      </c>
      <c r="DC32">
        <f>CR32*(BM32/10000)^0.72*((AF32+1)/3)^0.6*('CAPEX+OPEX'!$G$116/'CAPEX+OPEX'!$G$114)</f>
        <v>180815.46776889433</v>
      </c>
      <c r="DD32">
        <f t="shared" si="14"/>
        <v>3740982.7808492747</v>
      </c>
      <c r="DE32">
        <f>CX32+DD32+1.15*(SUM(CI32:CL32)+SUM(CB32:CE32))</f>
        <v>8643935.2329094987</v>
      </c>
      <c r="DF32">
        <f t="shared" si="15"/>
        <v>576262.34886063321</v>
      </c>
      <c r="DG32">
        <f>(BS32+BT32)*'Oxidant Feed Composition'!$N$28*60*7200</f>
        <v>21544671.288179517</v>
      </c>
      <c r="DH32">
        <f>((CG32+CH32)*'Reagent cost'!$C$17/1000*'Reagent cost'!$H$17+(CG32+CH32)*0.5*'Reagent cost'!$C$16/1000*'Reagent cost'!$H$16*1.5)*60*7200</f>
        <v>9165826.4820692521</v>
      </c>
      <c r="DI32">
        <f>CF32*'Reagent cost'!$C$17/1000*'Reagent cost'!$H$17*60*7200</f>
        <v>504921.59999999998</v>
      </c>
      <c r="DJ32">
        <f t="shared" si="16"/>
        <v>57.1738268229753</v>
      </c>
      <c r="DK32">
        <f t="shared" si="17"/>
        <v>568.85280827599752</v>
      </c>
      <c r="DL32">
        <f t="shared" si="18"/>
        <v>37459254.47626064</v>
      </c>
      <c r="DM32">
        <f>BK32*(B32*(409.81+2)/1000+C32*(248.2+2*22.99)/1000+D32*(315.6+3*22.99)/1000+0.1*58.44/1000)</f>
        <v>0.70639694042110623</v>
      </c>
      <c r="DN32">
        <f>(BS32+BT32)/1000*('Oxidant Feed Composition'!$B$11*'Oxidant Feed Composition'!$O$20+'Oxidant Feed Composition'!$D$11*'Oxidant Feed Composition'!$O$21+'Oxidant Feed Composition'!$F$11*'Oxidant Feed Composition'!$O$27-'Oxidant Feed Composition'!$J$15*18.015)</f>
        <v>2.2630018064413178</v>
      </c>
      <c r="DO32">
        <f>(BU32+BV32)/1000*(0.2*368.34+0.4*58.44)</f>
        <v>1.5670649221798481</v>
      </c>
      <c r="DP32">
        <f>BK32/1000*(B32*195.08+C32*106.42+D32*102.91)</f>
        <v>4.999938342565946E-2</v>
      </c>
      <c r="DQ32">
        <f>SUM(DM32:DO32)-DP32</f>
        <v>4.4864642856166119</v>
      </c>
      <c r="DR32">
        <f>DQ32*60*7200*0.33</f>
        <v>639590.34855750436</v>
      </c>
      <c r="DS32">
        <v>1.2</v>
      </c>
      <c r="DT32">
        <f>BM32/60*(AM32*4+AN32*2+AO32*3)*96485/DV32</f>
        <v>1399.085634031785</v>
      </c>
      <c r="DU32">
        <f>BN32*BA32*(AP32*4+AQ32*2+AR32*3)*96485/DV32/60</f>
        <v>713.18193969377842</v>
      </c>
      <c r="DV32">
        <v>0.7</v>
      </c>
      <c r="DW32">
        <f>0.499*((BK32/3.78541*15)^(-0.146))*BK32/3.78541*15*300*(1+(A32-2)/9)</f>
        <v>35776.359048024235</v>
      </c>
      <c r="DX32">
        <f>0.248*((BK32/3.78541*15)^(-0.144))*BK32/3.78541*15*300*(1+(A32-2)/3)</f>
        <v>29068.269280606211</v>
      </c>
      <c r="DY32">
        <f>0.105*((BK32/3.78541*15)^(-0.144))*BK32/3.78541*15*300*(1+(A32-2)/3)</f>
        <v>12307.130138966339</v>
      </c>
      <c r="DZ32">
        <f>0.058*((BK32/3.78541*15)^(-0.151))*BK32/3.78541*15*300*(1+(A32-2)/3)</f>
        <v>6519.4301878820042</v>
      </c>
      <c r="EA32">
        <f>0.056*((BK32/3.78541*15)^(-0.144))*BK32/3.78541*15*300*(1+(A32-2)/3)</f>
        <v>6563.8027407820491</v>
      </c>
      <c r="EB32">
        <f>DS32*DT32/(3.6*10^6)*3600*7200*0.07</f>
        <v>846.16699146242365</v>
      </c>
      <c r="EC32">
        <f>0.499*((BM32/3.78541*15)^(-0.146))*BM32/3.78541*15*300*(1+(AF32-2)/9)</f>
        <v>28289.73423978344</v>
      </c>
      <c r="ED32">
        <f>0.248*((BM32/3.78541*15)^(-0.144))*BM32/3.78541*15*300*(1+(AF32-2)/3)</f>
        <v>19400.174755088523</v>
      </c>
      <c r="EE32">
        <f>0.105*((BM32/3.78541*15)^(-0.144))*BM32/3.78541*15*300*(1+(AF32-2)/3)</f>
        <v>8213.783666468933</v>
      </c>
      <c r="EF32">
        <f>0.058*((BM32/3.78541*15)^(-0.151))*BM32/3.78541*15*300*(1+(AF32-2)/3)</f>
        <v>4353.4867414415085</v>
      </c>
      <c r="EG32">
        <f>0.056*((BM32/3.78541*15)^(-0.144))*BM32/3.78541*15*300*(1+(AF32-2)/3)</f>
        <v>4380.6846221167634</v>
      </c>
      <c r="EH32">
        <f>DS32*DU32/(3.6*10^6)*3600*7200*0.07</f>
        <v>431.33243712679723</v>
      </c>
      <c r="EI32">
        <f>SUM(DW32:EH32)</f>
        <v>156150.35484974924</v>
      </c>
      <c r="EJ32">
        <f>EI32+DR32+DL32</f>
        <v>38254995.17966789</v>
      </c>
      <c r="EK32">
        <f>EJ32+DF32</f>
        <v>38831257.528528526</v>
      </c>
      <c r="EL32">
        <f>EK32/(BK32*60*7200)</f>
        <v>0.89887170204927147</v>
      </c>
      <c r="EM32">
        <f>EK32/(BM32*(AM32*195.084/1000+AN32*106.42/1000+AO32*102.911/1000)*60*7200)</f>
        <v>3022.1677748127054</v>
      </c>
      <c r="EN32">
        <f>EK32/(BN32*BA32*(AP32*195.084/1000+AQ32*106.42/1000+AR32*102.911/1000)*60*7200)</f>
        <v>5465.969250371737</v>
      </c>
    </row>
    <row r="33" spans="1:144">
      <c r="A33">
        <f>'Costing 100 Lmin Feed Orig'!A33</f>
        <v>6</v>
      </c>
      <c r="B33">
        <f>'Costing 100 Lmin Feed Orig'!B33</f>
        <v>1.54143585092054E-3</v>
      </c>
      <c r="C33">
        <f>'Costing 100 Lmin Feed Orig'!C33</f>
        <v>1.54143585092054E-3</v>
      </c>
      <c r="D33">
        <f>'Costing 100 Lmin Feed Orig'!D33</f>
        <v>3.4254130020456501E-4</v>
      </c>
      <c r="E33">
        <f>'Costing 100 Lmin Feed Orig'!E33</f>
        <v>0</v>
      </c>
      <c r="F33">
        <f>'Costing 100 Lmin Feed Orig'!F33</f>
        <v>0</v>
      </c>
      <c r="G33">
        <f>'Costing 100 Lmin Feed Orig'!G33</f>
        <v>0</v>
      </c>
      <c r="H33">
        <f>'Costing 100 Lmin Feed Orig'!H33</f>
        <v>1.7693893431643E-5</v>
      </c>
      <c r="I33">
        <f>'Costing 100 Lmin Feed Orig'!I33</f>
        <v>3.7175600603836103E-8</v>
      </c>
      <c r="J33">
        <f>'Costing 100 Lmin Feed Orig'!J33</f>
        <v>3.36890310328726E-4</v>
      </c>
      <c r="K33">
        <f>'Costing 100 Lmin Feed Orig'!K33</f>
        <v>0.133710118829723</v>
      </c>
      <c r="L33">
        <f>'Costing 100 Lmin Feed Orig'!L33</f>
        <v>0.13525951632913</v>
      </c>
      <c r="M33">
        <f>'Costing 100 Lmin Feed Orig'!M33</f>
        <v>4.9588089642288804E-4</v>
      </c>
      <c r="N33">
        <f>'Costing 100 Lmin Feed Orig'!N33</f>
        <v>-1.72886878424538E-14</v>
      </c>
      <c r="O33">
        <f>'Costing 100 Lmin Feed Orig'!O33</f>
        <v>-1.05961268405396E-12</v>
      </c>
      <c r="P33">
        <f>'Costing 100 Lmin Feed Orig'!P33</f>
        <v>-9.6595637304880395E-18</v>
      </c>
      <c r="Q33">
        <f>'Costing 100 Lmin Feed Orig'!Q33</f>
        <v>0.11395861217105201</v>
      </c>
      <c r="R33">
        <f>'Costing 100 Lmin Feed Orig'!R33</f>
        <v>98.3502748800029</v>
      </c>
      <c r="S33">
        <f>'Costing 100 Lmin Feed Orig'!S33</f>
        <v>500</v>
      </c>
      <c r="T33">
        <f>'Costing 100 Lmin Feed Orig'!T33</f>
        <v>95</v>
      </c>
      <c r="U33">
        <f>'Costing 100 Lmin Feed Orig'!U33</f>
        <v>1</v>
      </c>
      <c r="V33">
        <f>'Costing 100 Lmin Feed Orig'!V33</f>
        <v>0.1</v>
      </c>
      <c r="W33">
        <f>'Costing 100 Lmin Feed Orig'!W33</f>
        <v>87.751156402202497</v>
      </c>
      <c r="X33" t="str">
        <f>'Costing 100 Lmin Feed Orig'!X33</f>
        <v>ddFc</v>
      </c>
      <c r="Y33">
        <f>'Costing 100 Lmin Feed Orig'!Y33</f>
        <v>1</v>
      </c>
      <c r="Z33">
        <f>'Costing 100 Lmin Feed Orig'!Z33</f>
        <v>0.28318429382522198</v>
      </c>
      <c r="AA33">
        <f>'Costing 100 Lmin Feed Orig'!AA33</f>
        <v>0.56945642916197003</v>
      </c>
      <c r="AB33">
        <f>'Costing 100 Lmin Feed Orig'!AB33</f>
        <v>3.7698628972227502E-3</v>
      </c>
      <c r="AC33">
        <f>'Costing 100 Lmin Feed Orig'!AC33</f>
        <v>1822.2107908876901</v>
      </c>
      <c r="AD33">
        <f>'Costing 100 Lmin Feed Orig'!AD33</f>
        <v>2662.6059073104898</v>
      </c>
      <c r="AE33">
        <f>'Costing 100 Lmin Feed Orig'!AE33</f>
        <v>2401.5030938442701</v>
      </c>
      <c r="AF33">
        <f>'Costing 100 Lmin Feed Orig'!AF33</f>
        <v>5</v>
      </c>
      <c r="AG33">
        <f>'Costing 100 Lmin Feed Orig'!AG33</f>
        <v>1.64951815726537E-3</v>
      </c>
      <c r="AH33">
        <f>'Costing 100 Lmin Feed Orig'!AH33</f>
        <v>1.6686323374819601E-3</v>
      </c>
      <c r="AI33">
        <f>'Costing 100 Lmin Feed Orig'!AI33</f>
        <v>6.1174468293775103E-6</v>
      </c>
      <c r="AJ33">
        <f>'Costing 100 Lmin Feed Orig'!AJ33</f>
        <v>0</v>
      </c>
      <c r="AK33">
        <f>'Costing 100 Lmin Feed Orig'!AK33</f>
        <v>0</v>
      </c>
      <c r="AL33">
        <f>'Costing 100 Lmin Feed Orig'!AL33</f>
        <v>0</v>
      </c>
      <c r="AM33">
        <f>'Costing 100 Lmin Feed Orig'!AM33</f>
        <v>1.6101609638428101E-3</v>
      </c>
      <c r="AN33">
        <f>'Costing 100 Lmin Feed Orig'!AN33</f>
        <v>7.8670620175806696E-5</v>
      </c>
      <c r="AO33">
        <f>'Costing 100 Lmin Feed Orig'!AO33</f>
        <v>6.0746937584639903E-6</v>
      </c>
      <c r="AP33">
        <f>'Costing 100 Lmin Feed Orig'!AP33</f>
        <v>1.81262020813318E-3</v>
      </c>
      <c r="AQ33">
        <f>'Costing 100 Lmin Feed Orig'!AQ33</f>
        <v>7.3226683315541802E-2</v>
      </c>
      <c r="AR33">
        <f>'Costing 100 Lmin Feed Orig'!AR33</f>
        <v>1.96901947416695E-6</v>
      </c>
      <c r="AS33">
        <f>'Costing 100 Lmin Feed Orig'!AS33</f>
        <v>-5.6209106379795297E-17</v>
      </c>
      <c r="AT33">
        <f>'Costing 100 Lmin Feed Orig'!AT33</f>
        <v>1.07336015076064E-16</v>
      </c>
      <c r="AU33">
        <f>'Costing 100 Lmin Feed Orig'!AU33</f>
        <v>-4.8360287332300198E-20</v>
      </c>
      <c r="AV33">
        <f>'Costing 100 Lmin Feed Orig'!AV33</f>
        <v>0.200572611715987</v>
      </c>
      <c r="AW33">
        <f>'Costing 100 Lmin Feed Orig'!AW33</f>
        <v>99.301128851529697</v>
      </c>
      <c r="AX33">
        <f>'Costing 100 Lmin Feed Orig'!AX33</f>
        <v>500</v>
      </c>
      <c r="AY33">
        <f>'Costing 100 Lmin Feed Orig'!AY33</f>
        <v>95</v>
      </c>
      <c r="AZ33">
        <f>'Costing 100 Lmin Feed Orig'!AZ33</f>
        <v>0.92374973309314701</v>
      </c>
      <c r="BA33">
        <f>'Costing 100 Lmin Feed Orig'!BA33</f>
        <v>0.1</v>
      </c>
      <c r="BB33">
        <f>'Costing 100 Lmin Feed Orig'!BB33</f>
        <v>46.055626697486701</v>
      </c>
      <c r="BC33" t="str">
        <f>'Costing 100 Lmin Feed Orig'!BC33</f>
        <v>coeFc</v>
      </c>
      <c r="BD33">
        <f>'Costing 100 Lmin Feed Orig'!BD33</f>
        <v>1</v>
      </c>
      <c r="BE33">
        <f>'Costing 100 Lmin Feed Orig'!BE33</f>
        <v>1.8775014999999999E-2</v>
      </c>
      <c r="BF33">
        <f>'Costing 100 Lmin Feed Orig'!BF33</f>
        <v>0.10492961100000001</v>
      </c>
      <c r="BG33">
        <f>'Costing 100 Lmin Feed Orig'!BG33</f>
        <v>1.814625E-3</v>
      </c>
      <c r="BH33">
        <f>'Costing 100 Lmin Feed Orig'!BH33</f>
        <v>285.1951444</v>
      </c>
      <c r="BI33">
        <f>'Costing 100 Lmin Feed Orig'!BI33</f>
        <v>2169.8944889999998</v>
      </c>
      <c r="BJ33">
        <f>'Costing 100 Lmin Feed Orig'!BJ33</f>
        <v>866.49409060000005</v>
      </c>
      <c r="BK33">
        <f>'Costing 100 Lmin Feed Orig'!BK33</f>
        <v>100</v>
      </c>
      <c r="BL33">
        <f>'Costing 100 Lmin Feed Orig'!BL33</f>
        <v>11.395861217105201</v>
      </c>
      <c r="BM33">
        <f>'Costing 100 Lmin Feed Orig'!BM33</f>
        <v>92.374973309314697</v>
      </c>
      <c r="BN33">
        <f>'Costing 100 Lmin Feed Orig'!BN33</f>
        <v>20.0572611715987</v>
      </c>
      <c r="BO33">
        <f t="shared" si="1"/>
        <v>182.33377947368322</v>
      </c>
      <c r="BP33">
        <f t="shared" si="2"/>
        <v>280.80165640238181</v>
      </c>
      <c r="BQ33">
        <f t="shared" si="3"/>
        <v>18.233377947368322</v>
      </c>
      <c r="BR33">
        <f t="shared" si="4"/>
        <v>28.080165640238182</v>
      </c>
      <c r="BS33">
        <f>1.2*0.5*BL33*V33/'Oxidant Feed Composition'!$N$22</f>
        <v>6.837516730263121</v>
      </c>
      <c r="BT33">
        <f>1.2*0.5*BN33*BA33/'Oxidant Feed Composition'!$N$22</f>
        <v>12.03435670295922</v>
      </c>
      <c r="BU33">
        <f t="shared" si="5"/>
        <v>5.6979306085525998</v>
      </c>
      <c r="BV33">
        <f t="shared" si="6"/>
        <v>10.028630585799348</v>
      </c>
      <c r="BW33">
        <f t="shared" si="7"/>
        <v>86.677042700762101</v>
      </c>
      <c r="BX33">
        <f t="shared" si="0"/>
        <v>36.466755894736643</v>
      </c>
      <c r="BY33">
        <f t="shared" si="8"/>
        <v>207.54166905283981</v>
      </c>
      <c r="BZ33">
        <f t="shared" si="9"/>
        <v>64.183235749115838</v>
      </c>
      <c r="CA33">
        <f t="shared" si="10"/>
        <v>60.171783514796097</v>
      </c>
      <c r="CB33">
        <f>BO33*'Reagent cost'!$G$11*'Reagent cost'!$H$11</f>
        <v>2406.8058890526186</v>
      </c>
      <c r="CC33">
        <f>BP33*'Reagent cost'!$G$11*'Reagent cost'!$H$11</f>
        <v>3706.58186451144</v>
      </c>
      <c r="CD33">
        <f>BQ33*'Reagent cost'!$C$18/1000*'Reagent cost'!$H$18</f>
        <v>2907.8673690603878</v>
      </c>
      <c r="CE33">
        <f>BR33*'Ligand cost'!$B$56*'Ligand cost'!$J$56</f>
        <v>28589.195355676231</v>
      </c>
      <c r="CF33">
        <f t="shared" si="11"/>
        <v>10</v>
      </c>
      <c r="CG33">
        <f t="shared" si="12"/>
        <v>2.2791722434210402</v>
      </c>
      <c r="CH33">
        <f t="shared" si="12"/>
        <v>4.0114522343197399</v>
      </c>
      <c r="CI33">
        <f>7963.6*(BX33/1000)^0.6*1.7*('CAPEX+OPEX'!$G$116/'CAPEX+OPEX'!$G$115)</f>
        <v>2189.6727102460782</v>
      </c>
      <c r="CJ33">
        <f>7963.6*(BY33/1000)^0.6*1.7*('CAPEX+OPEX'!$G$116/'CAPEX+OPEX'!$G$115)</f>
        <v>6215.9013146876341</v>
      </c>
      <c r="CK33">
        <f>7963.6*(BZ33/1000)^0.6*1.7*('CAPEX+OPEX'!$G$116/'CAPEX+OPEX'!$G$115)</f>
        <v>3073.9294278872244</v>
      </c>
      <c r="CL33">
        <f>7963.6*(CA33/1000)^0.6*1.7*('CAPEX+OPEX'!$G$116/'CAPEX+OPEX'!$G$115)</f>
        <v>2957.1724973487744</v>
      </c>
      <c r="CM33">
        <f>'Costing 100 Lmin Feed Orig'!DE33</f>
        <v>39625.826528698344</v>
      </c>
      <c r="CN33">
        <f>'Costing 100 Lmin Feed Orig'!DF33</f>
        <v>4586243.4239371875</v>
      </c>
      <c r="CO33">
        <f>'Costing 100 Lmin Feed Orig'!DG33</f>
        <v>11794834.586807497</v>
      </c>
      <c r="CP33">
        <f>'Costing 100 Lmin Feed Orig'!DH33</f>
        <v>2275209.1661185985</v>
      </c>
      <c r="CQ33">
        <f>'Costing 100 Lmin Feed Orig'!DI33</f>
        <v>14083914.336508472</v>
      </c>
      <c r="CR33">
        <f>'Costing 100 Lmin Feed Orig'!DJ33</f>
        <v>1662824.8986326549</v>
      </c>
      <c r="CS33">
        <f>CN33*(BK33/10000)^0.72*((A33+1)/3)^0.6*('CAPEX+OPEX'!$G$116/'CAPEX+OPEX'!$G$114)</f>
        <v>646135.89638675924</v>
      </c>
      <c r="CT33">
        <f>CO33*(BK33/10000)^0.72*((A33+1)/3)^0.6*('CAPEX+OPEX'!$G$116/'CAPEX+OPEX'!$G$114)</f>
        <v>1661722.9645298459</v>
      </c>
      <c r="CU33">
        <f>CP33*(BK33/10000)^0.72*((A33+1)/3)^0.6*('CAPEX+OPEX'!$G$116/'CAPEX+OPEX'!$G$114)</f>
        <v>320544.32748695416</v>
      </c>
      <c r="CV33">
        <f>CQ33*(BK33/10000)^0.72*((A33+1)/3)^0.6*('CAPEX+OPEX'!$G$116/'CAPEX+OPEX'!$G$114)</f>
        <v>1984221.4582325809</v>
      </c>
      <c r="CW33">
        <f>CR33*(BK33/10000)^0.72*((A33+1)/3)^0.6*('CAPEX+OPEX'!$G$116/'CAPEX+OPEX'!$G$114)</f>
        <v>234268.17050410178</v>
      </c>
      <c r="CX33">
        <f t="shared" si="13"/>
        <v>4846892.8171402421</v>
      </c>
      <c r="CY33">
        <f>CN33*(BM33/10000)^0.72*((AF33+1)/3)^0.6*('CAPEX+OPEX'!$G$116/'CAPEX+OPEX'!$G$114)</f>
        <v>556358.73376691749</v>
      </c>
      <c r="CZ33">
        <f>CO33*(BM33/10000)^0.72*((AF33+1)/3)^0.6*('CAPEX+OPEX'!$G$116/'CAPEX+OPEX'!$G$114)</f>
        <v>1430835.35458591</v>
      </c>
      <c r="DA33">
        <f>CP33*(BM33/10000)^0.72*((AF33+1)/3)^0.6*('CAPEX+OPEX'!$G$116/'CAPEX+OPEX'!$G$114)</f>
        <v>276006.38991594099</v>
      </c>
      <c r="DB33">
        <f>CQ33*(BM33/10000)^0.72*((AF33+1)/3)^0.6*('CAPEX+OPEX'!$G$116/'CAPEX+OPEX'!$G$114)</f>
        <v>1708524.3896659126</v>
      </c>
      <c r="DC33">
        <f>CR33*(BM33/10000)^0.72*((AF33+1)/3)^0.6*('CAPEX+OPEX'!$G$116/'CAPEX+OPEX'!$G$114)</f>
        <v>201717.84826134806</v>
      </c>
      <c r="DD33">
        <f t="shared" si="14"/>
        <v>4173442.7161960285</v>
      </c>
      <c r="DE33">
        <f>CX33+DD33+1.15*(SUM(CI33:CL33)+SUM(CB33:CE33))</f>
        <v>9080189.7287290115</v>
      </c>
      <c r="DF33">
        <f t="shared" si="15"/>
        <v>605345.98191526742</v>
      </c>
      <c r="DG33">
        <f>(BS33+BT33)*'Oxidant Feed Composition'!$N$28*60*7200</f>
        <v>20982408.667907819</v>
      </c>
      <c r="DH33">
        <f>((CG33+CH33)*'Reagent cost'!$C$17/1000*'Reagent cost'!$H$17+(CG33+CH33)*0.5*'Reagent cost'!$C$16/1000*'Reagent cost'!$H$16*1.5)*60*7200</f>
        <v>8926621.0866454896</v>
      </c>
      <c r="DI33">
        <f>CF33*'Reagent cost'!$C$17/1000*'Reagent cost'!$H$17*60*7200</f>
        <v>504921.59999999998</v>
      </c>
      <c r="DJ33">
        <f t="shared" si="16"/>
        <v>61.133877535640586</v>
      </c>
      <c r="DK33">
        <f t="shared" si="17"/>
        <v>629.94125449473233</v>
      </c>
      <c r="DL33">
        <f t="shared" si="18"/>
        <v>36497570.915622413</v>
      </c>
      <c r="DM33">
        <f>BK33*(B33*(409.81+2)/1000+C33*(248.2+2*22.99)/1000+D33*(315.6+3*22.99)/1000+0.1*58.44/1000)</f>
        <v>0.70639694042110623</v>
      </c>
      <c r="DN33">
        <f>(BS33+BT33)/1000*('Oxidant Feed Composition'!$B$11*'Oxidant Feed Composition'!$O$20+'Oxidant Feed Composition'!$D$11*'Oxidant Feed Composition'!$O$21+'Oxidant Feed Composition'!$F$11*'Oxidant Feed Composition'!$O$27-'Oxidant Feed Composition'!$J$15*18.015)</f>
        <v>2.2039430578370913</v>
      </c>
      <c r="DO33">
        <f>(BU33+BV33)/1000*(0.2*368.34+0.4*58.44)</f>
        <v>1.5261684045446904</v>
      </c>
      <c r="DP33">
        <f>BK33/1000*(B33*195.08+C33*106.42+D33*102.91)</f>
        <v>4.999938342565946E-2</v>
      </c>
      <c r="DQ33">
        <f>SUM(DM33:DO33)-DP33</f>
        <v>4.386509019377228</v>
      </c>
      <c r="DR33">
        <f>DQ33*60*7200*0.33</f>
        <v>625340.72580241761</v>
      </c>
      <c r="DS33">
        <v>1.2</v>
      </c>
      <c r="DT33">
        <f>BM33/60*(AM33*4+AN33*2+AO33*3)*96485/DV33</f>
        <v>1404.0224885653424</v>
      </c>
      <c r="DU33">
        <f>BN33*BA33*(AP33*4+AQ33*2+AR33*3)*96485/DV33/60</f>
        <v>708.24508509040857</v>
      </c>
      <c r="DV33">
        <v>0.7</v>
      </c>
      <c r="DW33">
        <f>0.499*((BK33/3.78541*15)^(-0.146))*BK33/3.78541*15*300*(1+(A33-2)/9)</f>
        <v>35776.359048024235</v>
      </c>
      <c r="DX33">
        <f>0.248*((BK33/3.78541*15)^(-0.144))*BK33/3.78541*15*300*(1+(A33-2)/3)</f>
        <v>29068.269280606211</v>
      </c>
      <c r="DY33">
        <f>0.105*((BK33/3.78541*15)^(-0.144))*BK33/3.78541*15*300*(1+(A33-2)/3)</f>
        <v>12307.130138966339</v>
      </c>
      <c r="DZ33">
        <f>0.058*((BK33/3.78541*15)^(-0.151))*BK33/3.78541*15*300*(1+(A33-2)/3)</f>
        <v>6519.4301878820042</v>
      </c>
      <c r="EA33">
        <f>0.056*((BK33/3.78541*15)^(-0.144))*BK33/3.78541*15*300*(1+(A33-2)/3)</f>
        <v>6563.8027407820491</v>
      </c>
      <c r="EB33">
        <f>DS33*DT33/(3.6*10^6)*3600*7200*0.07</f>
        <v>849.15280108431921</v>
      </c>
      <c r="EC33">
        <f>0.499*((BM33/3.78541*15)^(-0.146))*BM33/3.78541*15*300*(1+(AF33-2)/9)</f>
        <v>30861.528261581931</v>
      </c>
      <c r="ED33">
        <f>0.248*((BM33/3.78541*15)^(-0.144))*BM33/3.78541*15*300*(1+(AF33-2)/3)</f>
        <v>23280.20970610623</v>
      </c>
      <c r="EE33">
        <f>0.105*((BM33/3.78541*15)^(-0.144))*BM33/3.78541*15*300*(1+(AF33-2)/3)</f>
        <v>9856.54039976272</v>
      </c>
      <c r="EF33">
        <f>0.058*((BM33/3.78541*15)^(-0.151))*BM33/3.78541*15*300*(1+(AF33-2)/3)</f>
        <v>5224.1840897298107</v>
      </c>
      <c r="EG33">
        <f>0.056*((BM33/3.78541*15)^(-0.144))*BM33/3.78541*15*300*(1+(AF33-2)/3)</f>
        <v>5256.8215465401163</v>
      </c>
      <c r="EH33">
        <f>DS33*DU33/(3.6*10^6)*3600*7200*0.07</f>
        <v>428.34662746267912</v>
      </c>
      <c r="EI33">
        <f>SUM(DW33:EH33)</f>
        <v>165991.77482852867</v>
      </c>
      <c r="EJ33">
        <f>EI33+DR33+DL33</f>
        <v>37288903.416253358</v>
      </c>
      <c r="EK33">
        <f>EJ33+DF33</f>
        <v>37894249.398168623</v>
      </c>
      <c r="EL33">
        <f>EK33/(BK33*60*7200)</f>
        <v>0.87718169903168108</v>
      </c>
      <c r="EM33">
        <f>EK33/(BM33*(AM33*195.084/1000+AN33*106.42/1000+AO33*102.911/1000)*60*7200)</f>
        <v>2938.8645207346499</v>
      </c>
      <c r="EN33">
        <f>EK33/(BN33*BA33*(AP33*195.084/1000+AQ33*106.42/1000+AR33*102.911/1000)*60*7200)</f>
        <v>5368.3592103403162</v>
      </c>
    </row>
    <row r="34" spans="1:144">
      <c r="A34">
        <f>'Costing 100 Lmin Feed Orig'!A34</f>
        <v>6</v>
      </c>
      <c r="B34">
        <f>'Costing 100 Lmin Feed Orig'!B34</f>
        <v>1.54143585092054E-3</v>
      </c>
      <c r="C34">
        <f>'Costing 100 Lmin Feed Orig'!C34</f>
        <v>1.54143585092054E-3</v>
      </c>
      <c r="D34">
        <f>'Costing 100 Lmin Feed Orig'!D34</f>
        <v>3.4254130020456501E-4</v>
      </c>
      <c r="E34">
        <f>'Costing 100 Lmin Feed Orig'!E34</f>
        <v>0</v>
      </c>
      <c r="F34">
        <f>'Costing 100 Lmin Feed Orig'!F34</f>
        <v>0</v>
      </c>
      <c r="G34">
        <f>'Costing 100 Lmin Feed Orig'!G34</f>
        <v>0</v>
      </c>
      <c r="H34">
        <f>'Costing 100 Lmin Feed Orig'!H34</f>
        <v>1.7693893431643E-5</v>
      </c>
      <c r="I34">
        <f>'Costing 100 Lmin Feed Orig'!I34</f>
        <v>3.7175600603836103E-8</v>
      </c>
      <c r="J34">
        <f>'Costing 100 Lmin Feed Orig'!J34</f>
        <v>3.36890310328726E-4</v>
      </c>
      <c r="K34">
        <f>'Costing 100 Lmin Feed Orig'!K34</f>
        <v>0.133710118829723</v>
      </c>
      <c r="L34">
        <f>'Costing 100 Lmin Feed Orig'!L34</f>
        <v>0.13525951632913</v>
      </c>
      <c r="M34">
        <f>'Costing 100 Lmin Feed Orig'!M34</f>
        <v>4.9588089642288804E-4</v>
      </c>
      <c r="N34">
        <f>'Costing 100 Lmin Feed Orig'!N34</f>
        <v>-1.72886878424538E-14</v>
      </c>
      <c r="O34">
        <f>'Costing 100 Lmin Feed Orig'!O34</f>
        <v>-1.05961268405396E-12</v>
      </c>
      <c r="P34">
        <f>'Costing 100 Lmin Feed Orig'!P34</f>
        <v>-9.6595637304880395E-18</v>
      </c>
      <c r="Q34">
        <f>'Costing 100 Lmin Feed Orig'!Q34</f>
        <v>0.11395861217105201</v>
      </c>
      <c r="R34">
        <f>'Costing 100 Lmin Feed Orig'!R34</f>
        <v>98.3502748800029</v>
      </c>
      <c r="S34">
        <f>'Costing 100 Lmin Feed Orig'!S34</f>
        <v>500</v>
      </c>
      <c r="T34">
        <f>'Costing 100 Lmin Feed Orig'!T34</f>
        <v>95</v>
      </c>
      <c r="U34">
        <f>'Costing 100 Lmin Feed Orig'!U34</f>
        <v>1</v>
      </c>
      <c r="V34">
        <f>'Costing 100 Lmin Feed Orig'!V34</f>
        <v>0.1</v>
      </c>
      <c r="W34">
        <f>'Costing 100 Lmin Feed Orig'!W34</f>
        <v>87.751156402202497</v>
      </c>
      <c r="X34" t="str">
        <f>'Costing 100 Lmin Feed Orig'!X34</f>
        <v>ddFc</v>
      </c>
      <c r="Y34">
        <f>'Costing 100 Lmin Feed Orig'!Y34</f>
        <v>1</v>
      </c>
      <c r="Z34">
        <f>'Costing 100 Lmin Feed Orig'!Z34</f>
        <v>0.28318429382522198</v>
      </c>
      <c r="AA34">
        <f>'Costing 100 Lmin Feed Orig'!AA34</f>
        <v>0.56945642916197003</v>
      </c>
      <c r="AB34">
        <f>'Costing 100 Lmin Feed Orig'!AB34</f>
        <v>3.7698628972227502E-3</v>
      </c>
      <c r="AC34">
        <f>'Costing 100 Lmin Feed Orig'!AC34</f>
        <v>1822.2107908876901</v>
      </c>
      <c r="AD34">
        <f>'Costing 100 Lmin Feed Orig'!AD34</f>
        <v>2662.6059073104898</v>
      </c>
      <c r="AE34">
        <f>'Costing 100 Lmin Feed Orig'!AE34</f>
        <v>2401.5030938442701</v>
      </c>
      <c r="AF34">
        <f>'Costing 100 Lmin Feed Orig'!AF34</f>
        <v>6</v>
      </c>
      <c r="AG34">
        <f>'Costing 100 Lmin Feed Orig'!AG34</f>
        <v>1.64951815726537E-3</v>
      </c>
      <c r="AH34">
        <f>'Costing 100 Lmin Feed Orig'!AH34</f>
        <v>1.6686323374819601E-3</v>
      </c>
      <c r="AI34">
        <f>'Costing 100 Lmin Feed Orig'!AI34</f>
        <v>6.1174468293775103E-6</v>
      </c>
      <c r="AJ34">
        <f>'Costing 100 Lmin Feed Orig'!AJ34</f>
        <v>0</v>
      </c>
      <c r="AK34">
        <f>'Costing 100 Lmin Feed Orig'!AK34</f>
        <v>0</v>
      </c>
      <c r="AL34">
        <f>'Costing 100 Lmin Feed Orig'!AL34</f>
        <v>0</v>
      </c>
      <c r="AM34">
        <f>'Costing 100 Lmin Feed Orig'!AM34</f>
        <v>1.6118646916441E-3</v>
      </c>
      <c r="AN34">
        <f>'Costing 100 Lmin Feed Orig'!AN34</f>
        <v>7.8758511932156396E-5</v>
      </c>
      <c r="AO34">
        <f>'Costing 100 Lmin Feed Orig'!AO34</f>
        <v>6.0764721178985501E-6</v>
      </c>
      <c r="AP34">
        <f>'Costing 100 Lmin Feed Orig'!AP34</f>
        <v>1.75634842896041E-3</v>
      </c>
      <c r="AQ34">
        <f>'Costing 100 Lmin Feed Orig'!AQ34</f>
        <v>7.4159771210348502E-2</v>
      </c>
      <c r="AR34">
        <f>'Costing 100 Lmin Feed Orig'!AR34</f>
        <v>1.91126816471642E-6</v>
      </c>
      <c r="AS34">
        <f>'Costing 100 Lmin Feed Orig'!AS34</f>
        <v>-2.6427427954334101E-18</v>
      </c>
      <c r="AT34">
        <f>'Costing 100 Lmin Feed Orig'!AT34</f>
        <v>-2.7300210703185002E-16</v>
      </c>
      <c r="AU34">
        <f>'Costing 100 Lmin Feed Orig'!AU34</f>
        <v>-2.0447904742310799E-21</v>
      </c>
      <c r="AV34">
        <f>'Costing 100 Lmin Feed Orig'!AV34</f>
        <v>0.19803803302439801</v>
      </c>
      <c r="AW34">
        <f>'Costing 100 Lmin Feed Orig'!AW34</f>
        <v>99.330199139906</v>
      </c>
      <c r="AX34">
        <f>'Costing 100 Lmin Feed Orig'!AX34</f>
        <v>500</v>
      </c>
      <c r="AY34">
        <f>'Costing 100 Lmin Feed Orig'!AY34</f>
        <v>95</v>
      </c>
      <c r="AZ34">
        <f>'Costing 100 Lmin Feed Orig'!AZ34</f>
        <v>0.92374973309314701</v>
      </c>
      <c r="BA34">
        <f>'Costing 100 Lmin Feed Orig'!BA34</f>
        <v>0.1</v>
      </c>
      <c r="BB34">
        <f>'Costing 100 Lmin Feed Orig'!BB34</f>
        <v>46.645067060393401</v>
      </c>
      <c r="BC34" t="str">
        <f>'Costing 100 Lmin Feed Orig'!BC34</f>
        <v>coeFc</v>
      </c>
      <c r="BD34">
        <f>'Costing 100 Lmin Feed Orig'!BD34</f>
        <v>1</v>
      </c>
      <c r="BE34">
        <f>'Costing 100 Lmin Feed Orig'!BE34</f>
        <v>1.8775014999999999E-2</v>
      </c>
      <c r="BF34">
        <f>'Costing 100 Lmin Feed Orig'!BF34</f>
        <v>0.10492961100000001</v>
      </c>
      <c r="BG34">
        <f>'Costing 100 Lmin Feed Orig'!BG34</f>
        <v>1.814625E-3</v>
      </c>
      <c r="BH34">
        <f>'Costing 100 Lmin Feed Orig'!BH34</f>
        <v>285.1951444</v>
      </c>
      <c r="BI34">
        <f>'Costing 100 Lmin Feed Orig'!BI34</f>
        <v>2169.8944889999998</v>
      </c>
      <c r="BJ34">
        <f>'Costing 100 Lmin Feed Orig'!BJ34</f>
        <v>866.49409060000005</v>
      </c>
      <c r="BK34">
        <f>'Costing 100 Lmin Feed Orig'!BK34</f>
        <v>100</v>
      </c>
      <c r="BL34">
        <f>'Costing 100 Lmin Feed Orig'!BL34</f>
        <v>11.395861217105201</v>
      </c>
      <c r="BM34">
        <f>'Costing 100 Lmin Feed Orig'!BM34</f>
        <v>92.374973309314697</v>
      </c>
      <c r="BN34">
        <f>'Costing 100 Lmin Feed Orig'!BN34</f>
        <v>19.8038033024398</v>
      </c>
      <c r="BO34">
        <f t="shared" si="1"/>
        <v>182.33377947368322</v>
      </c>
      <c r="BP34">
        <f t="shared" si="2"/>
        <v>316.8608528390368</v>
      </c>
      <c r="BQ34">
        <f t="shared" si="3"/>
        <v>18.233377947368322</v>
      </c>
      <c r="BR34">
        <f t="shared" si="4"/>
        <v>31.68608528390368</v>
      </c>
      <c r="BS34">
        <f>1.2*0.5*BL34*V34/'Oxidant Feed Composition'!$N$22</f>
        <v>6.837516730263121</v>
      </c>
      <c r="BT34">
        <f>1.2*0.5*BN34*BA34/'Oxidant Feed Composition'!$N$22</f>
        <v>11.88228198146388</v>
      </c>
      <c r="BU34">
        <f t="shared" si="5"/>
        <v>5.6979306085525998</v>
      </c>
      <c r="BV34">
        <f t="shared" si="6"/>
        <v>9.9019016512198998</v>
      </c>
      <c r="BW34">
        <f t="shared" si="7"/>
        <v>86.677042700762101</v>
      </c>
      <c r="BX34">
        <f t="shared" si="0"/>
        <v>36.466755894736643</v>
      </c>
      <c r="BY34">
        <f t="shared" si="8"/>
        <v>207.54166905283981</v>
      </c>
      <c r="BZ34">
        <f t="shared" si="9"/>
        <v>63.372170567807359</v>
      </c>
      <c r="CA34">
        <f t="shared" si="10"/>
        <v>59.411409907319396</v>
      </c>
      <c r="CB34">
        <f>BO34*'Reagent cost'!$G$11*'Reagent cost'!$H$11</f>
        <v>2406.8058890526186</v>
      </c>
      <c r="CC34">
        <f>BP34*'Reagent cost'!$G$11*'Reagent cost'!$H$11</f>
        <v>4182.5632574752863</v>
      </c>
      <c r="CD34">
        <f>BQ34*'Reagent cost'!$C$18/1000*'Reagent cost'!$H$18</f>
        <v>2907.8673690603878</v>
      </c>
      <c r="CE34">
        <f>BR34*'Ligand cost'!$B$56*'Ligand cost'!$J$56</f>
        <v>32260.482144023998</v>
      </c>
      <c r="CF34">
        <f t="shared" si="11"/>
        <v>10</v>
      </c>
      <c r="CG34">
        <f t="shared" si="12"/>
        <v>2.2791722434210402</v>
      </c>
      <c r="CH34">
        <f t="shared" si="12"/>
        <v>3.9607606604879599</v>
      </c>
      <c r="CI34">
        <f>7963.6*(BX34/1000)^0.6*1.7*('CAPEX+OPEX'!$G$116/'CAPEX+OPEX'!$G$115)</f>
        <v>2189.6727102460782</v>
      </c>
      <c r="CJ34">
        <f>7963.6*(BY34/1000)^0.6*1.7*('CAPEX+OPEX'!$G$116/'CAPEX+OPEX'!$G$115)</f>
        <v>6215.9013146876341</v>
      </c>
      <c r="CK34">
        <f>7963.6*(BZ34/1000)^0.6*1.7*('CAPEX+OPEX'!$G$116/'CAPEX+OPEX'!$G$115)</f>
        <v>3050.5635541858655</v>
      </c>
      <c r="CL34">
        <f>7963.6*(CA34/1000)^0.6*1.7*('CAPEX+OPEX'!$G$116/'CAPEX+OPEX'!$G$115)</f>
        <v>2934.6941286330439</v>
      </c>
      <c r="CM34">
        <f>'Costing 100 Lmin Feed Orig'!DE34</f>
        <v>39625.826528698344</v>
      </c>
      <c r="CN34">
        <f>'Costing 100 Lmin Feed Orig'!DF34</f>
        <v>4586243.4239371875</v>
      </c>
      <c r="CO34">
        <f>'Costing 100 Lmin Feed Orig'!DG34</f>
        <v>11794834.586807497</v>
      </c>
      <c r="CP34">
        <f>'Costing 100 Lmin Feed Orig'!DH34</f>
        <v>2275209.1661185985</v>
      </c>
      <c r="CQ34">
        <f>'Costing 100 Lmin Feed Orig'!DI34</f>
        <v>14083914.336508472</v>
      </c>
      <c r="CR34">
        <f>'Costing 100 Lmin Feed Orig'!DJ34</f>
        <v>1662824.8986326549</v>
      </c>
      <c r="CS34">
        <f>CN34*(BK34/10000)^0.72*((A34+1)/3)^0.6*('CAPEX+OPEX'!$G$116/'CAPEX+OPEX'!$G$114)</f>
        <v>646135.89638675924</v>
      </c>
      <c r="CT34">
        <f>CO34*(BK34/10000)^0.72*((A34+1)/3)^0.6*('CAPEX+OPEX'!$G$116/'CAPEX+OPEX'!$G$114)</f>
        <v>1661722.9645298459</v>
      </c>
      <c r="CU34">
        <f>CP34*(BK34/10000)^0.72*((A34+1)/3)^0.6*('CAPEX+OPEX'!$G$116/'CAPEX+OPEX'!$G$114)</f>
        <v>320544.32748695416</v>
      </c>
      <c r="CV34">
        <f>CQ34*(BK34/10000)^0.72*((A34+1)/3)^0.6*('CAPEX+OPEX'!$G$116/'CAPEX+OPEX'!$G$114)</f>
        <v>1984221.4582325809</v>
      </c>
      <c r="CW34">
        <f>CR34*(BK34/10000)^0.72*((A34+1)/3)^0.6*('CAPEX+OPEX'!$G$116/'CAPEX+OPEX'!$G$114)</f>
        <v>234268.17050410178</v>
      </c>
      <c r="CX34">
        <f t="shared" si="13"/>
        <v>4846892.8171402421</v>
      </c>
      <c r="CY34">
        <f>CN34*(BM34/10000)^0.72*((AF34+1)/3)^0.6*('CAPEX+OPEX'!$G$116/'CAPEX+OPEX'!$G$114)</f>
        <v>610271.35267664073</v>
      </c>
      <c r="CZ34">
        <f>CO34*(BM34/10000)^0.72*((AF34+1)/3)^0.6*('CAPEX+OPEX'!$G$116/'CAPEX+OPEX'!$G$114)</f>
        <v>1569487.0490997343</v>
      </c>
      <c r="DA34">
        <f>CP34*(BM34/10000)^0.72*((AF34+1)/3)^0.6*('CAPEX+OPEX'!$G$116/'CAPEX+OPEX'!$G$114)</f>
        <v>302752.13220965426</v>
      </c>
      <c r="DB34">
        <f>CQ34*(BM34/10000)^0.72*((AF34+1)/3)^0.6*('CAPEX+OPEX'!$G$116/'CAPEX+OPEX'!$G$114)</f>
        <v>1874084.8791982206</v>
      </c>
      <c r="DC34">
        <f>CR34*(BM34/10000)^0.72*((AF34+1)/3)^0.6*('CAPEX+OPEX'!$G$116/'CAPEX+OPEX'!$G$114)</f>
        <v>221264.83623971866</v>
      </c>
      <c r="DD34">
        <f t="shared" si="14"/>
        <v>4577860.2494239686</v>
      </c>
      <c r="DE34">
        <f>CX34+DD34+1.15*(SUM(CI34:CL34)+SUM(CB34:CE34))</f>
        <v>9489323.8994866796</v>
      </c>
      <c r="DF34">
        <f t="shared" si="15"/>
        <v>632621.59329911193</v>
      </c>
      <c r="DG34">
        <f>(BS34+BT34)*'Oxidant Feed Composition'!$N$28*60*7200</f>
        <v>20813326.675822385</v>
      </c>
      <c r="DH34">
        <f>((CG34+CH34)*'Reagent cost'!$C$17/1000*'Reagent cost'!$H$17+(CG34+CH34)*0.5*'Reagent cost'!$C$16/1000*'Reagent cost'!$H$16*1.5)*60*7200</f>
        <v>8854687.9306475166</v>
      </c>
      <c r="DI34">
        <f>CF34*'Reagent cost'!$C$17/1000*'Reagent cost'!$H$17*60*7200</f>
        <v>504921.59999999998</v>
      </c>
      <c r="DJ34">
        <f t="shared" si="16"/>
        <v>65.893691465279048</v>
      </c>
      <c r="DK34">
        <f t="shared" si="17"/>
        <v>703.36699026168776</v>
      </c>
      <c r="DL34">
        <f t="shared" si="18"/>
        <v>36208446.560581952</v>
      </c>
      <c r="DM34">
        <f>BK34*(B34*(409.81+2)/1000+C34*(248.2+2*22.99)/1000+D34*(315.6+3*22.99)/1000+0.1*58.44/1000)</f>
        <v>0.70639694042110623</v>
      </c>
      <c r="DN34">
        <f>(BS34+BT34)/1000*('Oxidant Feed Composition'!$B$11*'Oxidant Feed Composition'!$O$20+'Oxidant Feed Composition'!$D$11*'Oxidant Feed Composition'!$O$21+'Oxidant Feed Composition'!$F$11*'Oxidant Feed Composition'!$O$27-'Oxidant Feed Composition'!$J$15*18.015)</f>
        <v>2.1861830814416301</v>
      </c>
      <c r="DO34">
        <f>(BU34+BV34)/1000*(0.2*368.34+0.4*58.44)</f>
        <v>1.5138701218173625</v>
      </c>
      <c r="DP34">
        <f>BK34/1000*(B34*195.08+C34*106.42+D34*102.91)</f>
        <v>4.999938342565946E-2</v>
      </c>
      <c r="DQ34">
        <f>SUM(DM34:DO34)-DP34</f>
        <v>4.3564507602544387</v>
      </c>
      <c r="DR34">
        <f>DQ34*60*7200*0.33</f>
        <v>621055.62038187287</v>
      </c>
      <c r="DS34">
        <v>1.2</v>
      </c>
      <c r="DT34">
        <f>BM34/60*(AM34*4+AN34*2+AO34*3)*96485/DV34</f>
        <v>1405.5071126003013</v>
      </c>
      <c r="DU34">
        <f>BN34*BA34*(AP34*4+AQ34*2+AR34*3)*96485/DV34/60</f>
        <v>706.76046105556952</v>
      </c>
      <c r="DV34">
        <v>0.7</v>
      </c>
      <c r="DW34">
        <f>0.499*((BK34/3.78541*15)^(-0.146))*BK34/3.78541*15*300*(1+(A34-2)/9)</f>
        <v>35776.359048024235</v>
      </c>
      <c r="DX34">
        <f>0.248*((BK34/3.78541*15)^(-0.144))*BK34/3.78541*15*300*(1+(A34-2)/3)</f>
        <v>29068.269280606211</v>
      </c>
      <c r="DY34">
        <f>0.105*((BK34/3.78541*15)^(-0.144))*BK34/3.78541*15*300*(1+(A34-2)/3)</f>
        <v>12307.130138966339</v>
      </c>
      <c r="DZ34">
        <f>0.058*((BK34/3.78541*15)^(-0.151))*BK34/3.78541*15*300*(1+(A34-2)/3)</f>
        <v>6519.4301878820042</v>
      </c>
      <c r="EA34">
        <f>0.056*((BK34/3.78541*15)^(-0.144))*BK34/3.78541*15*300*(1+(A34-2)/3)</f>
        <v>6563.8027407820491</v>
      </c>
      <c r="EB34">
        <f>DS34*DT34/(3.6*10^6)*3600*7200*0.07</f>
        <v>850.05070170066233</v>
      </c>
      <c r="EC34">
        <f>0.499*((BM34/3.78541*15)^(-0.146))*BM34/3.78541*15*300*(1+(AF34-2)/9)</f>
        <v>33433.322283380425</v>
      </c>
      <c r="ED34">
        <f>0.248*((BM34/3.78541*15)^(-0.144))*BM34/3.78541*15*300*(1+(AF34-2)/3)</f>
        <v>27160.244657123931</v>
      </c>
      <c r="EE34">
        <f>0.105*((BM34/3.78541*15)^(-0.144))*BM34/3.78541*15*300*(1+(AF34-2)/3)</f>
        <v>11499.297133056505</v>
      </c>
      <c r="EF34">
        <f>0.058*((BM34/3.78541*15)^(-0.151))*BM34/3.78541*15*300*(1+(AF34-2)/3)</f>
        <v>6094.881438018112</v>
      </c>
      <c r="EG34">
        <f>0.056*((BM34/3.78541*15)^(-0.144))*BM34/3.78541*15*300*(1+(AF34-2)/3)</f>
        <v>6132.9584709634682</v>
      </c>
      <c r="EH34">
        <f>DS34*DU34/(3.6*10^6)*3600*7200*0.07</f>
        <v>427.44872684640848</v>
      </c>
      <c r="EI34">
        <f>SUM(DW34:EH34)</f>
        <v>175833.19480735034</v>
      </c>
      <c r="EJ34">
        <f>EI34+DR34+DL34</f>
        <v>37005335.375771172</v>
      </c>
      <c r="EK34">
        <f>EJ34+DF34</f>
        <v>37637956.969070286</v>
      </c>
      <c r="EL34">
        <f>EK34/(BK34*60*7200)</f>
        <v>0.871249003913664</v>
      </c>
      <c r="EM34">
        <f>EK34/(BM34*(AM34*195.084/1000+AN34*106.42/1000+AO34*102.911/1000)*60*7200)</f>
        <v>2915.9024299919806</v>
      </c>
      <c r="EN34">
        <f>EK34/(BN34*BA34*(AP34*195.084/1000+AQ34*106.42/1000+AR34*102.911/1000)*60*7200)</f>
        <v>5342.377450752555</v>
      </c>
    </row>
    <row r="35" spans="1:144">
      <c r="A35">
        <f>'Costing 100 Lmin Feed Orig'!A35</f>
        <v>6</v>
      </c>
      <c r="B35">
        <f>'Costing 100 Lmin Feed Orig'!B35</f>
        <v>1.54143585092054E-3</v>
      </c>
      <c r="C35">
        <f>'Costing 100 Lmin Feed Orig'!C35</f>
        <v>1.54143585092054E-3</v>
      </c>
      <c r="D35">
        <f>'Costing 100 Lmin Feed Orig'!D35</f>
        <v>3.4254130020456501E-4</v>
      </c>
      <c r="E35">
        <f>'Costing 100 Lmin Feed Orig'!E35</f>
        <v>0</v>
      </c>
      <c r="F35">
        <f>'Costing 100 Lmin Feed Orig'!F35</f>
        <v>0</v>
      </c>
      <c r="G35">
        <f>'Costing 100 Lmin Feed Orig'!G35</f>
        <v>0</v>
      </c>
      <c r="H35">
        <f>'Costing 100 Lmin Feed Orig'!H35</f>
        <v>1.7693893431643E-5</v>
      </c>
      <c r="I35">
        <f>'Costing 100 Lmin Feed Orig'!I35</f>
        <v>3.7175600603836103E-8</v>
      </c>
      <c r="J35">
        <f>'Costing 100 Lmin Feed Orig'!J35</f>
        <v>3.36890310328726E-4</v>
      </c>
      <c r="K35">
        <f>'Costing 100 Lmin Feed Orig'!K35</f>
        <v>0.133710118829723</v>
      </c>
      <c r="L35">
        <f>'Costing 100 Lmin Feed Orig'!L35</f>
        <v>0.13525951632913</v>
      </c>
      <c r="M35">
        <f>'Costing 100 Lmin Feed Orig'!M35</f>
        <v>4.9588089642288804E-4</v>
      </c>
      <c r="N35">
        <f>'Costing 100 Lmin Feed Orig'!N35</f>
        <v>-1.72886878424538E-14</v>
      </c>
      <c r="O35">
        <f>'Costing 100 Lmin Feed Orig'!O35</f>
        <v>-1.05961268405396E-12</v>
      </c>
      <c r="P35">
        <f>'Costing 100 Lmin Feed Orig'!P35</f>
        <v>-9.6595637304880395E-18</v>
      </c>
      <c r="Q35">
        <f>'Costing 100 Lmin Feed Orig'!Q35</f>
        <v>0.11395861217105201</v>
      </c>
      <c r="R35">
        <f>'Costing 100 Lmin Feed Orig'!R35</f>
        <v>98.3502748800029</v>
      </c>
      <c r="S35">
        <f>'Costing 100 Lmin Feed Orig'!S35</f>
        <v>500</v>
      </c>
      <c r="T35">
        <f>'Costing 100 Lmin Feed Orig'!T35</f>
        <v>95</v>
      </c>
      <c r="U35">
        <f>'Costing 100 Lmin Feed Orig'!U35</f>
        <v>1</v>
      </c>
      <c r="V35">
        <f>'Costing 100 Lmin Feed Orig'!V35</f>
        <v>0.1</v>
      </c>
      <c r="W35">
        <f>'Costing 100 Lmin Feed Orig'!W35</f>
        <v>87.751156402202497</v>
      </c>
      <c r="X35" t="str">
        <f>'Costing 100 Lmin Feed Orig'!X35</f>
        <v>ddFc</v>
      </c>
      <c r="Y35">
        <f>'Costing 100 Lmin Feed Orig'!Y35</f>
        <v>1</v>
      </c>
      <c r="Z35">
        <f>'Costing 100 Lmin Feed Orig'!Z35</f>
        <v>0.28318429382522198</v>
      </c>
      <c r="AA35">
        <f>'Costing 100 Lmin Feed Orig'!AA35</f>
        <v>0.56945642916197003</v>
      </c>
      <c r="AB35">
        <f>'Costing 100 Lmin Feed Orig'!AB35</f>
        <v>3.7698628972227502E-3</v>
      </c>
      <c r="AC35">
        <f>'Costing 100 Lmin Feed Orig'!AC35</f>
        <v>1822.2107908876901</v>
      </c>
      <c r="AD35">
        <f>'Costing 100 Lmin Feed Orig'!AD35</f>
        <v>2662.6059073104898</v>
      </c>
      <c r="AE35">
        <f>'Costing 100 Lmin Feed Orig'!AE35</f>
        <v>2401.5030938442701</v>
      </c>
      <c r="AF35">
        <f>'Costing 100 Lmin Feed Orig'!AF35</f>
        <v>7</v>
      </c>
      <c r="AG35">
        <f>'Costing 100 Lmin Feed Orig'!AG35</f>
        <v>1.64951815726537E-3</v>
      </c>
      <c r="AH35">
        <f>'Costing 100 Lmin Feed Orig'!AH35</f>
        <v>1.6686323374819601E-3</v>
      </c>
      <c r="AI35">
        <f>'Costing 100 Lmin Feed Orig'!AI35</f>
        <v>6.1174468293775103E-6</v>
      </c>
      <c r="AJ35">
        <f>'Costing 100 Lmin Feed Orig'!AJ35</f>
        <v>0</v>
      </c>
      <c r="AK35">
        <f>'Costing 100 Lmin Feed Orig'!AK35</f>
        <v>0</v>
      </c>
      <c r="AL35">
        <f>'Costing 100 Lmin Feed Orig'!AL35</f>
        <v>0</v>
      </c>
      <c r="AM35">
        <f>'Costing 100 Lmin Feed Orig'!AM35</f>
        <v>1.61236068920583E-3</v>
      </c>
      <c r="AN35">
        <f>'Costing 100 Lmin Feed Orig'!AN35</f>
        <v>7.8784098873371198E-5</v>
      </c>
      <c r="AO35">
        <f>'Costing 100 Lmin Feed Orig'!AO35</f>
        <v>6.0769898417647796E-6</v>
      </c>
      <c r="AP35">
        <f>'Costing 100 Lmin Feed Orig'!AP35</f>
        <v>1.7396945907611301E-3</v>
      </c>
      <c r="AQ35">
        <f>'Costing 100 Lmin Feed Orig'!AQ35</f>
        <v>7.4435921644561601E-2</v>
      </c>
      <c r="AR35">
        <f>'Costing 100 Lmin Feed Orig'!AR35</f>
        <v>1.8941764922222101E-6</v>
      </c>
      <c r="AS35">
        <f>'Costing 100 Lmin Feed Orig'!AS35</f>
        <v>2.4732006807109899E-16</v>
      </c>
      <c r="AT35">
        <f>'Costing 100 Lmin Feed Orig'!AT35</f>
        <v>-7.0015824735203402E-14</v>
      </c>
      <c r="AU35">
        <f>'Costing 100 Lmin Feed Orig'!AU35</f>
        <v>-9.2578054156934797E-21</v>
      </c>
      <c r="AV35">
        <f>'Costing 100 Lmin Feed Orig'!AV35</f>
        <v>0.197300154776898</v>
      </c>
      <c r="AW35">
        <f>'Costing 100 Lmin Feed Orig'!AW35</f>
        <v>99.338662210867994</v>
      </c>
      <c r="AX35">
        <f>'Costing 100 Lmin Feed Orig'!AX35</f>
        <v>500</v>
      </c>
      <c r="AY35">
        <f>'Costing 100 Lmin Feed Orig'!AY35</f>
        <v>95</v>
      </c>
      <c r="AZ35">
        <f>'Costing 100 Lmin Feed Orig'!AZ35</f>
        <v>0.92374973309314701</v>
      </c>
      <c r="BA35">
        <f>'Costing 100 Lmin Feed Orig'!BA35</f>
        <v>0.1</v>
      </c>
      <c r="BB35">
        <f>'Costing 100 Lmin Feed Orig'!BB35</f>
        <v>46.819513858856197</v>
      </c>
      <c r="BC35" t="str">
        <f>'Costing 100 Lmin Feed Orig'!BC35</f>
        <v>coeFc</v>
      </c>
      <c r="BD35">
        <f>'Costing 100 Lmin Feed Orig'!BD35</f>
        <v>1</v>
      </c>
      <c r="BE35">
        <f>'Costing 100 Lmin Feed Orig'!BE35</f>
        <v>1.8775014999999999E-2</v>
      </c>
      <c r="BF35">
        <f>'Costing 100 Lmin Feed Orig'!BF35</f>
        <v>0.10492961100000001</v>
      </c>
      <c r="BG35">
        <f>'Costing 100 Lmin Feed Orig'!BG35</f>
        <v>1.814625E-3</v>
      </c>
      <c r="BH35">
        <f>'Costing 100 Lmin Feed Orig'!BH35</f>
        <v>285.1951444</v>
      </c>
      <c r="BI35">
        <f>'Costing 100 Lmin Feed Orig'!BI35</f>
        <v>2169.8944889999998</v>
      </c>
      <c r="BJ35">
        <f>'Costing 100 Lmin Feed Orig'!BJ35</f>
        <v>866.49409060000005</v>
      </c>
      <c r="BK35">
        <f>'Costing 100 Lmin Feed Orig'!BK35</f>
        <v>100</v>
      </c>
      <c r="BL35">
        <f>'Costing 100 Lmin Feed Orig'!BL35</f>
        <v>11.395861217105201</v>
      </c>
      <c r="BM35">
        <f>'Costing 100 Lmin Feed Orig'!BM35</f>
        <v>92.374973309314697</v>
      </c>
      <c r="BN35">
        <f>'Costing 100 Lmin Feed Orig'!BN35</f>
        <v>19.7300154776898</v>
      </c>
      <c r="BO35">
        <f t="shared" si="1"/>
        <v>182.33377947368322</v>
      </c>
      <c r="BP35">
        <f t="shared" si="2"/>
        <v>355.14027859841639</v>
      </c>
      <c r="BQ35">
        <f t="shared" si="3"/>
        <v>18.233377947368322</v>
      </c>
      <c r="BR35">
        <f t="shared" si="4"/>
        <v>35.51402785984164</v>
      </c>
      <c r="BS35">
        <f>1.2*0.5*BL35*V35/'Oxidant Feed Composition'!$N$22</f>
        <v>6.837516730263121</v>
      </c>
      <c r="BT35">
        <f>1.2*0.5*BN35*BA35/'Oxidant Feed Composition'!$N$22</f>
        <v>11.838009286613881</v>
      </c>
      <c r="BU35">
        <f t="shared" si="5"/>
        <v>5.6979306085525998</v>
      </c>
      <c r="BV35">
        <f t="shared" si="6"/>
        <v>9.8650077388449002</v>
      </c>
      <c r="BW35">
        <f t="shared" si="7"/>
        <v>86.677042700762101</v>
      </c>
      <c r="BX35">
        <f t="shared" si="0"/>
        <v>36.466755894736643</v>
      </c>
      <c r="BY35">
        <f t="shared" si="8"/>
        <v>207.54166905283981</v>
      </c>
      <c r="BZ35">
        <f t="shared" si="9"/>
        <v>63.136049528607359</v>
      </c>
      <c r="CA35">
        <f t="shared" si="10"/>
        <v>59.190046433069398</v>
      </c>
      <c r="CB35">
        <f>BO35*'Reagent cost'!$G$11*'Reagent cost'!$H$11</f>
        <v>2406.8058890526186</v>
      </c>
      <c r="CC35">
        <f>BP35*'Reagent cost'!$G$11*'Reagent cost'!$H$11</f>
        <v>4687.8516774990967</v>
      </c>
      <c r="CD35">
        <f>BQ35*'Reagent cost'!$C$18/1000*'Reagent cost'!$H$18</f>
        <v>2907.8673690603878</v>
      </c>
      <c r="CE35">
        <f>BR35*'Ligand cost'!$B$56*'Ligand cost'!$J$56</f>
        <v>36157.816636844051</v>
      </c>
      <c r="CF35">
        <f t="shared" si="11"/>
        <v>10</v>
      </c>
      <c r="CG35">
        <f t="shared" si="12"/>
        <v>2.2791722434210402</v>
      </c>
      <c r="CH35">
        <f t="shared" si="12"/>
        <v>3.9460030955379604</v>
      </c>
      <c r="CI35">
        <f>7963.6*(BX35/1000)^0.6*1.7*('CAPEX+OPEX'!$G$116/'CAPEX+OPEX'!$G$115)</f>
        <v>2189.6727102460782</v>
      </c>
      <c r="CJ35">
        <f>7963.6*(BY35/1000)^0.6*1.7*('CAPEX+OPEX'!$G$116/'CAPEX+OPEX'!$G$115)</f>
        <v>6215.9013146876341</v>
      </c>
      <c r="CK35">
        <f>7963.6*(BZ35/1000)^0.6*1.7*('CAPEX+OPEX'!$G$116/'CAPEX+OPEX'!$G$115)</f>
        <v>3043.7387294113364</v>
      </c>
      <c r="CL35">
        <f>7963.6*(CA35/1000)^0.6*1.7*('CAPEX+OPEX'!$G$116/'CAPEX+OPEX'!$G$115)</f>
        <v>2928.1285308872516</v>
      </c>
      <c r="CM35">
        <f>'Costing 100 Lmin Feed Orig'!DE35</f>
        <v>39625.826528698344</v>
      </c>
      <c r="CN35">
        <f>'Costing 100 Lmin Feed Orig'!DF35</f>
        <v>4586243.4239371875</v>
      </c>
      <c r="CO35">
        <f>'Costing 100 Lmin Feed Orig'!DG35</f>
        <v>11794834.586807497</v>
      </c>
      <c r="CP35">
        <f>'Costing 100 Lmin Feed Orig'!DH35</f>
        <v>2275209.1661185985</v>
      </c>
      <c r="CQ35">
        <f>'Costing 100 Lmin Feed Orig'!DI35</f>
        <v>14083914.336508472</v>
      </c>
      <c r="CR35">
        <f>'Costing 100 Lmin Feed Orig'!DJ35</f>
        <v>1662824.8986326549</v>
      </c>
      <c r="CS35">
        <f>CN35*(BK35/10000)^0.72*((A35+1)/3)^0.6*('CAPEX+OPEX'!$G$116/'CAPEX+OPEX'!$G$114)</f>
        <v>646135.89638675924</v>
      </c>
      <c r="CT35">
        <f>CO35*(BK35/10000)^0.72*((A35+1)/3)^0.6*('CAPEX+OPEX'!$G$116/'CAPEX+OPEX'!$G$114)</f>
        <v>1661722.9645298459</v>
      </c>
      <c r="CU35">
        <f>CP35*(BK35/10000)^0.72*((A35+1)/3)^0.6*('CAPEX+OPEX'!$G$116/'CAPEX+OPEX'!$G$114)</f>
        <v>320544.32748695416</v>
      </c>
      <c r="CV35">
        <f>CQ35*(BK35/10000)^0.72*((A35+1)/3)^0.6*('CAPEX+OPEX'!$G$116/'CAPEX+OPEX'!$G$114)</f>
        <v>1984221.4582325809</v>
      </c>
      <c r="CW35">
        <f>CR35*(BK35/10000)^0.72*((A35+1)/3)^0.6*('CAPEX+OPEX'!$G$116/'CAPEX+OPEX'!$G$114)</f>
        <v>234268.17050410178</v>
      </c>
      <c r="CX35">
        <f t="shared" si="13"/>
        <v>4846892.8171402421</v>
      </c>
      <c r="CY35">
        <f>CN35*(BM35/10000)^0.72*((AF35+1)/3)^0.6*('CAPEX+OPEX'!$G$116/'CAPEX+OPEX'!$G$114)</f>
        <v>661177.63088250696</v>
      </c>
      <c r="CZ35">
        <f>CO35*(BM35/10000)^0.72*((AF35+1)/3)^0.6*('CAPEX+OPEX'!$G$116/'CAPEX+OPEX'!$G$114)</f>
        <v>1700407.0800196673</v>
      </c>
      <c r="DA35">
        <f>CP35*(BM35/10000)^0.72*((AF35+1)/3)^0.6*('CAPEX+OPEX'!$G$116/'CAPEX+OPEX'!$G$114)</f>
        <v>328006.44605231972</v>
      </c>
      <c r="DB35">
        <f>CQ35*(BM35/10000)^0.72*((AF35+1)/3)^0.6*('CAPEX+OPEX'!$G$116/'CAPEX+OPEX'!$G$114)</f>
        <v>2030413.1843422146</v>
      </c>
      <c r="DC35">
        <f>CR35*(BM35/10000)^0.72*((AF35+1)/3)^0.6*('CAPEX+OPEX'!$G$116/'CAPEX+OPEX'!$G$114)</f>
        <v>239721.8214175282</v>
      </c>
      <c r="DD35">
        <f t="shared" si="14"/>
        <v>4959726.1627142364</v>
      </c>
      <c r="DE35">
        <f>CX35+DD35+1.15*(SUM(CI35:CL35)+SUM(CB35:CE35))</f>
        <v>9876237.4301408213</v>
      </c>
      <c r="DF35">
        <f t="shared" si="15"/>
        <v>658415.82867605472</v>
      </c>
      <c r="DG35">
        <f>(BS35+BT35)*'Oxidant Feed Composition'!$N$28*60*7200</f>
        <v>20764102.745858066</v>
      </c>
      <c r="DH35">
        <f>((CG35+CH35)*'Reagent cost'!$C$17/1000*'Reagent cost'!$H$17+(CG35+CH35)*0.5*'Reagent cost'!$C$16/1000*'Reagent cost'!$H$16*1.5)*60*7200</f>
        <v>8833746.4182529431</v>
      </c>
      <c r="DI35">
        <f>CF35*'Reagent cost'!$C$17/1000*'Reagent cost'!$H$17*60*7200</f>
        <v>504921.59999999998</v>
      </c>
      <c r="DJ35">
        <f t="shared" si="16"/>
        <v>70.946575665517159</v>
      </c>
      <c r="DK35">
        <f t="shared" si="17"/>
        <v>781.31368011808888</v>
      </c>
      <c r="DL35">
        <f t="shared" si="18"/>
        <v>36124347.629240155</v>
      </c>
      <c r="DM35">
        <f>BK35*(B35*(409.81+2)/1000+C35*(248.2+2*22.99)/1000+D35*(315.6+3*22.99)/1000+0.1*58.44/1000)</f>
        <v>0.70639694042110623</v>
      </c>
      <c r="DN35">
        <f>(BS35+BT35)/1000*('Oxidant Feed Composition'!$B$11*'Oxidant Feed Composition'!$O$20+'Oxidant Feed Composition'!$D$11*'Oxidant Feed Composition'!$O$21+'Oxidant Feed Composition'!$F$11*'Oxidant Feed Composition'!$O$27-'Oxidant Feed Composition'!$J$15*18.015)</f>
        <v>2.1810127151390124</v>
      </c>
      <c r="DO35">
        <f>(BU35+BV35)/1000*(0.2*368.34+0.4*58.44)</f>
        <v>1.510289788984843</v>
      </c>
      <c r="DP35">
        <f>BK35/1000*(B35*195.08+C35*106.42+D35*102.91)</f>
        <v>4.999938342565946E-2</v>
      </c>
      <c r="DQ35">
        <f>SUM(DM35:DO35)-DP35</f>
        <v>4.3477000611193022</v>
      </c>
      <c r="DR35">
        <f>DQ35*60*7200*0.33</f>
        <v>619808.12071316771</v>
      </c>
      <c r="DS35">
        <v>1.2</v>
      </c>
      <c r="DT35">
        <f>BM35/60*(AM35*4+AN35*2+AO35*3)*96485/DV35</f>
        <v>1405.9393233749126</v>
      </c>
      <c r="DU35">
        <f>BN35*BA35*(AP35*4+AQ35*2+AR35*3)*96485/DV35/60</f>
        <v>706.32825031277434</v>
      </c>
      <c r="DV35">
        <v>0.7</v>
      </c>
      <c r="DW35">
        <f>0.499*((BK35/3.78541*15)^(-0.146))*BK35/3.78541*15*300*(1+(A35-2)/9)</f>
        <v>35776.359048024235</v>
      </c>
      <c r="DX35">
        <f>0.248*((BK35/3.78541*15)^(-0.144))*BK35/3.78541*15*300*(1+(A35-2)/3)</f>
        <v>29068.269280606211</v>
      </c>
      <c r="DY35">
        <f>0.105*((BK35/3.78541*15)^(-0.144))*BK35/3.78541*15*300*(1+(A35-2)/3)</f>
        <v>12307.130138966339</v>
      </c>
      <c r="DZ35">
        <f>0.058*((BK35/3.78541*15)^(-0.151))*BK35/3.78541*15*300*(1+(A35-2)/3)</f>
        <v>6519.4301878820042</v>
      </c>
      <c r="EA35">
        <f>0.056*((BK35/3.78541*15)^(-0.144))*BK35/3.78541*15*300*(1+(A35-2)/3)</f>
        <v>6563.8027407820491</v>
      </c>
      <c r="EB35">
        <f>DS35*DT35/(3.6*10^6)*3600*7200*0.07</f>
        <v>850.31210277714717</v>
      </c>
      <c r="EC35">
        <f>0.499*((BM35/3.78541*15)^(-0.146))*BM35/3.78541*15*300*(1+(AF35-2)/9)</f>
        <v>36005.116305178919</v>
      </c>
      <c r="ED35">
        <f>0.248*((BM35/3.78541*15)^(-0.144))*BM35/3.78541*15*300*(1+(AF35-2)/3)</f>
        <v>31040.279608141645</v>
      </c>
      <c r="EE35">
        <f>0.105*((BM35/3.78541*15)^(-0.144))*BM35/3.78541*15*300*(1+(AF35-2)/3)</f>
        <v>13142.053866350294</v>
      </c>
      <c r="EF35">
        <f>0.058*((BM35/3.78541*15)^(-0.151))*BM35/3.78541*15*300*(1+(AF35-2)/3)</f>
        <v>6965.5787863064152</v>
      </c>
      <c r="EG35">
        <f>0.056*((BM35/3.78541*15)^(-0.144))*BM35/3.78541*15*300*(1+(AF35-2)/3)</f>
        <v>7009.0953953868229</v>
      </c>
      <c r="EH35">
        <f>DS35*DU35/(3.6*10^6)*3600*7200*0.07</f>
        <v>427.18732578916593</v>
      </c>
      <c r="EI35">
        <f>SUM(DW35:EH35)</f>
        <v>185674.61478619123</v>
      </c>
      <c r="EJ35">
        <f>EI35+DR35+DL35</f>
        <v>36929830.364739515</v>
      </c>
      <c r="EK35">
        <f>EJ35+DF35</f>
        <v>37588246.193415567</v>
      </c>
      <c r="EL35">
        <f>EK35/(BK35*60*7200)</f>
        <v>0.87009829151424922</v>
      </c>
      <c r="EM35">
        <f>EK35/(BM35*(AM35*195.084/1000+AN35*106.42/1000+AO35*102.911/1000)*60*7200)</f>
        <v>2911.1553643075918</v>
      </c>
      <c r="EN35">
        <f>EK35/(BN35*BA35*(AP35*195.084/1000+AQ35*106.42/1000+AR35*102.911/1000)*60*7200)</f>
        <v>5338.3312487416824</v>
      </c>
    </row>
    <row r="36" spans="1:144">
      <c r="A36">
        <f>'Costing 100 Lmin Feed Orig'!A36</f>
        <v>6</v>
      </c>
      <c r="B36">
        <f>'Costing 100 Lmin Feed Orig'!B36</f>
        <v>1.54143585092054E-3</v>
      </c>
      <c r="C36">
        <f>'Costing 100 Lmin Feed Orig'!C36</f>
        <v>1.54143585092054E-3</v>
      </c>
      <c r="D36">
        <f>'Costing 100 Lmin Feed Orig'!D36</f>
        <v>3.4254130020456501E-4</v>
      </c>
      <c r="E36">
        <f>'Costing 100 Lmin Feed Orig'!E36</f>
        <v>0</v>
      </c>
      <c r="F36">
        <f>'Costing 100 Lmin Feed Orig'!F36</f>
        <v>0</v>
      </c>
      <c r="G36">
        <f>'Costing 100 Lmin Feed Orig'!G36</f>
        <v>0</v>
      </c>
      <c r="H36">
        <f>'Costing 100 Lmin Feed Orig'!H36</f>
        <v>1.7693893431643E-5</v>
      </c>
      <c r="I36">
        <f>'Costing 100 Lmin Feed Orig'!I36</f>
        <v>3.7175600603836103E-8</v>
      </c>
      <c r="J36">
        <f>'Costing 100 Lmin Feed Orig'!J36</f>
        <v>3.36890310328726E-4</v>
      </c>
      <c r="K36">
        <f>'Costing 100 Lmin Feed Orig'!K36</f>
        <v>0.133710118829723</v>
      </c>
      <c r="L36">
        <f>'Costing 100 Lmin Feed Orig'!L36</f>
        <v>0.13525951632913</v>
      </c>
      <c r="M36">
        <f>'Costing 100 Lmin Feed Orig'!M36</f>
        <v>4.9588089642288804E-4</v>
      </c>
      <c r="N36">
        <f>'Costing 100 Lmin Feed Orig'!N36</f>
        <v>-1.72886878424538E-14</v>
      </c>
      <c r="O36">
        <f>'Costing 100 Lmin Feed Orig'!O36</f>
        <v>-1.05961268405396E-12</v>
      </c>
      <c r="P36">
        <f>'Costing 100 Lmin Feed Orig'!P36</f>
        <v>-9.6595637304880395E-18</v>
      </c>
      <c r="Q36">
        <f>'Costing 100 Lmin Feed Orig'!Q36</f>
        <v>0.11395861217105201</v>
      </c>
      <c r="R36">
        <f>'Costing 100 Lmin Feed Orig'!R36</f>
        <v>98.3502748800029</v>
      </c>
      <c r="S36">
        <f>'Costing 100 Lmin Feed Orig'!S36</f>
        <v>500</v>
      </c>
      <c r="T36">
        <f>'Costing 100 Lmin Feed Orig'!T36</f>
        <v>95</v>
      </c>
      <c r="U36">
        <f>'Costing 100 Lmin Feed Orig'!U36</f>
        <v>1</v>
      </c>
      <c r="V36">
        <f>'Costing 100 Lmin Feed Orig'!V36</f>
        <v>0.1</v>
      </c>
      <c r="W36">
        <f>'Costing 100 Lmin Feed Orig'!W36</f>
        <v>87.751156402202497</v>
      </c>
      <c r="X36" t="str">
        <f>'Costing 100 Lmin Feed Orig'!X36</f>
        <v>ddFc</v>
      </c>
      <c r="Y36">
        <f>'Costing 100 Lmin Feed Orig'!Y36</f>
        <v>1</v>
      </c>
      <c r="Z36">
        <f>'Costing 100 Lmin Feed Orig'!Z36</f>
        <v>0.28318429382522198</v>
      </c>
      <c r="AA36">
        <f>'Costing 100 Lmin Feed Orig'!AA36</f>
        <v>0.56945642916197003</v>
      </c>
      <c r="AB36">
        <f>'Costing 100 Lmin Feed Orig'!AB36</f>
        <v>3.7698628972227502E-3</v>
      </c>
      <c r="AC36">
        <f>'Costing 100 Lmin Feed Orig'!AC36</f>
        <v>1822.2107908876901</v>
      </c>
      <c r="AD36">
        <f>'Costing 100 Lmin Feed Orig'!AD36</f>
        <v>2662.6059073104898</v>
      </c>
      <c r="AE36">
        <f>'Costing 100 Lmin Feed Orig'!AE36</f>
        <v>2401.5030938442701</v>
      </c>
      <c r="AF36">
        <f>'Costing 100 Lmin Feed Orig'!AF36</f>
        <v>8</v>
      </c>
      <c r="AG36">
        <f>'Costing 100 Lmin Feed Orig'!AG36</f>
        <v>1.64951815726537E-3</v>
      </c>
      <c r="AH36">
        <f>'Costing 100 Lmin Feed Orig'!AH36</f>
        <v>1.6686323374819601E-3</v>
      </c>
      <c r="AI36">
        <f>'Costing 100 Lmin Feed Orig'!AI36</f>
        <v>6.1174468293775103E-6</v>
      </c>
      <c r="AJ36">
        <f>'Costing 100 Lmin Feed Orig'!AJ36</f>
        <v>0</v>
      </c>
      <c r="AK36">
        <f>'Costing 100 Lmin Feed Orig'!AK36</f>
        <v>0</v>
      </c>
      <c r="AL36">
        <f>'Costing 100 Lmin Feed Orig'!AL36</f>
        <v>0</v>
      </c>
      <c r="AM36">
        <f>'Costing 100 Lmin Feed Orig'!AM36</f>
        <v>1.6125021937551699E-3</v>
      </c>
      <c r="AN36">
        <f>'Costing 100 Lmin Feed Orig'!AN36</f>
        <v>7.8791398968760994E-5</v>
      </c>
      <c r="AO36">
        <f>'Costing 100 Lmin Feed Orig'!AO36</f>
        <v>6.0771375446680096E-6</v>
      </c>
      <c r="AP36">
        <f>'Costing 100 Lmin Feed Orig'!AP36</f>
        <v>1.73492050588017E-3</v>
      </c>
      <c r="AQ36">
        <f>'Costing 100 Lmin Feed Orig'!AQ36</f>
        <v>7.4515084509212501E-2</v>
      </c>
      <c r="AR36">
        <f>'Costing 100 Lmin Feed Orig'!AR36</f>
        <v>1.8892768957738701E-6</v>
      </c>
      <c r="AS36">
        <f>'Costing 100 Lmin Feed Orig'!AS36</f>
        <v>7.2525806974615906E-15</v>
      </c>
      <c r="AT36">
        <f>'Costing 100 Lmin Feed Orig'!AT36</f>
        <v>-1.73205959123901E-12</v>
      </c>
      <c r="AU36">
        <f>'Costing 100 Lmin Feed Orig'!AU36</f>
        <v>4.3225150089571002E-20</v>
      </c>
      <c r="AV36">
        <f>'Costing 100 Lmin Feed Orig'!AV36</f>
        <v>0.19708964352883601</v>
      </c>
      <c r="AW36">
        <f>'Costing 100 Lmin Feed Orig'!AW36</f>
        <v>99.341076664272293</v>
      </c>
      <c r="AX36">
        <f>'Costing 100 Lmin Feed Orig'!AX36</f>
        <v>500</v>
      </c>
      <c r="AY36">
        <f>'Costing 100 Lmin Feed Orig'!AY36</f>
        <v>95</v>
      </c>
      <c r="AZ36">
        <f>'Costing 100 Lmin Feed Orig'!AZ36</f>
        <v>0.92374973309314701</v>
      </c>
      <c r="BA36">
        <f>'Costing 100 Lmin Feed Orig'!BA36</f>
        <v>0.1</v>
      </c>
      <c r="BB36">
        <f>'Costing 100 Lmin Feed Orig'!BB36</f>
        <v>46.869521734052398</v>
      </c>
      <c r="BC36" t="str">
        <f>'Costing 100 Lmin Feed Orig'!BC36</f>
        <v>coeFc</v>
      </c>
      <c r="BD36">
        <f>'Costing 100 Lmin Feed Orig'!BD36</f>
        <v>1</v>
      </c>
      <c r="BE36">
        <f>'Costing 100 Lmin Feed Orig'!BE36</f>
        <v>1.8775014999999999E-2</v>
      </c>
      <c r="BF36">
        <f>'Costing 100 Lmin Feed Orig'!BF36</f>
        <v>0.10492961100000001</v>
      </c>
      <c r="BG36">
        <f>'Costing 100 Lmin Feed Orig'!BG36</f>
        <v>1.814625E-3</v>
      </c>
      <c r="BH36">
        <f>'Costing 100 Lmin Feed Orig'!BH36</f>
        <v>285.1951444</v>
      </c>
      <c r="BI36">
        <f>'Costing 100 Lmin Feed Orig'!BI36</f>
        <v>2169.8944889999998</v>
      </c>
      <c r="BJ36">
        <f>'Costing 100 Lmin Feed Orig'!BJ36</f>
        <v>866.49409060000005</v>
      </c>
      <c r="BK36">
        <f>'Costing 100 Lmin Feed Orig'!BK36</f>
        <v>100</v>
      </c>
      <c r="BL36">
        <f>'Costing 100 Lmin Feed Orig'!BL36</f>
        <v>11.395861217105201</v>
      </c>
      <c r="BM36">
        <f>'Costing 100 Lmin Feed Orig'!BM36</f>
        <v>92.374973309314697</v>
      </c>
      <c r="BN36">
        <f>'Costing 100 Lmin Feed Orig'!BN36</f>
        <v>19.708964352883601</v>
      </c>
      <c r="BO36">
        <f t="shared" si="1"/>
        <v>182.33377947368322</v>
      </c>
      <c r="BP36">
        <f t="shared" si="2"/>
        <v>394.17928705767201</v>
      </c>
      <c r="BQ36">
        <f t="shared" si="3"/>
        <v>18.233377947368322</v>
      </c>
      <c r="BR36">
        <f t="shared" si="4"/>
        <v>39.417928705767203</v>
      </c>
      <c r="BS36">
        <f>1.2*0.5*BL36*V36/'Oxidant Feed Composition'!$N$22</f>
        <v>6.837516730263121</v>
      </c>
      <c r="BT36">
        <f>1.2*0.5*BN36*BA36/'Oxidant Feed Composition'!$N$22</f>
        <v>11.82537861173016</v>
      </c>
      <c r="BU36">
        <f t="shared" si="5"/>
        <v>5.6979306085525998</v>
      </c>
      <c r="BV36">
        <f t="shared" si="6"/>
        <v>9.8544821764418007</v>
      </c>
      <c r="BW36">
        <f t="shared" si="7"/>
        <v>86.677042700762101</v>
      </c>
      <c r="BX36">
        <f t="shared" si="0"/>
        <v>36.466755894736643</v>
      </c>
      <c r="BY36">
        <f t="shared" si="8"/>
        <v>207.54166905283981</v>
      </c>
      <c r="BZ36">
        <f t="shared" si="9"/>
        <v>63.068685929227527</v>
      </c>
      <c r="CA36">
        <f t="shared" si="10"/>
        <v>59.126893058650808</v>
      </c>
      <c r="CB36">
        <f>BO36*'Reagent cost'!$G$11*'Reagent cost'!$H$11</f>
        <v>2406.8058890526186</v>
      </c>
      <c r="CC36">
        <f>BP36*'Reagent cost'!$G$11*'Reagent cost'!$H$11</f>
        <v>5203.1665891612702</v>
      </c>
      <c r="CD36">
        <f>BQ36*'Reagent cost'!$C$18/1000*'Reagent cost'!$H$18</f>
        <v>2907.8673690603878</v>
      </c>
      <c r="CE36">
        <f>BR36*'Ligand cost'!$B$56*'Ligand cost'!$J$56</f>
        <v>40132.486350808351</v>
      </c>
      <c r="CF36">
        <f t="shared" si="11"/>
        <v>10</v>
      </c>
      <c r="CG36">
        <f t="shared" si="12"/>
        <v>2.2791722434210402</v>
      </c>
      <c r="CH36">
        <f t="shared" si="12"/>
        <v>3.9417928705767205</v>
      </c>
      <c r="CI36">
        <f>7963.6*(BX36/1000)^0.6*1.7*('CAPEX+OPEX'!$G$116/'CAPEX+OPEX'!$G$115)</f>
        <v>2189.6727102460782</v>
      </c>
      <c r="CJ36">
        <f>7963.6*(BY36/1000)^0.6*1.7*('CAPEX+OPEX'!$G$116/'CAPEX+OPEX'!$G$115)</f>
        <v>6215.9013146876341</v>
      </c>
      <c r="CK36">
        <f>7963.6*(BZ36/1000)^0.6*1.7*('CAPEX+OPEX'!$G$116/'CAPEX+OPEX'!$G$115)</f>
        <v>3041.7897860771859</v>
      </c>
      <c r="CL36">
        <f>7963.6*(CA36/1000)^0.6*1.7*('CAPEX+OPEX'!$G$116/'CAPEX+OPEX'!$G$115)</f>
        <v>2926.2536141847536</v>
      </c>
      <c r="CM36">
        <f>'Costing 100 Lmin Feed Orig'!DE36</f>
        <v>39625.826528698344</v>
      </c>
      <c r="CN36">
        <f>'Costing 100 Lmin Feed Orig'!DF36</f>
        <v>4586243.4239371875</v>
      </c>
      <c r="CO36">
        <f>'Costing 100 Lmin Feed Orig'!DG36</f>
        <v>11794834.586807497</v>
      </c>
      <c r="CP36">
        <f>'Costing 100 Lmin Feed Orig'!DH36</f>
        <v>2275209.1661185985</v>
      </c>
      <c r="CQ36">
        <f>'Costing 100 Lmin Feed Orig'!DI36</f>
        <v>14083914.336508472</v>
      </c>
      <c r="CR36">
        <f>'Costing 100 Lmin Feed Orig'!DJ36</f>
        <v>1662824.8986326549</v>
      </c>
      <c r="CS36">
        <f>CN36*(BK36/10000)^0.72*((A36+1)/3)^0.6*('CAPEX+OPEX'!$G$116/'CAPEX+OPEX'!$G$114)</f>
        <v>646135.89638675924</v>
      </c>
      <c r="CT36">
        <f>CO36*(BK36/10000)^0.72*((A36+1)/3)^0.6*('CAPEX+OPEX'!$G$116/'CAPEX+OPEX'!$G$114)</f>
        <v>1661722.9645298459</v>
      </c>
      <c r="CU36">
        <f>CP36*(BK36/10000)^0.72*((A36+1)/3)^0.6*('CAPEX+OPEX'!$G$116/'CAPEX+OPEX'!$G$114)</f>
        <v>320544.32748695416</v>
      </c>
      <c r="CV36">
        <f>CQ36*(BK36/10000)^0.72*((A36+1)/3)^0.6*('CAPEX+OPEX'!$G$116/'CAPEX+OPEX'!$G$114)</f>
        <v>1984221.4582325809</v>
      </c>
      <c r="CW36">
        <f>CR36*(BK36/10000)^0.72*((A36+1)/3)^0.6*('CAPEX+OPEX'!$G$116/'CAPEX+OPEX'!$G$114)</f>
        <v>234268.17050410178</v>
      </c>
      <c r="CX36">
        <f t="shared" si="13"/>
        <v>4846892.8171402421</v>
      </c>
      <c r="CY36">
        <f>CN36*(BM36/10000)^0.72*((AF36+1)/3)^0.6*('CAPEX+OPEX'!$G$116/'CAPEX+OPEX'!$G$114)</f>
        <v>709593.56018346804</v>
      </c>
      <c r="CZ36">
        <f>CO36*(BM36/10000)^0.72*((AF36+1)/3)^0.6*('CAPEX+OPEX'!$G$116/'CAPEX+OPEX'!$G$114)</f>
        <v>1824922.4676004604</v>
      </c>
      <c r="DA36">
        <f>CP36*(BM36/10000)^0.72*((AF36+1)/3)^0.6*('CAPEX+OPEX'!$G$116/'CAPEX+OPEX'!$G$114)</f>
        <v>352025.31202806637</v>
      </c>
      <c r="DB36">
        <f>CQ36*(BM36/10000)^0.72*((AF36+1)/3)^0.6*('CAPEX+OPEX'!$G$116/'CAPEX+OPEX'!$G$114)</f>
        <v>2179093.8664966309</v>
      </c>
      <c r="DC36">
        <f>CR36*(BM36/10000)^0.72*((AF36+1)/3)^0.6*('CAPEX+OPEX'!$G$116/'CAPEX+OPEX'!$G$114)</f>
        <v>257275.88588603889</v>
      </c>
      <c r="DD36">
        <f t="shared" si="14"/>
        <v>5322911.0921946643</v>
      </c>
      <c r="DE36">
        <f>CX36+DD36+1.15*(SUM(CI36:CL36)+SUM(CB36:CE36))</f>
        <v>10244581.444501676</v>
      </c>
      <c r="DF36">
        <f t="shared" si="15"/>
        <v>682972.09630011173</v>
      </c>
      <c r="DG36">
        <f>(BS36+BT36)*'Oxidant Feed Composition'!$N$28*60*7200</f>
        <v>20750059.519937791</v>
      </c>
      <c r="DH36">
        <f>((CG36+CH36)*'Reagent cost'!$C$17/1000*'Reagent cost'!$H$17+(CG36+CH36)*0.5*'Reagent cost'!$C$16/1000*'Reagent cost'!$H$16*1.5)*60*7200</f>
        <v>8827771.9584752973</v>
      </c>
      <c r="DI36">
        <f>CF36*'Reagent cost'!$C$17/1000*'Reagent cost'!$H$17*60*7200</f>
        <v>504921.59999999998</v>
      </c>
      <c r="DJ36">
        <f t="shared" si="16"/>
        <v>76.099724782138892</v>
      </c>
      <c r="DK36">
        <f t="shared" si="17"/>
        <v>860.80707439737489</v>
      </c>
      <c r="DL36">
        <f t="shared" si="18"/>
        <v>36100427.982254721</v>
      </c>
      <c r="DM36">
        <f>BK36*(B36*(409.81+2)/1000+C36*(248.2+2*22.99)/1000+D36*(315.6+3*22.99)/1000+0.1*58.44/1000)</f>
        <v>0.70639694042110623</v>
      </c>
      <c r="DN36">
        <f>(BS36+BT36)/1000*('Oxidant Feed Composition'!$B$11*'Oxidant Feed Composition'!$O$20+'Oxidant Feed Composition'!$D$11*'Oxidant Feed Composition'!$O$21+'Oxidant Feed Composition'!$F$11*'Oxidant Feed Composition'!$O$27-'Oxidant Feed Composition'!$J$15*18.015)</f>
        <v>2.1795376475828276</v>
      </c>
      <c r="DO36">
        <f>(BU36+BV36)/1000*(0.2*368.34+0.4*58.44)</f>
        <v>1.5092683463069967</v>
      </c>
      <c r="DP36">
        <f>BK36/1000*(B36*195.08+C36*106.42+D36*102.91)</f>
        <v>4.999938342565946E-2</v>
      </c>
      <c r="DQ36">
        <f>SUM(DM36:DO36)-DP36</f>
        <v>4.3452035508852704</v>
      </c>
      <c r="DR36">
        <f>DQ36*60*7200*0.33</f>
        <v>619452.21821420419</v>
      </c>
      <c r="DS36">
        <v>1.2</v>
      </c>
      <c r="DT36">
        <f>BM36/60*(AM36*4+AN36*2+AO36*3)*96485/DV36</f>
        <v>1406.0626301487753</v>
      </c>
      <c r="DU36">
        <f>BN36*BA36*(AP36*4+AQ36*2+AR36*3)*96485/DV36/60</f>
        <v>706.20494429610153</v>
      </c>
      <c r="DV36">
        <v>0.7</v>
      </c>
      <c r="DW36">
        <f>0.499*((BK36/3.78541*15)^(-0.146))*BK36/3.78541*15*300*(1+(A36-2)/9)</f>
        <v>35776.359048024235</v>
      </c>
      <c r="DX36">
        <f>0.248*((BK36/3.78541*15)^(-0.144))*BK36/3.78541*15*300*(1+(A36-2)/3)</f>
        <v>29068.269280606211</v>
      </c>
      <c r="DY36">
        <f>0.105*((BK36/3.78541*15)^(-0.144))*BK36/3.78541*15*300*(1+(A36-2)/3)</f>
        <v>12307.130138966339</v>
      </c>
      <c r="DZ36">
        <f>0.058*((BK36/3.78541*15)^(-0.151))*BK36/3.78541*15*300*(1+(A36-2)/3)</f>
        <v>6519.4301878820042</v>
      </c>
      <c r="EA36">
        <f>0.056*((BK36/3.78541*15)^(-0.144))*BK36/3.78541*15*300*(1+(A36-2)/3)</f>
        <v>6563.8027407820491</v>
      </c>
      <c r="EB36">
        <f>DS36*DT36/(3.6*10^6)*3600*7200*0.07</f>
        <v>850.38667871397934</v>
      </c>
      <c r="EC36">
        <f>0.499*((BM36/3.78541*15)^(-0.146))*BM36/3.78541*15*300*(1+(AF36-2)/9)</f>
        <v>38576.910326977413</v>
      </c>
      <c r="ED36">
        <f>0.248*((BM36/3.78541*15)^(-0.144))*BM36/3.78541*15*300*(1+(AF36-2)/3)</f>
        <v>34920.314559159349</v>
      </c>
      <c r="EE36">
        <f>0.105*((BM36/3.78541*15)^(-0.144))*BM36/3.78541*15*300*(1+(AF36-2)/3)</f>
        <v>14784.810599644079</v>
      </c>
      <c r="EF36">
        <f>0.058*((BM36/3.78541*15)^(-0.151))*BM36/3.78541*15*300*(1+(AF36-2)/3)</f>
        <v>7836.2761345947165</v>
      </c>
      <c r="EG36">
        <f>0.056*((BM36/3.78541*15)^(-0.144))*BM36/3.78541*15*300*(1+(AF36-2)/3)</f>
        <v>7885.2323198101749</v>
      </c>
      <c r="EH36">
        <f>DS36*DU36/(3.6*10^6)*3600*7200*0.07</f>
        <v>427.11275031028225</v>
      </c>
      <c r="EI36">
        <f>SUM(DW36:EH36)</f>
        <v>195516.03476547083</v>
      </c>
      <c r="EJ36">
        <f>EI36+DR36+DL36</f>
        <v>36915396.235234395</v>
      </c>
      <c r="EK36">
        <f>EJ36+DF36</f>
        <v>37598368.331534505</v>
      </c>
      <c r="EL36">
        <f>EK36/(BK36*60*7200)</f>
        <v>0.87033260026700243</v>
      </c>
      <c r="EM36">
        <f>EK36/(BM36*(AM36*195.084/1000+AN36*106.42/1000+AO36*102.911/1000)*60*7200)</f>
        <v>2911.6837607375664</v>
      </c>
      <c r="EN36">
        <f>EK36/(BN36*BA36*(AP36*195.084/1000+AQ36*106.42/1000+AR36*102.911/1000)*60*7200)</f>
        <v>5340.6283334151876</v>
      </c>
    </row>
    <row r="37" spans="1:144">
      <c r="A37">
        <f>'Costing 100 Lmin Feed Orig'!A37</f>
        <v>6</v>
      </c>
      <c r="B37">
        <f>'Costing 100 Lmin Feed Orig'!B37</f>
        <v>1.54143585092054E-3</v>
      </c>
      <c r="C37">
        <f>'Costing 100 Lmin Feed Orig'!C37</f>
        <v>1.54143585092054E-3</v>
      </c>
      <c r="D37">
        <f>'Costing 100 Lmin Feed Orig'!D37</f>
        <v>3.4254130020456501E-4</v>
      </c>
      <c r="E37">
        <f>'Costing 100 Lmin Feed Orig'!E37</f>
        <v>0</v>
      </c>
      <c r="F37">
        <f>'Costing 100 Lmin Feed Orig'!F37</f>
        <v>0</v>
      </c>
      <c r="G37">
        <f>'Costing 100 Lmin Feed Orig'!G37</f>
        <v>0</v>
      </c>
      <c r="H37">
        <f>'Costing 100 Lmin Feed Orig'!H37</f>
        <v>1.7693893431643E-5</v>
      </c>
      <c r="I37">
        <f>'Costing 100 Lmin Feed Orig'!I37</f>
        <v>3.7175600603836103E-8</v>
      </c>
      <c r="J37">
        <f>'Costing 100 Lmin Feed Orig'!J37</f>
        <v>3.36890310328726E-4</v>
      </c>
      <c r="K37">
        <f>'Costing 100 Lmin Feed Orig'!K37</f>
        <v>0.133710118829723</v>
      </c>
      <c r="L37">
        <f>'Costing 100 Lmin Feed Orig'!L37</f>
        <v>0.13525951632913</v>
      </c>
      <c r="M37">
        <f>'Costing 100 Lmin Feed Orig'!M37</f>
        <v>4.9588089642288804E-4</v>
      </c>
      <c r="N37">
        <f>'Costing 100 Lmin Feed Orig'!N37</f>
        <v>-1.72886878424538E-14</v>
      </c>
      <c r="O37">
        <f>'Costing 100 Lmin Feed Orig'!O37</f>
        <v>-1.05961268405396E-12</v>
      </c>
      <c r="P37">
        <f>'Costing 100 Lmin Feed Orig'!P37</f>
        <v>-9.6595637304880395E-18</v>
      </c>
      <c r="Q37">
        <f>'Costing 100 Lmin Feed Orig'!Q37</f>
        <v>0.11395861217105201</v>
      </c>
      <c r="R37">
        <f>'Costing 100 Lmin Feed Orig'!R37</f>
        <v>98.3502748800029</v>
      </c>
      <c r="S37">
        <f>'Costing 100 Lmin Feed Orig'!S37</f>
        <v>500</v>
      </c>
      <c r="T37">
        <f>'Costing 100 Lmin Feed Orig'!T37</f>
        <v>95</v>
      </c>
      <c r="U37">
        <f>'Costing 100 Lmin Feed Orig'!U37</f>
        <v>1</v>
      </c>
      <c r="V37">
        <f>'Costing 100 Lmin Feed Orig'!V37</f>
        <v>0.1</v>
      </c>
      <c r="W37">
        <f>'Costing 100 Lmin Feed Orig'!W37</f>
        <v>87.751156402202497</v>
      </c>
      <c r="X37" t="str">
        <f>'Costing 100 Lmin Feed Orig'!X37</f>
        <v>ddFc</v>
      </c>
      <c r="Y37">
        <f>'Costing 100 Lmin Feed Orig'!Y37</f>
        <v>1</v>
      </c>
      <c r="Z37">
        <f>'Costing 100 Lmin Feed Orig'!Z37</f>
        <v>0.28318429382522198</v>
      </c>
      <c r="AA37">
        <f>'Costing 100 Lmin Feed Orig'!AA37</f>
        <v>0.56945642916197003</v>
      </c>
      <c r="AB37">
        <f>'Costing 100 Lmin Feed Orig'!AB37</f>
        <v>3.7698628972227502E-3</v>
      </c>
      <c r="AC37">
        <f>'Costing 100 Lmin Feed Orig'!AC37</f>
        <v>1822.2107908876901</v>
      </c>
      <c r="AD37">
        <f>'Costing 100 Lmin Feed Orig'!AD37</f>
        <v>2662.6059073104898</v>
      </c>
      <c r="AE37">
        <f>'Costing 100 Lmin Feed Orig'!AE37</f>
        <v>2401.5030938442701</v>
      </c>
      <c r="AF37">
        <f>'Costing 100 Lmin Feed Orig'!AF37</f>
        <v>9</v>
      </c>
      <c r="AG37">
        <f>'Costing 100 Lmin Feed Orig'!AG37</f>
        <v>1.64951815726537E-3</v>
      </c>
      <c r="AH37">
        <f>'Costing 100 Lmin Feed Orig'!AH37</f>
        <v>1.6686323374819601E-3</v>
      </c>
      <c r="AI37">
        <f>'Costing 100 Lmin Feed Orig'!AI37</f>
        <v>6.1174468293775103E-6</v>
      </c>
      <c r="AJ37">
        <f>'Costing 100 Lmin Feed Orig'!AJ37</f>
        <v>0</v>
      </c>
      <c r="AK37">
        <f>'Costing 100 Lmin Feed Orig'!AK37</f>
        <v>0</v>
      </c>
      <c r="AL37">
        <f>'Costing 100 Lmin Feed Orig'!AL37</f>
        <v>0</v>
      </c>
      <c r="AM37">
        <f>'Costing 100 Lmin Feed Orig'!AM37</f>
        <v>1.6125422035540001E-3</v>
      </c>
      <c r="AN37">
        <f>'Costing 100 Lmin Feed Orig'!AN37</f>
        <v>7.8793462951453095E-5</v>
      </c>
      <c r="AO37">
        <f>'Costing 100 Lmin Feed Orig'!AO37</f>
        <v>6.0771793070157197E-6</v>
      </c>
      <c r="AP37">
        <f>'Costing 100 Lmin Feed Orig'!AP37</f>
        <v>1.7335688061823E-3</v>
      </c>
      <c r="AQ37">
        <f>'Costing 100 Lmin Feed Orig'!AQ37</f>
        <v>7.4537498106893293E-2</v>
      </c>
      <c r="AR37">
        <f>'Costing 100 Lmin Feed Orig'!AR37</f>
        <v>1.8878896596870901E-6</v>
      </c>
      <c r="AS37">
        <f>'Costing 100 Lmin Feed Orig'!AS37</f>
        <v>6.1243870218274895E-17</v>
      </c>
      <c r="AT37">
        <f>'Costing 100 Lmin Feed Orig'!AT37</f>
        <v>-7.9610797121265604E-15</v>
      </c>
      <c r="AU37">
        <f>'Costing 100 Lmin Feed Orig'!AU37</f>
        <v>8.7350272685599704E-22</v>
      </c>
      <c r="AV37">
        <f>'Costing 100 Lmin Feed Orig'!AV37</f>
        <v>0.19703012219574401</v>
      </c>
      <c r="AW37">
        <f>'Costing 100 Lmin Feed Orig'!AW37</f>
        <v>99.341759340376896</v>
      </c>
      <c r="AX37">
        <f>'Costing 100 Lmin Feed Orig'!AX37</f>
        <v>500</v>
      </c>
      <c r="AY37">
        <f>'Costing 100 Lmin Feed Orig'!AY37</f>
        <v>95</v>
      </c>
      <c r="AZ37">
        <f>'Costing 100 Lmin Feed Orig'!AZ37</f>
        <v>0.92374973309314701</v>
      </c>
      <c r="BA37">
        <f>'Costing 100 Lmin Feed Orig'!BA37</f>
        <v>0.1</v>
      </c>
      <c r="BB37">
        <f>'Costing 100 Lmin Feed Orig'!BB37</f>
        <v>46.883680667640498</v>
      </c>
      <c r="BC37" t="str">
        <f>'Costing 100 Lmin Feed Orig'!BC37</f>
        <v>coeFc</v>
      </c>
      <c r="BD37">
        <f>'Costing 100 Lmin Feed Orig'!BD37</f>
        <v>1</v>
      </c>
      <c r="BE37">
        <f>'Costing 100 Lmin Feed Orig'!BE37</f>
        <v>1.8775014999999999E-2</v>
      </c>
      <c r="BF37">
        <f>'Costing 100 Lmin Feed Orig'!BF37</f>
        <v>0.10492961100000001</v>
      </c>
      <c r="BG37">
        <f>'Costing 100 Lmin Feed Orig'!BG37</f>
        <v>1.814625E-3</v>
      </c>
      <c r="BH37">
        <f>'Costing 100 Lmin Feed Orig'!BH37</f>
        <v>285.1951444</v>
      </c>
      <c r="BI37">
        <f>'Costing 100 Lmin Feed Orig'!BI37</f>
        <v>2169.8944889999998</v>
      </c>
      <c r="BJ37">
        <f>'Costing 100 Lmin Feed Orig'!BJ37</f>
        <v>866.49409060000005</v>
      </c>
      <c r="BK37">
        <f>'Costing 100 Lmin Feed Orig'!BK37</f>
        <v>100</v>
      </c>
      <c r="BL37">
        <f>'Costing 100 Lmin Feed Orig'!BL37</f>
        <v>11.395861217105201</v>
      </c>
      <c r="BM37">
        <f>'Costing 100 Lmin Feed Orig'!BM37</f>
        <v>92.374973309314697</v>
      </c>
      <c r="BN37">
        <f>'Costing 100 Lmin Feed Orig'!BN37</f>
        <v>19.703012219574401</v>
      </c>
      <c r="BO37">
        <f t="shared" si="1"/>
        <v>182.33377947368322</v>
      </c>
      <c r="BP37">
        <f t="shared" si="2"/>
        <v>433.46626883063681</v>
      </c>
      <c r="BQ37">
        <f t="shared" si="3"/>
        <v>18.233377947368322</v>
      </c>
      <c r="BR37">
        <f t="shared" si="4"/>
        <v>43.346626883063685</v>
      </c>
      <c r="BS37">
        <f>1.2*0.5*BL37*V37/'Oxidant Feed Composition'!$N$22</f>
        <v>6.837516730263121</v>
      </c>
      <c r="BT37">
        <f>1.2*0.5*BN37*BA37/'Oxidant Feed Composition'!$N$22</f>
        <v>11.82180733174464</v>
      </c>
      <c r="BU37">
        <f t="shared" si="5"/>
        <v>5.6979306085525998</v>
      </c>
      <c r="BV37">
        <f t="shared" si="6"/>
        <v>9.8515061097872003</v>
      </c>
      <c r="BW37">
        <f t="shared" si="7"/>
        <v>86.677042700762101</v>
      </c>
      <c r="BX37">
        <f t="shared" si="0"/>
        <v>36.466755894736643</v>
      </c>
      <c r="BY37">
        <f t="shared" si="8"/>
        <v>207.54166905283981</v>
      </c>
      <c r="BZ37">
        <f t="shared" si="9"/>
        <v>63.049639102638082</v>
      </c>
      <c r="CA37">
        <f t="shared" si="10"/>
        <v>59.109036658723198</v>
      </c>
      <c r="CB37">
        <f>BO37*'Reagent cost'!$G$11*'Reagent cost'!$H$11</f>
        <v>2406.8058890526186</v>
      </c>
      <c r="CC37">
        <f>BP37*'Reagent cost'!$G$11*'Reagent cost'!$H$11</f>
        <v>5721.7547485644063</v>
      </c>
      <c r="CD37">
        <f>BQ37*'Reagent cost'!$C$18/1000*'Reagent cost'!$H$18</f>
        <v>2907.8673690603878</v>
      </c>
      <c r="CE37">
        <f>BR37*'Ligand cost'!$B$56*'Ligand cost'!$J$56</f>
        <v>44132.402915519386</v>
      </c>
      <c r="CF37">
        <f t="shared" si="11"/>
        <v>10</v>
      </c>
      <c r="CG37">
        <f t="shared" si="12"/>
        <v>2.2791722434210402</v>
      </c>
      <c r="CH37">
        <f t="shared" si="12"/>
        <v>3.9406024439148801</v>
      </c>
      <c r="CI37">
        <f>7963.6*(BX37/1000)^0.6*1.7*('CAPEX+OPEX'!$G$116/'CAPEX+OPEX'!$G$115)</f>
        <v>2189.6727102460782</v>
      </c>
      <c r="CJ37">
        <f>7963.6*(BY37/1000)^0.6*1.7*('CAPEX+OPEX'!$G$116/'CAPEX+OPEX'!$G$115)</f>
        <v>6215.9013146876341</v>
      </c>
      <c r="CK37">
        <f>7963.6*(BZ37/1000)^0.6*1.7*('CAPEX+OPEX'!$G$116/'CAPEX+OPEX'!$G$115)</f>
        <v>3041.2385780576142</v>
      </c>
      <c r="CL37">
        <f>7963.6*(CA37/1000)^0.6*1.7*('CAPEX+OPEX'!$G$116/'CAPEX+OPEX'!$G$115)</f>
        <v>2925.723342675914</v>
      </c>
      <c r="CM37">
        <f>'Costing 100 Lmin Feed Orig'!DE37</f>
        <v>39625.826528698344</v>
      </c>
      <c r="CN37">
        <f>'Costing 100 Lmin Feed Orig'!DF37</f>
        <v>4586243.4239371875</v>
      </c>
      <c r="CO37">
        <f>'Costing 100 Lmin Feed Orig'!DG37</f>
        <v>11794834.586807497</v>
      </c>
      <c r="CP37">
        <f>'Costing 100 Lmin Feed Orig'!DH37</f>
        <v>2275209.1661185985</v>
      </c>
      <c r="CQ37">
        <f>'Costing 100 Lmin Feed Orig'!DI37</f>
        <v>14083914.336508472</v>
      </c>
      <c r="CR37">
        <f>'Costing 100 Lmin Feed Orig'!DJ37</f>
        <v>1662824.8986326549</v>
      </c>
      <c r="CS37">
        <f>CN37*(BK37/10000)^0.72*((A37+1)/3)^0.6*('CAPEX+OPEX'!$G$116/'CAPEX+OPEX'!$G$114)</f>
        <v>646135.89638675924</v>
      </c>
      <c r="CT37">
        <f>CO37*(BK37/10000)^0.72*((A37+1)/3)^0.6*('CAPEX+OPEX'!$G$116/'CAPEX+OPEX'!$G$114)</f>
        <v>1661722.9645298459</v>
      </c>
      <c r="CU37">
        <f>CP37*(BK37/10000)^0.72*((A37+1)/3)^0.6*('CAPEX+OPEX'!$G$116/'CAPEX+OPEX'!$G$114)</f>
        <v>320544.32748695416</v>
      </c>
      <c r="CV37">
        <f>CQ37*(BK37/10000)^0.72*((A37+1)/3)^0.6*('CAPEX+OPEX'!$G$116/'CAPEX+OPEX'!$G$114)</f>
        <v>1984221.4582325809</v>
      </c>
      <c r="CW37">
        <f>CR37*(BK37/10000)^0.72*((A37+1)/3)^0.6*('CAPEX+OPEX'!$G$116/'CAPEX+OPEX'!$G$114)</f>
        <v>234268.17050410178</v>
      </c>
      <c r="CX37">
        <f t="shared" si="13"/>
        <v>4846892.8171402421</v>
      </c>
      <c r="CY37">
        <f>CN37*(BM37/10000)^0.72*((AF37+1)/3)^0.6*('CAPEX+OPEX'!$G$116/'CAPEX+OPEX'!$G$114)</f>
        <v>755899.67705977859</v>
      </c>
      <c r="CZ37">
        <f>CO37*(BM37/10000)^0.72*((AF37+1)/3)^0.6*('CAPEX+OPEX'!$G$116/'CAPEX+OPEX'!$G$114)</f>
        <v>1944011.8700649682</v>
      </c>
      <c r="DA37">
        <f>CP37*(BM37/10000)^0.72*((AF37+1)/3)^0.6*('CAPEX+OPEX'!$G$116/'CAPEX+OPEX'!$G$114)</f>
        <v>374997.51211113459</v>
      </c>
      <c r="DB37">
        <f>CQ37*(BM37/10000)^0.72*((AF37+1)/3)^0.6*('CAPEX+OPEX'!$G$116/'CAPEX+OPEX'!$G$114)</f>
        <v>2321295.5167488609</v>
      </c>
      <c r="DC37">
        <f>CR37*(BM37/10000)^0.72*((AF37+1)/3)^0.6*('CAPEX+OPEX'!$G$116/'CAPEX+OPEX'!$G$114)</f>
        <v>274064.99997864</v>
      </c>
      <c r="DD37">
        <f t="shared" si="14"/>
        <v>5670269.5759633826</v>
      </c>
      <c r="DE37">
        <f>CX37+DD37+1.15*(SUM(CI37:CL37)+SUM(CB37:CE37))</f>
        <v>10597134.965001669</v>
      </c>
      <c r="DF37">
        <f t="shared" si="15"/>
        <v>706475.66433344455</v>
      </c>
      <c r="DG37">
        <f>(BS37+BT37)*'Oxidant Feed Composition'!$N$28*60*7200</f>
        <v>20746088.84599337</v>
      </c>
      <c r="DH37">
        <f>((CG37+CH37)*'Reagent cost'!$C$17/1000*'Reagent cost'!$H$17+(CG37+CH37)*0.5*'Reagent cost'!$C$16/1000*'Reagent cost'!$H$16*1.5)*60*7200</f>
        <v>8826082.7004724909</v>
      </c>
      <c r="DI37">
        <f>CF37*'Reagent cost'!$C$17/1000*'Reagent cost'!$H$17*60*7200</f>
        <v>504921.59999999998</v>
      </c>
      <c r="DJ37">
        <f t="shared" si="16"/>
        <v>81.28560637617025</v>
      </c>
      <c r="DK37">
        <f t="shared" si="17"/>
        <v>940.80540569159552</v>
      </c>
      <c r="DL37">
        <f t="shared" si="18"/>
        <v>36093738.28497351</v>
      </c>
      <c r="DM37">
        <f>BK37*(B37*(409.81+2)/1000+C37*(248.2+2*22.99)/1000+D37*(315.6+3*22.99)/1000+0.1*58.44/1000)</f>
        <v>0.70639694042110623</v>
      </c>
      <c r="DN37">
        <f>(BS37+BT37)/1000*('Oxidant Feed Composition'!$B$11*'Oxidant Feed Composition'!$O$20+'Oxidant Feed Composition'!$D$11*'Oxidant Feed Composition'!$O$21+'Oxidant Feed Composition'!$F$11*'Oxidant Feed Composition'!$O$27-'Oxidant Feed Composition'!$J$15*18.015)</f>
        <v>2.1791205772925073</v>
      </c>
      <c r="DO37">
        <f>(BU37+BV37)/1000*(0.2*368.34+0.4*58.44)</f>
        <v>1.5089795368945675</v>
      </c>
      <c r="DP37">
        <f>BK37/1000*(B37*195.08+C37*106.42+D37*102.91)</f>
        <v>4.999938342565946E-2</v>
      </c>
      <c r="DQ37">
        <f>SUM(DM37:DO37)-DP37</f>
        <v>4.3444976711825207</v>
      </c>
      <c r="DR37">
        <f>DQ37*60*7200*0.33</f>
        <v>619351.58800378023</v>
      </c>
      <c r="DS37">
        <v>1.2</v>
      </c>
      <c r="DT37">
        <f>BM37/60*(AM37*4+AN37*2+AO37*3)*96485/DV37</f>
        <v>1406.097494568138</v>
      </c>
      <c r="DU37">
        <f>BN37*BA37*(AP37*4+AQ37*2+AR37*3)*96485/DV37/60</f>
        <v>706.1700790912098</v>
      </c>
      <c r="DV37">
        <v>0.7</v>
      </c>
      <c r="DW37">
        <f>0.499*((BK37/3.78541*15)^(-0.146))*BK37/3.78541*15*300*(1+(A37-2)/9)</f>
        <v>35776.359048024235</v>
      </c>
      <c r="DX37">
        <f>0.248*((BK37/3.78541*15)^(-0.144))*BK37/3.78541*15*300*(1+(A37-2)/3)</f>
        <v>29068.269280606211</v>
      </c>
      <c r="DY37">
        <f>0.105*((BK37/3.78541*15)^(-0.144))*BK37/3.78541*15*300*(1+(A37-2)/3)</f>
        <v>12307.130138966339</v>
      </c>
      <c r="DZ37">
        <f>0.058*((BK37/3.78541*15)^(-0.151))*BK37/3.78541*15*300*(1+(A37-2)/3)</f>
        <v>6519.4301878820042</v>
      </c>
      <c r="EA37">
        <f>0.056*((BK37/3.78541*15)^(-0.144))*BK37/3.78541*15*300*(1+(A37-2)/3)</f>
        <v>6563.8027407820491</v>
      </c>
      <c r="EB37">
        <f>DS37*DT37/(3.6*10^6)*3600*7200*0.07</f>
        <v>850.4077647148099</v>
      </c>
      <c r="EC37">
        <f>0.499*((BM37/3.78541*15)^(-0.146))*BM37/3.78541*15*300*(1+(AF37-2)/9)</f>
        <v>41148.704348775907</v>
      </c>
      <c r="ED37">
        <f>0.248*((BM37/3.78541*15)^(-0.144))*BM37/3.78541*15*300*(1+(AF37-2)/3)</f>
        <v>38800.349510177053</v>
      </c>
      <c r="EE37">
        <f>0.105*((BM37/3.78541*15)^(-0.144))*BM37/3.78541*15*300*(1+(AF37-2)/3)</f>
        <v>16427.567332937866</v>
      </c>
      <c r="EF37">
        <f>0.058*((BM37/3.78541*15)^(-0.151))*BM37/3.78541*15*300*(1+(AF37-2)/3)</f>
        <v>8706.9734828830187</v>
      </c>
      <c r="EG37">
        <f>0.056*((BM37/3.78541*15)^(-0.144))*BM37/3.78541*15*300*(1+(AF37-2)/3)</f>
        <v>8761.3692442335268</v>
      </c>
      <c r="EH37">
        <f>DS37*DU37/(3.6*10^6)*3600*7200*0.07</f>
        <v>427.09166383436366</v>
      </c>
      <c r="EI37">
        <f>SUM(DW37:EH37)</f>
        <v>205357.45474381739</v>
      </c>
      <c r="EJ37">
        <f>EI37+DR37+DL37</f>
        <v>36918447.327721104</v>
      </c>
      <c r="EK37">
        <f>EJ37+DF37</f>
        <v>37624922.992054552</v>
      </c>
      <c r="EL37">
        <f>EK37/(BK37*60*7200)</f>
        <v>0.8709472914827443</v>
      </c>
      <c r="EM37">
        <f>EK37/(BM37*(AM37*195.084/1000+AN37*106.42/1000+AO37*102.911/1000)*60*7200)</f>
        <v>2913.6679022919016</v>
      </c>
      <c r="EN37">
        <f>EK37/(BN37*BA37*(AP37*195.084/1000+AQ37*106.42/1000+AR37*102.911/1000)*60*7200)</f>
        <v>5344.6435239478997</v>
      </c>
    </row>
    <row r="38" spans="1:144">
      <c r="A38">
        <f>'Costing 100 Lmin Feed Orig'!A38</f>
        <v>6</v>
      </c>
      <c r="B38">
        <f>'Costing 100 Lmin Feed Orig'!B38</f>
        <v>1.54143585092054E-3</v>
      </c>
      <c r="C38">
        <f>'Costing 100 Lmin Feed Orig'!C38</f>
        <v>1.54143585092054E-3</v>
      </c>
      <c r="D38">
        <f>'Costing 100 Lmin Feed Orig'!D38</f>
        <v>3.4254130020456501E-4</v>
      </c>
      <c r="E38">
        <f>'Costing 100 Lmin Feed Orig'!E38</f>
        <v>0</v>
      </c>
      <c r="F38">
        <f>'Costing 100 Lmin Feed Orig'!F38</f>
        <v>0</v>
      </c>
      <c r="G38">
        <f>'Costing 100 Lmin Feed Orig'!G38</f>
        <v>0</v>
      </c>
      <c r="H38">
        <f>'Costing 100 Lmin Feed Orig'!H38</f>
        <v>1.7693893431643E-5</v>
      </c>
      <c r="I38">
        <f>'Costing 100 Lmin Feed Orig'!I38</f>
        <v>3.7175600603836103E-8</v>
      </c>
      <c r="J38">
        <f>'Costing 100 Lmin Feed Orig'!J38</f>
        <v>3.36890310328726E-4</v>
      </c>
      <c r="K38">
        <f>'Costing 100 Lmin Feed Orig'!K38</f>
        <v>0.133710118829723</v>
      </c>
      <c r="L38">
        <f>'Costing 100 Lmin Feed Orig'!L38</f>
        <v>0.13525951632913</v>
      </c>
      <c r="M38">
        <f>'Costing 100 Lmin Feed Orig'!M38</f>
        <v>4.9588089642288804E-4</v>
      </c>
      <c r="N38">
        <f>'Costing 100 Lmin Feed Orig'!N38</f>
        <v>-1.72886878424538E-14</v>
      </c>
      <c r="O38">
        <f>'Costing 100 Lmin Feed Orig'!O38</f>
        <v>-1.05961268405396E-12</v>
      </c>
      <c r="P38">
        <f>'Costing 100 Lmin Feed Orig'!P38</f>
        <v>-9.6595637304880395E-18</v>
      </c>
      <c r="Q38">
        <f>'Costing 100 Lmin Feed Orig'!Q38</f>
        <v>0.11395861217105201</v>
      </c>
      <c r="R38">
        <f>'Costing 100 Lmin Feed Orig'!R38</f>
        <v>98.3502748800029</v>
      </c>
      <c r="S38">
        <f>'Costing 100 Lmin Feed Orig'!S38</f>
        <v>500</v>
      </c>
      <c r="T38">
        <f>'Costing 100 Lmin Feed Orig'!T38</f>
        <v>95</v>
      </c>
      <c r="U38">
        <f>'Costing 100 Lmin Feed Orig'!U38</f>
        <v>1</v>
      </c>
      <c r="V38">
        <f>'Costing 100 Lmin Feed Orig'!V38</f>
        <v>0.1</v>
      </c>
      <c r="W38">
        <f>'Costing 100 Lmin Feed Orig'!W38</f>
        <v>87.751156402202497</v>
      </c>
      <c r="X38" t="str">
        <f>'Costing 100 Lmin Feed Orig'!X38</f>
        <v>ddFc</v>
      </c>
      <c r="Y38">
        <f>'Costing 100 Lmin Feed Orig'!Y38</f>
        <v>1</v>
      </c>
      <c r="Z38">
        <f>'Costing 100 Lmin Feed Orig'!Z38</f>
        <v>0.28318429382522198</v>
      </c>
      <c r="AA38">
        <f>'Costing 100 Lmin Feed Orig'!AA38</f>
        <v>0.56945642916197003</v>
      </c>
      <c r="AB38">
        <f>'Costing 100 Lmin Feed Orig'!AB38</f>
        <v>3.7698628972227502E-3</v>
      </c>
      <c r="AC38">
        <f>'Costing 100 Lmin Feed Orig'!AC38</f>
        <v>1822.2107908876901</v>
      </c>
      <c r="AD38">
        <f>'Costing 100 Lmin Feed Orig'!AD38</f>
        <v>2662.6059073104898</v>
      </c>
      <c r="AE38">
        <f>'Costing 100 Lmin Feed Orig'!AE38</f>
        <v>2401.5030938442701</v>
      </c>
      <c r="AF38">
        <f>'Costing 100 Lmin Feed Orig'!AF38</f>
        <v>10</v>
      </c>
      <c r="AG38">
        <f>'Costing 100 Lmin Feed Orig'!AG38</f>
        <v>1.64951815726537E-3</v>
      </c>
      <c r="AH38">
        <f>'Costing 100 Lmin Feed Orig'!AH38</f>
        <v>1.6686323374819601E-3</v>
      </c>
      <c r="AI38">
        <f>'Costing 100 Lmin Feed Orig'!AI38</f>
        <v>6.1174468293775103E-6</v>
      </c>
      <c r="AJ38">
        <f>'Costing 100 Lmin Feed Orig'!AJ38</f>
        <v>0</v>
      </c>
      <c r="AK38">
        <f>'Costing 100 Lmin Feed Orig'!AK38</f>
        <v>0</v>
      </c>
      <c r="AL38">
        <f>'Costing 100 Lmin Feed Orig'!AL38</f>
        <v>0</v>
      </c>
      <c r="AM38">
        <f>'Costing 100 Lmin Feed Orig'!AM38</f>
        <v>1.61255347742774E-3</v>
      </c>
      <c r="AN38">
        <f>'Costing 100 Lmin Feed Orig'!AN38</f>
        <v>7.8794044578505199E-5</v>
      </c>
      <c r="AO38">
        <f>'Costing 100 Lmin Feed Orig'!AO38</f>
        <v>6.07719107473002E-6</v>
      </c>
      <c r="AP38">
        <f>'Costing 100 Lmin Feed Orig'!AP38</f>
        <v>1.7331877781333199E-3</v>
      </c>
      <c r="AQ38">
        <f>'Costing 100 Lmin Feed Orig'!AQ38</f>
        <v>7.4543816233418506E-2</v>
      </c>
      <c r="AR38">
        <f>'Costing 100 Lmin Feed Orig'!AR38</f>
        <v>1.88749861433376E-6</v>
      </c>
      <c r="AS38">
        <f>'Costing 100 Lmin Feed Orig'!AS38</f>
        <v>9.0192949137902997E-15</v>
      </c>
      <c r="AT38">
        <f>'Costing 100 Lmin Feed Orig'!AT38</f>
        <v>-9.3119934506391495E-13</v>
      </c>
      <c r="AU38">
        <f>'Costing 100 Lmin Feed Orig'!AU38</f>
        <v>9.0473706678599895E-20</v>
      </c>
      <c r="AV38">
        <f>'Costing 100 Lmin Feed Orig'!AV38</f>
        <v>0.19701335051902499</v>
      </c>
      <c r="AW38">
        <f>'Costing 100 Lmin Feed Orig'!AW38</f>
        <v>99.341951703541199</v>
      </c>
      <c r="AX38">
        <f>'Costing 100 Lmin Feed Orig'!AX38</f>
        <v>500</v>
      </c>
      <c r="AY38">
        <f>'Costing 100 Lmin Feed Orig'!AY38</f>
        <v>95</v>
      </c>
      <c r="AZ38">
        <f>'Costing 100 Lmin Feed Orig'!AZ38</f>
        <v>0.92374973309314701</v>
      </c>
      <c r="BA38">
        <f>'Costing 100 Lmin Feed Orig'!BA38</f>
        <v>0.1</v>
      </c>
      <c r="BB38">
        <f>'Costing 100 Lmin Feed Orig'!BB38</f>
        <v>46.887671858762701</v>
      </c>
      <c r="BC38" t="str">
        <f>'Costing 100 Lmin Feed Orig'!BC38</f>
        <v>coeFc</v>
      </c>
      <c r="BD38">
        <f>'Costing 100 Lmin Feed Orig'!BD38</f>
        <v>1</v>
      </c>
      <c r="BE38">
        <f>'Costing 100 Lmin Feed Orig'!BE38</f>
        <v>1.8775014999999999E-2</v>
      </c>
      <c r="BF38">
        <f>'Costing 100 Lmin Feed Orig'!BF38</f>
        <v>0.10492961100000001</v>
      </c>
      <c r="BG38">
        <f>'Costing 100 Lmin Feed Orig'!BG38</f>
        <v>1.814625E-3</v>
      </c>
      <c r="BH38">
        <f>'Costing 100 Lmin Feed Orig'!BH38</f>
        <v>285.1951444</v>
      </c>
      <c r="BI38">
        <f>'Costing 100 Lmin Feed Orig'!BI38</f>
        <v>2169.8944889999998</v>
      </c>
      <c r="BJ38">
        <f>'Costing 100 Lmin Feed Orig'!BJ38</f>
        <v>866.49409060000005</v>
      </c>
      <c r="BK38">
        <f>'Costing 100 Lmin Feed Orig'!BK38</f>
        <v>100</v>
      </c>
      <c r="BL38">
        <f>'Costing 100 Lmin Feed Orig'!BL38</f>
        <v>11.395861217105201</v>
      </c>
      <c r="BM38">
        <f>'Costing 100 Lmin Feed Orig'!BM38</f>
        <v>92.374973309314697</v>
      </c>
      <c r="BN38">
        <f>'Costing 100 Lmin Feed Orig'!BN38</f>
        <v>19.7013350519025</v>
      </c>
      <c r="BO38">
        <f t="shared" si="1"/>
        <v>182.33377947368322</v>
      </c>
      <c r="BP38">
        <f t="shared" si="2"/>
        <v>472.83204124565998</v>
      </c>
      <c r="BQ38">
        <f t="shared" si="3"/>
        <v>18.233377947368322</v>
      </c>
      <c r="BR38">
        <f t="shared" si="4"/>
        <v>47.283204124565998</v>
      </c>
      <c r="BS38">
        <f>1.2*0.5*BL38*V38/'Oxidant Feed Composition'!$N$22</f>
        <v>6.837516730263121</v>
      </c>
      <c r="BT38">
        <f>1.2*0.5*BN38*BA38/'Oxidant Feed Composition'!$N$22</f>
        <v>11.820801031141498</v>
      </c>
      <c r="BU38">
        <f t="shared" si="5"/>
        <v>5.6979306085525998</v>
      </c>
      <c r="BV38">
        <f t="shared" si="6"/>
        <v>9.8506675259512502</v>
      </c>
      <c r="BW38">
        <f t="shared" si="7"/>
        <v>86.677042700762101</v>
      </c>
      <c r="BX38">
        <f t="shared" si="0"/>
        <v>36.466755894736643</v>
      </c>
      <c r="BY38">
        <f t="shared" si="8"/>
        <v>207.54166905283981</v>
      </c>
      <c r="BZ38">
        <f t="shared" si="9"/>
        <v>63.044272166087993</v>
      </c>
      <c r="CA38">
        <f t="shared" si="10"/>
        <v>59.104005155707497</v>
      </c>
      <c r="CB38">
        <f>BO38*'Reagent cost'!$G$11*'Reagent cost'!$H$11</f>
        <v>2406.8058890526186</v>
      </c>
      <c r="CC38">
        <f>BP38*'Reagent cost'!$G$11*'Reagent cost'!$H$11</f>
        <v>6241.382944442712</v>
      </c>
      <c r="CD38">
        <f>BQ38*'Reagent cost'!$C$18/1000*'Reagent cost'!$H$18</f>
        <v>2907.8673690603878</v>
      </c>
      <c r="CE38">
        <f>BR38*'Ligand cost'!$B$56*'Ligand cost'!$J$56</f>
        <v>48140.341374000076</v>
      </c>
      <c r="CF38">
        <f t="shared" si="11"/>
        <v>10</v>
      </c>
      <c r="CG38">
        <f t="shared" si="12"/>
        <v>2.2791722434210402</v>
      </c>
      <c r="CH38">
        <f t="shared" si="12"/>
        <v>3.9402670103805004</v>
      </c>
      <c r="CI38">
        <f>7963.6*(BX38/1000)^0.6*1.7*('CAPEX+OPEX'!$G$116/'CAPEX+OPEX'!$G$115)</f>
        <v>2189.6727102460782</v>
      </c>
      <c r="CJ38">
        <f>7963.6*(BY38/1000)^0.6*1.7*('CAPEX+OPEX'!$G$116/'CAPEX+OPEX'!$G$115)</f>
        <v>6215.9013146876341</v>
      </c>
      <c r="CK38">
        <f>7963.6*(BZ38/1000)^0.6*1.7*('CAPEX+OPEX'!$G$116/'CAPEX+OPEX'!$G$115)</f>
        <v>3041.0832488985457</v>
      </c>
      <c r="CL38">
        <f>7963.6*(CA38/1000)^0.6*1.7*('CAPEX+OPEX'!$G$116/'CAPEX+OPEX'!$G$115)</f>
        <v>2925.5739133776788</v>
      </c>
      <c r="CM38">
        <f>'Costing 100 Lmin Feed Orig'!DE38</f>
        <v>39625.826528698344</v>
      </c>
      <c r="CN38">
        <f>'Costing 100 Lmin Feed Orig'!DF38</f>
        <v>4586243.4239371875</v>
      </c>
      <c r="CO38">
        <f>'Costing 100 Lmin Feed Orig'!DG38</f>
        <v>11794834.586807497</v>
      </c>
      <c r="CP38">
        <f>'Costing 100 Lmin Feed Orig'!DH38</f>
        <v>2275209.1661185985</v>
      </c>
      <c r="CQ38">
        <f>'Costing 100 Lmin Feed Orig'!DI38</f>
        <v>14083914.336508472</v>
      </c>
      <c r="CR38">
        <f>'Costing 100 Lmin Feed Orig'!DJ38</f>
        <v>1662824.8986326549</v>
      </c>
      <c r="CS38">
        <f>CN38*(BK38/10000)^0.72*((A38+1)/3)^0.6*('CAPEX+OPEX'!$G$116/'CAPEX+OPEX'!$G$114)</f>
        <v>646135.89638675924</v>
      </c>
      <c r="CT38">
        <f>CO38*(BK38/10000)^0.72*((A38+1)/3)^0.6*('CAPEX+OPEX'!$G$116/'CAPEX+OPEX'!$G$114)</f>
        <v>1661722.9645298459</v>
      </c>
      <c r="CU38">
        <f>CP38*(BK38/10000)^0.72*((A38+1)/3)^0.6*('CAPEX+OPEX'!$G$116/'CAPEX+OPEX'!$G$114)</f>
        <v>320544.32748695416</v>
      </c>
      <c r="CV38">
        <f>CQ38*(BK38/10000)^0.72*((A38+1)/3)^0.6*('CAPEX+OPEX'!$G$116/'CAPEX+OPEX'!$G$114)</f>
        <v>1984221.4582325809</v>
      </c>
      <c r="CW38">
        <f>CR38*(BK38/10000)^0.72*((A38+1)/3)^0.6*('CAPEX+OPEX'!$G$116/'CAPEX+OPEX'!$G$114)</f>
        <v>234268.17050410178</v>
      </c>
      <c r="CX38">
        <f t="shared" si="13"/>
        <v>4846892.8171402421</v>
      </c>
      <c r="CY38">
        <f>CN38*(BM38/10000)^0.72*((AF38+1)/3)^0.6*('CAPEX+OPEX'!$G$116/'CAPEX+OPEX'!$G$114)</f>
        <v>800386.52957740228</v>
      </c>
      <c r="CZ38">
        <f>CO38*(BM38/10000)^0.72*((AF38+1)/3)^0.6*('CAPEX+OPEX'!$G$116/'CAPEX+OPEX'!$G$114)</f>
        <v>2058422.5147321052</v>
      </c>
      <c r="DA38">
        <f>CP38*(BM38/10000)^0.72*((AF38+1)/3)^0.6*('CAPEX+OPEX'!$G$116/'CAPEX+OPEX'!$G$114)</f>
        <v>397067.18553744635</v>
      </c>
      <c r="DB38">
        <f>CQ38*(BM38/10000)^0.72*((AF38+1)/3)^0.6*('CAPEX+OPEX'!$G$116/'CAPEX+OPEX'!$G$114)</f>
        <v>2457910.3803840801</v>
      </c>
      <c r="DC38">
        <f>CR38*(BM38/10000)^0.72*((AF38+1)/3)^0.6*('CAPEX+OPEX'!$G$116/'CAPEX+OPEX'!$G$114)</f>
        <v>290194.50711339182</v>
      </c>
      <c r="DD38">
        <f t="shared" si="14"/>
        <v>6003981.117344426</v>
      </c>
      <c r="DE38">
        <f>CX38+DD38+1.15*(SUM(CI38:CL38)+SUM(CB38:CE38))</f>
        <v>10936052.857562998</v>
      </c>
      <c r="DF38">
        <f t="shared" si="15"/>
        <v>729070.19050419994</v>
      </c>
      <c r="DG38">
        <f>(BS38+BT38)*'Oxidant Feed Composition'!$N$28*60*7200</f>
        <v>20744970.005801238</v>
      </c>
      <c r="DH38">
        <f>((CG38+CH38)*'Reagent cost'!$C$17/1000*'Reagent cost'!$H$17+(CG38+CH38)*0.5*'Reagent cost'!$C$16/1000*'Reagent cost'!$H$16*1.5)*60*7200</f>
        <v>8825606.7082921024</v>
      </c>
      <c r="DI38">
        <f>CF38*'Reagent cost'!$C$17/1000*'Reagent cost'!$H$17*60*7200</f>
        <v>504921.59999999998</v>
      </c>
      <c r="DJ38">
        <f t="shared" si="16"/>
        <v>86.481888334953311</v>
      </c>
      <c r="DK38">
        <f t="shared" si="17"/>
        <v>1020.9641748612094</v>
      </c>
      <c r="DL38">
        <f t="shared" si="18"/>
        <v>36091926.912187852</v>
      </c>
      <c r="DM38">
        <f>BK38*(B38*(409.81+2)/1000+C38*(248.2+2*22.99)/1000+D38*(315.6+3*22.99)/1000+0.1*58.44/1000)</f>
        <v>0.70639694042110623</v>
      </c>
      <c r="DN38">
        <f>(BS38+BT38)/1000*('Oxidant Feed Composition'!$B$11*'Oxidant Feed Composition'!$O$20+'Oxidant Feed Composition'!$D$11*'Oxidant Feed Composition'!$O$21+'Oxidant Feed Composition'!$F$11*'Oxidant Feed Composition'!$O$27-'Oxidant Feed Composition'!$J$15*18.015)</f>
        <v>2.1790030569394676</v>
      </c>
      <c r="DO38">
        <f>(BU38+BV38)/1000*(0.2*368.34+0.4*58.44)</f>
        <v>1.5088981573647915</v>
      </c>
      <c r="DP38">
        <f>BK38/1000*(B38*195.08+C38*106.42+D38*102.91)</f>
        <v>4.999938342565946E-2</v>
      </c>
      <c r="DQ38">
        <f>SUM(DM38:DO38)-DP38</f>
        <v>4.3442987712997052</v>
      </c>
      <c r="DR38">
        <f>DQ38*60*7200*0.33</f>
        <v>619323.23283648596</v>
      </c>
      <c r="DS38">
        <v>1.2</v>
      </c>
      <c r="DT38">
        <f>BM38/60*(AM38*4+AN38*2+AO38*3)*96485/DV38</f>
        <v>1406.1073186061401</v>
      </c>
      <c r="DU38">
        <f>BN38*BA38*(AP38*4+AQ38*2+AR38*3)*96485/DV38/60</f>
        <v>706.16025546916046</v>
      </c>
      <c r="DV38">
        <v>0.7</v>
      </c>
      <c r="DW38">
        <f>0.499*((BK38/3.78541*15)^(-0.146))*BK38/3.78541*15*300*(1+(A38-2)/9)</f>
        <v>35776.359048024235</v>
      </c>
      <c r="DX38">
        <f>0.248*((BK38/3.78541*15)^(-0.144))*BK38/3.78541*15*300*(1+(A38-2)/3)</f>
        <v>29068.269280606211</v>
      </c>
      <c r="DY38">
        <f>0.105*((BK38/3.78541*15)^(-0.144))*BK38/3.78541*15*300*(1+(A38-2)/3)</f>
        <v>12307.130138966339</v>
      </c>
      <c r="DZ38">
        <f>0.058*((BK38/3.78541*15)^(-0.151))*BK38/3.78541*15*300*(1+(A38-2)/3)</f>
        <v>6519.4301878820042</v>
      </c>
      <c r="EA38">
        <f>0.056*((BK38/3.78541*15)^(-0.144))*BK38/3.78541*15*300*(1+(A38-2)/3)</f>
        <v>6563.8027407820491</v>
      </c>
      <c r="EB38">
        <f>DS38*DT38/(3.6*10^6)*3600*7200*0.07</f>
        <v>850.41370629299365</v>
      </c>
      <c r="EC38">
        <f>0.499*((BM38/3.78541*15)^(-0.146))*BM38/3.78541*15*300*(1+(AF38-2)/9)</f>
        <v>43720.498370574402</v>
      </c>
      <c r="ED38">
        <f>0.248*((BM38/3.78541*15)^(-0.144))*BM38/3.78541*15*300*(1+(AF38-2)/3)</f>
        <v>42680.384461194757</v>
      </c>
      <c r="EE38">
        <f>0.105*((BM38/3.78541*15)^(-0.144))*BM38/3.78541*15*300*(1+(AF38-2)/3)</f>
        <v>18070.324066231653</v>
      </c>
      <c r="EF38">
        <f>0.058*((BM38/3.78541*15)^(-0.151))*BM38/3.78541*15*300*(1+(AF38-2)/3)</f>
        <v>9577.6708311713192</v>
      </c>
      <c r="EG38">
        <f>0.056*((BM38/3.78541*15)^(-0.144))*BM38/3.78541*15*300*(1+(AF38-2)/3)</f>
        <v>9637.5061686568788</v>
      </c>
      <c r="EH38">
        <f>DS38*DU38/(3.6*10^6)*3600*7200*0.07</f>
        <v>427.0857225077483</v>
      </c>
      <c r="EI38">
        <f>SUM(DW38:EH38)</f>
        <v>215198.87472289061</v>
      </c>
      <c r="EJ38">
        <f>EI38+DR38+DL38</f>
        <v>36926449.019747227</v>
      </c>
      <c r="EK38">
        <f>EJ38+DF38</f>
        <v>37655519.210251428</v>
      </c>
      <c r="EL38">
        <f>EK38/(BK38*60*7200)</f>
        <v>0.87165553727433864</v>
      </c>
      <c r="EM38">
        <f>EK38/(BM38*(AM38*195.084/1000+AN38*106.42/1000+AO38*102.911/1000)*60*7200)</f>
        <v>2916.0168804946579</v>
      </c>
      <c r="EN38">
        <f>EK38/(BN38*BA38*(AP38*195.084/1000+AQ38*106.42/1000+AR38*102.911/1000)*60*7200)</f>
        <v>5349.0583348772716</v>
      </c>
    </row>
    <row r="39" spans="1:144">
      <c r="A39">
        <f>'Costing 100 Lmin Feed Orig'!A39</f>
        <v>6</v>
      </c>
      <c r="B39">
        <f>'Costing 100 Lmin Feed Orig'!B39</f>
        <v>1.54143585092054E-3</v>
      </c>
      <c r="C39">
        <f>'Costing 100 Lmin Feed Orig'!C39</f>
        <v>1.54143585092054E-3</v>
      </c>
      <c r="D39">
        <f>'Costing 100 Lmin Feed Orig'!D39</f>
        <v>3.4254130020456501E-4</v>
      </c>
      <c r="E39">
        <f>'Costing 100 Lmin Feed Orig'!E39</f>
        <v>0</v>
      </c>
      <c r="F39">
        <f>'Costing 100 Lmin Feed Orig'!F39</f>
        <v>0</v>
      </c>
      <c r="G39">
        <f>'Costing 100 Lmin Feed Orig'!G39</f>
        <v>0</v>
      </c>
      <c r="H39">
        <f>'Costing 100 Lmin Feed Orig'!H39</f>
        <v>1.7693893431643E-5</v>
      </c>
      <c r="I39">
        <f>'Costing 100 Lmin Feed Orig'!I39</f>
        <v>3.7175600603836103E-8</v>
      </c>
      <c r="J39">
        <f>'Costing 100 Lmin Feed Orig'!J39</f>
        <v>3.36890310328726E-4</v>
      </c>
      <c r="K39">
        <f>'Costing 100 Lmin Feed Orig'!K39</f>
        <v>0.133710118829723</v>
      </c>
      <c r="L39">
        <f>'Costing 100 Lmin Feed Orig'!L39</f>
        <v>0.13525951632913</v>
      </c>
      <c r="M39">
        <f>'Costing 100 Lmin Feed Orig'!M39</f>
        <v>4.9588089642288804E-4</v>
      </c>
      <c r="N39">
        <f>'Costing 100 Lmin Feed Orig'!N39</f>
        <v>-1.72886878424538E-14</v>
      </c>
      <c r="O39">
        <f>'Costing 100 Lmin Feed Orig'!O39</f>
        <v>-1.05961268405396E-12</v>
      </c>
      <c r="P39">
        <f>'Costing 100 Lmin Feed Orig'!P39</f>
        <v>-9.6595637304880395E-18</v>
      </c>
      <c r="Q39">
        <f>'Costing 100 Lmin Feed Orig'!Q39</f>
        <v>0.11395861217105201</v>
      </c>
      <c r="R39">
        <f>'Costing 100 Lmin Feed Orig'!R39</f>
        <v>98.3502748800029</v>
      </c>
      <c r="S39">
        <f>'Costing 100 Lmin Feed Orig'!S39</f>
        <v>500</v>
      </c>
      <c r="T39">
        <f>'Costing 100 Lmin Feed Orig'!T39</f>
        <v>95</v>
      </c>
      <c r="U39">
        <f>'Costing 100 Lmin Feed Orig'!U39</f>
        <v>1</v>
      </c>
      <c r="V39">
        <f>'Costing 100 Lmin Feed Orig'!V39</f>
        <v>0.1</v>
      </c>
      <c r="W39">
        <f>'Costing 100 Lmin Feed Orig'!W39</f>
        <v>87.751156402202497</v>
      </c>
      <c r="X39" t="str">
        <f>'Costing 100 Lmin Feed Orig'!X39</f>
        <v>ddFc</v>
      </c>
      <c r="Y39">
        <f>'Costing 100 Lmin Feed Orig'!Y39</f>
        <v>1</v>
      </c>
      <c r="Z39">
        <f>'Costing 100 Lmin Feed Orig'!Z39</f>
        <v>0.28318429382522198</v>
      </c>
      <c r="AA39">
        <f>'Costing 100 Lmin Feed Orig'!AA39</f>
        <v>0.56945642916197003</v>
      </c>
      <c r="AB39">
        <f>'Costing 100 Lmin Feed Orig'!AB39</f>
        <v>3.7698628972227502E-3</v>
      </c>
      <c r="AC39">
        <f>'Costing 100 Lmin Feed Orig'!AC39</f>
        <v>1822.2107908876901</v>
      </c>
      <c r="AD39">
        <f>'Costing 100 Lmin Feed Orig'!AD39</f>
        <v>2662.6059073104898</v>
      </c>
      <c r="AE39">
        <f>'Costing 100 Lmin Feed Orig'!AE39</f>
        <v>2401.5030938442701</v>
      </c>
      <c r="AF39">
        <f>'Costing 100 Lmin Feed Orig'!AF39</f>
        <v>11</v>
      </c>
      <c r="AG39">
        <f>'Costing 100 Lmin Feed Orig'!AG39</f>
        <v>1.64951815726537E-3</v>
      </c>
      <c r="AH39">
        <f>'Costing 100 Lmin Feed Orig'!AH39</f>
        <v>1.6686323374819601E-3</v>
      </c>
      <c r="AI39">
        <f>'Costing 100 Lmin Feed Orig'!AI39</f>
        <v>6.1174468293775103E-6</v>
      </c>
      <c r="AJ39">
        <f>'Costing 100 Lmin Feed Orig'!AJ39</f>
        <v>0</v>
      </c>
      <c r="AK39">
        <f>'Costing 100 Lmin Feed Orig'!AK39</f>
        <v>0</v>
      </c>
      <c r="AL39">
        <f>'Costing 100 Lmin Feed Orig'!AL39</f>
        <v>0</v>
      </c>
      <c r="AM39">
        <f>'Costing 100 Lmin Feed Orig'!AM39</f>
        <v>1.61255664991154E-3</v>
      </c>
      <c r="AN39">
        <f>'Costing 100 Lmin Feed Orig'!AN39</f>
        <v>7.87942082405777E-5</v>
      </c>
      <c r="AO39">
        <f>'Costing 100 Lmin Feed Orig'!AO39</f>
        <v>6.0771943863253104E-6</v>
      </c>
      <c r="AP39">
        <f>'Costing 100 Lmin Feed Orig'!AP39</f>
        <v>1.7330805296501401E-3</v>
      </c>
      <c r="AQ39">
        <f>'Costing 100 Lmin Feed Orig'!AQ39</f>
        <v>7.4545594606665405E-2</v>
      </c>
      <c r="AR39">
        <f>'Costing 100 Lmin Feed Orig'!AR39</f>
        <v>1.8873885461363599E-6</v>
      </c>
      <c r="AS39">
        <f>'Costing 100 Lmin Feed Orig'!AS39</f>
        <v>1.4982685366893601E-13</v>
      </c>
      <c r="AT39">
        <f>'Costing 100 Lmin Feed Orig'!AT39</f>
        <v>-1.2832369715443101E-11</v>
      </c>
      <c r="AU39">
        <f>'Costing 100 Lmin Feed Orig'!AU39</f>
        <v>1.70440234344306E-18</v>
      </c>
      <c r="AV39">
        <f>'Costing 100 Lmin Feed Orig'!AV39</f>
        <v>0.19700863184865999</v>
      </c>
      <c r="AW39">
        <f>'Costing 100 Lmin Feed Orig'!AW39</f>
        <v>99.342005837158993</v>
      </c>
      <c r="AX39">
        <f>'Costing 100 Lmin Feed Orig'!AX39</f>
        <v>500</v>
      </c>
      <c r="AY39">
        <f>'Costing 100 Lmin Feed Orig'!AY39</f>
        <v>95</v>
      </c>
      <c r="AZ39">
        <f>'Costing 100 Lmin Feed Orig'!AZ39</f>
        <v>0.92374973309314701</v>
      </c>
      <c r="BA39">
        <f>'Costing 100 Lmin Feed Orig'!BA39</f>
        <v>0.1</v>
      </c>
      <c r="BB39">
        <f>'Costing 100 Lmin Feed Orig'!BB39</f>
        <v>46.888794893147498</v>
      </c>
      <c r="BC39" t="str">
        <f>'Costing 100 Lmin Feed Orig'!BC39</f>
        <v>coeFc</v>
      </c>
      <c r="BD39">
        <f>'Costing 100 Lmin Feed Orig'!BD39</f>
        <v>1</v>
      </c>
      <c r="BE39">
        <f>'Costing 100 Lmin Feed Orig'!BE39</f>
        <v>1.8775014999999999E-2</v>
      </c>
      <c r="BF39">
        <f>'Costing 100 Lmin Feed Orig'!BF39</f>
        <v>0.10492961100000001</v>
      </c>
      <c r="BG39">
        <f>'Costing 100 Lmin Feed Orig'!BG39</f>
        <v>1.814625E-3</v>
      </c>
      <c r="BH39">
        <f>'Costing 100 Lmin Feed Orig'!BH39</f>
        <v>285.1951444</v>
      </c>
      <c r="BI39">
        <f>'Costing 100 Lmin Feed Orig'!BI39</f>
        <v>2169.8944889999998</v>
      </c>
      <c r="BJ39">
        <f>'Costing 100 Lmin Feed Orig'!BJ39</f>
        <v>866.49409060000005</v>
      </c>
      <c r="BK39">
        <f>'Costing 100 Lmin Feed Orig'!BK39</f>
        <v>100</v>
      </c>
      <c r="BL39">
        <f>'Costing 100 Lmin Feed Orig'!BL39</f>
        <v>11.395861217105201</v>
      </c>
      <c r="BM39">
        <f>'Costing 100 Lmin Feed Orig'!BM39</f>
        <v>92.374973309314697</v>
      </c>
      <c r="BN39">
        <f>'Costing 100 Lmin Feed Orig'!BN39</f>
        <v>19.700863184865998</v>
      </c>
      <c r="BO39">
        <f t="shared" si="1"/>
        <v>182.33377947368322</v>
      </c>
      <c r="BP39">
        <f t="shared" si="2"/>
        <v>512.22244280651591</v>
      </c>
      <c r="BQ39">
        <f t="shared" si="3"/>
        <v>18.233377947368322</v>
      </c>
      <c r="BR39">
        <f t="shared" si="4"/>
        <v>51.222244280651594</v>
      </c>
      <c r="BS39">
        <f>1.2*0.5*BL39*V39/'Oxidant Feed Composition'!$N$22</f>
        <v>6.837516730263121</v>
      </c>
      <c r="BT39">
        <f>1.2*0.5*BN39*BA39/'Oxidant Feed Composition'!$N$22</f>
        <v>11.820517910919598</v>
      </c>
      <c r="BU39">
        <f t="shared" si="5"/>
        <v>5.6979306085525998</v>
      </c>
      <c r="BV39">
        <f t="shared" si="6"/>
        <v>9.850431592432999</v>
      </c>
      <c r="BW39">
        <f t="shared" si="7"/>
        <v>86.677042700762101</v>
      </c>
      <c r="BX39">
        <f t="shared" si="0"/>
        <v>36.466755894736643</v>
      </c>
      <c r="BY39">
        <f t="shared" si="8"/>
        <v>207.54166905283981</v>
      </c>
      <c r="BZ39">
        <f t="shared" si="9"/>
        <v>63.042762191571192</v>
      </c>
      <c r="CA39">
        <f t="shared" si="10"/>
        <v>59.102589554597998</v>
      </c>
      <c r="CB39">
        <f>BO39*'Reagent cost'!$G$11*'Reagent cost'!$H$11</f>
        <v>2406.8058890526186</v>
      </c>
      <c r="CC39">
        <f>BP39*'Reagent cost'!$G$11*'Reagent cost'!$H$11</f>
        <v>6761.3362450460099</v>
      </c>
      <c r="CD39">
        <f>BQ39*'Reagent cost'!$C$18/1000*'Reagent cost'!$H$18</f>
        <v>2907.8673690603878</v>
      </c>
      <c r="CE39">
        <f>BR39*'Ligand cost'!$B$56*'Ligand cost'!$J$56</f>
        <v>52150.787394119398</v>
      </c>
      <c r="CF39">
        <f t="shared" si="11"/>
        <v>10</v>
      </c>
      <c r="CG39">
        <f t="shared" si="12"/>
        <v>2.2791722434210402</v>
      </c>
      <c r="CH39">
        <f t="shared" si="12"/>
        <v>3.9401726369732</v>
      </c>
      <c r="CI39">
        <f>7963.6*(BX39/1000)^0.6*1.7*('CAPEX+OPEX'!$G$116/'CAPEX+OPEX'!$G$115)</f>
        <v>2189.6727102460782</v>
      </c>
      <c r="CJ39">
        <f>7963.6*(BY39/1000)^0.6*1.7*('CAPEX+OPEX'!$G$116/'CAPEX+OPEX'!$G$115)</f>
        <v>6215.9013146876341</v>
      </c>
      <c r="CK39">
        <f>7963.6*(BZ39/1000)^0.6*1.7*('CAPEX+OPEX'!$G$116/'CAPEX+OPEX'!$G$115)</f>
        <v>3041.0395464648595</v>
      </c>
      <c r="CL39">
        <f>7963.6*(CA39/1000)^0.6*1.7*('CAPEX+OPEX'!$G$116/'CAPEX+OPEX'!$G$115)</f>
        <v>2925.5318708916702</v>
      </c>
      <c r="CM39">
        <f>'Costing 100 Lmin Feed Orig'!DE39</f>
        <v>39625.826528698344</v>
      </c>
      <c r="CN39">
        <f>'Costing 100 Lmin Feed Orig'!DF39</f>
        <v>4586243.4239371875</v>
      </c>
      <c r="CO39">
        <f>'Costing 100 Lmin Feed Orig'!DG39</f>
        <v>11794834.586807497</v>
      </c>
      <c r="CP39">
        <f>'Costing 100 Lmin Feed Orig'!DH39</f>
        <v>2275209.1661185985</v>
      </c>
      <c r="CQ39">
        <f>'Costing 100 Lmin Feed Orig'!DI39</f>
        <v>14083914.336508472</v>
      </c>
      <c r="CR39">
        <f>'Costing 100 Lmin Feed Orig'!DJ39</f>
        <v>1662824.8986326549</v>
      </c>
      <c r="CS39">
        <f>CN39*(BK39/10000)^0.72*((A39+1)/3)^0.6*('CAPEX+OPEX'!$G$116/'CAPEX+OPEX'!$G$114)</f>
        <v>646135.89638675924</v>
      </c>
      <c r="CT39">
        <f>CO39*(BK39/10000)^0.72*((A39+1)/3)^0.6*('CAPEX+OPEX'!$G$116/'CAPEX+OPEX'!$G$114)</f>
        <v>1661722.9645298459</v>
      </c>
      <c r="CU39">
        <f>CP39*(BK39/10000)^0.72*((A39+1)/3)^0.6*('CAPEX+OPEX'!$G$116/'CAPEX+OPEX'!$G$114)</f>
        <v>320544.32748695416</v>
      </c>
      <c r="CV39">
        <f>CQ39*(BK39/10000)^0.72*((A39+1)/3)^0.6*('CAPEX+OPEX'!$G$116/'CAPEX+OPEX'!$G$114)</f>
        <v>1984221.4582325809</v>
      </c>
      <c r="CW39">
        <f>CR39*(BK39/10000)^0.72*((A39+1)/3)^0.6*('CAPEX+OPEX'!$G$116/'CAPEX+OPEX'!$G$114)</f>
        <v>234268.17050410178</v>
      </c>
      <c r="CX39">
        <f t="shared" si="13"/>
        <v>4846892.8171402421</v>
      </c>
      <c r="CY39">
        <f>CN39*(BM39/10000)^0.72*((AF39+1)/3)^0.6*('CAPEX+OPEX'!$G$116/'CAPEX+OPEX'!$G$114)</f>
        <v>843282.14969326498</v>
      </c>
      <c r="CZ39">
        <f>CO39*(BM39/10000)^0.72*((AF39+1)/3)^0.6*('CAPEX+OPEX'!$G$116/'CAPEX+OPEX'!$G$114)</f>
        <v>2168740.8508946435</v>
      </c>
      <c r="DA39">
        <f>CP39*(BM39/10000)^0.72*((AF39+1)/3)^0.6*('CAPEX+OPEX'!$G$116/'CAPEX+OPEX'!$G$114)</f>
        <v>418347.45765832032</v>
      </c>
      <c r="DB39">
        <f>CQ39*(BM39/10000)^0.72*((AF39+1)/3)^0.6*('CAPEX+OPEX'!$G$116/'CAPEX+OPEX'!$G$114)</f>
        <v>2589638.7217036909</v>
      </c>
      <c r="DC39">
        <f>CR39*(BM39/10000)^0.72*((AF39+1)/3)^0.6*('CAPEX+OPEX'!$G$116/'CAPEX+OPEX'!$G$114)</f>
        <v>305747.08437055594</v>
      </c>
      <c r="DD39">
        <f t="shared" si="14"/>
        <v>6325756.264320476</v>
      </c>
      <c r="DE39">
        <f>CX39+DD39+1.15*(SUM(CI39:CL39)+SUM(CB39:CE39))</f>
        <v>11263037.865151223</v>
      </c>
      <c r="DF39">
        <f t="shared" si="15"/>
        <v>750869.19101008156</v>
      </c>
      <c r="DG39">
        <f>(BS39+BT39)*'Oxidant Feed Composition'!$N$28*60*7200</f>
        <v>20744655.222840283</v>
      </c>
      <c r="DH39">
        <f>((CG39+CH39)*'Reagent cost'!$C$17/1000*'Reagent cost'!$H$17+(CG39+CH39)*0.5*'Reagent cost'!$C$16/1000*'Reagent cost'!$H$16*1.5)*60*7200</f>
        <v>8825472.7890523504</v>
      </c>
      <c r="DI39">
        <f>CF39*'Reagent cost'!$C$17/1000*'Reagent cost'!$H$17*60*7200</f>
        <v>504921.59999999998</v>
      </c>
      <c r="DJ39">
        <f t="shared" si="16"/>
        <v>91.68142134098629</v>
      </c>
      <c r="DK39">
        <f t="shared" si="17"/>
        <v>1101.1730952635958</v>
      </c>
      <c r="DL39">
        <f t="shared" si="18"/>
        <v>36091490.959691085</v>
      </c>
      <c r="DM39">
        <f>BK39*(B39*(409.81+2)/1000+C39*(248.2+2*22.99)/1000+D39*(315.6+3*22.99)/1000+0.1*58.44/1000)</f>
        <v>0.70639694042110623</v>
      </c>
      <c r="DN39">
        <f>(BS39+BT39)/1000*('Oxidant Feed Composition'!$B$11*'Oxidant Feed Composition'!$O$20+'Oxidant Feed Composition'!$D$11*'Oxidant Feed Composition'!$O$21+'Oxidant Feed Composition'!$F$11*'Oxidant Feed Composition'!$O$27-'Oxidant Feed Composition'!$J$15*18.015)</f>
        <v>2.1789699928745883</v>
      </c>
      <c r="DO39">
        <f>(BU39+BV39)/1000*(0.2*368.34+0.4*58.44)</f>
        <v>1.5088752614324465</v>
      </c>
      <c r="DP39">
        <f>BK39/1000*(B39*195.08+C39*106.42+D39*102.91)</f>
        <v>4.999938342565946E-2</v>
      </c>
      <c r="DQ39">
        <f>SUM(DM39:DO39)-DP39</f>
        <v>4.3442428113024816</v>
      </c>
      <c r="DR39">
        <f>DQ39*60*7200*0.33</f>
        <v>619315.25517928181</v>
      </c>
      <c r="DS39">
        <v>1.2</v>
      </c>
      <c r="DT39">
        <f>BM39/60*(AM39*4+AN39*2+AO39*3)*96485/DV39</f>
        <v>1406.1100831005861</v>
      </c>
      <c r="DU39">
        <f>BN39*BA39*(AP39*4+AQ39*2+AR39*3)*96485/DV39/60</f>
        <v>706.15749631334222</v>
      </c>
      <c r="DV39">
        <v>0.7</v>
      </c>
      <c r="DW39">
        <f>0.499*((BK39/3.78541*15)^(-0.146))*BK39/3.78541*15*300*(1+(A39-2)/9)</f>
        <v>35776.359048024235</v>
      </c>
      <c r="DX39">
        <f>0.248*((BK39/3.78541*15)^(-0.144))*BK39/3.78541*15*300*(1+(A39-2)/3)</f>
        <v>29068.269280606211</v>
      </c>
      <c r="DY39">
        <f>0.105*((BK39/3.78541*15)^(-0.144))*BK39/3.78541*15*300*(1+(A39-2)/3)</f>
        <v>12307.130138966339</v>
      </c>
      <c r="DZ39">
        <f>0.058*((BK39/3.78541*15)^(-0.151))*BK39/3.78541*15*300*(1+(A39-2)/3)</f>
        <v>6519.4301878820042</v>
      </c>
      <c r="EA39">
        <f>0.056*((BK39/3.78541*15)^(-0.144))*BK39/3.78541*15*300*(1+(A39-2)/3)</f>
        <v>6563.8027407820491</v>
      </c>
      <c r="EB39">
        <f>DS39*DT39/(3.6*10^6)*3600*7200*0.07</f>
        <v>850.41537825923444</v>
      </c>
      <c r="EC39">
        <f>0.499*((BM39/3.78541*15)^(-0.146))*BM39/3.78541*15*300*(1+(AF39-2)/9)</f>
        <v>46292.292392372896</v>
      </c>
      <c r="ED39">
        <f>0.248*((BM39/3.78541*15)^(-0.144))*BM39/3.78541*15*300*(1+(AF39-2)/3)</f>
        <v>46560.419412212461</v>
      </c>
      <c r="EE39">
        <f>0.105*((BM39/3.78541*15)^(-0.144))*BM39/3.78541*15*300*(1+(AF39-2)/3)</f>
        <v>19713.08079952544</v>
      </c>
      <c r="EF39">
        <f>0.058*((BM39/3.78541*15)^(-0.151))*BM39/3.78541*15*300*(1+(AF39-2)/3)</f>
        <v>10448.368179459621</v>
      </c>
      <c r="EG39">
        <f>0.056*((BM39/3.78541*15)^(-0.144))*BM39/3.78541*15*300*(1+(AF39-2)/3)</f>
        <v>10513.643093080233</v>
      </c>
      <c r="EH39">
        <f>DS39*DU39/(3.6*10^6)*3600*7200*0.07</f>
        <v>427.08405377030942</v>
      </c>
      <c r="EI39">
        <f>SUM(DW39:EH39)</f>
        <v>225040.29470494101</v>
      </c>
      <c r="EJ39">
        <f>EI39+DR39+DL39</f>
        <v>36935846.509575307</v>
      </c>
      <c r="EK39">
        <f>EJ39+DF39</f>
        <v>37686715.700585388</v>
      </c>
      <c r="EL39">
        <f>EK39/(BK39*60*7200)</f>
        <v>0.87237767825429136</v>
      </c>
      <c r="EM39">
        <f>EK39/(BM39*(AM39*195.084/1000+AN39*106.42/1000+AO39*102.911/1000)*60*7200)</f>
        <v>2918.4269728391282</v>
      </c>
      <c r="EN39">
        <f>EK39/(BN39*BA39*(AP39*195.084/1000+AQ39*106.42/1000+AR39*102.911/1000)*60*7200)</f>
        <v>5353.5091528041912</v>
      </c>
    </row>
    <row r="40" spans="1:144">
      <c r="A40">
        <f>'Costing 100 Lmin Feed Orig'!A40</f>
        <v>6</v>
      </c>
      <c r="B40">
        <f>'Costing 100 Lmin Feed Orig'!B40</f>
        <v>1.54143585092054E-3</v>
      </c>
      <c r="C40">
        <f>'Costing 100 Lmin Feed Orig'!C40</f>
        <v>1.54143585092054E-3</v>
      </c>
      <c r="D40">
        <f>'Costing 100 Lmin Feed Orig'!D40</f>
        <v>3.4254130020456501E-4</v>
      </c>
      <c r="E40">
        <f>'Costing 100 Lmin Feed Orig'!E40</f>
        <v>0</v>
      </c>
      <c r="F40">
        <f>'Costing 100 Lmin Feed Orig'!F40</f>
        <v>0</v>
      </c>
      <c r="G40">
        <f>'Costing 100 Lmin Feed Orig'!G40</f>
        <v>0</v>
      </c>
      <c r="H40">
        <f>'Costing 100 Lmin Feed Orig'!H40</f>
        <v>1.7693893431643E-5</v>
      </c>
      <c r="I40">
        <f>'Costing 100 Lmin Feed Orig'!I40</f>
        <v>3.7175600603836103E-8</v>
      </c>
      <c r="J40">
        <f>'Costing 100 Lmin Feed Orig'!J40</f>
        <v>3.36890310328726E-4</v>
      </c>
      <c r="K40">
        <f>'Costing 100 Lmin Feed Orig'!K40</f>
        <v>0.133710118829723</v>
      </c>
      <c r="L40">
        <f>'Costing 100 Lmin Feed Orig'!L40</f>
        <v>0.13525951632913</v>
      </c>
      <c r="M40">
        <f>'Costing 100 Lmin Feed Orig'!M40</f>
        <v>4.9588089642288804E-4</v>
      </c>
      <c r="N40">
        <f>'Costing 100 Lmin Feed Orig'!N40</f>
        <v>-1.72886878424538E-14</v>
      </c>
      <c r="O40">
        <f>'Costing 100 Lmin Feed Orig'!O40</f>
        <v>-1.05961268405396E-12</v>
      </c>
      <c r="P40">
        <f>'Costing 100 Lmin Feed Orig'!P40</f>
        <v>-9.6595637304880395E-18</v>
      </c>
      <c r="Q40">
        <f>'Costing 100 Lmin Feed Orig'!Q40</f>
        <v>0.11395861217105201</v>
      </c>
      <c r="R40">
        <f>'Costing 100 Lmin Feed Orig'!R40</f>
        <v>98.3502748800029</v>
      </c>
      <c r="S40">
        <f>'Costing 100 Lmin Feed Orig'!S40</f>
        <v>500</v>
      </c>
      <c r="T40">
        <f>'Costing 100 Lmin Feed Orig'!T40</f>
        <v>95</v>
      </c>
      <c r="U40">
        <f>'Costing 100 Lmin Feed Orig'!U40</f>
        <v>1</v>
      </c>
      <c r="V40">
        <f>'Costing 100 Lmin Feed Orig'!V40</f>
        <v>0.1</v>
      </c>
      <c r="W40">
        <f>'Costing 100 Lmin Feed Orig'!W40</f>
        <v>87.751156402202497</v>
      </c>
      <c r="X40" t="str">
        <f>'Costing 100 Lmin Feed Orig'!X40</f>
        <v>ddFc</v>
      </c>
      <c r="Y40">
        <f>'Costing 100 Lmin Feed Orig'!Y40</f>
        <v>1</v>
      </c>
      <c r="Z40">
        <f>'Costing 100 Lmin Feed Orig'!Z40</f>
        <v>0.28318429382522198</v>
      </c>
      <c r="AA40">
        <f>'Costing 100 Lmin Feed Orig'!AA40</f>
        <v>0.56945642916197003</v>
      </c>
      <c r="AB40">
        <f>'Costing 100 Lmin Feed Orig'!AB40</f>
        <v>3.7698628972227502E-3</v>
      </c>
      <c r="AC40">
        <f>'Costing 100 Lmin Feed Orig'!AC40</f>
        <v>1822.2107908876901</v>
      </c>
      <c r="AD40">
        <f>'Costing 100 Lmin Feed Orig'!AD40</f>
        <v>2662.6059073104898</v>
      </c>
      <c r="AE40">
        <f>'Costing 100 Lmin Feed Orig'!AE40</f>
        <v>2401.5030938442701</v>
      </c>
      <c r="AF40">
        <f>'Costing 100 Lmin Feed Orig'!AF40</f>
        <v>12</v>
      </c>
      <c r="AG40">
        <f>'Costing 100 Lmin Feed Orig'!AG40</f>
        <v>1.64951815726537E-3</v>
      </c>
      <c r="AH40">
        <f>'Costing 100 Lmin Feed Orig'!AH40</f>
        <v>1.6686323374819601E-3</v>
      </c>
      <c r="AI40">
        <f>'Costing 100 Lmin Feed Orig'!AI40</f>
        <v>6.1174468293775103E-6</v>
      </c>
      <c r="AJ40">
        <f>'Costing 100 Lmin Feed Orig'!AJ40</f>
        <v>0</v>
      </c>
      <c r="AK40">
        <f>'Costing 100 Lmin Feed Orig'!AK40</f>
        <v>0</v>
      </c>
      <c r="AL40">
        <f>'Costing 100 Lmin Feed Orig'!AL40</f>
        <v>0</v>
      </c>
      <c r="AM40">
        <f>'Costing 100 Lmin Feed Orig'!AM40</f>
        <v>1.6125575429752001E-3</v>
      </c>
      <c r="AN40">
        <f>'Costing 100 Lmin Feed Orig'!AN40</f>
        <v>7.8794254311918995E-5</v>
      </c>
      <c r="AO40">
        <f>'Costing 100 Lmin Feed Orig'!AO40</f>
        <v>6.0771953183527996E-6</v>
      </c>
      <c r="AP40">
        <f>'Costing 100 Lmin Feed Orig'!AP40</f>
        <v>1.7330503585533999E-3</v>
      </c>
      <c r="AQ40">
        <f>'Costing 100 Lmin Feed Orig'!AQ40</f>
        <v>7.4546094895645801E-2</v>
      </c>
      <c r="AR40">
        <f>'Costing 100 Lmin Feed Orig'!AR40</f>
        <v>1.8873575819805E-6</v>
      </c>
      <c r="AS40">
        <f>'Costing 100 Lmin Feed Orig'!AS40</f>
        <v>7.3561084524067997E-16</v>
      </c>
      <c r="AT40">
        <f>'Costing 100 Lmin Feed Orig'!AT40</f>
        <v>-7.3104283043745598E-14</v>
      </c>
      <c r="AU40">
        <f>'Costing 100 Lmin Feed Orig'!AU40</f>
        <v>-3.93076227085198E-21</v>
      </c>
      <c r="AV40">
        <f>'Costing 100 Lmin Feed Orig'!AV40</f>
        <v>0.197007302276343</v>
      </c>
      <c r="AW40">
        <f>'Costing 100 Lmin Feed Orig'!AW40</f>
        <v>99.342021072722403</v>
      </c>
      <c r="AX40">
        <f>'Costing 100 Lmin Feed Orig'!AX40</f>
        <v>500</v>
      </c>
      <c r="AY40">
        <f>'Costing 100 Lmin Feed Orig'!AY40</f>
        <v>95</v>
      </c>
      <c r="AZ40">
        <f>'Costing 100 Lmin Feed Orig'!AZ40</f>
        <v>0.92374973309314701</v>
      </c>
      <c r="BA40">
        <f>'Costing 100 Lmin Feed Orig'!BA40</f>
        <v>0.1</v>
      </c>
      <c r="BB40">
        <f>'Costing 100 Lmin Feed Orig'!BB40</f>
        <v>46.889111338492199</v>
      </c>
      <c r="BC40" t="str">
        <f>'Costing 100 Lmin Feed Orig'!BC40</f>
        <v>coeFc</v>
      </c>
      <c r="BD40">
        <f>'Costing 100 Lmin Feed Orig'!BD40</f>
        <v>1</v>
      </c>
      <c r="BE40">
        <f>'Costing 100 Lmin Feed Orig'!BE40</f>
        <v>1.8775014999999999E-2</v>
      </c>
      <c r="BF40">
        <f>'Costing 100 Lmin Feed Orig'!BF40</f>
        <v>0.10492961100000001</v>
      </c>
      <c r="BG40">
        <f>'Costing 100 Lmin Feed Orig'!BG40</f>
        <v>1.814625E-3</v>
      </c>
      <c r="BH40">
        <f>'Costing 100 Lmin Feed Orig'!BH40</f>
        <v>285.1951444</v>
      </c>
      <c r="BI40">
        <f>'Costing 100 Lmin Feed Orig'!BI40</f>
        <v>2169.8944889999998</v>
      </c>
      <c r="BJ40">
        <f>'Costing 100 Lmin Feed Orig'!BJ40</f>
        <v>866.49409060000005</v>
      </c>
      <c r="BK40">
        <f>'Costing 100 Lmin Feed Orig'!BK40</f>
        <v>100</v>
      </c>
      <c r="BL40">
        <f>'Costing 100 Lmin Feed Orig'!BL40</f>
        <v>11.395861217105201</v>
      </c>
      <c r="BM40">
        <f>'Costing 100 Lmin Feed Orig'!BM40</f>
        <v>92.374973309314697</v>
      </c>
      <c r="BN40">
        <f>'Costing 100 Lmin Feed Orig'!BN40</f>
        <v>19.700730227634299</v>
      </c>
      <c r="BO40">
        <f t="shared" si="1"/>
        <v>182.33377947368322</v>
      </c>
      <c r="BP40">
        <f t="shared" si="2"/>
        <v>551.62044637376039</v>
      </c>
      <c r="BQ40">
        <f t="shared" si="3"/>
        <v>18.233377947368322</v>
      </c>
      <c r="BR40">
        <f t="shared" si="4"/>
        <v>55.162044637376042</v>
      </c>
      <c r="BS40">
        <f>1.2*0.5*BL40*V40/'Oxidant Feed Composition'!$N$22</f>
        <v>6.837516730263121</v>
      </c>
      <c r="BT40">
        <f>1.2*0.5*BN40*BA40/'Oxidant Feed Composition'!$N$22</f>
        <v>11.820438136580579</v>
      </c>
      <c r="BU40">
        <f t="shared" si="5"/>
        <v>5.6979306085525998</v>
      </c>
      <c r="BV40">
        <f t="shared" si="6"/>
        <v>9.8503651138171495</v>
      </c>
      <c r="BW40">
        <f t="shared" si="7"/>
        <v>86.677042700762101</v>
      </c>
      <c r="BX40">
        <f t="shared" si="0"/>
        <v>36.466755894736643</v>
      </c>
      <c r="BY40">
        <f t="shared" si="8"/>
        <v>207.54166905283981</v>
      </c>
      <c r="BZ40">
        <f t="shared" si="9"/>
        <v>63.04233672842976</v>
      </c>
      <c r="CA40">
        <f t="shared" si="10"/>
        <v>59.102190682902901</v>
      </c>
      <c r="CB40">
        <f>BO40*'Reagent cost'!$G$11*'Reagent cost'!$H$11</f>
        <v>2406.8058890526186</v>
      </c>
      <c r="CC40">
        <f>BP40*'Reagent cost'!$G$11*'Reagent cost'!$H$11</f>
        <v>7281.3898921336377</v>
      </c>
      <c r="CD40">
        <f>BQ40*'Reagent cost'!$C$18/1000*'Reagent cost'!$H$18</f>
        <v>2907.8673690603878</v>
      </c>
      <c r="CE40">
        <f>BR40*'Ligand cost'!$B$56*'Ligand cost'!$J$56</f>
        <v>56162.007395590961</v>
      </c>
      <c r="CF40">
        <f t="shared" si="11"/>
        <v>10</v>
      </c>
      <c r="CG40">
        <f t="shared" si="12"/>
        <v>2.2791722434210402</v>
      </c>
      <c r="CH40">
        <f t="shared" si="12"/>
        <v>3.94014604552686</v>
      </c>
      <c r="CI40">
        <f>7963.6*(BX40/1000)^0.6*1.7*('CAPEX+OPEX'!$G$116/'CAPEX+OPEX'!$G$115)</f>
        <v>2189.6727102460782</v>
      </c>
      <c r="CJ40">
        <f>7963.6*(BY40/1000)^0.6*1.7*('CAPEX+OPEX'!$G$116/'CAPEX+OPEX'!$G$115)</f>
        <v>6215.9013146876341</v>
      </c>
      <c r="CK40">
        <f>7963.6*(BZ40/1000)^0.6*1.7*('CAPEX+OPEX'!$G$116/'CAPEX+OPEX'!$G$115)</f>
        <v>3041.0272324233424</v>
      </c>
      <c r="CL40">
        <f>7963.6*(CA40/1000)^0.6*1.7*('CAPEX+OPEX'!$G$116/'CAPEX+OPEX'!$G$115)</f>
        <v>2925.520024573867</v>
      </c>
      <c r="CM40">
        <f>'Costing 100 Lmin Feed Orig'!DE40</f>
        <v>39625.826528698344</v>
      </c>
      <c r="CN40">
        <f>'Costing 100 Lmin Feed Orig'!DF40</f>
        <v>4586243.4239371875</v>
      </c>
      <c r="CO40">
        <f>'Costing 100 Lmin Feed Orig'!DG40</f>
        <v>11794834.586807497</v>
      </c>
      <c r="CP40">
        <f>'Costing 100 Lmin Feed Orig'!DH40</f>
        <v>2275209.1661185985</v>
      </c>
      <c r="CQ40">
        <f>'Costing 100 Lmin Feed Orig'!DI40</f>
        <v>14083914.336508472</v>
      </c>
      <c r="CR40">
        <f>'Costing 100 Lmin Feed Orig'!DJ40</f>
        <v>1662824.8986326549</v>
      </c>
      <c r="CS40">
        <f>CN40*(BK40/10000)^0.72*((A40+1)/3)^0.6*('CAPEX+OPEX'!$G$116/'CAPEX+OPEX'!$G$114)</f>
        <v>646135.89638675924</v>
      </c>
      <c r="CT40">
        <f>CO40*(BK40/10000)^0.72*((A40+1)/3)^0.6*('CAPEX+OPEX'!$G$116/'CAPEX+OPEX'!$G$114)</f>
        <v>1661722.9645298459</v>
      </c>
      <c r="CU40">
        <f>CP40*(BK40/10000)^0.72*((A40+1)/3)^0.6*('CAPEX+OPEX'!$G$116/'CAPEX+OPEX'!$G$114)</f>
        <v>320544.32748695416</v>
      </c>
      <c r="CV40">
        <f>CQ40*(BK40/10000)^0.72*((A40+1)/3)^0.6*('CAPEX+OPEX'!$G$116/'CAPEX+OPEX'!$G$114)</f>
        <v>1984221.4582325809</v>
      </c>
      <c r="CW40">
        <f>CR40*(BK40/10000)^0.72*((A40+1)/3)^0.6*('CAPEX+OPEX'!$G$116/'CAPEX+OPEX'!$G$114)</f>
        <v>234268.17050410178</v>
      </c>
      <c r="CX40">
        <f t="shared" si="13"/>
        <v>4846892.8171402421</v>
      </c>
      <c r="CY40">
        <f>CN40*(BM40/10000)^0.72*((AF40+1)/3)^0.6*('CAPEX+OPEX'!$G$116/'CAPEX+OPEX'!$G$114)</f>
        <v>884769.55719627661</v>
      </c>
      <c r="CZ40">
        <f>CO40*(BM40/10000)^0.72*((AF40+1)/3)^0.6*('CAPEX+OPEX'!$G$116/'CAPEX+OPEX'!$G$114)</f>
        <v>2275437.5662018773</v>
      </c>
      <c r="DA40">
        <f>CP40*(BM40/10000)^0.72*((AF40+1)/3)^0.6*('CAPEX+OPEX'!$G$116/'CAPEX+OPEX'!$G$114)</f>
        <v>438929.12354563072</v>
      </c>
      <c r="DB40">
        <f>CQ40*(BM40/10000)^0.72*((AF40+1)/3)^0.6*('CAPEX+OPEX'!$G$116/'CAPEX+OPEX'!$G$114)</f>
        <v>2717042.5769518763</v>
      </c>
      <c r="DC40">
        <f>CR40*(BM40/10000)^0.72*((AF40+1)/3)^0.6*('CAPEX+OPEX'!$G$116/'CAPEX+OPEX'!$G$114)</f>
        <v>320789.08886069356</v>
      </c>
      <c r="DD40">
        <f t="shared" si="14"/>
        <v>6636967.9127563545</v>
      </c>
      <c r="DE40">
        <f>CX40+DD40+1.15*(SUM(CI40:CL40)+SUM(CB40:CE40))</f>
        <v>11579460.450498531</v>
      </c>
      <c r="DF40">
        <f t="shared" si="15"/>
        <v>771964.03003323532</v>
      </c>
      <c r="DG40">
        <f>(BS40+BT40)*'Oxidant Feed Composition'!$N$28*60*7200</f>
        <v>20744566.52694115</v>
      </c>
      <c r="DH40">
        <f>((CG40+CH40)*'Reagent cost'!$C$17/1000*'Reagent cost'!$H$17+(CG40+CH40)*0.5*'Reagent cost'!$C$16/1000*'Reagent cost'!$H$16*1.5)*60*7200</f>
        <v>8825435.0548390821</v>
      </c>
      <c r="DI40">
        <f>CF40*'Reagent cost'!$C$17/1000*'Reagent cost'!$H$17*60*7200</f>
        <v>504921.59999999998</v>
      </c>
      <c r="DJ40">
        <f t="shared" si="16"/>
        <v>96.881957811862563</v>
      </c>
      <c r="DK40">
        <f t="shared" si="17"/>
        <v>1181.3974952930271</v>
      </c>
      <c r="DL40">
        <f t="shared" si="18"/>
        <v>36091441.753480002</v>
      </c>
      <c r="DM40">
        <f>BK40*(B40*(409.81+2)/1000+C40*(248.2+2*22.99)/1000+D40*(315.6+3*22.99)/1000+0.1*58.44/1000)</f>
        <v>0.70639694042110623</v>
      </c>
      <c r="DN40">
        <f>(BS40+BT40)/1000*('Oxidant Feed Composition'!$B$11*'Oxidant Feed Composition'!$O$20+'Oxidant Feed Composition'!$D$11*'Oxidant Feed Composition'!$O$21+'Oxidant Feed Composition'!$F$11*'Oxidant Feed Composition'!$O$27-'Oxidant Feed Composition'!$J$15*18.015)</f>
        <v>2.1789606764651022</v>
      </c>
      <c r="DO40">
        <f>(BU40+BV40)/1000*(0.2*368.34+0.4*58.44)</f>
        <v>1.5088688100816499</v>
      </c>
      <c r="DP40">
        <f>BK40/1000*(B40*195.08+C40*106.42+D40*102.91)</f>
        <v>4.999938342565946E-2</v>
      </c>
      <c r="DQ40">
        <f>SUM(DM40:DO40)-DP40</f>
        <v>4.3442270435421984</v>
      </c>
      <c r="DR40">
        <f>DQ40*60*7200*0.33</f>
        <v>619313.00732737582</v>
      </c>
      <c r="DS40">
        <v>1.2</v>
      </c>
      <c r="DT40">
        <f>BM40/60*(AM40*4+AN40*2+AO40*3)*96485/DV40</f>
        <v>1406.1108613138913</v>
      </c>
      <c r="DU40">
        <f>BN40*BA40*(AP40*4+AQ40*2+AR40*3)*96485/DV40/60</f>
        <v>706.15671237476283</v>
      </c>
      <c r="DV40">
        <v>0.7</v>
      </c>
      <c r="DW40">
        <f>0.499*((BK40/3.78541*15)^(-0.146))*BK40/3.78541*15*300*(1+(A40-2)/9)</f>
        <v>35776.359048024235</v>
      </c>
      <c r="DX40">
        <f>0.248*((BK40/3.78541*15)^(-0.144))*BK40/3.78541*15*300*(1+(A40-2)/3)</f>
        <v>29068.269280606211</v>
      </c>
      <c r="DY40">
        <f>0.105*((BK40/3.78541*15)^(-0.144))*BK40/3.78541*15*300*(1+(A40-2)/3)</f>
        <v>12307.130138966339</v>
      </c>
      <c r="DZ40">
        <f>0.058*((BK40/3.78541*15)^(-0.151))*BK40/3.78541*15*300*(1+(A40-2)/3)</f>
        <v>6519.4301878820042</v>
      </c>
      <c r="EA40">
        <f>0.056*((BK40/3.78541*15)^(-0.144))*BK40/3.78541*15*300*(1+(A40-2)/3)</f>
        <v>6563.8027407820491</v>
      </c>
      <c r="EB40">
        <f>DS40*DT40/(3.6*10^6)*3600*7200*0.07</f>
        <v>850.41584892264143</v>
      </c>
      <c r="EC40">
        <f>0.499*((BM40/3.78541*15)^(-0.146))*BM40/3.78541*15*300*(1+(AF40-2)/9)</f>
        <v>48864.08641417139</v>
      </c>
      <c r="ED40">
        <f>0.248*((BM40/3.78541*15)^(-0.144))*BM40/3.78541*15*300*(1+(AF40-2)/3)</f>
        <v>50440.454363230172</v>
      </c>
      <c r="EE40">
        <f>0.105*((BM40/3.78541*15)^(-0.144))*BM40/3.78541*15*300*(1+(AF40-2)/3)</f>
        <v>21355.837532819231</v>
      </c>
      <c r="EF40">
        <f>0.058*((BM40/3.78541*15)^(-0.151))*BM40/3.78541*15*300*(1+(AF40-2)/3)</f>
        <v>11319.065527747925</v>
      </c>
      <c r="EG40">
        <f>0.056*((BM40/3.78541*15)^(-0.144))*BM40/3.78541*15*300*(1+(AF40-2)/3)</f>
        <v>11389.780017503586</v>
      </c>
      <c r="EH40">
        <f>DS40*DU40/(3.6*10^6)*3600*7200*0.07</f>
        <v>427.08357964425659</v>
      </c>
      <c r="EI40">
        <f>SUM(DW40:EH40)</f>
        <v>234881.71468030007</v>
      </c>
      <c r="EJ40">
        <f>EI40+DR40+DL40</f>
        <v>36945636.475487679</v>
      </c>
      <c r="EK40">
        <f>EJ40+DF40</f>
        <v>37717600.505520917</v>
      </c>
      <c r="EL40">
        <f>EK40/(BK40*60*7200)</f>
        <v>0.87309260429446567</v>
      </c>
      <c r="EM40">
        <f>EK40/(BM40*(AM40*195.084/1000+AN40*106.42/1000+AO40*102.911/1000)*60*7200)</f>
        <v>2920.8170479908531</v>
      </c>
      <c r="EN40">
        <f>EK40/(BN40*BA40*(AP40*195.084/1000+AQ40*106.42/1000+AR40*102.911/1000)*60*7200)</f>
        <v>5357.9019175838921</v>
      </c>
    </row>
    <row r="41" spans="1:144">
      <c r="A41">
        <f>'Costing 100 Lmin Feed Orig'!A41</f>
        <v>6</v>
      </c>
      <c r="B41">
        <f>'Costing 100 Lmin Feed Orig'!B41</f>
        <v>1.54143585092054E-3</v>
      </c>
      <c r="C41">
        <f>'Costing 100 Lmin Feed Orig'!C41</f>
        <v>1.54143585092054E-3</v>
      </c>
      <c r="D41">
        <f>'Costing 100 Lmin Feed Orig'!D41</f>
        <v>3.4254130020456501E-4</v>
      </c>
      <c r="E41">
        <f>'Costing 100 Lmin Feed Orig'!E41</f>
        <v>0</v>
      </c>
      <c r="F41">
        <f>'Costing 100 Lmin Feed Orig'!F41</f>
        <v>0</v>
      </c>
      <c r="G41">
        <f>'Costing 100 Lmin Feed Orig'!G41</f>
        <v>0</v>
      </c>
      <c r="H41">
        <f>'Costing 100 Lmin Feed Orig'!H41</f>
        <v>1.7693893431643E-5</v>
      </c>
      <c r="I41">
        <f>'Costing 100 Lmin Feed Orig'!I41</f>
        <v>3.7175600603836103E-8</v>
      </c>
      <c r="J41">
        <f>'Costing 100 Lmin Feed Orig'!J41</f>
        <v>3.36890310328726E-4</v>
      </c>
      <c r="K41">
        <f>'Costing 100 Lmin Feed Orig'!K41</f>
        <v>0.133710118829723</v>
      </c>
      <c r="L41">
        <f>'Costing 100 Lmin Feed Orig'!L41</f>
        <v>0.13525951632913</v>
      </c>
      <c r="M41">
        <f>'Costing 100 Lmin Feed Orig'!M41</f>
        <v>4.9588089642288804E-4</v>
      </c>
      <c r="N41">
        <f>'Costing 100 Lmin Feed Orig'!N41</f>
        <v>-1.72886878424538E-14</v>
      </c>
      <c r="O41">
        <f>'Costing 100 Lmin Feed Orig'!O41</f>
        <v>-1.05961268405396E-12</v>
      </c>
      <c r="P41">
        <f>'Costing 100 Lmin Feed Orig'!P41</f>
        <v>-9.6595637304880395E-18</v>
      </c>
      <c r="Q41">
        <f>'Costing 100 Lmin Feed Orig'!Q41</f>
        <v>0.11395861217105201</v>
      </c>
      <c r="R41">
        <f>'Costing 100 Lmin Feed Orig'!R41</f>
        <v>98.3502748800029</v>
      </c>
      <c r="S41">
        <f>'Costing 100 Lmin Feed Orig'!S41</f>
        <v>500</v>
      </c>
      <c r="T41">
        <f>'Costing 100 Lmin Feed Orig'!T41</f>
        <v>95</v>
      </c>
      <c r="U41">
        <f>'Costing 100 Lmin Feed Orig'!U41</f>
        <v>1</v>
      </c>
      <c r="V41">
        <f>'Costing 100 Lmin Feed Orig'!V41</f>
        <v>0.1</v>
      </c>
      <c r="W41">
        <f>'Costing 100 Lmin Feed Orig'!W41</f>
        <v>87.751156402202497</v>
      </c>
      <c r="X41" t="str">
        <f>'Costing 100 Lmin Feed Orig'!X41</f>
        <v>ddFc</v>
      </c>
      <c r="Y41">
        <f>'Costing 100 Lmin Feed Orig'!Y41</f>
        <v>1</v>
      </c>
      <c r="Z41">
        <f>'Costing 100 Lmin Feed Orig'!Z41</f>
        <v>0.28318429382522198</v>
      </c>
      <c r="AA41">
        <f>'Costing 100 Lmin Feed Orig'!AA41</f>
        <v>0.56945642916197003</v>
      </c>
      <c r="AB41">
        <f>'Costing 100 Lmin Feed Orig'!AB41</f>
        <v>3.7698628972227502E-3</v>
      </c>
      <c r="AC41">
        <f>'Costing 100 Lmin Feed Orig'!AC41</f>
        <v>1822.2107908876901</v>
      </c>
      <c r="AD41">
        <f>'Costing 100 Lmin Feed Orig'!AD41</f>
        <v>2662.6059073104898</v>
      </c>
      <c r="AE41">
        <f>'Costing 100 Lmin Feed Orig'!AE41</f>
        <v>2401.5030938442701</v>
      </c>
      <c r="AF41">
        <f>'Costing 100 Lmin Feed Orig'!AF41</f>
        <v>13</v>
      </c>
      <c r="AG41">
        <f>'Costing 100 Lmin Feed Orig'!AG41</f>
        <v>1.64951815726537E-3</v>
      </c>
      <c r="AH41">
        <f>'Costing 100 Lmin Feed Orig'!AH41</f>
        <v>1.6686323374819601E-3</v>
      </c>
      <c r="AI41">
        <f>'Costing 100 Lmin Feed Orig'!AI41</f>
        <v>6.1174468293775103E-6</v>
      </c>
      <c r="AJ41">
        <f>'Costing 100 Lmin Feed Orig'!AJ41</f>
        <v>0</v>
      </c>
      <c r="AK41">
        <f>'Costing 100 Lmin Feed Orig'!AK41</f>
        <v>0</v>
      </c>
      <c r="AL41">
        <f>'Costing 100 Lmin Feed Orig'!AL41</f>
        <v>0</v>
      </c>
      <c r="AM41">
        <f>'Costing 100 Lmin Feed Orig'!AM41</f>
        <v>1.6125577940565899E-3</v>
      </c>
      <c r="AN41">
        <f>'Costing 100 Lmin Feed Orig'!AN41</f>
        <v>7.87942672646522E-5</v>
      </c>
      <c r="AO41">
        <f>'Costing 100 Lmin Feed Orig'!AO41</f>
        <v>6.0771955804315697E-6</v>
      </c>
      <c r="AP41">
        <f>'Costing 100 Lmin Feed Orig'!AP41</f>
        <v>1.73304187149951E-3</v>
      </c>
      <c r="AQ41">
        <f>'Costing 100 Lmin Feed Orig'!AQ41</f>
        <v>7.4546235626165996E-2</v>
      </c>
      <c r="AR41">
        <f>'Costing 100 Lmin Feed Orig'!AR41</f>
        <v>1.8873488718012801E-6</v>
      </c>
      <c r="AS41">
        <f>'Costing 100 Lmin Feed Orig'!AS41</f>
        <v>3.5914196963582301E-19</v>
      </c>
      <c r="AT41">
        <f>'Costing 100 Lmin Feed Orig'!AT41</f>
        <v>-3.7730235602495499E-17</v>
      </c>
      <c r="AU41">
        <f>'Costing 100 Lmin Feed Orig'!AU41</f>
        <v>-5.6910026143648304E-22</v>
      </c>
      <c r="AV41">
        <f>'Costing 100 Lmin Feed Orig'!AV41</f>
        <v>0.197006928745454</v>
      </c>
      <c r="AW41">
        <f>'Costing 100 Lmin Feed Orig'!AW41</f>
        <v>99.342025356842598</v>
      </c>
      <c r="AX41">
        <f>'Costing 100 Lmin Feed Orig'!AX41</f>
        <v>500</v>
      </c>
      <c r="AY41">
        <f>'Costing 100 Lmin Feed Orig'!AY41</f>
        <v>95</v>
      </c>
      <c r="AZ41">
        <f>'Costing 100 Lmin Feed Orig'!AZ41</f>
        <v>0.92374973309314701</v>
      </c>
      <c r="BA41">
        <f>'Costing 100 Lmin Feed Orig'!BA41</f>
        <v>0.1</v>
      </c>
      <c r="BB41">
        <f>'Costing 100 Lmin Feed Orig'!BB41</f>
        <v>46.889200241616201</v>
      </c>
      <c r="BC41" t="str">
        <f>'Costing 100 Lmin Feed Orig'!BC41</f>
        <v>coeFc</v>
      </c>
      <c r="BD41">
        <f>'Costing 100 Lmin Feed Orig'!BD41</f>
        <v>1</v>
      </c>
      <c r="BE41">
        <f>'Costing 100 Lmin Feed Orig'!BE41</f>
        <v>1.8775014999999999E-2</v>
      </c>
      <c r="BF41">
        <f>'Costing 100 Lmin Feed Orig'!BF41</f>
        <v>0.10492961100000001</v>
      </c>
      <c r="BG41">
        <f>'Costing 100 Lmin Feed Orig'!BG41</f>
        <v>1.814625E-3</v>
      </c>
      <c r="BH41">
        <f>'Costing 100 Lmin Feed Orig'!BH41</f>
        <v>285.1951444</v>
      </c>
      <c r="BI41">
        <f>'Costing 100 Lmin Feed Orig'!BI41</f>
        <v>2169.8944889999998</v>
      </c>
      <c r="BJ41">
        <f>'Costing 100 Lmin Feed Orig'!BJ41</f>
        <v>866.49409060000005</v>
      </c>
      <c r="BK41">
        <f>'Costing 100 Lmin Feed Orig'!BK41</f>
        <v>100</v>
      </c>
      <c r="BL41">
        <f>'Costing 100 Lmin Feed Orig'!BL41</f>
        <v>11.395861217105201</v>
      </c>
      <c r="BM41">
        <f>'Costing 100 Lmin Feed Orig'!BM41</f>
        <v>92.374973309314697</v>
      </c>
      <c r="BN41">
        <f>'Costing 100 Lmin Feed Orig'!BN41</f>
        <v>19.7006928745454</v>
      </c>
      <c r="BO41">
        <f t="shared" si="1"/>
        <v>182.33377947368322</v>
      </c>
      <c r="BP41">
        <f t="shared" si="2"/>
        <v>591.02078623636203</v>
      </c>
      <c r="BQ41">
        <f t="shared" si="3"/>
        <v>18.233377947368322</v>
      </c>
      <c r="BR41">
        <f t="shared" si="4"/>
        <v>59.102078623636203</v>
      </c>
      <c r="BS41">
        <f>1.2*0.5*BL41*V41/'Oxidant Feed Composition'!$N$22</f>
        <v>6.837516730263121</v>
      </c>
      <c r="BT41">
        <f>1.2*0.5*BN41*BA41/'Oxidant Feed Composition'!$N$22</f>
        <v>11.820415724727239</v>
      </c>
      <c r="BU41">
        <f t="shared" si="5"/>
        <v>5.6979306085525998</v>
      </c>
      <c r="BV41">
        <f t="shared" si="6"/>
        <v>9.8503464372726999</v>
      </c>
      <c r="BW41">
        <f t="shared" si="7"/>
        <v>86.677042700762101</v>
      </c>
      <c r="BX41">
        <f t="shared" si="0"/>
        <v>36.466755894736643</v>
      </c>
      <c r="BY41">
        <f t="shared" si="8"/>
        <v>207.54166905283981</v>
      </c>
      <c r="BZ41">
        <f t="shared" si="9"/>
        <v>63.042217198545274</v>
      </c>
      <c r="CA41">
        <f t="shared" si="10"/>
        <v>59.102078623636203</v>
      </c>
      <c r="CB41">
        <f>BO41*'Reagent cost'!$G$11*'Reagent cost'!$H$11</f>
        <v>2406.8058890526186</v>
      </c>
      <c r="CC41">
        <f>BP41*'Reagent cost'!$G$11*'Reagent cost'!$H$11</f>
        <v>7801.4743783199792</v>
      </c>
      <c r="CD41">
        <f>BQ41*'Reagent cost'!$C$18/1000*'Reagent cost'!$H$18</f>
        <v>2907.8673690603878</v>
      </c>
      <c r="CE41">
        <f>BR41*'Ligand cost'!$B$56*'Ligand cost'!$J$56</f>
        <v>60173.465261771846</v>
      </c>
      <c r="CF41">
        <f t="shared" si="11"/>
        <v>10</v>
      </c>
      <c r="CG41">
        <f t="shared" si="12"/>
        <v>2.2791722434210402</v>
      </c>
      <c r="CH41">
        <f t="shared" si="12"/>
        <v>3.94013857490908</v>
      </c>
      <c r="CI41">
        <f>7963.6*(BX41/1000)^0.6*1.7*('CAPEX+OPEX'!$G$116/'CAPEX+OPEX'!$G$115)</f>
        <v>2189.6727102460782</v>
      </c>
      <c r="CJ41">
        <f>7963.6*(BY41/1000)^0.6*1.7*('CAPEX+OPEX'!$G$116/'CAPEX+OPEX'!$G$115)</f>
        <v>6215.9013146876341</v>
      </c>
      <c r="CK41">
        <f>7963.6*(BZ41/1000)^0.6*1.7*('CAPEX+OPEX'!$G$116/'CAPEX+OPEX'!$G$115)</f>
        <v>3041.0237729027358</v>
      </c>
      <c r="CL41">
        <f>7963.6*(CA41/1000)^0.6*1.7*('CAPEX+OPEX'!$G$116/'CAPEX+OPEX'!$G$115)</f>
        <v>2925.5166964560844</v>
      </c>
      <c r="CM41">
        <f>'Costing 100 Lmin Feed Orig'!DE41</f>
        <v>39625.826528698344</v>
      </c>
      <c r="CN41">
        <f>'Costing 100 Lmin Feed Orig'!DF41</f>
        <v>4586243.4239371875</v>
      </c>
      <c r="CO41">
        <f>'Costing 100 Lmin Feed Orig'!DG41</f>
        <v>11794834.586807497</v>
      </c>
      <c r="CP41">
        <f>'Costing 100 Lmin Feed Orig'!DH41</f>
        <v>2275209.1661185985</v>
      </c>
      <c r="CQ41">
        <f>'Costing 100 Lmin Feed Orig'!DI41</f>
        <v>14083914.336508472</v>
      </c>
      <c r="CR41">
        <f>'Costing 100 Lmin Feed Orig'!DJ41</f>
        <v>1662824.8986326549</v>
      </c>
      <c r="CS41">
        <f>CN41*(BK41/10000)^0.72*((A41+1)/3)^0.6*('CAPEX+OPEX'!$G$116/'CAPEX+OPEX'!$G$114)</f>
        <v>646135.89638675924</v>
      </c>
      <c r="CT41">
        <f>CO41*(BK41/10000)^0.72*((A41+1)/3)^0.6*('CAPEX+OPEX'!$G$116/'CAPEX+OPEX'!$G$114)</f>
        <v>1661722.9645298459</v>
      </c>
      <c r="CU41">
        <f>CP41*(BK41/10000)^0.72*((A41+1)/3)^0.6*('CAPEX+OPEX'!$G$116/'CAPEX+OPEX'!$G$114)</f>
        <v>320544.32748695416</v>
      </c>
      <c r="CV41">
        <f>CQ41*(BK41/10000)^0.72*((A41+1)/3)^0.6*('CAPEX+OPEX'!$G$116/'CAPEX+OPEX'!$G$114)</f>
        <v>1984221.4582325809</v>
      </c>
      <c r="CW41">
        <f>CR41*(BK41/10000)^0.72*((A41+1)/3)^0.6*('CAPEX+OPEX'!$G$116/'CAPEX+OPEX'!$G$114)</f>
        <v>234268.17050410178</v>
      </c>
      <c r="CX41">
        <f t="shared" si="13"/>
        <v>4846892.8171402421</v>
      </c>
      <c r="CY41">
        <f>CN41*(BM41/10000)^0.72*((AF41+1)/3)^0.6*('CAPEX+OPEX'!$G$116/'CAPEX+OPEX'!$G$114)</f>
        <v>924998.39931869402</v>
      </c>
      <c r="CZ41">
        <f>CO41*(BM41/10000)^0.72*((AF41+1)/3)^0.6*('CAPEX+OPEX'!$G$116/'CAPEX+OPEX'!$G$114)</f>
        <v>2378897.5212439853</v>
      </c>
      <c r="DA41">
        <f>CP41*(BM41/10000)^0.72*((AF41+1)/3)^0.6*('CAPEX+OPEX'!$G$116/'CAPEX+OPEX'!$G$114)</f>
        <v>458886.42233651923</v>
      </c>
      <c r="DB41">
        <f>CQ41*(BM41/10000)^0.72*((AF41+1)/3)^0.6*('CAPEX+OPEX'!$G$116/'CAPEX+OPEX'!$G$114)</f>
        <v>2840581.498447381</v>
      </c>
      <c r="DC41">
        <f>CR41*(BM41/10000)^0.72*((AF41+1)/3)^0.6*('CAPEX+OPEX'!$G$116/'CAPEX+OPEX'!$G$114)</f>
        <v>335374.77787475183</v>
      </c>
      <c r="DD41">
        <f t="shared" si="14"/>
        <v>6938738.6192213316</v>
      </c>
      <c r="DE41">
        <f>CX41+DD41+1.15*(SUM(CI41:CL41)+SUM(CB41:CE41))</f>
        <v>11886442.422862945</v>
      </c>
      <c r="DF41">
        <f t="shared" si="15"/>
        <v>792429.49485752964</v>
      </c>
      <c r="DG41">
        <f>(BS41+BT41)*'Oxidant Feed Composition'!$N$28*60*7200</f>
        <v>20744541.608659059</v>
      </c>
      <c r="DH41">
        <f>((CG41+CH41)*'Reagent cost'!$C$17/1000*'Reagent cost'!$H$17+(CG41+CH41)*0.5*'Reagent cost'!$C$16/1000*'Reagent cost'!$H$16*1.5)*60*7200</f>
        <v>8825424.4537653029</v>
      </c>
      <c r="DI41">
        <f>CF41*'Reagent cost'!$C$17/1000*'Reagent cost'!$H$17*60*7200</f>
        <v>504921.59999999998</v>
      </c>
      <c r="DJ41">
        <f t="shared" si="16"/>
        <v>102.08280267372598</v>
      </c>
      <c r="DK41">
        <f t="shared" si="17"/>
        <v>1261.6266526166448</v>
      </c>
      <c r="DL41">
        <f t="shared" si="18"/>
        <v>36091501.646255583</v>
      </c>
      <c r="DM41">
        <f>BK41*(B41*(409.81+2)/1000+C41*(248.2+2*22.99)/1000+D41*(315.6+3*22.99)/1000+0.1*58.44/1000)</f>
        <v>0.70639694042110623</v>
      </c>
      <c r="DN41">
        <f>(BS41+BT41)/1000*('Oxidant Feed Composition'!$B$11*'Oxidant Feed Composition'!$O$20+'Oxidant Feed Composition'!$D$11*'Oxidant Feed Composition'!$O$21+'Oxidant Feed Composition'!$F$11*'Oxidant Feed Composition'!$O$27-'Oxidant Feed Composition'!$J$15*18.015)</f>
        <v>2.1789580591071194</v>
      </c>
      <c r="DO41">
        <f>(BU41+BV41)/1000*(0.2*368.34+0.4*58.44)</f>
        <v>1.5088669976350704</v>
      </c>
      <c r="DP41">
        <f>BK41/1000*(B41*195.08+C41*106.42+D41*102.91)</f>
        <v>4.999938342565946E-2</v>
      </c>
      <c r="DQ41">
        <f>SUM(DM41:DO41)-DP41</f>
        <v>4.3442226137376361</v>
      </c>
      <c r="DR41">
        <f>DQ41*60*7200*0.33</f>
        <v>619312.3758144374</v>
      </c>
      <c r="DS41">
        <v>1.2</v>
      </c>
      <c r="DT41">
        <f>BM41/60*(AM41*4+AN41*2+AO41*3)*96485/DV41</f>
        <v>1406.1110801055565</v>
      </c>
      <c r="DU41">
        <f>BN41*BA41*(AP41*4+AQ41*2+AR41*3)*96485/DV41/60</f>
        <v>706.15649355020639</v>
      </c>
      <c r="DV41">
        <v>0.7</v>
      </c>
      <c r="DW41">
        <f>0.499*((BK41/3.78541*15)^(-0.146))*BK41/3.78541*15*300*(1+(A41-2)/9)</f>
        <v>35776.359048024235</v>
      </c>
      <c r="DX41">
        <f>0.248*((BK41/3.78541*15)^(-0.144))*BK41/3.78541*15*300*(1+(A41-2)/3)</f>
        <v>29068.269280606211</v>
      </c>
      <c r="DY41">
        <f>0.105*((BK41/3.78541*15)^(-0.144))*BK41/3.78541*15*300*(1+(A41-2)/3)</f>
        <v>12307.130138966339</v>
      </c>
      <c r="DZ41">
        <f>0.058*((BK41/3.78541*15)^(-0.151))*BK41/3.78541*15*300*(1+(A41-2)/3)</f>
        <v>6519.4301878820042</v>
      </c>
      <c r="EA41">
        <f>0.056*((BK41/3.78541*15)^(-0.144))*BK41/3.78541*15*300*(1+(A41-2)/3)</f>
        <v>6563.8027407820491</v>
      </c>
      <c r="EB41">
        <f>DS41*DT41/(3.6*10^6)*3600*7200*0.07</f>
        <v>850.4159812478407</v>
      </c>
      <c r="EC41">
        <f>0.499*((BM41/3.78541*15)^(-0.146))*BM41/3.78541*15*300*(1+(AF41-2)/9)</f>
        <v>51435.880435969884</v>
      </c>
      <c r="ED41">
        <f>0.248*((BM41/3.78541*15)^(-0.144))*BM41/3.78541*15*300*(1+(AF41-2)/3)</f>
        <v>54320.489314247861</v>
      </c>
      <c r="EE41">
        <f>0.105*((BM41/3.78541*15)^(-0.144))*BM41/3.78541*15*300*(1+(AF41-2)/3)</f>
        <v>22998.59426611301</v>
      </c>
      <c r="EF41">
        <f>0.058*((BM41/3.78541*15)^(-0.151))*BM41/3.78541*15*300*(1+(AF41-2)/3)</f>
        <v>12189.762876036224</v>
      </c>
      <c r="EG41">
        <f>0.056*((BM41/3.78541*15)^(-0.144))*BM41/3.78541*15*300*(1+(AF41-2)/3)</f>
        <v>12265.916941926936</v>
      </c>
      <c r="EH41">
        <f>DS41*DU41/(3.6*10^6)*3600*7200*0.07</f>
        <v>427.08344729916485</v>
      </c>
      <c r="EI41">
        <f>SUM(DW41:EH41)</f>
        <v>244723.13465910175</v>
      </c>
      <c r="EJ41">
        <f>EI41+DR41+DL41</f>
        <v>36955537.156729124</v>
      </c>
      <c r="EK41">
        <f>EJ41+DF41</f>
        <v>37747966.651586652</v>
      </c>
      <c r="EL41">
        <f>EK41/(BK41*60*7200)</f>
        <v>0.87379552434228358</v>
      </c>
      <c r="EM41">
        <f>EK41/(BM41*(AM41*195.084/1000+AN41*106.42/1000+AO41*102.911/1000)*60*7200)</f>
        <v>2923.1681198510851</v>
      </c>
      <c r="EN41">
        <f>EK41/(BN41*BA41*(AP41*195.084/1000+AQ41*106.42/1000+AR41*102.911/1000)*60*7200)</f>
        <v>5362.2170545241406</v>
      </c>
    </row>
    <row r="42" spans="1:144">
      <c r="A42">
        <f>'Costing 100 Lmin Feed Orig'!A42</f>
        <v>7</v>
      </c>
      <c r="B42">
        <f>'Costing 100 Lmin Feed Orig'!B42</f>
        <v>1.54143585092054E-3</v>
      </c>
      <c r="C42">
        <f>'Costing 100 Lmin Feed Orig'!C42</f>
        <v>1.54143585092054E-3</v>
      </c>
      <c r="D42">
        <f>'Costing 100 Lmin Feed Orig'!D42</f>
        <v>3.4254130020456501E-4</v>
      </c>
      <c r="E42">
        <f>'Costing 100 Lmin Feed Orig'!E42</f>
        <v>0</v>
      </c>
      <c r="F42">
        <f>'Costing 100 Lmin Feed Orig'!F42</f>
        <v>0</v>
      </c>
      <c r="G42">
        <f>'Costing 100 Lmin Feed Orig'!G42</f>
        <v>0</v>
      </c>
      <c r="H42">
        <f>'Costing 100 Lmin Feed Orig'!H42</f>
        <v>1.7744466230058299E-5</v>
      </c>
      <c r="I42">
        <f>'Costing 100 Lmin Feed Orig'!I42</f>
        <v>1.2927742824924801E-8</v>
      </c>
      <c r="J42">
        <f>'Costing 100 Lmin Feed Orig'!J42</f>
        <v>3.3739048286900598E-4</v>
      </c>
      <c r="K42">
        <f>'Costing 100 Lmin Feed Orig'!K42</f>
        <v>0.13716795306346499</v>
      </c>
      <c r="L42">
        <f>'Costing 100 Lmin Feed Orig'!L42</f>
        <v>0.138764207307677</v>
      </c>
      <c r="M42">
        <f>'Costing 100 Lmin Feed Orig'!M42</f>
        <v>4.6369433969460899E-4</v>
      </c>
      <c r="N42">
        <f>'Costing 100 Lmin Feed Orig'!N42</f>
        <v>-1.1037178115902399E-16</v>
      </c>
      <c r="O42">
        <f>'Costing 100 Lmin Feed Orig'!O42</f>
        <v>-5.3700533603207003E-15</v>
      </c>
      <c r="P42">
        <f>'Costing 100 Lmin Feed Orig'!P42</f>
        <v>-3.4304834363799101E-19</v>
      </c>
      <c r="Q42">
        <f>'Costing 100 Lmin Feed Orig'!Q42</f>
        <v>0.111082169753281</v>
      </c>
      <c r="R42">
        <f>'Costing 100 Lmin Feed Orig'!R42</f>
        <v>98.496293050653193</v>
      </c>
      <c r="S42">
        <f>'Costing 100 Lmin Feed Orig'!S42</f>
        <v>500</v>
      </c>
      <c r="T42">
        <f>'Costing 100 Lmin Feed Orig'!T42</f>
        <v>95</v>
      </c>
      <c r="U42">
        <f>'Costing 100 Lmin Feed Orig'!U42</f>
        <v>1</v>
      </c>
      <c r="V42">
        <f>'Costing 100 Lmin Feed Orig'!V42</f>
        <v>0.1</v>
      </c>
      <c r="W42">
        <f>'Costing 100 Lmin Feed Orig'!W42</f>
        <v>90.023448607553206</v>
      </c>
      <c r="X42" t="str">
        <f>'Costing 100 Lmin Feed Orig'!X42</f>
        <v>ddFc</v>
      </c>
      <c r="Y42">
        <f>'Costing 100 Lmin Feed Orig'!Y42</f>
        <v>1</v>
      </c>
      <c r="Z42">
        <f>'Costing 100 Lmin Feed Orig'!Z42</f>
        <v>0.28318429382522198</v>
      </c>
      <c r="AA42">
        <f>'Costing 100 Lmin Feed Orig'!AA42</f>
        <v>0.56945642916197003</v>
      </c>
      <c r="AB42">
        <f>'Costing 100 Lmin Feed Orig'!AB42</f>
        <v>3.7698628972227502E-3</v>
      </c>
      <c r="AC42">
        <f>'Costing 100 Lmin Feed Orig'!AC42</f>
        <v>1822.2107908876901</v>
      </c>
      <c r="AD42">
        <f>'Costing 100 Lmin Feed Orig'!AD42</f>
        <v>2662.6059073104898</v>
      </c>
      <c r="AE42">
        <f>'Costing 100 Lmin Feed Orig'!AE42</f>
        <v>2401.5030938442701</v>
      </c>
      <c r="AF42">
        <f>'Costing 100 Lmin Feed Orig'!AF42</f>
        <v>4</v>
      </c>
      <c r="AG42">
        <f>'Costing 100 Lmin Feed Orig'!AG42</f>
        <v>1.64967327652189E-3</v>
      </c>
      <c r="AH42">
        <f>'Costing 100 Lmin Feed Orig'!AH42</f>
        <v>1.66887089455438E-3</v>
      </c>
      <c r="AI42">
        <f>'Costing 100 Lmin Feed Orig'!AI42</f>
        <v>5.5766973522943398E-6</v>
      </c>
      <c r="AJ42">
        <f>'Costing 100 Lmin Feed Orig'!AJ42</f>
        <v>0</v>
      </c>
      <c r="AK42">
        <f>'Costing 100 Lmin Feed Orig'!AK42</f>
        <v>0</v>
      </c>
      <c r="AL42">
        <f>'Costing 100 Lmin Feed Orig'!AL42</f>
        <v>0</v>
      </c>
      <c r="AM42">
        <f>'Costing 100 Lmin Feed Orig'!AM42</f>
        <v>1.6047223792851101E-3</v>
      </c>
      <c r="AN42">
        <f>'Costing 100 Lmin Feed Orig'!AN42</f>
        <v>7.8926667299838998E-5</v>
      </c>
      <c r="AO42">
        <f>'Costing 100 Lmin Feed Orig'!AO42</f>
        <v>5.5324052965634797E-6</v>
      </c>
      <c r="AP42">
        <f>'Costing 100 Lmin Feed Orig'!AP42</f>
        <v>1.9882830340612E-3</v>
      </c>
      <c r="AQ42">
        <f>'Costing 100 Lmin Feed Orig'!AQ42</f>
        <v>7.0326941752228797E-2</v>
      </c>
      <c r="AR42">
        <f>'Costing 100 Lmin Feed Orig'!AR42</f>
        <v>1.9591409371835302E-6</v>
      </c>
      <c r="AS42">
        <f>'Costing 100 Lmin Feed Orig'!AS42</f>
        <v>-9.7615058397559906E-15</v>
      </c>
      <c r="AT42">
        <f>'Costing 100 Lmin Feed Orig'!AT42</f>
        <v>-1.25855922905593E-13</v>
      </c>
      <c r="AU42">
        <f>'Costing 100 Lmin Feed Orig'!AU42</f>
        <v>-3.2733654421091398E-18</v>
      </c>
      <c r="AV42">
        <f>'Costing 100 Lmin Feed Orig'!AV42</f>
        <v>0.20881381645079999</v>
      </c>
      <c r="AW42">
        <f>'Costing 100 Lmin Feed Orig'!AW42</f>
        <v>99.205765474925002</v>
      </c>
      <c r="AX42">
        <f>'Costing 100 Lmin Feed Orig'!AX42</f>
        <v>500</v>
      </c>
      <c r="AY42">
        <f>'Costing 100 Lmin Feed Orig'!AY42</f>
        <v>95</v>
      </c>
      <c r="AZ42">
        <f>'Costing 100 Lmin Feed Orig'!AZ42</f>
        <v>0.92363221637625403</v>
      </c>
      <c r="BA42">
        <f>'Costing 100 Lmin Feed Orig'!BA42</f>
        <v>0.1</v>
      </c>
      <c r="BB42">
        <f>'Costing 100 Lmin Feed Orig'!BB42</f>
        <v>44.232332518757197</v>
      </c>
      <c r="BC42" t="str">
        <f>'Costing 100 Lmin Feed Orig'!BC42</f>
        <v>coeFc</v>
      </c>
      <c r="BD42">
        <f>'Costing 100 Lmin Feed Orig'!BD42</f>
        <v>1</v>
      </c>
      <c r="BE42">
        <f>'Costing 100 Lmin Feed Orig'!BE42</f>
        <v>1.8775014999999999E-2</v>
      </c>
      <c r="BF42">
        <f>'Costing 100 Lmin Feed Orig'!BF42</f>
        <v>0.10492961100000001</v>
      </c>
      <c r="BG42">
        <f>'Costing 100 Lmin Feed Orig'!BG42</f>
        <v>1.814625E-3</v>
      </c>
      <c r="BH42">
        <f>'Costing 100 Lmin Feed Orig'!BH42</f>
        <v>285.1951444</v>
      </c>
      <c r="BI42">
        <f>'Costing 100 Lmin Feed Orig'!BI42</f>
        <v>2169.8944889999998</v>
      </c>
      <c r="BJ42">
        <f>'Costing 100 Lmin Feed Orig'!BJ42</f>
        <v>866.49409060000005</v>
      </c>
      <c r="BK42">
        <f>'Costing 100 Lmin Feed Orig'!BK42</f>
        <v>100</v>
      </c>
      <c r="BL42">
        <f>'Costing 100 Lmin Feed Orig'!BL42</f>
        <v>11.1082169753281</v>
      </c>
      <c r="BM42">
        <f>'Costing 100 Lmin Feed Orig'!BM42</f>
        <v>92.363221637625401</v>
      </c>
      <c r="BN42">
        <f>'Costing 100 Lmin Feed Orig'!BN42</f>
        <v>20.881381645079998</v>
      </c>
      <c r="BO42">
        <f t="shared" si="1"/>
        <v>199.94790555590581</v>
      </c>
      <c r="BP42">
        <f t="shared" si="2"/>
        <v>250.57657974095997</v>
      </c>
      <c r="BQ42">
        <f t="shared" si="3"/>
        <v>19.994790555590583</v>
      </c>
      <c r="BR42">
        <f t="shared" si="4"/>
        <v>25.057657974095999</v>
      </c>
      <c r="BS42">
        <f>1.2*0.5*BL42*V42/'Oxidant Feed Composition'!$N$22</f>
        <v>6.6649301851968596</v>
      </c>
      <c r="BT42">
        <f>1.2*0.5*BN42*BA42/'Oxidant Feed Composition'!$N$22</f>
        <v>12.528828987048</v>
      </c>
      <c r="BU42">
        <f t="shared" si="5"/>
        <v>5.5541084876640499</v>
      </c>
      <c r="BV42">
        <f t="shared" si="6"/>
        <v>10.440690822539999</v>
      </c>
      <c r="BW42">
        <f t="shared" si="7"/>
        <v>86.809113149961348</v>
      </c>
      <c r="BX42">
        <f t="shared" si="0"/>
        <v>35.54629432104992</v>
      </c>
      <c r="BY42">
        <f t="shared" si="8"/>
        <v>206.94287722590701</v>
      </c>
      <c r="BZ42">
        <f t="shared" si="9"/>
        <v>66.820421264255998</v>
      </c>
      <c r="CA42">
        <f t="shared" si="10"/>
        <v>62.644144935239993</v>
      </c>
      <c r="CB42">
        <f>BO42*'Reagent cost'!$G$11*'Reagent cost'!$H$11</f>
        <v>2639.3123533379567</v>
      </c>
      <c r="CC42">
        <f>BP42*'Reagent cost'!$G$11*'Reagent cost'!$H$11</f>
        <v>3307.6108525806717</v>
      </c>
      <c r="CD42">
        <f>BQ42*'Reagent cost'!$C$18/1000*'Reagent cost'!$H$18</f>
        <v>3188.7782491883527</v>
      </c>
      <c r="CE42">
        <f>BR42*'Ligand cost'!$B$56*'Ligand cost'!$J$56</f>
        <v>25511.896480788433</v>
      </c>
      <c r="CF42">
        <f t="shared" si="11"/>
        <v>10</v>
      </c>
      <c r="CG42">
        <f t="shared" si="12"/>
        <v>2.22164339506562</v>
      </c>
      <c r="CH42">
        <f t="shared" si="12"/>
        <v>4.1762763290159999</v>
      </c>
      <c r="CI42">
        <f>7963.6*(BX42/1000)^0.6*1.7*('CAPEX+OPEX'!$G$116/'CAPEX+OPEX'!$G$115)</f>
        <v>2156.3414312027717</v>
      </c>
      <c r="CJ42">
        <f>7963.6*(BY42/1000)^0.6*1.7*('CAPEX+OPEX'!$G$116/'CAPEX+OPEX'!$G$115)</f>
        <v>6205.1347590783025</v>
      </c>
      <c r="CK42">
        <f>7963.6*(BZ42/1000)^0.6*1.7*('CAPEX+OPEX'!$G$116/'CAPEX+OPEX'!$G$115)</f>
        <v>3149.1000109774004</v>
      </c>
      <c r="CL42">
        <f>7963.6*(CA42/1000)^0.6*1.7*('CAPEX+OPEX'!$G$116/'CAPEX+OPEX'!$G$115)</f>
        <v>3029.4878793830085</v>
      </c>
      <c r="CM42">
        <f>'Costing 100 Lmin Feed Orig'!DE42</f>
        <v>39625.826528698344</v>
      </c>
      <c r="CN42">
        <f>'Costing 100 Lmin Feed Orig'!DF42</f>
        <v>4586243.4239371875</v>
      </c>
      <c r="CO42">
        <f>'Costing 100 Lmin Feed Orig'!DG42</f>
        <v>11794834.586807497</v>
      </c>
      <c r="CP42">
        <f>'Costing 100 Lmin Feed Orig'!DH42</f>
        <v>2275209.1661185985</v>
      </c>
      <c r="CQ42">
        <f>'Costing 100 Lmin Feed Orig'!DI42</f>
        <v>14083914.336508472</v>
      </c>
      <c r="CR42">
        <f>'Costing 100 Lmin Feed Orig'!DJ42</f>
        <v>1662824.8986326549</v>
      </c>
      <c r="CS42">
        <f>CN42*(BK42/10000)^0.72*((A42+1)/3)^0.6*('CAPEX+OPEX'!$G$116/'CAPEX+OPEX'!$G$114)</f>
        <v>700033.84449786716</v>
      </c>
      <c r="CT42">
        <f>CO42*(BK42/10000)^0.72*((A42+1)/3)^0.6*('CAPEX+OPEX'!$G$116/'CAPEX+OPEX'!$G$114)</f>
        <v>1800336.9288957189</v>
      </c>
      <c r="CU42">
        <f>CP42*(BK42/10000)^0.72*((A42+1)/3)^0.6*('CAPEX+OPEX'!$G$116/'CAPEX+OPEX'!$G$114)</f>
        <v>347282.79168127343</v>
      </c>
      <c r="CV42">
        <f>CQ42*(BK42/10000)^0.72*((A42+1)/3)^0.6*('CAPEX+OPEX'!$G$116/'CAPEX+OPEX'!$G$114)</f>
        <v>2149736.8951473436</v>
      </c>
      <c r="CW42">
        <f>CR42*(BK42/10000)^0.72*((A42+1)/3)^0.6*('CAPEX+OPEX'!$G$116/'CAPEX+OPEX'!$G$114)</f>
        <v>253809.83932102245</v>
      </c>
      <c r="CX42">
        <f t="shared" si="13"/>
        <v>5251200.2995432261</v>
      </c>
      <c r="CY42">
        <f>CN42*(BM42/10000)^0.72*((AF42+1)/3)^0.6*('CAPEX+OPEX'!$G$116/'CAPEX+OPEX'!$G$114)</f>
        <v>498662.12122409587</v>
      </c>
      <c r="CZ42">
        <f>CO42*(BM42/10000)^0.72*((AF42+1)/3)^0.6*('CAPEX+OPEX'!$G$116/'CAPEX+OPEX'!$G$114)</f>
        <v>1282452.0399084061</v>
      </c>
      <c r="DA42">
        <f>CP42*(BM42/10000)^0.72*((AF42+1)/3)^0.6*('CAPEX+OPEX'!$G$116/'CAPEX+OPEX'!$G$114)</f>
        <v>247383.42999491547</v>
      </c>
      <c r="DB42">
        <f>CQ42*(BM42/10000)^0.72*((AF42+1)/3)^0.6*('CAPEX+OPEX'!$G$116/'CAPEX+OPEX'!$G$114)</f>
        <v>1531343.6180743722</v>
      </c>
      <c r="DC42">
        <f>CR42*(BM42/10000)^0.72*((AF42+1)/3)^0.6*('CAPEX+OPEX'!$G$116/'CAPEX+OPEX'!$G$114)</f>
        <v>180798.90545028303</v>
      </c>
      <c r="DD42">
        <f t="shared" si="14"/>
        <v>3740640.1146520725</v>
      </c>
      <c r="DE42">
        <f>CX42+DD42+1.15*(SUM(CI42:CL42)+SUM(CB42:CE42))</f>
        <v>9048406.2255143169</v>
      </c>
      <c r="DF42">
        <f t="shared" si="15"/>
        <v>603227.08170095447</v>
      </c>
      <c r="DG42">
        <f>(BS42+BT42)*'Oxidant Feed Composition'!$N$28*60*7200</f>
        <v>21340292.486090507</v>
      </c>
      <c r="DH42">
        <f>((CG42+CH42)*'Reagent cost'!$C$17/1000*'Reagent cost'!$H$17+(CG42+CH42)*0.5*'Reagent cost'!$C$16/1000*'Reagent cost'!$H$16*1.5)*60*7200</f>
        <v>9078876.8780811485</v>
      </c>
      <c r="DI42">
        <f>CF42*'Reagent cost'!$C$17/1000*'Reagent cost'!$H$17*60*7200</f>
        <v>504921.59999999998</v>
      </c>
      <c r="DJ42">
        <f t="shared" si="16"/>
        <v>59.46923205918629</v>
      </c>
      <c r="DK42">
        <f t="shared" si="17"/>
        <v>574.01349459953576</v>
      </c>
      <c r="DL42">
        <f t="shared" si="18"/>
        <v>37109669.336277977</v>
      </c>
      <c r="DM42">
        <f>BK42*(B42*(409.81+2)/1000+C42*(248.2+2*22.99)/1000+D42*(315.6+3*22.99)/1000+0.1*58.44/1000)</f>
        <v>0.70639694042110623</v>
      </c>
      <c r="DN42">
        <f>(BS42+BT42)/1000*('Oxidant Feed Composition'!$B$11*'Oxidant Feed Composition'!$O$20+'Oxidant Feed Composition'!$D$11*'Oxidant Feed Composition'!$O$21+'Oxidant Feed Composition'!$F$11*'Oxidant Feed Composition'!$O$27-'Oxidant Feed Composition'!$J$15*18.015)</f>
        <v>2.2415343358013962</v>
      </c>
      <c r="DO42">
        <f>(BU42+BV42)/1000*(0.2*368.34+0.4*58.44)</f>
        <v>1.5521993042594415</v>
      </c>
      <c r="DP42">
        <f>BK42/1000*(B42*195.08+C42*106.42+D42*102.91)</f>
        <v>4.999938342565946E-2</v>
      </c>
      <c r="DQ42">
        <f>SUM(DM42:DO42)-DP42</f>
        <v>4.450131197056284</v>
      </c>
      <c r="DR42">
        <f>DQ42*60*7200*0.33</f>
        <v>634410.70345234394</v>
      </c>
      <c r="DS42">
        <v>1.2</v>
      </c>
      <c r="DT42">
        <f>BM42/60*(AM42*4+AN42*2+AO42*3)*96485/DV42</f>
        <v>1398.9914479268402</v>
      </c>
      <c r="DU42">
        <f>BN42*BA42*(AP42*4+AQ42*2+AR42*3)*96485/DV42/60</f>
        <v>712.89608624945879</v>
      </c>
      <c r="DV42">
        <v>0.7</v>
      </c>
      <c r="DW42">
        <f>0.499*((BK42/3.78541*15)^(-0.146))*BK42/3.78541*15*300*(1+(A42-2)/9)</f>
        <v>38528.386667103026</v>
      </c>
      <c r="DX42">
        <f>0.248*((BK42/3.78541*15)^(-0.144))*BK42/3.78541*15*300*(1+(A42-2)/3)</f>
        <v>33220.879177835675</v>
      </c>
      <c r="DY42">
        <f>0.105*((BK42/3.78541*15)^(-0.144))*BK42/3.78541*15*300*(1+(A42-2)/3)</f>
        <v>14065.291587390104</v>
      </c>
      <c r="DZ42">
        <f>0.058*((BK42/3.78541*15)^(-0.151))*BK42/3.78541*15*300*(1+(A42-2)/3)</f>
        <v>7450.7773575794354</v>
      </c>
      <c r="EA42">
        <f>0.056*((BK42/3.78541*15)^(-0.144))*BK42/3.78541*15*300*(1+(A42-2)/3)</f>
        <v>7501.4888466080574</v>
      </c>
      <c r="EB42">
        <f>DS42*DT42/(3.6*10^6)*3600*7200*0.07</f>
        <v>846.11002770615301</v>
      </c>
      <c r="EC42">
        <f>0.499*((BM42/3.78541*15)^(-0.146))*BM42/3.78541*15*300*(1+(AF42-2)/9)</f>
        <v>28286.660719414074</v>
      </c>
      <c r="ED42">
        <f>0.248*((BM42/3.78541*15)^(-0.144))*BM42/3.78541*15*300*(1+(AF42-2)/3)</f>
        <v>19398.062099470691</v>
      </c>
      <c r="EE42">
        <f>0.105*((BM42/3.78541*15)^(-0.144))*BM42/3.78541*15*300*(1+(AF42-2)/3)</f>
        <v>8212.8891953404127</v>
      </c>
      <c r="EF42">
        <f>0.058*((BM42/3.78541*15)^(-0.151))*BM42/3.78541*15*300*(1+(AF42-2)/3)</f>
        <v>4353.0165286796973</v>
      </c>
      <c r="EG42">
        <f>0.056*((BM42/3.78541*15)^(-0.144))*BM42/3.78541*15*300*(1+(AF42-2)/3)</f>
        <v>4380.2075708482198</v>
      </c>
      <c r="EH42">
        <f>DS42*DU42/(3.6*10^6)*3600*7200*0.07</f>
        <v>431.1595529636727</v>
      </c>
      <c r="EI42">
        <f>SUM(DW42:EH42)</f>
        <v>166674.92933093925</v>
      </c>
      <c r="EJ42">
        <f>EI42+DR42+DL42</f>
        <v>37910754.969061263</v>
      </c>
      <c r="EK42">
        <f>EJ42+DF42</f>
        <v>38513982.050762214</v>
      </c>
      <c r="EL42">
        <f>EK42/(BK42*60*7200)</f>
        <v>0.89152736228616236</v>
      </c>
      <c r="EM42">
        <f>EK42/(BM42*(AM42*195.084/1000+AN42*106.42/1000+AO42*102.911/1000)*60*7200)</f>
        <v>2997.4148097178745</v>
      </c>
      <c r="EN42">
        <f>EK42/(BN42*BA42*(AP42*195.084/1000+AQ42*106.42/1000+AR42*102.911/1000)*60*7200)</f>
        <v>5423.443006801198</v>
      </c>
    </row>
    <row r="43" spans="1:144">
      <c r="A43">
        <f>'Costing 100 Lmin Feed Orig'!A43</f>
        <v>7</v>
      </c>
      <c r="B43">
        <f>'Costing 100 Lmin Feed Orig'!B43</f>
        <v>1.54143585092054E-3</v>
      </c>
      <c r="C43">
        <f>'Costing 100 Lmin Feed Orig'!C43</f>
        <v>1.54143585092054E-3</v>
      </c>
      <c r="D43">
        <f>'Costing 100 Lmin Feed Orig'!D43</f>
        <v>3.4254130020456501E-4</v>
      </c>
      <c r="E43">
        <f>'Costing 100 Lmin Feed Orig'!E43</f>
        <v>0</v>
      </c>
      <c r="F43">
        <f>'Costing 100 Lmin Feed Orig'!F43</f>
        <v>0</v>
      </c>
      <c r="G43">
        <f>'Costing 100 Lmin Feed Orig'!G43</f>
        <v>0</v>
      </c>
      <c r="H43">
        <f>'Costing 100 Lmin Feed Orig'!H43</f>
        <v>1.7744466230058299E-5</v>
      </c>
      <c r="I43">
        <f>'Costing 100 Lmin Feed Orig'!I43</f>
        <v>1.2927742824924801E-8</v>
      </c>
      <c r="J43">
        <f>'Costing 100 Lmin Feed Orig'!J43</f>
        <v>3.3739048286900598E-4</v>
      </c>
      <c r="K43">
        <f>'Costing 100 Lmin Feed Orig'!K43</f>
        <v>0.13716795306346499</v>
      </c>
      <c r="L43">
        <f>'Costing 100 Lmin Feed Orig'!L43</f>
        <v>0.138764207307677</v>
      </c>
      <c r="M43">
        <f>'Costing 100 Lmin Feed Orig'!M43</f>
        <v>4.6369433969460899E-4</v>
      </c>
      <c r="N43">
        <f>'Costing 100 Lmin Feed Orig'!N43</f>
        <v>-1.1037178115902399E-16</v>
      </c>
      <c r="O43">
        <f>'Costing 100 Lmin Feed Orig'!O43</f>
        <v>-5.3700533603207003E-15</v>
      </c>
      <c r="P43">
        <f>'Costing 100 Lmin Feed Orig'!P43</f>
        <v>-3.4304834363799101E-19</v>
      </c>
      <c r="Q43">
        <f>'Costing 100 Lmin Feed Orig'!Q43</f>
        <v>0.111082169753281</v>
      </c>
      <c r="R43">
        <f>'Costing 100 Lmin Feed Orig'!R43</f>
        <v>98.496293050653193</v>
      </c>
      <c r="S43">
        <f>'Costing 100 Lmin Feed Orig'!S43</f>
        <v>500</v>
      </c>
      <c r="T43">
        <f>'Costing 100 Lmin Feed Orig'!T43</f>
        <v>95</v>
      </c>
      <c r="U43">
        <f>'Costing 100 Lmin Feed Orig'!U43</f>
        <v>1</v>
      </c>
      <c r="V43">
        <f>'Costing 100 Lmin Feed Orig'!V43</f>
        <v>0.1</v>
      </c>
      <c r="W43">
        <f>'Costing 100 Lmin Feed Orig'!W43</f>
        <v>90.023448607553206</v>
      </c>
      <c r="X43" t="str">
        <f>'Costing 100 Lmin Feed Orig'!X43</f>
        <v>ddFc</v>
      </c>
      <c r="Y43">
        <f>'Costing 100 Lmin Feed Orig'!Y43</f>
        <v>1</v>
      </c>
      <c r="Z43">
        <f>'Costing 100 Lmin Feed Orig'!Z43</f>
        <v>0.28318429382522198</v>
      </c>
      <c r="AA43">
        <f>'Costing 100 Lmin Feed Orig'!AA43</f>
        <v>0.56945642916197003</v>
      </c>
      <c r="AB43">
        <f>'Costing 100 Lmin Feed Orig'!AB43</f>
        <v>3.7698628972227502E-3</v>
      </c>
      <c r="AC43">
        <f>'Costing 100 Lmin Feed Orig'!AC43</f>
        <v>1822.2107908876901</v>
      </c>
      <c r="AD43">
        <f>'Costing 100 Lmin Feed Orig'!AD43</f>
        <v>2662.6059073104898</v>
      </c>
      <c r="AE43">
        <f>'Costing 100 Lmin Feed Orig'!AE43</f>
        <v>2401.5030938442701</v>
      </c>
      <c r="AF43">
        <f>'Costing 100 Lmin Feed Orig'!AF43</f>
        <v>5</v>
      </c>
      <c r="AG43">
        <f>'Costing 100 Lmin Feed Orig'!AG43</f>
        <v>1.64967327652189E-3</v>
      </c>
      <c r="AH43">
        <f>'Costing 100 Lmin Feed Orig'!AH43</f>
        <v>1.66887089455438E-3</v>
      </c>
      <c r="AI43">
        <f>'Costing 100 Lmin Feed Orig'!AI43</f>
        <v>5.5766973522943398E-6</v>
      </c>
      <c r="AJ43">
        <f>'Costing 100 Lmin Feed Orig'!AJ43</f>
        <v>0</v>
      </c>
      <c r="AK43">
        <f>'Costing 100 Lmin Feed Orig'!AK43</f>
        <v>0</v>
      </c>
      <c r="AL43">
        <f>'Costing 100 Lmin Feed Orig'!AL43</f>
        <v>0</v>
      </c>
      <c r="AM43">
        <f>'Costing 100 Lmin Feed Orig'!AM43</f>
        <v>1.6103462731678301E-3</v>
      </c>
      <c r="AN43">
        <f>'Costing 100 Lmin Feed Orig'!AN43</f>
        <v>7.9217310821158102E-5</v>
      </c>
      <c r="AO43">
        <f>'Costing 100 Lmin Feed Orig'!AO43</f>
        <v>5.5377562230767902E-6</v>
      </c>
      <c r="AP43">
        <f>'Costing 100 Lmin Feed Orig'!AP43</f>
        <v>1.8120934755895301E-3</v>
      </c>
      <c r="AQ43">
        <f>'Costing 100 Lmin Feed Orig'!AQ43</f>
        <v>7.3247403612026599E-2</v>
      </c>
      <c r="AR43">
        <f>'Costing 100 Lmin Feed Orig'!AR43</f>
        <v>1.7943133259324499E-6</v>
      </c>
      <c r="AS43">
        <f>'Costing 100 Lmin Feed Orig'!AS43</f>
        <v>-4.8687453808177097E-17</v>
      </c>
      <c r="AT43">
        <f>'Costing 100 Lmin Feed Orig'!AT43</f>
        <v>1.6631661325927601E-16</v>
      </c>
      <c r="AU43">
        <f>'Costing 100 Lmin Feed Orig'!AU43</f>
        <v>-3.9301005263619403E-20</v>
      </c>
      <c r="AV43">
        <f>'Costing 100 Lmin Feed Orig'!AV43</f>
        <v>0.200451509597636</v>
      </c>
      <c r="AW43">
        <f>'Costing 100 Lmin Feed Orig'!AW43</f>
        <v>99.301717006365394</v>
      </c>
      <c r="AX43">
        <f>'Costing 100 Lmin Feed Orig'!AX43</f>
        <v>500</v>
      </c>
      <c r="AY43">
        <f>'Costing 100 Lmin Feed Orig'!AY43</f>
        <v>95</v>
      </c>
      <c r="AZ43">
        <f>'Costing 100 Lmin Feed Orig'!AZ43</f>
        <v>0.92363221637625403</v>
      </c>
      <c r="BA43">
        <f>'Costing 100 Lmin Feed Orig'!BA43</f>
        <v>0.1</v>
      </c>
      <c r="BB43">
        <f>'Costing 100 Lmin Feed Orig'!BB43</f>
        <v>46.0775884517032</v>
      </c>
      <c r="BC43" t="str">
        <f>'Costing 100 Lmin Feed Orig'!BC43</f>
        <v>coeFc</v>
      </c>
      <c r="BD43">
        <f>'Costing 100 Lmin Feed Orig'!BD43</f>
        <v>1</v>
      </c>
      <c r="BE43">
        <f>'Costing 100 Lmin Feed Orig'!BE43</f>
        <v>1.8775014999999999E-2</v>
      </c>
      <c r="BF43">
        <f>'Costing 100 Lmin Feed Orig'!BF43</f>
        <v>0.10492961100000001</v>
      </c>
      <c r="BG43">
        <f>'Costing 100 Lmin Feed Orig'!BG43</f>
        <v>1.814625E-3</v>
      </c>
      <c r="BH43">
        <f>'Costing 100 Lmin Feed Orig'!BH43</f>
        <v>285.1951444</v>
      </c>
      <c r="BI43">
        <f>'Costing 100 Lmin Feed Orig'!BI43</f>
        <v>2169.8944889999998</v>
      </c>
      <c r="BJ43">
        <f>'Costing 100 Lmin Feed Orig'!BJ43</f>
        <v>866.49409060000005</v>
      </c>
      <c r="BK43">
        <f>'Costing 100 Lmin Feed Orig'!BK43</f>
        <v>100</v>
      </c>
      <c r="BL43">
        <f>'Costing 100 Lmin Feed Orig'!BL43</f>
        <v>11.1082169753281</v>
      </c>
      <c r="BM43">
        <f>'Costing 100 Lmin Feed Orig'!BM43</f>
        <v>92.363221637625401</v>
      </c>
      <c r="BN43">
        <f>'Costing 100 Lmin Feed Orig'!BN43</f>
        <v>20.0451509597636</v>
      </c>
      <c r="BO43">
        <f t="shared" si="1"/>
        <v>199.94790555590581</v>
      </c>
      <c r="BP43">
        <f t="shared" si="2"/>
        <v>280.63211343669042</v>
      </c>
      <c r="BQ43">
        <f t="shared" si="3"/>
        <v>19.994790555590583</v>
      </c>
      <c r="BR43">
        <f t="shared" si="4"/>
        <v>28.063211343669042</v>
      </c>
      <c r="BS43">
        <f>1.2*0.5*BL43*V43/'Oxidant Feed Composition'!$N$22</f>
        <v>6.6649301851968596</v>
      </c>
      <c r="BT43">
        <f>1.2*0.5*BN43*BA43/'Oxidant Feed Composition'!$N$22</f>
        <v>12.027090575858159</v>
      </c>
      <c r="BU43">
        <f t="shared" si="5"/>
        <v>5.5541084876640499</v>
      </c>
      <c r="BV43">
        <f t="shared" si="6"/>
        <v>10.0225754798818</v>
      </c>
      <c r="BW43">
        <f t="shared" si="7"/>
        <v>86.809113149961348</v>
      </c>
      <c r="BX43">
        <f t="shared" si="0"/>
        <v>35.54629432104992</v>
      </c>
      <c r="BY43">
        <f t="shared" si="8"/>
        <v>206.94287722590701</v>
      </c>
      <c r="BZ43">
        <f t="shared" si="9"/>
        <v>64.144483071243513</v>
      </c>
      <c r="CA43">
        <f t="shared" si="10"/>
        <v>60.135452879290796</v>
      </c>
      <c r="CB43">
        <f>BO43*'Reagent cost'!$G$11*'Reagent cost'!$H$11</f>
        <v>2639.3123533379567</v>
      </c>
      <c r="CC43">
        <f>BP43*'Reagent cost'!$G$11*'Reagent cost'!$H$11</f>
        <v>3704.3438973643133</v>
      </c>
      <c r="CD43">
        <f>BQ43*'Reagent cost'!$C$18/1000*'Reagent cost'!$H$18</f>
        <v>3188.7782491883527</v>
      </c>
      <c r="CE43">
        <f>BR43*'Ligand cost'!$B$56*'Ligand cost'!$J$56</f>
        <v>28571.933716163727</v>
      </c>
      <c r="CF43">
        <f t="shared" si="11"/>
        <v>10</v>
      </c>
      <c r="CG43">
        <f t="shared" si="12"/>
        <v>2.22164339506562</v>
      </c>
      <c r="CH43">
        <f t="shared" si="12"/>
        <v>4.0090301919527205</v>
      </c>
      <c r="CI43">
        <f>7963.6*(BX43/1000)^0.6*1.7*('CAPEX+OPEX'!$G$116/'CAPEX+OPEX'!$G$115)</f>
        <v>2156.3414312027717</v>
      </c>
      <c r="CJ43">
        <f>7963.6*(BY43/1000)^0.6*1.7*('CAPEX+OPEX'!$G$116/'CAPEX+OPEX'!$G$115)</f>
        <v>6205.1347590783025</v>
      </c>
      <c r="CK43">
        <f>7963.6*(BZ43/1000)^0.6*1.7*('CAPEX+OPEX'!$G$116/'CAPEX+OPEX'!$G$115)</f>
        <v>3072.8157035530007</v>
      </c>
      <c r="CL43">
        <f>7963.6*(CA43/1000)^0.6*1.7*('CAPEX+OPEX'!$G$116/'CAPEX+OPEX'!$G$115)</f>
        <v>2956.1010755585025</v>
      </c>
      <c r="CM43">
        <f>'Costing 100 Lmin Feed Orig'!DE43</f>
        <v>39625.826528698344</v>
      </c>
      <c r="CN43">
        <f>'Costing 100 Lmin Feed Orig'!DF43</f>
        <v>4586243.4239371875</v>
      </c>
      <c r="CO43">
        <f>'Costing 100 Lmin Feed Orig'!DG43</f>
        <v>11794834.586807497</v>
      </c>
      <c r="CP43">
        <f>'Costing 100 Lmin Feed Orig'!DH43</f>
        <v>2275209.1661185985</v>
      </c>
      <c r="CQ43">
        <f>'Costing 100 Lmin Feed Orig'!DI43</f>
        <v>14083914.336508472</v>
      </c>
      <c r="CR43">
        <f>'Costing 100 Lmin Feed Orig'!DJ43</f>
        <v>1662824.8986326549</v>
      </c>
      <c r="CS43">
        <f>CN43*(BK43/10000)^0.72*((A43+1)/3)^0.6*('CAPEX+OPEX'!$G$116/'CAPEX+OPEX'!$G$114)</f>
        <v>700033.84449786716</v>
      </c>
      <c r="CT43">
        <f>CO43*(BK43/10000)^0.72*((A43+1)/3)^0.6*('CAPEX+OPEX'!$G$116/'CAPEX+OPEX'!$G$114)</f>
        <v>1800336.9288957189</v>
      </c>
      <c r="CU43">
        <f>CP43*(BK43/10000)^0.72*((A43+1)/3)^0.6*('CAPEX+OPEX'!$G$116/'CAPEX+OPEX'!$G$114)</f>
        <v>347282.79168127343</v>
      </c>
      <c r="CV43">
        <f>CQ43*(BK43/10000)^0.72*((A43+1)/3)^0.6*('CAPEX+OPEX'!$G$116/'CAPEX+OPEX'!$G$114)</f>
        <v>2149736.8951473436</v>
      </c>
      <c r="CW43">
        <f>CR43*(BK43/10000)^0.72*((A43+1)/3)^0.6*('CAPEX+OPEX'!$G$116/'CAPEX+OPEX'!$G$114)</f>
        <v>253809.83932102245</v>
      </c>
      <c r="CX43">
        <f t="shared" si="13"/>
        <v>5251200.2995432261</v>
      </c>
      <c r="CY43">
        <f>CN43*(BM43/10000)^0.72*((AF43+1)/3)^0.6*('CAPEX+OPEX'!$G$116/'CAPEX+OPEX'!$G$114)</f>
        <v>556307.77247071592</v>
      </c>
      <c r="CZ43">
        <f>CO43*(BM43/10000)^0.72*((AF43+1)/3)^0.6*('CAPEX+OPEX'!$G$116/'CAPEX+OPEX'!$G$114)</f>
        <v>1430704.293060503</v>
      </c>
      <c r="DA43">
        <f>CP43*(BM43/10000)^0.72*((AF43+1)/3)^0.6*('CAPEX+OPEX'!$G$116/'CAPEX+OPEX'!$G$114)</f>
        <v>275981.10830798495</v>
      </c>
      <c r="DB43">
        <f>CQ43*(BM43/10000)^0.72*((AF43+1)/3)^0.6*('CAPEX+OPEX'!$G$116/'CAPEX+OPEX'!$G$114)</f>
        <v>1708367.8924057726</v>
      </c>
      <c r="DC43">
        <f>CR43*(BM43/10000)^0.72*((AF43+1)/3)^0.6*('CAPEX+OPEX'!$G$116/'CAPEX+OPEX'!$G$114)</f>
        <v>201699.37132840801</v>
      </c>
      <c r="DD43">
        <f t="shared" si="14"/>
        <v>4173060.4375733845</v>
      </c>
      <c r="DE43">
        <f>CX43+DD43+1.15*(SUM(CI43:CL43)+SUM(CB43:CE43))</f>
        <v>9484629.7124798745</v>
      </c>
      <c r="DF43">
        <f t="shared" si="15"/>
        <v>632308.64749865828</v>
      </c>
      <c r="DG43">
        <f>(BS43+BT43)*'Oxidant Feed Composition'!$N$28*60*7200</f>
        <v>20782442.179112561</v>
      </c>
      <c r="DH43">
        <f>((CG43+CH43)*'Reagent cost'!$C$17/1000*'Reagent cost'!$H$17+(CG43+CH43)*0.5*'Reagent cost'!$C$16/1000*'Reagent cost'!$H$16*1.5)*60*7200</f>
        <v>8841548.6288664974</v>
      </c>
      <c r="DI43">
        <f>CF43*'Reagent cost'!$C$17/1000*'Reagent cost'!$H$17*60*7200</f>
        <v>504921.59999999998</v>
      </c>
      <c r="DJ43">
        <f t="shared" si="16"/>
        <v>63.4365625070227</v>
      </c>
      <c r="DK43">
        <f t="shared" si="17"/>
        <v>635.21423930704157</v>
      </c>
      <c r="DL43">
        <f t="shared" si="18"/>
        <v>36155533.270537049</v>
      </c>
      <c r="DM43">
        <f>BK43*(B43*(409.81+2)/1000+C43*(248.2+2*22.99)/1000+D43*(315.6+3*22.99)/1000+0.1*58.44/1000)</f>
        <v>0.70639694042110623</v>
      </c>
      <c r="DN43">
        <f>(BS43+BT43)/1000*('Oxidant Feed Composition'!$B$11*'Oxidant Feed Composition'!$O$20+'Oxidant Feed Composition'!$D$11*'Oxidant Feed Composition'!$O$21+'Oxidant Feed Composition'!$F$11*'Oxidant Feed Composition'!$O$27-'Oxidant Feed Composition'!$J$15*18.015)</f>
        <v>2.1829390462502598</v>
      </c>
      <c r="DO43">
        <f>(BU43+BV43)/1000*(0.2*368.34+0.4*58.44)</f>
        <v>1.5116237189465194</v>
      </c>
      <c r="DP43">
        <f>BK43/1000*(B43*195.08+C43*106.42+D43*102.91)</f>
        <v>4.999938342565946E-2</v>
      </c>
      <c r="DQ43">
        <f>SUM(DM43:DO43)-DP43</f>
        <v>4.3509603221922255</v>
      </c>
      <c r="DR43">
        <f>DQ43*60*7200*0.33</f>
        <v>620272.90353172366</v>
      </c>
      <c r="DS43">
        <v>1.2</v>
      </c>
      <c r="DT43">
        <f>BM43/60*(AM43*4+AN43*2+AO43*3)*96485/DV43</f>
        <v>1403.8913606805047</v>
      </c>
      <c r="DU43">
        <f>BN43*BA43*(AP43*4+AQ43*2+AR43*3)*96485/DV43/60</f>
        <v>707.99617342896511</v>
      </c>
      <c r="DV43">
        <v>0.7</v>
      </c>
      <c r="DW43">
        <f>0.499*((BK43/3.78541*15)^(-0.146))*BK43/3.78541*15*300*(1+(A43-2)/9)</f>
        <v>38528.386667103026</v>
      </c>
      <c r="DX43">
        <f>0.248*((BK43/3.78541*15)^(-0.144))*BK43/3.78541*15*300*(1+(A43-2)/3)</f>
        <v>33220.879177835675</v>
      </c>
      <c r="DY43">
        <f>0.105*((BK43/3.78541*15)^(-0.144))*BK43/3.78541*15*300*(1+(A43-2)/3)</f>
        <v>14065.291587390104</v>
      </c>
      <c r="DZ43">
        <f>0.058*((BK43/3.78541*15)^(-0.151))*BK43/3.78541*15*300*(1+(A43-2)/3)</f>
        <v>7450.7773575794354</v>
      </c>
      <c r="EA43">
        <f>0.056*((BK43/3.78541*15)^(-0.144))*BK43/3.78541*15*300*(1+(A43-2)/3)</f>
        <v>7501.4888466080574</v>
      </c>
      <c r="EB43">
        <f>DS43*DT43/(3.6*10^6)*3600*7200*0.07</f>
        <v>849.07349493956929</v>
      </c>
      <c r="EC43">
        <f>0.499*((BM43/3.78541*15)^(-0.146))*BM43/3.78541*15*300*(1+(AF43-2)/9)</f>
        <v>30858.175330269896</v>
      </c>
      <c r="ED43">
        <f>0.248*((BM43/3.78541*15)^(-0.144))*BM43/3.78541*15*300*(1+(AF43-2)/3)</f>
        <v>23277.674519364831</v>
      </c>
      <c r="EE43">
        <f>0.105*((BM43/3.78541*15)^(-0.144))*BM43/3.78541*15*300*(1+(AF43-2)/3)</f>
        <v>9855.4670344084952</v>
      </c>
      <c r="EF43">
        <f>0.058*((BM43/3.78541*15)^(-0.151))*BM43/3.78541*15*300*(1+(AF43-2)/3)</f>
        <v>5223.6198344156373</v>
      </c>
      <c r="EG43">
        <f>0.056*((BM43/3.78541*15)^(-0.144))*BM43/3.78541*15*300*(1+(AF43-2)/3)</f>
        <v>5256.2490850178647</v>
      </c>
      <c r="EH43">
        <f>DS43*DU43/(3.6*10^6)*3600*7200*0.07</f>
        <v>428.19608568983807</v>
      </c>
      <c r="EI43">
        <f>SUM(DW43:EH43)</f>
        <v>176515.27902062246</v>
      </c>
      <c r="EJ43">
        <f>EI43+DR43+DL43</f>
        <v>36952321.453089394</v>
      </c>
      <c r="EK43">
        <f>EJ43+DF43</f>
        <v>37584630.100588053</v>
      </c>
      <c r="EL43">
        <f>EK43/(BK43*60*7200)</f>
        <v>0.87001458566176049</v>
      </c>
      <c r="EM43">
        <f>EK43/(BM43*(AM43*195.084/1000+AN43*106.42/1000+AO43*102.911/1000)*60*7200)</f>
        <v>2914.8705741247127</v>
      </c>
      <c r="EN43">
        <f>EK43/(BN43*BA43*(AP43*195.084/1000+AQ43*106.42/1000+AR43*102.911/1000)*60*7200)</f>
        <v>5326.3504411062595</v>
      </c>
    </row>
    <row r="44" spans="1:144">
      <c r="A44">
        <f>'Costing 100 Lmin Feed Orig'!A44</f>
        <v>7</v>
      </c>
      <c r="B44">
        <f>'Costing 100 Lmin Feed Orig'!B44</f>
        <v>1.54143585092054E-3</v>
      </c>
      <c r="C44">
        <f>'Costing 100 Lmin Feed Orig'!C44</f>
        <v>1.54143585092054E-3</v>
      </c>
      <c r="D44">
        <f>'Costing 100 Lmin Feed Orig'!D44</f>
        <v>3.4254130020456501E-4</v>
      </c>
      <c r="E44">
        <f>'Costing 100 Lmin Feed Orig'!E44</f>
        <v>0</v>
      </c>
      <c r="F44">
        <f>'Costing 100 Lmin Feed Orig'!F44</f>
        <v>0</v>
      </c>
      <c r="G44">
        <f>'Costing 100 Lmin Feed Orig'!G44</f>
        <v>0</v>
      </c>
      <c r="H44">
        <f>'Costing 100 Lmin Feed Orig'!H44</f>
        <v>1.7744466230058299E-5</v>
      </c>
      <c r="I44">
        <f>'Costing 100 Lmin Feed Orig'!I44</f>
        <v>1.2927742824924801E-8</v>
      </c>
      <c r="J44">
        <f>'Costing 100 Lmin Feed Orig'!J44</f>
        <v>3.3739048286900598E-4</v>
      </c>
      <c r="K44">
        <f>'Costing 100 Lmin Feed Orig'!K44</f>
        <v>0.13716795306346499</v>
      </c>
      <c r="L44">
        <f>'Costing 100 Lmin Feed Orig'!L44</f>
        <v>0.138764207307677</v>
      </c>
      <c r="M44">
        <f>'Costing 100 Lmin Feed Orig'!M44</f>
        <v>4.6369433969460899E-4</v>
      </c>
      <c r="N44">
        <f>'Costing 100 Lmin Feed Orig'!N44</f>
        <v>-1.1037178115902399E-16</v>
      </c>
      <c r="O44">
        <f>'Costing 100 Lmin Feed Orig'!O44</f>
        <v>-5.3700533603207003E-15</v>
      </c>
      <c r="P44">
        <f>'Costing 100 Lmin Feed Orig'!P44</f>
        <v>-3.4304834363799101E-19</v>
      </c>
      <c r="Q44">
        <f>'Costing 100 Lmin Feed Orig'!Q44</f>
        <v>0.111082169753281</v>
      </c>
      <c r="R44">
        <f>'Costing 100 Lmin Feed Orig'!R44</f>
        <v>98.496293050653193</v>
      </c>
      <c r="S44">
        <f>'Costing 100 Lmin Feed Orig'!S44</f>
        <v>500</v>
      </c>
      <c r="T44">
        <f>'Costing 100 Lmin Feed Orig'!T44</f>
        <v>95</v>
      </c>
      <c r="U44">
        <f>'Costing 100 Lmin Feed Orig'!U44</f>
        <v>1</v>
      </c>
      <c r="V44">
        <f>'Costing 100 Lmin Feed Orig'!V44</f>
        <v>0.1</v>
      </c>
      <c r="W44">
        <f>'Costing 100 Lmin Feed Orig'!W44</f>
        <v>90.023448607553206</v>
      </c>
      <c r="X44" t="str">
        <f>'Costing 100 Lmin Feed Orig'!X44</f>
        <v>ddFc</v>
      </c>
      <c r="Y44">
        <f>'Costing 100 Lmin Feed Orig'!Y44</f>
        <v>1</v>
      </c>
      <c r="Z44">
        <f>'Costing 100 Lmin Feed Orig'!Z44</f>
        <v>0.28318429382522198</v>
      </c>
      <c r="AA44">
        <f>'Costing 100 Lmin Feed Orig'!AA44</f>
        <v>0.56945642916197003</v>
      </c>
      <c r="AB44">
        <f>'Costing 100 Lmin Feed Orig'!AB44</f>
        <v>3.7698628972227502E-3</v>
      </c>
      <c r="AC44">
        <f>'Costing 100 Lmin Feed Orig'!AC44</f>
        <v>1822.2107908876901</v>
      </c>
      <c r="AD44">
        <f>'Costing 100 Lmin Feed Orig'!AD44</f>
        <v>2662.6059073104898</v>
      </c>
      <c r="AE44">
        <f>'Costing 100 Lmin Feed Orig'!AE44</f>
        <v>2401.5030938442701</v>
      </c>
      <c r="AF44">
        <f>'Costing 100 Lmin Feed Orig'!AF44</f>
        <v>6</v>
      </c>
      <c r="AG44">
        <f>'Costing 100 Lmin Feed Orig'!AG44</f>
        <v>1.64967327652189E-3</v>
      </c>
      <c r="AH44">
        <f>'Costing 100 Lmin Feed Orig'!AH44</f>
        <v>1.66887089455438E-3</v>
      </c>
      <c r="AI44">
        <f>'Costing 100 Lmin Feed Orig'!AI44</f>
        <v>5.5766973522943398E-6</v>
      </c>
      <c r="AJ44">
        <f>'Costing 100 Lmin Feed Orig'!AJ44</f>
        <v>0</v>
      </c>
      <c r="AK44">
        <f>'Costing 100 Lmin Feed Orig'!AK44</f>
        <v>0</v>
      </c>
      <c r="AL44">
        <f>'Costing 100 Lmin Feed Orig'!AL44</f>
        <v>0</v>
      </c>
      <c r="AM44">
        <f>'Costing 100 Lmin Feed Orig'!AM44</f>
        <v>1.6120355192372701E-3</v>
      </c>
      <c r="AN44">
        <f>'Costing 100 Lmin Feed Orig'!AN44</f>
        <v>7.9304611498975396E-5</v>
      </c>
      <c r="AO44">
        <f>'Costing 100 Lmin Feed Orig'!AO44</f>
        <v>5.5393634244761098E-6</v>
      </c>
      <c r="AP44">
        <f>'Costing 100 Lmin Feed Orig'!AP44</f>
        <v>1.7562637605677701E-3</v>
      </c>
      <c r="AQ44">
        <f>'Costing 100 Lmin Feed Orig'!AQ44</f>
        <v>7.4172795069579203E-2</v>
      </c>
      <c r="AR44">
        <f>'Costing 100 Lmin Feed Orig'!AR44</f>
        <v>1.7420863833882601E-6</v>
      </c>
      <c r="AS44">
        <f>'Costing 100 Lmin Feed Orig'!AS44</f>
        <v>-2.1751806085490402E-18</v>
      </c>
      <c r="AT44">
        <f>'Costing 100 Lmin Feed Orig'!AT44</f>
        <v>-1.83013326715553E-16</v>
      </c>
      <c r="AU44">
        <f>'Costing 100 Lmin Feed Orig'!AU44</f>
        <v>-3.08372932359768E-21</v>
      </c>
      <c r="AV44">
        <f>'Costing 100 Lmin Feed Orig'!AV44</f>
        <v>0.197939773972164</v>
      </c>
      <c r="AW44">
        <f>'Costing 100 Lmin Feed Orig'!AW44</f>
        <v>99.330536956557793</v>
      </c>
      <c r="AX44">
        <f>'Costing 100 Lmin Feed Orig'!AX44</f>
        <v>500</v>
      </c>
      <c r="AY44">
        <f>'Costing 100 Lmin Feed Orig'!AY44</f>
        <v>95</v>
      </c>
      <c r="AZ44">
        <f>'Costing 100 Lmin Feed Orig'!AZ44</f>
        <v>0.92363221637625403</v>
      </c>
      <c r="BA44">
        <f>'Costing 100 Lmin Feed Orig'!BA44</f>
        <v>0.1</v>
      </c>
      <c r="BB44">
        <f>'Costing 100 Lmin Feed Orig'!BB44</f>
        <v>46.6622850901175</v>
      </c>
      <c r="BC44" t="str">
        <f>'Costing 100 Lmin Feed Orig'!BC44</f>
        <v>coeFc</v>
      </c>
      <c r="BD44">
        <f>'Costing 100 Lmin Feed Orig'!BD44</f>
        <v>1</v>
      </c>
      <c r="BE44">
        <f>'Costing 100 Lmin Feed Orig'!BE44</f>
        <v>1.8775014999999999E-2</v>
      </c>
      <c r="BF44">
        <f>'Costing 100 Lmin Feed Orig'!BF44</f>
        <v>0.10492961100000001</v>
      </c>
      <c r="BG44">
        <f>'Costing 100 Lmin Feed Orig'!BG44</f>
        <v>1.814625E-3</v>
      </c>
      <c r="BH44">
        <f>'Costing 100 Lmin Feed Orig'!BH44</f>
        <v>285.1951444</v>
      </c>
      <c r="BI44">
        <f>'Costing 100 Lmin Feed Orig'!BI44</f>
        <v>2169.8944889999998</v>
      </c>
      <c r="BJ44">
        <f>'Costing 100 Lmin Feed Orig'!BJ44</f>
        <v>866.49409060000005</v>
      </c>
      <c r="BK44">
        <f>'Costing 100 Lmin Feed Orig'!BK44</f>
        <v>100</v>
      </c>
      <c r="BL44">
        <f>'Costing 100 Lmin Feed Orig'!BL44</f>
        <v>11.1082169753281</v>
      </c>
      <c r="BM44">
        <f>'Costing 100 Lmin Feed Orig'!BM44</f>
        <v>92.363221637625401</v>
      </c>
      <c r="BN44">
        <f>'Costing 100 Lmin Feed Orig'!BN44</f>
        <v>19.793977397216402</v>
      </c>
      <c r="BO44">
        <f t="shared" si="1"/>
        <v>199.94790555590581</v>
      </c>
      <c r="BP44">
        <f t="shared" si="2"/>
        <v>316.70363835546243</v>
      </c>
      <c r="BQ44">
        <f t="shared" si="3"/>
        <v>19.994790555590583</v>
      </c>
      <c r="BR44">
        <f t="shared" si="4"/>
        <v>31.670363835546244</v>
      </c>
      <c r="BS44">
        <f>1.2*0.5*BL44*V44/'Oxidant Feed Composition'!$N$22</f>
        <v>6.6649301851968596</v>
      </c>
      <c r="BT44">
        <f>1.2*0.5*BN44*BA44/'Oxidant Feed Composition'!$N$22</f>
        <v>11.87638643832984</v>
      </c>
      <c r="BU44">
        <f t="shared" si="5"/>
        <v>5.5541084876640499</v>
      </c>
      <c r="BV44">
        <f t="shared" si="6"/>
        <v>9.896988698608201</v>
      </c>
      <c r="BW44">
        <f t="shared" si="7"/>
        <v>86.809113149961348</v>
      </c>
      <c r="BX44">
        <f t="shared" si="0"/>
        <v>35.54629432104992</v>
      </c>
      <c r="BY44">
        <f t="shared" si="8"/>
        <v>206.94287722590701</v>
      </c>
      <c r="BZ44">
        <f t="shared" si="9"/>
        <v>63.34072767109248</v>
      </c>
      <c r="CA44">
        <f t="shared" si="10"/>
        <v>59.381932191649206</v>
      </c>
      <c r="CB44">
        <f>BO44*'Reagent cost'!$G$11*'Reagent cost'!$H$11</f>
        <v>2639.3123533379567</v>
      </c>
      <c r="CC44">
        <f>BP44*'Reagent cost'!$G$11*'Reagent cost'!$H$11</f>
        <v>4180.4880262921042</v>
      </c>
      <c r="CD44">
        <f>BQ44*'Reagent cost'!$C$18/1000*'Reagent cost'!$H$18</f>
        <v>3188.7782491883527</v>
      </c>
      <c r="CE44">
        <f>BR44*'Ligand cost'!$B$56*'Ligand cost'!$J$56</f>
        <v>32244.475701465093</v>
      </c>
      <c r="CF44">
        <f t="shared" si="11"/>
        <v>10</v>
      </c>
      <c r="CG44">
        <f t="shared" si="12"/>
        <v>2.22164339506562</v>
      </c>
      <c r="CH44">
        <f t="shared" si="12"/>
        <v>3.9587954794432805</v>
      </c>
      <c r="CI44">
        <f>7963.6*(BX44/1000)^0.6*1.7*('CAPEX+OPEX'!$G$116/'CAPEX+OPEX'!$G$115)</f>
        <v>2156.3414312027717</v>
      </c>
      <c r="CJ44">
        <f>7963.6*(BY44/1000)^0.6*1.7*('CAPEX+OPEX'!$G$116/'CAPEX+OPEX'!$G$115)</f>
        <v>6205.1347590783025</v>
      </c>
      <c r="CK44">
        <f>7963.6*(BZ44/1000)^0.6*1.7*('CAPEX+OPEX'!$G$116/'CAPEX+OPEX'!$G$115)</f>
        <v>3049.6553188421171</v>
      </c>
      <c r="CL44">
        <f>7963.6*(CA44/1000)^0.6*1.7*('CAPEX+OPEX'!$G$116/'CAPEX+OPEX'!$G$115)</f>
        <v>2933.8203907536749</v>
      </c>
      <c r="CM44">
        <f>'Costing 100 Lmin Feed Orig'!DE44</f>
        <v>39625.826528698344</v>
      </c>
      <c r="CN44">
        <f>'Costing 100 Lmin Feed Orig'!DF44</f>
        <v>4586243.4239371875</v>
      </c>
      <c r="CO44">
        <f>'Costing 100 Lmin Feed Orig'!DG44</f>
        <v>11794834.586807497</v>
      </c>
      <c r="CP44">
        <f>'Costing 100 Lmin Feed Orig'!DH44</f>
        <v>2275209.1661185985</v>
      </c>
      <c r="CQ44">
        <f>'Costing 100 Lmin Feed Orig'!DI44</f>
        <v>14083914.336508472</v>
      </c>
      <c r="CR44">
        <f>'Costing 100 Lmin Feed Orig'!DJ44</f>
        <v>1662824.8986326549</v>
      </c>
      <c r="CS44">
        <f>CN44*(BK44/10000)^0.72*((A44+1)/3)^0.6*('CAPEX+OPEX'!$G$116/'CAPEX+OPEX'!$G$114)</f>
        <v>700033.84449786716</v>
      </c>
      <c r="CT44">
        <f>CO44*(BK44/10000)^0.72*((A44+1)/3)^0.6*('CAPEX+OPEX'!$G$116/'CAPEX+OPEX'!$G$114)</f>
        <v>1800336.9288957189</v>
      </c>
      <c r="CU44">
        <f>CP44*(BK44/10000)^0.72*((A44+1)/3)^0.6*('CAPEX+OPEX'!$G$116/'CAPEX+OPEX'!$G$114)</f>
        <v>347282.79168127343</v>
      </c>
      <c r="CV44">
        <f>CQ44*(BK44/10000)^0.72*((A44+1)/3)^0.6*('CAPEX+OPEX'!$G$116/'CAPEX+OPEX'!$G$114)</f>
        <v>2149736.8951473436</v>
      </c>
      <c r="CW44">
        <f>CR44*(BK44/10000)^0.72*((A44+1)/3)^0.6*('CAPEX+OPEX'!$G$116/'CAPEX+OPEX'!$G$114)</f>
        <v>253809.83932102245</v>
      </c>
      <c r="CX44">
        <f t="shared" si="13"/>
        <v>5251200.2995432261</v>
      </c>
      <c r="CY44">
        <f>CN44*(BM44/10000)^0.72*((AF44+1)/3)^0.6*('CAPEX+OPEX'!$G$116/'CAPEX+OPEX'!$G$114)</f>
        <v>610215.4530973233</v>
      </c>
      <c r="CZ44">
        <f>CO44*(BM44/10000)^0.72*((AF44+1)/3)^0.6*('CAPEX+OPEX'!$G$116/'CAPEX+OPEX'!$G$114)</f>
        <v>1569343.2873691465</v>
      </c>
      <c r="DA44">
        <f>CP44*(BM44/10000)^0.72*((AF44+1)/3)^0.6*('CAPEX+OPEX'!$G$116/'CAPEX+OPEX'!$G$114)</f>
        <v>302724.40074765182</v>
      </c>
      <c r="DB44">
        <f>CQ44*(BM44/10000)^0.72*((AF44+1)/3)^0.6*('CAPEX+OPEX'!$G$116/'CAPEX+OPEX'!$G$114)</f>
        <v>1873913.2169435648</v>
      </c>
      <c r="DC44">
        <f>CR44*(BM44/10000)^0.72*((AF44+1)/3)^0.6*('CAPEX+OPEX'!$G$116/'CAPEX+OPEX'!$G$114)</f>
        <v>221244.56884356888</v>
      </c>
      <c r="DD44">
        <f t="shared" si="14"/>
        <v>4577440.9270012556</v>
      </c>
      <c r="DE44">
        <f>CX44+DD44+1.15*(SUM(CI44:CL44)+SUM(CB44:CE44))</f>
        <v>9893728.9337091651</v>
      </c>
      <c r="DF44">
        <f t="shared" si="15"/>
        <v>659581.92891394428</v>
      </c>
      <c r="DG44">
        <f>(BS44+BT44)*'Oxidant Feed Composition'!$N$28*60*7200</f>
        <v>20614884.050199024</v>
      </c>
      <c r="DH44">
        <f>((CG44+CH44)*'Reagent cost'!$C$17/1000*'Reagent cost'!$H$17+(CG44+CH44)*0.5*'Reagent cost'!$C$16/1000*'Reagent cost'!$H$16*1.5)*60*7200</f>
        <v>8770263.7754222825</v>
      </c>
      <c r="DI44">
        <f>CF44*'Reagent cost'!$C$17/1000*'Reagent cost'!$H$17*60*7200</f>
        <v>504921.59999999998</v>
      </c>
      <c r="DJ44">
        <f t="shared" si="16"/>
        <v>68.198003796300611</v>
      </c>
      <c r="DK44">
        <f t="shared" si="17"/>
        <v>708.66507901306886</v>
      </c>
      <c r="DL44">
        <f t="shared" si="18"/>
        <v>35869015.546444938</v>
      </c>
      <c r="DM44">
        <f>BK44*(B44*(409.81+2)/1000+C44*(248.2+2*22.99)/1000+D44*(315.6+3*22.99)/1000+0.1*58.44/1000)</f>
        <v>0.70639694042110623</v>
      </c>
      <c r="DN44">
        <f>(BS44+BT44)/1000*('Oxidant Feed Composition'!$B$11*'Oxidant Feed Composition'!$O$20+'Oxidant Feed Composition'!$D$11*'Oxidant Feed Composition'!$O$21+'Oxidant Feed Composition'!$F$11*'Oxidant Feed Composition'!$O$27-'Oxidant Feed Composition'!$J$15*18.015)</f>
        <v>2.1653391328729188</v>
      </c>
      <c r="DO44">
        <f>(BU44+BV44)/1000*(0.2*368.34+0.4*58.44)</f>
        <v>1.4994362753446042</v>
      </c>
      <c r="DP44">
        <f>BK44/1000*(B44*195.08+C44*106.42+D44*102.91)</f>
        <v>4.999938342565946E-2</v>
      </c>
      <c r="DQ44">
        <f>SUM(DM44:DO44)-DP44</f>
        <v>4.3211729652129689</v>
      </c>
      <c r="DR44">
        <f>DQ44*60*7200*0.33</f>
        <v>616026.41792076093</v>
      </c>
      <c r="DS44">
        <v>1.2</v>
      </c>
      <c r="DT44">
        <f>BM44/60*(AM44*4+AN44*2+AO44*3)*96485/DV44</f>
        <v>1405.3631449818135</v>
      </c>
      <c r="DU44">
        <f>BN44*BA44*(AP44*4+AQ44*2+AR44*3)*96485/DV44/60</f>
        <v>706.52438912777689</v>
      </c>
      <c r="DV44">
        <v>0.7</v>
      </c>
      <c r="DW44">
        <f>0.499*((BK44/3.78541*15)^(-0.146))*BK44/3.78541*15*300*(1+(A44-2)/9)</f>
        <v>38528.386667103026</v>
      </c>
      <c r="DX44">
        <f>0.248*((BK44/3.78541*15)^(-0.144))*BK44/3.78541*15*300*(1+(A44-2)/3)</f>
        <v>33220.879177835675</v>
      </c>
      <c r="DY44">
        <f>0.105*((BK44/3.78541*15)^(-0.144))*BK44/3.78541*15*300*(1+(A44-2)/3)</f>
        <v>14065.291587390104</v>
      </c>
      <c r="DZ44">
        <f>0.058*((BK44/3.78541*15)^(-0.151))*BK44/3.78541*15*300*(1+(A44-2)/3)</f>
        <v>7450.7773575794354</v>
      </c>
      <c r="EA44">
        <f>0.056*((BK44/3.78541*15)^(-0.144))*BK44/3.78541*15*300*(1+(A44-2)/3)</f>
        <v>7501.4888466080574</v>
      </c>
      <c r="EB44">
        <f>DS44*DT44/(3.6*10^6)*3600*7200*0.07</f>
        <v>849.96363008500089</v>
      </c>
      <c r="EC44">
        <f>0.499*((BM44/3.78541*15)^(-0.146))*BM44/3.78541*15*300*(1+(AF44-2)/9)</f>
        <v>33429.689941125718</v>
      </c>
      <c r="ED44">
        <f>0.248*((BM44/3.78541*15)^(-0.144))*BM44/3.78541*15*300*(1+(AF44-2)/3)</f>
        <v>27157.286939258967</v>
      </c>
      <c r="EE44">
        <f>0.105*((BM44/3.78541*15)^(-0.144))*BM44/3.78541*15*300*(1+(AF44-2)/3)</f>
        <v>11498.044873476576</v>
      </c>
      <c r="EF44">
        <f>0.058*((BM44/3.78541*15)^(-0.151))*BM44/3.78541*15*300*(1+(AF44-2)/3)</f>
        <v>6094.2231401515764</v>
      </c>
      <c r="EG44">
        <f>0.056*((BM44/3.78541*15)^(-0.144))*BM44/3.78541*15*300*(1+(AF44-2)/3)</f>
        <v>6132.2905991875077</v>
      </c>
      <c r="EH44">
        <f>DS44*DU44/(3.6*10^6)*3600*7200*0.07</f>
        <v>427.30595054447951</v>
      </c>
      <c r="EI44">
        <f>SUM(DW44:EH44)</f>
        <v>186355.62871034618</v>
      </c>
      <c r="EJ44">
        <f>EI44+DR44+DL44</f>
        <v>36671397.593076043</v>
      </c>
      <c r="EK44">
        <f>EJ44+DF44</f>
        <v>37330979.521989986</v>
      </c>
      <c r="EL44">
        <f>EK44/(BK44*60*7200)</f>
        <v>0.86414304449050894</v>
      </c>
      <c r="EM44">
        <f>EK44/(BM44*(AM44*195.084/1000+AN44*106.42/1000+AO44*102.911/1000)*60*7200)</f>
        <v>2892.1647399598542</v>
      </c>
      <c r="EN44">
        <f>EK44/(BN44*BA44*(AP44*195.084/1000+AQ44*106.42/1000+AR44*102.911/1000)*60*7200)</f>
        <v>5300.5647844657478</v>
      </c>
    </row>
    <row r="45" spans="1:144">
      <c r="A45">
        <f>'Costing 100 Lmin Feed Orig'!A45</f>
        <v>7</v>
      </c>
      <c r="B45">
        <f>'Costing 100 Lmin Feed Orig'!B45</f>
        <v>1.54143585092054E-3</v>
      </c>
      <c r="C45">
        <f>'Costing 100 Lmin Feed Orig'!C45</f>
        <v>1.54143585092054E-3</v>
      </c>
      <c r="D45">
        <f>'Costing 100 Lmin Feed Orig'!D45</f>
        <v>3.4254130020456501E-4</v>
      </c>
      <c r="E45">
        <f>'Costing 100 Lmin Feed Orig'!E45</f>
        <v>0</v>
      </c>
      <c r="F45">
        <f>'Costing 100 Lmin Feed Orig'!F45</f>
        <v>0</v>
      </c>
      <c r="G45">
        <f>'Costing 100 Lmin Feed Orig'!G45</f>
        <v>0</v>
      </c>
      <c r="H45">
        <f>'Costing 100 Lmin Feed Orig'!H45</f>
        <v>1.7744466230058299E-5</v>
      </c>
      <c r="I45">
        <f>'Costing 100 Lmin Feed Orig'!I45</f>
        <v>1.2927742824924801E-8</v>
      </c>
      <c r="J45">
        <f>'Costing 100 Lmin Feed Orig'!J45</f>
        <v>3.3739048286900598E-4</v>
      </c>
      <c r="K45">
        <f>'Costing 100 Lmin Feed Orig'!K45</f>
        <v>0.13716795306346499</v>
      </c>
      <c r="L45">
        <f>'Costing 100 Lmin Feed Orig'!L45</f>
        <v>0.138764207307677</v>
      </c>
      <c r="M45">
        <f>'Costing 100 Lmin Feed Orig'!M45</f>
        <v>4.6369433969460899E-4</v>
      </c>
      <c r="N45">
        <f>'Costing 100 Lmin Feed Orig'!N45</f>
        <v>-1.1037178115902399E-16</v>
      </c>
      <c r="O45">
        <f>'Costing 100 Lmin Feed Orig'!O45</f>
        <v>-5.3700533603207003E-15</v>
      </c>
      <c r="P45">
        <f>'Costing 100 Lmin Feed Orig'!P45</f>
        <v>-3.4304834363799101E-19</v>
      </c>
      <c r="Q45">
        <f>'Costing 100 Lmin Feed Orig'!Q45</f>
        <v>0.111082169753281</v>
      </c>
      <c r="R45">
        <f>'Costing 100 Lmin Feed Orig'!R45</f>
        <v>98.496293050653193</v>
      </c>
      <c r="S45">
        <f>'Costing 100 Lmin Feed Orig'!S45</f>
        <v>500</v>
      </c>
      <c r="T45">
        <f>'Costing 100 Lmin Feed Orig'!T45</f>
        <v>95</v>
      </c>
      <c r="U45">
        <f>'Costing 100 Lmin Feed Orig'!U45</f>
        <v>1</v>
      </c>
      <c r="V45">
        <f>'Costing 100 Lmin Feed Orig'!V45</f>
        <v>0.1</v>
      </c>
      <c r="W45">
        <f>'Costing 100 Lmin Feed Orig'!W45</f>
        <v>90.023448607553206</v>
      </c>
      <c r="X45" t="str">
        <f>'Costing 100 Lmin Feed Orig'!X45</f>
        <v>ddFc</v>
      </c>
      <c r="Y45">
        <f>'Costing 100 Lmin Feed Orig'!Y45</f>
        <v>1</v>
      </c>
      <c r="Z45">
        <f>'Costing 100 Lmin Feed Orig'!Z45</f>
        <v>0.28318429382522198</v>
      </c>
      <c r="AA45">
        <f>'Costing 100 Lmin Feed Orig'!AA45</f>
        <v>0.56945642916197003</v>
      </c>
      <c r="AB45">
        <f>'Costing 100 Lmin Feed Orig'!AB45</f>
        <v>3.7698628972227502E-3</v>
      </c>
      <c r="AC45">
        <f>'Costing 100 Lmin Feed Orig'!AC45</f>
        <v>1822.2107908876901</v>
      </c>
      <c r="AD45">
        <f>'Costing 100 Lmin Feed Orig'!AD45</f>
        <v>2662.6059073104898</v>
      </c>
      <c r="AE45">
        <f>'Costing 100 Lmin Feed Orig'!AE45</f>
        <v>2401.5030938442701</v>
      </c>
      <c r="AF45">
        <f>'Costing 100 Lmin Feed Orig'!AF45</f>
        <v>7</v>
      </c>
      <c r="AG45">
        <f>'Costing 100 Lmin Feed Orig'!AG45</f>
        <v>1.64967327652189E-3</v>
      </c>
      <c r="AH45">
        <f>'Costing 100 Lmin Feed Orig'!AH45</f>
        <v>1.66887089455438E-3</v>
      </c>
      <c r="AI45">
        <f>'Costing 100 Lmin Feed Orig'!AI45</f>
        <v>5.5766973522943398E-6</v>
      </c>
      <c r="AJ45">
        <f>'Costing 100 Lmin Feed Orig'!AJ45</f>
        <v>0</v>
      </c>
      <c r="AK45">
        <f>'Costing 100 Lmin Feed Orig'!AK45</f>
        <v>0</v>
      </c>
      <c r="AL45">
        <f>'Costing 100 Lmin Feed Orig'!AL45</f>
        <v>0</v>
      </c>
      <c r="AM45">
        <f>'Costing 100 Lmin Feed Orig'!AM45</f>
        <v>1.6125268282720601E-3</v>
      </c>
      <c r="AN45">
        <f>'Costing 100 Lmin Feed Orig'!AN45</f>
        <v>7.9330002196474706E-5</v>
      </c>
      <c r="AO45">
        <f>'Costing 100 Lmin Feed Orig'!AO45</f>
        <v>5.5398308704750104E-6</v>
      </c>
      <c r="AP45">
        <f>'Costing 100 Lmin Feed Orig'!AP45</f>
        <v>1.7397589915908601E-3</v>
      </c>
      <c r="AQ45">
        <f>'Costing 100 Lmin Feed Orig'!AQ45</f>
        <v>7.4446365407150494E-2</v>
      </c>
      <c r="AR45">
        <f>'Costing 100 Lmin Feed Orig'!AR45</f>
        <v>1.7266467254719899E-6</v>
      </c>
      <c r="AS45">
        <f>'Costing 100 Lmin Feed Orig'!AS45</f>
        <v>-4.8721335126067302E-18</v>
      </c>
      <c r="AT45">
        <f>'Costing 100 Lmin Feed Orig'!AT45</f>
        <v>-2.21068822969794E-15</v>
      </c>
      <c r="AU45">
        <f>'Costing 100 Lmin Feed Orig'!AU45</f>
        <v>-5.2476338060364E-21</v>
      </c>
      <c r="AV45">
        <f>'Costing 100 Lmin Feed Orig'!AV45</f>
        <v>0.19720924848406601</v>
      </c>
      <c r="AW45">
        <f>'Costing 100 Lmin Feed Orig'!AW45</f>
        <v>99.338919086147698</v>
      </c>
      <c r="AX45">
        <f>'Costing 100 Lmin Feed Orig'!AX45</f>
        <v>500</v>
      </c>
      <c r="AY45">
        <f>'Costing 100 Lmin Feed Orig'!AY45</f>
        <v>95</v>
      </c>
      <c r="AZ45">
        <f>'Costing 100 Lmin Feed Orig'!AZ45</f>
        <v>0.92363221637625403</v>
      </c>
      <c r="BA45">
        <f>'Costing 100 Lmin Feed Orig'!BA45</f>
        <v>0.1</v>
      </c>
      <c r="BB45">
        <f>'Costing 100 Lmin Feed Orig'!BB45</f>
        <v>46.835136966250197</v>
      </c>
      <c r="BC45" t="str">
        <f>'Costing 100 Lmin Feed Orig'!BC45</f>
        <v>coeFc</v>
      </c>
      <c r="BD45">
        <f>'Costing 100 Lmin Feed Orig'!BD45</f>
        <v>1</v>
      </c>
      <c r="BE45">
        <f>'Costing 100 Lmin Feed Orig'!BE45</f>
        <v>1.8775014999999999E-2</v>
      </c>
      <c r="BF45">
        <f>'Costing 100 Lmin Feed Orig'!BF45</f>
        <v>0.10492961100000001</v>
      </c>
      <c r="BG45">
        <f>'Costing 100 Lmin Feed Orig'!BG45</f>
        <v>1.814625E-3</v>
      </c>
      <c r="BH45">
        <f>'Costing 100 Lmin Feed Orig'!BH45</f>
        <v>285.1951444</v>
      </c>
      <c r="BI45">
        <f>'Costing 100 Lmin Feed Orig'!BI45</f>
        <v>2169.8944889999998</v>
      </c>
      <c r="BJ45">
        <f>'Costing 100 Lmin Feed Orig'!BJ45</f>
        <v>866.49409060000005</v>
      </c>
      <c r="BK45">
        <f>'Costing 100 Lmin Feed Orig'!BK45</f>
        <v>100</v>
      </c>
      <c r="BL45">
        <f>'Costing 100 Lmin Feed Orig'!BL45</f>
        <v>11.1082169753281</v>
      </c>
      <c r="BM45">
        <f>'Costing 100 Lmin Feed Orig'!BM45</f>
        <v>92.363221637625401</v>
      </c>
      <c r="BN45">
        <f>'Costing 100 Lmin Feed Orig'!BN45</f>
        <v>19.7209248484066</v>
      </c>
      <c r="BO45">
        <f t="shared" si="1"/>
        <v>199.94790555590581</v>
      </c>
      <c r="BP45">
        <f t="shared" si="2"/>
        <v>354.97664727131883</v>
      </c>
      <c r="BQ45">
        <f t="shared" si="3"/>
        <v>19.994790555590583</v>
      </c>
      <c r="BR45">
        <f t="shared" si="4"/>
        <v>35.497664727131884</v>
      </c>
      <c r="BS45">
        <f>1.2*0.5*BL45*V45/'Oxidant Feed Composition'!$N$22</f>
        <v>6.6649301851968596</v>
      </c>
      <c r="BT45">
        <f>1.2*0.5*BN45*BA45/'Oxidant Feed Composition'!$N$22</f>
        <v>11.832554909043958</v>
      </c>
      <c r="BU45">
        <f t="shared" si="5"/>
        <v>5.5541084876640499</v>
      </c>
      <c r="BV45">
        <f t="shared" si="6"/>
        <v>9.8604624242033001</v>
      </c>
      <c r="BW45">
        <f t="shared" si="7"/>
        <v>86.809113149961348</v>
      </c>
      <c r="BX45">
        <f t="shared" si="0"/>
        <v>35.54629432104992</v>
      </c>
      <c r="BY45">
        <f t="shared" si="8"/>
        <v>206.94287722590701</v>
      </c>
      <c r="BZ45">
        <f t="shared" si="9"/>
        <v>63.106959514901121</v>
      </c>
      <c r="CA45">
        <f t="shared" si="10"/>
        <v>59.162774545219804</v>
      </c>
      <c r="CB45">
        <f>BO45*'Reagent cost'!$G$11*'Reagent cost'!$H$11</f>
        <v>2639.3123533379567</v>
      </c>
      <c r="CC45">
        <f>BP45*'Reagent cost'!$G$11*'Reagent cost'!$H$11</f>
        <v>4685.6917439814088</v>
      </c>
      <c r="CD45">
        <f>BQ45*'Reagent cost'!$C$18/1000*'Reagent cost'!$H$18</f>
        <v>3188.7782491883527</v>
      </c>
      <c r="CE45">
        <f>BR45*'Ligand cost'!$B$56*'Ligand cost'!$J$56</f>
        <v>36141.156877650901</v>
      </c>
      <c r="CF45">
        <f t="shared" si="11"/>
        <v>10</v>
      </c>
      <c r="CG45">
        <f t="shared" si="12"/>
        <v>2.22164339506562</v>
      </c>
      <c r="CH45">
        <f t="shared" si="12"/>
        <v>3.94418496968132</v>
      </c>
      <c r="CI45">
        <f>7963.6*(BX45/1000)^0.6*1.7*('CAPEX+OPEX'!$G$116/'CAPEX+OPEX'!$G$115)</f>
        <v>2156.3414312027717</v>
      </c>
      <c r="CJ45">
        <f>7963.6*(BY45/1000)^0.6*1.7*('CAPEX+OPEX'!$G$116/'CAPEX+OPEX'!$G$115)</f>
        <v>6205.1347590783025</v>
      </c>
      <c r="CK45">
        <f>7963.6*(BZ45/1000)^0.6*1.7*('CAPEX+OPEX'!$G$116/'CAPEX+OPEX'!$G$115)</f>
        <v>3042.8972080018357</v>
      </c>
      <c r="CL45">
        <f>7963.6*(CA45/1000)^0.6*1.7*('CAPEX+OPEX'!$G$116/'CAPEX+OPEX'!$G$115)</f>
        <v>2927.3189729496066</v>
      </c>
      <c r="CM45">
        <f>'Costing 100 Lmin Feed Orig'!DE45</f>
        <v>39625.826528698344</v>
      </c>
      <c r="CN45">
        <f>'Costing 100 Lmin Feed Orig'!DF45</f>
        <v>4586243.4239371875</v>
      </c>
      <c r="CO45">
        <f>'Costing 100 Lmin Feed Orig'!DG45</f>
        <v>11794834.586807497</v>
      </c>
      <c r="CP45">
        <f>'Costing 100 Lmin Feed Orig'!DH45</f>
        <v>2275209.1661185985</v>
      </c>
      <c r="CQ45">
        <f>'Costing 100 Lmin Feed Orig'!DI45</f>
        <v>14083914.336508472</v>
      </c>
      <c r="CR45">
        <f>'Costing 100 Lmin Feed Orig'!DJ45</f>
        <v>1662824.8986326549</v>
      </c>
      <c r="CS45">
        <f>CN45*(BK45/10000)^0.72*((A45+1)/3)^0.6*('CAPEX+OPEX'!$G$116/'CAPEX+OPEX'!$G$114)</f>
        <v>700033.84449786716</v>
      </c>
      <c r="CT45">
        <f>CO45*(BK45/10000)^0.72*((A45+1)/3)^0.6*('CAPEX+OPEX'!$G$116/'CAPEX+OPEX'!$G$114)</f>
        <v>1800336.9288957189</v>
      </c>
      <c r="CU45">
        <f>CP45*(BK45/10000)^0.72*((A45+1)/3)^0.6*('CAPEX+OPEX'!$G$116/'CAPEX+OPEX'!$G$114)</f>
        <v>347282.79168127343</v>
      </c>
      <c r="CV45">
        <f>CQ45*(BK45/10000)^0.72*((A45+1)/3)^0.6*('CAPEX+OPEX'!$G$116/'CAPEX+OPEX'!$G$114)</f>
        <v>2149736.8951473436</v>
      </c>
      <c r="CW45">
        <f>CR45*(BK45/10000)^0.72*((A45+1)/3)^0.6*('CAPEX+OPEX'!$G$116/'CAPEX+OPEX'!$G$114)</f>
        <v>253809.83932102245</v>
      </c>
      <c r="CX45">
        <f t="shared" si="13"/>
        <v>5251200.2995432261</v>
      </c>
      <c r="CY45">
        <f>CN45*(BM45/10000)^0.72*((AF45+1)/3)^0.6*('CAPEX+OPEX'!$G$116/'CAPEX+OPEX'!$G$114)</f>
        <v>661117.06839459355</v>
      </c>
      <c r="CZ45">
        <f>CO45*(BM45/10000)^0.72*((AF45+1)/3)^0.6*('CAPEX+OPEX'!$G$116/'CAPEX+OPEX'!$G$114)</f>
        <v>1700251.3262881106</v>
      </c>
      <c r="DA45">
        <f>CP45*(BM45/10000)^0.72*((AF45+1)/3)^0.6*('CAPEX+OPEX'!$G$116/'CAPEX+OPEX'!$G$114)</f>
        <v>327976.40134799713</v>
      </c>
      <c r="DB45">
        <f>CQ45*(BM45/10000)^0.72*((AF45+1)/3)^0.6*('CAPEX+OPEX'!$G$116/'CAPEX+OPEX'!$G$114)</f>
        <v>2030227.2027418208</v>
      </c>
      <c r="DC45">
        <f>CR45*(BM45/10000)^0.72*((AF45+1)/3)^0.6*('CAPEX+OPEX'!$G$116/'CAPEX+OPEX'!$G$114)</f>
        <v>239699.86340014514</v>
      </c>
      <c r="DD45">
        <f t="shared" si="14"/>
        <v>4959271.8621726679</v>
      </c>
      <c r="DE45">
        <f>CX45+DD45+1.15*(SUM(CI45:CL45)+SUM(CB45:CE45))</f>
        <v>10280606.788050596</v>
      </c>
      <c r="DF45">
        <f t="shared" si="15"/>
        <v>685373.78587003972</v>
      </c>
      <c r="DG45">
        <f>(BS45+BT45)*'Oxidant Feed Composition'!$N$28*60*7200</f>
        <v>20566150.623532616</v>
      </c>
      <c r="DH45">
        <f>((CG45+CH45)*'Reagent cost'!$C$17/1000*'Reagent cost'!$H$17+(CG45+CH45)*0.5*'Reagent cost'!$C$16/1000*'Reagent cost'!$H$16*1.5)*60*7200</f>
        <v>8749530.9395982306</v>
      </c>
      <c r="DI45">
        <f>CF45*'Reagent cost'!$C$17/1000*'Reagent cost'!$H$17*60*7200</f>
        <v>504921.59999999998</v>
      </c>
      <c r="DJ45">
        <f t="shared" si="16"/>
        <v>73.250040973193663</v>
      </c>
      <c r="DK45">
        <f t="shared" si="17"/>
        <v>786.59870253678514</v>
      </c>
      <c r="DL45">
        <f t="shared" si="18"/>
        <v>35785755.614249229</v>
      </c>
      <c r="DM45">
        <f>BK45*(B45*(409.81+2)/1000+C45*(248.2+2*22.99)/1000+D45*(315.6+3*22.99)/1000+0.1*58.44/1000)</f>
        <v>0.70639694042110623</v>
      </c>
      <c r="DN45">
        <f>(BS45+BT45)/1000*('Oxidant Feed Composition'!$B$11*'Oxidant Feed Composition'!$O$20+'Oxidant Feed Composition'!$D$11*'Oxidant Feed Composition'!$O$21+'Oxidant Feed Composition'!$F$11*'Oxidant Feed Composition'!$O$27-'Oxidant Feed Composition'!$J$15*18.015)</f>
        <v>2.1602202878877703</v>
      </c>
      <c r="DO45">
        <f>(BU45+BV45)/1000*(0.2*368.34+0.4*58.44)</f>
        <v>1.4958916195712553</v>
      </c>
      <c r="DP45">
        <f>BK45/1000*(B45*195.08+C45*106.42+D45*102.91)</f>
        <v>4.999938342565946E-2</v>
      </c>
      <c r="DQ45">
        <f>SUM(DM45:DO45)-DP45</f>
        <v>4.3125094644544717</v>
      </c>
      <c r="DR45">
        <f>DQ45*60*7200*0.33</f>
        <v>614791.34925262944</v>
      </c>
      <c r="DS45">
        <v>1.2</v>
      </c>
      <c r="DT45">
        <f>BM45/60*(AM45*4+AN45*2+AO45*3)*96485/DV45</f>
        <v>1405.7912061949582</v>
      </c>
      <c r="DU45">
        <f>BN45*BA45*(AP45*4+AQ45*2+AR45*3)*96485/DV45/60</f>
        <v>706.09632791556498</v>
      </c>
      <c r="DV45">
        <v>0.7</v>
      </c>
      <c r="DW45">
        <f>0.499*((BK45/3.78541*15)^(-0.146))*BK45/3.78541*15*300*(1+(A45-2)/9)</f>
        <v>38528.386667103026</v>
      </c>
      <c r="DX45">
        <f>0.248*((BK45/3.78541*15)^(-0.144))*BK45/3.78541*15*300*(1+(A45-2)/3)</f>
        <v>33220.879177835675</v>
      </c>
      <c r="DY45">
        <f>0.105*((BK45/3.78541*15)^(-0.144))*BK45/3.78541*15*300*(1+(A45-2)/3)</f>
        <v>14065.291587390104</v>
      </c>
      <c r="DZ45">
        <f>0.058*((BK45/3.78541*15)^(-0.151))*BK45/3.78541*15*300*(1+(A45-2)/3)</f>
        <v>7450.7773575794354</v>
      </c>
      <c r="EA45">
        <f>0.056*((BK45/3.78541*15)^(-0.144))*BK45/3.78541*15*300*(1+(A45-2)/3)</f>
        <v>7501.4888466080574</v>
      </c>
      <c r="EB45">
        <f>DS45*DT45/(3.6*10^6)*3600*7200*0.07</f>
        <v>850.2225215067109</v>
      </c>
      <c r="EC45">
        <f>0.499*((BM45/3.78541*15)^(-0.146))*BM45/3.78541*15*300*(1+(AF45-2)/9)</f>
        <v>36001.204551981551</v>
      </c>
      <c r="ED45">
        <f>0.248*((BM45/3.78541*15)^(-0.144))*BM45/3.78541*15*300*(1+(AF45-2)/3)</f>
        <v>31036.899359153111</v>
      </c>
      <c r="EE45">
        <f>0.105*((BM45/3.78541*15)^(-0.144))*BM45/3.78541*15*300*(1+(AF45-2)/3)</f>
        <v>13140.622712544662</v>
      </c>
      <c r="EF45">
        <f>0.058*((BM45/3.78541*15)^(-0.151))*BM45/3.78541*15*300*(1+(AF45-2)/3)</f>
        <v>6964.8264458875174</v>
      </c>
      <c r="EG45">
        <f>0.056*((BM45/3.78541*15)^(-0.144))*BM45/3.78541*15*300*(1+(AF45-2)/3)</f>
        <v>7008.3321133571535</v>
      </c>
      <c r="EH45">
        <f>DS45*DU45/(3.6*10^6)*3600*7200*0.07</f>
        <v>427.04705912333372</v>
      </c>
      <c r="EI45">
        <f>SUM(DW45:EH45)</f>
        <v>196195.97840007034</v>
      </c>
      <c r="EJ45">
        <f>EI45+DR45+DL45</f>
        <v>36596742.94190193</v>
      </c>
      <c r="EK45">
        <f>EJ45+DF45</f>
        <v>37282116.727771968</v>
      </c>
      <c r="EL45">
        <f>EK45/(BK45*60*7200)</f>
        <v>0.86301196129101776</v>
      </c>
      <c r="EM45">
        <f>EK45/(BM45*(AM45*195.084/1000+AN45*106.42/1000+AO45*102.911/1000)*60*7200)</f>
        <v>2887.4990870315823</v>
      </c>
      <c r="EN45">
        <f>EK45/(BN45*BA45*(AP45*195.084/1000+AQ45*106.42/1000+AR45*102.911/1000)*60*7200)</f>
        <v>5296.5854890163801</v>
      </c>
    </row>
    <row r="46" spans="1:144">
      <c r="A46">
        <f>'Costing 100 Lmin Feed Orig'!A46</f>
        <v>7</v>
      </c>
      <c r="B46">
        <f>'Costing 100 Lmin Feed Orig'!B46</f>
        <v>1.54143585092054E-3</v>
      </c>
      <c r="C46">
        <f>'Costing 100 Lmin Feed Orig'!C46</f>
        <v>1.54143585092054E-3</v>
      </c>
      <c r="D46">
        <f>'Costing 100 Lmin Feed Orig'!D46</f>
        <v>3.4254130020456501E-4</v>
      </c>
      <c r="E46">
        <f>'Costing 100 Lmin Feed Orig'!E46</f>
        <v>0</v>
      </c>
      <c r="F46">
        <f>'Costing 100 Lmin Feed Orig'!F46</f>
        <v>0</v>
      </c>
      <c r="G46">
        <f>'Costing 100 Lmin Feed Orig'!G46</f>
        <v>0</v>
      </c>
      <c r="H46">
        <f>'Costing 100 Lmin Feed Orig'!H46</f>
        <v>1.7744466230058299E-5</v>
      </c>
      <c r="I46">
        <f>'Costing 100 Lmin Feed Orig'!I46</f>
        <v>1.2927742824924801E-8</v>
      </c>
      <c r="J46">
        <f>'Costing 100 Lmin Feed Orig'!J46</f>
        <v>3.3739048286900598E-4</v>
      </c>
      <c r="K46">
        <f>'Costing 100 Lmin Feed Orig'!K46</f>
        <v>0.13716795306346499</v>
      </c>
      <c r="L46">
        <f>'Costing 100 Lmin Feed Orig'!L46</f>
        <v>0.138764207307677</v>
      </c>
      <c r="M46">
        <f>'Costing 100 Lmin Feed Orig'!M46</f>
        <v>4.6369433969460899E-4</v>
      </c>
      <c r="N46">
        <f>'Costing 100 Lmin Feed Orig'!N46</f>
        <v>-1.1037178115902399E-16</v>
      </c>
      <c r="O46">
        <f>'Costing 100 Lmin Feed Orig'!O46</f>
        <v>-5.3700533603207003E-15</v>
      </c>
      <c r="P46">
        <f>'Costing 100 Lmin Feed Orig'!P46</f>
        <v>-3.4304834363799101E-19</v>
      </c>
      <c r="Q46">
        <f>'Costing 100 Lmin Feed Orig'!Q46</f>
        <v>0.111082169753281</v>
      </c>
      <c r="R46">
        <f>'Costing 100 Lmin Feed Orig'!R46</f>
        <v>98.496293050653193</v>
      </c>
      <c r="S46">
        <f>'Costing 100 Lmin Feed Orig'!S46</f>
        <v>500</v>
      </c>
      <c r="T46">
        <f>'Costing 100 Lmin Feed Orig'!T46</f>
        <v>95</v>
      </c>
      <c r="U46">
        <f>'Costing 100 Lmin Feed Orig'!U46</f>
        <v>1</v>
      </c>
      <c r="V46">
        <f>'Costing 100 Lmin Feed Orig'!V46</f>
        <v>0.1</v>
      </c>
      <c r="W46">
        <f>'Costing 100 Lmin Feed Orig'!W46</f>
        <v>90.023448607553206</v>
      </c>
      <c r="X46" t="str">
        <f>'Costing 100 Lmin Feed Orig'!X46</f>
        <v>ddFc</v>
      </c>
      <c r="Y46">
        <f>'Costing 100 Lmin Feed Orig'!Y46</f>
        <v>1</v>
      </c>
      <c r="Z46">
        <f>'Costing 100 Lmin Feed Orig'!Z46</f>
        <v>0.28318429382522198</v>
      </c>
      <c r="AA46">
        <f>'Costing 100 Lmin Feed Orig'!AA46</f>
        <v>0.56945642916197003</v>
      </c>
      <c r="AB46">
        <f>'Costing 100 Lmin Feed Orig'!AB46</f>
        <v>3.7698628972227502E-3</v>
      </c>
      <c r="AC46">
        <f>'Costing 100 Lmin Feed Orig'!AC46</f>
        <v>1822.2107908876901</v>
      </c>
      <c r="AD46">
        <f>'Costing 100 Lmin Feed Orig'!AD46</f>
        <v>2662.6059073104898</v>
      </c>
      <c r="AE46">
        <f>'Costing 100 Lmin Feed Orig'!AE46</f>
        <v>2401.5030938442701</v>
      </c>
      <c r="AF46">
        <f>'Costing 100 Lmin Feed Orig'!AF46</f>
        <v>8</v>
      </c>
      <c r="AG46">
        <f>'Costing 100 Lmin Feed Orig'!AG46</f>
        <v>1.64967327652189E-3</v>
      </c>
      <c r="AH46">
        <f>'Costing 100 Lmin Feed Orig'!AH46</f>
        <v>1.66887089455438E-3</v>
      </c>
      <c r="AI46">
        <f>'Costing 100 Lmin Feed Orig'!AI46</f>
        <v>5.5766973522943398E-6</v>
      </c>
      <c r="AJ46">
        <f>'Costing 100 Lmin Feed Orig'!AJ46</f>
        <v>0</v>
      </c>
      <c r="AK46">
        <f>'Costing 100 Lmin Feed Orig'!AK46</f>
        <v>0</v>
      </c>
      <c r="AL46">
        <f>'Costing 100 Lmin Feed Orig'!AL46</f>
        <v>0</v>
      </c>
      <c r="AM46">
        <f>'Costing 100 Lmin Feed Orig'!AM46</f>
        <v>1.6126668855832699E-3</v>
      </c>
      <c r="AN46">
        <f>'Costing 100 Lmin Feed Orig'!AN46</f>
        <v>7.9337240379229206E-5</v>
      </c>
      <c r="AO46">
        <f>'Costing 100 Lmin Feed Orig'!AO46</f>
        <v>5.5399641251523699E-6</v>
      </c>
      <c r="AP46">
        <f>'Costing 100 Lmin Feed Orig'!AP46</f>
        <v>1.7350315599837401E-3</v>
      </c>
      <c r="AQ46">
        <f>'Costing 100 Lmin Feed Orig'!AQ46</f>
        <v>7.4524723667687906E-2</v>
      </c>
      <c r="AR46">
        <f>'Costing 100 Lmin Feed Orig'!AR46</f>
        <v>1.7222243722089301E-6</v>
      </c>
      <c r="AS46">
        <f>'Costing 100 Lmin Feed Orig'!AS46</f>
        <v>5.7278333009773403E-15</v>
      </c>
      <c r="AT46">
        <f>'Costing 100 Lmin Feed Orig'!AT46</f>
        <v>-1.34509916226155E-12</v>
      </c>
      <c r="AU46">
        <f>'Costing 100 Lmin Feed Orig'!AU46</f>
        <v>2.7085201977436299E-20</v>
      </c>
      <c r="AV46">
        <f>'Costing 100 Lmin Feed Orig'!AV46</f>
        <v>0.19700099793756001</v>
      </c>
      <c r="AW46">
        <f>'Costing 100 Lmin Feed Orig'!AW46</f>
        <v>99.341308577076504</v>
      </c>
      <c r="AX46">
        <f>'Costing 100 Lmin Feed Orig'!AX46</f>
        <v>500</v>
      </c>
      <c r="AY46">
        <f>'Costing 100 Lmin Feed Orig'!AY46</f>
        <v>95</v>
      </c>
      <c r="AZ46">
        <f>'Costing 100 Lmin Feed Orig'!AZ46</f>
        <v>0.92363221637625403</v>
      </c>
      <c r="BA46">
        <f>'Costing 100 Lmin Feed Orig'!BA46</f>
        <v>0.1</v>
      </c>
      <c r="BB46">
        <f>'Costing 100 Lmin Feed Orig'!BB46</f>
        <v>46.884646577729498</v>
      </c>
      <c r="BC46" t="str">
        <f>'Costing 100 Lmin Feed Orig'!BC46</f>
        <v>coeFc</v>
      </c>
      <c r="BD46">
        <f>'Costing 100 Lmin Feed Orig'!BD46</f>
        <v>1</v>
      </c>
      <c r="BE46">
        <f>'Costing 100 Lmin Feed Orig'!BE46</f>
        <v>1.8775014999999999E-2</v>
      </c>
      <c r="BF46">
        <f>'Costing 100 Lmin Feed Orig'!BF46</f>
        <v>0.10492961100000001</v>
      </c>
      <c r="BG46">
        <f>'Costing 100 Lmin Feed Orig'!BG46</f>
        <v>1.814625E-3</v>
      </c>
      <c r="BH46">
        <f>'Costing 100 Lmin Feed Orig'!BH46</f>
        <v>285.1951444</v>
      </c>
      <c r="BI46">
        <f>'Costing 100 Lmin Feed Orig'!BI46</f>
        <v>2169.8944889999998</v>
      </c>
      <c r="BJ46">
        <f>'Costing 100 Lmin Feed Orig'!BJ46</f>
        <v>866.49409060000005</v>
      </c>
      <c r="BK46">
        <f>'Costing 100 Lmin Feed Orig'!BK46</f>
        <v>100</v>
      </c>
      <c r="BL46">
        <f>'Costing 100 Lmin Feed Orig'!BL46</f>
        <v>11.1082169753281</v>
      </c>
      <c r="BM46">
        <f>'Costing 100 Lmin Feed Orig'!BM46</f>
        <v>92.363221637625401</v>
      </c>
      <c r="BN46">
        <f>'Costing 100 Lmin Feed Orig'!BN46</f>
        <v>19.700099793756003</v>
      </c>
      <c r="BO46">
        <f t="shared" si="1"/>
        <v>199.94790555590581</v>
      </c>
      <c r="BP46">
        <f t="shared" si="2"/>
        <v>394.00199587512009</v>
      </c>
      <c r="BQ46">
        <f t="shared" si="3"/>
        <v>19.994790555590583</v>
      </c>
      <c r="BR46">
        <f t="shared" si="4"/>
        <v>39.400199587512013</v>
      </c>
      <c r="BS46">
        <f>1.2*0.5*BL46*V46/'Oxidant Feed Composition'!$N$22</f>
        <v>6.6649301851968596</v>
      </c>
      <c r="BT46">
        <f>1.2*0.5*BN46*BA46/'Oxidant Feed Composition'!$N$22</f>
        <v>11.8200598762536</v>
      </c>
      <c r="BU46">
        <f t="shared" si="5"/>
        <v>5.5541084876640499</v>
      </c>
      <c r="BV46">
        <f t="shared" si="6"/>
        <v>9.8500498968780015</v>
      </c>
      <c r="BW46">
        <f t="shared" si="7"/>
        <v>86.809113149961348</v>
      </c>
      <c r="BX46">
        <f t="shared" si="0"/>
        <v>35.54629432104992</v>
      </c>
      <c r="BY46">
        <f t="shared" si="8"/>
        <v>206.94287722590701</v>
      </c>
      <c r="BZ46">
        <f t="shared" si="9"/>
        <v>63.040319340019209</v>
      </c>
      <c r="CA46">
        <f t="shared" si="10"/>
        <v>59.100299381268009</v>
      </c>
      <c r="CB46">
        <f>BO46*'Reagent cost'!$G$11*'Reagent cost'!$H$11</f>
        <v>2639.3123533379567</v>
      </c>
      <c r="CC46">
        <f>BP46*'Reagent cost'!$G$11*'Reagent cost'!$H$11</f>
        <v>5200.8263455515853</v>
      </c>
      <c r="CD46">
        <f>BQ46*'Reagent cost'!$C$18/1000*'Reagent cost'!$H$18</f>
        <v>3188.7782491883527</v>
      </c>
      <c r="CE46">
        <f>BR46*'Ligand cost'!$B$56*'Ligand cost'!$J$56</f>
        <v>40114.435843849977</v>
      </c>
      <c r="CF46">
        <f t="shared" si="11"/>
        <v>10</v>
      </c>
      <c r="CG46">
        <f t="shared" si="12"/>
        <v>2.22164339506562</v>
      </c>
      <c r="CH46">
        <f t="shared" si="12"/>
        <v>3.9400199587512006</v>
      </c>
      <c r="CI46">
        <f>7963.6*(BX46/1000)^0.6*1.7*('CAPEX+OPEX'!$G$116/'CAPEX+OPEX'!$G$115)</f>
        <v>2156.3414312027717</v>
      </c>
      <c r="CJ46">
        <f>7963.6*(BY46/1000)^0.6*1.7*('CAPEX+OPEX'!$G$116/'CAPEX+OPEX'!$G$115)</f>
        <v>6205.1347590783025</v>
      </c>
      <c r="CK46">
        <f>7963.6*(BZ46/1000)^0.6*1.7*('CAPEX+OPEX'!$G$116/'CAPEX+OPEX'!$G$115)</f>
        <v>3040.9688433532851</v>
      </c>
      <c r="CL46">
        <f>7963.6*(CA46/1000)^0.6*1.7*('CAPEX+OPEX'!$G$116/'CAPEX+OPEX'!$G$115)</f>
        <v>2925.4638532933714</v>
      </c>
      <c r="CM46">
        <f>'Costing 100 Lmin Feed Orig'!DE46</f>
        <v>39625.826528698344</v>
      </c>
      <c r="CN46">
        <f>'Costing 100 Lmin Feed Orig'!DF46</f>
        <v>4586243.4239371875</v>
      </c>
      <c r="CO46">
        <f>'Costing 100 Lmin Feed Orig'!DG46</f>
        <v>11794834.586807497</v>
      </c>
      <c r="CP46">
        <f>'Costing 100 Lmin Feed Orig'!DH46</f>
        <v>2275209.1661185985</v>
      </c>
      <c r="CQ46">
        <f>'Costing 100 Lmin Feed Orig'!DI46</f>
        <v>14083914.336508472</v>
      </c>
      <c r="CR46">
        <f>'Costing 100 Lmin Feed Orig'!DJ46</f>
        <v>1662824.8986326549</v>
      </c>
      <c r="CS46">
        <f>CN46*(BK46/10000)^0.72*((A46+1)/3)^0.6*('CAPEX+OPEX'!$G$116/'CAPEX+OPEX'!$G$114)</f>
        <v>700033.84449786716</v>
      </c>
      <c r="CT46">
        <f>CO46*(BK46/10000)^0.72*((A46+1)/3)^0.6*('CAPEX+OPEX'!$G$116/'CAPEX+OPEX'!$G$114)</f>
        <v>1800336.9288957189</v>
      </c>
      <c r="CU46">
        <f>CP46*(BK46/10000)^0.72*((A46+1)/3)^0.6*('CAPEX+OPEX'!$G$116/'CAPEX+OPEX'!$G$114)</f>
        <v>347282.79168127343</v>
      </c>
      <c r="CV46">
        <f>CQ46*(BK46/10000)^0.72*((A46+1)/3)^0.6*('CAPEX+OPEX'!$G$116/'CAPEX+OPEX'!$G$114)</f>
        <v>2149736.8951473436</v>
      </c>
      <c r="CW46">
        <f>CR46*(BK46/10000)^0.72*((A46+1)/3)^0.6*('CAPEX+OPEX'!$G$116/'CAPEX+OPEX'!$G$114)</f>
        <v>253809.83932102245</v>
      </c>
      <c r="CX46">
        <f t="shared" si="13"/>
        <v>5251200.2995432261</v>
      </c>
      <c r="CY46">
        <f>CN46*(BM46/10000)^0.72*((AF46+1)/3)^0.6*('CAPEX+OPEX'!$G$116/'CAPEX+OPEX'!$G$114)</f>
        <v>709528.56289770885</v>
      </c>
      <c r="CZ46">
        <f>CO46*(BM46/10000)^0.72*((AF46+1)/3)^0.6*('CAPEX+OPEX'!$G$116/'CAPEX+OPEX'!$G$114)</f>
        <v>1824755.3085198672</v>
      </c>
      <c r="DA46">
        <f>CP46*(BM46/10000)^0.72*((AF46+1)/3)^0.6*('CAPEX+OPEX'!$G$116/'CAPEX+OPEX'!$G$114)</f>
        <v>351993.06724586396</v>
      </c>
      <c r="DB46">
        <f>CQ46*(BM46/10000)^0.72*((AF46+1)/3)^0.6*('CAPEX+OPEX'!$G$116/'CAPEX+OPEX'!$G$114)</f>
        <v>2178894.2660567677</v>
      </c>
      <c r="DC46">
        <f>CR46*(BM46/10000)^0.72*((AF46+1)/3)^0.6*('CAPEX+OPEX'!$G$116/'CAPEX+OPEX'!$G$114)</f>
        <v>257252.31995307075</v>
      </c>
      <c r="DD46">
        <f t="shared" si="14"/>
        <v>5322423.5246732784</v>
      </c>
      <c r="DE46">
        <f>CX46+DD46+1.15*(SUM(CI46:CL46)+SUM(CB46:CE46))</f>
        <v>10648915.775147188</v>
      </c>
      <c r="DF46">
        <f t="shared" si="15"/>
        <v>709927.71834314591</v>
      </c>
      <c r="DG46">
        <f>(BS46+BT46)*'Oxidant Feed Composition'!$N$28*60*7200</f>
        <v>20552258.209233955</v>
      </c>
      <c r="DH46">
        <f>((CG46+CH46)*'Reagent cost'!$C$17/1000*'Reagent cost'!$H$17+(CG46+CH46)*0.5*'Reagent cost'!$C$16/1000*'Reagent cost'!$H$16*1.5)*60*7200</f>
        <v>8743620.6401475985</v>
      </c>
      <c r="DI46">
        <f>CF46*'Reagent cost'!$C$17/1000*'Reagent cost'!$H$17*60*7200</f>
        <v>504921.59999999998</v>
      </c>
      <c r="DJ46">
        <f t="shared" si="16"/>
        <v>78.401386988895425</v>
      </c>
      <c r="DK46">
        <f t="shared" si="17"/>
        <v>866.06428186076664</v>
      </c>
      <c r="DL46">
        <f t="shared" si="18"/>
        <v>35762093.898060478</v>
      </c>
      <c r="DM46">
        <f>BK46*(B46*(409.81+2)/1000+C46*(248.2+2*22.99)/1000+D46*(315.6+3*22.99)/1000+0.1*58.44/1000)</f>
        <v>0.70639694042110623</v>
      </c>
      <c r="DN46">
        <f>(BS46+BT46)/1000*('Oxidant Feed Composition'!$B$11*'Oxidant Feed Composition'!$O$20+'Oxidant Feed Composition'!$D$11*'Oxidant Feed Composition'!$O$21+'Oxidant Feed Composition'!$F$11*'Oxidant Feed Composition'!$O$27-'Oxidant Feed Composition'!$J$15*18.015)</f>
        <v>2.158761061231063</v>
      </c>
      <c r="DO46">
        <f>(BU46+BV46)/1000*(0.2*368.34+0.4*58.44)</f>
        <v>1.4948811462694986</v>
      </c>
      <c r="DP46">
        <f>BK46/1000*(B46*195.08+C46*106.42+D46*102.91)</f>
        <v>4.999938342565946E-2</v>
      </c>
      <c r="DQ46">
        <f>SUM(DM46:DO46)-DP46</f>
        <v>4.3100397644960085</v>
      </c>
      <c r="DR46">
        <f>DQ46*60*7200*0.33</f>
        <v>614439.26882655104</v>
      </c>
      <c r="DS46">
        <v>1.2</v>
      </c>
      <c r="DT46">
        <f>BM46/60*(AM46*4+AN46*2+AO46*3)*96485/DV46</f>
        <v>1405.9132334970786</v>
      </c>
      <c r="DU46">
        <f>BN46*BA46*(AP46*4+AQ46*2+AR46*3)*96485/DV46/60</f>
        <v>705.97430122516892</v>
      </c>
      <c r="DV46">
        <v>0.7</v>
      </c>
      <c r="DW46">
        <f>0.499*((BK46/3.78541*15)^(-0.146))*BK46/3.78541*15*300*(1+(A46-2)/9)</f>
        <v>38528.386667103026</v>
      </c>
      <c r="DX46">
        <f>0.248*((BK46/3.78541*15)^(-0.144))*BK46/3.78541*15*300*(1+(A46-2)/3)</f>
        <v>33220.879177835675</v>
      </c>
      <c r="DY46">
        <f>0.105*((BK46/3.78541*15)^(-0.144))*BK46/3.78541*15*300*(1+(A46-2)/3)</f>
        <v>14065.291587390104</v>
      </c>
      <c r="DZ46">
        <f>0.058*((BK46/3.78541*15)^(-0.151))*BK46/3.78541*15*300*(1+(A46-2)/3)</f>
        <v>7450.7773575794354</v>
      </c>
      <c r="EA46">
        <f>0.056*((BK46/3.78541*15)^(-0.144))*BK46/3.78541*15*300*(1+(A46-2)/3)</f>
        <v>7501.4888466080574</v>
      </c>
      <c r="EB46">
        <f>DS46*DT46/(3.6*10^6)*3600*7200*0.07</f>
        <v>850.29632361903327</v>
      </c>
      <c r="EC46">
        <f>0.499*((BM46/3.78541*15)^(-0.146))*BM46/3.78541*15*300*(1+(AF46-2)/9)</f>
        <v>38572.719162837369</v>
      </c>
      <c r="ED46">
        <f>0.248*((BM46/3.78541*15)^(-0.144))*BM46/3.78541*15*300*(1+(AF46-2)/3)</f>
        <v>34916.511779047243</v>
      </c>
      <c r="EE46">
        <f>0.105*((BM46/3.78541*15)^(-0.144))*BM46/3.78541*15*300*(1+(AF46-2)/3)</f>
        <v>14783.200551612743</v>
      </c>
      <c r="EF46">
        <f>0.058*((BM46/3.78541*15)^(-0.151))*BM46/3.78541*15*300*(1+(AF46-2)/3)</f>
        <v>7835.4297516234565</v>
      </c>
      <c r="EG46">
        <f>0.056*((BM46/3.78541*15)^(-0.144))*BM46/3.78541*15*300*(1+(AF46-2)/3)</f>
        <v>7884.3736275267966</v>
      </c>
      <c r="EH46">
        <f>DS46*DU46/(3.6*10^6)*3600*7200*0.07</f>
        <v>426.9732573809822</v>
      </c>
      <c r="EI46">
        <f>SUM(DW46:EH46)</f>
        <v>206036.32809016391</v>
      </c>
      <c r="EJ46">
        <f>EI46+DR46+DL46</f>
        <v>36582569.494977191</v>
      </c>
      <c r="EK46">
        <f>EJ46+DF46</f>
        <v>37292497.213320337</v>
      </c>
      <c r="EL46">
        <f>EK46/(BK46*60*7200)</f>
        <v>0.86325225030834118</v>
      </c>
      <c r="EM46">
        <f>EK46/(BM46*(AM46*195.084/1000+AN46*106.42/1000+AO46*102.911/1000)*60*7200)</f>
        <v>2888.0522004131794</v>
      </c>
      <c r="EN46">
        <f>EK46/(BN46*BA46*(AP46*195.084/1000+AQ46*106.42/1000+AR46*102.911/1000)*60*7200)</f>
        <v>5298.9044796864464</v>
      </c>
    </row>
    <row r="47" spans="1:144">
      <c r="A47">
        <f>'Costing 100 Lmin Feed Orig'!A47</f>
        <v>7</v>
      </c>
      <c r="B47">
        <f>'Costing 100 Lmin Feed Orig'!B47</f>
        <v>1.54143585092054E-3</v>
      </c>
      <c r="C47">
        <f>'Costing 100 Lmin Feed Orig'!C47</f>
        <v>1.54143585092054E-3</v>
      </c>
      <c r="D47">
        <f>'Costing 100 Lmin Feed Orig'!D47</f>
        <v>3.4254130020456501E-4</v>
      </c>
      <c r="E47">
        <f>'Costing 100 Lmin Feed Orig'!E47</f>
        <v>0</v>
      </c>
      <c r="F47">
        <f>'Costing 100 Lmin Feed Orig'!F47</f>
        <v>0</v>
      </c>
      <c r="G47">
        <f>'Costing 100 Lmin Feed Orig'!G47</f>
        <v>0</v>
      </c>
      <c r="H47">
        <f>'Costing 100 Lmin Feed Orig'!H47</f>
        <v>1.7744466230058299E-5</v>
      </c>
      <c r="I47">
        <f>'Costing 100 Lmin Feed Orig'!I47</f>
        <v>1.2927742824924801E-8</v>
      </c>
      <c r="J47">
        <f>'Costing 100 Lmin Feed Orig'!J47</f>
        <v>3.3739048286900598E-4</v>
      </c>
      <c r="K47">
        <f>'Costing 100 Lmin Feed Orig'!K47</f>
        <v>0.13716795306346499</v>
      </c>
      <c r="L47">
        <f>'Costing 100 Lmin Feed Orig'!L47</f>
        <v>0.138764207307677</v>
      </c>
      <c r="M47">
        <f>'Costing 100 Lmin Feed Orig'!M47</f>
        <v>4.6369433969460899E-4</v>
      </c>
      <c r="N47">
        <f>'Costing 100 Lmin Feed Orig'!N47</f>
        <v>-1.1037178115902399E-16</v>
      </c>
      <c r="O47">
        <f>'Costing 100 Lmin Feed Orig'!O47</f>
        <v>-5.3700533603207003E-15</v>
      </c>
      <c r="P47">
        <f>'Costing 100 Lmin Feed Orig'!P47</f>
        <v>-3.4304834363799101E-19</v>
      </c>
      <c r="Q47">
        <f>'Costing 100 Lmin Feed Orig'!Q47</f>
        <v>0.111082169753281</v>
      </c>
      <c r="R47">
        <f>'Costing 100 Lmin Feed Orig'!R47</f>
        <v>98.496293050653193</v>
      </c>
      <c r="S47">
        <f>'Costing 100 Lmin Feed Orig'!S47</f>
        <v>500</v>
      </c>
      <c r="T47">
        <f>'Costing 100 Lmin Feed Orig'!T47</f>
        <v>95</v>
      </c>
      <c r="U47">
        <f>'Costing 100 Lmin Feed Orig'!U47</f>
        <v>1</v>
      </c>
      <c r="V47">
        <f>'Costing 100 Lmin Feed Orig'!V47</f>
        <v>0.1</v>
      </c>
      <c r="W47">
        <f>'Costing 100 Lmin Feed Orig'!W47</f>
        <v>90.023448607553206</v>
      </c>
      <c r="X47" t="str">
        <f>'Costing 100 Lmin Feed Orig'!X47</f>
        <v>ddFc</v>
      </c>
      <c r="Y47">
        <f>'Costing 100 Lmin Feed Orig'!Y47</f>
        <v>1</v>
      </c>
      <c r="Z47">
        <f>'Costing 100 Lmin Feed Orig'!Z47</f>
        <v>0.28318429382522198</v>
      </c>
      <c r="AA47">
        <f>'Costing 100 Lmin Feed Orig'!AA47</f>
        <v>0.56945642916197003</v>
      </c>
      <c r="AB47">
        <f>'Costing 100 Lmin Feed Orig'!AB47</f>
        <v>3.7698628972227502E-3</v>
      </c>
      <c r="AC47">
        <f>'Costing 100 Lmin Feed Orig'!AC47</f>
        <v>1822.2107908876901</v>
      </c>
      <c r="AD47">
        <f>'Costing 100 Lmin Feed Orig'!AD47</f>
        <v>2662.6059073104898</v>
      </c>
      <c r="AE47">
        <f>'Costing 100 Lmin Feed Orig'!AE47</f>
        <v>2401.5030938442701</v>
      </c>
      <c r="AF47">
        <f>'Costing 100 Lmin Feed Orig'!AF47</f>
        <v>9</v>
      </c>
      <c r="AG47">
        <f>'Costing 100 Lmin Feed Orig'!AG47</f>
        <v>1.64967327652189E-3</v>
      </c>
      <c r="AH47">
        <f>'Costing 100 Lmin Feed Orig'!AH47</f>
        <v>1.66887089455438E-3</v>
      </c>
      <c r="AI47">
        <f>'Costing 100 Lmin Feed Orig'!AI47</f>
        <v>5.5766973522943398E-6</v>
      </c>
      <c r="AJ47">
        <f>'Costing 100 Lmin Feed Orig'!AJ47</f>
        <v>0</v>
      </c>
      <c r="AK47">
        <f>'Costing 100 Lmin Feed Orig'!AK47</f>
        <v>0</v>
      </c>
      <c r="AL47">
        <f>'Costing 100 Lmin Feed Orig'!AL47</f>
        <v>0</v>
      </c>
      <c r="AM47">
        <f>'Costing 100 Lmin Feed Orig'!AM47</f>
        <v>1.6127064588001699E-3</v>
      </c>
      <c r="AN47">
        <f>'Costing 100 Lmin Feed Orig'!AN47</f>
        <v>7.9339285496144799E-5</v>
      </c>
      <c r="AO47">
        <f>'Costing 100 Lmin Feed Orig'!AO47</f>
        <v>5.5400017762774897E-6</v>
      </c>
      <c r="AP47">
        <f>'Costing 100 Lmin Feed Orig'!AP47</f>
        <v>1.7336940135680801E-3</v>
      </c>
      <c r="AQ47">
        <f>'Costing 100 Lmin Feed Orig'!AQ47</f>
        <v>7.4546893805151004E-2</v>
      </c>
      <c r="AR47">
        <f>'Costing 100 Lmin Feed Orig'!AR47</f>
        <v>1.7209731425580199E-6</v>
      </c>
      <c r="AS47">
        <f>'Costing 100 Lmin Feed Orig'!AS47</f>
        <v>4.4438736544749601E-17</v>
      </c>
      <c r="AT47">
        <f>'Costing 100 Lmin Feed Orig'!AT47</f>
        <v>-5.7289242794133999E-15</v>
      </c>
      <c r="AU47">
        <f>'Costing 100 Lmin Feed Orig'!AU47</f>
        <v>-1.43598554339205E-21</v>
      </c>
      <c r="AV47">
        <f>'Costing 100 Lmin Feed Orig'!AV47</f>
        <v>0.19694215655956099</v>
      </c>
      <c r="AW47">
        <f>'Costing 100 Lmin Feed Orig'!AW47</f>
        <v>99.341983728025795</v>
      </c>
      <c r="AX47">
        <f>'Costing 100 Lmin Feed Orig'!AX47</f>
        <v>500</v>
      </c>
      <c r="AY47">
        <f>'Costing 100 Lmin Feed Orig'!AY47</f>
        <v>95</v>
      </c>
      <c r="AZ47">
        <f>'Costing 100 Lmin Feed Orig'!AZ47</f>
        <v>0.92363221637625403</v>
      </c>
      <c r="BA47">
        <f>'Costing 100 Lmin Feed Orig'!BA47</f>
        <v>0.1</v>
      </c>
      <c r="BB47">
        <f>'Costing 100 Lmin Feed Orig'!BB47</f>
        <v>46.898654534480997</v>
      </c>
      <c r="BC47" t="str">
        <f>'Costing 100 Lmin Feed Orig'!BC47</f>
        <v>coeFc</v>
      </c>
      <c r="BD47">
        <f>'Costing 100 Lmin Feed Orig'!BD47</f>
        <v>1</v>
      </c>
      <c r="BE47">
        <f>'Costing 100 Lmin Feed Orig'!BE47</f>
        <v>1.8775014999999999E-2</v>
      </c>
      <c r="BF47">
        <f>'Costing 100 Lmin Feed Orig'!BF47</f>
        <v>0.10492961100000001</v>
      </c>
      <c r="BG47">
        <f>'Costing 100 Lmin Feed Orig'!BG47</f>
        <v>1.814625E-3</v>
      </c>
      <c r="BH47">
        <f>'Costing 100 Lmin Feed Orig'!BH47</f>
        <v>285.1951444</v>
      </c>
      <c r="BI47">
        <f>'Costing 100 Lmin Feed Orig'!BI47</f>
        <v>2169.8944889999998</v>
      </c>
      <c r="BJ47">
        <f>'Costing 100 Lmin Feed Orig'!BJ47</f>
        <v>866.49409060000005</v>
      </c>
      <c r="BK47">
        <f>'Costing 100 Lmin Feed Orig'!BK47</f>
        <v>100</v>
      </c>
      <c r="BL47">
        <f>'Costing 100 Lmin Feed Orig'!BL47</f>
        <v>11.1082169753281</v>
      </c>
      <c r="BM47">
        <f>'Costing 100 Lmin Feed Orig'!BM47</f>
        <v>92.363221637625401</v>
      </c>
      <c r="BN47">
        <f>'Costing 100 Lmin Feed Orig'!BN47</f>
        <v>19.6942156559561</v>
      </c>
      <c r="BO47">
        <f t="shared" si="1"/>
        <v>199.94790555590581</v>
      </c>
      <c r="BP47">
        <f t="shared" si="2"/>
        <v>433.2727444310342</v>
      </c>
      <c r="BQ47">
        <f t="shared" si="3"/>
        <v>19.994790555590583</v>
      </c>
      <c r="BR47">
        <f t="shared" si="4"/>
        <v>43.32727444310342</v>
      </c>
      <c r="BS47">
        <f>1.2*0.5*BL47*V47/'Oxidant Feed Composition'!$N$22</f>
        <v>6.6649301851968596</v>
      </c>
      <c r="BT47">
        <f>1.2*0.5*BN47*BA47/'Oxidant Feed Composition'!$N$22</f>
        <v>11.81652939357366</v>
      </c>
      <c r="BU47">
        <f t="shared" si="5"/>
        <v>5.5541084876640499</v>
      </c>
      <c r="BV47">
        <f t="shared" si="6"/>
        <v>9.84710782797805</v>
      </c>
      <c r="BW47">
        <f t="shared" si="7"/>
        <v>86.809113149961348</v>
      </c>
      <c r="BX47">
        <f t="shared" si="0"/>
        <v>35.54629432104992</v>
      </c>
      <c r="BY47">
        <f t="shared" si="8"/>
        <v>206.94287722590701</v>
      </c>
      <c r="BZ47">
        <f t="shared" si="9"/>
        <v>63.02149009905952</v>
      </c>
      <c r="CA47">
        <f t="shared" si="10"/>
        <v>59.0826469678683</v>
      </c>
      <c r="CB47">
        <f>BO47*'Reagent cost'!$G$11*'Reagent cost'!$H$11</f>
        <v>2639.3123533379567</v>
      </c>
      <c r="CC47">
        <f>BP47*'Reagent cost'!$G$11*'Reagent cost'!$H$11</f>
        <v>5719.2002264896519</v>
      </c>
      <c r="CD47">
        <f>BQ47*'Reagent cost'!$C$18/1000*'Reagent cost'!$H$18</f>
        <v>3188.7782491883527</v>
      </c>
      <c r="CE47">
        <f>BR47*'Ligand cost'!$B$56*'Ligand cost'!$J$56</f>
        <v>44112.69965971521</v>
      </c>
      <c r="CF47">
        <f t="shared" si="11"/>
        <v>10</v>
      </c>
      <c r="CG47">
        <f t="shared" si="12"/>
        <v>2.22164339506562</v>
      </c>
      <c r="CH47">
        <f t="shared" si="12"/>
        <v>3.93884313119122</v>
      </c>
      <c r="CI47">
        <f>7963.6*(BX47/1000)^0.6*1.7*('CAPEX+OPEX'!$G$116/'CAPEX+OPEX'!$G$115)</f>
        <v>2156.3414312027717</v>
      </c>
      <c r="CJ47">
        <f>7963.6*(BY47/1000)^0.6*1.7*('CAPEX+OPEX'!$G$116/'CAPEX+OPEX'!$G$115)</f>
        <v>6205.1347590783025</v>
      </c>
      <c r="CK47">
        <f>7963.6*(BZ47/1000)^0.6*1.7*('CAPEX+OPEX'!$G$116/'CAPEX+OPEX'!$G$115)</f>
        <v>3040.4238344763421</v>
      </c>
      <c r="CL47">
        <f>7963.6*(CA47/1000)^0.6*1.7*('CAPEX+OPEX'!$G$116/'CAPEX+OPEX'!$G$115)</f>
        <v>2924.9395454653882</v>
      </c>
      <c r="CM47">
        <f>'Costing 100 Lmin Feed Orig'!DE47</f>
        <v>39625.826528698344</v>
      </c>
      <c r="CN47">
        <f>'Costing 100 Lmin Feed Orig'!DF47</f>
        <v>4586243.4239371875</v>
      </c>
      <c r="CO47">
        <f>'Costing 100 Lmin Feed Orig'!DG47</f>
        <v>11794834.586807497</v>
      </c>
      <c r="CP47">
        <f>'Costing 100 Lmin Feed Orig'!DH47</f>
        <v>2275209.1661185985</v>
      </c>
      <c r="CQ47">
        <f>'Costing 100 Lmin Feed Orig'!DI47</f>
        <v>14083914.336508472</v>
      </c>
      <c r="CR47">
        <f>'Costing 100 Lmin Feed Orig'!DJ47</f>
        <v>1662824.8986326549</v>
      </c>
      <c r="CS47">
        <f>CN47*(BK47/10000)^0.72*((A47+1)/3)^0.6*('CAPEX+OPEX'!$G$116/'CAPEX+OPEX'!$G$114)</f>
        <v>700033.84449786716</v>
      </c>
      <c r="CT47">
        <f>CO47*(BK47/10000)^0.72*((A47+1)/3)^0.6*('CAPEX+OPEX'!$G$116/'CAPEX+OPEX'!$G$114)</f>
        <v>1800336.9288957189</v>
      </c>
      <c r="CU47">
        <f>CP47*(BK47/10000)^0.72*((A47+1)/3)^0.6*('CAPEX+OPEX'!$G$116/'CAPEX+OPEX'!$G$114)</f>
        <v>347282.79168127343</v>
      </c>
      <c r="CV47">
        <f>CQ47*(BK47/10000)^0.72*((A47+1)/3)^0.6*('CAPEX+OPEX'!$G$116/'CAPEX+OPEX'!$G$114)</f>
        <v>2149736.8951473436</v>
      </c>
      <c r="CW47">
        <f>CR47*(BK47/10000)^0.72*((A47+1)/3)^0.6*('CAPEX+OPEX'!$G$116/'CAPEX+OPEX'!$G$114)</f>
        <v>253809.83932102245</v>
      </c>
      <c r="CX47">
        <f t="shared" si="13"/>
        <v>5251200.2995432261</v>
      </c>
      <c r="CY47">
        <f>CN47*(BM47/10000)^0.72*((AF47+1)/3)^0.6*('CAPEX+OPEX'!$G$116/'CAPEX+OPEX'!$G$114)</f>
        <v>755830.43823057832</v>
      </c>
      <c r="CZ47">
        <f>CO47*(BM47/10000)^0.72*((AF47+1)/3)^0.6*('CAPEX+OPEX'!$G$116/'CAPEX+OPEX'!$G$114)</f>
        <v>1943833.8026442246</v>
      </c>
      <c r="DA47">
        <f>CP47*(BM47/10000)^0.72*((AF47+1)/3)^0.6*('CAPEX+OPEX'!$G$116/'CAPEX+OPEX'!$G$114)</f>
        <v>374963.16312345862</v>
      </c>
      <c r="DB47">
        <f>CQ47*(BM47/10000)^0.72*((AF47+1)/3)^0.6*('CAPEX+OPEX'!$G$116/'CAPEX+OPEX'!$G$114)</f>
        <v>2321082.8909352971</v>
      </c>
      <c r="DC47">
        <f>CR47*(BM47/10000)^0.72*((AF47+1)/3)^0.6*('CAPEX+OPEX'!$G$116/'CAPEX+OPEX'!$G$114)</f>
        <v>274039.89619794104</v>
      </c>
      <c r="DD47">
        <f t="shared" si="14"/>
        <v>5669750.1911314996</v>
      </c>
      <c r="DE47">
        <f>CX47+DD47+1.15*(SUM(CI47:CL47)+SUM(CB47:CE47))</f>
        <v>11001435.345242525</v>
      </c>
      <c r="DF47">
        <f t="shared" si="15"/>
        <v>733429.02301616827</v>
      </c>
      <c r="DG47">
        <f>(BS47+BT47)*'Oxidant Feed Composition'!$N$28*60*7200</f>
        <v>20548332.895160202</v>
      </c>
      <c r="DH47">
        <f>((CG47+CH47)*'Reagent cost'!$C$17/1000*'Reagent cost'!$H$17+(CG47+CH47)*0.5*'Reagent cost'!$C$16/1000*'Reagent cost'!$H$16*1.5)*60*7200</f>
        <v>8741950.6797566321</v>
      </c>
      <c r="DI47">
        <f>CF47*'Reagent cost'!$C$17/1000*'Reagent cost'!$H$17*60*7200</f>
        <v>504921.59999999998</v>
      </c>
      <c r="DJ47">
        <f t="shared" si="16"/>
        <v>83.585125798276096</v>
      </c>
      <c r="DK47">
        <f t="shared" si="17"/>
        <v>946.02955817807128</v>
      </c>
      <c r="DL47">
        <f t="shared" si="18"/>
        <v>35755481.747520968</v>
      </c>
      <c r="DM47">
        <f>BK47*(B47*(409.81+2)/1000+C47*(248.2+2*22.99)/1000+D47*(315.6+3*22.99)/1000+0.1*58.44/1000)</f>
        <v>0.70639694042110623</v>
      </c>
      <c r="DN47">
        <f>(BS47+BT47)/1000*('Oxidant Feed Composition'!$B$11*'Oxidant Feed Composition'!$O$20+'Oxidant Feed Composition'!$D$11*'Oxidant Feed Composition'!$O$21+'Oxidant Feed Composition'!$F$11*'Oxidant Feed Composition'!$O$27-'Oxidant Feed Composition'!$J$15*18.015)</f>
        <v>2.1583487554353087</v>
      </c>
      <c r="DO47">
        <f>(BU47+BV47)/1000*(0.2*368.34+0.4*58.44)</f>
        <v>1.4945956361351718</v>
      </c>
      <c r="DP47">
        <f>BK47/1000*(B47*195.08+C47*106.42+D47*102.91)</f>
        <v>4.999938342565946E-2</v>
      </c>
      <c r="DQ47">
        <f>SUM(DM47:DO47)-DP47</f>
        <v>4.309341948565927</v>
      </c>
      <c r="DR47">
        <f>DQ47*60*7200*0.33</f>
        <v>614339.78818755853</v>
      </c>
      <c r="DS47">
        <v>1.2</v>
      </c>
      <c r="DT47">
        <f>BM47/60*(AM47*4+AN47*2+AO47*3)*96485/DV47</f>
        <v>1405.9477123179286</v>
      </c>
      <c r="DU47">
        <f>BN47*BA47*(AP47*4+AQ47*2+AR47*3)*96485/DV47/60</f>
        <v>705.93982179416889</v>
      </c>
      <c r="DV47">
        <v>0.7</v>
      </c>
      <c r="DW47">
        <f>0.499*((BK47/3.78541*15)^(-0.146))*BK47/3.78541*15*300*(1+(A47-2)/9)</f>
        <v>38528.386667103026</v>
      </c>
      <c r="DX47">
        <f>0.248*((BK47/3.78541*15)^(-0.144))*BK47/3.78541*15*300*(1+(A47-2)/3)</f>
        <v>33220.879177835675</v>
      </c>
      <c r="DY47">
        <f>0.105*((BK47/3.78541*15)^(-0.144))*BK47/3.78541*15*300*(1+(A47-2)/3)</f>
        <v>14065.291587390104</v>
      </c>
      <c r="DZ47">
        <f>0.058*((BK47/3.78541*15)^(-0.151))*BK47/3.78541*15*300*(1+(A47-2)/3)</f>
        <v>7450.7773575794354</v>
      </c>
      <c r="EA47">
        <f>0.056*((BK47/3.78541*15)^(-0.144))*BK47/3.78541*15*300*(1+(A47-2)/3)</f>
        <v>7501.4888466080574</v>
      </c>
      <c r="EB47">
        <f>DS47*DT47/(3.6*10^6)*3600*7200*0.07</f>
        <v>850.31717640988325</v>
      </c>
      <c r="EC47">
        <f>0.499*((BM47/3.78541*15)^(-0.146))*BM47/3.78541*15*300*(1+(AF47-2)/9)</f>
        <v>41144.233773693195</v>
      </c>
      <c r="ED47">
        <f>0.248*((BM47/3.78541*15)^(-0.144))*BM47/3.78541*15*300*(1+(AF47-2)/3)</f>
        <v>38796.12419894139</v>
      </c>
      <c r="EE47">
        <f>0.105*((BM47/3.78541*15)^(-0.144))*BM47/3.78541*15*300*(1+(AF47-2)/3)</f>
        <v>16425.778390680825</v>
      </c>
      <c r="EF47">
        <f>0.058*((BM47/3.78541*15)^(-0.151))*BM47/3.78541*15*300*(1+(AF47-2)/3)</f>
        <v>8706.0330573593965</v>
      </c>
      <c r="EG47">
        <f>0.056*((BM47/3.78541*15)^(-0.144))*BM47/3.78541*15*300*(1+(AF47-2)/3)</f>
        <v>8760.4151416964414</v>
      </c>
      <c r="EH47">
        <f>DS47*DU47/(3.6*10^6)*3600*7200*0.07</f>
        <v>426.95240422111334</v>
      </c>
      <c r="EI47">
        <f>SUM(DW47:EH47)</f>
        <v>215876.67777951853</v>
      </c>
      <c r="EJ47">
        <f>EI47+DR47+DL47</f>
        <v>36585698.213488042</v>
      </c>
      <c r="EK47">
        <f>EJ47+DF47</f>
        <v>37319127.236504212</v>
      </c>
      <c r="EL47">
        <f>EK47/(BK47*60*7200)</f>
        <v>0.86386868603019007</v>
      </c>
      <c r="EM47">
        <f>EK47/(BM47*(AM47*195.084/1000+AN47*106.42/1000+AO47*102.911/1000)*60*7200)</f>
        <v>2890.0435941668225</v>
      </c>
      <c r="EN47">
        <f>EK47/(BN47*BA47*(AP47*195.084/1000+AQ47*106.42/1000+AR47*102.911/1000)*60*7200)</f>
        <v>5302.9271197324042</v>
      </c>
    </row>
    <row r="48" spans="1:144">
      <c r="A48">
        <f>'Costing 100 Lmin Feed Orig'!A48</f>
        <v>7</v>
      </c>
      <c r="B48">
        <f>'Costing 100 Lmin Feed Orig'!B48</f>
        <v>1.54143585092054E-3</v>
      </c>
      <c r="C48">
        <f>'Costing 100 Lmin Feed Orig'!C48</f>
        <v>1.54143585092054E-3</v>
      </c>
      <c r="D48">
        <f>'Costing 100 Lmin Feed Orig'!D48</f>
        <v>3.4254130020456501E-4</v>
      </c>
      <c r="E48">
        <f>'Costing 100 Lmin Feed Orig'!E48</f>
        <v>0</v>
      </c>
      <c r="F48">
        <f>'Costing 100 Lmin Feed Orig'!F48</f>
        <v>0</v>
      </c>
      <c r="G48">
        <f>'Costing 100 Lmin Feed Orig'!G48</f>
        <v>0</v>
      </c>
      <c r="H48">
        <f>'Costing 100 Lmin Feed Orig'!H48</f>
        <v>1.7744466230058299E-5</v>
      </c>
      <c r="I48">
        <f>'Costing 100 Lmin Feed Orig'!I48</f>
        <v>1.2927742824924801E-8</v>
      </c>
      <c r="J48">
        <f>'Costing 100 Lmin Feed Orig'!J48</f>
        <v>3.3739048286900598E-4</v>
      </c>
      <c r="K48">
        <f>'Costing 100 Lmin Feed Orig'!K48</f>
        <v>0.13716795306346499</v>
      </c>
      <c r="L48">
        <f>'Costing 100 Lmin Feed Orig'!L48</f>
        <v>0.138764207307677</v>
      </c>
      <c r="M48">
        <f>'Costing 100 Lmin Feed Orig'!M48</f>
        <v>4.6369433969460899E-4</v>
      </c>
      <c r="N48">
        <f>'Costing 100 Lmin Feed Orig'!N48</f>
        <v>-1.1037178115902399E-16</v>
      </c>
      <c r="O48">
        <f>'Costing 100 Lmin Feed Orig'!O48</f>
        <v>-5.3700533603207003E-15</v>
      </c>
      <c r="P48">
        <f>'Costing 100 Lmin Feed Orig'!P48</f>
        <v>-3.4304834363799101E-19</v>
      </c>
      <c r="Q48">
        <f>'Costing 100 Lmin Feed Orig'!Q48</f>
        <v>0.111082169753281</v>
      </c>
      <c r="R48">
        <f>'Costing 100 Lmin Feed Orig'!R48</f>
        <v>98.496293050653193</v>
      </c>
      <c r="S48">
        <f>'Costing 100 Lmin Feed Orig'!S48</f>
        <v>500</v>
      </c>
      <c r="T48">
        <f>'Costing 100 Lmin Feed Orig'!T48</f>
        <v>95</v>
      </c>
      <c r="U48">
        <f>'Costing 100 Lmin Feed Orig'!U48</f>
        <v>1</v>
      </c>
      <c r="V48">
        <f>'Costing 100 Lmin Feed Orig'!V48</f>
        <v>0.1</v>
      </c>
      <c r="W48">
        <f>'Costing 100 Lmin Feed Orig'!W48</f>
        <v>90.023448607553206</v>
      </c>
      <c r="X48" t="str">
        <f>'Costing 100 Lmin Feed Orig'!X48</f>
        <v>ddFc</v>
      </c>
      <c r="Y48">
        <f>'Costing 100 Lmin Feed Orig'!Y48</f>
        <v>1</v>
      </c>
      <c r="Z48">
        <f>'Costing 100 Lmin Feed Orig'!Z48</f>
        <v>0.28318429382522198</v>
      </c>
      <c r="AA48">
        <f>'Costing 100 Lmin Feed Orig'!AA48</f>
        <v>0.56945642916197003</v>
      </c>
      <c r="AB48">
        <f>'Costing 100 Lmin Feed Orig'!AB48</f>
        <v>3.7698628972227502E-3</v>
      </c>
      <c r="AC48">
        <f>'Costing 100 Lmin Feed Orig'!AC48</f>
        <v>1822.2107908876901</v>
      </c>
      <c r="AD48">
        <f>'Costing 100 Lmin Feed Orig'!AD48</f>
        <v>2662.6059073104898</v>
      </c>
      <c r="AE48">
        <f>'Costing 100 Lmin Feed Orig'!AE48</f>
        <v>2401.5030938442701</v>
      </c>
      <c r="AF48">
        <f>'Costing 100 Lmin Feed Orig'!AF48</f>
        <v>10</v>
      </c>
      <c r="AG48">
        <f>'Costing 100 Lmin Feed Orig'!AG48</f>
        <v>1.64967327652189E-3</v>
      </c>
      <c r="AH48">
        <f>'Costing 100 Lmin Feed Orig'!AH48</f>
        <v>1.66887089455438E-3</v>
      </c>
      <c r="AI48">
        <f>'Costing 100 Lmin Feed Orig'!AI48</f>
        <v>5.5766973522943398E-6</v>
      </c>
      <c r="AJ48">
        <f>'Costing 100 Lmin Feed Orig'!AJ48</f>
        <v>0</v>
      </c>
      <c r="AK48">
        <f>'Costing 100 Lmin Feed Orig'!AK48</f>
        <v>0</v>
      </c>
      <c r="AL48">
        <f>'Costing 100 Lmin Feed Orig'!AL48</f>
        <v>0</v>
      </c>
      <c r="AM48">
        <f>'Costing 100 Lmin Feed Orig'!AM48</f>
        <v>1.6127176023782901E-3</v>
      </c>
      <c r="AN48">
        <f>'Costing 100 Lmin Feed Orig'!AN48</f>
        <v>7.93398614299424E-5</v>
      </c>
      <c r="AO48">
        <f>'Costing 100 Lmin Feed Orig'!AO48</f>
        <v>5.5400123786141803E-6</v>
      </c>
      <c r="AP48">
        <f>'Costing 100 Lmin Feed Orig'!AP48</f>
        <v>1.73331722315182E-3</v>
      </c>
      <c r="AQ48">
        <f>'Costing 100 Lmin Feed Orig'!AQ48</f>
        <v>7.4553139192579998E-2</v>
      </c>
      <c r="AR48">
        <f>'Costing 100 Lmin Feed Orig'!AR48</f>
        <v>1.72062066779231E-6</v>
      </c>
      <c r="AS48">
        <f>'Costing 100 Lmin Feed Orig'!AS48</f>
        <v>7.0422590285265596E-15</v>
      </c>
      <c r="AT48">
        <f>'Costing 100 Lmin Feed Orig'!AT48</f>
        <v>-7.2813760229606304E-13</v>
      </c>
      <c r="AU48">
        <f>'Costing 100 Lmin Feed Orig'!AU48</f>
        <v>6.7531025208829095E-20</v>
      </c>
      <c r="AV48">
        <f>'Costing 100 Lmin Feed Orig'!AV48</f>
        <v>0.19692558727263099</v>
      </c>
      <c r="AW48">
        <f>'Costing 100 Lmin Feed Orig'!AW48</f>
        <v>99.342173846585595</v>
      </c>
      <c r="AX48">
        <f>'Costing 100 Lmin Feed Orig'!AX48</f>
        <v>500</v>
      </c>
      <c r="AY48">
        <f>'Costing 100 Lmin Feed Orig'!AY48</f>
        <v>95</v>
      </c>
      <c r="AZ48">
        <f>'Costing 100 Lmin Feed Orig'!AZ48</f>
        <v>0.92363221637625403</v>
      </c>
      <c r="BA48">
        <f>'Costing 100 Lmin Feed Orig'!BA48</f>
        <v>0.1</v>
      </c>
      <c r="BB48">
        <f>'Costing 100 Lmin Feed Orig'!BB48</f>
        <v>46.9026005796566</v>
      </c>
      <c r="BC48" t="str">
        <f>'Costing 100 Lmin Feed Orig'!BC48</f>
        <v>coeFc</v>
      </c>
      <c r="BD48">
        <f>'Costing 100 Lmin Feed Orig'!BD48</f>
        <v>1</v>
      </c>
      <c r="BE48">
        <f>'Costing 100 Lmin Feed Orig'!BE48</f>
        <v>1.8775014999999999E-2</v>
      </c>
      <c r="BF48">
        <f>'Costing 100 Lmin Feed Orig'!BF48</f>
        <v>0.10492961100000001</v>
      </c>
      <c r="BG48">
        <f>'Costing 100 Lmin Feed Orig'!BG48</f>
        <v>1.814625E-3</v>
      </c>
      <c r="BH48">
        <f>'Costing 100 Lmin Feed Orig'!BH48</f>
        <v>285.1951444</v>
      </c>
      <c r="BI48">
        <f>'Costing 100 Lmin Feed Orig'!BI48</f>
        <v>2169.8944889999998</v>
      </c>
      <c r="BJ48">
        <f>'Costing 100 Lmin Feed Orig'!BJ48</f>
        <v>866.49409060000005</v>
      </c>
      <c r="BK48">
        <f>'Costing 100 Lmin Feed Orig'!BK48</f>
        <v>100</v>
      </c>
      <c r="BL48">
        <f>'Costing 100 Lmin Feed Orig'!BL48</f>
        <v>11.1082169753281</v>
      </c>
      <c r="BM48">
        <f>'Costing 100 Lmin Feed Orig'!BM48</f>
        <v>92.363221637625401</v>
      </c>
      <c r="BN48">
        <f>'Costing 100 Lmin Feed Orig'!BN48</f>
        <v>19.692558727263098</v>
      </c>
      <c r="BO48">
        <f t="shared" si="1"/>
        <v>199.94790555590581</v>
      </c>
      <c r="BP48">
        <f t="shared" si="2"/>
        <v>472.62140945431435</v>
      </c>
      <c r="BQ48">
        <f t="shared" si="3"/>
        <v>19.994790555590583</v>
      </c>
      <c r="BR48">
        <f t="shared" si="4"/>
        <v>47.26214094543144</v>
      </c>
      <c r="BS48">
        <f>1.2*0.5*BL48*V48/'Oxidant Feed Composition'!$N$22</f>
        <v>6.6649301851968596</v>
      </c>
      <c r="BT48">
        <f>1.2*0.5*BN48*BA48/'Oxidant Feed Composition'!$N$22</f>
        <v>11.815535236357858</v>
      </c>
      <c r="BU48">
        <f t="shared" si="5"/>
        <v>5.5541084876640499</v>
      </c>
      <c r="BV48">
        <f t="shared" si="6"/>
        <v>9.8462793636315489</v>
      </c>
      <c r="BW48">
        <f t="shared" si="7"/>
        <v>86.809113149961348</v>
      </c>
      <c r="BX48">
        <f t="shared" si="0"/>
        <v>35.54629432104992</v>
      </c>
      <c r="BY48">
        <f t="shared" si="8"/>
        <v>206.94287722590701</v>
      </c>
      <c r="BZ48">
        <f t="shared" si="9"/>
        <v>63.016187927241916</v>
      </c>
      <c r="CA48">
        <f t="shared" si="10"/>
        <v>59.077676181789293</v>
      </c>
      <c r="CB48">
        <f>BO48*'Reagent cost'!$G$11*'Reagent cost'!$H$11</f>
        <v>2639.3123533379567</v>
      </c>
      <c r="CC48">
        <f>BP48*'Reagent cost'!$G$11*'Reagent cost'!$H$11</f>
        <v>6238.6026047969499</v>
      </c>
      <c r="CD48">
        <f>BQ48*'Reagent cost'!$C$18/1000*'Reagent cost'!$H$18</f>
        <v>3188.7782491883527</v>
      </c>
      <c r="CE48">
        <f>BR48*'Ligand cost'!$B$56*'Ligand cost'!$J$56</f>
        <v>48118.896367200447</v>
      </c>
      <c r="CF48">
        <f t="shared" si="11"/>
        <v>10</v>
      </c>
      <c r="CG48">
        <f t="shared" si="12"/>
        <v>2.22164339506562</v>
      </c>
      <c r="CH48">
        <f t="shared" si="12"/>
        <v>3.9385117454526197</v>
      </c>
      <c r="CI48">
        <f>7963.6*(BX48/1000)^0.6*1.7*('CAPEX+OPEX'!$G$116/'CAPEX+OPEX'!$G$115)</f>
        <v>2156.3414312027717</v>
      </c>
      <c r="CJ48">
        <f>7963.6*(BY48/1000)^0.6*1.7*('CAPEX+OPEX'!$G$116/'CAPEX+OPEX'!$G$115)</f>
        <v>6205.1347590783025</v>
      </c>
      <c r="CK48">
        <f>7963.6*(BZ48/1000)^0.6*1.7*('CAPEX+OPEX'!$G$116/'CAPEX+OPEX'!$G$115)</f>
        <v>3040.2703523468736</v>
      </c>
      <c r="CL48">
        <f>7963.6*(CA48/1000)^0.6*1.7*('CAPEX+OPEX'!$G$116/'CAPEX+OPEX'!$G$115)</f>
        <v>2924.7918930411074</v>
      </c>
      <c r="CM48">
        <f>'Costing 100 Lmin Feed Orig'!DE48</f>
        <v>39625.826528698344</v>
      </c>
      <c r="CN48">
        <f>'Costing 100 Lmin Feed Orig'!DF48</f>
        <v>4586243.4239371875</v>
      </c>
      <c r="CO48">
        <f>'Costing 100 Lmin Feed Orig'!DG48</f>
        <v>11794834.586807497</v>
      </c>
      <c r="CP48">
        <f>'Costing 100 Lmin Feed Orig'!DH48</f>
        <v>2275209.1661185985</v>
      </c>
      <c r="CQ48">
        <f>'Costing 100 Lmin Feed Orig'!DI48</f>
        <v>14083914.336508472</v>
      </c>
      <c r="CR48">
        <f>'Costing 100 Lmin Feed Orig'!DJ48</f>
        <v>1662824.8986326549</v>
      </c>
      <c r="CS48">
        <f>CN48*(BK48/10000)^0.72*((A48+1)/3)^0.6*('CAPEX+OPEX'!$G$116/'CAPEX+OPEX'!$G$114)</f>
        <v>700033.84449786716</v>
      </c>
      <c r="CT48">
        <f>CO48*(BK48/10000)^0.72*((A48+1)/3)^0.6*('CAPEX+OPEX'!$G$116/'CAPEX+OPEX'!$G$114)</f>
        <v>1800336.9288957189</v>
      </c>
      <c r="CU48">
        <f>CP48*(BK48/10000)^0.72*((A48+1)/3)^0.6*('CAPEX+OPEX'!$G$116/'CAPEX+OPEX'!$G$114)</f>
        <v>347282.79168127343</v>
      </c>
      <c r="CV48">
        <f>CQ48*(BK48/10000)^0.72*((A48+1)/3)^0.6*('CAPEX+OPEX'!$G$116/'CAPEX+OPEX'!$G$114)</f>
        <v>2149736.8951473436</v>
      </c>
      <c r="CW48">
        <f>CR48*(BK48/10000)^0.72*((A48+1)/3)^0.6*('CAPEX+OPEX'!$G$116/'CAPEX+OPEX'!$G$114)</f>
        <v>253809.83932102245</v>
      </c>
      <c r="CX48">
        <f t="shared" si="13"/>
        <v>5251200.2995432261</v>
      </c>
      <c r="CY48">
        <f>CN48*(BM48/10000)^0.72*((AF48+1)/3)^0.6*('CAPEX+OPEX'!$G$116/'CAPEX+OPEX'!$G$114)</f>
        <v>800313.21584557055</v>
      </c>
      <c r="CZ48">
        <f>CO48*(BM48/10000)^0.72*((AF48+1)/3)^0.6*('CAPEX+OPEX'!$G$116/'CAPEX+OPEX'!$G$114)</f>
        <v>2058233.9675356387</v>
      </c>
      <c r="DA48">
        <f>CP48*(BM48/10000)^0.72*((AF48+1)/3)^0.6*('CAPEX+OPEX'!$G$116/'CAPEX+OPEX'!$G$114)</f>
        <v>397030.81501385069</v>
      </c>
      <c r="DB48">
        <f>CQ48*(BM48/10000)^0.72*((AF48+1)/3)^0.6*('CAPEX+OPEX'!$G$116/'CAPEX+OPEX'!$G$114)</f>
        <v>2457685.2409347831</v>
      </c>
      <c r="DC48">
        <f>CR48*(BM48/10000)^0.72*((AF48+1)/3)^0.6*('CAPEX+OPEX'!$G$116/'CAPEX+OPEX'!$G$114)</f>
        <v>290167.92590357957</v>
      </c>
      <c r="DD48">
        <f t="shared" si="14"/>
        <v>6003431.1652334221</v>
      </c>
      <c r="DE48">
        <f>CX48+DD48+1.15*(SUM(CI48:CL48)+SUM(CB48:CE48))</f>
        <v>11340320.41198837</v>
      </c>
      <c r="DF48">
        <f t="shared" si="15"/>
        <v>756021.3607992247</v>
      </c>
      <c r="DG48">
        <f>(BS48+BT48)*'Oxidant Feed Composition'!$N$28*60*7200</f>
        <v>20547227.556410667</v>
      </c>
      <c r="DH48">
        <f>((CG48+CH48)*'Reagent cost'!$C$17/1000*'Reagent cost'!$H$17+(CG48+CH48)*0.5*'Reagent cost'!$C$16/1000*'Reagent cost'!$H$16*1.5)*60*7200</f>
        <v>8741480.4315432068</v>
      </c>
      <c r="DI48">
        <f>CF48*'Reagent cost'!$C$17/1000*'Reagent cost'!$H$17*60*7200</f>
        <v>504921.59999999998</v>
      </c>
      <c r="DJ48">
        <f t="shared" si="16"/>
        <v>88.779149581349074</v>
      </c>
      <c r="DK48">
        <f t="shared" si="17"/>
        <v>1026.1534923277761</v>
      </c>
      <c r="DL48">
        <f t="shared" si="18"/>
        <v>35753693.424714938</v>
      </c>
      <c r="DM48">
        <f>BK48*(B48*(409.81+2)/1000+C48*(248.2+2*22.99)/1000+D48*(315.6+3*22.99)/1000+0.1*58.44/1000)</f>
        <v>0.70639694042110623</v>
      </c>
      <c r="DN48">
        <f>(BS48+BT48)/1000*('Oxidant Feed Composition'!$B$11*'Oxidant Feed Composition'!$O$20+'Oxidant Feed Composition'!$D$11*'Oxidant Feed Composition'!$O$21+'Oxidant Feed Composition'!$F$11*'Oxidant Feed Composition'!$O$27-'Oxidant Feed Composition'!$J$15*18.015)</f>
        <v>2.1582326532421736</v>
      </c>
      <c r="DO48">
        <f>(BU48+BV48)/1000*(0.2*368.34+0.4*58.44)</f>
        <v>1.49451523864113</v>
      </c>
      <c r="DP48">
        <f>BK48/1000*(B48*195.08+C48*106.42+D48*102.91)</f>
        <v>4.999938342565946E-2</v>
      </c>
      <c r="DQ48">
        <f>SUM(DM48:DO48)-DP48</f>
        <v>4.3091454488787502</v>
      </c>
      <c r="DR48">
        <f>DQ48*60*7200*0.33</f>
        <v>614311.77519215469</v>
      </c>
      <c r="DS48">
        <v>1.2</v>
      </c>
      <c r="DT48">
        <f>BM48/60*(AM48*4+AN48*2+AO48*3)*96485/DV48</f>
        <v>1405.9574213625024</v>
      </c>
      <c r="DU48">
        <f>BN48*BA48*(AP48*4+AQ48*2+AR48*3)*96485/DV48/60</f>
        <v>705.93011307507709</v>
      </c>
      <c r="DV48">
        <v>0.7</v>
      </c>
      <c r="DW48">
        <f>0.499*((BK48/3.78541*15)^(-0.146))*BK48/3.78541*15*300*(1+(A48-2)/9)</f>
        <v>38528.386667103026</v>
      </c>
      <c r="DX48">
        <f>0.248*((BK48/3.78541*15)^(-0.144))*BK48/3.78541*15*300*(1+(A48-2)/3)</f>
        <v>33220.879177835675</v>
      </c>
      <c r="DY48">
        <f>0.105*((BK48/3.78541*15)^(-0.144))*BK48/3.78541*15*300*(1+(A48-2)/3)</f>
        <v>14065.291587390104</v>
      </c>
      <c r="DZ48">
        <f>0.058*((BK48/3.78541*15)^(-0.151))*BK48/3.78541*15*300*(1+(A48-2)/3)</f>
        <v>7450.7773575794354</v>
      </c>
      <c r="EA48">
        <f>0.056*((BK48/3.78541*15)^(-0.144))*BK48/3.78541*15*300*(1+(A48-2)/3)</f>
        <v>7501.4888466080574</v>
      </c>
      <c r="EB48">
        <f>DS48*DT48/(3.6*10^6)*3600*7200*0.07</f>
        <v>850.32304844004148</v>
      </c>
      <c r="EC48">
        <f>0.499*((BM48/3.78541*15)^(-0.146))*BM48/3.78541*15*300*(1+(AF48-2)/9)</f>
        <v>43715.748384549021</v>
      </c>
      <c r="ED48">
        <f>0.248*((BM48/3.78541*15)^(-0.144))*BM48/3.78541*15*300*(1+(AF48-2)/3)</f>
        <v>42675.736618835523</v>
      </c>
      <c r="EE48">
        <f>0.105*((BM48/3.78541*15)^(-0.144))*BM48/3.78541*15*300*(1+(AF48-2)/3)</f>
        <v>18068.356229748908</v>
      </c>
      <c r="EF48">
        <f>0.058*((BM48/3.78541*15)^(-0.151))*BM48/3.78541*15*300*(1+(AF48-2)/3)</f>
        <v>9576.6363630953347</v>
      </c>
      <c r="EG48">
        <f>0.056*((BM48/3.78541*15)^(-0.144))*BM48/3.78541*15*300*(1+(AF48-2)/3)</f>
        <v>9636.4566558660845</v>
      </c>
      <c r="EH48">
        <f>DS48*DU48/(3.6*10^6)*3600*7200*0.07</f>
        <v>426.94653238780671</v>
      </c>
      <c r="EI48">
        <f>SUM(DW48:EH48)</f>
        <v>225717.02746943905</v>
      </c>
      <c r="EJ48">
        <f>EI48+DR48+DL48</f>
        <v>36593722.227376528</v>
      </c>
      <c r="EK48">
        <f>EJ48+DF48</f>
        <v>37349743.588175751</v>
      </c>
      <c r="EL48">
        <f>EK48/(BK48*60*7200)</f>
        <v>0.86457739787443866</v>
      </c>
      <c r="EM48">
        <f>EK48/(BM48*(AM48*195.084/1000+AN48*106.42/1000+AO48*102.911/1000)*60*7200)</f>
        <v>2892.3945788282999</v>
      </c>
      <c r="EN48">
        <f>EK48/(BN48*BA48*(AP48*195.084/1000+AQ48*106.42/1000+AR48*102.911/1000)*60*7200)</f>
        <v>5307.3448958607951</v>
      </c>
    </row>
    <row r="49" spans="1:144">
      <c r="A49">
        <f>'Costing 100 Lmin Feed Orig'!A49</f>
        <v>7</v>
      </c>
      <c r="B49">
        <f>'Costing 100 Lmin Feed Orig'!B49</f>
        <v>1.54143585092054E-3</v>
      </c>
      <c r="C49">
        <f>'Costing 100 Lmin Feed Orig'!C49</f>
        <v>1.54143585092054E-3</v>
      </c>
      <c r="D49">
        <f>'Costing 100 Lmin Feed Orig'!D49</f>
        <v>3.4254130020456501E-4</v>
      </c>
      <c r="E49">
        <f>'Costing 100 Lmin Feed Orig'!E49</f>
        <v>0</v>
      </c>
      <c r="F49">
        <f>'Costing 100 Lmin Feed Orig'!F49</f>
        <v>0</v>
      </c>
      <c r="G49">
        <f>'Costing 100 Lmin Feed Orig'!G49</f>
        <v>0</v>
      </c>
      <c r="H49">
        <f>'Costing 100 Lmin Feed Orig'!H49</f>
        <v>1.7744466230058299E-5</v>
      </c>
      <c r="I49">
        <f>'Costing 100 Lmin Feed Orig'!I49</f>
        <v>1.2927742824924801E-8</v>
      </c>
      <c r="J49">
        <f>'Costing 100 Lmin Feed Orig'!J49</f>
        <v>3.3739048286900598E-4</v>
      </c>
      <c r="K49">
        <f>'Costing 100 Lmin Feed Orig'!K49</f>
        <v>0.13716795306346499</v>
      </c>
      <c r="L49">
        <f>'Costing 100 Lmin Feed Orig'!L49</f>
        <v>0.138764207307677</v>
      </c>
      <c r="M49">
        <f>'Costing 100 Lmin Feed Orig'!M49</f>
        <v>4.6369433969460899E-4</v>
      </c>
      <c r="N49">
        <f>'Costing 100 Lmin Feed Orig'!N49</f>
        <v>-1.1037178115902399E-16</v>
      </c>
      <c r="O49">
        <f>'Costing 100 Lmin Feed Orig'!O49</f>
        <v>-5.3700533603207003E-15</v>
      </c>
      <c r="P49">
        <f>'Costing 100 Lmin Feed Orig'!P49</f>
        <v>-3.4304834363799101E-19</v>
      </c>
      <c r="Q49">
        <f>'Costing 100 Lmin Feed Orig'!Q49</f>
        <v>0.111082169753281</v>
      </c>
      <c r="R49">
        <f>'Costing 100 Lmin Feed Orig'!R49</f>
        <v>98.496293050653193</v>
      </c>
      <c r="S49">
        <f>'Costing 100 Lmin Feed Orig'!S49</f>
        <v>500</v>
      </c>
      <c r="T49">
        <f>'Costing 100 Lmin Feed Orig'!T49</f>
        <v>95</v>
      </c>
      <c r="U49">
        <f>'Costing 100 Lmin Feed Orig'!U49</f>
        <v>1</v>
      </c>
      <c r="V49">
        <f>'Costing 100 Lmin Feed Orig'!V49</f>
        <v>0.1</v>
      </c>
      <c r="W49">
        <f>'Costing 100 Lmin Feed Orig'!W49</f>
        <v>90.023448607553206</v>
      </c>
      <c r="X49" t="str">
        <f>'Costing 100 Lmin Feed Orig'!X49</f>
        <v>ddFc</v>
      </c>
      <c r="Y49">
        <f>'Costing 100 Lmin Feed Orig'!Y49</f>
        <v>1</v>
      </c>
      <c r="Z49">
        <f>'Costing 100 Lmin Feed Orig'!Z49</f>
        <v>0.28318429382522198</v>
      </c>
      <c r="AA49">
        <f>'Costing 100 Lmin Feed Orig'!AA49</f>
        <v>0.56945642916197003</v>
      </c>
      <c r="AB49">
        <f>'Costing 100 Lmin Feed Orig'!AB49</f>
        <v>3.7698628972227502E-3</v>
      </c>
      <c r="AC49">
        <f>'Costing 100 Lmin Feed Orig'!AC49</f>
        <v>1822.2107908876901</v>
      </c>
      <c r="AD49">
        <f>'Costing 100 Lmin Feed Orig'!AD49</f>
        <v>2662.6059073104898</v>
      </c>
      <c r="AE49">
        <f>'Costing 100 Lmin Feed Orig'!AE49</f>
        <v>2401.5030938442701</v>
      </c>
      <c r="AF49">
        <f>'Costing 100 Lmin Feed Orig'!AF49</f>
        <v>11</v>
      </c>
      <c r="AG49">
        <f>'Costing 100 Lmin Feed Orig'!AG49</f>
        <v>1.64967327652189E-3</v>
      </c>
      <c r="AH49">
        <f>'Costing 100 Lmin Feed Orig'!AH49</f>
        <v>1.66887089455438E-3</v>
      </c>
      <c r="AI49">
        <f>'Costing 100 Lmin Feed Orig'!AI49</f>
        <v>5.5766973522943398E-6</v>
      </c>
      <c r="AJ49">
        <f>'Costing 100 Lmin Feed Orig'!AJ49</f>
        <v>0</v>
      </c>
      <c r="AK49">
        <f>'Costing 100 Lmin Feed Orig'!AK49</f>
        <v>0</v>
      </c>
      <c r="AL49">
        <f>'Costing 100 Lmin Feed Orig'!AL49</f>
        <v>0</v>
      </c>
      <c r="AM49">
        <f>'Costing 100 Lmin Feed Orig'!AM49</f>
        <v>1.6127207366253499E-3</v>
      </c>
      <c r="AN49">
        <f>'Costing 100 Lmin Feed Orig'!AN49</f>
        <v>7.9340023409112399E-5</v>
      </c>
      <c r="AO49">
        <f>'Costing 100 Lmin Feed Orig'!AO49</f>
        <v>5.5400153606251003E-6</v>
      </c>
      <c r="AP49">
        <f>'Costing 100 Lmin Feed Orig'!AP49</f>
        <v>1.7332112363545699E-3</v>
      </c>
      <c r="AQ49">
        <f>'Costing 100 Lmin Feed Orig'!AQ49</f>
        <v>7.4554895947902003E-2</v>
      </c>
      <c r="AR49">
        <f>'Costing 100 Lmin Feed Orig'!AR49</f>
        <v>1.7205215207154199E-6</v>
      </c>
      <c r="AS49">
        <f>'Costing 100 Lmin Feed Orig'!AS49</f>
        <v>2.2210084791272899E-15</v>
      </c>
      <c r="AT49">
        <f>'Costing 100 Lmin Feed Orig'!AT49</f>
        <v>-2.21852267459632E-13</v>
      </c>
      <c r="AU49">
        <f>'Costing 100 Lmin Feed Orig'!AU49</f>
        <v>1.5524525736395199E-20</v>
      </c>
      <c r="AV49">
        <f>'Costing 100 Lmin Feed Orig'!AV49</f>
        <v>0.19692092693176799</v>
      </c>
      <c r="AW49">
        <f>'Costing 100 Lmin Feed Orig'!AW49</f>
        <v>99.3422273192906</v>
      </c>
      <c r="AX49">
        <f>'Costing 100 Lmin Feed Orig'!AX49</f>
        <v>500</v>
      </c>
      <c r="AY49">
        <f>'Costing 100 Lmin Feed Orig'!AY49</f>
        <v>95</v>
      </c>
      <c r="AZ49">
        <f>'Costing 100 Lmin Feed Orig'!AZ49</f>
        <v>0.92363221637625403</v>
      </c>
      <c r="BA49">
        <f>'Costing 100 Lmin Feed Orig'!BA49</f>
        <v>0.1</v>
      </c>
      <c r="BB49">
        <f>'Costing 100 Lmin Feed Orig'!BB49</f>
        <v>46.903710579032897</v>
      </c>
      <c r="BC49" t="str">
        <f>'Costing 100 Lmin Feed Orig'!BC49</f>
        <v>coeFc</v>
      </c>
      <c r="BD49">
        <f>'Costing 100 Lmin Feed Orig'!BD49</f>
        <v>1</v>
      </c>
      <c r="BE49">
        <f>'Costing 100 Lmin Feed Orig'!BE49</f>
        <v>1.8775014999999999E-2</v>
      </c>
      <c r="BF49">
        <f>'Costing 100 Lmin Feed Orig'!BF49</f>
        <v>0.10492961100000001</v>
      </c>
      <c r="BG49">
        <f>'Costing 100 Lmin Feed Orig'!BG49</f>
        <v>1.814625E-3</v>
      </c>
      <c r="BH49">
        <f>'Costing 100 Lmin Feed Orig'!BH49</f>
        <v>285.1951444</v>
      </c>
      <c r="BI49">
        <f>'Costing 100 Lmin Feed Orig'!BI49</f>
        <v>2169.8944889999998</v>
      </c>
      <c r="BJ49">
        <f>'Costing 100 Lmin Feed Orig'!BJ49</f>
        <v>866.49409060000005</v>
      </c>
      <c r="BK49">
        <f>'Costing 100 Lmin Feed Orig'!BK49</f>
        <v>100</v>
      </c>
      <c r="BL49">
        <f>'Costing 100 Lmin Feed Orig'!BL49</f>
        <v>11.1082169753281</v>
      </c>
      <c r="BM49">
        <f>'Costing 100 Lmin Feed Orig'!BM49</f>
        <v>92.363221637625401</v>
      </c>
      <c r="BN49">
        <f>'Costing 100 Lmin Feed Orig'!BN49</f>
        <v>19.6920926931768</v>
      </c>
      <c r="BO49">
        <f t="shared" si="1"/>
        <v>199.94790555590581</v>
      </c>
      <c r="BP49">
        <f t="shared" si="2"/>
        <v>511.99441002259681</v>
      </c>
      <c r="BQ49">
        <f t="shared" si="3"/>
        <v>19.994790555590583</v>
      </c>
      <c r="BR49">
        <f t="shared" si="4"/>
        <v>51.199441002259682</v>
      </c>
      <c r="BS49">
        <f>1.2*0.5*BL49*V49/'Oxidant Feed Composition'!$N$22</f>
        <v>6.6649301851968596</v>
      </c>
      <c r="BT49">
        <f>1.2*0.5*BN49*BA49/'Oxidant Feed Composition'!$N$22</f>
        <v>11.81525561590608</v>
      </c>
      <c r="BU49">
        <f t="shared" si="5"/>
        <v>5.5541084876640499</v>
      </c>
      <c r="BV49">
        <f t="shared" si="6"/>
        <v>9.8460463465884001</v>
      </c>
      <c r="BW49">
        <f t="shared" si="7"/>
        <v>86.809113149961348</v>
      </c>
      <c r="BX49">
        <f t="shared" si="0"/>
        <v>35.54629432104992</v>
      </c>
      <c r="BY49">
        <f t="shared" si="8"/>
        <v>206.94287722590701</v>
      </c>
      <c r="BZ49">
        <f t="shared" si="9"/>
        <v>63.014696618165758</v>
      </c>
      <c r="CA49">
        <f t="shared" si="10"/>
        <v>59.076278079530397</v>
      </c>
      <c r="CB49">
        <f>BO49*'Reagent cost'!$G$11*'Reagent cost'!$H$11</f>
        <v>2639.3123533379567</v>
      </c>
      <c r="CC49">
        <f>BP49*'Reagent cost'!$G$11*'Reagent cost'!$H$11</f>
        <v>6758.3262122982787</v>
      </c>
      <c r="CD49">
        <f>BQ49*'Reagent cost'!$C$18/1000*'Reagent cost'!$H$18</f>
        <v>3188.7782491883527</v>
      </c>
      <c r="CE49">
        <f>BR49*'Ligand cost'!$B$56*'Ligand cost'!$J$56</f>
        <v>52127.570744009543</v>
      </c>
      <c r="CF49">
        <f t="shared" si="11"/>
        <v>10</v>
      </c>
      <c r="CG49">
        <f t="shared" si="12"/>
        <v>2.22164339506562</v>
      </c>
      <c r="CH49">
        <f t="shared" si="12"/>
        <v>3.9384185386353603</v>
      </c>
      <c r="CI49">
        <f>7963.6*(BX49/1000)^0.6*1.7*('CAPEX+OPEX'!$G$116/'CAPEX+OPEX'!$G$115)</f>
        <v>2156.3414312027717</v>
      </c>
      <c r="CJ49">
        <f>7963.6*(BY49/1000)^0.6*1.7*('CAPEX+OPEX'!$G$116/'CAPEX+OPEX'!$G$115)</f>
        <v>6205.1347590783025</v>
      </c>
      <c r="CK49">
        <f>7963.6*(BZ49/1000)^0.6*1.7*('CAPEX+OPEX'!$G$116/'CAPEX+OPEX'!$G$115)</f>
        <v>3040.2271824467625</v>
      </c>
      <c r="CL49">
        <f>7963.6*(CA49/1000)^0.6*1.7*('CAPEX+OPEX'!$G$116/'CAPEX+OPEX'!$G$115)</f>
        <v>2924.7503628614727</v>
      </c>
      <c r="CM49">
        <f>'Costing 100 Lmin Feed Orig'!DE49</f>
        <v>39625.826528698344</v>
      </c>
      <c r="CN49">
        <f>'Costing 100 Lmin Feed Orig'!DF49</f>
        <v>4586243.4239371875</v>
      </c>
      <c r="CO49">
        <f>'Costing 100 Lmin Feed Orig'!DG49</f>
        <v>11794834.586807497</v>
      </c>
      <c r="CP49">
        <f>'Costing 100 Lmin Feed Orig'!DH49</f>
        <v>2275209.1661185985</v>
      </c>
      <c r="CQ49">
        <f>'Costing 100 Lmin Feed Orig'!DI49</f>
        <v>14083914.336508472</v>
      </c>
      <c r="CR49">
        <f>'Costing 100 Lmin Feed Orig'!DJ49</f>
        <v>1662824.8986326549</v>
      </c>
      <c r="CS49">
        <f>CN49*(BK49/10000)^0.72*((A49+1)/3)^0.6*('CAPEX+OPEX'!$G$116/'CAPEX+OPEX'!$G$114)</f>
        <v>700033.84449786716</v>
      </c>
      <c r="CT49">
        <f>CO49*(BK49/10000)^0.72*((A49+1)/3)^0.6*('CAPEX+OPEX'!$G$116/'CAPEX+OPEX'!$G$114)</f>
        <v>1800336.9288957189</v>
      </c>
      <c r="CU49">
        <f>CP49*(BK49/10000)^0.72*((A49+1)/3)^0.6*('CAPEX+OPEX'!$G$116/'CAPEX+OPEX'!$G$114)</f>
        <v>347282.79168127343</v>
      </c>
      <c r="CV49">
        <f>CQ49*(BK49/10000)^0.72*((A49+1)/3)^0.6*('CAPEX+OPEX'!$G$116/'CAPEX+OPEX'!$G$114)</f>
        <v>2149736.8951473436</v>
      </c>
      <c r="CW49">
        <f>CR49*(BK49/10000)^0.72*((A49+1)/3)^0.6*('CAPEX+OPEX'!$G$116/'CAPEX+OPEX'!$G$114)</f>
        <v>253809.83932102245</v>
      </c>
      <c r="CX49">
        <f t="shared" si="13"/>
        <v>5251200.2995432261</v>
      </c>
      <c r="CY49">
        <f>CN49*(BM49/10000)^0.72*((AF49+1)/3)^0.6*('CAPEX+OPEX'!$G$116/'CAPEX+OPEX'!$G$114)</f>
        <v>843204.90681236121</v>
      </c>
      <c r="CZ49">
        <f>CO49*(BM49/10000)^0.72*((AF49+1)/3)^0.6*('CAPEX+OPEX'!$G$116/'CAPEX+OPEX'!$G$114)</f>
        <v>2168542.1987693524</v>
      </c>
      <c r="DA49">
        <f>CP49*(BM49/10000)^0.72*((AF49+1)/3)^0.6*('CAPEX+OPEX'!$G$116/'CAPEX+OPEX'!$G$114)</f>
        <v>418309.13790631329</v>
      </c>
      <c r="DB49">
        <f>CQ49*(BM49/10000)^0.72*((AF49+1)/3)^0.6*('CAPEX+OPEX'!$G$116/'CAPEX+OPEX'!$G$114)</f>
        <v>2589401.5162138832</v>
      </c>
      <c r="DC49">
        <f>CR49*(BM49/10000)^0.72*((AF49+1)/3)^0.6*('CAPEX+OPEX'!$G$116/'CAPEX+OPEX'!$G$114)</f>
        <v>305719.07857720047</v>
      </c>
      <c r="DD49">
        <f t="shared" si="14"/>
        <v>6325176.8382791113</v>
      </c>
      <c r="DE49">
        <f>CX49+DD49+1.15*(SUM(CI49:CL49)+SUM(CB49:CE49))</f>
        <v>11667273.645310923</v>
      </c>
      <c r="DF49">
        <f t="shared" si="15"/>
        <v>777818.24302072823</v>
      </c>
      <c r="DG49">
        <f>(BS49+BT49)*'Oxidant Feed Composition'!$N$28*60*7200</f>
        <v>20546916.664616495</v>
      </c>
      <c r="DH49">
        <f>((CG49+CH49)*'Reagent cost'!$C$17/1000*'Reagent cost'!$H$17+(CG49+CH49)*0.5*'Reagent cost'!$C$16/1000*'Reagent cost'!$H$16*1.5)*60*7200</f>
        <v>8741348.1677364409</v>
      </c>
      <c r="DI49">
        <f>CF49*'Reagent cost'!$C$17/1000*'Reagent cost'!$H$17*60*7200</f>
        <v>504921.59999999998</v>
      </c>
      <c r="DJ49">
        <f t="shared" si="16"/>
        <v>93.976385656362368</v>
      </c>
      <c r="DK49">
        <f t="shared" si="17"/>
        <v>1106.3269798639581</v>
      </c>
      <c r="DL49">
        <f t="shared" si="18"/>
        <v>35753264.082862146</v>
      </c>
      <c r="DM49">
        <f>BK49*(B49*(409.81+2)/1000+C49*(248.2+2*22.99)/1000+D49*(315.6+3*22.99)/1000+0.1*58.44/1000)</f>
        <v>0.70639694042110623</v>
      </c>
      <c r="DN49">
        <f>(BS49+BT49)/1000*('Oxidant Feed Composition'!$B$11*'Oxidant Feed Composition'!$O$20+'Oxidant Feed Composition'!$D$11*'Oxidant Feed Composition'!$O$21+'Oxidant Feed Composition'!$F$11*'Oxidant Feed Composition'!$O$27-'Oxidant Feed Composition'!$J$15*18.015)</f>
        <v>2.1581999978963382</v>
      </c>
      <c r="DO49">
        <f>(BU49+BV49)/1000*(0.2*368.34+0.4*58.44)</f>
        <v>1.4944926257351949</v>
      </c>
      <c r="DP49">
        <f>BK49/1000*(B49*195.08+C49*106.42+D49*102.91)</f>
        <v>4.999938342565946E-2</v>
      </c>
      <c r="DQ49">
        <f>SUM(DM49:DO49)-DP49</f>
        <v>4.3090901806269795</v>
      </c>
      <c r="DR49">
        <f>DQ49*60*7200*0.33</f>
        <v>614303.89615018223</v>
      </c>
      <c r="DS49">
        <v>1.2</v>
      </c>
      <c r="DT49">
        <f>BM49/60*(AM49*4+AN49*2+AO49*3)*96485/DV49</f>
        <v>1405.9601521286265</v>
      </c>
      <c r="DU49">
        <f>BN49*BA49*(AP49*4+AQ49*2+AR49*3)*96485/DV49/60</f>
        <v>705.927382080764</v>
      </c>
      <c r="DV49">
        <v>0.7</v>
      </c>
      <c r="DW49">
        <f>0.499*((BK49/3.78541*15)^(-0.146))*BK49/3.78541*15*300*(1+(A49-2)/9)</f>
        <v>38528.386667103026</v>
      </c>
      <c r="DX49">
        <f>0.248*((BK49/3.78541*15)^(-0.144))*BK49/3.78541*15*300*(1+(A49-2)/3)</f>
        <v>33220.879177835675</v>
      </c>
      <c r="DY49">
        <f>0.105*((BK49/3.78541*15)^(-0.144))*BK49/3.78541*15*300*(1+(A49-2)/3)</f>
        <v>14065.291587390104</v>
      </c>
      <c r="DZ49">
        <f>0.058*((BK49/3.78541*15)^(-0.151))*BK49/3.78541*15*300*(1+(A49-2)/3)</f>
        <v>7450.7773575794354</v>
      </c>
      <c r="EA49">
        <f>0.056*((BK49/3.78541*15)^(-0.144))*BK49/3.78541*15*300*(1+(A49-2)/3)</f>
        <v>7501.4888466080574</v>
      </c>
      <c r="EB49">
        <f>DS49*DT49/(3.6*10^6)*3600*7200*0.07</f>
        <v>850.3247000073934</v>
      </c>
      <c r="EC49">
        <f>0.499*((BM49/3.78541*15)^(-0.146))*BM49/3.78541*15*300*(1+(AF49-2)/9)</f>
        <v>46287.262995404846</v>
      </c>
      <c r="ED49">
        <f>0.248*((BM49/3.78541*15)^(-0.144))*BM49/3.78541*15*300*(1+(AF49-2)/3)</f>
        <v>46555.349038729662</v>
      </c>
      <c r="EE49">
        <f>0.105*((BM49/3.78541*15)^(-0.144))*BM49/3.78541*15*300*(1+(AF49-2)/3)</f>
        <v>19710.93406881699</v>
      </c>
      <c r="EF49">
        <f>0.058*((BM49/3.78541*15)^(-0.151))*BM49/3.78541*15*300*(1+(AF49-2)/3)</f>
        <v>10447.239668831275</v>
      </c>
      <c r="EG49">
        <f>0.056*((BM49/3.78541*15)^(-0.144))*BM49/3.78541*15*300*(1+(AF49-2)/3)</f>
        <v>10512.498170035729</v>
      </c>
      <c r="EH49">
        <f>DS49*DU49/(3.6*10^6)*3600*7200*0.07</f>
        <v>426.94488068244613</v>
      </c>
      <c r="EI49">
        <f>SUM(DW49:EH49)</f>
        <v>235557.37715902465</v>
      </c>
      <c r="EJ49">
        <f>EI49+DR49+DL49</f>
        <v>36603125.356171355</v>
      </c>
      <c r="EK49">
        <f>EJ49+DF49</f>
        <v>37380943.599192083</v>
      </c>
      <c r="EL49">
        <f>EK49/(BK49*60*7200)</f>
        <v>0.86529962035166863</v>
      </c>
      <c r="EM49">
        <f>EK49/(BM49*(AM49*195.084/1000+AN49*106.42/1000+AO49*102.911/1000)*60*7200)</f>
        <v>2894.8051069315957</v>
      </c>
      <c r="EN49">
        <f>EK49/(BN49*BA49*(AP49*195.084/1000+AQ49*106.42/1000+AR49*102.911/1000)*60*7200)</f>
        <v>5311.7973175971083</v>
      </c>
    </row>
    <row r="50" spans="1:144">
      <c r="A50">
        <f>'Costing 100 Lmin Feed Orig'!A50</f>
        <v>7</v>
      </c>
      <c r="B50">
        <f>'Costing 100 Lmin Feed Orig'!B50</f>
        <v>1.54143585092054E-3</v>
      </c>
      <c r="C50">
        <f>'Costing 100 Lmin Feed Orig'!C50</f>
        <v>1.54143585092054E-3</v>
      </c>
      <c r="D50">
        <f>'Costing 100 Lmin Feed Orig'!D50</f>
        <v>3.4254130020456501E-4</v>
      </c>
      <c r="E50">
        <f>'Costing 100 Lmin Feed Orig'!E50</f>
        <v>0</v>
      </c>
      <c r="F50">
        <f>'Costing 100 Lmin Feed Orig'!F50</f>
        <v>0</v>
      </c>
      <c r="G50">
        <f>'Costing 100 Lmin Feed Orig'!G50</f>
        <v>0</v>
      </c>
      <c r="H50">
        <f>'Costing 100 Lmin Feed Orig'!H50</f>
        <v>1.7744466230058299E-5</v>
      </c>
      <c r="I50">
        <f>'Costing 100 Lmin Feed Orig'!I50</f>
        <v>1.2927742824924801E-8</v>
      </c>
      <c r="J50">
        <f>'Costing 100 Lmin Feed Orig'!J50</f>
        <v>3.3739048286900598E-4</v>
      </c>
      <c r="K50">
        <f>'Costing 100 Lmin Feed Orig'!K50</f>
        <v>0.13716795306346499</v>
      </c>
      <c r="L50">
        <f>'Costing 100 Lmin Feed Orig'!L50</f>
        <v>0.138764207307677</v>
      </c>
      <c r="M50">
        <f>'Costing 100 Lmin Feed Orig'!M50</f>
        <v>4.6369433969460899E-4</v>
      </c>
      <c r="N50">
        <f>'Costing 100 Lmin Feed Orig'!N50</f>
        <v>-1.1037178115902399E-16</v>
      </c>
      <c r="O50">
        <f>'Costing 100 Lmin Feed Orig'!O50</f>
        <v>-5.3700533603207003E-15</v>
      </c>
      <c r="P50">
        <f>'Costing 100 Lmin Feed Orig'!P50</f>
        <v>-3.4304834363799101E-19</v>
      </c>
      <c r="Q50">
        <f>'Costing 100 Lmin Feed Orig'!Q50</f>
        <v>0.111082169753281</v>
      </c>
      <c r="R50">
        <f>'Costing 100 Lmin Feed Orig'!R50</f>
        <v>98.496293050653193</v>
      </c>
      <c r="S50">
        <f>'Costing 100 Lmin Feed Orig'!S50</f>
        <v>500</v>
      </c>
      <c r="T50">
        <f>'Costing 100 Lmin Feed Orig'!T50</f>
        <v>95</v>
      </c>
      <c r="U50">
        <f>'Costing 100 Lmin Feed Orig'!U50</f>
        <v>1</v>
      </c>
      <c r="V50">
        <f>'Costing 100 Lmin Feed Orig'!V50</f>
        <v>0.1</v>
      </c>
      <c r="W50">
        <f>'Costing 100 Lmin Feed Orig'!W50</f>
        <v>90.023448607553206</v>
      </c>
      <c r="X50" t="str">
        <f>'Costing 100 Lmin Feed Orig'!X50</f>
        <v>ddFc</v>
      </c>
      <c r="Y50">
        <f>'Costing 100 Lmin Feed Orig'!Y50</f>
        <v>1</v>
      </c>
      <c r="Z50">
        <f>'Costing 100 Lmin Feed Orig'!Z50</f>
        <v>0.28318429382522198</v>
      </c>
      <c r="AA50">
        <f>'Costing 100 Lmin Feed Orig'!AA50</f>
        <v>0.56945642916197003</v>
      </c>
      <c r="AB50">
        <f>'Costing 100 Lmin Feed Orig'!AB50</f>
        <v>3.7698628972227502E-3</v>
      </c>
      <c r="AC50">
        <f>'Costing 100 Lmin Feed Orig'!AC50</f>
        <v>1822.2107908876901</v>
      </c>
      <c r="AD50">
        <f>'Costing 100 Lmin Feed Orig'!AD50</f>
        <v>2662.6059073104898</v>
      </c>
      <c r="AE50">
        <f>'Costing 100 Lmin Feed Orig'!AE50</f>
        <v>2401.5030938442701</v>
      </c>
      <c r="AF50">
        <f>'Costing 100 Lmin Feed Orig'!AF50</f>
        <v>12</v>
      </c>
      <c r="AG50">
        <f>'Costing 100 Lmin Feed Orig'!AG50</f>
        <v>1.64967327652189E-3</v>
      </c>
      <c r="AH50">
        <f>'Costing 100 Lmin Feed Orig'!AH50</f>
        <v>1.66887089455438E-3</v>
      </c>
      <c r="AI50">
        <f>'Costing 100 Lmin Feed Orig'!AI50</f>
        <v>5.5766973522943398E-6</v>
      </c>
      <c r="AJ50">
        <f>'Costing 100 Lmin Feed Orig'!AJ50</f>
        <v>0</v>
      </c>
      <c r="AK50">
        <f>'Costing 100 Lmin Feed Orig'!AK50</f>
        <v>0</v>
      </c>
      <c r="AL50">
        <f>'Costing 100 Lmin Feed Orig'!AL50</f>
        <v>0</v>
      </c>
      <c r="AM50">
        <f>'Costing 100 Lmin Feed Orig'!AM50</f>
        <v>1.6127216178039401E-3</v>
      </c>
      <c r="AN50">
        <f>'Costing 100 Lmin Feed Orig'!AN50</f>
        <v>7.9340068948572E-5</v>
      </c>
      <c r="AO50">
        <f>'Costing 100 Lmin Feed Orig'!AO50</f>
        <v>5.5400161990028701E-6</v>
      </c>
      <c r="AP50">
        <f>'Costing 100 Lmin Feed Orig'!AP50</f>
        <v>1.7331814378101901E-3</v>
      </c>
      <c r="AQ50">
        <f>'Costing 100 Lmin Feed Orig'!AQ50</f>
        <v>7.4555389865565105E-2</v>
      </c>
      <c r="AR50">
        <f>'Costing 100 Lmin Feed Orig'!AR50</f>
        <v>1.7204936451815799E-6</v>
      </c>
      <c r="AS50">
        <f>'Costing 100 Lmin Feed Orig'!AS50</f>
        <v>4.8772157102902604E-16</v>
      </c>
      <c r="AT50">
        <f>'Costing 100 Lmin Feed Orig'!AT50</f>
        <v>-4.7916531853431302E-14</v>
      </c>
      <c r="AU50">
        <f>'Costing 100 Lmin Feed Orig'!AU50</f>
        <v>-4.0829635035617401E-21</v>
      </c>
      <c r="AV50">
        <f>'Costing 100 Lmin Feed Orig'!AV50</f>
        <v>0.19691961669677699</v>
      </c>
      <c r="AW50">
        <f>'Costing 100 Lmin Feed Orig'!AW50</f>
        <v>99.342242352879694</v>
      </c>
      <c r="AX50">
        <f>'Costing 100 Lmin Feed Orig'!AX50</f>
        <v>500</v>
      </c>
      <c r="AY50">
        <f>'Costing 100 Lmin Feed Orig'!AY50</f>
        <v>95</v>
      </c>
      <c r="AZ50">
        <f>'Costing 100 Lmin Feed Orig'!AZ50</f>
        <v>0.92363221637625403</v>
      </c>
      <c r="BA50">
        <f>'Costing 100 Lmin Feed Orig'!BA50</f>
        <v>0.1</v>
      </c>
      <c r="BB50">
        <f>'Costing 100 Lmin Feed Orig'!BB50</f>
        <v>46.904022660093197</v>
      </c>
      <c r="BC50" t="str">
        <f>'Costing 100 Lmin Feed Orig'!BC50</f>
        <v>coeFc</v>
      </c>
      <c r="BD50">
        <f>'Costing 100 Lmin Feed Orig'!BD50</f>
        <v>1</v>
      </c>
      <c r="BE50">
        <f>'Costing 100 Lmin Feed Orig'!BE50</f>
        <v>1.8775014999999999E-2</v>
      </c>
      <c r="BF50">
        <f>'Costing 100 Lmin Feed Orig'!BF50</f>
        <v>0.10492961100000001</v>
      </c>
      <c r="BG50">
        <f>'Costing 100 Lmin Feed Orig'!BG50</f>
        <v>1.814625E-3</v>
      </c>
      <c r="BH50">
        <f>'Costing 100 Lmin Feed Orig'!BH50</f>
        <v>285.1951444</v>
      </c>
      <c r="BI50">
        <f>'Costing 100 Lmin Feed Orig'!BI50</f>
        <v>2169.8944889999998</v>
      </c>
      <c r="BJ50">
        <f>'Costing 100 Lmin Feed Orig'!BJ50</f>
        <v>866.49409060000005</v>
      </c>
      <c r="BK50">
        <f>'Costing 100 Lmin Feed Orig'!BK50</f>
        <v>100</v>
      </c>
      <c r="BL50">
        <f>'Costing 100 Lmin Feed Orig'!BL50</f>
        <v>11.1082169753281</v>
      </c>
      <c r="BM50">
        <f>'Costing 100 Lmin Feed Orig'!BM50</f>
        <v>92.363221637625401</v>
      </c>
      <c r="BN50">
        <f>'Costing 100 Lmin Feed Orig'!BN50</f>
        <v>19.691961669677699</v>
      </c>
      <c r="BO50">
        <f t="shared" si="1"/>
        <v>199.94790555590581</v>
      </c>
      <c r="BP50">
        <f t="shared" si="2"/>
        <v>551.37492675097553</v>
      </c>
      <c r="BQ50">
        <f t="shared" si="3"/>
        <v>19.994790555590583</v>
      </c>
      <c r="BR50">
        <f t="shared" si="4"/>
        <v>55.137492675097555</v>
      </c>
      <c r="BS50">
        <f>1.2*0.5*BL50*V50/'Oxidant Feed Composition'!$N$22</f>
        <v>6.6649301851968596</v>
      </c>
      <c r="BT50">
        <f>1.2*0.5*BN50*BA50/'Oxidant Feed Composition'!$N$22</f>
        <v>11.815177001806619</v>
      </c>
      <c r="BU50">
        <f t="shared" si="5"/>
        <v>5.5541084876640499</v>
      </c>
      <c r="BV50">
        <f t="shared" si="6"/>
        <v>9.8459808348388496</v>
      </c>
      <c r="BW50">
        <f t="shared" si="7"/>
        <v>86.809113149961348</v>
      </c>
      <c r="BX50">
        <f t="shared" si="0"/>
        <v>35.54629432104992</v>
      </c>
      <c r="BY50">
        <f t="shared" si="8"/>
        <v>206.94287722590701</v>
      </c>
      <c r="BZ50">
        <f t="shared" si="9"/>
        <v>63.01427734296864</v>
      </c>
      <c r="CA50">
        <f t="shared" si="10"/>
        <v>59.075885009033101</v>
      </c>
      <c r="CB50">
        <f>BO50*'Reagent cost'!$G$11*'Reagent cost'!$H$11</f>
        <v>2639.3123533379567</v>
      </c>
      <c r="CC50">
        <f>BP50*'Reagent cost'!$G$11*'Reagent cost'!$H$11</f>
        <v>7278.1490331128771</v>
      </c>
      <c r="CD50">
        <f>BQ50*'Reagent cost'!$C$18/1000*'Reagent cost'!$H$18</f>
        <v>3188.7782491883527</v>
      </c>
      <c r="CE50">
        <f>BR50*'Ligand cost'!$B$56*'Ligand cost'!$J$56</f>
        <v>56137.010361921792</v>
      </c>
      <c r="CF50">
        <f t="shared" si="11"/>
        <v>10</v>
      </c>
      <c r="CG50">
        <f t="shared" si="12"/>
        <v>2.22164339506562</v>
      </c>
      <c r="CH50">
        <f t="shared" si="12"/>
        <v>3.93839233393554</v>
      </c>
      <c r="CI50">
        <f>7963.6*(BX50/1000)^0.6*1.7*('CAPEX+OPEX'!$G$116/'CAPEX+OPEX'!$G$115)</f>
        <v>2156.3414312027717</v>
      </c>
      <c r="CJ50">
        <f>7963.6*(BY50/1000)^0.6*1.7*('CAPEX+OPEX'!$G$116/'CAPEX+OPEX'!$G$115)</f>
        <v>6205.1347590783025</v>
      </c>
      <c r="CK50">
        <f>7963.6*(BZ50/1000)^0.6*1.7*('CAPEX+OPEX'!$G$116/'CAPEX+OPEX'!$G$115)</f>
        <v>3040.2150453395552</v>
      </c>
      <c r="CL50">
        <f>7963.6*(CA50/1000)^0.6*1.7*('CAPEX+OPEX'!$G$116/'CAPEX+OPEX'!$G$115)</f>
        <v>2924.7386867574915</v>
      </c>
      <c r="CM50">
        <f>'Costing 100 Lmin Feed Orig'!DE50</f>
        <v>39625.826528698344</v>
      </c>
      <c r="CN50">
        <f>'Costing 100 Lmin Feed Orig'!DF50</f>
        <v>4586243.4239371875</v>
      </c>
      <c r="CO50">
        <f>'Costing 100 Lmin Feed Orig'!DG50</f>
        <v>11794834.586807497</v>
      </c>
      <c r="CP50">
        <f>'Costing 100 Lmin Feed Orig'!DH50</f>
        <v>2275209.1661185985</v>
      </c>
      <c r="CQ50">
        <f>'Costing 100 Lmin Feed Orig'!DI50</f>
        <v>14083914.336508472</v>
      </c>
      <c r="CR50">
        <f>'Costing 100 Lmin Feed Orig'!DJ50</f>
        <v>1662824.8986326549</v>
      </c>
      <c r="CS50">
        <f>CN50*(BK50/10000)^0.72*((A50+1)/3)^0.6*('CAPEX+OPEX'!$G$116/'CAPEX+OPEX'!$G$114)</f>
        <v>700033.84449786716</v>
      </c>
      <c r="CT50">
        <f>CO50*(BK50/10000)^0.72*((A50+1)/3)^0.6*('CAPEX+OPEX'!$G$116/'CAPEX+OPEX'!$G$114)</f>
        <v>1800336.9288957189</v>
      </c>
      <c r="CU50">
        <f>CP50*(BK50/10000)^0.72*((A50+1)/3)^0.6*('CAPEX+OPEX'!$G$116/'CAPEX+OPEX'!$G$114)</f>
        <v>347282.79168127343</v>
      </c>
      <c r="CV50">
        <f>CQ50*(BK50/10000)^0.72*((A50+1)/3)^0.6*('CAPEX+OPEX'!$G$116/'CAPEX+OPEX'!$G$114)</f>
        <v>2149736.8951473436</v>
      </c>
      <c r="CW50">
        <f>CR50*(BK50/10000)^0.72*((A50+1)/3)^0.6*('CAPEX+OPEX'!$G$116/'CAPEX+OPEX'!$G$114)</f>
        <v>253809.83932102245</v>
      </c>
      <c r="CX50">
        <f t="shared" si="13"/>
        <v>5251200.2995432261</v>
      </c>
      <c r="CY50">
        <f>CN50*(BM50/10000)^0.72*((AF50+1)/3)^0.6*('CAPEX+OPEX'!$G$116/'CAPEX+OPEX'!$G$114)</f>
        <v>884688.5141556306</v>
      </c>
      <c r="CZ50">
        <f>CO50*(BM50/10000)^0.72*((AF50+1)/3)^0.6*('CAPEX+OPEX'!$G$116/'CAPEX+OPEX'!$G$114)</f>
        <v>2275229.140880656</v>
      </c>
      <c r="DA50">
        <f>CP50*(BM50/10000)^0.72*((AF50+1)/3)^0.6*('CAPEX+OPEX'!$G$116/'CAPEX+OPEX'!$G$114)</f>
        <v>438888.91855608189</v>
      </c>
      <c r="DB50">
        <f>CQ50*(BM50/10000)^0.72*((AF50+1)/3)^0.6*('CAPEX+OPEX'!$G$116/'CAPEX+OPEX'!$G$114)</f>
        <v>2716793.7015354363</v>
      </c>
      <c r="DC50">
        <f>CR50*(BM50/10000)^0.72*((AF50+1)/3)^0.6*('CAPEX+OPEX'!$G$116/'CAPEX+OPEX'!$G$114)</f>
        <v>320759.70525119215</v>
      </c>
      <c r="DD50">
        <f t="shared" si="14"/>
        <v>6636359.9803789966</v>
      </c>
      <c r="DE50">
        <f>CX50+DD50+1.15*(SUM(CI50:CL50)+SUM(CB50:CE50))</f>
        <v>11983665.411830153</v>
      </c>
      <c r="DF50">
        <f t="shared" si="15"/>
        <v>798911.02745534352</v>
      </c>
      <c r="DG50">
        <f>(BS50+BT50)*'Oxidant Feed Composition'!$N$28*60*7200</f>
        <v>20546829.258712258</v>
      </c>
      <c r="DH50">
        <f>((CG50+CH50)*'Reagent cost'!$C$17/1000*'Reagent cost'!$H$17+(CG50+CH50)*0.5*'Reagent cost'!$C$16/1000*'Reagent cost'!$H$16*1.5)*60*7200</f>
        <v>8741310.9823303148</v>
      </c>
      <c r="DI50">
        <f>CF50*'Reagent cost'!$C$17/1000*'Reagent cost'!$H$17*60*7200</f>
        <v>504921.59999999998</v>
      </c>
      <c r="DJ50">
        <f t="shared" si="16"/>
        <v>99.174613864508345</v>
      </c>
      <c r="DK50">
        <f t="shared" si="17"/>
        <v>1186.5157722222029</v>
      </c>
      <c r="DL50">
        <f t="shared" si="18"/>
        <v>35753217.037714392</v>
      </c>
      <c r="DM50">
        <f>BK50*(B50*(409.81+2)/1000+C50*(248.2+2*22.99)/1000+D50*(315.6+3*22.99)/1000+0.1*58.44/1000)</f>
        <v>0.70639694042110623</v>
      </c>
      <c r="DN50">
        <f>(BS50+BT50)/1000*('Oxidant Feed Composition'!$B$11*'Oxidant Feed Composition'!$O$20+'Oxidant Feed Composition'!$D$11*'Oxidant Feed Composition'!$O$21+'Oxidant Feed Composition'!$F$11*'Oxidant Feed Composition'!$O$27-'Oxidant Feed Composition'!$J$15*18.015)</f>
        <v>2.1581908169848951</v>
      </c>
      <c r="DO50">
        <f>(BU50+BV50)/1000*(0.2*368.34+0.4*58.44)</f>
        <v>1.4944862682129714</v>
      </c>
      <c r="DP50">
        <f>BK50/1000*(B50*195.08+C50*106.42+D50*102.91)</f>
        <v>4.999938342565946E-2</v>
      </c>
      <c r="DQ50">
        <f>SUM(DM50:DO50)-DP50</f>
        <v>4.3090746421933126</v>
      </c>
      <c r="DR50">
        <f>DQ50*60*7200*0.33</f>
        <v>614301.68099107873</v>
      </c>
      <c r="DS50">
        <v>1.2</v>
      </c>
      <c r="DT50">
        <f>BM50/60*(AM50*4+AN50*2+AO50*3)*96485/DV50</f>
        <v>1405.960919870389</v>
      </c>
      <c r="DU50">
        <f>BN50*BA50*(AP50*4+AQ50*2+AR50*3)*96485/DV50/60</f>
        <v>705.92661426068241</v>
      </c>
      <c r="DV50">
        <v>0.7</v>
      </c>
      <c r="DW50">
        <f>0.499*((BK50/3.78541*15)^(-0.146))*BK50/3.78541*15*300*(1+(A50-2)/9)</f>
        <v>38528.386667103026</v>
      </c>
      <c r="DX50">
        <f>0.248*((BK50/3.78541*15)^(-0.144))*BK50/3.78541*15*300*(1+(A50-2)/3)</f>
        <v>33220.879177835675</v>
      </c>
      <c r="DY50">
        <f>0.105*((BK50/3.78541*15)^(-0.144))*BK50/3.78541*15*300*(1+(A50-2)/3)</f>
        <v>14065.291587390104</v>
      </c>
      <c r="DZ50">
        <f>0.058*((BK50/3.78541*15)^(-0.151))*BK50/3.78541*15*300*(1+(A50-2)/3)</f>
        <v>7450.7773575794354</v>
      </c>
      <c r="EA50">
        <f>0.056*((BK50/3.78541*15)^(-0.144))*BK50/3.78541*15*300*(1+(A50-2)/3)</f>
        <v>7501.4888466080574</v>
      </c>
      <c r="EB50">
        <f>DS50*DT50/(3.6*10^6)*3600*7200*0.07</f>
        <v>850.32516433761134</v>
      </c>
      <c r="EC50">
        <f>0.499*((BM50/3.78541*15)^(-0.146))*BM50/3.78541*15*300*(1+(AF50-2)/9)</f>
        <v>48858.777606260672</v>
      </c>
      <c r="ED50">
        <f>0.248*((BM50/3.78541*15)^(-0.144))*BM50/3.78541*15*300*(1+(AF50-2)/3)</f>
        <v>50434.961458623809</v>
      </c>
      <c r="EE50">
        <f>0.105*((BM50/3.78541*15)^(-0.144))*BM50/3.78541*15*300*(1+(AF50-2)/3)</f>
        <v>21353.511907885077</v>
      </c>
      <c r="EF50">
        <f>0.058*((BM50/3.78541*15)^(-0.151))*BM50/3.78541*15*300*(1+(AF50-2)/3)</f>
        <v>11317.842974567217</v>
      </c>
      <c r="EG50">
        <f>0.056*((BM50/3.78541*15)^(-0.144))*BM50/3.78541*15*300*(1+(AF50-2)/3)</f>
        <v>11388.539684205374</v>
      </c>
      <c r="EH50">
        <f>DS50*DU50/(3.6*10^6)*3600*7200*0.07</f>
        <v>426.94441630486074</v>
      </c>
      <c r="EI50">
        <f>SUM(DW50:EH50)</f>
        <v>245397.72684870093</v>
      </c>
      <c r="EJ50">
        <f>EI50+DR50+DL50</f>
        <v>36612916.445554174</v>
      </c>
      <c r="EK50">
        <f>EJ50+DF50</f>
        <v>37411827.473009519</v>
      </c>
      <c r="EL50">
        <f>EK50/(BK50*60*7200)</f>
        <v>0.86601452483818331</v>
      </c>
      <c r="EM50">
        <f>EK50/(BM50*(AM50*195.084/1000+AN50*106.42/1000+AO50*102.911/1000)*60*7200)</f>
        <v>2897.1951915635718</v>
      </c>
      <c r="EN50">
        <f>EK50/(BN50*BA50*(AP50*195.084/1000+AQ50*106.42/1000+AR50*102.911/1000)*60*7200)</f>
        <v>5316.1912181700509</v>
      </c>
    </row>
    <row r="51" spans="1:144">
      <c r="A51">
        <f>'Costing 100 Lmin Feed Orig'!A51</f>
        <v>7</v>
      </c>
      <c r="B51">
        <f>'Costing 100 Lmin Feed Orig'!B51</f>
        <v>1.54143585092054E-3</v>
      </c>
      <c r="C51">
        <f>'Costing 100 Lmin Feed Orig'!C51</f>
        <v>1.54143585092054E-3</v>
      </c>
      <c r="D51">
        <f>'Costing 100 Lmin Feed Orig'!D51</f>
        <v>3.4254130020456501E-4</v>
      </c>
      <c r="E51">
        <f>'Costing 100 Lmin Feed Orig'!E51</f>
        <v>0</v>
      </c>
      <c r="F51">
        <f>'Costing 100 Lmin Feed Orig'!F51</f>
        <v>0</v>
      </c>
      <c r="G51">
        <f>'Costing 100 Lmin Feed Orig'!G51</f>
        <v>0</v>
      </c>
      <c r="H51">
        <f>'Costing 100 Lmin Feed Orig'!H51</f>
        <v>1.7744466230058299E-5</v>
      </c>
      <c r="I51">
        <f>'Costing 100 Lmin Feed Orig'!I51</f>
        <v>1.2927742824924801E-8</v>
      </c>
      <c r="J51">
        <f>'Costing 100 Lmin Feed Orig'!J51</f>
        <v>3.3739048286900598E-4</v>
      </c>
      <c r="K51">
        <f>'Costing 100 Lmin Feed Orig'!K51</f>
        <v>0.13716795306346499</v>
      </c>
      <c r="L51">
        <f>'Costing 100 Lmin Feed Orig'!L51</f>
        <v>0.138764207307677</v>
      </c>
      <c r="M51">
        <f>'Costing 100 Lmin Feed Orig'!M51</f>
        <v>4.6369433969460899E-4</v>
      </c>
      <c r="N51">
        <f>'Costing 100 Lmin Feed Orig'!N51</f>
        <v>-1.1037178115902399E-16</v>
      </c>
      <c r="O51">
        <f>'Costing 100 Lmin Feed Orig'!O51</f>
        <v>-5.3700533603207003E-15</v>
      </c>
      <c r="P51">
        <f>'Costing 100 Lmin Feed Orig'!P51</f>
        <v>-3.4304834363799101E-19</v>
      </c>
      <c r="Q51">
        <f>'Costing 100 Lmin Feed Orig'!Q51</f>
        <v>0.111082169753281</v>
      </c>
      <c r="R51">
        <f>'Costing 100 Lmin Feed Orig'!R51</f>
        <v>98.496293050653193</v>
      </c>
      <c r="S51">
        <f>'Costing 100 Lmin Feed Orig'!S51</f>
        <v>500</v>
      </c>
      <c r="T51">
        <f>'Costing 100 Lmin Feed Orig'!T51</f>
        <v>95</v>
      </c>
      <c r="U51">
        <f>'Costing 100 Lmin Feed Orig'!U51</f>
        <v>1</v>
      </c>
      <c r="V51">
        <f>'Costing 100 Lmin Feed Orig'!V51</f>
        <v>0.1</v>
      </c>
      <c r="W51">
        <f>'Costing 100 Lmin Feed Orig'!W51</f>
        <v>90.023448607553206</v>
      </c>
      <c r="X51" t="str">
        <f>'Costing 100 Lmin Feed Orig'!X51</f>
        <v>ddFc</v>
      </c>
      <c r="Y51">
        <f>'Costing 100 Lmin Feed Orig'!Y51</f>
        <v>1</v>
      </c>
      <c r="Z51">
        <f>'Costing 100 Lmin Feed Orig'!Z51</f>
        <v>0.28318429382522198</v>
      </c>
      <c r="AA51">
        <f>'Costing 100 Lmin Feed Orig'!AA51</f>
        <v>0.56945642916197003</v>
      </c>
      <c r="AB51">
        <f>'Costing 100 Lmin Feed Orig'!AB51</f>
        <v>3.7698628972227502E-3</v>
      </c>
      <c r="AC51">
        <f>'Costing 100 Lmin Feed Orig'!AC51</f>
        <v>1822.2107908876901</v>
      </c>
      <c r="AD51">
        <f>'Costing 100 Lmin Feed Orig'!AD51</f>
        <v>2662.6059073104898</v>
      </c>
      <c r="AE51">
        <f>'Costing 100 Lmin Feed Orig'!AE51</f>
        <v>2401.5030938442701</v>
      </c>
      <c r="AF51">
        <f>'Costing 100 Lmin Feed Orig'!AF51</f>
        <v>13</v>
      </c>
      <c r="AG51">
        <f>'Costing 100 Lmin Feed Orig'!AG51</f>
        <v>1.64967327652189E-3</v>
      </c>
      <c r="AH51">
        <f>'Costing 100 Lmin Feed Orig'!AH51</f>
        <v>1.66887089455438E-3</v>
      </c>
      <c r="AI51">
        <f>'Costing 100 Lmin Feed Orig'!AI51</f>
        <v>5.5766973522943398E-6</v>
      </c>
      <c r="AJ51">
        <f>'Costing 100 Lmin Feed Orig'!AJ51</f>
        <v>0</v>
      </c>
      <c r="AK51">
        <f>'Costing 100 Lmin Feed Orig'!AK51</f>
        <v>0</v>
      </c>
      <c r="AL51">
        <f>'Costing 100 Lmin Feed Orig'!AL51</f>
        <v>0</v>
      </c>
      <c r="AM51">
        <f>'Costing 100 Lmin Feed Orig'!AM51</f>
        <v>1.61272186550998E-3</v>
      </c>
      <c r="AN51">
        <f>'Costing 100 Lmin Feed Orig'!AN51</f>
        <v>7.93400817500593E-5</v>
      </c>
      <c r="AO51">
        <f>'Costing 100 Lmin Feed Orig'!AO51</f>
        <v>5.54001643467726E-6</v>
      </c>
      <c r="AP51">
        <f>'Costing 100 Lmin Feed Orig'!AP51</f>
        <v>1.7331730611392299E-3</v>
      </c>
      <c r="AQ51">
        <f>'Costing 100 Lmin Feed Orig'!AQ51</f>
        <v>7.4555528710795793E-2</v>
      </c>
      <c r="AR51">
        <f>'Costing 100 Lmin Feed Orig'!AR51</f>
        <v>1.7204858090881901E-6</v>
      </c>
      <c r="AS51">
        <f>'Costing 100 Lmin Feed Orig'!AS51</f>
        <v>5.6920614055488896E-19</v>
      </c>
      <c r="AT51">
        <f>'Costing 100 Lmin Feed Orig'!AT51</f>
        <v>-1.9298798670241899E-17</v>
      </c>
      <c r="AU51">
        <f>'Costing 100 Lmin Feed Orig'!AU51</f>
        <v>2.0514079191314999E-22</v>
      </c>
      <c r="AV51">
        <f>'Costing 100 Lmin Feed Orig'!AV51</f>
        <v>0.19691924837979699</v>
      </c>
      <c r="AW51">
        <f>'Costing 100 Lmin Feed Orig'!AW51</f>
        <v>99.342246578936397</v>
      </c>
      <c r="AX51">
        <f>'Costing 100 Lmin Feed Orig'!AX51</f>
        <v>500</v>
      </c>
      <c r="AY51">
        <f>'Costing 100 Lmin Feed Orig'!AY51</f>
        <v>95</v>
      </c>
      <c r="AZ51">
        <f>'Costing 100 Lmin Feed Orig'!AZ51</f>
        <v>0.92363221637625403</v>
      </c>
      <c r="BA51">
        <f>'Costing 100 Lmin Feed Orig'!BA51</f>
        <v>0.1</v>
      </c>
      <c r="BB51">
        <f>'Costing 100 Lmin Feed Orig'!BB51</f>
        <v>46.904110389191104</v>
      </c>
      <c r="BC51" t="str">
        <f>'Costing 100 Lmin Feed Orig'!BC51</f>
        <v>coeFc</v>
      </c>
      <c r="BD51">
        <f>'Costing 100 Lmin Feed Orig'!BD51</f>
        <v>1</v>
      </c>
      <c r="BE51">
        <f>'Costing 100 Lmin Feed Orig'!BE51</f>
        <v>1.8775014999999999E-2</v>
      </c>
      <c r="BF51">
        <f>'Costing 100 Lmin Feed Orig'!BF51</f>
        <v>0.10492961100000001</v>
      </c>
      <c r="BG51">
        <f>'Costing 100 Lmin Feed Orig'!BG51</f>
        <v>1.814625E-3</v>
      </c>
      <c r="BH51">
        <f>'Costing 100 Lmin Feed Orig'!BH51</f>
        <v>285.1951444</v>
      </c>
      <c r="BI51">
        <f>'Costing 100 Lmin Feed Orig'!BI51</f>
        <v>2169.8944889999998</v>
      </c>
      <c r="BJ51">
        <f>'Costing 100 Lmin Feed Orig'!BJ51</f>
        <v>866.49409060000005</v>
      </c>
      <c r="BK51">
        <f>'Costing 100 Lmin Feed Orig'!BK51</f>
        <v>100</v>
      </c>
      <c r="BL51">
        <f>'Costing 100 Lmin Feed Orig'!BL51</f>
        <v>11.1082169753281</v>
      </c>
      <c r="BM51">
        <f>'Costing 100 Lmin Feed Orig'!BM51</f>
        <v>92.363221637625401</v>
      </c>
      <c r="BN51">
        <f>'Costing 100 Lmin Feed Orig'!BN51</f>
        <v>19.691924837979698</v>
      </c>
      <c r="BO51">
        <f t="shared" si="1"/>
        <v>199.94790555590581</v>
      </c>
      <c r="BP51">
        <f t="shared" si="2"/>
        <v>590.75774513939098</v>
      </c>
      <c r="BQ51">
        <f t="shared" si="3"/>
        <v>19.994790555590583</v>
      </c>
      <c r="BR51">
        <f t="shared" si="4"/>
        <v>59.075774513939102</v>
      </c>
      <c r="BS51">
        <f>1.2*0.5*BL51*V51/'Oxidant Feed Composition'!$N$22</f>
        <v>6.6649301851968596</v>
      </c>
      <c r="BT51">
        <f>1.2*0.5*BN51*BA51/'Oxidant Feed Composition'!$N$22</f>
        <v>11.815154902787818</v>
      </c>
      <c r="BU51">
        <f t="shared" si="5"/>
        <v>5.5541084876640499</v>
      </c>
      <c r="BV51">
        <f t="shared" si="6"/>
        <v>9.8459624189898491</v>
      </c>
      <c r="BW51">
        <f t="shared" si="7"/>
        <v>86.809113149961348</v>
      </c>
      <c r="BX51">
        <f t="shared" si="0"/>
        <v>35.54629432104992</v>
      </c>
      <c r="BY51">
        <f t="shared" si="8"/>
        <v>206.94287722590701</v>
      </c>
      <c r="BZ51">
        <f t="shared" si="9"/>
        <v>63.014159481535032</v>
      </c>
      <c r="CA51">
        <f t="shared" si="10"/>
        <v>59.075774513939095</v>
      </c>
      <c r="CB51">
        <f>BO51*'Reagent cost'!$G$11*'Reagent cost'!$H$11</f>
        <v>2639.3123533379567</v>
      </c>
      <c r="CC51">
        <f>BP51*'Reagent cost'!$G$11*'Reagent cost'!$H$11</f>
        <v>7798.0022358399619</v>
      </c>
      <c r="CD51">
        <f>BQ51*'Reagent cost'!$C$18/1000*'Reagent cost'!$H$18</f>
        <v>3188.7782491883527</v>
      </c>
      <c r="CE51">
        <f>BR51*'Ligand cost'!$B$56*'Ligand cost'!$J$56</f>
        <v>60146.684318225351</v>
      </c>
      <c r="CF51">
        <f t="shared" si="11"/>
        <v>10</v>
      </c>
      <c r="CG51">
        <f t="shared" si="12"/>
        <v>2.22164339506562</v>
      </c>
      <c r="CH51">
        <f t="shared" si="12"/>
        <v>3.9383849675959399</v>
      </c>
      <c r="CI51">
        <f>7963.6*(BX51/1000)^0.6*1.7*('CAPEX+OPEX'!$G$116/'CAPEX+OPEX'!$G$115)</f>
        <v>2156.3414312027717</v>
      </c>
      <c r="CJ51">
        <f>7963.6*(BY51/1000)^0.6*1.7*('CAPEX+OPEX'!$G$116/'CAPEX+OPEX'!$G$115)</f>
        <v>6205.1347590783025</v>
      </c>
      <c r="CK51">
        <f>7963.6*(BZ51/1000)^0.6*1.7*('CAPEX+OPEX'!$G$116/'CAPEX+OPEX'!$G$115)</f>
        <v>3040.2116335009732</v>
      </c>
      <c r="CL51">
        <f>7963.6*(CA51/1000)^0.6*1.7*('CAPEX+OPEX'!$G$116/'CAPEX+OPEX'!$G$115)</f>
        <v>2924.7354045106295</v>
      </c>
      <c r="CM51">
        <f>'Costing 100 Lmin Feed Orig'!DE51</f>
        <v>39625.826528698344</v>
      </c>
      <c r="CN51">
        <f>'Costing 100 Lmin Feed Orig'!DF51</f>
        <v>4586243.4239371875</v>
      </c>
      <c r="CO51">
        <f>'Costing 100 Lmin Feed Orig'!DG51</f>
        <v>11794834.586807497</v>
      </c>
      <c r="CP51">
        <f>'Costing 100 Lmin Feed Orig'!DH51</f>
        <v>2275209.1661185985</v>
      </c>
      <c r="CQ51">
        <f>'Costing 100 Lmin Feed Orig'!DI51</f>
        <v>14083914.336508472</v>
      </c>
      <c r="CR51">
        <f>'Costing 100 Lmin Feed Orig'!DJ51</f>
        <v>1662824.8986326549</v>
      </c>
      <c r="CS51">
        <f>CN51*(BK51/10000)^0.72*((A51+1)/3)^0.6*('CAPEX+OPEX'!$G$116/'CAPEX+OPEX'!$G$114)</f>
        <v>700033.84449786716</v>
      </c>
      <c r="CT51">
        <f>CO51*(BK51/10000)^0.72*((A51+1)/3)^0.6*('CAPEX+OPEX'!$G$116/'CAPEX+OPEX'!$G$114)</f>
        <v>1800336.9288957189</v>
      </c>
      <c r="CU51">
        <f>CP51*(BK51/10000)^0.72*((A51+1)/3)^0.6*('CAPEX+OPEX'!$G$116/'CAPEX+OPEX'!$G$114)</f>
        <v>347282.79168127343</v>
      </c>
      <c r="CV51">
        <f>CQ51*(BK51/10000)^0.72*((A51+1)/3)^0.6*('CAPEX+OPEX'!$G$116/'CAPEX+OPEX'!$G$114)</f>
        <v>2149736.8951473436</v>
      </c>
      <c r="CW51">
        <f>CR51*(BK51/10000)^0.72*((A51+1)/3)^0.6*('CAPEX+OPEX'!$G$116/'CAPEX+OPEX'!$G$114)</f>
        <v>253809.83932102245</v>
      </c>
      <c r="CX51">
        <f t="shared" si="13"/>
        <v>5251200.2995432261</v>
      </c>
      <c r="CY51">
        <f>CN51*(BM51/10000)^0.72*((AF51+1)/3)^0.6*('CAPEX+OPEX'!$G$116/'CAPEX+OPEX'!$G$114)</f>
        <v>924913.67140026169</v>
      </c>
      <c r="CZ51">
        <f>CO51*(BM51/10000)^0.72*((AF51+1)/3)^0.6*('CAPEX+OPEX'!$G$116/'CAPEX+OPEX'!$G$114)</f>
        <v>2378679.619207304</v>
      </c>
      <c r="DA51">
        <f>CP51*(BM51/10000)^0.72*((AF51+1)/3)^0.6*('CAPEX+OPEX'!$G$116/'CAPEX+OPEX'!$G$114)</f>
        <v>458844.38930014853</v>
      </c>
      <c r="DB51">
        <f>CQ51*(BM51/10000)^0.72*((AF51+1)/3)^0.6*('CAPEX+OPEX'!$G$116/'CAPEX+OPEX'!$G$114)</f>
        <v>2840321.3071241546</v>
      </c>
      <c r="DC51">
        <f>CR51*(BM51/10000)^0.72*((AF51+1)/3)^0.6*('CAPEX+OPEX'!$G$116/'CAPEX+OPEX'!$G$114)</f>
        <v>335344.05824664765</v>
      </c>
      <c r="DD51">
        <f t="shared" si="14"/>
        <v>6938103.0452785166</v>
      </c>
      <c r="DE51">
        <f>CX51+DD51+1.15*(SUM(CI51:CL51)+SUM(CB51:CE51))</f>
        <v>12290617.42526436</v>
      </c>
      <c r="DF51">
        <f t="shared" si="15"/>
        <v>819374.49501762399</v>
      </c>
      <c r="DG51">
        <f>(BS51+BT51)*'Oxidant Feed Composition'!$N$28*60*7200</f>
        <v>20546804.688250545</v>
      </c>
      <c r="DH51">
        <f>((CG51+CH51)*'Reagent cost'!$C$17/1000*'Reagent cost'!$H$17+(CG51+CH51)*0.5*'Reagent cost'!$C$16/1000*'Reagent cost'!$H$16*1.5)*60*7200</f>
        <v>8741300.5292310026</v>
      </c>
      <c r="DI51">
        <f>CF51*'Reagent cost'!$C$17/1000*'Reagent cost'!$H$17*60*7200</f>
        <v>504921.59999999998</v>
      </c>
      <c r="DJ51">
        <f t="shared" si="16"/>
        <v>104.37314589177919</v>
      </c>
      <c r="DK51">
        <f t="shared" si="17"/>
        <v>1266.7092513482742</v>
      </c>
      <c r="DL51">
        <f t="shared" si="18"/>
        <v>35753277.479854546</v>
      </c>
      <c r="DM51">
        <f>BK51*(B51*(409.81+2)/1000+C51*(248.2+2*22.99)/1000+D51*(315.6+3*22.99)/1000+0.1*58.44/1000)</f>
        <v>0.70639694042110623</v>
      </c>
      <c r="DN51">
        <f>(BS51+BT51)/1000*('Oxidant Feed Composition'!$B$11*'Oxidant Feed Composition'!$O$20+'Oxidant Feed Composition'!$D$11*'Oxidant Feed Composition'!$O$21+'Oxidant Feed Composition'!$F$11*'Oxidant Feed Composition'!$O$27-'Oxidant Feed Composition'!$J$15*18.015)</f>
        <v>2.1581882361611493</v>
      </c>
      <c r="DO51">
        <f>(BU51+BV51)/1000*(0.2*368.34+0.4*58.44)</f>
        <v>1.4944844810653208</v>
      </c>
      <c r="DP51">
        <f>BK51/1000*(B51*195.08+C51*106.42+D51*102.91)</f>
        <v>4.999938342565946E-2</v>
      </c>
      <c r="DQ51">
        <f>SUM(DM51:DO51)-DP51</f>
        <v>4.3090702742219165</v>
      </c>
      <c r="DR51">
        <f>DQ51*60*7200*0.33</f>
        <v>614301.05829307646</v>
      </c>
      <c r="DS51">
        <v>1.2</v>
      </c>
      <c r="DT51">
        <f>BM51/60*(AM51*4+AN51*2+AO51*3)*96485/DV51</f>
        <v>1405.9611356884682</v>
      </c>
      <c r="DU51">
        <f>BN51*BA51*(AP51*4+AQ51*2+AR51*3)*96485/DV51/60</f>
        <v>705.92639842104836</v>
      </c>
      <c r="DV51">
        <v>0.7</v>
      </c>
      <c r="DW51">
        <f>0.499*((BK51/3.78541*15)^(-0.146))*BK51/3.78541*15*300*(1+(A51-2)/9)</f>
        <v>38528.386667103026</v>
      </c>
      <c r="DX51">
        <f>0.248*((BK51/3.78541*15)^(-0.144))*BK51/3.78541*15*300*(1+(A51-2)/3)</f>
        <v>33220.879177835675</v>
      </c>
      <c r="DY51">
        <f>0.105*((BK51/3.78541*15)^(-0.144))*BK51/3.78541*15*300*(1+(A51-2)/3)</f>
        <v>14065.291587390104</v>
      </c>
      <c r="DZ51">
        <f>0.058*((BK51/3.78541*15)^(-0.151))*BK51/3.78541*15*300*(1+(A51-2)/3)</f>
        <v>7450.7773575794354</v>
      </c>
      <c r="EA51">
        <f>0.056*((BK51/3.78541*15)^(-0.144))*BK51/3.78541*15*300*(1+(A51-2)/3)</f>
        <v>7501.4888466080574</v>
      </c>
      <c r="EB51">
        <f>DS51*DT51/(3.6*10^6)*3600*7200*0.07</f>
        <v>850.32529486438557</v>
      </c>
      <c r="EC51">
        <f>0.499*((BM51/3.78541*15)^(-0.146))*BM51/3.78541*15*300*(1+(AF51-2)/9)</f>
        <v>51430.292217116497</v>
      </c>
      <c r="ED51">
        <f>0.248*((BM51/3.78541*15)^(-0.144))*BM51/3.78541*15*300*(1+(AF51-2)/3)</f>
        <v>54314.573878517935</v>
      </c>
      <c r="EE51">
        <f>0.105*((BM51/3.78541*15)^(-0.144))*BM51/3.78541*15*300*(1+(AF51-2)/3)</f>
        <v>22996.089746953152</v>
      </c>
      <c r="EF51">
        <f>0.058*((BM51/3.78541*15)^(-0.151))*BM51/3.78541*15*300*(1+(AF51-2)/3)</f>
        <v>12188.446280303153</v>
      </c>
      <c r="EG51">
        <f>0.056*((BM51/3.78541*15)^(-0.144))*BM51/3.78541*15*300*(1+(AF51-2)/3)</f>
        <v>12264.581198375015</v>
      </c>
      <c r="EH51">
        <f>DS51*DU51/(3.6*10^6)*3600*7200*0.07</f>
        <v>426.94428576505004</v>
      </c>
      <c r="EI51">
        <f>SUM(DW51:EH51)</f>
        <v>255238.07653841146</v>
      </c>
      <c r="EJ51">
        <f>EI51+DR51+DL51</f>
        <v>36622816.614686035</v>
      </c>
      <c r="EK51">
        <f>EJ51+DF51</f>
        <v>37442191.10970366</v>
      </c>
      <c r="EL51">
        <f>EK51/(BK51*60*7200)</f>
        <v>0.86671738679869581</v>
      </c>
      <c r="EM51">
        <f>EK51/(BM51*(AM51*195.084/1000+AN51*106.42/1000+AO51*102.911/1000)*60*7200)</f>
        <v>2899.5461251016427</v>
      </c>
      <c r="EN51">
        <f>EK51/(BN51*BA51*(AP51*195.084/1000+AQ51*106.42/1000+AR51*102.911/1000)*60*7200)</f>
        <v>5320.5073667810193</v>
      </c>
    </row>
    <row r="52" spans="1:144">
      <c r="A52">
        <f>'Costing 100 Lmin Feed Orig'!A52</f>
        <v>8</v>
      </c>
      <c r="B52">
        <f>'Costing 100 Lmin Feed Orig'!B52</f>
        <v>1.54143585092054E-3</v>
      </c>
      <c r="C52">
        <f>'Costing 100 Lmin Feed Orig'!C52</f>
        <v>1.54143585092054E-3</v>
      </c>
      <c r="D52">
        <f>'Costing 100 Lmin Feed Orig'!D52</f>
        <v>3.4254130020456501E-4</v>
      </c>
      <c r="E52">
        <f>'Costing 100 Lmin Feed Orig'!E52</f>
        <v>0</v>
      </c>
      <c r="F52">
        <f>'Costing 100 Lmin Feed Orig'!F52</f>
        <v>0</v>
      </c>
      <c r="G52">
        <f>'Costing 100 Lmin Feed Orig'!G52</f>
        <v>0</v>
      </c>
      <c r="H52">
        <f>'Costing 100 Lmin Feed Orig'!H52</f>
        <v>1.7762434284205799E-5</v>
      </c>
      <c r="I52">
        <f>'Costing 100 Lmin Feed Orig'!I52</f>
        <v>4.4591984978445998E-9</v>
      </c>
      <c r="J52">
        <f>'Costing 100 Lmin Feed Orig'!J52</f>
        <v>3.37570976171142E-4</v>
      </c>
      <c r="K52">
        <f>'Costing 100 Lmin Feed Orig'!K52</f>
        <v>0.13846015972746001</v>
      </c>
      <c r="L52">
        <f>'Costing 100 Lmin Feed Orig'!L52</f>
        <v>0.14007387303476199</v>
      </c>
      <c r="M52">
        <f>'Costing 100 Lmin Feed Orig'!M52</f>
        <v>4.5166625081916902E-4</v>
      </c>
      <c r="N52">
        <f>'Costing 100 Lmin Feed Orig'!N52</f>
        <v>-2.6107588313450902E-16</v>
      </c>
      <c r="O52">
        <f>'Costing 100 Lmin Feed Orig'!O52</f>
        <v>-1.18524981496115E-14</v>
      </c>
      <c r="P52">
        <f>'Costing 100 Lmin Feed Orig'!P52</f>
        <v>-2.5241581828178102E-19</v>
      </c>
      <c r="Q52">
        <f>'Costing 100 Lmin Feed Orig'!Q52</f>
        <v>0.110044175857931</v>
      </c>
      <c r="R52">
        <f>'Costing 100 Lmin Feed Orig'!R52</f>
        <v>98.548985471108097</v>
      </c>
      <c r="S52">
        <f>'Costing 100 Lmin Feed Orig'!S52</f>
        <v>500</v>
      </c>
      <c r="T52">
        <f>'Costing 100 Lmin Feed Orig'!T52</f>
        <v>95</v>
      </c>
      <c r="U52">
        <f>'Costing 100 Lmin Feed Orig'!U52</f>
        <v>1</v>
      </c>
      <c r="V52">
        <f>'Costing 100 Lmin Feed Orig'!V52</f>
        <v>0.1</v>
      </c>
      <c r="W52">
        <f>'Costing 100 Lmin Feed Orig'!W52</f>
        <v>90.872596591664205</v>
      </c>
      <c r="X52" t="str">
        <f>'Costing 100 Lmin Feed Orig'!X52</f>
        <v>ddFc</v>
      </c>
      <c r="Y52">
        <f>'Costing 100 Lmin Feed Orig'!Y52</f>
        <v>1</v>
      </c>
      <c r="Z52">
        <f>'Costing 100 Lmin Feed Orig'!Z52</f>
        <v>0.28318429382522198</v>
      </c>
      <c r="AA52">
        <f>'Costing 100 Lmin Feed Orig'!AA52</f>
        <v>0.56945642916197003</v>
      </c>
      <c r="AB52">
        <f>'Costing 100 Lmin Feed Orig'!AB52</f>
        <v>3.7698628972227502E-3</v>
      </c>
      <c r="AC52">
        <f>'Costing 100 Lmin Feed Orig'!AC52</f>
        <v>1822.2107908876901</v>
      </c>
      <c r="AD52">
        <f>'Costing 100 Lmin Feed Orig'!AD52</f>
        <v>2662.6059073104898</v>
      </c>
      <c r="AE52">
        <f>'Costing 100 Lmin Feed Orig'!AE52</f>
        <v>2401.5030938442701</v>
      </c>
      <c r="AF52">
        <f>'Costing 100 Lmin Feed Orig'!AF52</f>
        <v>4</v>
      </c>
      <c r="AG52">
        <f>'Costing 100 Lmin Feed Orig'!AG52</f>
        <v>1.6497294784823999E-3</v>
      </c>
      <c r="AH52">
        <f>'Costing 100 Lmin Feed Orig'!AH52</f>
        <v>1.66895660069658E-3</v>
      </c>
      <c r="AI52">
        <f>'Costing 100 Lmin Feed Orig'!AI52</f>
        <v>5.38152729188446E-6</v>
      </c>
      <c r="AJ52">
        <f>'Costing 100 Lmin Feed Orig'!AJ52</f>
        <v>0</v>
      </c>
      <c r="AK52">
        <f>'Costing 100 Lmin Feed Orig'!AK52</f>
        <v>0</v>
      </c>
      <c r="AL52">
        <f>'Costing 100 Lmin Feed Orig'!AL52</f>
        <v>0</v>
      </c>
      <c r="AM52">
        <f>'Costing 100 Lmin Feed Orig'!AM52</f>
        <v>1.6048042794156499E-3</v>
      </c>
      <c r="AN52">
        <f>'Costing 100 Lmin Feed Orig'!AN52</f>
        <v>7.91245725580603E-5</v>
      </c>
      <c r="AO52">
        <f>'Costing 100 Lmin Feed Orig'!AO52</f>
        <v>5.33881057128359E-6</v>
      </c>
      <c r="AP52">
        <f>'Costing 100 Lmin Feed Orig'!AP52</f>
        <v>1.9876957232607701E-3</v>
      </c>
      <c r="AQ52">
        <f>'Costing 100 Lmin Feed Orig'!AQ52</f>
        <v>7.0341420588359904E-2</v>
      </c>
      <c r="AR52">
        <f>'Costing 100 Lmin Feed Orig'!AR52</f>
        <v>1.8899825621476501E-6</v>
      </c>
      <c r="AS52">
        <f>'Costing 100 Lmin Feed Orig'!AS52</f>
        <v>-9.5823143256984394E-15</v>
      </c>
      <c r="AT52">
        <f>'Costing 100 Lmin Feed Orig'!AT52</f>
        <v>-1.23568690002517E-13</v>
      </c>
      <c r="AU52">
        <f>'Costing 100 Lmin Feed Orig'!AU52</f>
        <v>-3.11350782564959E-18</v>
      </c>
      <c r="AV52">
        <f>'Costing 100 Lmin Feed Orig'!AV52</f>
        <v>0.208746528965852</v>
      </c>
      <c r="AW52">
        <f>'Costing 100 Lmin Feed Orig'!AW52</f>
        <v>99.206234247565902</v>
      </c>
      <c r="AX52">
        <f>'Costing 100 Lmin Feed Orig'!AX52</f>
        <v>499.99999999999898</v>
      </c>
      <c r="AY52">
        <f>'Costing 100 Lmin Feed Orig'!AY52</f>
        <v>95</v>
      </c>
      <c r="AZ52">
        <f>'Costing 100 Lmin Feed Orig'!AZ52</f>
        <v>0.92358985913147196</v>
      </c>
      <c r="BA52">
        <f>'Costing 100 Lmin Feed Orig'!BA52</f>
        <v>0.1</v>
      </c>
      <c r="BB52">
        <f>'Costing 100 Lmin Feed Orig'!BB52</f>
        <v>44.244561272803402</v>
      </c>
      <c r="BC52" t="str">
        <f>'Costing 100 Lmin Feed Orig'!BC52</f>
        <v>coeFc</v>
      </c>
      <c r="BD52">
        <f>'Costing 100 Lmin Feed Orig'!BD52</f>
        <v>1</v>
      </c>
      <c r="BE52">
        <f>'Costing 100 Lmin Feed Orig'!BE52</f>
        <v>1.8775014999999999E-2</v>
      </c>
      <c r="BF52">
        <f>'Costing 100 Lmin Feed Orig'!BF52</f>
        <v>0.10492961100000001</v>
      </c>
      <c r="BG52">
        <f>'Costing 100 Lmin Feed Orig'!BG52</f>
        <v>1.814625E-3</v>
      </c>
      <c r="BH52">
        <f>'Costing 100 Lmin Feed Orig'!BH52</f>
        <v>285.1951444</v>
      </c>
      <c r="BI52">
        <f>'Costing 100 Lmin Feed Orig'!BI52</f>
        <v>2169.8944889999998</v>
      </c>
      <c r="BJ52">
        <f>'Costing 100 Lmin Feed Orig'!BJ52</f>
        <v>866.49409060000005</v>
      </c>
      <c r="BK52">
        <f>'Costing 100 Lmin Feed Orig'!BK52</f>
        <v>100</v>
      </c>
      <c r="BL52">
        <f>'Costing 100 Lmin Feed Orig'!BL52</f>
        <v>11.004417585793099</v>
      </c>
      <c r="BM52">
        <f>'Costing 100 Lmin Feed Orig'!BM52</f>
        <v>92.358985913147194</v>
      </c>
      <c r="BN52">
        <f>'Costing 100 Lmin Feed Orig'!BN52</f>
        <v>20.8746528965852</v>
      </c>
      <c r="BO52">
        <f t="shared" si="1"/>
        <v>220.08835171586199</v>
      </c>
      <c r="BP52">
        <f t="shared" si="2"/>
        <v>250.49583475902239</v>
      </c>
      <c r="BQ52">
        <f t="shared" si="3"/>
        <v>22.008835171586199</v>
      </c>
      <c r="BR52">
        <f t="shared" si="4"/>
        <v>25.049583475902239</v>
      </c>
      <c r="BS52">
        <f>1.2*0.5*BL52*V52/'Oxidant Feed Composition'!$N$22</f>
        <v>6.6026505514758593</v>
      </c>
      <c r="BT52">
        <f>1.2*0.5*BN52*BA52/'Oxidant Feed Composition'!$N$22</f>
        <v>12.524791737951119</v>
      </c>
      <c r="BU52">
        <f t="shared" si="5"/>
        <v>5.5022087928965497</v>
      </c>
      <c r="BV52">
        <f t="shared" si="6"/>
        <v>10.4373264482926</v>
      </c>
      <c r="BW52">
        <f t="shared" si="7"/>
        <v>86.856777120250641</v>
      </c>
      <c r="BX52">
        <f t="shared" si="0"/>
        <v>35.214136274537921</v>
      </c>
      <c r="BY52">
        <f t="shared" si="8"/>
        <v>206.7268069978806</v>
      </c>
      <c r="BZ52">
        <f t="shared" si="9"/>
        <v>66.798889269072646</v>
      </c>
      <c r="CA52">
        <f t="shared" si="10"/>
        <v>62.623958689755597</v>
      </c>
      <c r="CB52">
        <f>BO52*'Reagent cost'!$G$11*'Reagent cost'!$H$11</f>
        <v>2905.1662426493785</v>
      </c>
      <c r="CC52">
        <f>BP52*'Reagent cost'!$G$11*'Reagent cost'!$H$11</f>
        <v>3306.5450188190953</v>
      </c>
      <c r="CD52">
        <f>BQ52*'Reagent cost'!$C$18/1000*'Reagent cost'!$H$18</f>
        <v>3509.9789962792502</v>
      </c>
      <c r="CE52">
        <f>BR52*'Ligand cost'!$B$56*'Ligand cost'!$J$56</f>
        <v>25503.675610255905</v>
      </c>
      <c r="CF52">
        <f t="shared" si="11"/>
        <v>10</v>
      </c>
      <c r="CG52">
        <f t="shared" si="12"/>
        <v>2.2008835171586201</v>
      </c>
      <c r="CH52">
        <f t="shared" si="12"/>
        <v>4.1749305793170404</v>
      </c>
      <c r="CI52">
        <f>7963.6*(BX52/1000)^0.6*1.7*('CAPEX+OPEX'!$G$116/'CAPEX+OPEX'!$G$115)</f>
        <v>2144.228934815284</v>
      </c>
      <c r="CJ52">
        <f>7963.6*(BY52/1000)^0.6*1.7*('CAPEX+OPEX'!$G$116/'CAPEX+OPEX'!$G$115)</f>
        <v>6201.2466571653367</v>
      </c>
      <c r="CK52">
        <f>7963.6*(BZ52/1000)^0.6*1.7*('CAPEX+OPEX'!$G$116/'CAPEX+OPEX'!$G$115)</f>
        <v>3148.491118286343</v>
      </c>
      <c r="CL52">
        <f>7963.6*(CA52/1000)^0.6*1.7*('CAPEX+OPEX'!$G$116/'CAPEX+OPEX'!$G$115)</f>
        <v>3028.9021142371016</v>
      </c>
      <c r="CM52">
        <f>'Costing 100 Lmin Feed Orig'!DE52</f>
        <v>39625.826528698344</v>
      </c>
      <c r="CN52">
        <f>'Costing 100 Lmin Feed Orig'!DF52</f>
        <v>4586243.4239371875</v>
      </c>
      <c r="CO52">
        <f>'Costing 100 Lmin Feed Orig'!DG52</f>
        <v>11794834.586807497</v>
      </c>
      <c r="CP52">
        <f>'Costing 100 Lmin Feed Orig'!DH52</f>
        <v>2275209.1661185985</v>
      </c>
      <c r="CQ52">
        <f>'Costing 100 Lmin Feed Orig'!DI52</f>
        <v>14083914.336508472</v>
      </c>
      <c r="CR52">
        <f>'Costing 100 Lmin Feed Orig'!DJ52</f>
        <v>1662824.8986326549</v>
      </c>
      <c r="CS52">
        <f>CN52*(BK52/10000)^0.72*((A52+1)/3)^0.6*('CAPEX+OPEX'!$G$116/'CAPEX+OPEX'!$G$114)</f>
        <v>751295.09040276916</v>
      </c>
      <c r="CT52">
        <f>CO52*(BK52/10000)^0.72*((A52+1)/3)^0.6*('CAPEX+OPEX'!$G$116/'CAPEX+OPEX'!$G$114)</f>
        <v>1932169.8606163235</v>
      </c>
      <c r="CU52">
        <f>CP52*(BK52/10000)^0.72*((A52+1)/3)^0.6*('CAPEX+OPEX'!$G$116/'CAPEX+OPEX'!$G$114)</f>
        <v>372713.20297186484</v>
      </c>
      <c r="CV52">
        <f>CQ52*(BK52/10000)^0.72*((A52+1)/3)^0.6*('CAPEX+OPEX'!$G$116/'CAPEX+OPEX'!$G$114)</f>
        <v>2307155.2721002945</v>
      </c>
      <c r="CW52">
        <f>CR52*(BK52/10000)^0.72*((A52+1)/3)^0.6*('CAPEX+OPEX'!$G$116/'CAPEX+OPEX'!$G$114)</f>
        <v>272395.52441150707</v>
      </c>
      <c r="CX52">
        <f t="shared" si="13"/>
        <v>5635728.9505027588</v>
      </c>
      <c r="CY52">
        <f>CN52*(BM52/10000)^0.72*((AF52+1)/3)^0.6*('CAPEX+OPEX'!$G$116/'CAPEX+OPEX'!$G$114)</f>
        <v>498645.65589957108</v>
      </c>
      <c r="CZ52">
        <f>CO52*(BM52/10000)^0.72*((AF52+1)/3)^0.6*('CAPEX+OPEX'!$G$116/'CAPEX+OPEX'!$G$114)</f>
        <v>1282409.694624644</v>
      </c>
      <c r="DA52">
        <f>CP52*(BM52/10000)^0.72*((AF52+1)/3)^0.6*('CAPEX+OPEX'!$G$116/'CAPEX+OPEX'!$G$114)</f>
        <v>247375.26164146824</v>
      </c>
      <c r="DB52">
        <f>CQ52*(BM52/10000)^0.72*((AF52+1)/3)^0.6*('CAPEX+OPEX'!$G$116/'CAPEX+OPEX'!$G$114)</f>
        <v>1531293.0546396186</v>
      </c>
      <c r="DC52">
        <f>CR52*(BM52/10000)^0.72*((AF52+1)/3)^0.6*('CAPEX+OPEX'!$G$116/'CAPEX+OPEX'!$G$114)</f>
        <v>180792.93565124425</v>
      </c>
      <c r="DD52">
        <f t="shared" si="14"/>
        <v>3740516.6024565459</v>
      </c>
      <c r="DE52">
        <f>CX52+DD52+1.15*(SUM(CI52:CL52)+SUM(CB52:CE52))</f>
        <v>9433456.0228556879</v>
      </c>
      <c r="DF52">
        <f t="shared" si="15"/>
        <v>628897.06819037918</v>
      </c>
      <c r="DG52">
        <f>(BS52+BT52)*'Oxidant Feed Composition'!$N$28*60*7200</f>
        <v>21266559.057250477</v>
      </c>
      <c r="DH52">
        <f>((CG52+CH52)*'Reagent cost'!$C$17/1000*'Reagent cost'!$H$17+(CG52+CH52)*0.5*'Reagent cost'!$C$16/1000*'Reagent cost'!$H$16*1.5)*60*7200</f>
        <v>9047508.2020110525</v>
      </c>
      <c r="DI52">
        <f>CF52*'Reagent cost'!$C$17/1000*'Reagent cost'!$H$17*60*7200</f>
        <v>504921.59999999998</v>
      </c>
      <c r="DJ52">
        <f t="shared" si="16"/>
        <v>62.117112614684743</v>
      </c>
      <c r="DK52">
        <f t="shared" si="17"/>
        <v>580.27309213070305</v>
      </c>
      <c r="DL52">
        <f t="shared" si="18"/>
        <v>36983557.499359533</v>
      </c>
      <c r="DM52">
        <f>BK52*(B52*(409.81+2)/1000+C52*(248.2+2*22.99)/1000+D52*(315.6+3*22.99)/1000+0.1*58.44/1000)</f>
        <v>0.70639694042110623</v>
      </c>
      <c r="DN52">
        <f>(BS52+BT52)/1000*('Oxidant Feed Composition'!$B$11*'Oxidant Feed Composition'!$O$20+'Oxidant Feed Composition'!$D$11*'Oxidant Feed Composition'!$O$21+'Oxidant Feed Composition'!$F$11*'Oxidant Feed Composition'!$O$27-'Oxidant Feed Composition'!$J$15*18.015)</f>
        <v>2.2337895491472763</v>
      </c>
      <c r="DO52">
        <f>(BU52+BV52)/1000*(0.2*368.34+0.4*58.44)</f>
        <v>1.5468362579459598</v>
      </c>
      <c r="DP52">
        <f>BK52/1000*(B52*195.08+C52*106.42+D52*102.91)</f>
        <v>4.999938342565946E-2</v>
      </c>
      <c r="DQ52">
        <f>SUM(DM52:DO52)-DP52</f>
        <v>4.4370233640886827</v>
      </c>
      <c r="DR52">
        <f>DQ52*60*7200*0.33</f>
        <v>632542.05078448262</v>
      </c>
      <c r="DS52">
        <v>1.2</v>
      </c>
      <c r="DT52">
        <f>BM52/60*(AM52*4+AN52*2+AO52*3)*96485/DV52</f>
        <v>1398.9575525177422</v>
      </c>
      <c r="DU52">
        <f>BN52*BA52*(AP52*4+AQ52*2+AR52*3)*96485/DV52/60</f>
        <v>712.79296950667776</v>
      </c>
      <c r="DV52">
        <v>0.7</v>
      </c>
      <c r="DW52">
        <f>0.499*((BK52/3.78541*15)^(-0.146))*BK52/3.78541*15*300*(1+(A52-2)/9)</f>
        <v>41280.414286181804</v>
      </c>
      <c r="DX52">
        <f>0.248*((BK52/3.78541*15)^(-0.144))*BK52/3.78541*15*300*(1+(A52-2)/3)</f>
        <v>37373.489075065132</v>
      </c>
      <c r="DY52">
        <f>0.105*((BK52/3.78541*15)^(-0.144))*BK52/3.78541*15*300*(1+(A52-2)/3)</f>
        <v>15823.453035813865</v>
      </c>
      <c r="DZ52">
        <f>0.058*((BK52/3.78541*15)^(-0.151))*BK52/3.78541*15*300*(1+(A52-2)/3)</f>
        <v>8382.1245272768647</v>
      </c>
      <c r="EA52">
        <f>0.056*((BK52/3.78541*15)^(-0.144))*BK52/3.78541*15*300*(1+(A52-2)/3)</f>
        <v>8439.174952434063</v>
      </c>
      <c r="EB52">
        <f>DS52*DT52/(3.6*10^6)*3600*7200*0.07</f>
        <v>846.08952776273043</v>
      </c>
      <c r="EC52">
        <f>0.499*((BM52/3.78541*15)^(-0.146))*BM52/3.78541*15*300*(1+(AF52-2)/9)</f>
        <v>28285.552898305465</v>
      </c>
      <c r="ED52">
        <f>0.248*((BM52/3.78541*15)^(-0.144))*BM52/3.78541*15*300*(1+(AF52-2)/3)</f>
        <v>19397.30061303094</v>
      </c>
      <c r="EE52">
        <f>0.105*((BM52/3.78541*15)^(-0.144))*BM52/3.78541*15*300*(1+(AF52-2)/3)</f>
        <v>8212.5667918074541</v>
      </c>
      <c r="EF52">
        <f>0.058*((BM52/3.78541*15)^(-0.151))*BM52/3.78541*15*300*(1+(AF52-2)/3)</f>
        <v>4352.8470449002243</v>
      </c>
      <c r="EG52">
        <f>0.056*((BM52/3.78541*15)^(-0.144))*BM52/3.78541*15*300*(1+(AF52-2)/3)</f>
        <v>4380.0356222973096</v>
      </c>
      <c r="EH52">
        <f>DS52*DU52/(3.6*10^6)*3600*7200*0.07</f>
        <v>431.09718795763877</v>
      </c>
      <c r="EI52">
        <f>SUM(DW52:EH52)</f>
        <v>177204.1455628335</v>
      </c>
      <c r="EJ52">
        <f>EI52+DR52+DL52</f>
        <v>37793303.695706852</v>
      </c>
      <c r="EK52">
        <f>EJ52+DF52</f>
        <v>38422200.763897233</v>
      </c>
      <c r="EL52">
        <f>EK52/(BK52*60*7200)</f>
        <v>0.88940279546058409</v>
      </c>
      <c r="EM52">
        <f>EK52/(BM52*(AM52*195.084/1000+AN52*106.42/1000+AO52*102.911/1000)*60*7200)</f>
        <v>2990.2499861330666</v>
      </c>
      <c r="EN52">
        <f>EK52/(BN52*BA52*(AP52*195.084/1000+AQ52*106.42/1000+AR52*102.911/1000)*60*7200)</f>
        <v>5411.2871247388894</v>
      </c>
    </row>
    <row r="53" spans="1:144">
      <c r="A53">
        <f>'Costing 100 Lmin Feed Orig'!A53</f>
        <v>8</v>
      </c>
      <c r="B53">
        <f>'Costing 100 Lmin Feed Orig'!B53</f>
        <v>1.54143585092054E-3</v>
      </c>
      <c r="C53">
        <f>'Costing 100 Lmin Feed Orig'!C53</f>
        <v>1.54143585092054E-3</v>
      </c>
      <c r="D53">
        <f>'Costing 100 Lmin Feed Orig'!D53</f>
        <v>3.4254130020456501E-4</v>
      </c>
      <c r="E53">
        <f>'Costing 100 Lmin Feed Orig'!E53</f>
        <v>0</v>
      </c>
      <c r="F53">
        <f>'Costing 100 Lmin Feed Orig'!F53</f>
        <v>0</v>
      </c>
      <c r="G53">
        <f>'Costing 100 Lmin Feed Orig'!G53</f>
        <v>0</v>
      </c>
      <c r="H53">
        <f>'Costing 100 Lmin Feed Orig'!H53</f>
        <v>1.7762434284205799E-5</v>
      </c>
      <c r="I53">
        <f>'Costing 100 Lmin Feed Orig'!I53</f>
        <v>4.4591984978445998E-9</v>
      </c>
      <c r="J53">
        <f>'Costing 100 Lmin Feed Orig'!J53</f>
        <v>3.37570976171142E-4</v>
      </c>
      <c r="K53">
        <f>'Costing 100 Lmin Feed Orig'!K53</f>
        <v>0.13846015972746001</v>
      </c>
      <c r="L53">
        <f>'Costing 100 Lmin Feed Orig'!L53</f>
        <v>0.14007387303476199</v>
      </c>
      <c r="M53">
        <f>'Costing 100 Lmin Feed Orig'!M53</f>
        <v>4.5166625081916902E-4</v>
      </c>
      <c r="N53">
        <f>'Costing 100 Lmin Feed Orig'!N53</f>
        <v>-2.6107588313450902E-16</v>
      </c>
      <c r="O53">
        <f>'Costing 100 Lmin Feed Orig'!O53</f>
        <v>-1.18524981496115E-14</v>
      </c>
      <c r="P53">
        <f>'Costing 100 Lmin Feed Orig'!P53</f>
        <v>-2.5241581828178102E-19</v>
      </c>
      <c r="Q53">
        <f>'Costing 100 Lmin Feed Orig'!Q53</f>
        <v>0.110044175857931</v>
      </c>
      <c r="R53">
        <f>'Costing 100 Lmin Feed Orig'!R53</f>
        <v>98.548985471108097</v>
      </c>
      <c r="S53">
        <f>'Costing 100 Lmin Feed Orig'!S53</f>
        <v>500</v>
      </c>
      <c r="T53">
        <f>'Costing 100 Lmin Feed Orig'!T53</f>
        <v>95</v>
      </c>
      <c r="U53">
        <f>'Costing 100 Lmin Feed Orig'!U53</f>
        <v>1</v>
      </c>
      <c r="V53">
        <f>'Costing 100 Lmin Feed Orig'!V53</f>
        <v>0.1</v>
      </c>
      <c r="W53">
        <f>'Costing 100 Lmin Feed Orig'!W53</f>
        <v>90.872596591664205</v>
      </c>
      <c r="X53" t="str">
        <f>'Costing 100 Lmin Feed Orig'!X53</f>
        <v>ddFc</v>
      </c>
      <c r="Y53">
        <f>'Costing 100 Lmin Feed Orig'!Y53</f>
        <v>1</v>
      </c>
      <c r="Z53">
        <f>'Costing 100 Lmin Feed Orig'!Z53</f>
        <v>0.28318429382522198</v>
      </c>
      <c r="AA53">
        <f>'Costing 100 Lmin Feed Orig'!AA53</f>
        <v>0.56945642916197003</v>
      </c>
      <c r="AB53">
        <f>'Costing 100 Lmin Feed Orig'!AB53</f>
        <v>3.7698628972227502E-3</v>
      </c>
      <c r="AC53">
        <f>'Costing 100 Lmin Feed Orig'!AC53</f>
        <v>1822.2107908876901</v>
      </c>
      <c r="AD53">
        <f>'Costing 100 Lmin Feed Orig'!AD53</f>
        <v>2662.6059073104898</v>
      </c>
      <c r="AE53">
        <f>'Costing 100 Lmin Feed Orig'!AE53</f>
        <v>2401.5030938442701</v>
      </c>
      <c r="AF53">
        <f>'Costing 100 Lmin Feed Orig'!AF53</f>
        <v>5</v>
      </c>
      <c r="AG53">
        <f>'Costing 100 Lmin Feed Orig'!AG53</f>
        <v>1.6497294784823999E-3</v>
      </c>
      <c r="AH53">
        <f>'Costing 100 Lmin Feed Orig'!AH53</f>
        <v>1.66895660069658E-3</v>
      </c>
      <c r="AI53">
        <f>'Costing 100 Lmin Feed Orig'!AI53</f>
        <v>5.38152729188446E-6</v>
      </c>
      <c r="AJ53">
        <f>'Costing 100 Lmin Feed Orig'!AJ53</f>
        <v>0</v>
      </c>
      <c r="AK53">
        <f>'Costing 100 Lmin Feed Orig'!AK53</f>
        <v>0</v>
      </c>
      <c r="AL53">
        <f>'Costing 100 Lmin Feed Orig'!AL53</f>
        <v>0</v>
      </c>
      <c r="AM53">
        <f>'Costing 100 Lmin Feed Orig'!AM53</f>
        <v>1.6104132966485E-3</v>
      </c>
      <c r="AN53">
        <f>'Costing 100 Lmin Feed Orig'!AN53</f>
        <v>7.9414634231904594E-5</v>
      </c>
      <c r="AO53">
        <f>'Costing 100 Lmin Feed Orig'!AO53</f>
        <v>5.3439603602742398E-6</v>
      </c>
      <c r="AP53">
        <f>'Costing 100 Lmin Feed Orig'!AP53</f>
        <v>1.8119059661181E-3</v>
      </c>
      <c r="AQ53">
        <f>'Costing 100 Lmin Feed Orig'!AQ53</f>
        <v>7.3254839053204804E-2</v>
      </c>
      <c r="AR53">
        <f>'Costing 100 Lmin Feed Orig'!AR53</f>
        <v>1.7312908918998299E-6</v>
      </c>
      <c r="AS53">
        <f>'Costing 100 Lmin Feed Orig'!AS53</f>
        <v>-4.56313589344836E-17</v>
      </c>
      <c r="AT53">
        <f>'Costing 100 Lmin Feed Orig'!AT53</f>
        <v>1.8236280541206101E-16</v>
      </c>
      <c r="AU53">
        <f>'Costing 100 Lmin Feed Orig'!AU53</f>
        <v>-3.5912873474602201E-20</v>
      </c>
      <c r="AV53">
        <f>'Costing 100 Lmin Feed Orig'!AV53</f>
        <v>0.20040789930945399</v>
      </c>
      <c r="AW53">
        <f>'Costing 100 Lmin Feed Orig'!AW53</f>
        <v>99.301928066649793</v>
      </c>
      <c r="AX53">
        <f>'Costing 100 Lmin Feed Orig'!AX53</f>
        <v>499.99999999999898</v>
      </c>
      <c r="AY53">
        <f>'Costing 100 Lmin Feed Orig'!AY53</f>
        <v>95</v>
      </c>
      <c r="AZ53">
        <f>'Costing 100 Lmin Feed Orig'!AZ53</f>
        <v>0.92358985913147196</v>
      </c>
      <c r="BA53">
        <f>'Costing 100 Lmin Feed Orig'!BA53</f>
        <v>0.1</v>
      </c>
      <c r="BB53">
        <f>'Costing 100 Lmin Feed Orig'!BB53</f>
        <v>46.085501734905897</v>
      </c>
      <c r="BC53" t="str">
        <f>'Costing 100 Lmin Feed Orig'!BC53</f>
        <v>coeFc</v>
      </c>
      <c r="BD53">
        <f>'Costing 100 Lmin Feed Orig'!BD53</f>
        <v>1</v>
      </c>
      <c r="BE53">
        <f>'Costing 100 Lmin Feed Orig'!BE53</f>
        <v>1.8775014999999999E-2</v>
      </c>
      <c r="BF53">
        <f>'Costing 100 Lmin Feed Orig'!BF53</f>
        <v>0.10492961100000001</v>
      </c>
      <c r="BG53">
        <f>'Costing 100 Lmin Feed Orig'!BG53</f>
        <v>1.814625E-3</v>
      </c>
      <c r="BH53">
        <f>'Costing 100 Lmin Feed Orig'!BH53</f>
        <v>285.1951444</v>
      </c>
      <c r="BI53">
        <f>'Costing 100 Lmin Feed Orig'!BI53</f>
        <v>2169.8944889999998</v>
      </c>
      <c r="BJ53">
        <f>'Costing 100 Lmin Feed Orig'!BJ53</f>
        <v>866.49409060000005</v>
      </c>
      <c r="BK53">
        <f>'Costing 100 Lmin Feed Orig'!BK53</f>
        <v>100</v>
      </c>
      <c r="BL53">
        <f>'Costing 100 Lmin Feed Orig'!BL53</f>
        <v>11.004417585793099</v>
      </c>
      <c r="BM53">
        <f>'Costing 100 Lmin Feed Orig'!BM53</f>
        <v>92.358985913147194</v>
      </c>
      <c r="BN53">
        <f>'Costing 100 Lmin Feed Orig'!BN53</f>
        <v>20.040789930945397</v>
      </c>
      <c r="BO53">
        <f t="shared" si="1"/>
        <v>220.08835171586199</v>
      </c>
      <c r="BP53">
        <f t="shared" si="2"/>
        <v>280.57105903323554</v>
      </c>
      <c r="BQ53">
        <f t="shared" si="3"/>
        <v>22.008835171586199</v>
      </c>
      <c r="BR53">
        <f t="shared" si="4"/>
        <v>28.057105903323556</v>
      </c>
      <c r="BS53">
        <f>1.2*0.5*BL53*V53/'Oxidant Feed Composition'!$N$22</f>
        <v>6.6026505514758593</v>
      </c>
      <c r="BT53">
        <f>1.2*0.5*BN53*BA53/'Oxidant Feed Composition'!$N$22</f>
        <v>12.024473958567238</v>
      </c>
      <c r="BU53">
        <f t="shared" si="5"/>
        <v>5.5022087928965497</v>
      </c>
      <c r="BV53">
        <f t="shared" si="6"/>
        <v>10.020394965472699</v>
      </c>
      <c r="BW53">
        <f t="shared" si="7"/>
        <v>86.856777120250641</v>
      </c>
      <c r="BX53">
        <f t="shared" si="0"/>
        <v>35.214136274537921</v>
      </c>
      <c r="BY53">
        <f t="shared" si="8"/>
        <v>206.7268069978806</v>
      </c>
      <c r="BZ53">
        <f t="shared" si="9"/>
        <v>64.130527779025272</v>
      </c>
      <c r="CA53">
        <f t="shared" si="10"/>
        <v>60.122369792836196</v>
      </c>
      <c r="CB53">
        <f>BO53*'Reagent cost'!$G$11*'Reagent cost'!$H$11</f>
        <v>2905.1662426493785</v>
      </c>
      <c r="CC53">
        <f>BP53*'Reagent cost'!$G$11*'Reagent cost'!$H$11</f>
        <v>3703.5379792387093</v>
      </c>
      <c r="CD53">
        <f>BQ53*'Reagent cost'!$C$18/1000*'Reagent cost'!$H$18</f>
        <v>3509.9789962792502</v>
      </c>
      <c r="CE53">
        <f>BR53*'Ligand cost'!$B$56*'Ligand cost'!$J$56</f>
        <v>28565.717598032308</v>
      </c>
      <c r="CF53">
        <f t="shared" si="11"/>
        <v>10</v>
      </c>
      <c r="CG53">
        <f t="shared" si="12"/>
        <v>2.2008835171586201</v>
      </c>
      <c r="CH53">
        <f t="shared" si="12"/>
        <v>4.0081579861890795</v>
      </c>
      <c r="CI53">
        <f>7963.6*(BX53/1000)^0.6*1.7*('CAPEX+OPEX'!$G$116/'CAPEX+OPEX'!$G$115)</f>
        <v>2144.228934815284</v>
      </c>
      <c r="CJ53">
        <f>7963.6*(BY53/1000)^0.6*1.7*('CAPEX+OPEX'!$G$116/'CAPEX+OPEX'!$G$115)</f>
        <v>6201.2466571653367</v>
      </c>
      <c r="CK53">
        <f>7963.6*(BZ53/1000)^0.6*1.7*('CAPEX+OPEX'!$G$116/'CAPEX+OPEX'!$G$115)</f>
        <v>3072.4145724960686</v>
      </c>
      <c r="CL53">
        <f>7963.6*(CA53/1000)^0.6*1.7*('CAPEX+OPEX'!$G$116/'CAPEX+OPEX'!$G$115)</f>
        <v>2955.7151806454222</v>
      </c>
      <c r="CM53">
        <f>'Costing 100 Lmin Feed Orig'!DE53</f>
        <v>39625.826528698344</v>
      </c>
      <c r="CN53">
        <f>'Costing 100 Lmin Feed Orig'!DF53</f>
        <v>4586243.4239371875</v>
      </c>
      <c r="CO53">
        <f>'Costing 100 Lmin Feed Orig'!DG53</f>
        <v>11794834.586807497</v>
      </c>
      <c r="CP53">
        <f>'Costing 100 Lmin Feed Orig'!DH53</f>
        <v>2275209.1661185985</v>
      </c>
      <c r="CQ53">
        <f>'Costing 100 Lmin Feed Orig'!DI53</f>
        <v>14083914.336508472</v>
      </c>
      <c r="CR53">
        <f>'Costing 100 Lmin Feed Orig'!DJ53</f>
        <v>1662824.8986326549</v>
      </c>
      <c r="CS53">
        <f>CN53*(BK53/10000)^0.72*((A53+1)/3)^0.6*('CAPEX+OPEX'!$G$116/'CAPEX+OPEX'!$G$114)</f>
        <v>751295.09040276916</v>
      </c>
      <c r="CT53">
        <f>CO53*(BK53/10000)^0.72*((A53+1)/3)^0.6*('CAPEX+OPEX'!$G$116/'CAPEX+OPEX'!$G$114)</f>
        <v>1932169.8606163235</v>
      </c>
      <c r="CU53">
        <f>CP53*(BK53/10000)^0.72*((A53+1)/3)^0.6*('CAPEX+OPEX'!$G$116/'CAPEX+OPEX'!$G$114)</f>
        <v>372713.20297186484</v>
      </c>
      <c r="CV53">
        <f>CQ53*(BK53/10000)^0.72*((A53+1)/3)^0.6*('CAPEX+OPEX'!$G$116/'CAPEX+OPEX'!$G$114)</f>
        <v>2307155.2721002945</v>
      </c>
      <c r="CW53">
        <f>CR53*(BK53/10000)^0.72*((A53+1)/3)^0.6*('CAPEX+OPEX'!$G$116/'CAPEX+OPEX'!$G$114)</f>
        <v>272395.52441150707</v>
      </c>
      <c r="CX53">
        <f t="shared" si="13"/>
        <v>5635728.9505027588</v>
      </c>
      <c r="CY53">
        <f>CN53*(BM53/10000)^0.72*((AF53+1)/3)^0.6*('CAPEX+OPEX'!$G$116/'CAPEX+OPEX'!$G$114)</f>
        <v>556289.40374443913</v>
      </c>
      <c r="CZ53">
        <f>CO53*(BM53/10000)^0.72*((AF53+1)/3)^0.6*('CAPEX+OPEX'!$G$116/'CAPEX+OPEX'!$G$114)</f>
        <v>1430657.052635611</v>
      </c>
      <c r="DA53">
        <f>CP53*(BM53/10000)^0.72*((AF53+1)/3)^0.6*('CAPEX+OPEX'!$G$116/'CAPEX+OPEX'!$G$114)</f>
        <v>275971.99568780069</v>
      </c>
      <c r="DB53">
        <f>CQ53*(BM53/10000)^0.72*((AF53+1)/3)^0.6*('CAPEX+OPEX'!$G$116/'CAPEX+OPEX'!$G$114)</f>
        <v>1708311.4838065251</v>
      </c>
      <c r="DC53">
        <f>CR53*(BM53/10000)^0.72*((AF53+1)/3)^0.6*('CAPEX+OPEX'!$G$116/'CAPEX+OPEX'!$G$114)</f>
        <v>201692.71141688875</v>
      </c>
      <c r="DD53">
        <f t="shared" si="14"/>
        <v>4172922.6472912654</v>
      </c>
      <c r="DE53">
        <f>CX53+DD53+1.15*(SUM(CI53:CL53)+SUM(CB53:CE53))</f>
        <v>9869668.3048795443</v>
      </c>
      <c r="DF53">
        <f t="shared" si="15"/>
        <v>657977.88699196966</v>
      </c>
      <c r="DG53">
        <f>(BS53+BT53)*'Oxidant Feed Composition'!$N$28*60*7200</f>
        <v>20710288.258381501</v>
      </c>
      <c r="DH53">
        <f>((CG53+CH53)*'Reagent cost'!$C$17/1000*'Reagent cost'!$H$17+(CG53+CH53)*0.5*'Reagent cost'!$C$16/1000*'Reagent cost'!$H$16*1.5)*60*7200</f>
        <v>8810851.9285745453</v>
      </c>
      <c r="DI53">
        <f>CF53*'Reagent cost'!$C$17/1000*'Reagent cost'!$H$17*60*7200</f>
        <v>504921.59999999998</v>
      </c>
      <c r="DJ53">
        <f t="shared" si="16"/>
        <v>66.087042218880882</v>
      </c>
      <c r="DK53">
        <f t="shared" si="17"/>
        <v>641.51393188623115</v>
      </c>
      <c r="DL53">
        <f t="shared" si="18"/>
        <v>36032123.265516184</v>
      </c>
      <c r="DM53">
        <f>BK53*(B53*(409.81+2)/1000+C53*(248.2+2*22.99)/1000+D53*(315.6+3*22.99)/1000+0.1*58.44/1000)</f>
        <v>0.70639694042110623</v>
      </c>
      <c r="DN53">
        <f>(BS53+BT53)/1000*('Oxidant Feed Composition'!$B$11*'Oxidant Feed Composition'!$O$20+'Oxidant Feed Composition'!$D$11*'Oxidant Feed Composition'!$O$21+'Oxidant Feed Composition'!$F$11*'Oxidant Feed Composition'!$O$27-'Oxidant Feed Composition'!$J$15*18.015)</f>
        <v>2.1753601674281078</v>
      </c>
      <c r="DO53">
        <f>(BU53+BV53)/1000*(0.2*368.34+0.4*58.44)</f>
        <v>1.5063755591271852</v>
      </c>
      <c r="DP53">
        <f>BK53/1000*(B53*195.08+C53*106.42+D53*102.91)</f>
        <v>4.999938342565946E-2</v>
      </c>
      <c r="DQ53">
        <f>SUM(DM53:DO53)-DP53</f>
        <v>4.3381332835507393</v>
      </c>
      <c r="DR53">
        <f>DQ53*60*7200*0.33</f>
        <v>618444.2809029934</v>
      </c>
      <c r="DS53">
        <v>1.2</v>
      </c>
      <c r="DT53">
        <f>BM53/60*(AM53*4+AN53*2+AO53*3)*96485/DV53</f>
        <v>1403.844239951464</v>
      </c>
      <c r="DU53">
        <f>BN53*BA53*(AP53*4+AQ53*2+AR53*3)*96485/DV53/60</f>
        <v>707.90628200732976</v>
      </c>
      <c r="DV53">
        <v>0.7</v>
      </c>
      <c r="DW53">
        <f>0.499*((BK53/3.78541*15)^(-0.146))*BK53/3.78541*15*300*(1+(A53-2)/9)</f>
        <v>41280.414286181804</v>
      </c>
      <c r="DX53">
        <f>0.248*((BK53/3.78541*15)^(-0.144))*BK53/3.78541*15*300*(1+(A53-2)/3)</f>
        <v>37373.489075065132</v>
      </c>
      <c r="DY53">
        <f>0.105*((BK53/3.78541*15)^(-0.144))*BK53/3.78541*15*300*(1+(A53-2)/3)</f>
        <v>15823.453035813865</v>
      </c>
      <c r="DZ53">
        <f>0.058*((BK53/3.78541*15)^(-0.151))*BK53/3.78541*15*300*(1+(A53-2)/3)</f>
        <v>8382.1245272768647</v>
      </c>
      <c r="EA53">
        <f>0.056*((BK53/3.78541*15)^(-0.144))*BK53/3.78541*15*300*(1+(A53-2)/3)</f>
        <v>8439.174952434063</v>
      </c>
      <c r="EB53">
        <f>DS53*DT53/(3.6*10^6)*3600*7200*0.07</f>
        <v>849.04499632264549</v>
      </c>
      <c r="EC53">
        <f>0.499*((BM53/3.78541*15)^(-0.146))*BM53/3.78541*15*300*(1+(AF53-2)/9)</f>
        <v>30856.96679815141</v>
      </c>
      <c r="ED53">
        <f>0.248*((BM53/3.78541*15)^(-0.144))*BM53/3.78541*15*300*(1+(AF53-2)/3)</f>
        <v>23276.76073563713</v>
      </c>
      <c r="EE53">
        <f>0.105*((BM53/3.78541*15)^(-0.144))*BM53/3.78541*15*300*(1+(AF53-2)/3)</f>
        <v>9855.0801501689457</v>
      </c>
      <c r="EF53">
        <f>0.058*((BM53/3.78541*15)^(-0.151))*BM53/3.78541*15*300*(1+(AF53-2)/3)</f>
        <v>5223.4164538802697</v>
      </c>
      <c r="EG53">
        <f>0.056*((BM53/3.78541*15)^(-0.144))*BM53/3.78541*15*300*(1+(AF53-2)/3)</f>
        <v>5256.0427467567724</v>
      </c>
      <c r="EH53">
        <f>DS53*DU53/(3.6*10^6)*3600*7200*0.07</f>
        <v>428.14171935803307</v>
      </c>
      <c r="EI53">
        <f>SUM(DW53:EH53)</f>
        <v>187044.10947704694</v>
      </c>
      <c r="EJ53">
        <f>EI53+DR53+DL53</f>
        <v>36837611.655896224</v>
      </c>
      <c r="EK53">
        <f>EJ53+DF53</f>
        <v>37495589.542888194</v>
      </c>
      <c r="EL53">
        <f>EK53/(BK53*60*7200)</f>
        <v>0.86795346164093046</v>
      </c>
      <c r="EM53">
        <f>EK53/(BM53*(AM53*195.084/1000+AN53*106.42/1000+AO53*102.911/1000)*60*7200)</f>
        <v>2907.9712522052523</v>
      </c>
      <c r="EN53">
        <f>EK53/(BN53*BA53*(AP53*195.084/1000+AQ53*106.42/1000+AR53*102.911/1000)*60*7200)</f>
        <v>5314.4002921182264</v>
      </c>
    </row>
    <row r="54" spans="1:144">
      <c r="A54">
        <f>'Costing 100 Lmin Feed Orig'!A54</f>
        <v>8</v>
      </c>
      <c r="B54">
        <f>'Costing 100 Lmin Feed Orig'!B54</f>
        <v>1.54143585092054E-3</v>
      </c>
      <c r="C54">
        <f>'Costing 100 Lmin Feed Orig'!C54</f>
        <v>1.54143585092054E-3</v>
      </c>
      <c r="D54">
        <f>'Costing 100 Lmin Feed Orig'!D54</f>
        <v>3.4254130020456501E-4</v>
      </c>
      <c r="E54">
        <f>'Costing 100 Lmin Feed Orig'!E54</f>
        <v>0</v>
      </c>
      <c r="F54">
        <f>'Costing 100 Lmin Feed Orig'!F54</f>
        <v>0</v>
      </c>
      <c r="G54">
        <f>'Costing 100 Lmin Feed Orig'!G54</f>
        <v>0</v>
      </c>
      <c r="H54">
        <f>'Costing 100 Lmin Feed Orig'!H54</f>
        <v>1.7762434284205799E-5</v>
      </c>
      <c r="I54">
        <f>'Costing 100 Lmin Feed Orig'!I54</f>
        <v>4.4591984978445998E-9</v>
      </c>
      <c r="J54">
        <f>'Costing 100 Lmin Feed Orig'!J54</f>
        <v>3.37570976171142E-4</v>
      </c>
      <c r="K54">
        <f>'Costing 100 Lmin Feed Orig'!K54</f>
        <v>0.13846015972746001</v>
      </c>
      <c r="L54">
        <f>'Costing 100 Lmin Feed Orig'!L54</f>
        <v>0.14007387303476199</v>
      </c>
      <c r="M54">
        <f>'Costing 100 Lmin Feed Orig'!M54</f>
        <v>4.5166625081916902E-4</v>
      </c>
      <c r="N54">
        <f>'Costing 100 Lmin Feed Orig'!N54</f>
        <v>-2.6107588313450902E-16</v>
      </c>
      <c r="O54">
        <f>'Costing 100 Lmin Feed Orig'!O54</f>
        <v>-1.18524981496115E-14</v>
      </c>
      <c r="P54">
        <f>'Costing 100 Lmin Feed Orig'!P54</f>
        <v>-2.5241581828178102E-19</v>
      </c>
      <c r="Q54">
        <f>'Costing 100 Lmin Feed Orig'!Q54</f>
        <v>0.110044175857931</v>
      </c>
      <c r="R54">
        <f>'Costing 100 Lmin Feed Orig'!R54</f>
        <v>98.548985471108097</v>
      </c>
      <c r="S54">
        <f>'Costing 100 Lmin Feed Orig'!S54</f>
        <v>500</v>
      </c>
      <c r="T54">
        <f>'Costing 100 Lmin Feed Orig'!T54</f>
        <v>95</v>
      </c>
      <c r="U54">
        <f>'Costing 100 Lmin Feed Orig'!U54</f>
        <v>1</v>
      </c>
      <c r="V54">
        <f>'Costing 100 Lmin Feed Orig'!V54</f>
        <v>0.1</v>
      </c>
      <c r="W54">
        <f>'Costing 100 Lmin Feed Orig'!W54</f>
        <v>90.872596591664205</v>
      </c>
      <c r="X54" t="str">
        <f>'Costing 100 Lmin Feed Orig'!X54</f>
        <v>ddFc</v>
      </c>
      <c r="Y54">
        <f>'Costing 100 Lmin Feed Orig'!Y54</f>
        <v>1</v>
      </c>
      <c r="Z54">
        <f>'Costing 100 Lmin Feed Orig'!Z54</f>
        <v>0.28318429382522198</v>
      </c>
      <c r="AA54">
        <f>'Costing 100 Lmin Feed Orig'!AA54</f>
        <v>0.56945642916197003</v>
      </c>
      <c r="AB54">
        <f>'Costing 100 Lmin Feed Orig'!AB54</f>
        <v>3.7698628972227502E-3</v>
      </c>
      <c r="AC54">
        <f>'Costing 100 Lmin Feed Orig'!AC54</f>
        <v>1822.2107908876901</v>
      </c>
      <c r="AD54">
        <f>'Costing 100 Lmin Feed Orig'!AD54</f>
        <v>2662.6059073104898</v>
      </c>
      <c r="AE54">
        <f>'Costing 100 Lmin Feed Orig'!AE54</f>
        <v>2401.5030938442701</v>
      </c>
      <c r="AF54">
        <f>'Costing 100 Lmin Feed Orig'!AF54</f>
        <v>6</v>
      </c>
      <c r="AG54">
        <f>'Costing 100 Lmin Feed Orig'!AG54</f>
        <v>1.6497294784823999E-3</v>
      </c>
      <c r="AH54">
        <f>'Costing 100 Lmin Feed Orig'!AH54</f>
        <v>1.66895660069658E-3</v>
      </c>
      <c r="AI54">
        <f>'Costing 100 Lmin Feed Orig'!AI54</f>
        <v>5.38152729188446E-6</v>
      </c>
      <c r="AJ54">
        <f>'Costing 100 Lmin Feed Orig'!AJ54</f>
        <v>0</v>
      </c>
      <c r="AK54">
        <f>'Costing 100 Lmin Feed Orig'!AK54</f>
        <v>0</v>
      </c>
      <c r="AL54">
        <f>'Costing 100 Lmin Feed Orig'!AL54</f>
        <v>0</v>
      </c>
      <c r="AM54">
        <f>'Costing 100 Lmin Feed Orig'!AM54</f>
        <v>1.6120973624594601E-3</v>
      </c>
      <c r="AN54">
        <f>'Costing 100 Lmin Feed Orig'!AN54</f>
        <v>7.9501723318735999E-5</v>
      </c>
      <c r="AO54">
        <f>'Costing 100 Lmin Feed Orig'!AO54</f>
        <v>5.3455064946735699E-6</v>
      </c>
      <c r="AP54">
        <f>'Costing 100 Lmin Feed Orig'!AP54</f>
        <v>1.7562344447916399E-3</v>
      </c>
      <c r="AQ54">
        <f>'Costing 100 Lmin Feed Orig'!AQ54</f>
        <v>7.4177476557294494E-2</v>
      </c>
      <c r="AR54">
        <f>'Costing 100 Lmin Feed Orig'!AR54</f>
        <v>1.6810366111767E-6</v>
      </c>
      <c r="AS54">
        <f>'Costing 100 Lmin Feed Orig'!AS54</f>
        <v>-2.1616280813929698E-18</v>
      </c>
      <c r="AT54">
        <f>'Costing 100 Lmin Feed Orig'!AT54</f>
        <v>-1.5872719805187701E-16</v>
      </c>
      <c r="AU54">
        <f>'Costing 100 Lmin Feed Orig'!AU54</f>
        <v>-1.13158307797254E-21</v>
      </c>
      <c r="AV54">
        <f>'Costing 100 Lmin Feed Orig'!AV54</f>
        <v>0.19790433355595599</v>
      </c>
      <c r="AW54">
        <f>'Costing 100 Lmin Feed Orig'!AW54</f>
        <v>99.330658468178498</v>
      </c>
      <c r="AX54">
        <f>'Costing 100 Lmin Feed Orig'!AX54</f>
        <v>499.99999999999898</v>
      </c>
      <c r="AY54">
        <f>'Costing 100 Lmin Feed Orig'!AY54</f>
        <v>95</v>
      </c>
      <c r="AZ54">
        <f>'Costing 100 Lmin Feed Orig'!AZ54</f>
        <v>0.92358985913147196</v>
      </c>
      <c r="BA54">
        <f>'Costing 100 Lmin Feed Orig'!BA54</f>
        <v>0.1</v>
      </c>
      <c r="BB54">
        <f>'Costing 100 Lmin Feed Orig'!BB54</f>
        <v>46.668501014422198</v>
      </c>
      <c r="BC54" t="str">
        <f>'Costing 100 Lmin Feed Orig'!BC54</f>
        <v>coeFc</v>
      </c>
      <c r="BD54">
        <f>'Costing 100 Lmin Feed Orig'!BD54</f>
        <v>1</v>
      </c>
      <c r="BE54">
        <f>'Costing 100 Lmin Feed Orig'!BE54</f>
        <v>1.8775014999999999E-2</v>
      </c>
      <c r="BF54">
        <f>'Costing 100 Lmin Feed Orig'!BF54</f>
        <v>0.10492961100000001</v>
      </c>
      <c r="BG54">
        <f>'Costing 100 Lmin Feed Orig'!BG54</f>
        <v>1.814625E-3</v>
      </c>
      <c r="BH54">
        <f>'Costing 100 Lmin Feed Orig'!BH54</f>
        <v>285.1951444</v>
      </c>
      <c r="BI54">
        <f>'Costing 100 Lmin Feed Orig'!BI54</f>
        <v>2169.8944889999998</v>
      </c>
      <c r="BJ54">
        <f>'Costing 100 Lmin Feed Orig'!BJ54</f>
        <v>866.49409060000005</v>
      </c>
      <c r="BK54">
        <f>'Costing 100 Lmin Feed Orig'!BK54</f>
        <v>100</v>
      </c>
      <c r="BL54">
        <f>'Costing 100 Lmin Feed Orig'!BL54</f>
        <v>11.004417585793099</v>
      </c>
      <c r="BM54">
        <f>'Costing 100 Lmin Feed Orig'!BM54</f>
        <v>92.358985913147194</v>
      </c>
      <c r="BN54">
        <f>'Costing 100 Lmin Feed Orig'!BN54</f>
        <v>19.790433355595599</v>
      </c>
      <c r="BO54">
        <f t="shared" si="1"/>
        <v>220.08835171586199</v>
      </c>
      <c r="BP54">
        <f t="shared" si="2"/>
        <v>316.64693368952959</v>
      </c>
      <c r="BQ54">
        <f t="shared" si="3"/>
        <v>22.008835171586199</v>
      </c>
      <c r="BR54">
        <f t="shared" si="4"/>
        <v>31.66469336895296</v>
      </c>
      <c r="BS54">
        <f>1.2*0.5*BL54*V54/'Oxidant Feed Composition'!$N$22</f>
        <v>6.6026505514758593</v>
      </c>
      <c r="BT54">
        <f>1.2*0.5*BN54*BA54/'Oxidant Feed Composition'!$N$22</f>
        <v>11.874260013357359</v>
      </c>
      <c r="BU54">
        <f t="shared" si="5"/>
        <v>5.5022087928965497</v>
      </c>
      <c r="BV54">
        <f t="shared" si="6"/>
        <v>9.8952166777977997</v>
      </c>
      <c r="BW54">
        <f t="shared" si="7"/>
        <v>86.856777120250641</v>
      </c>
      <c r="BX54">
        <f t="shared" si="0"/>
        <v>35.214136274537921</v>
      </c>
      <c r="BY54">
        <f t="shared" si="8"/>
        <v>206.7268069978806</v>
      </c>
      <c r="BZ54">
        <f t="shared" si="9"/>
        <v>63.329386737905921</v>
      </c>
      <c r="CA54">
        <f t="shared" si="10"/>
        <v>59.371300066786802</v>
      </c>
      <c r="CB54">
        <f>BO54*'Reagent cost'!$G$11*'Reagent cost'!$H$11</f>
        <v>2905.1662426493785</v>
      </c>
      <c r="CC54">
        <f>BP54*'Reagent cost'!$G$11*'Reagent cost'!$H$11</f>
        <v>4179.7395247017912</v>
      </c>
      <c r="CD54">
        <f>BQ54*'Reagent cost'!$C$18/1000*'Reagent cost'!$H$18</f>
        <v>3509.9789962792502</v>
      </c>
      <c r="CE54">
        <f>BR54*'Ligand cost'!$B$56*'Ligand cost'!$J$56</f>
        <v>32238.702442173457</v>
      </c>
      <c r="CF54">
        <f t="shared" si="11"/>
        <v>10</v>
      </c>
      <c r="CG54">
        <f t="shared" si="12"/>
        <v>2.2008835171586201</v>
      </c>
      <c r="CH54">
        <f t="shared" si="12"/>
        <v>3.95808667111912</v>
      </c>
      <c r="CI54">
        <f>7963.6*(BX54/1000)^0.6*1.7*('CAPEX+OPEX'!$G$116/'CAPEX+OPEX'!$G$115)</f>
        <v>2144.228934815284</v>
      </c>
      <c r="CJ54">
        <f>7963.6*(BY54/1000)^0.6*1.7*('CAPEX+OPEX'!$G$116/'CAPEX+OPEX'!$G$115)</f>
        <v>6201.2466571653367</v>
      </c>
      <c r="CK54">
        <f>7963.6*(BZ54/1000)^0.6*1.7*('CAPEX+OPEX'!$G$116/'CAPEX+OPEX'!$G$115)</f>
        <v>3049.3276891123733</v>
      </c>
      <c r="CL54">
        <f>7963.6*(CA54/1000)^0.6*1.7*('CAPEX+OPEX'!$G$116/'CAPEX+OPEX'!$G$115)</f>
        <v>2933.505205370001</v>
      </c>
      <c r="CM54">
        <f>'Costing 100 Lmin Feed Orig'!DE54</f>
        <v>39625.826528698344</v>
      </c>
      <c r="CN54">
        <f>'Costing 100 Lmin Feed Orig'!DF54</f>
        <v>4586243.4239371875</v>
      </c>
      <c r="CO54">
        <f>'Costing 100 Lmin Feed Orig'!DG54</f>
        <v>11794834.586807497</v>
      </c>
      <c r="CP54">
        <f>'Costing 100 Lmin Feed Orig'!DH54</f>
        <v>2275209.1661185985</v>
      </c>
      <c r="CQ54">
        <f>'Costing 100 Lmin Feed Orig'!DI54</f>
        <v>14083914.336508472</v>
      </c>
      <c r="CR54">
        <f>'Costing 100 Lmin Feed Orig'!DJ54</f>
        <v>1662824.8986326549</v>
      </c>
      <c r="CS54">
        <f>CN54*(BK54/10000)^0.72*((A54+1)/3)^0.6*('CAPEX+OPEX'!$G$116/'CAPEX+OPEX'!$G$114)</f>
        <v>751295.09040276916</v>
      </c>
      <c r="CT54">
        <f>CO54*(BK54/10000)^0.72*((A54+1)/3)^0.6*('CAPEX+OPEX'!$G$116/'CAPEX+OPEX'!$G$114)</f>
        <v>1932169.8606163235</v>
      </c>
      <c r="CU54">
        <f>CP54*(BK54/10000)^0.72*((A54+1)/3)^0.6*('CAPEX+OPEX'!$G$116/'CAPEX+OPEX'!$G$114)</f>
        <v>372713.20297186484</v>
      </c>
      <c r="CV54">
        <f>CQ54*(BK54/10000)^0.72*((A54+1)/3)^0.6*('CAPEX+OPEX'!$G$116/'CAPEX+OPEX'!$G$114)</f>
        <v>2307155.2721002945</v>
      </c>
      <c r="CW54">
        <f>CR54*(BK54/10000)^0.72*((A54+1)/3)^0.6*('CAPEX+OPEX'!$G$116/'CAPEX+OPEX'!$G$114)</f>
        <v>272395.52441150707</v>
      </c>
      <c r="CX54">
        <f t="shared" si="13"/>
        <v>5635728.9505027588</v>
      </c>
      <c r="CY54">
        <f>CN54*(BM54/10000)^0.72*((AF54+1)/3)^0.6*('CAPEX+OPEX'!$G$116/'CAPEX+OPEX'!$G$114)</f>
        <v>610195.30439334596</v>
      </c>
      <c r="CZ54">
        <f>CO54*(BM54/10000)^0.72*((AF54+1)/3)^0.6*('CAPEX+OPEX'!$G$116/'CAPEX+OPEX'!$G$114)</f>
        <v>1569291.469223317</v>
      </c>
      <c r="DA54">
        <f>CP54*(BM54/10000)^0.72*((AF54+1)/3)^0.6*('CAPEX+OPEX'!$G$116/'CAPEX+OPEX'!$G$114)</f>
        <v>302714.40509069752</v>
      </c>
      <c r="DB54">
        <f>CQ54*(BM54/10000)^0.72*((AF54+1)/3)^0.6*('CAPEX+OPEX'!$G$116/'CAPEX+OPEX'!$G$114)</f>
        <v>1873851.3422032651</v>
      </c>
      <c r="DC54">
        <f>CR54*(BM54/10000)^0.72*((AF54+1)/3)^0.6*('CAPEX+OPEX'!$G$116/'CAPEX+OPEX'!$G$114)</f>
        <v>221237.26356917509</v>
      </c>
      <c r="DD54">
        <f t="shared" si="14"/>
        <v>4577289.7844798015</v>
      </c>
      <c r="DE54">
        <f>CX54+DD54+1.15*(SUM(CI54:CL54)+SUM(CB54:CE54))</f>
        <v>10278754.915028669</v>
      </c>
      <c r="DF54">
        <f t="shared" si="15"/>
        <v>685250.3276685779</v>
      </c>
      <c r="DG54">
        <f>(BS54+BT54)*'Oxidant Feed Composition'!$N$28*60*7200</f>
        <v>20543275.142425362</v>
      </c>
      <c r="DH54">
        <f>((CG54+CH54)*'Reagent cost'!$C$17/1000*'Reagent cost'!$H$17+(CG54+CH54)*0.5*'Reagent cost'!$C$16/1000*'Reagent cost'!$H$16*1.5)*60*7200</f>
        <v>8739798.941940045</v>
      </c>
      <c r="DI54">
        <f>CF54*'Reagent cost'!$C$17/1000*'Reagent cost'!$H$17*60*7200</f>
        <v>504921.59999999998</v>
      </c>
      <c r="DJ54">
        <f t="shared" si="16"/>
        <v>70.849057673511695</v>
      </c>
      <c r="DK54">
        <f t="shared" si="17"/>
        <v>714.97362876905424</v>
      </c>
      <c r="DL54">
        <f t="shared" si="18"/>
        <v>35746537.808462217</v>
      </c>
      <c r="DM54">
        <f>BK54*(B54*(409.81+2)/1000+C54*(248.2+2*22.99)/1000+D54*(315.6+3*22.99)/1000+0.1*58.44/1000)</f>
        <v>0.70639694042110623</v>
      </c>
      <c r="DN54">
        <f>(BS54+BT54)/1000*('Oxidant Feed Composition'!$B$11*'Oxidant Feed Composition'!$O$20+'Oxidant Feed Composition'!$D$11*'Oxidant Feed Composition'!$O$21+'Oxidant Feed Composition'!$F$11*'Oxidant Feed Composition'!$O$27-'Oxidant Feed Composition'!$J$15*18.015)</f>
        <v>2.1578175009351872</v>
      </c>
      <c r="DO54">
        <f>(BU54+BV54)/1000*(0.2*368.34+0.4*58.44)</f>
        <v>1.4942277573780625</v>
      </c>
      <c r="DP54">
        <f>BK54/1000*(B54*195.08+C54*106.42+D54*102.91)</f>
        <v>4.999938342565946E-2</v>
      </c>
      <c r="DQ54">
        <f>SUM(DM54:DO54)-DP54</f>
        <v>4.3084428153086956</v>
      </c>
      <c r="DR54">
        <f>DQ54*60*7200*0.33</f>
        <v>614211.60775040765</v>
      </c>
      <c r="DS54">
        <v>1.2</v>
      </c>
      <c r="DT54">
        <f>BM54/60*(AM54*4+AN54*2+AO54*3)*96485/DV54</f>
        <v>1405.3114316602573</v>
      </c>
      <c r="DU54">
        <f>BN54*BA54*(AP54*4+AQ54*2+AR54*3)*96485/DV54/60</f>
        <v>706.4390902986579</v>
      </c>
      <c r="DV54">
        <v>0.7</v>
      </c>
      <c r="DW54">
        <f>0.499*((BK54/3.78541*15)^(-0.146))*BK54/3.78541*15*300*(1+(A54-2)/9)</f>
        <v>41280.414286181804</v>
      </c>
      <c r="DX54">
        <f>0.248*((BK54/3.78541*15)^(-0.144))*BK54/3.78541*15*300*(1+(A54-2)/3)</f>
        <v>37373.489075065132</v>
      </c>
      <c r="DY54">
        <f>0.105*((BK54/3.78541*15)^(-0.144))*BK54/3.78541*15*300*(1+(A54-2)/3)</f>
        <v>15823.453035813865</v>
      </c>
      <c r="DZ54">
        <f>0.058*((BK54/3.78541*15)^(-0.151))*BK54/3.78541*15*300*(1+(A54-2)/3)</f>
        <v>8382.1245272768647</v>
      </c>
      <c r="EA54">
        <f>0.056*((BK54/3.78541*15)^(-0.144))*BK54/3.78541*15*300*(1+(A54-2)/3)</f>
        <v>8439.174952434063</v>
      </c>
      <c r="EB54">
        <f>DS54*DT54/(3.6*10^6)*3600*7200*0.07</f>
        <v>849.93235386812376</v>
      </c>
      <c r="EC54">
        <f>0.499*((BM54/3.78541*15)^(-0.146))*BM54/3.78541*15*300*(1+(AF54-2)/9)</f>
        <v>33428.38069799736</v>
      </c>
      <c r="ED54">
        <f>0.248*((BM54/3.78541*15)^(-0.144))*BM54/3.78541*15*300*(1+(AF54-2)/3)</f>
        <v>27156.220858243316</v>
      </c>
      <c r="EE54">
        <f>0.105*((BM54/3.78541*15)^(-0.144))*BM54/3.78541*15*300*(1+(AF54-2)/3)</f>
        <v>11497.593508530435</v>
      </c>
      <c r="EF54">
        <f>0.058*((BM54/3.78541*15)^(-0.151))*BM54/3.78541*15*300*(1+(AF54-2)/3)</f>
        <v>6093.9858628603142</v>
      </c>
      <c r="EG54">
        <f>0.056*((BM54/3.78541*15)^(-0.144))*BM54/3.78541*15*300*(1+(AF54-2)/3)</f>
        <v>6132.0498712162334</v>
      </c>
      <c r="EH54">
        <f>DS54*DU54/(3.6*10^6)*3600*7200*0.07</f>
        <v>427.2543618126283</v>
      </c>
      <c r="EI54">
        <f>SUM(DW54:EH54)</f>
        <v>196884.07339130016</v>
      </c>
      <c r="EJ54">
        <f>EI54+DR54+DL54</f>
        <v>36557633.489603922</v>
      </c>
      <c r="EK54">
        <f>EJ54+DF54</f>
        <v>37242883.817272499</v>
      </c>
      <c r="EL54">
        <f>EK54/(BK54*60*7200)</f>
        <v>0.86210379206649301</v>
      </c>
      <c r="EM54">
        <f>EK54/(BM54*(AM54*195.084/1000+AN54*106.42/1000+AO54*102.911/1000)*60*7200)</f>
        <v>2885.3552100166994</v>
      </c>
      <c r="EN54">
        <f>EK54/(BN54*BA54*(AP54*195.084/1000+AQ54*106.42/1000+AR54*102.911/1000)*60*7200)</f>
        <v>5288.6909953262148</v>
      </c>
    </row>
    <row r="55" spans="1:144">
      <c r="A55">
        <f>'Costing 100 Lmin Feed Orig'!A55</f>
        <v>8</v>
      </c>
      <c r="B55">
        <f>'Costing 100 Lmin Feed Orig'!B55</f>
        <v>1.54143585092054E-3</v>
      </c>
      <c r="C55">
        <f>'Costing 100 Lmin Feed Orig'!C55</f>
        <v>1.54143585092054E-3</v>
      </c>
      <c r="D55">
        <f>'Costing 100 Lmin Feed Orig'!D55</f>
        <v>3.4254130020456501E-4</v>
      </c>
      <c r="E55">
        <f>'Costing 100 Lmin Feed Orig'!E55</f>
        <v>0</v>
      </c>
      <c r="F55">
        <f>'Costing 100 Lmin Feed Orig'!F55</f>
        <v>0</v>
      </c>
      <c r="G55">
        <f>'Costing 100 Lmin Feed Orig'!G55</f>
        <v>0</v>
      </c>
      <c r="H55">
        <f>'Costing 100 Lmin Feed Orig'!H55</f>
        <v>1.7762434284205799E-5</v>
      </c>
      <c r="I55">
        <f>'Costing 100 Lmin Feed Orig'!I55</f>
        <v>4.4591984978445998E-9</v>
      </c>
      <c r="J55">
        <f>'Costing 100 Lmin Feed Orig'!J55</f>
        <v>3.37570976171142E-4</v>
      </c>
      <c r="K55">
        <f>'Costing 100 Lmin Feed Orig'!K55</f>
        <v>0.13846015972746001</v>
      </c>
      <c r="L55">
        <f>'Costing 100 Lmin Feed Orig'!L55</f>
        <v>0.14007387303476199</v>
      </c>
      <c r="M55">
        <f>'Costing 100 Lmin Feed Orig'!M55</f>
        <v>4.5166625081916902E-4</v>
      </c>
      <c r="N55">
        <f>'Costing 100 Lmin Feed Orig'!N55</f>
        <v>-2.6107588313450902E-16</v>
      </c>
      <c r="O55">
        <f>'Costing 100 Lmin Feed Orig'!O55</f>
        <v>-1.18524981496115E-14</v>
      </c>
      <c r="P55">
        <f>'Costing 100 Lmin Feed Orig'!P55</f>
        <v>-2.5241581828178102E-19</v>
      </c>
      <c r="Q55">
        <f>'Costing 100 Lmin Feed Orig'!Q55</f>
        <v>0.110044175857931</v>
      </c>
      <c r="R55">
        <f>'Costing 100 Lmin Feed Orig'!R55</f>
        <v>98.548985471108097</v>
      </c>
      <c r="S55">
        <f>'Costing 100 Lmin Feed Orig'!S55</f>
        <v>500</v>
      </c>
      <c r="T55">
        <f>'Costing 100 Lmin Feed Orig'!T55</f>
        <v>95</v>
      </c>
      <c r="U55">
        <f>'Costing 100 Lmin Feed Orig'!U55</f>
        <v>1</v>
      </c>
      <c r="V55">
        <f>'Costing 100 Lmin Feed Orig'!V55</f>
        <v>0.1</v>
      </c>
      <c r="W55">
        <f>'Costing 100 Lmin Feed Orig'!W55</f>
        <v>90.872596591664205</v>
      </c>
      <c r="X55" t="str">
        <f>'Costing 100 Lmin Feed Orig'!X55</f>
        <v>ddFc</v>
      </c>
      <c r="Y55">
        <f>'Costing 100 Lmin Feed Orig'!Y55</f>
        <v>1</v>
      </c>
      <c r="Z55">
        <f>'Costing 100 Lmin Feed Orig'!Z55</f>
        <v>0.28318429382522198</v>
      </c>
      <c r="AA55">
        <f>'Costing 100 Lmin Feed Orig'!AA55</f>
        <v>0.56945642916197003</v>
      </c>
      <c r="AB55">
        <f>'Costing 100 Lmin Feed Orig'!AB55</f>
        <v>3.7698628972227502E-3</v>
      </c>
      <c r="AC55">
        <f>'Costing 100 Lmin Feed Orig'!AC55</f>
        <v>1822.2107908876901</v>
      </c>
      <c r="AD55">
        <f>'Costing 100 Lmin Feed Orig'!AD55</f>
        <v>2662.6059073104898</v>
      </c>
      <c r="AE55">
        <f>'Costing 100 Lmin Feed Orig'!AE55</f>
        <v>2401.5030938442701</v>
      </c>
      <c r="AF55">
        <f>'Costing 100 Lmin Feed Orig'!AF55</f>
        <v>7</v>
      </c>
      <c r="AG55">
        <f>'Costing 100 Lmin Feed Orig'!AG55</f>
        <v>1.6497294784823999E-3</v>
      </c>
      <c r="AH55">
        <f>'Costing 100 Lmin Feed Orig'!AH55</f>
        <v>1.66895660069658E-3</v>
      </c>
      <c r="AI55">
        <f>'Costing 100 Lmin Feed Orig'!AI55</f>
        <v>5.38152729188446E-6</v>
      </c>
      <c r="AJ55">
        <f>'Costing 100 Lmin Feed Orig'!AJ55</f>
        <v>0</v>
      </c>
      <c r="AK55">
        <f>'Costing 100 Lmin Feed Orig'!AK55</f>
        <v>0</v>
      </c>
      <c r="AL55">
        <f>'Costing 100 Lmin Feed Orig'!AL55</f>
        <v>0</v>
      </c>
      <c r="AM55">
        <f>'Costing 100 Lmin Feed Orig'!AM55</f>
        <v>1.6125869955133201E-3</v>
      </c>
      <c r="AN55">
        <f>'Costing 100 Lmin Feed Orig'!AN55</f>
        <v>7.9527043739658596E-5</v>
      </c>
      <c r="AO55">
        <f>'Costing 100 Lmin Feed Orig'!AO55</f>
        <v>5.3459560242007103E-6</v>
      </c>
      <c r="AP55">
        <f>'Costing 100 Lmin Feed Orig'!AP55</f>
        <v>1.7397829738956801E-3</v>
      </c>
      <c r="AQ55">
        <f>'Costing 100 Lmin Feed Orig'!AQ55</f>
        <v>7.4450124503133999E-2</v>
      </c>
      <c r="AR55">
        <f>'Costing 100 Lmin Feed Orig'!AR55</f>
        <v>1.6661860201321599E-6</v>
      </c>
      <c r="AS55">
        <f>'Costing 100 Lmin Feed Orig'!AS55</f>
        <v>-4.4926627522367998E-18</v>
      </c>
      <c r="AT55">
        <f>'Costing 100 Lmin Feed Orig'!AT55</f>
        <v>-1.8262301393345801E-15</v>
      </c>
      <c r="AU55">
        <f>'Costing 100 Lmin Feed Orig'!AU55</f>
        <v>-5.4726269326508303E-21</v>
      </c>
      <c r="AV55">
        <f>'Costing 100 Lmin Feed Orig'!AV55</f>
        <v>0.197176435957374</v>
      </c>
      <c r="AW55">
        <f>'Costing 100 Lmin Feed Orig'!AW55</f>
        <v>99.339011664265001</v>
      </c>
      <c r="AX55">
        <f>'Costing 100 Lmin Feed Orig'!AX55</f>
        <v>499.99999999999898</v>
      </c>
      <c r="AY55">
        <f>'Costing 100 Lmin Feed Orig'!AY55</f>
        <v>95</v>
      </c>
      <c r="AZ55">
        <f>'Costing 100 Lmin Feed Orig'!AZ55</f>
        <v>0.92358985913147196</v>
      </c>
      <c r="BA55">
        <f>'Costing 100 Lmin Feed Orig'!BA55</f>
        <v>0.1</v>
      </c>
      <c r="BB55">
        <f>'Costing 100 Lmin Feed Orig'!BB55</f>
        <v>46.840782705451403</v>
      </c>
      <c r="BC55" t="str">
        <f>'Costing 100 Lmin Feed Orig'!BC55</f>
        <v>coeFc</v>
      </c>
      <c r="BD55">
        <f>'Costing 100 Lmin Feed Orig'!BD55</f>
        <v>1</v>
      </c>
      <c r="BE55">
        <f>'Costing 100 Lmin Feed Orig'!BE55</f>
        <v>1.8775014999999999E-2</v>
      </c>
      <c r="BF55">
        <f>'Costing 100 Lmin Feed Orig'!BF55</f>
        <v>0.10492961100000001</v>
      </c>
      <c r="BG55">
        <f>'Costing 100 Lmin Feed Orig'!BG55</f>
        <v>1.814625E-3</v>
      </c>
      <c r="BH55">
        <f>'Costing 100 Lmin Feed Orig'!BH55</f>
        <v>285.1951444</v>
      </c>
      <c r="BI55">
        <f>'Costing 100 Lmin Feed Orig'!BI55</f>
        <v>2169.8944889999998</v>
      </c>
      <c r="BJ55">
        <f>'Costing 100 Lmin Feed Orig'!BJ55</f>
        <v>866.49409060000005</v>
      </c>
      <c r="BK55">
        <f>'Costing 100 Lmin Feed Orig'!BK55</f>
        <v>100</v>
      </c>
      <c r="BL55">
        <f>'Costing 100 Lmin Feed Orig'!BL55</f>
        <v>11.004417585793099</v>
      </c>
      <c r="BM55">
        <f>'Costing 100 Lmin Feed Orig'!BM55</f>
        <v>92.358985913147194</v>
      </c>
      <c r="BN55">
        <f>'Costing 100 Lmin Feed Orig'!BN55</f>
        <v>19.7176435957374</v>
      </c>
      <c r="BO55">
        <f t="shared" si="1"/>
        <v>220.08835171586199</v>
      </c>
      <c r="BP55">
        <f t="shared" si="2"/>
        <v>354.91758472327319</v>
      </c>
      <c r="BQ55">
        <f t="shared" si="3"/>
        <v>22.008835171586199</v>
      </c>
      <c r="BR55">
        <f t="shared" si="4"/>
        <v>35.491758472327319</v>
      </c>
      <c r="BS55">
        <f>1.2*0.5*BL55*V55/'Oxidant Feed Composition'!$N$22</f>
        <v>6.6026505514758593</v>
      </c>
      <c r="BT55">
        <f>1.2*0.5*BN55*BA55/'Oxidant Feed Composition'!$N$22</f>
        <v>11.83058615744244</v>
      </c>
      <c r="BU55">
        <f t="shared" si="5"/>
        <v>5.5022087928965497</v>
      </c>
      <c r="BV55">
        <f t="shared" si="6"/>
        <v>9.8588217978686998</v>
      </c>
      <c r="BW55">
        <f t="shared" si="7"/>
        <v>86.856777120250641</v>
      </c>
      <c r="BX55">
        <f t="shared" si="0"/>
        <v>35.214136274537921</v>
      </c>
      <c r="BY55">
        <f t="shared" si="8"/>
        <v>206.7268069978806</v>
      </c>
      <c r="BZ55">
        <f t="shared" si="9"/>
        <v>63.096459506359679</v>
      </c>
      <c r="CA55">
        <f t="shared" si="10"/>
        <v>59.152930787212199</v>
      </c>
      <c r="CB55">
        <f>BO55*'Reagent cost'!$G$11*'Reagent cost'!$H$11</f>
        <v>2905.1662426493785</v>
      </c>
      <c r="CC55">
        <f>BP55*'Reagent cost'!$G$11*'Reagent cost'!$H$11</f>
        <v>4684.9121183472062</v>
      </c>
      <c r="CD55">
        <f>BQ55*'Reagent cost'!$C$18/1000*'Reagent cost'!$H$18</f>
        <v>3509.9789962792502</v>
      </c>
      <c r="CE55">
        <f>BR55*'Ligand cost'!$B$56*'Ligand cost'!$J$56</f>
        <v>36135.1435558425</v>
      </c>
      <c r="CF55">
        <f t="shared" si="11"/>
        <v>10</v>
      </c>
      <c r="CG55">
        <f t="shared" si="12"/>
        <v>2.2008835171586201</v>
      </c>
      <c r="CH55">
        <f t="shared" si="12"/>
        <v>3.9435287191474799</v>
      </c>
      <c r="CI55">
        <f>7963.6*(BX55/1000)^0.6*1.7*('CAPEX+OPEX'!$G$116/'CAPEX+OPEX'!$G$115)</f>
        <v>2144.228934815284</v>
      </c>
      <c r="CJ55">
        <f>7963.6*(BY55/1000)^0.6*1.7*('CAPEX+OPEX'!$G$116/'CAPEX+OPEX'!$G$115)</f>
        <v>6201.2466571653367</v>
      </c>
      <c r="CK55">
        <f>7963.6*(BZ55/1000)^0.6*1.7*('CAPEX+OPEX'!$G$116/'CAPEX+OPEX'!$G$115)</f>
        <v>3042.5934236628641</v>
      </c>
      <c r="CL55">
        <f>7963.6*(CA55/1000)^0.6*1.7*('CAPEX+OPEX'!$G$116/'CAPEX+OPEX'!$G$115)</f>
        <v>2927.0267272382434</v>
      </c>
      <c r="CM55">
        <f>'Costing 100 Lmin Feed Orig'!DE55</f>
        <v>39625.826528698344</v>
      </c>
      <c r="CN55">
        <f>'Costing 100 Lmin Feed Orig'!DF55</f>
        <v>4586243.4239371875</v>
      </c>
      <c r="CO55">
        <f>'Costing 100 Lmin Feed Orig'!DG55</f>
        <v>11794834.586807497</v>
      </c>
      <c r="CP55">
        <f>'Costing 100 Lmin Feed Orig'!DH55</f>
        <v>2275209.1661185985</v>
      </c>
      <c r="CQ55">
        <f>'Costing 100 Lmin Feed Orig'!DI55</f>
        <v>14083914.336508472</v>
      </c>
      <c r="CR55">
        <f>'Costing 100 Lmin Feed Orig'!DJ55</f>
        <v>1662824.8986326549</v>
      </c>
      <c r="CS55">
        <f>CN55*(BK55/10000)^0.72*((A55+1)/3)^0.6*('CAPEX+OPEX'!$G$116/'CAPEX+OPEX'!$G$114)</f>
        <v>751295.09040276916</v>
      </c>
      <c r="CT55">
        <f>CO55*(BK55/10000)^0.72*((A55+1)/3)^0.6*('CAPEX+OPEX'!$G$116/'CAPEX+OPEX'!$G$114)</f>
        <v>1932169.8606163235</v>
      </c>
      <c r="CU55">
        <f>CP55*(BK55/10000)^0.72*((A55+1)/3)^0.6*('CAPEX+OPEX'!$G$116/'CAPEX+OPEX'!$G$114)</f>
        <v>372713.20297186484</v>
      </c>
      <c r="CV55">
        <f>CQ55*(BK55/10000)^0.72*((A55+1)/3)^0.6*('CAPEX+OPEX'!$G$116/'CAPEX+OPEX'!$G$114)</f>
        <v>2307155.2721002945</v>
      </c>
      <c r="CW55">
        <f>CR55*(BK55/10000)^0.72*((A55+1)/3)^0.6*('CAPEX+OPEX'!$G$116/'CAPEX+OPEX'!$G$114)</f>
        <v>272395.52441150707</v>
      </c>
      <c r="CX55">
        <f t="shared" si="13"/>
        <v>5635728.9505027588</v>
      </c>
      <c r="CY55">
        <f>CN55*(BM55/10000)^0.72*((AF55+1)/3)^0.6*('CAPEX+OPEX'!$G$116/'CAPEX+OPEX'!$G$114)</f>
        <v>661095.23897018633</v>
      </c>
      <c r="CZ55">
        <f>CO55*(BM55/10000)^0.72*((AF55+1)/3)^0.6*('CAPEX+OPEX'!$G$116/'CAPEX+OPEX'!$G$114)</f>
        <v>1700195.1856897587</v>
      </c>
      <c r="DA55">
        <f>CP55*(BM55/10000)^0.72*((AF55+1)/3)^0.6*('CAPEX+OPEX'!$G$116/'CAPEX+OPEX'!$G$114)</f>
        <v>327965.57189523784</v>
      </c>
      <c r="DB55">
        <f>CQ55*(BM55/10000)^0.72*((AF55+1)/3)^0.6*('CAPEX+OPEX'!$G$116/'CAPEX+OPEX'!$G$114)</f>
        <v>2030160.1666700414</v>
      </c>
      <c r="DC55">
        <f>CR55*(BM55/10000)^0.72*((AF55+1)/3)^0.6*('CAPEX+OPEX'!$G$116/'CAPEX+OPEX'!$G$114)</f>
        <v>239691.94875038246</v>
      </c>
      <c r="DD55">
        <f t="shared" si="14"/>
        <v>4959108.1119756065</v>
      </c>
      <c r="DE55">
        <f>CX55+DD55+1.15*(SUM(CI55:CL55)+SUM(CB55:CE55))</f>
        <v>10665619.903632766</v>
      </c>
      <c r="DF55">
        <f t="shared" si="15"/>
        <v>711041.32690885104</v>
      </c>
      <c r="DG55">
        <f>(BS55+BT55)*'Oxidant Feed Composition'!$N$28*60*7200</f>
        <v>20494717.022525251</v>
      </c>
      <c r="DH55">
        <f>((CG55+CH55)*'Reagent cost'!$C$17/1000*'Reagent cost'!$H$17+(CG55+CH55)*0.5*'Reagent cost'!$C$16/1000*'Reagent cost'!$H$16*1.5)*60*7200</f>
        <v>8719140.6874999255</v>
      </c>
      <c r="DI55">
        <f>CF55*'Reagent cost'!$C$17/1000*'Reagent cost'!$H$17*60*7200</f>
        <v>504921.59999999998</v>
      </c>
      <c r="DJ55">
        <f t="shared" si="16"/>
        <v>75.900783609965842</v>
      </c>
      <c r="DK55">
        <f t="shared" si="17"/>
        <v>792.90245104243502</v>
      </c>
      <c r="DL55">
        <f t="shared" si="18"/>
        <v>35663577.735911794</v>
      </c>
      <c r="DM55">
        <f>BK55*(B55*(409.81+2)/1000+C55*(248.2+2*22.99)/1000+D55*(315.6+3*22.99)/1000+0.1*58.44/1000)</f>
        <v>0.70639694042110623</v>
      </c>
      <c r="DN55">
        <f>(BS55+BT55)/1000*('Oxidant Feed Composition'!$B$11*'Oxidant Feed Composition'!$O$20+'Oxidant Feed Composition'!$D$11*'Oxidant Feed Composition'!$O$21+'Oxidant Feed Composition'!$F$11*'Oxidant Feed Composition'!$O$27-'Oxidant Feed Composition'!$J$15*18.015)</f>
        <v>2.1527170697621374</v>
      </c>
      <c r="DO55">
        <f>(BU55+BV55)/1000*(0.2*368.34+0.4*58.44)</f>
        <v>1.490695852650223</v>
      </c>
      <c r="DP55">
        <f>BK55/1000*(B55*195.08+C55*106.42+D55*102.91)</f>
        <v>4.999938342565946E-2</v>
      </c>
      <c r="DQ55">
        <f>SUM(DM55:DO55)-DP55</f>
        <v>4.2998104794078067</v>
      </c>
      <c r="DR55">
        <f>DQ55*60*7200*0.33</f>
        <v>612980.98194437695</v>
      </c>
      <c r="DS55">
        <v>1.2</v>
      </c>
      <c r="DT55">
        <f>BM55/60*(AM55*4+AN55*2+AO55*3)*96485/DV55</f>
        <v>1405.7380096269114</v>
      </c>
      <c r="DU55">
        <f>BN55*BA55*(AP55*4+AQ55*2+AR55*3)*96485/DV55/60</f>
        <v>706.0125123327706</v>
      </c>
      <c r="DV55">
        <v>0.7</v>
      </c>
      <c r="DW55">
        <f>0.499*((BK55/3.78541*15)^(-0.146))*BK55/3.78541*15*300*(1+(A55-2)/9)</f>
        <v>41280.414286181804</v>
      </c>
      <c r="DX55">
        <f>0.248*((BK55/3.78541*15)^(-0.144))*BK55/3.78541*15*300*(1+(A55-2)/3)</f>
        <v>37373.489075065132</v>
      </c>
      <c r="DY55">
        <f>0.105*((BK55/3.78541*15)^(-0.144))*BK55/3.78541*15*300*(1+(A55-2)/3)</f>
        <v>15823.453035813865</v>
      </c>
      <c r="DZ55">
        <f>0.058*((BK55/3.78541*15)^(-0.151))*BK55/3.78541*15*300*(1+(A55-2)/3)</f>
        <v>8382.1245272768647</v>
      </c>
      <c r="EA55">
        <f>0.056*((BK55/3.78541*15)^(-0.144))*BK55/3.78541*15*300*(1+(A55-2)/3)</f>
        <v>8439.174952434063</v>
      </c>
      <c r="EB55">
        <f>DS55*DT55/(3.6*10^6)*3600*7200*0.07</f>
        <v>850.19034822235619</v>
      </c>
      <c r="EC55">
        <f>0.499*((BM55/3.78541*15)^(-0.146))*BM55/3.78541*15*300*(1+(AF55-2)/9)</f>
        <v>35999.794597843313</v>
      </c>
      <c r="ED55">
        <f>0.248*((BM55/3.78541*15)^(-0.144))*BM55/3.78541*15*300*(1+(AF55-2)/3)</f>
        <v>31035.680980849509</v>
      </c>
      <c r="EE55">
        <f>0.105*((BM55/3.78541*15)^(-0.144))*BM55/3.78541*15*300*(1+(AF55-2)/3)</f>
        <v>13140.106866891929</v>
      </c>
      <c r="EF55">
        <f>0.058*((BM55/3.78541*15)^(-0.151))*BM55/3.78541*15*300*(1+(AF55-2)/3)</f>
        <v>6964.5552718403605</v>
      </c>
      <c r="EG55">
        <f>0.056*((BM55/3.78541*15)^(-0.144))*BM55/3.78541*15*300*(1+(AF55-2)/3)</f>
        <v>7008.0569956756972</v>
      </c>
      <c r="EH55">
        <f>DS55*DU55/(3.6*10^6)*3600*7200*0.07</f>
        <v>426.99636745885965</v>
      </c>
      <c r="EI55">
        <f>SUM(DW55:EH55)</f>
        <v>206724.03730555376</v>
      </c>
      <c r="EJ55">
        <f>EI55+DR55+DL55</f>
        <v>36483282.755161725</v>
      </c>
      <c r="EK55">
        <f>EJ55+DF55</f>
        <v>37194324.082070574</v>
      </c>
      <c r="EL55">
        <f>EK55/(BK55*60*7200)</f>
        <v>0.86097972412200408</v>
      </c>
      <c r="EM55">
        <f>EK55/(BM55*(AM55*195.084/1000+AN55*106.42/1000+AO55*102.911/1000)*60*7200)</f>
        <v>2880.7181126354303</v>
      </c>
      <c r="EN55">
        <f>EK55/(BN55*BA55*(AP55*195.084/1000+AQ55*106.42/1000+AR55*102.911/1000)*60*7200)</f>
        <v>5284.7374346289134</v>
      </c>
    </row>
    <row r="56" spans="1:144">
      <c r="A56">
        <f>'Costing 100 Lmin Feed Orig'!A56</f>
        <v>8</v>
      </c>
      <c r="B56">
        <f>'Costing 100 Lmin Feed Orig'!B56</f>
        <v>1.54143585092054E-3</v>
      </c>
      <c r="C56">
        <f>'Costing 100 Lmin Feed Orig'!C56</f>
        <v>1.54143585092054E-3</v>
      </c>
      <c r="D56">
        <f>'Costing 100 Lmin Feed Orig'!D56</f>
        <v>3.4254130020456501E-4</v>
      </c>
      <c r="E56">
        <f>'Costing 100 Lmin Feed Orig'!E56</f>
        <v>0</v>
      </c>
      <c r="F56">
        <f>'Costing 100 Lmin Feed Orig'!F56</f>
        <v>0</v>
      </c>
      <c r="G56">
        <f>'Costing 100 Lmin Feed Orig'!G56</f>
        <v>0</v>
      </c>
      <c r="H56">
        <f>'Costing 100 Lmin Feed Orig'!H56</f>
        <v>1.7762434284205799E-5</v>
      </c>
      <c r="I56">
        <f>'Costing 100 Lmin Feed Orig'!I56</f>
        <v>4.4591984978445998E-9</v>
      </c>
      <c r="J56">
        <f>'Costing 100 Lmin Feed Orig'!J56</f>
        <v>3.37570976171142E-4</v>
      </c>
      <c r="K56">
        <f>'Costing 100 Lmin Feed Orig'!K56</f>
        <v>0.13846015972746001</v>
      </c>
      <c r="L56">
        <f>'Costing 100 Lmin Feed Orig'!L56</f>
        <v>0.14007387303476199</v>
      </c>
      <c r="M56">
        <f>'Costing 100 Lmin Feed Orig'!M56</f>
        <v>4.5166625081916902E-4</v>
      </c>
      <c r="N56">
        <f>'Costing 100 Lmin Feed Orig'!N56</f>
        <v>-2.6107588313450902E-16</v>
      </c>
      <c r="O56">
        <f>'Costing 100 Lmin Feed Orig'!O56</f>
        <v>-1.18524981496115E-14</v>
      </c>
      <c r="P56">
        <f>'Costing 100 Lmin Feed Orig'!P56</f>
        <v>-2.5241581828178102E-19</v>
      </c>
      <c r="Q56">
        <f>'Costing 100 Lmin Feed Orig'!Q56</f>
        <v>0.110044175857931</v>
      </c>
      <c r="R56">
        <f>'Costing 100 Lmin Feed Orig'!R56</f>
        <v>98.548985471108097</v>
      </c>
      <c r="S56">
        <f>'Costing 100 Lmin Feed Orig'!S56</f>
        <v>500</v>
      </c>
      <c r="T56">
        <f>'Costing 100 Lmin Feed Orig'!T56</f>
        <v>95</v>
      </c>
      <c r="U56">
        <f>'Costing 100 Lmin Feed Orig'!U56</f>
        <v>1</v>
      </c>
      <c r="V56">
        <f>'Costing 100 Lmin Feed Orig'!V56</f>
        <v>0.1</v>
      </c>
      <c r="W56">
        <f>'Costing 100 Lmin Feed Orig'!W56</f>
        <v>90.872596591664205</v>
      </c>
      <c r="X56" t="str">
        <f>'Costing 100 Lmin Feed Orig'!X56</f>
        <v>ddFc</v>
      </c>
      <c r="Y56">
        <f>'Costing 100 Lmin Feed Orig'!Y56</f>
        <v>1</v>
      </c>
      <c r="Z56">
        <f>'Costing 100 Lmin Feed Orig'!Z56</f>
        <v>0.28318429382522198</v>
      </c>
      <c r="AA56">
        <f>'Costing 100 Lmin Feed Orig'!AA56</f>
        <v>0.56945642916197003</v>
      </c>
      <c r="AB56">
        <f>'Costing 100 Lmin Feed Orig'!AB56</f>
        <v>3.7698628972227502E-3</v>
      </c>
      <c r="AC56">
        <f>'Costing 100 Lmin Feed Orig'!AC56</f>
        <v>1822.2107908876901</v>
      </c>
      <c r="AD56">
        <f>'Costing 100 Lmin Feed Orig'!AD56</f>
        <v>2662.6059073104898</v>
      </c>
      <c r="AE56">
        <f>'Costing 100 Lmin Feed Orig'!AE56</f>
        <v>2401.5030938442701</v>
      </c>
      <c r="AF56">
        <f>'Costing 100 Lmin Feed Orig'!AF56</f>
        <v>8</v>
      </c>
      <c r="AG56">
        <f>'Costing 100 Lmin Feed Orig'!AG56</f>
        <v>1.6497294784823999E-3</v>
      </c>
      <c r="AH56">
        <f>'Costing 100 Lmin Feed Orig'!AH56</f>
        <v>1.66895660069658E-3</v>
      </c>
      <c r="AI56">
        <f>'Costing 100 Lmin Feed Orig'!AI56</f>
        <v>5.38152729188446E-6</v>
      </c>
      <c r="AJ56">
        <f>'Costing 100 Lmin Feed Orig'!AJ56</f>
        <v>0</v>
      </c>
      <c r="AK56">
        <f>'Costing 100 Lmin Feed Orig'!AK56</f>
        <v>0</v>
      </c>
      <c r="AL56">
        <f>'Costing 100 Lmin Feed Orig'!AL56</f>
        <v>0</v>
      </c>
      <c r="AM56">
        <f>'Costing 100 Lmin Feed Orig'!AM56</f>
        <v>1.6127265357375701E-3</v>
      </c>
      <c r="AN56">
        <f>'Costing 100 Lmin Feed Orig'!AN56</f>
        <v>7.9534259850848901E-5</v>
      </c>
      <c r="AO56">
        <f>'Costing 100 Lmin Feed Orig'!AO56</f>
        <v>5.3460841353395197E-6</v>
      </c>
      <c r="AP56">
        <f>'Costing 100 Lmin Feed Orig'!AP56</f>
        <v>1.7350722139013899E-3</v>
      </c>
      <c r="AQ56">
        <f>'Costing 100 Lmin Feed Orig'!AQ56</f>
        <v>7.4528195270851597E-2</v>
      </c>
      <c r="AR56">
        <f>'Costing 100 Lmin Feed Orig'!AR56</f>
        <v>1.6619336609946501E-6</v>
      </c>
      <c r="AS56">
        <f>'Costing 100 Lmin Feed Orig'!AS56</f>
        <v>5.2535422843599799E-15</v>
      </c>
      <c r="AT56">
        <f>'Costing 100 Lmin Feed Orig'!AT56</f>
        <v>-1.2261545945246801E-12</v>
      </c>
      <c r="AU56">
        <f>'Costing 100 Lmin Feed Orig'!AU56</f>
        <v>2.5556572205438301E-20</v>
      </c>
      <c r="AV56">
        <f>'Costing 100 Lmin Feed Orig'!AV56</f>
        <v>0.19696899297954801</v>
      </c>
      <c r="AW56">
        <f>'Costing 100 Lmin Feed Orig'!AW56</f>
        <v>99.341392236393602</v>
      </c>
      <c r="AX56">
        <f>'Costing 100 Lmin Feed Orig'!AX56</f>
        <v>499.99999999999898</v>
      </c>
      <c r="AY56">
        <f>'Costing 100 Lmin Feed Orig'!AY56</f>
        <v>95</v>
      </c>
      <c r="AZ56">
        <f>'Costing 100 Lmin Feed Orig'!AZ56</f>
        <v>0.92358985913147196</v>
      </c>
      <c r="BA56">
        <f>'Costing 100 Lmin Feed Orig'!BA56</f>
        <v>0.1</v>
      </c>
      <c r="BB56">
        <f>'Costing 100 Lmin Feed Orig'!BB56</f>
        <v>46.890114284504001</v>
      </c>
      <c r="BC56" t="str">
        <f>'Costing 100 Lmin Feed Orig'!BC56</f>
        <v>coeFc</v>
      </c>
      <c r="BD56">
        <f>'Costing 100 Lmin Feed Orig'!BD56</f>
        <v>1</v>
      </c>
      <c r="BE56">
        <f>'Costing 100 Lmin Feed Orig'!BE56</f>
        <v>1.8775014999999999E-2</v>
      </c>
      <c r="BF56">
        <f>'Costing 100 Lmin Feed Orig'!BF56</f>
        <v>0.10492961100000001</v>
      </c>
      <c r="BG56">
        <f>'Costing 100 Lmin Feed Orig'!BG56</f>
        <v>1.814625E-3</v>
      </c>
      <c r="BH56">
        <f>'Costing 100 Lmin Feed Orig'!BH56</f>
        <v>285.1951444</v>
      </c>
      <c r="BI56">
        <f>'Costing 100 Lmin Feed Orig'!BI56</f>
        <v>2169.8944889999998</v>
      </c>
      <c r="BJ56">
        <f>'Costing 100 Lmin Feed Orig'!BJ56</f>
        <v>866.49409060000005</v>
      </c>
      <c r="BK56">
        <f>'Costing 100 Lmin Feed Orig'!BK56</f>
        <v>100</v>
      </c>
      <c r="BL56">
        <f>'Costing 100 Lmin Feed Orig'!BL56</f>
        <v>11.004417585793099</v>
      </c>
      <c r="BM56">
        <f>'Costing 100 Lmin Feed Orig'!BM56</f>
        <v>92.358985913147194</v>
      </c>
      <c r="BN56">
        <f>'Costing 100 Lmin Feed Orig'!BN56</f>
        <v>19.696899297954801</v>
      </c>
      <c r="BO56">
        <f t="shared" si="1"/>
        <v>220.08835171586199</v>
      </c>
      <c r="BP56">
        <f t="shared" si="2"/>
        <v>393.93798595909601</v>
      </c>
      <c r="BQ56">
        <f t="shared" si="3"/>
        <v>22.008835171586199</v>
      </c>
      <c r="BR56">
        <f t="shared" si="4"/>
        <v>39.393798595909601</v>
      </c>
      <c r="BS56">
        <f>1.2*0.5*BL56*V56/'Oxidant Feed Composition'!$N$22</f>
        <v>6.6026505514758593</v>
      </c>
      <c r="BT56">
        <f>1.2*0.5*BN56*BA56/'Oxidant Feed Composition'!$N$22</f>
        <v>11.818139578772881</v>
      </c>
      <c r="BU56">
        <f t="shared" si="5"/>
        <v>5.5022087928965497</v>
      </c>
      <c r="BV56">
        <f t="shared" si="6"/>
        <v>9.8484496489774003</v>
      </c>
      <c r="BW56">
        <f t="shared" si="7"/>
        <v>86.856777120250641</v>
      </c>
      <c r="BX56">
        <f t="shared" si="0"/>
        <v>35.214136274537921</v>
      </c>
      <c r="BY56">
        <f t="shared" si="8"/>
        <v>206.7268069978806</v>
      </c>
      <c r="BZ56">
        <f t="shared" si="9"/>
        <v>63.030077753455359</v>
      </c>
      <c r="CA56">
        <f t="shared" si="10"/>
        <v>59.090697893864402</v>
      </c>
      <c r="CB56">
        <f>BO56*'Reagent cost'!$G$11*'Reagent cost'!$H$11</f>
        <v>2905.1662426493785</v>
      </c>
      <c r="CC56">
        <f>BP56*'Reagent cost'!$G$11*'Reagent cost'!$H$11</f>
        <v>5199.9814146600684</v>
      </c>
      <c r="CD56">
        <f>BQ56*'Reagent cost'!$C$18/1000*'Reagent cost'!$H$18</f>
        <v>3509.9789962792502</v>
      </c>
      <c r="CE56">
        <f>BR56*'Ligand cost'!$B$56*'Ligand cost'!$J$56</f>
        <v>40107.918816787671</v>
      </c>
      <c r="CF56">
        <f t="shared" si="11"/>
        <v>10</v>
      </c>
      <c r="CG56">
        <f t="shared" si="12"/>
        <v>2.2008835171586201</v>
      </c>
      <c r="CH56">
        <f t="shared" si="12"/>
        <v>3.9393798595909604</v>
      </c>
      <c r="CI56">
        <f>7963.6*(BX56/1000)^0.6*1.7*('CAPEX+OPEX'!$G$116/'CAPEX+OPEX'!$G$115)</f>
        <v>2144.228934815284</v>
      </c>
      <c r="CJ56">
        <f>7963.6*(BY56/1000)^0.6*1.7*('CAPEX+OPEX'!$G$116/'CAPEX+OPEX'!$G$115)</f>
        <v>6201.2466571653367</v>
      </c>
      <c r="CK56">
        <f>7963.6*(BZ56/1000)^0.6*1.7*('CAPEX+OPEX'!$G$116/'CAPEX+OPEX'!$G$115)</f>
        <v>3040.6724106131192</v>
      </c>
      <c r="CL56">
        <f>7963.6*(CA56/1000)^0.6*1.7*('CAPEX+OPEX'!$G$116/'CAPEX+OPEX'!$G$115)</f>
        <v>2925.1786799453498</v>
      </c>
      <c r="CM56">
        <f>'Costing 100 Lmin Feed Orig'!DE56</f>
        <v>39625.826528698344</v>
      </c>
      <c r="CN56">
        <f>'Costing 100 Lmin Feed Orig'!DF56</f>
        <v>4586243.4239371875</v>
      </c>
      <c r="CO56">
        <f>'Costing 100 Lmin Feed Orig'!DG56</f>
        <v>11794834.586807497</v>
      </c>
      <c r="CP56">
        <f>'Costing 100 Lmin Feed Orig'!DH56</f>
        <v>2275209.1661185985</v>
      </c>
      <c r="CQ56">
        <f>'Costing 100 Lmin Feed Orig'!DI56</f>
        <v>14083914.336508472</v>
      </c>
      <c r="CR56">
        <f>'Costing 100 Lmin Feed Orig'!DJ56</f>
        <v>1662824.8986326549</v>
      </c>
      <c r="CS56">
        <f>CN56*(BK56/10000)^0.72*((A56+1)/3)^0.6*('CAPEX+OPEX'!$G$116/'CAPEX+OPEX'!$G$114)</f>
        <v>751295.09040276916</v>
      </c>
      <c r="CT56">
        <f>CO56*(BK56/10000)^0.72*((A56+1)/3)^0.6*('CAPEX+OPEX'!$G$116/'CAPEX+OPEX'!$G$114)</f>
        <v>1932169.8606163235</v>
      </c>
      <c r="CU56">
        <f>CP56*(BK56/10000)^0.72*((A56+1)/3)^0.6*('CAPEX+OPEX'!$G$116/'CAPEX+OPEX'!$G$114)</f>
        <v>372713.20297186484</v>
      </c>
      <c r="CV56">
        <f>CQ56*(BK56/10000)^0.72*((A56+1)/3)^0.6*('CAPEX+OPEX'!$G$116/'CAPEX+OPEX'!$G$114)</f>
        <v>2307155.2721002945</v>
      </c>
      <c r="CW56">
        <f>CR56*(BK56/10000)^0.72*((A56+1)/3)^0.6*('CAPEX+OPEX'!$G$116/'CAPEX+OPEX'!$G$114)</f>
        <v>272395.52441150707</v>
      </c>
      <c r="CX56">
        <f t="shared" si="13"/>
        <v>5635728.9505027588</v>
      </c>
      <c r="CY56">
        <f>CN56*(BM56/10000)^0.72*((AF56+1)/3)^0.6*('CAPEX+OPEX'!$G$116/'CAPEX+OPEX'!$G$114)</f>
        <v>709505.13497417013</v>
      </c>
      <c r="CZ56">
        <f>CO56*(BM56/10000)^0.72*((AF56+1)/3)^0.6*('CAPEX+OPEX'!$G$116/'CAPEX+OPEX'!$G$114)</f>
        <v>1824695.0569245399</v>
      </c>
      <c r="DA56">
        <f>CP56*(BM56/10000)^0.72*((AF56+1)/3)^0.6*('CAPEX+OPEX'!$G$116/'CAPEX+OPEX'!$G$114)</f>
        <v>351981.44478681608</v>
      </c>
      <c r="DB56">
        <f>CQ56*(BM56/10000)^0.72*((AF56+1)/3)^0.6*('CAPEX+OPEX'!$G$116/'CAPEX+OPEX'!$G$114)</f>
        <v>2178822.3211472412</v>
      </c>
      <c r="DC56">
        <f>CR56*(BM56/10000)^0.72*((AF56+1)/3)^0.6*('CAPEX+OPEX'!$G$116/'CAPEX+OPEX'!$G$114)</f>
        <v>257243.82573874708</v>
      </c>
      <c r="DD56">
        <f t="shared" si="14"/>
        <v>5322247.7835715134</v>
      </c>
      <c r="DE56">
        <f>CX56+DD56+1.15*(SUM(CI56:CL56)+SUM(CB56:CE56))</f>
        <v>11033916.262050126</v>
      </c>
      <c r="DF56">
        <f t="shared" si="15"/>
        <v>735594.41747000837</v>
      </c>
      <c r="DG56">
        <f>(BS56+BT56)*'Oxidant Feed Composition'!$N$28*60*7200</f>
        <v>20480878.481212109</v>
      </c>
      <c r="DH56">
        <f>((CG56+CH56)*'Reagent cost'!$C$17/1000*'Reagent cost'!$H$17+(CG56+CH56)*0.5*'Reagent cost'!$C$16/1000*'Reagent cost'!$H$16*1.5)*60*7200</f>
        <v>8713253.3074260075</v>
      </c>
      <c r="DI56">
        <f>CF56*'Reagent cost'!$C$17/1000*'Reagent cost'!$H$17*60*7200</f>
        <v>504921.59999999998</v>
      </c>
      <c r="DJ56">
        <f t="shared" si="16"/>
        <v>81.051476573094476</v>
      </c>
      <c r="DK56">
        <f t="shared" si="17"/>
        <v>872.35795626133847</v>
      </c>
      <c r="DL56">
        <f t="shared" si="18"/>
        <v>35640008.157685138</v>
      </c>
      <c r="DM56">
        <f>BK56*(B56*(409.81+2)/1000+C56*(248.2+2*22.99)/1000+D56*(315.6+3*22.99)/1000+0.1*58.44/1000)</f>
        <v>0.70639694042110623</v>
      </c>
      <c r="DN56">
        <f>(BS56+BT56)/1000*('Oxidant Feed Composition'!$B$11*'Oxidant Feed Composition'!$O$20+'Oxidant Feed Composition'!$D$11*'Oxidant Feed Composition'!$O$21+'Oxidant Feed Composition'!$F$11*'Oxidant Feed Composition'!$O$27-'Oxidant Feed Composition'!$J$15*18.015)</f>
        <v>2.1512635017976391</v>
      </c>
      <c r="DO56">
        <f>(BU56+BV56)/1000*(0.2*368.34+0.4*58.44)</f>
        <v>1.4896892978332157</v>
      </c>
      <c r="DP56">
        <f>BK56/1000*(B56*195.08+C56*106.42+D56*102.91)</f>
        <v>4.999938342565946E-2</v>
      </c>
      <c r="DQ56">
        <f>SUM(DM56:DO56)-DP56</f>
        <v>4.2973503566263007</v>
      </c>
      <c r="DR56">
        <f>DQ56*60*7200*0.33</f>
        <v>612630.26684064558</v>
      </c>
      <c r="DS56">
        <v>1.2</v>
      </c>
      <c r="DT56">
        <f>BM56/60*(AM56*4+AN56*2+AO56*3)*96485/DV56</f>
        <v>1405.8595798458919</v>
      </c>
      <c r="DU56">
        <f>BN56*BA56*(AP56*4+AQ56*2+AR56*3)*96485/DV56/60</f>
        <v>705.89094267147937</v>
      </c>
      <c r="DV56">
        <v>0.7</v>
      </c>
      <c r="DW56">
        <f>0.499*((BK56/3.78541*15)^(-0.146))*BK56/3.78541*15*300*(1+(A56-2)/9)</f>
        <v>41280.414286181804</v>
      </c>
      <c r="DX56">
        <f>0.248*((BK56/3.78541*15)^(-0.144))*BK56/3.78541*15*300*(1+(A56-2)/3)</f>
        <v>37373.489075065132</v>
      </c>
      <c r="DY56">
        <f>0.105*((BK56/3.78541*15)^(-0.144))*BK56/3.78541*15*300*(1+(A56-2)/3)</f>
        <v>15823.453035813865</v>
      </c>
      <c r="DZ56">
        <f>0.058*((BK56/3.78541*15)^(-0.151))*BK56/3.78541*15*300*(1+(A56-2)/3)</f>
        <v>8382.1245272768647</v>
      </c>
      <c r="EA56">
        <f>0.056*((BK56/3.78541*15)^(-0.144))*BK56/3.78541*15*300*(1+(A56-2)/3)</f>
        <v>8439.174952434063</v>
      </c>
      <c r="EB56">
        <f>DS56*DT56/(3.6*10^6)*3600*7200*0.07</f>
        <v>850.26387389079548</v>
      </c>
      <c r="EC56">
        <f>0.499*((BM56/3.78541*15)^(-0.146))*BM56/3.78541*15*300*(1+(AF56-2)/9)</f>
        <v>38571.208497689258</v>
      </c>
      <c r="ED56">
        <f>0.248*((BM56/3.78541*15)^(-0.144))*BM56/3.78541*15*300*(1+(AF56-2)/3)</f>
        <v>34915.141103455695</v>
      </c>
      <c r="EE56">
        <f>0.105*((BM56/3.78541*15)^(-0.144))*BM56/3.78541*15*300*(1+(AF56-2)/3)</f>
        <v>14782.620225253419</v>
      </c>
      <c r="EF56">
        <f>0.058*((BM56/3.78541*15)^(-0.151))*BM56/3.78541*15*300*(1+(AF56-2)/3)</f>
        <v>7835.124680820405</v>
      </c>
      <c r="EG56">
        <f>0.056*((BM56/3.78541*15)^(-0.144))*BM56/3.78541*15*300*(1+(AF56-2)/3)</f>
        <v>7884.0641201351591</v>
      </c>
      <c r="EH56">
        <f>DS56*DU56/(3.6*10^6)*3600*7200*0.07</f>
        <v>426.92284212771074</v>
      </c>
      <c r="EI56">
        <f>SUM(DW56:EH56)</f>
        <v>216564.00122014419</v>
      </c>
      <c r="EJ56">
        <f>EI56+DR56+DL56</f>
        <v>36469202.425745927</v>
      </c>
      <c r="EK56">
        <f>EJ56+DF56</f>
        <v>37204796.843215935</v>
      </c>
      <c r="EL56">
        <f>EK56/(BK56*60*7200)</f>
        <v>0.86122214914851702</v>
      </c>
      <c r="EM56">
        <f>EK56/(BM56*(AM56*195.084/1000+AN56*106.42/1000+AO56*102.911/1000)*60*7200)</f>
        <v>2881.2798998852722</v>
      </c>
      <c r="EN56">
        <f>EK56/(BN56*BA56*(AP56*195.084/1000+AQ56*106.42/1000+AR56*102.911/1000)*60*7200)</f>
        <v>5287.0647756774169</v>
      </c>
    </row>
    <row r="57" spans="1:144">
      <c r="A57">
        <f>'Costing 100 Lmin Feed Orig'!A57</f>
        <v>8</v>
      </c>
      <c r="B57">
        <f>'Costing 100 Lmin Feed Orig'!B57</f>
        <v>1.54143585092054E-3</v>
      </c>
      <c r="C57">
        <f>'Costing 100 Lmin Feed Orig'!C57</f>
        <v>1.54143585092054E-3</v>
      </c>
      <c r="D57">
        <f>'Costing 100 Lmin Feed Orig'!D57</f>
        <v>3.4254130020456501E-4</v>
      </c>
      <c r="E57">
        <f>'Costing 100 Lmin Feed Orig'!E57</f>
        <v>0</v>
      </c>
      <c r="F57">
        <f>'Costing 100 Lmin Feed Orig'!F57</f>
        <v>0</v>
      </c>
      <c r="G57">
        <f>'Costing 100 Lmin Feed Orig'!G57</f>
        <v>0</v>
      </c>
      <c r="H57">
        <f>'Costing 100 Lmin Feed Orig'!H57</f>
        <v>1.7762434284205799E-5</v>
      </c>
      <c r="I57">
        <f>'Costing 100 Lmin Feed Orig'!I57</f>
        <v>4.4591984978445998E-9</v>
      </c>
      <c r="J57">
        <f>'Costing 100 Lmin Feed Orig'!J57</f>
        <v>3.37570976171142E-4</v>
      </c>
      <c r="K57">
        <f>'Costing 100 Lmin Feed Orig'!K57</f>
        <v>0.13846015972746001</v>
      </c>
      <c r="L57">
        <f>'Costing 100 Lmin Feed Orig'!L57</f>
        <v>0.14007387303476199</v>
      </c>
      <c r="M57">
        <f>'Costing 100 Lmin Feed Orig'!M57</f>
        <v>4.5166625081916902E-4</v>
      </c>
      <c r="N57">
        <f>'Costing 100 Lmin Feed Orig'!N57</f>
        <v>-2.6107588313450902E-16</v>
      </c>
      <c r="O57">
        <f>'Costing 100 Lmin Feed Orig'!O57</f>
        <v>-1.18524981496115E-14</v>
      </c>
      <c r="P57">
        <f>'Costing 100 Lmin Feed Orig'!P57</f>
        <v>-2.5241581828178102E-19</v>
      </c>
      <c r="Q57">
        <f>'Costing 100 Lmin Feed Orig'!Q57</f>
        <v>0.110044175857931</v>
      </c>
      <c r="R57">
        <f>'Costing 100 Lmin Feed Orig'!R57</f>
        <v>98.548985471108097</v>
      </c>
      <c r="S57">
        <f>'Costing 100 Lmin Feed Orig'!S57</f>
        <v>500</v>
      </c>
      <c r="T57">
        <f>'Costing 100 Lmin Feed Orig'!T57</f>
        <v>95</v>
      </c>
      <c r="U57">
        <f>'Costing 100 Lmin Feed Orig'!U57</f>
        <v>1</v>
      </c>
      <c r="V57">
        <f>'Costing 100 Lmin Feed Orig'!V57</f>
        <v>0.1</v>
      </c>
      <c r="W57">
        <f>'Costing 100 Lmin Feed Orig'!W57</f>
        <v>90.872596591664205</v>
      </c>
      <c r="X57" t="str">
        <f>'Costing 100 Lmin Feed Orig'!X57</f>
        <v>ddFc</v>
      </c>
      <c r="Y57">
        <f>'Costing 100 Lmin Feed Orig'!Y57</f>
        <v>1</v>
      </c>
      <c r="Z57">
        <f>'Costing 100 Lmin Feed Orig'!Z57</f>
        <v>0.28318429382522198</v>
      </c>
      <c r="AA57">
        <f>'Costing 100 Lmin Feed Orig'!AA57</f>
        <v>0.56945642916197003</v>
      </c>
      <c r="AB57">
        <f>'Costing 100 Lmin Feed Orig'!AB57</f>
        <v>3.7698628972227502E-3</v>
      </c>
      <c r="AC57">
        <f>'Costing 100 Lmin Feed Orig'!AC57</f>
        <v>1822.2107908876901</v>
      </c>
      <c r="AD57">
        <f>'Costing 100 Lmin Feed Orig'!AD57</f>
        <v>2662.6059073104898</v>
      </c>
      <c r="AE57">
        <f>'Costing 100 Lmin Feed Orig'!AE57</f>
        <v>2401.5030938442701</v>
      </c>
      <c r="AF57">
        <f>'Costing 100 Lmin Feed Orig'!AF57</f>
        <v>9</v>
      </c>
      <c r="AG57">
        <f>'Costing 100 Lmin Feed Orig'!AG57</f>
        <v>1.6497294784823999E-3</v>
      </c>
      <c r="AH57">
        <f>'Costing 100 Lmin Feed Orig'!AH57</f>
        <v>1.66895660069658E-3</v>
      </c>
      <c r="AI57">
        <f>'Costing 100 Lmin Feed Orig'!AI57</f>
        <v>5.38152729188446E-6</v>
      </c>
      <c r="AJ57">
        <f>'Costing 100 Lmin Feed Orig'!AJ57</f>
        <v>0</v>
      </c>
      <c r="AK57">
        <f>'Costing 100 Lmin Feed Orig'!AK57</f>
        <v>0</v>
      </c>
      <c r="AL57">
        <f>'Costing 100 Lmin Feed Orig'!AL57</f>
        <v>0</v>
      </c>
      <c r="AM57">
        <f>'Costing 100 Lmin Feed Orig'!AM57</f>
        <v>1.61276595302466E-3</v>
      </c>
      <c r="AN57">
        <f>'Costing 100 Lmin Feed Orig'!AN57</f>
        <v>7.9536298223616001E-5</v>
      </c>
      <c r="AO57">
        <f>'Costing 100 Lmin Feed Orig'!AO57</f>
        <v>5.3461203241357404E-6</v>
      </c>
      <c r="AP57">
        <f>'Costing 100 Lmin Feed Orig'!AP57</f>
        <v>1.7337397232919901E-3</v>
      </c>
      <c r="AQ57">
        <f>'Costing 100 Lmin Feed Orig'!AQ57</f>
        <v>7.4550278451312305E-2</v>
      </c>
      <c r="AR57">
        <f>'Costing 100 Lmin Feed Orig'!AR57</f>
        <v>1.66073083417147E-6</v>
      </c>
      <c r="AS57">
        <f>'Costing 100 Lmin Feed Orig'!AS57</f>
        <v>3.9512392923518602E-17</v>
      </c>
      <c r="AT57">
        <f>'Costing 100 Lmin Feed Orig'!AT57</f>
        <v>-5.1148321689176102E-15</v>
      </c>
      <c r="AU57">
        <f>'Costing 100 Lmin Feed Orig'!AU57</f>
        <v>-1.7734752333136898E-21</v>
      </c>
      <c r="AV57">
        <f>'Costing 100 Lmin Feed Orig'!AV57</f>
        <v>0.19691039440255501</v>
      </c>
      <c r="AW57">
        <f>'Costing 100 Lmin Feed Orig'!AW57</f>
        <v>99.342064699697403</v>
      </c>
      <c r="AX57">
        <f>'Costing 100 Lmin Feed Orig'!AX57</f>
        <v>499.99999999999898</v>
      </c>
      <c r="AY57">
        <f>'Costing 100 Lmin Feed Orig'!AY57</f>
        <v>95</v>
      </c>
      <c r="AZ57">
        <f>'Costing 100 Lmin Feed Orig'!AZ57</f>
        <v>0.92358985913147196</v>
      </c>
      <c r="BA57">
        <f>'Costing 100 Lmin Feed Orig'!BA57</f>
        <v>0.1</v>
      </c>
      <c r="BB57">
        <f>'Costing 100 Lmin Feed Orig'!BB57</f>
        <v>46.904068316643603</v>
      </c>
      <c r="BC57" t="str">
        <f>'Costing 100 Lmin Feed Orig'!BC57</f>
        <v>coeFc</v>
      </c>
      <c r="BD57">
        <f>'Costing 100 Lmin Feed Orig'!BD57</f>
        <v>1</v>
      </c>
      <c r="BE57">
        <f>'Costing 100 Lmin Feed Orig'!BE57</f>
        <v>1.8775014999999999E-2</v>
      </c>
      <c r="BF57">
        <f>'Costing 100 Lmin Feed Orig'!BF57</f>
        <v>0.10492961100000001</v>
      </c>
      <c r="BG57">
        <f>'Costing 100 Lmin Feed Orig'!BG57</f>
        <v>1.814625E-3</v>
      </c>
      <c r="BH57">
        <f>'Costing 100 Lmin Feed Orig'!BH57</f>
        <v>285.1951444</v>
      </c>
      <c r="BI57">
        <f>'Costing 100 Lmin Feed Orig'!BI57</f>
        <v>2169.8944889999998</v>
      </c>
      <c r="BJ57">
        <f>'Costing 100 Lmin Feed Orig'!BJ57</f>
        <v>866.49409060000005</v>
      </c>
      <c r="BK57">
        <f>'Costing 100 Lmin Feed Orig'!BK57</f>
        <v>100</v>
      </c>
      <c r="BL57">
        <f>'Costing 100 Lmin Feed Orig'!BL57</f>
        <v>11.004417585793099</v>
      </c>
      <c r="BM57">
        <f>'Costing 100 Lmin Feed Orig'!BM57</f>
        <v>92.358985913147194</v>
      </c>
      <c r="BN57">
        <f>'Costing 100 Lmin Feed Orig'!BN57</f>
        <v>19.691039440255501</v>
      </c>
      <c r="BO57">
        <f t="shared" si="1"/>
        <v>220.08835171586199</v>
      </c>
      <c r="BP57">
        <f t="shared" si="2"/>
        <v>433.20286768562102</v>
      </c>
      <c r="BQ57">
        <f t="shared" si="3"/>
        <v>22.008835171586199</v>
      </c>
      <c r="BR57">
        <f t="shared" si="4"/>
        <v>43.320286768562106</v>
      </c>
      <c r="BS57">
        <f>1.2*0.5*BL57*V57/'Oxidant Feed Composition'!$N$22</f>
        <v>6.6026505514758593</v>
      </c>
      <c r="BT57">
        <f>1.2*0.5*BN57*BA57/'Oxidant Feed Composition'!$N$22</f>
        <v>11.8146236641533</v>
      </c>
      <c r="BU57">
        <f t="shared" si="5"/>
        <v>5.5022087928965497</v>
      </c>
      <c r="BV57">
        <f t="shared" si="6"/>
        <v>9.8455197201277507</v>
      </c>
      <c r="BW57">
        <f t="shared" si="7"/>
        <v>86.856777120250641</v>
      </c>
      <c r="BX57">
        <f t="shared" si="0"/>
        <v>35.214136274537921</v>
      </c>
      <c r="BY57">
        <f t="shared" si="8"/>
        <v>206.7268069978806</v>
      </c>
      <c r="BZ57">
        <f t="shared" si="9"/>
        <v>63.011326208817607</v>
      </c>
      <c r="CA57">
        <f t="shared" si="10"/>
        <v>59.073118320766504</v>
      </c>
      <c r="CB57">
        <f>BO57*'Reagent cost'!$G$11*'Reagent cost'!$H$11</f>
        <v>2905.1662426493785</v>
      </c>
      <c r="CC57">
        <f>BP57*'Reagent cost'!$G$11*'Reagent cost'!$H$11</f>
        <v>5718.2778534501977</v>
      </c>
      <c r="CD57">
        <f>BQ57*'Reagent cost'!$C$18/1000*'Reagent cost'!$H$18</f>
        <v>3509.9789962792502</v>
      </c>
      <c r="CE57">
        <f>BR57*'Ligand cost'!$B$56*'Ligand cost'!$J$56</f>
        <v>44105.585314482967</v>
      </c>
      <c r="CF57">
        <f t="shared" si="11"/>
        <v>10</v>
      </c>
      <c r="CG57">
        <f t="shared" si="12"/>
        <v>2.2008835171586201</v>
      </c>
      <c r="CH57">
        <f t="shared" si="12"/>
        <v>3.9382078880511004</v>
      </c>
      <c r="CI57">
        <f>7963.6*(BX57/1000)^0.6*1.7*('CAPEX+OPEX'!$G$116/'CAPEX+OPEX'!$G$115)</f>
        <v>2144.228934815284</v>
      </c>
      <c r="CJ57">
        <f>7963.6*(BY57/1000)^0.6*1.7*('CAPEX+OPEX'!$G$116/'CAPEX+OPEX'!$G$115)</f>
        <v>6201.2466571653367</v>
      </c>
      <c r="CK57">
        <f>7963.6*(BZ57/1000)^0.6*1.7*('CAPEX+OPEX'!$G$116/'CAPEX+OPEX'!$G$115)</f>
        <v>3040.1296154954202</v>
      </c>
      <c r="CL57">
        <f>7963.6*(CA57/1000)^0.6*1.7*('CAPEX+OPEX'!$G$116/'CAPEX+OPEX'!$G$115)</f>
        <v>2924.6565017914877</v>
      </c>
      <c r="CM57">
        <f>'Costing 100 Lmin Feed Orig'!DE57</f>
        <v>39625.826528698344</v>
      </c>
      <c r="CN57">
        <f>'Costing 100 Lmin Feed Orig'!DF57</f>
        <v>4586243.4239371875</v>
      </c>
      <c r="CO57">
        <f>'Costing 100 Lmin Feed Orig'!DG57</f>
        <v>11794834.586807497</v>
      </c>
      <c r="CP57">
        <f>'Costing 100 Lmin Feed Orig'!DH57</f>
        <v>2275209.1661185985</v>
      </c>
      <c r="CQ57">
        <f>'Costing 100 Lmin Feed Orig'!DI57</f>
        <v>14083914.336508472</v>
      </c>
      <c r="CR57">
        <f>'Costing 100 Lmin Feed Orig'!DJ57</f>
        <v>1662824.8986326549</v>
      </c>
      <c r="CS57">
        <f>CN57*(BK57/10000)^0.72*((A57+1)/3)^0.6*('CAPEX+OPEX'!$G$116/'CAPEX+OPEX'!$G$114)</f>
        <v>751295.09040276916</v>
      </c>
      <c r="CT57">
        <f>CO57*(BK57/10000)^0.72*((A57+1)/3)^0.6*('CAPEX+OPEX'!$G$116/'CAPEX+OPEX'!$G$114)</f>
        <v>1932169.8606163235</v>
      </c>
      <c r="CU57">
        <f>CP57*(BK57/10000)^0.72*((A57+1)/3)^0.6*('CAPEX+OPEX'!$G$116/'CAPEX+OPEX'!$G$114)</f>
        <v>372713.20297186484</v>
      </c>
      <c r="CV57">
        <f>CQ57*(BK57/10000)^0.72*((A57+1)/3)^0.6*('CAPEX+OPEX'!$G$116/'CAPEX+OPEX'!$G$114)</f>
        <v>2307155.2721002945</v>
      </c>
      <c r="CW57">
        <f>CR57*(BK57/10000)^0.72*((A57+1)/3)^0.6*('CAPEX+OPEX'!$G$116/'CAPEX+OPEX'!$G$114)</f>
        <v>272395.52441150707</v>
      </c>
      <c r="CX57">
        <f t="shared" si="13"/>
        <v>5635728.9505027588</v>
      </c>
      <c r="CY57">
        <f>CN57*(BM57/10000)^0.72*((AF57+1)/3)^0.6*('CAPEX+OPEX'!$G$116/'CAPEX+OPEX'!$G$114)</f>
        <v>755805.48146542325</v>
      </c>
      <c r="CZ57">
        <f>CO57*(BM57/10000)^0.72*((AF57+1)/3)^0.6*('CAPEX+OPEX'!$G$116/'CAPEX+OPEX'!$G$114)</f>
        <v>1943769.6191961134</v>
      </c>
      <c r="DA57">
        <f>CP57*(BM57/10000)^0.72*((AF57+1)/3)^0.6*('CAPEX+OPEX'!$G$116/'CAPEX+OPEX'!$G$114)</f>
        <v>374950.78221481753</v>
      </c>
      <c r="DB57">
        <f>CQ57*(BM57/10000)^0.72*((AF57+1)/3)^0.6*('CAPEX+OPEX'!$G$116/'CAPEX+OPEX'!$G$114)</f>
        <v>2321006.2510995818</v>
      </c>
      <c r="DC57">
        <f>CR57*(BM57/10000)^0.72*((AF57+1)/3)^0.6*('CAPEX+OPEX'!$G$116/'CAPEX+OPEX'!$G$114)</f>
        <v>274030.84767463926</v>
      </c>
      <c r="DD57">
        <f t="shared" si="14"/>
        <v>5669562.9816505751</v>
      </c>
      <c r="DE57">
        <f>CX57+DD57+1.15*(SUM(CI57:CL57)+SUM(CB57:CE57))</f>
        <v>11386423.592786882</v>
      </c>
      <c r="DF57">
        <f t="shared" si="15"/>
        <v>759094.90618579218</v>
      </c>
      <c r="DG57">
        <f>(BS57+BT57)*'Oxidant Feed Composition'!$N$28*60*7200</f>
        <v>20476969.364417184</v>
      </c>
      <c r="DH57">
        <f>((CG57+CH57)*'Reagent cost'!$C$17/1000*'Reagent cost'!$H$17+(CG57+CH57)*0.5*'Reagent cost'!$C$16/1000*'Reagent cost'!$H$16*1.5)*60*7200</f>
        <v>8711590.2379012462</v>
      </c>
      <c r="DI57">
        <f>CF57*'Reagent cost'!$C$17/1000*'Reagent cost'!$H$17*60*7200</f>
        <v>504921.59999999998</v>
      </c>
      <c r="DJ57">
        <f t="shared" si="16"/>
        <v>86.234440960995769</v>
      </c>
      <c r="DK57">
        <f t="shared" si="17"/>
        <v>952.31128621524431</v>
      </c>
      <c r="DL57">
        <f t="shared" si="18"/>
        <v>35633423.697654724</v>
      </c>
      <c r="DM57">
        <f>BK57*(B57*(409.81+2)/1000+C57*(248.2+2*22.99)/1000+D57*(315.6+3*22.99)/1000+0.1*58.44/1000)</f>
        <v>0.70639694042110623</v>
      </c>
      <c r="DN57">
        <f>(BS57+BT57)/1000*('Oxidant Feed Composition'!$B$11*'Oxidant Feed Composition'!$O$20+'Oxidant Feed Composition'!$D$11*'Oxidant Feed Composition'!$O$21+'Oxidant Feed Composition'!$F$11*'Oxidant Feed Composition'!$O$27-'Oxidant Feed Composition'!$J$15*18.015)</f>
        <v>2.1508528973261121</v>
      </c>
      <c r="DO57">
        <f>(BU57+BV57)/1000*(0.2*368.34+0.4*58.44)</f>
        <v>1.48940496581793</v>
      </c>
      <c r="DP57">
        <f>BK57/1000*(B57*195.08+C57*106.42+D57*102.91)</f>
        <v>4.999938342565946E-2</v>
      </c>
      <c r="DQ57">
        <f>SUM(DM57:DO57)-DP57</f>
        <v>4.296655420139488</v>
      </c>
      <c r="DR57">
        <f>DQ57*60*7200*0.33</f>
        <v>612531.19669508538</v>
      </c>
      <c r="DS57">
        <v>1.2</v>
      </c>
      <c r="DT57">
        <f>BM57/60*(AM57*4+AN57*2+AO57*3)*96485/DV57</f>
        <v>1405.8939209566693</v>
      </c>
      <c r="DU57">
        <f>BN57*BA57*(AP57*4+AQ57*2+AR57*3)*96485/DV57/60</f>
        <v>705.85660100448581</v>
      </c>
      <c r="DV57">
        <v>0.7</v>
      </c>
      <c r="DW57">
        <f>0.499*((BK57/3.78541*15)^(-0.146))*BK57/3.78541*15*300*(1+(A57-2)/9)</f>
        <v>41280.414286181804</v>
      </c>
      <c r="DX57">
        <f>0.248*((BK57/3.78541*15)^(-0.144))*BK57/3.78541*15*300*(1+(A57-2)/3)</f>
        <v>37373.489075065132</v>
      </c>
      <c r="DY57">
        <f>0.105*((BK57/3.78541*15)^(-0.144))*BK57/3.78541*15*300*(1+(A57-2)/3)</f>
        <v>15823.453035813865</v>
      </c>
      <c r="DZ57">
        <f>0.058*((BK57/3.78541*15)^(-0.151))*BK57/3.78541*15*300*(1+(A57-2)/3)</f>
        <v>8382.1245272768647</v>
      </c>
      <c r="EA57">
        <f>0.056*((BK57/3.78541*15)^(-0.144))*BK57/3.78541*15*300*(1+(A57-2)/3)</f>
        <v>8439.174952434063</v>
      </c>
      <c r="EB57">
        <f>DS57*DT57/(3.6*10^6)*3600*7200*0.07</f>
        <v>850.28464339459367</v>
      </c>
      <c r="EC57">
        <f>0.499*((BM57/3.78541*15)^(-0.146))*BM57/3.78541*15*300*(1+(AF57-2)/9)</f>
        <v>41142.622397535211</v>
      </c>
      <c r="ED57">
        <f>0.248*((BM57/3.78541*15)^(-0.144))*BM57/3.78541*15*300*(1+(AF57-2)/3)</f>
        <v>38794.601226061888</v>
      </c>
      <c r="EE57">
        <f>0.105*((BM57/3.78541*15)^(-0.144))*BM57/3.78541*15*300*(1+(AF57-2)/3)</f>
        <v>16425.133583614912</v>
      </c>
      <c r="EF57">
        <f>0.058*((BM57/3.78541*15)^(-0.151))*BM57/3.78541*15*300*(1+(AF57-2)/3)</f>
        <v>8705.6940898004505</v>
      </c>
      <c r="EG57">
        <f>0.056*((BM57/3.78541*15)^(-0.144))*BM57/3.78541*15*300*(1+(AF57-2)/3)</f>
        <v>8760.071244594621</v>
      </c>
      <c r="EH57">
        <f>DS57*DU57/(3.6*10^6)*3600*7200*0.07</f>
        <v>426.90207228751308</v>
      </c>
      <c r="EI57">
        <f>SUM(DW57:EH57)</f>
        <v>226403.96513406091</v>
      </c>
      <c r="EJ57">
        <f>EI57+DR57+DL57</f>
        <v>36472358.859483868</v>
      </c>
      <c r="EK57">
        <f>EJ57+DF57</f>
        <v>37231453.765669659</v>
      </c>
      <c r="EL57">
        <f>EK57/(BK57*60*7200)</f>
        <v>0.86183920753864951</v>
      </c>
      <c r="EM57">
        <f>EK57/(BM57*(AM57*195.084/1000+AN57*106.42/1000+AO57*102.911/1000)*60*7200)</f>
        <v>2883.2738384197201</v>
      </c>
      <c r="EN57">
        <f>EK57/(BN57*BA57*(AP57*195.084/1000+AQ57*106.42/1000+AR57*102.911/1000)*60*7200)</f>
        <v>5291.0902283543592</v>
      </c>
    </row>
    <row r="58" spans="1:144">
      <c r="A58">
        <f>'Costing 100 Lmin Feed Orig'!A58</f>
        <v>8</v>
      </c>
      <c r="B58">
        <f>'Costing 100 Lmin Feed Orig'!B58</f>
        <v>1.54143585092054E-3</v>
      </c>
      <c r="C58">
        <f>'Costing 100 Lmin Feed Orig'!C58</f>
        <v>1.54143585092054E-3</v>
      </c>
      <c r="D58">
        <f>'Costing 100 Lmin Feed Orig'!D58</f>
        <v>3.4254130020456501E-4</v>
      </c>
      <c r="E58">
        <f>'Costing 100 Lmin Feed Orig'!E58</f>
        <v>0</v>
      </c>
      <c r="F58">
        <f>'Costing 100 Lmin Feed Orig'!F58</f>
        <v>0</v>
      </c>
      <c r="G58">
        <f>'Costing 100 Lmin Feed Orig'!G58</f>
        <v>0</v>
      </c>
      <c r="H58">
        <f>'Costing 100 Lmin Feed Orig'!H58</f>
        <v>1.7762434284205799E-5</v>
      </c>
      <c r="I58">
        <f>'Costing 100 Lmin Feed Orig'!I58</f>
        <v>4.4591984978445998E-9</v>
      </c>
      <c r="J58">
        <f>'Costing 100 Lmin Feed Orig'!J58</f>
        <v>3.37570976171142E-4</v>
      </c>
      <c r="K58">
        <f>'Costing 100 Lmin Feed Orig'!K58</f>
        <v>0.13846015972746001</v>
      </c>
      <c r="L58">
        <f>'Costing 100 Lmin Feed Orig'!L58</f>
        <v>0.14007387303476199</v>
      </c>
      <c r="M58">
        <f>'Costing 100 Lmin Feed Orig'!M58</f>
        <v>4.5166625081916902E-4</v>
      </c>
      <c r="N58">
        <f>'Costing 100 Lmin Feed Orig'!N58</f>
        <v>-2.6107588313450902E-16</v>
      </c>
      <c r="O58">
        <f>'Costing 100 Lmin Feed Orig'!O58</f>
        <v>-1.18524981496115E-14</v>
      </c>
      <c r="P58">
        <f>'Costing 100 Lmin Feed Orig'!P58</f>
        <v>-2.5241581828178102E-19</v>
      </c>
      <c r="Q58">
        <f>'Costing 100 Lmin Feed Orig'!Q58</f>
        <v>0.110044175857931</v>
      </c>
      <c r="R58">
        <f>'Costing 100 Lmin Feed Orig'!R58</f>
        <v>98.548985471108097</v>
      </c>
      <c r="S58">
        <f>'Costing 100 Lmin Feed Orig'!S58</f>
        <v>500</v>
      </c>
      <c r="T58">
        <f>'Costing 100 Lmin Feed Orig'!T58</f>
        <v>95</v>
      </c>
      <c r="U58">
        <f>'Costing 100 Lmin Feed Orig'!U58</f>
        <v>1</v>
      </c>
      <c r="V58">
        <f>'Costing 100 Lmin Feed Orig'!V58</f>
        <v>0.1</v>
      </c>
      <c r="W58">
        <f>'Costing 100 Lmin Feed Orig'!W58</f>
        <v>90.872596591664205</v>
      </c>
      <c r="X58" t="str">
        <f>'Costing 100 Lmin Feed Orig'!X58</f>
        <v>ddFc</v>
      </c>
      <c r="Y58">
        <f>'Costing 100 Lmin Feed Orig'!Y58</f>
        <v>1</v>
      </c>
      <c r="Z58">
        <f>'Costing 100 Lmin Feed Orig'!Z58</f>
        <v>0.28318429382522198</v>
      </c>
      <c r="AA58">
        <f>'Costing 100 Lmin Feed Orig'!AA58</f>
        <v>0.56945642916197003</v>
      </c>
      <c r="AB58">
        <f>'Costing 100 Lmin Feed Orig'!AB58</f>
        <v>3.7698628972227502E-3</v>
      </c>
      <c r="AC58">
        <f>'Costing 100 Lmin Feed Orig'!AC58</f>
        <v>1822.2107908876901</v>
      </c>
      <c r="AD58">
        <f>'Costing 100 Lmin Feed Orig'!AD58</f>
        <v>2662.6059073104898</v>
      </c>
      <c r="AE58">
        <f>'Costing 100 Lmin Feed Orig'!AE58</f>
        <v>2401.5030938442701</v>
      </c>
      <c r="AF58">
        <f>'Costing 100 Lmin Feed Orig'!AF58</f>
        <v>10</v>
      </c>
      <c r="AG58">
        <f>'Costing 100 Lmin Feed Orig'!AG58</f>
        <v>1.6497294784823999E-3</v>
      </c>
      <c r="AH58">
        <f>'Costing 100 Lmin Feed Orig'!AH58</f>
        <v>1.66895660069658E-3</v>
      </c>
      <c r="AI58">
        <f>'Costing 100 Lmin Feed Orig'!AI58</f>
        <v>5.38152729188446E-6</v>
      </c>
      <c r="AJ58">
        <f>'Costing 100 Lmin Feed Orig'!AJ58</f>
        <v>0</v>
      </c>
      <c r="AK58">
        <f>'Costing 100 Lmin Feed Orig'!AK58</f>
        <v>0</v>
      </c>
      <c r="AL58">
        <f>'Costing 100 Lmin Feed Orig'!AL58</f>
        <v>0</v>
      </c>
      <c r="AM58">
        <f>'Costing 100 Lmin Feed Orig'!AM58</f>
        <v>1.61277705008137E-3</v>
      </c>
      <c r="AN58">
        <f>'Costing 100 Lmin Feed Orig'!AN58</f>
        <v>7.9536872122754404E-5</v>
      </c>
      <c r="AO58">
        <f>'Costing 100 Lmin Feed Orig'!AO58</f>
        <v>5.3461305122899801E-6</v>
      </c>
      <c r="AP58">
        <f>'Costing 100 Lmin Feed Orig'!AP58</f>
        <v>1.73336444614092E-3</v>
      </c>
      <c r="AQ58">
        <f>'Costing 100 Lmin Feed Orig'!AQ58</f>
        <v>7.4556497867205695E-2</v>
      </c>
      <c r="AR58">
        <f>'Costing 100 Lmin Feed Orig'!AR58</f>
        <v>1.6603920749814E-6</v>
      </c>
      <c r="AS58">
        <f>'Costing 100 Lmin Feed Orig'!AS58</f>
        <v>6.41926968395281E-15</v>
      </c>
      <c r="AT58">
        <f>'Costing 100 Lmin Feed Orig'!AT58</f>
        <v>-6.6401007955962902E-13</v>
      </c>
      <c r="AU58">
        <f>'Costing 100 Lmin Feed Orig'!AU58</f>
        <v>6.1661351582152895E-20</v>
      </c>
      <c r="AV58">
        <f>'Costing 100 Lmin Feed Orig'!AV58</f>
        <v>0.19689389736263299</v>
      </c>
      <c r="AW58">
        <f>'Costing 100 Lmin Feed Orig'!AW58</f>
        <v>99.342254016850205</v>
      </c>
      <c r="AX58">
        <f>'Costing 100 Lmin Feed Orig'!AX58</f>
        <v>499.99999999999898</v>
      </c>
      <c r="AY58">
        <f>'Costing 100 Lmin Feed Orig'!AY58</f>
        <v>95</v>
      </c>
      <c r="AZ58">
        <f>'Costing 100 Lmin Feed Orig'!AZ58</f>
        <v>0.92358985913147196</v>
      </c>
      <c r="BA58">
        <f>'Costing 100 Lmin Feed Orig'!BA58</f>
        <v>0.1</v>
      </c>
      <c r="BB58">
        <f>'Costing 100 Lmin Feed Orig'!BB58</f>
        <v>46.907998241836403</v>
      </c>
      <c r="BC58" t="str">
        <f>'Costing 100 Lmin Feed Orig'!BC58</f>
        <v>coeFc</v>
      </c>
      <c r="BD58">
        <f>'Costing 100 Lmin Feed Orig'!BD58</f>
        <v>1</v>
      </c>
      <c r="BE58">
        <f>'Costing 100 Lmin Feed Orig'!BE58</f>
        <v>1.8775014999999999E-2</v>
      </c>
      <c r="BF58">
        <f>'Costing 100 Lmin Feed Orig'!BF58</f>
        <v>0.10492961100000001</v>
      </c>
      <c r="BG58">
        <f>'Costing 100 Lmin Feed Orig'!BG58</f>
        <v>1.814625E-3</v>
      </c>
      <c r="BH58">
        <f>'Costing 100 Lmin Feed Orig'!BH58</f>
        <v>285.1951444</v>
      </c>
      <c r="BI58">
        <f>'Costing 100 Lmin Feed Orig'!BI58</f>
        <v>2169.8944889999998</v>
      </c>
      <c r="BJ58">
        <f>'Costing 100 Lmin Feed Orig'!BJ58</f>
        <v>866.49409060000005</v>
      </c>
      <c r="BK58">
        <f>'Costing 100 Lmin Feed Orig'!BK58</f>
        <v>100</v>
      </c>
      <c r="BL58">
        <f>'Costing 100 Lmin Feed Orig'!BL58</f>
        <v>11.004417585793099</v>
      </c>
      <c r="BM58">
        <f>'Costing 100 Lmin Feed Orig'!BM58</f>
        <v>92.358985913147194</v>
      </c>
      <c r="BN58">
        <f>'Costing 100 Lmin Feed Orig'!BN58</f>
        <v>19.689389736263298</v>
      </c>
      <c r="BO58">
        <f t="shared" si="1"/>
        <v>220.08835171586199</v>
      </c>
      <c r="BP58">
        <f t="shared" si="2"/>
        <v>472.54535367031917</v>
      </c>
      <c r="BQ58">
        <f t="shared" si="3"/>
        <v>22.008835171586199</v>
      </c>
      <c r="BR58">
        <f t="shared" si="4"/>
        <v>47.25453536703192</v>
      </c>
      <c r="BS58">
        <f>1.2*0.5*BL58*V58/'Oxidant Feed Composition'!$N$22</f>
        <v>6.6026505514758593</v>
      </c>
      <c r="BT58">
        <f>1.2*0.5*BN58*BA58/'Oxidant Feed Composition'!$N$22</f>
        <v>11.813633841757976</v>
      </c>
      <c r="BU58">
        <f t="shared" si="5"/>
        <v>5.5022087928965497</v>
      </c>
      <c r="BV58">
        <f t="shared" si="6"/>
        <v>9.8446948681316488</v>
      </c>
      <c r="BW58">
        <f t="shared" si="7"/>
        <v>86.856777120250641</v>
      </c>
      <c r="BX58">
        <f t="shared" si="0"/>
        <v>35.214136274537921</v>
      </c>
      <c r="BY58">
        <f t="shared" si="8"/>
        <v>206.7268069978806</v>
      </c>
      <c r="BZ58">
        <f t="shared" si="9"/>
        <v>63.006047156042548</v>
      </c>
      <c r="CA58">
        <f t="shared" si="10"/>
        <v>59.068169208789897</v>
      </c>
      <c r="CB58">
        <f>BO58*'Reagent cost'!$G$11*'Reagent cost'!$H$11</f>
        <v>2905.1662426493785</v>
      </c>
      <c r="CC58">
        <f>BP58*'Reagent cost'!$G$11*'Reagent cost'!$H$11</f>
        <v>6237.5986684482132</v>
      </c>
      <c r="CD58">
        <f>BQ58*'Reagent cost'!$C$18/1000*'Reagent cost'!$H$18</f>
        <v>3509.9789962792502</v>
      </c>
      <c r="CE58">
        <f>BR58*'Ligand cost'!$B$56*'Ligand cost'!$J$56</f>
        <v>48111.152916914485</v>
      </c>
      <c r="CF58">
        <f t="shared" si="11"/>
        <v>10</v>
      </c>
      <c r="CG58">
        <f t="shared" si="12"/>
        <v>2.2008835171586201</v>
      </c>
      <c r="CH58">
        <f t="shared" si="12"/>
        <v>3.9378779472526597</v>
      </c>
      <c r="CI58">
        <f>7963.6*(BX58/1000)^0.6*1.7*('CAPEX+OPEX'!$G$116/'CAPEX+OPEX'!$G$115)</f>
        <v>2144.228934815284</v>
      </c>
      <c r="CJ58">
        <f>7963.6*(BY58/1000)^0.6*1.7*('CAPEX+OPEX'!$G$116/'CAPEX+OPEX'!$G$115)</f>
        <v>6201.2466571653367</v>
      </c>
      <c r="CK58">
        <f>7963.6*(BZ58/1000)^0.6*1.7*('CAPEX+OPEX'!$G$116/'CAPEX+OPEX'!$G$115)</f>
        <v>3039.9767927452131</v>
      </c>
      <c r="CL58">
        <f>7963.6*(CA58/1000)^0.6*1.7*('CAPEX+OPEX'!$G$116/'CAPEX+OPEX'!$G$115)</f>
        <v>2924.5094837012939</v>
      </c>
      <c r="CM58">
        <f>'Costing 100 Lmin Feed Orig'!DE58</f>
        <v>39625.826528698344</v>
      </c>
      <c r="CN58">
        <f>'Costing 100 Lmin Feed Orig'!DF58</f>
        <v>4586243.4239371875</v>
      </c>
      <c r="CO58">
        <f>'Costing 100 Lmin Feed Orig'!DG58</f>
        <v>11794834.586807497</v>
      </c>
      <c r="CP58">
        <f>'Costing 100 Lmin Feed Orig'!DH58</f>
        <v>2275209.1661185985</v>
      </c>
      <c r="CQ58">
        <f>'Costing 100 Lmin Feed Orig'!DI58</f>
        <v>14083914.336508472</v>
      </c>
      <c r="CR58">
        <f>'Costing 100 Lmin Feed Orig'!DJ58</f>
        <v>1662824.8986326549</v>
      </c>
      <c r="CS58">
        <f>CN58*(BK58/10000)^0.72*((A58+1)/3)^0.6*('CAPEX+OPEX'!$G$116/'CAPEX+OPEX'!$G$114)</f>
        <v>751295.09040276916</v>
      </c>
      <c r="CT58">
        <f>CO58*(BK58/10000)^0.72*((A58+1)/3)^0.6*('CAPEX+OPEX'!$G$116/'CAPEX+OPEX'!$G$114)</f>
        <v>1932169.8606163235</v>
      </c>
      <c r="CU58">
        <f>CP58*(BK58/10000)^0.72*((A58+1)/3)^0.6*('CAPEX+OPEX'!$G$116/'CAPEX+OPEX'!$G$114)</f>
        <v>372713.20297186484</v>
      </c>
      <c r="CV58">
        <f>CQ58*(BK58/10000)^0.72*((A58+1)/3)^0.6*('CAPEX+OPEX'!$G$116/'CAPEX+OPEX'!$G$114)</f>
        <v>2307155.2721002945</v>
      </c>
      <c r="CW58">
        <f>CR58*(BK58/10000)^0.72*((A58+1)/3)^0.6*('CAPEX+OPEX'!$G$116/'CAPEX+OPEX'!$G$114)</f>
        <v>272395.52441150707</v>
      </c>
      <c r="CX58">
        <f t="shared" si="13"/>
        <v>5635728.9505027588</v>
      </c>
      <c r="CY58">
        <f>CN58*(BM58/10000)^0.72*((AF58+1)/3)^0.6*('CAPEX+OPEX'!$G$116/'CAPEX+OPEX'!$G$114)</f>
        <v>800286.7903035864</v>
      </c>
      <c r="CZ58">
        <f>CO58*(BM58/10000)^0.72*((AF58+1)/3)^0.6*('CAPEX+OPEX'!$G$116/'CAPEX+OPEX'!$G$114)</f>
        <v>2058166.0067084958</v>
      </c>
      <c r="DA58">
        <f>CP58*(BM58/10000)^0.72*((AF58+1)/3)^0.6*('CAPEX+OPEX'!$G$116/'CAPEX+OPEX'!$G$114)</f>
        <v>397017.70545341435</v>
      </c>
      <c r="DB58">
        <f>CQ58*(BM58/10000)^0.72*((AF58+1)/3)^0.6*('CAPEX+OPEX'!$G$116/'CAPEX+OPEX'!$G$114)</f>
        <v>2457604.0906260884</v>
      </c>
      <c r="DC58">
        <f>CR58*(BM58/10000)^0.72*((AF58+1)/3)^0.6*('CAPEX+OPEX'!$G$116/'CAPEX+OPEX'!$G$114)</f>
        <v>290158.34484886675</v>
      </c>
      <c r="DD58">
        <f t="shared" si="14"/>
        <v>6003232.9379404513</v>
      </c>
      <c r="DE58">
        <f>CX58+DD58+1.15*(SUM(CI58:CL58)+SUM(CB58:CE58))</f>
        <v>11725296.825939836</v>
      </c>
      <c r="DF58">
        <f t="shared" si="15"/>
        <v>781686.45506265573</v>
      </c>
      <c r="DG58">
        <f>(BS58+BT58)*'Oxidant Feed Composition'!$N$28*60*7200</f>
        <v>20475868.845272612</v>
      </c>
      <c r="DH58">
        <f>((CG58+CH58)*'Reagent cost'!$C$17/1000*'Reagent cost'!$H$17+(CG58+CH58)*0.5*'Reagent cost'!$C$16/1000*'Reagent cost'!$H$16*1.5)*60*7200</f>
        <v>8711122.0401095711</v>
      </c>
      <c r="DI58">
        <f>CF58*'Reagent cost'!$C$17/1000*'Reagent cost'!$H$17*60*7200</f>
        <v>504921.59999999998</v>
      </c>
      <c r="DJ58">
        <f t="shared" si="16"/>
        <v>91.427649110975906</v>
      </c>
      <c r="DK58">
        <f t="shared" si="17"/>
        <v>1032.4226382638747</v>
      </c>
      <c r="DL58">
        <f t="shared" si="18"/>
        <v>35631643.602803469</v>
      </c>
      <c r="DM58">
        <f>BK58*(B58*(409.81+2)/1000+C58*(248.2+2*22.99)/1000+D58*(315.6+3*22.99)/1000+0.1*58.44/1000)</f>
        <v>0.70639694042110623</v>
      </c>
      <c r="DN58">
        <f>(BS58+BT58)/1000*('Oxidant Feed Composition'!$B$11*'Oxidant Feed Composition'!$O$20+'Oxidant Feed Composition'!$D$11*'Oxidant Feed Composition'!$O$21+'Oxidant Feed Composition'!$F$11*'Oxidant Feed Composition'!$O$27-'Oxidant Feed Composition'!$J$15*18.015)</f>
        <v>2.1507373013729922</v>
      </c>
      <c r="DO58">
        <f>(BU58+BV58)/1000*(0.2*368.34+0.4*58.44)</f>
        <v>1.4893249188808204</v>
      </c>
      <c r="DP58">
        <f>BK58/1000*(B58*195.08+C58*106.42+D58*102.91)</f>
        <v>4.999938342565946E-2</v>
      </c>
      <c r="DQ58">
        <f>SUM(DM58:DO58)-DP58</f>
        <v>4.2964597772492592</v>
      </c>
      <c r="DR58">
        <f>DQ58*60*7200*0.33</f>
        <v>612503.30584465445</v>
      </c>
      <c r="DS58">
        <v>1.2</v>
      </c>
      <c r="DT58">
        <f>BM58/60*(AM58*4+AN58*2+AO58*3)*96485/DV58</f>
        <v>1405.9035889466509</v>
      </c>
      <c r="DU58">
        <f>BN58*BA58*(AP58*4+AQ58*2+AR58*3)*96485/DV58/60</f>
        <v>705.84693331136953</v>
      </c>
      <c r="DV58">
        <v>0.7</v>
      </c>
      <c r="DW58">
        <f>0.499*((BK58/3.78541*15)^(-0.146))*BK58/3.78541*15*300*(1+(A58-2)/9)</f>
        <v>41280.414286181804</v>
      </c>
      <c r="DX58">
        <f>0.248*((BK58/3.78541*15)^(-0.144))*BK58/3.78541*15*300*(1+(A58-2)/3)</f>
        <v>37373.489075065132</v>
      </c>
      <c r="DY58">
        <f>0.105*((BK58/3.78541*15)^(-0.144))*BK58/3.78541*15*300*(1+(A58-2)/3)</f>
        <v>15823.453035813865</v>
      </c>
      <c r="DZ58">
        <f>0.058*((BK58/3.78541*15)^(-0.151))*BK58/3.78541*15*300*(1+(A58-2)/3)</f>
        <v>8382.1245272768647</v>
      </c>
      <c r="EA58">
        <f>0.056*((BK58/3.78541*15)^(-0.144))*BK58/3.78541*15*300*(1+(A58-2)/3)</f>
        <v>8439.174952434063</v>
      </c>
      <c r="EB58">
        <f>DS58*DT58/(3.6*10^6)*3600*7200*0.07</f>
        <v>850.29049059493457</v>
      </c>
      <c r="EC58">
        <f>0.499*((BM58/3.78541*15)^(-0.146))*BM58/3.78541*15*300*(1+(AF58-2)/9)</f>
        <v>43714.036297381164</v>
      </c>
      <c r="ED58">
        <f>0.248*((BM58/3.78541*15)^(-0.144))*BM58/3.78541*15*300*(1+(AF58-2)/3)</f>
        <v>42674.061348668067</v>
      </c>
      <c r="EE58">
        <f>0.105*((BM58/3.78541*15)^(-0.144))*BM58/3.78541*15*300*(1+(AF58-2)/3)</f>
        <v>18067.6469419764</v>
      </c>
      <c r="EF58">
        <f>0.058*((BM58/3.78541*15)^(-0.151))*BM58/3.78541*15*300*(1+(AF58-2)/3)</f>
        <v>9576.263498780494</v>
      </c>
      <c r="EG58">
        <f>0.056*((BM58/3.78541*15)^(-0.144))*BM58/3.78541*15*300*(1+(AF58-2)/3)</f>
        <v>9636.0783690540829</v>
      </c>
      <c r="EH58">
        <f>DS58*DU58/(3.6*10^6)*3600*7200*0.07</f>
        <v>426.89622526671633</v>
      </c>
      <c r="EI58">
        <f>SUM(DW58:EH58)</f>
        <v>236243.92904849356</v>
      </c>
      <c r="EJ58">
        <f>EI58+DR58+DL58</f>
        <v>36480390.837696619</v>
      </c>
      <c r="EK58">
        <f>EJ58+DF58</f>
        <v>37262077.292759277</v>
      </c>
      <c r="EL58">
        <f>EK58/(BK58*60*7200)</f>
        <v>0.86254808548053885</v>
      </c>
      <c r="EM58">
        <f>EK58/(BM58*(AM58*195.084/1000+AN58*106.42/1000+AO58*102.911/1000)*60*7200)</f>
        <v>2885.6255258210113</v>
      </c>
      <c r="EN58">
        <f>EK58/(BN58*BA58*(AP58*195.084/1000+AQ58*106.42/1000+AR58*102.911/1000)*60*7200)</f>
        <v>5295.5091097193435</v>
      </c>
    </row>
    <row r="59" spans="1:144">
      <c r="A59">
        <f>'Costing 100 Lmin Feed Orig'!A59</f>
        <v>8</v>
      </c>
      <c r="B59">
        <f>'Costing 100 Lmin Feed Orig'!B59</f>
        <v>1.54143585092054E-3</v>
      </c>
      <c r="C59">
        <f>'Costing 100 Lmin Feed Orig'!C59</f>
        <v>1.54143585092054E-3</v>
      </c>
      <c r="D59">
        <f>'Costing 100 Lmin Feed Orig'!D59</f>
        <v>3.4254130020456501E-4</v>
      </c>
      <c r="E59">
        <f>'Costing 100 Lmin Feed Orig'!E59</f>
        <v>0</v>
      </c>
      <c r="F59">
        <f>'Costing 100 Lmin Feed Orig'!F59</f>
        <v>0</v>
      </c>
      <c r="G59">
        <f>'Costing 100 Lmin Feed Orig'!G59</f>
        <v>0</v>
      </c>
      <c r="H59">
        <f>'Costing 100 Lmin Feed Orig'!H59</f>
        <v>1.7762434284205799E-5</v>
      </c>
      <c r="I59">
        <f>'Costing 100 Lmin Feed Orig'!I59</f>
        <v>4.4591984978445998E-9</v>
      </c>
      <c r="J59">
        <f>'Costing 100 Lmin Feed Orig'!J59</f>
        <v>3.37570976171142E-4</v>
      </c>
      <c r="K59">
        <f>'Costing 100 Lmin Feed Orig'!K59</f>
        <v>0.13846015972746001</v>
      </c>
      <c r="L59">
        <f>'Costing 100 Lmin Feed Orig'!L59</f>
        <v>0.14007387303476199</v>
      </c>
      <c r="M59">
        <f>'Costing 100 Lmin Feed Orig'!M59</f>
        <v>4.5166625081916902E-4</v>
      </c>
      <c r="N59">
        <f>'Costing 100 Lmin Feed Orig'!N59</f>
        <v>-2.6107588313450902E-16</v>
      </c>
      <c r="O59">
        <f>'Costing 100 Lmin Feed Orig'!O59</f>
        <v>-1.18524981496115E-14</v>
      </c>
      <c r="P59">
        <f>'Costing 100 Lmin Feed Orig'!P59</f>
        <v>-2.5241581828178102E-19</v>
      </c>
      <c r="Q59">
        <f>'Costing 100 Lmin Feed Orig'!Q59</f>
        <v>0.110044175857931</v>
      </c>
      <c r="R59">
        <f>'Costing 100 Lmin Feed Orig'!R59</f>
        <v>98.548985471108097</v>
      </c>
      <c r="S59">
        <f>'Costing 100 Lmin Feed Orig'!S59</f>
        <v>500</v>
      </c>
      <c r="T59">
        <f>'Costing 100 Lmin Feed Orig'!T59</f>
        <v>95</v>
      </c>
      <c r="U59">
        <f>'Costing 100 Lmin Feed Orig'!U59</f>
        <v>1</v>
      </c>
      <c r="V59">
        <f>'Costing 100 Lmin Feed Orig'!V59</f>
        <v>0.1</v>
      </c>
      <c r="W59">
        <f>'Costing 100 Lmin Feed Orig'!W59</f>
        <v>90.872596591664205</v>
      </c>
      <c r="X59" t="str">
        <f>'Costing 100 Lmin Feed Orig'!X59</f>
        <v>ddFc</v>
      </c>
      <c r="Y59">
        <f>'Costing 100 Lmin Feed Orig'!Y59</f>
        <v>1</v>
      </c>
      <c r="Z59">
        <f>'Costing 100 Lmin Feed Orig'!Z59</f>
        <v>0.28318429382522198</v>
      </c>
      <c r="AA59">
        <f>'Costing 100 Lmin Feed Orig'!AA59</f>
        <v>0.56945642916197003</v>
      </c>
      <c r="AB59">
        <f>'Costing 100 Lmin Feed Orig'!AB59</f>
        <v>3.7698628972227502E-3</v>
      </c>
      <c r="AC59">
        <f>'Costing 100 Lmin Feed Orig'!AC59</f>
        <v>1822.2107908876901</v>
      </c>
      <c r="AD59">
        <f>'Costing 100 Lmin Feed Orig'!AD59</f>
        <v>2662.6059073104898</v>
      </c>
      <c r="AE59">
        <f>'Costing 100 Lmin Feed Orig'!AE59</f>
        <v>2401.5030938442701</v>
      </c>
      <c r="AF59">
        <f>'Costing 100 Lmin Feed Orig'!AF59</f>
        <v>11</v>
      </c>
      <c r="AG59">
        <f>'Costing 100 Lmin Feed Orig'!AG59</f>
        <v>1.6497294784823999E-3</v>
      </c>
      <c r="AH59">
        <f>'Costing 100 Lmin Feed Orig'!AH59</f>
        <v>1.66895660069658E-3</v>
      </c>
      <c r="AI59">
        <f>'Costing 100 Lmin Feed Orig'!AI59</f>
        <v>5.38152729188446E-6</v>
      </c>
      <c r="AJ59">
        <f>'Costing 100 Lmin Feed Orig'!AJ59</f>
        <v>0</v>
      </c>
      <c r="AK59">
        <f>'Costing 100 Lmin Feed Orig'!AK59</f>
        <v>0</v>
      </c>
      <c r="AL59">
        <f>'Costing 100 Lmin Feed Orig'!AL59</f>
        <v>0</v>
      </c>
      <c r="AM59">
        <f>'Costing 100 Lmin Feed Orig'!AM59</f>
        <v>1.6127801705222199E-3</v>
      </c>
      <c r="AN59">
        <f>'Costing 100 Lmin Feed Orig'!AN59</f>
        <v>7.9537033492425895E-5</v>
      </c>
      <c r="AO59">
        <f>'Costing 100 Lmin Feed Orig'!AO59</f>
        <v>5.3461333771461197E-6</v>
      </c>
      <c r="AP59">
        <f>'Costing 100 Lmin Feed Orig'!AP59</f>
        <v>1.73325890938514E-3</v>
      </c>
      <c r="AQ59">
        <f>'Costing 100 Lmin Feed Orig'!AQ59</f>
        <v>7.4558246913040901E-2</v>
      </c>
      <c r="AR59">
        <f>'Costing 100 Lmin Feed Orig'!AR59</f>
        <v>1.6602968079419499E-6</v>
      </c>
      <c r="AS59">
        <f>'Costing 100 Lmin Feed Orig'!AS59</f>
        <v>2.06541869111204E-15</v>
      </c>
      <c r="AT59">
        <f>'Costing 100 Lmin Feed Orig'!AT59</f>
        <v>-2.05823422541606E-13</v>
      </c>
      <c r="AU59">
        <f>'Costing 100 Lmin Feed Orig'!AU59</f>
        <v>1.5676726969104899E-20</v>
      </c>
      <c r="AV59">
        <f>'Costing 100 Lmin Feed Orig'!AV59</f>
        <v>0.19688925842004401</v>
      </c>
      <c r="AW59">
        <f>'Costing 100 Lmin Feed Orig'!AW59</f>
        <v>99.342307251851594</v>
      </c>
      <c r="AX59">
        <f>'Costing 100 Lmin Feed Orig'!AX59</f>
        <v>499.99999999999898</v>
      </c>
      <c r="AY59">
        <f>'Costing 100 Lmin Feed Orig'!AY59</f>
        <v>95</v>
      </c>
      <c r="AZ59">
        <f>'Costing 100 Lmin Feed Orig'!AZ59</f>
        <v>0.92358985913147196</v>
      </c>
      <c r="BA59">
        <f>'Costing 100 Lmin Feed Orig'!BA59</f>
        <v>0.1</v>
      </c>
      <c r="BB59">
        <f>'Costing 100 Lmin Feed Orig'!BB59</f>
        <v>46.909103449467104</v>
      </c>
      <c r="BC59" t="str">
        <f>'Costing 100 Lmin Feed Orig'!BC59</f>
        <v>coeFc</v>
      </c>
      <c r="BD59">
        <f>'Costing 100 Lmin Feed Orig'!BD59</f>
        <v>1</v>
      </c>
      <c r="BE59">
        <f>'Costing 100 Lmin Feed Orig'!BE59</f>
        <v>1.8775014999999999E-2</v>
      </c>
      <c r="BF59">
        <f>'Costing 100 Lmin Feed Orig'!BF59</f>
        <v>0.10492961100000001</v>
      </c>
      <c r="BG59">
        <f>'Costing 100 Lmin Feed Orig'!BG59</f>
        <v>1.814625E-3</v>
      </c>
      <c r="BH59">
        <f>'Costing 100 Lmin Feed Orig'!BH59</f>
        <v>285.1951444</v>
      </c>
      <c r="BI59">
        <f>'Costing 100 Lmin Feed Orig'!BI59</f>
        <v>2169.8944889999998</v>
      </c>
      <c r="BJ59">
        <f>'Costing 100 Lmin Feed Orig'!BJ59</f>
        <v>866.49409060000005</v>
      </c>
      <c r="BK59">
        <f>'Costing 100 Lmin Feed Orig'!BK59</f>
        <v>100</v>
      </c>
      <c r="BL59">
        <f>'Costing 100 Lmin Feed Orig'!BL59</f>
        <v>11.004417585793099</v>
      </c>
      <c r="BM59">
        <f>'Costing 100 Lmin Feed Orig'!BM59</f>
        <v>92.358985913147194</v>
      </c>
      <c r="BN59">
        <f>'Costing 100 Lmin Feed Orig'!BN59</f>
        <v>19.688925842004402</v>
      </c>
      <c r="BO59">
        <f t="shared" si="1"/>
        <v>220.08835171586199</v>
      </c>
      <c r="BP59">
        <f t="shared" si="2"/>
        <v>511.91207189211445</v>
      </c>
      <c r="BQ59">
        <f t="shared" si="3"/>
        <v>22.008835171586199</v>
      </c>
      <c r="BR59">
        <f t="shared" si="4"/>
        <v>51.191207189211447</v>
      </c>
      <c r="BS59">
        <f>1.2*0.5*BL59*V59/'Oxidant Feed Composition'!$N$22</f>
        <v>6.6026505514758593</v>
      </c>
      <c r="BT59">
        <f>1.2*0.5*BN59*BA59/'Oxidant Feed Composition'!$N$22</f>
        <v>11.81335550520264</v>
      </c>
      <c r="BU59">
        <f t="shared" si="5"/>
        <v>5.5022087928965497</v>
      </c>
      <c r="BV59">
        <f t="shared" si="6"/>
        <v>9.8444629210022008</v>
      </c>
      <c r="BW59">
        <f t="shared" si="7"/>
        <v>86.856777120250641</v>
      </c>
      <c r="BX59">
        <f t="shared" si="0"/>
        <v>35.214136274537921</v>
      </c>
      <c r="BY59">
        <f t="shared" si="8"/>
        <v>206.7268069978806</v>
      </c>
      <c r="BZ59">
        <f t="shared" si="9"/>
        <v>63.004562694414084</v>
      </c>
      <c r="CA59">
        <f t="shared" si="10"/>
        <v>59.066777526013205</v>
      </c>
      <c r="CB59">
        <f>BO59*'Reagent cost'!$G$11*'Reagent cost'!$H$11</f>
        <v>2905.1662426493785</v>
      </c>
      <c r="CC59">
        <f>BP59*'Reagent cost'!$G$11*'Reagent cost'!$H$11</f>
        <v>6757.2393489759106</v>
      </c>
      <c r="CD59">
        <f>BQ59*'Reagent cost'!$C$18/1000*'Reagent cost'!$H$18</f>
        <v>3509.9789962792502</v>
      </c>
      <c r="CE59">
        <f>BR59*'Ligand cost'!$B$56*'Ligand cost'!$J$56</f>
        <v>52119.187670605555</v>
      </c>
      <c r="CF59">
        <f t="shared" si="11"/>
        <v>10</v>
      </c>
      <c r="CG59">
        <f t="shared" si="12"/>
        <v>2.2008835171586201</v>
      </c>
      <c r="CH59">
        <f t="shared" si="12"/>
        <v>3.9377851684008807</v>
      </c>
      <c r="CI59">
        <f>7963.6*(BX59/1000)^0.6*1.7*('CAPEX+OPEX'!$G$116/'CAPEX+OPEX'!$G$115)</f>
        <v>2144.228934815284</v>
      </c>
      <c r="CJ59">
        <f>7963.6*(BY59/1000)^0.6*1.7*('CAPEX+OPEX'!$G$116/'CAPEX+OPEX'!$G$115)</f>
        <v>6201.2466571653367</v>
      </c>
      <c r="CK59">
        <f>7963.6*(BZ59/1000)^0.6*1.7*('CAPEX+OPEX'!$G$116/'CAPEX+OPEX'!$G$115)</f>
        <v>3039.9338182971837</v>
      </c>
      <c r="CL59">
        <f>7963.6*(CA59/1000)^0.6*1.7*('CAPEX+OPEX'!$G$116/'CAPEX+OPEX'!$G$115)</f>
        <v>2924.4681415498935</v>
      </c>
      <c r="CM59">
        <f>'Costing 100 Lmin Feed Orig'!DE59</f>
        <v>39625.826528698344</v>
      </c>
      <c r="CN59">
        <f>'Costing 100 Lmin Feed Orig'!DF59</f>
        <v>4586243.4239371875</v>
      </c>
      <c r="CO59">
        <f>'Costing 100 Lmin Feed Orig'!DG59</f>
        <v>11794834.586807497</v>
      </c>
      <c r="CP59">
        <f>'Costing 100 Lmin Feed Orig'!DH59</f>
        <v>2275209.1661185985</v>
      </c>
      <c r="CQ59">
        <f>'Costing 100 Lmin Feed Orig'!DI59</f>
        <v>14083914.336508472</v>
      </c>
      <c r="CR59">
        <f>'Costing 100 Lmin Feed Orig'!DJ59</f>
        <v>1662824.8986326549</v>
      </c>
      <c r="CS59">
        <f>CN59*(BK59/10000)^0.72*((A59+1)/3)^0.6*('CAPEX+OPEX'!$G$116/'CAPEX+OPEX'!$G$114)</f>
        <v>751295.09040276916</v>
      </c>
      <c r="CT59">
        <f>CO59*(BK59/10000)^0.72*((A59+1)/3)^0.6*('CAPEX+OPEX'!$G$116/'CAPEX+OPEX'!$G$114)</f>
        <v>1932169.8606163235</v>
      </c>
      <c r="CU59">
        <f>CP59*(BK59/10000)^0.72*((A59+1)/3)^0.6*('CAPEX+OPEX'!$G$116/'CAPEX+OPEX'!$G$114)</f>
        <v>372713.20297186484</v>
      </c>
      <c r="CV59">
        <f>CQ59*(BK59/10000)^0.72*((A59+1)/3)^0.6*('CAPEX+OPEX'!$G$116/'CAPEX+OPEX'!$G$114)</f>
        <v>2307155.2721002945</v>
      </c>
      <c r="CW59">
        <f>CR59*(BK59/10000)^0.72*((A59+1)/3)^0.6*('CAPEX+OPEX'!$G$116/'CAPEX+OPEX'!$G$114)</f>
        <v>272395.52441150707</v>
      </c>
      <c r="CX59">
        <f t="shared" si="13"/>
        <v>5635728.9505027588</v>
      </c>
      <c r="CY59">
        <f>CN59*(BM59/10000)^0.72*((AF59+1)/3)^0.6*('CAPEX+OPEX'!$G$116/'CAPEX+OPEX'!$G$114)</f>
        <v>843177.06502963789</v>
      </c>
      <c r="CZ59">
        <f>CO59*(BM59/10000)^0.72*((AF59+1)/3)^0.6*('CAPEX+OPEX'!$G$116/'CAPEX+OPEX'!$G$114)</f>
        <v>2168470.5956747346</v>
      </c>
      <c r="DA59">
        <f>CP59*(BM59/10000)^0.72*((AF59+1)/3)^0.6*('CAPEX+OPEX'!$G$116/'CAPEX+OPEX'!$G$114)</f>
        <v>418295.32575693569</v>
      </c>
      <c r="DB59">
        <f>CQ59*(BM59/10000)^0.72*((AF59+1)/3)^0.6*('CAPEX+OPEX'!$G$116/'CAPEX+OPEX'!$G$114)</f>
        <v>2589316.0167655097</v>
      </c>
      <c r="DC59">
        <f>CR59*(BM59/10000)^0.72*((AF59+1)/3)^0.6*('CAPEX+OPEX'!$G$116/'CAPEX+OPEX'!$G$114)</f>
        <v>305708.98403897922</v>
      </c>
      <c r="DD59">
        <f t="shared" si="14"/>
        <v>6324967.9872657973</v>
      </c>
      <c r="DE59">
        <f>CX59+DD59+1.15*(SUM(CI59:CL59)+SUM(CB59:CE59))</f>
        <v>12052238.605050445</v>
      </c>
      <c r="DF59">
        <f t="shared" si="15"/>
        <v>803482.57367002964</v>
      </c>
      <c r="DG59">
        <f>(BS59+BT59)*'Oxidant Feed Composition'!$N$28*60*7200</f>
        <v>20475559.38095938</v>
      </c>
      <c r="DH59">
        <f>((CG59+CH59)*'Reagent cost'!$C$17/1000*'Reagent cost'!$H$17+(CG59+CH59)*0.5*'Reagent cost'!$C$16/1000*'Reagent cost'!$H$16*1.5)*60*7200</f>
        <v>8710990.3836011253</v>
      </c>
      <c r="DI59">
        <f>CF59*'Reagent cost'!$C$17/1000*'Reagent cost'!$H$17*60*7200</f>
        <v>504921.59999999998</v>
      </c>
      <c r="DJ59">
        <f t="shared" si="16"/>
        <v>96.6240559162529</v>
      </c>
      <c r="DK59">
        <f t="shared" si="17"/>
        <v>1112.5833333376961</v>
      </c>
      <c r="DL59">
        <f t="shared" si="18"/>
        <v>35631216.686339714</v>
      </c>
      <c r="DM59">
        <f>BK59*(B59*(409.81+2)/1000+C59*(248.2+2*22.99)/1000+D59*(315.6+3*22.99)/1000+0.1*58.44/1000)</f>
        <v>0.70639694042110623</v>
      </c>
      <c r="DN59">
        <f>(BS59+BT59)/1000*('Oxidant Feed Composition'!$B$11*'Oxidant Feed Composition'!$O$20+'Oxidant Feed Composition'!$D$11*'Oxidant Feed Composition'!$O$21+'Oxidant Feed Composition'!$F$11*'Oxidant Feed Composition'!$O$27-'Oxidant Feed Composition'!$J$15*18.015)</f>
        <v>2.1507047959664121</v>
      </c>
      <c r="DO59">
        <f>(BU59+BV59)/1000*(0.2*368.34+0.4*58.44)</f>
        <v>1.4893024098035903</v>
      </c>
      <c r="DP59">
        <f>BK59/1000*(B59*195.08+C59*106.42+D59*102.91)</f>
        <v>4.999938342565946E-2</v>
      </c>
      <c r="DQ59">
        <f>SUM(DM59:DO59)-DP59</f>
        <v>4.2964047627654489</v>
      </c>
      <c r="DR59">
        <f>DQ59*60*7200*0.33</f>
        <v>612495.46297984244</v>
      </c>
      <c r="DS59">
        <v>1.2</v>
      </c>
      <c r="DT59">
        <f>BM59/60*(AM59*4+AN59*2+AO59*3)*96485/DV59</f>
        <v>1405.9063075371266</v>
      </c>
      <c r="DU59">
        <f>BN59*BA59*(AP59*4+AQ59*2+AR59*3)*96485/DV59/60</f>
        <v>705.84421451437709</v>
      </c>
      <c r="DV59">
        <v>0.7</v>
      </c>
      <c r="DW59">
        <f>0.499*((BK59/3.78541*15)^(-0.146))*BK59/3.78541*15*300*(1+(A59-2)/9)</f>
        <v>41280.414286181804</v>
      </c>
      <c r="DX59">
        <f>0.248*((BK59/3.78541*15)^(-0.144))*BK59/3.78541*15*300*(1+(A59-2)/3)</f>
        <v>37373.489075065132</v>
      </c>
      <c r="DY59">
        <f>0.105*((BK59/3.78541*15)^(-0.144))*BK59/3.78541*15*300*(1+(A59-2)/3)</f>
        <v>15823.453035813865</v>
      </c>
      <c r="DZ59">
        <f>0.058*((BK59/3.78541*15)^(-0.151))*BK59/3.78541*15*300*(1+(A59-2)/3)</f>
        <v>8382.1245272768647</v>
      </c>
      <c r="EA59">
        <f>0.056*((BK59/3.78541*15)^(-0.144))*BK59/3.78541*15*300*(1+(A59-2)/3)</f>
        <v>8439.174952434063</v>
      </c>
      <c r="EB59">
        <f>DS59*DT59/(3.6*10^6)*3600*7200*0.07</f>
        <v>850.29213479845407</v>
      </c>
      <c r="EC59">
        <f>0.499*((BM59/3.78541*15)^(-0.146))*BM59/3.78541*15*300*(1+(AF59-2)/9)</f>
        <v>46285.450197227117</v>
      </c>
      <c r="ED59">
        <f>0.248*((BM59/3.78541*15)^(-0.144))*BM59/3.78541*15*300*(1+(AF59-2)/3)</f>
        <v>46553.52147127426</v>
      </c>
      <c r="EE59">
        <f>0.105*((BM59/3.78541*15)^(-0.144))*BM59/3.78541*15*300*(1+(AF59-2)/3)</f>
        <v>19710.160300337891</v>
      </c>
      <c r="EF59">
        <f>0.058*((BM59/3.78541*15)^(-0.151))*BM59/3.78541*15*300*(1+(AF59-2)/3)</f>
        <v>10446.832907760539</v>
      </c>
      <c r="EG59">
        <f>0.056*((BM59/3.78541*15)^(-0.144))*BM59/3.78541*15*300*(1+(AF59-2)/3)</f>
        <v>10512.085493513545</v>
      </c>
      <c r="EH59">
        <f>DS59*DU59/(3.6*10^6)*3600*7200*0.07</f>
        <v>426.89458093829529</v>
      </c>
      <c r="EI59">
        <f>SUM(DW59:EH59)</f>
        <v>246083.89296262185</v>
      </c>
      <c r="EJ59">
        <f>EI59+DR59+DL59</f>
        <v>36489796.042282179</v>
      </c>
      <c r="EK59">
        <f>EJ59+DF59</f>
        <v>37293278.615952209</v>
      </c>
      <c r="EL59">
        <f>EK59/(BK59*60*7200)</f>
        <v>0.86327033833222711</v>
      </c>
      <c r="EM59">
        <f>EK59/(BM59*(AM59*195.084/1000+AN59*106.42/1000+AO59*102.911/1000)*60*7200)</f>
        <v>2888.0362102957042</v>
      </c>
      <c r="EN59">
        <f>EK59/(BN59*BA59*(AP59*195.084/1000+AQ59*106.42/1000+AR59*102.911/1000)*60*7200)</f>
        <v>5299.962114022911</v>
      </c>
    </row>
    <row r="60" spans="1:144">
      <c r="A60">
        <f>'Costing 100 Lmin Feed Orig'!A60</f>
        <v>8</v>
      </c>
      <c r="B60">
        <f>'Costing 100 Lmin Feed Orig'!B60</f>
        <v>1.54143585092054E-3</v>
      </c>
      <c r="C60">
        <f>'Costing 100 Lmin Feed Orig'!C60</f>
        <v>1.54143585092054E-3</v>
      </c>
      <c r="D60">
        <f>'Costing 100 Lmin Feed Orig'!D60</f>
        <v>3.4254130020456501E-4</v>
      </c>
      <c r="E60">
        <f>'Costing 100 Lmin Feed Orig'!E60</f>
        <v>0</v>
      </c>
      <c r="F60">
        <f>'Costing 100 Lmin Feed Orig'!F60</f>
        <v>0</v>
      </c>
      <c r="G60">
        <f>'Costing 100 Lmin Feed Orig'!G60</f>
        <v>0</v>
      </c>
      <c r="H60">
        <f>'Costing 100 Lmin Feed Orig'!H60</f>
        <v>1.7762434284205799E-5</v>
      </c>
      <c r="I60">
        <f>'Costing 100 Lmin Feed Orig'!I60</f>
        <v>4.4591984978445998E-9</v>
      </c>
      <c r="J60">
        <f>'Costing 100 Lmin Feed Orig'!J60</f>
        <v>3.37570976171142E-4</v>
      </c>
      <c r="K60">
        <f>'Costing 100 Lmin Feed Orig'!K60</f>
        <v>0.13846015972746001</v>
      </c>
      <c r="L60">
        <f>'Costing 100 Lmin Feed Orig'!L60</f>
        <v>0.14007387303476199</v>
      </c>
      <c r="M60">
        <f>'Costing 100 Lmin Feed Orig'!M60</f>
        <v>4.5166625081916902E-4</v>
      </c>
      <c r="N60">
        <f>'Costing 100 Lmin Feed Orig'!N60</f>
        <v>-2.6107588313450902E-16</v>
      </c>
      <c r="O60">
        <f>'Costing 100 Lmin Feed Orig'!O60</f>
        <v>-1.18524981496115E-14</v>
      </c>
      <c r="P60">
        <f>'Costing 100 Lmin Feed Orig'!P60</f>
        <v>-2.5241581828178102E-19</v>
      </c>
      <c r="Q60">
        <f>'Costing 100 Lmin Feed Orig'!Q60</f>
        <v>0.110044175857931</v>
      </c>
      <c r="R60">
        <f>'Costing 100 Lmin Feed Orig'!R60</f>
        <v>98.548985471108097</v>
      </c>
      <c r="S60">
        <f>'Costing 100 Lmin Feed Orig'!S60</f>
        <v>500</v>
      </c>
      <c r="T60">
        <f>'Costing 100 Lmin Feed Orig'!T60</f>
        <v>95</v>
      </c>
      <c r="U60">
        <f>'Costing 100 Lmin Feed Orig'!U60</f>
        <v>1</v>
      </c>
      <c r="V60">
        <f>'Costing 100 Lmin Feed Orig'!V60</f>
        <v>0.1</v>
      </c>
      <c r="W60">
        <f>'Costing 100 Lmin Feed Orig'!W60</f>
        <v>90.872596591664205</v>
      </c>
      <c r="X60" t="str">
        <f>'Costing 100 Lmin Feed Orig'!X60</f>
        <v>ddFc</v>
      </c>
      <c r="Y60">
        <f>'Costing 100 Lmin Feed Orig'!Y60</f>
        <v>1</v>
      </c>
      <c r="Z60">
        <f>'Costing 100 Lmin Feed Orig'!Z60</f>
        <v>0.28318429382522198</v>
      </c>
      <c r="AA60">
        <f>'Costing 100 Lmin Feed Orig'!AA60</f>
        <v>0.56945642916197003</v>
      </c>
      <c r="AB60">
        <f>'Costing 100 Lmin Feed Orig'!AB60</f>
        <v>3.7698628972227502E-3</v>
      </c>
      <c r="AC60">
        <f>'Costing 100 Lmin Feed Orig'!AC60</f>
        <v>1822.2107908876901</v>
      </c>
      <c r="AD60">
        <f>'Costing 100 Lmin Feed Orig'!AD60</f>
        <v>2662.6059073104898</v>
      </c>
      <c r="AE60">
        <f>'Costing 100 Lmin Feed Orig'!AE60</f>
        <v>2401.5030938442701</v>
      </c>
      <c r="AF60">
        <f>'Costing 100 Lmin Feed Orig'!AF60</f>
        <v>12</v>
      </c>
      <c r="AG60">
        <f>'Costing 100 Lmin Feed Orig'!AG60</f>
        <v>1.6497294784823999E-3</v>
      </c>
      <c r="AH60">
        <f>'Costing 100 Lmin Feed Orig'!AH60</f>
        <v>1.66895660069658E-3</v>
      </c>
      <c r="AI60">
        <f>'Costing 100 Lmin Feed Orig'!AI60</f>
        <v>5.38152729188446E-6</v>
      </c>
      <c r="AJ60">
        <f>'Costing 100 Lmin Feed Orig'!AJ60</f>
        <v>0</v>
      </c>
      <c r="AK60">
        <f>'Costing 100 Lmin Feed Orig'!AK60</f>
        <v>0</v>
      </c>
      <c r="AL60">
        <f>'Costing 100 Lmin Feed Orig'!AL60</f>
        <v>0</v>
      </c>
      <c r="AM60">
        <f>'Costing 100 Lmin Feed Orig'!AM60</f>
        <v>1.61278104761876E-3</v>
      </c>
      <c r="AN60">
        <f>'Costing 100 Lmin Feed Orig'!AN60</f>
        <v>7.9537078850164199E-5</v>
      </c>
      <c r="AO60">
        <f>'Costing 100 Lmin Feed Orig'!AO60</f>
        <v>5.3461341824022602E-6</v>
      </c>
      <c r="AP60">
        <f>'Costing 100 Lmin Feed Orig'!AP60</f>
        <v>1.7332292441623099E-3</v>
      </c>
      <c r="AQ60">
        <f>'Costing 100 Lmin Feed Orig'!AQ60</f>
        <v>7.4558738550610695E-2</v>
      </c>
      <c r="AR60">
        <f>'Costing 100 Lmin Feed Orig'!AR60</f>
        <v>1.6602700294237901E-6</v>
      </c>
      <c r="AS60">
        <f>'Costing 100 Lmin Feed Orig'!AS60</f>
        <v>4.1856302495160702E-16</v>
      </c>
      <c r="AT60">
        <f>'Costing 100 Lmin Feed Orig'!AT60</f>
        <v>-4.1007778769919203E-14</v>
      </c>
      <c r="AU60">
        <f>'Costing 100 Lmin Feed Orig'!AU60</f>
        <v>-1.18452263717593E-21</v>
      </c>
      <c r="AV60">
        <f>'Costing 100 Lmin Feed Orig'!AV60</f>
        <v>0.19688795449878599</v>
      </c>
      <c r="AW60">
        <f>'Costing 100 Lmin Feed Orig'!AW60</f>
        <v>99.342322215190194</v>
      </c>
      <c r="AX60">
        <f>'Costing 100 Lmin Feed Orig'!AX60</f>
        <v>499.99999999999898</v>
      </c>
      <c r="AY60">
        <f>'Costing 100 Lmin Feed Orig'!AY60</f>
        <v>95</v>
      </c>
      <c r="AZ60">
        <f>'Costing 100 Lmin Feed Orig'!AZ60</f>
        <v>0.92358985913147196</v>
      </c>
      <c r="BA60">
        <f>'Costing 100 Lmin Feed Orig'!BA60</f>
        <v>0.1</v>
      </c>
      <c r="BB60">
        <f>'Costing 100 Lmin Feed Orig'!BB60</f>
        <v>46.909414112337899</v>
      </c>
      <c r="BC60" t="str">
        <f>'Costing 100 Lmin Feed Orig'!BC60</f>
        <v>coeFc</v>
      </c>
      <c r="BD60">
        <f>'Costing 100 Lmin Feed Orig'!BD60</f>
        <v>1</v>
      </c>
      <c r="BE60">
        <f>'Costing 100 Lmin Feed Orig'!BE60</f>
        <v>1.8775014999999999E-2</v>
      </c>
      <c r="BF60">
        <f>'Costing 100 Lmin Feed Orig'!BF60</f>
        <v>0.10492961100000001</v>
      </c>
      <c r="BG60">
        <f>'Costing 100 Lmin Feed Orig'!BG60</f>
        <v>1.814625E-3</v>
      </c>
      <c r="BH60">
        <f>'Costing 100 Lmin Feed Orig'!BH60</f>
        <v>285.1951444</v>
      </c>
      <c r="BI60">
        <f>'Costing 100 Lmin Feed Orig'!BI60</f>
        <v>2169.8944889999998</v>
      </c>
      <c r="BJ60">
        <f>'Costing 100 Lmin Feed Orig'!BJ60</f>
        <v>866.49409060000005</v>
      </c>
      <c r="BK60">
        <f>'Costing 100 Lmin Feed Orig'!BK60</f>
        <v>100</v>
      </c>
      <c r="BL60">
        <f>'Costing 100 Lmin Feed Orig'!BL60</f>
        <v>11.004417585793099</v>
      </c>
      <c r="BM60">
        <f>'Costing 100 Lmin Feed Orig'!BM60</f>
        <v>92.358985913147194</v>
      </c>
      <c r="BN60">
        <f>'Costing 100 Lmin Feed Orig'!BN60</f>
        <v>19.688795449878597</v>
      </c>
      <c r="BO60">
        <f t="shared" si="1"/>
        <v>220.08835171586199</v>
      </c>
      <c r="BP60">
        <f t="shared" si="2"/>
        <v>551.28627259660072</v>
      </c>
      <c r="BQ60">
        <f t="shared" si="3"/>
        <v>22.008835171586199</v>
      </c>
      <c r="BR60">
        <f t="shared" si="4"/>
        <v>55.128627259660078</v>
      </c>
      <c r="BS60">
        <f>1.2*0.5*BL60*V60/'Oxidant Feed Composition'!$N$22</f>
        <v>6.6026505514758593</v>
      </c>
      <c r="BT60">
        <f>1.2*0.5*BN60*BA60/'Oxidant Feed Composition'!$N$22</f>
        <v>11.813277269927157</v>
      </c>
      <c r="BU60">
        <f t="shared" si="5"/>
        <v>5.5022087928965497</v>
      </c>
      <c r="BV60">
        <f t="shared" si="6"/>
        <v>9.8443977249392987</v>
      </c>
      <c r="BW60">
        <f t="shared" si="7"/>
        <v>86.856777120250641</v>
      </c>
      <c r="BX60">
        <f t="shared" si="0"/>
        <v>35.214136274537921</v>
      </c>
      <c r="BY60">
        <f t="shared" si="8"/>
        <v>206.7268069978806</v>
      </c>
      <c r="BZ60">
        <f t="shared" si="9"/>
        <v>63.004145439611506</v>
      </c>
      <c r="CA60">
        <f t="shared" si="10"/>
        <v>59.066386349635792</v>
      </c>
      <c r="CB60">
        <f>BO60*'Reagent cost'!$G$11*'Reagent cost'!$H$11</f>
        <v>2905.1662426493785</v>
      </c>
      <c r="CC60">
        <f>BP60*'Reagent cost'!$G$11*'Reagent cost'!$H$11</f>
        <v>7276.9787982751304</v>
      </c>
      <c r="CD60">
        <f>BQ60*'Reagent cost'!$C$18/1000*'Reagent cost'!$H$18</f>
        <v>3509.9789962792502</v>
      </c>
      <c r="CE60">
        <f>BR60*'Ligand cost'!$B$56*'Ligand cost'!$J$56</f>
        <v>56127.984236609766</v>
      </c>
      <c r="CF60">
        <f t="shared" si="11"/>
        <v>10</v>
      </c>
      <c r="CG60">
        <f t="shared" si="12"/>
        <v>2.2008835171586201</v>
      </c>
      <c r="CH60">
        <f t="shared" si="12"/>
        <v>3.9377590899757196</v>
      </c>
      <c r="CI60">
        <f>7963.6*(BX60/1000)^0.6*1.7*('CAPEX+OPEX'!$G$116/'CAPEX+OPEX'!$G$115)</f>
        <v>2144.228934815284</v>
      </c>
      <c r="CJ60">
        <f>7963.6*(BY60/1000)^0.6*1.7*('CAPEX+OPEX'!$G$116/'CAPEX+OPEX'!$G$115)</f>
        <v>6201.2466571653367</v>
      </c>
      <c r="CK60">
        <f>7963.6*(BZ60/1000)^0.6*1.7*('CAPEX+OPEX'!$G$116/'CAPEX+OPEX'!$G$115)</f>
        <v>3039.9217388990178</v>
      </c>
      <c r="CL60">
        <f>7963.6*(CA60/1000)^0.6*1.7*('CAPEX+OPEX'!$G$116/'CAPEX+OPEX'!$G$115)</f>
        <v>2924.4565209629927</v>
      </c>
      <c r="CM60">
        <f>'Costing 100 Lmin Feed Orig'!DE60</f>
        <v>39625.826528698344</v>
      </c>
      <c r="CN60">
        <f>'Costing 100 Lmin Feed Orig'!DF60</f>
        <v>4586243.4239371875</v>
      </c>
      <c r="CO60">
        <f>'Costing 100 Lmin Feed Orig'!DG60</f>
        <v>11794834.586807497</v>
      </c>
      <c r="CP60">
        <f>'Costing 100 Lmin Feed Orig'!DH60</f>
        <v>2275209.1661185985</v>
      </c>
      <c r="CQ60">
        <f>'Costing 100 Lmin Feed Orig'!DI60</f>
        <v>14083914.336508472</v>
      </c>
      <c r="CR60">
        <f>'Costing 100 Lmin Feed Orig'!DJ60</f>
        <v>1662824.8986326549</v>
      </c>
      <c r="CS60">
        <f>CN60*(BK60/10000)^0.72*((A60+1)/3)^0.6*('CAPEX+OPEX'!$G$116/'CAPEX+OPEX'!$G$114)</f>
        <v>751295.09040276916</v>
      </c>
      <c r="CT60">
        <f>CO60*(BK60/10000)^0.72*((A60+1)/3)^0.6*('CAPEX+OPEX'!$G$116/'CAPEX+OPEX'!$G$114)</f>
        <v>1932169.8606163235</v>
      </c>
      <c r="CU60">
        <f>CP60*(BK60/10000)^0.72*((A60+1)/3)^0.6*('CAPEX+OPEX'!$G$116/'CAPEX+OPEX'!$G$114)</f>
        <v>372713.20297186484</v>
      </c>
      <c r="CV60">
        <f>CQ60*(BK60/10000)^0.72*((A60+1)/3)^0.6*('CAPEX+OPEX'!$G$116/'CAPEX+OPEX'!$G$114)</f>
        <v>2307155.2721002945</v>
      </c>
      <c r="CW60">
        <f>CR60*(BK60/10000)^0.72*((A60+1)/3)^0.6*('CAPEX+OPEX'!$G$116/'CAPEX+OPEX'!$G$114)</f>
        <v>272395.52441150707</v>
      </c>
      <c r="CX60">
        <f t="shared" si="13"/>
        <v>5635728.9505027588</v>
      </c>
      <c r="CY60">
        <f>CN60*(BM60/10000)^0.72*((AF60+1)/3)^0.6*('CAPEX+OPEX'!$G$116/'CAPEX+OPEX'!$G$114)</f>
        <v>884659.30262568092</v>
      </c>
      <c r="CZ60">
        <f>CO60*(BM60/10000)^0.72*((AF60+1)/3)^0.6*('CAPEX+OPEX'!$G$116/'CAPEX+OPEX'!$G$114)</f>
        <v>2275154.0150899086</v>
      </c>
      <c r="DA60">
        <f>CP60*(BM60/10000)^0.72*((AF60+1)/3)^0.6*('CAPEX+OPEX'!$G$116/'CAPEX+OPEX'!$G$114)</f>
        <v>438874.42688292934</v>
      </c>
      <c r="DB60">
        <f>CQ60*(BM60/10000)^0.72*((AF60+1)/3)^0.6*('CAPEX+OPEX'!$G$116/'CAPEX+OPEX'!$G$114)</f>
        <v>2716703.9957245099</v>
      </c>
      <c r="DC60">
        <f>CR60*(BM60/10000)^0.72*((AF60+1)/3)^0.6*('CAPEX+OPEX'!$G$116/'CAPEX+OPEX'!$G$114)</f>
        <v>320749.11408652045</v>
      </c>
      <c r="DD60">
        <f t="shared" si="14"/>
        <v>6636140.8544095494</v>
      </c>
      <c r="DE60">
        <f>CX60+DD60+1.15*(SUM(CI60:CL60)+SUM(CB60:CE60))</f>
        <v>12368619.261356812</v>
      </c>
      <c r="DF60">
        <f t="shared" si="15"/>
        <v>824574.61742378748</v>
      </c>
      <c r="DG60">
        <f>(BS60+BT60)*'Oxidant Feed Composition'!$N$28*60*7200</f>
        <v>20475472.396244895</v>
      </c>
      <c r="DH60">
        <f>((CG60+CH60)*'Reagent cost'!$C$17/1000*'Reagent cost'!$H$17+(CG60+CH60)*0.5*'Reagent cost'!$C$16/1000*'Reagent cost'!$H$16*1.5)*60*7200</f>
        <v>8710953.3773832601</v>
      </c>
      <c r="DI60">
        <f>CF60*'Reagent cost'!$C$17/1000*'Reagent cost'!$H$17*60*7200</f>
        <v>504921.59999999998</v>
      </c>
      <c r="DJ60">
        <f t="shared" si="16"/>
        <v>101.82145040924509</v>
      </c>
      <c r="DK60">
        <f t="shared" si="17"/>
        <v>1192.7592646577802</v>
      </c>
      <c r="DL60">
        <f t="shared" si="18"/>
        <v>35631170.345211864</v>
      </c>
      <c r="DM60">
        <f>BK60*(B60*(409.81+2)/1000+C60*(248.2+2*22.99)/1000+D60*(315.6+3*22.99)/1000+0.1*58.44/1000)</f>
        <v>0.70639694042110623</v>
      </c>
      <c r="DN60">
        <f>(BS60+BT60)/1000*('Oxidant Feed Composition'!$B$11*'Oxidant Feed Composition'!$O$20+'Oxidant Feed Composition'!$D$11*'Oxidant Feed Composition'!$O$21+'Oxidant Feed Composition'!$F$11*'Oxidant Feed Composition'!$O$27-'Oxidant Feed Composition'!$J$15*18.015)</f>
        <v>2.1506956592957529</v>
      </c>
      <c r="DO60">
        <f>(BU60+BV60)/1000*(0.2*368.34+0.4*58.44)</f>
        <v>1.489296082916862</v>
      </c>
      <c r="DP60">
        <f>BK60/1000*(B60*195.08+C60*106.42+D60*102.91)</f>
        <v>4.999938342565946E-2</v>
      </c>
      <c r="DQ60">
        <f>SUM(DM60:DO60)-DP60</f>
        <v>4.2963892992080615</v>
      </c>
      <c r="DR60">
        <f>DQ60*60*7200*0.33</f>
        <v>612493.25849510136</v>
      </c>
      <c r="DS60">
        <v>1.2</v>
      </c>
      <c r="DT60">
        <f>BM60/60*(AM60*4+AN60*2+AO60*3)*96485/DV60</f>
        <v>1405.9070716810863</v>
      </c>
      <c r="DU60">
        <f>BN60*BA60*(AP60*4+AQ60*2+AR60*3)*96485/DV60/60</f>
        <v>705.84345029620977</v>
      </c>
      <c r="DV60">
        <v>0.7</v>
      </c>
      <c r="DW60">
        <f>0.499*((BK60/3.78541*15)^(-0.146))*BK60/3.78541*15*300*(1+(A60-2)/9)</f>
        <v>41280.414286181804</v>
      </c>
      <c r="DX60">
        <f>0.248*((BK60/3.78541*15)^(-0.144))*BK60/3.78541*15*300*(1+(A60-2)/3)</f>
        <v>37373.489075065132</v>
      </c>
      <c r="DY60">
        <f>0.105*((BK60/3.78541*15)^(-0.144))*BK60/3.78541*15*300*(1+(A60-2)/3)</f>
        <v>15823.453035813865</v>
      </c>
      <c r="DZ60">
        <f>0.058*((BK60/3.78541*15)^(-0.151))*BK60/3.78541*15*300*(1+(A60-2)/3)</f>
        <v>8382.1245272768647</v>
      </c>
      <c r="EA60">
        <f>0.056*((BK60/3.78541*15)^(-0.144))*BK60/3.78541*15*300*(1+(A60-2)/3)</f>
        <v>8439.174952434063</v>
      </c>
      <c r="EB60">
        <f>DS60*DT60/(3.6*10^6)*3600*7200*0.07</f>
        <v>850.29259695272106</v>
      </c>
      <c r="EC60">
        <f>0.499*((BM60/3.78541*15)^(-0.146))*BM60/3.78541*15*300*(1+(AF60-2)/9)</f>
        <v>48856.86409707307</v>
      </c>
      <c r="ED60">
        <f>0.248*((BM60/3.78541*15)^(-0.144))*BM60/3.78541*15*300*(1+(AF60-2)/3)</f>
        <v>50432.981593880453</v>
      </c>
      <c r="EE60">
        <f>0.105*((BM60/3.78541*15)^(-0.144))*BM60/3.78541*15*300*(1+(AF60-2)/3)</f>
        <v>21352.673658699387</v>
      </c>
      <c r="EF60">
        <f>0.058*((BM60/3.78541*15)^(-0.151))*BM60/3.78541*15*300*(1+(AF60-2)/3)</f>
        <v>11317.402316740587</v>
      </c>
      <c r="EG60">
        <f>0.056*((BM60/3.78541*15)^(-0.144))*BM60/3.78541*15*300*(1+(AF60-2)/3)</f>
        <v>11388.092617973009</v>
      </c>
      <c r="EH60">
        <f>DS60*DU60/(3.6*10^6)*3600*7200*0.07</f>
        <v>426.8941187391477</v>
      </c>
      <c r="EI60">
        <f>SUM(DW60:EH60)</f>
        <v>255923.8568768301</v>
      </c>
      <c r="EJ60">
        <f>EI60+DR60+DL60</f>
        <v>36499587.460583799</v>
      </c>
      <c r="EK60">
        <f>EJ60+DF60</f>
        <v>37324162.078007586</v>
      </c>
      <c r="EL60">
        <f>EK60/(BK60*60*7200)</f>
        <v>0.86398523328721266</v>
      </c>
      <c r="EM60">
        <f>EK60/(BM60*(AM60*195.084/1000+AN60*106.42/1000+AO60*102.911/1000)*60*7200)</f>
        <v>2890.4262906270174</v>
      </c>
      <c r="EN60">
        <f>EK60/(BN60*BA60*(AP60*195.084/1000+AQ60*106.42/1000+AR60*102.911/1000)*60*7200)</f>
        <v>5304.3564349485741</v>
      </c>
    </row>
    <row r="61" spans="1:144">
      <c r="A61">
        <f>'Costing 100 Lmin Feed Orig'!A61</f>
        <v>8</v>
      </c>
      <c r="B61">
        <f>'Costing 100 Lmin Feed Orig'!B61</f>
        <v>1.54143585092054E-3</v>
      </c>
      <c r="C61">
        <f>'Costing 100 Lmin Feed Orig'!C61</f>
        <v>1.54143585092054E-3</v>
      </c>
      <c r="D61">
        <f>'Costing 100 Lmin Feed Orig'!D61</f>
        <v>3.4254130020456501E-4</v>
      </c>
      <c r="E61">
        <f>'Costing 100 Lmin Feed Orig'!E61</f>
        <v>0</v>
      </c>
      <c r="F61">
        <f>'Costing 100 Lmin Feed Orig'!F61</f>
        <v>0</v>
      </c>
      <c r="G61">
        <f>'Costing 100 Lmin Feed Orig'!G61</f>
        <v>0</v>
      </c>
      <c r="H61">
        <f>'Costing 100 Lmin Feed Orig'!H61</f>
        <v>1.7762434284205799E-5</v>
      </c>
      <c r="I61">
        <f>'Costing 100 Lmin Feed Orig'!I61</f>
        <v>4.4591984978445998E-9</v>
      </c>
      <c r="J61">
        <f>'Costing 100 Lmin Feed Orig'!J61</f>
        <v>3.37570976171142E-4</v>
      </c>
      <c r="K61">
        <f>'Costing 100 Lmin Feed Orig'!K61</f>
        <v>0.13846015972746001</v>
      </c>
      <c r="L61">
        <f>'Costing 100 Lmin Feed Orig'!L61</f>
        <v>0.14007387303476199</v>
      </c>
      <c r="M61">
        <f>'Costing 100 Lmin Feed Orig'!M61</f>
        <v>4.5166625081916902E-4</v>
      </c>
      <c r="N61">
        <f>'Costing 100 Lmin Feed Orig'!N61</f>
        <v>-2.6107588313450902E-16</v>
      </c>
      <c r="O61">
        <f>'Costing 100 Lmin Feed Orig'!O61</f>
        <v>-1.18524981496115E-14</v>
      </c>
      <c r="P61">
        <f>'Costing 100 Lmin Feed Orig'!P61</f>
        <v>-2.5241581828178102E-19</v>
      </c>
      <c r="Q61">
        <f>'Costing 100 Lmin Feed Orig'!Q61</f>
        <v>0.110044175857931</v>
      </c>
      <c r="R61">
        <f>'Costing 100 Lmin Feed Orig'!R61</f>
        <v>98.548985471108097</v>
      </c>
      <c r="S61">
        <f>'Costing 100 Lmin Feed Orig'!S61</f>
        <v>500</v>
      </c>
      <c r="T61">
        <f>'Costing 100 Lmin Feed Orig'!T61</f>
        <v>95</v>
      </c>
      <c r="U61">
        <f>'Costing 100 Lmin Feed Orig'!U61</f>
        <v>1</v>
      </c>
      <c r="V61">
        <f>'Costing 100 Lmin Feed Orig'!V61</f>
        <v>0.1</v>
      </c>
      <c r="W61">
        <f>'Costing 100 Lmin Feed Orig'!W61</f>
        <v>90.872596591664205</v>
      </c>
      <c r="X61" t="str">
        <f>'Costing 100 Lmin Feed Orig'!X61</f>
        <v>ddFc</v>
      </c>
      <c r="Y61">
        <f>'Costing 100 Lmin Feed Orig'!Y61</f>
        <v>1</v>
      </c>
      <c r="Z61">
        <f>'Costing 100 Lmin Feed Orig'!Z61</f>
        <v>0.28318429382522198</v>
      </c>
      <c r="AA61">
        <f>'Costing 100 Lmin Feed Orig'!AA61</f>
        <v>0.56945642916197003</v>
      </c>
      <c r="AB61">
        <f>'Costing 100 Lmin Feed Orig'!AB61</f>
        <v>3.7698628972227502E-3</v>
      </c>
      <c r="AC61">
        <f>'Costing 100 Lmin Feed Orig'!AC61</f>
        <v>1822.2107908876901</v>
      </c>
      <c r="AD61">
        <f>'Costing 100 Lmin Feed Orig'!AD61</f>
        <v>2662.6059073104898</v>
      </c>
      <c r="AE61">
        <f>'Costing 100 Lmin Feed Orig'!AE61</f>
        <v>2401.5030938442701</v>
      </c>
      <c r="AF61">
        <f>'Costing 100 Lmin Feed Orig'!AF61</f>
        <v>13</v>
      </c>
      <c r="AG61">
        <f>'Costing 100 Lmin Feed Orig'!AG61</f>
        <v>1.6497294784823999E-3</v>
      </c>
      <c r="AH61">
        <f>'Costing 100 Lmin Feed Orig'!AH61</f>
        <v>1.66895660069658E-3</v>
      </c>
      <c r="AI61">
        <f>'Costing 100 Lmin Feed Orig'!AI61</f>
        <v>5.38152729188446E-6</v>
      </c>
      <c r="AJ61">
        <f>'Costing 100 Lmin Feed Orig'!AJ61</f>
        <v>0</v>
      </c>
      <c r="AK61">
        <f>'Costing 100 Lmin Feed Orig'!AK61</f>
        <v>0</v>
      </c>
      <c r="AL61">
        <f>'Costing 100 Lmin Feed Orig'!AL61</f>
        <v>0</v>
      </c>
      <c r="AM61">
        <f>'Costing 100 Lmin Feed Orig'!AM61</f>
        <v>1.6127812941209201E-3</v>
      </c>
      <c r="AN61">
        <f>'Costing 100 Lmin Feed Orig'!AN61</f>
        <v>7.9537091597651401E-5</v>
      </c>
      <c r="AO61">
        <f>'Costing 100 Lmin Feed Orig'!AO61</f>
        <v>5.34613440871419E-6</v>
      </c>
      <c r="AP61">
        <f>'Costing 100 Lmin Feed Orig'!AP61</f>
        <v>1.73322090687147E-3</v>
      </c>
      <c r="AQ61">
        <f>'Costing 100 Lmin Feed Orig'!AQ61</f>
        <v>7.4558876723361894E-2</v>
      </c>
      <c r="AR61">
        <f>'Costing 100 Lmin Feed Orig'!AR61</f>
        <v>1.6602625034295099E-6</v>
      </c>
      <c r="AS61">
        <f>'Costing 100 Lmin Feed Orig'!AS61</f>
        <v>-3.2526065174565099E-19</v>
      </c>
      <c r="AT61">
        <f>'Costing 100 Lmin Feed Orig'!AT61</f>
        <v>-1.5178830414797E-17</v>
      </c>
      <c r="AU61">
        <f>'Costing 100 Lmin Feed Orig'!AU61</f>
        <v>5.3601303693436099E-22</v>
      </c>
      <c r="AV61">
        <f>'Costing 100 Lmin Feed Orig'!AV61</f>
        <v>0.19688758804081399</v>
      </c>
      <c r="AW61">
        <f>'Costing 100 Lmin Feed Orig'!AW61</f>
        <v>99.342326420537802</v>
      </c>
      <c r="AX61">
        <f>'Costing 100 Lmin Feed Orig'!AX61</f>
        <v>499.99999999999898</v>
      </c>
      <c r="AY61">
        <f>'Costing 100 Lmin Feed Orig'!AY61</f>
        <v>95</v>
      </c>
      <c r="AZ61">
        <f>'Costing 100 Lmin Feed Orig'!AZ61</f>
        <v>0.92358985913147196</v>
      </c>
      <c r="BA61">
        <f>'Costing 100 Lmin Feed Orig'!BA61</f>
        <v>0.1</v>
      </c>
      <c r="BB61">
        <f>'Costing 100 Lmin Feed Orig'!BB61</f>
        <v>46.909501422711003</v>
      </c>
      <c r="BC61" t="str">
        <f>'Costing 100 Lmin Feed Orig'!BC61</f>
        <v>coeFc</v>
      </c>
      <c r="BD61">
        <f>'Costing 100 Lmin Feed Orig'!BD61</f>
        <v>1</v>
      </c>
      <c r="BE61">
        <f>'Costing 100 Lmin Feed Orig'!BE61</f>
        <v>1.8775014999999999E-2</v>
      </c>
      <c r="BF61">
        <f>'Costing 100 Lmin Feed Orig'!BF61</f>
        <v>0.10492961100000001</v>
      </c>
      <c r="BG61">
        <f>'Costing 100 Lmin Feed Orig'!BG61</f>
        <v>1.814625E-3</v>
      </c>
      <c r="BH61">
        <f>'Costing 100 Lmin Feed Orig'!BH61</f>
        <v>285.1951444</v>
      </c>
      <c r="BI61">
        <f>'Costing 100 Lmin Feed Orig'!BI61</f>
        <v>2169.8944889999998</v>
      </c>
      <c r="BJ61">
        <f>'Costing 100 Lmin Feed Orig'!BJ61</f>
        <v>866.49409060000005</v>
      </c>
      <c r="BK61">
        <f>'Costing 100 Lmin Feed Orig'!BK61</f>
        <v>100</v>
      </c>
      <c r="BL61">
        <f>'Costing 100 Lmin Feed Orig'!BL61</f>
        <v>11.004417585793099</v>
      </c>
      <c r="BM61">
        <f>'Costing 100 Lmin Feed Orig'!BM61</f>
        <v>92.358985913147194</v>
      </c>
      <c r="BN61">
        <f>'Costing 100 Lmin Feed Orig'!BN61</f>
        <v>19.688758804081399</v>
      </c>
      <c r="BO61">
        <f t="shared" si="1"/>
        <v>220.08835171586199</v>
      </c>
      <c r="BP61">
        <f t="shared" si="2"/>
        <v>590.66276412244201</v>
      </c>
      <c r="BQ61">
        <f t="shared" si="3"/>
        <v>22.008835171586199</v>
      </c>
      <c r="BR61">
        <f t="shared" si="4"/>
        <v>59.066276412244207</v>
      </c>
      <c r="BS61">
        <f>1.2*0.5*BL61*V61/'Oxidant Feed Composition'!$N$22</f>
        <v>6.6026505514758593</v>
      </c>
      <c r="BT61">
        <f>1.2*0.5*BN61*BA61/'Oxidant Feed Composition'!$N$22</f>
        <v>11.813255282448839</v>
      </c>
      <c r="BU61">
        <f t="shared" si="5"/>
        <v>5.5022087928965497</v>
      </c>
      <c r="BV61">
        <f t="shared" si="6"/>
        <v>9.8443794020406994</v>
      </c>
      <c r="BW61">
        <f t="shared" si="7"/>
        <v>86.856777120250641</v>
      </c>
      <c r="BX61">
        <f t="shared" si="0"/>
        <v>35.214136274537921</v>
      </c>
      <c r="BY61">
        <f t="shared" si="8"/>
        <v>206.7268069978806</v>
      </c>
      <c r="BZ61">
        <f t="shared" si="9"/>
        <v>63.004028173060476</v>
      </c>
      <c r="CA61">
        <f t="shared" si="10"/>
        <v>59.066276412244193</v>
      </c>
      <c r="CB61">
        <f>BO61*'Reagent cost'!$G$11*'Reagent cost'!$H$11</f>
        <v>2905.1662426493785</v>
      </c>
      <c r="CC61">
        <f>BP61*'Reagent cost'!$G$11*'Reagent cost'!$H$11</f>
        <v>7796.7484864162352</v>
      </c>
      <c r="CD61">
        <f>BQ61*'Reagent cost'!$C$18/1000*'Reagent cost'!$H$18</f>
        <v>3509.9789962792502</v>
      </c>
      <c r="CE61">
        <f>BR61*'Ligand cost'!$B$56*'Ligand cost'!$J$56</f>
        <v>60137.014037489032</v>
      </c>
      <c r="CF61">
        <f t="shared" si="11"/>
        <v>10</v>
      </c>
      <c r="CG61">
        <f t="shared" si="12"/>
        <v>2.2008835171586201</v>
      </c>
      <c r="CH61">
        <f t="shared" si="12"/>
        <v>3.9377517608162798</v>
      </c>
      <c r="CI61">
        <f>7963.6*(BX61/1000)^0.6*1.7*('CAPEX+OPEX'!$G$116/'CAPEX+OPEX'!$G$115)</f>
        <v>2144.228934815284</v>
      </c>
      <c r="CJ61">
        <f>7963.6*(BY61/1000)^0.6*1.7*('CAPEX+OPEX'!$G$116/'CAPEX+OPEX'!$G$115)</f>
        <v>6201.2466571653367</v>
      </c>
      <c r="CK61">
        <f>7963.6*(BZ61/1000)^0.6*1.7*('CAPEX+OPEX'!$G$116/'CAPEX+OPEX'!$G$115)</f>
        <v>3039.9183440626803</v>
      </c>
      <c r="CL61">
        <f>7963.6*(CA61/1000)^0.6*1.7*('CAPEX+OPEX'!$G$116/'CAPEX+OPEX'!$G$115)</f>
        <v>2924.4532550725799</v>
      </c>
      <c r="CM61">
        <f>'Costing 100 Lmin Feed Orig'!DE61</f>
        <v>39625.826528698344</v>
      </c>
      <c r="CN61">
        <f>'Costing 100 Lmin Feed Orig'!DF61</f>
        <v>4586243.4239371875</v>
      </c>
      <c r="CO61">
        <f>'Costing 100 Lmin Feed Orig'!DG61</f>
        <v>11794834.586807497</v>
      </c>
      <c r="CP61">
        <f>'Costing 100 Lmin Feed Orig'!DH61</f>
        <v>2275209.1661185985</v>
      </c>
      <c r="CQ61">
        <f>'Costing 100 Lmin Feed Orig'!DI61</f>
        <v>14083914.336508472</v>
      </c>
      <c r="CR61">
        <f>'Costing 100 Lmin Feed Orig'!DJ61</f>
        <v>1662824.8986326549</v>
      </c>
      <c r="CS61">
        <f>CN61*(BK61/10000)^0.72*((A61+1)/3)^0.6*('CAPEX+OPEX'!$G$116/'CAPEX+OPEX'!$G$114)</f>
        <v>751295.09040276916</v>
      </c>
      <c r="CT61">
        <f>CO61*(BK61/10000)^0.72*((A61+1)/3)^0.6*('CAPEX+OPEX'!$G$116/'CAPEX+OPEX'!$G$114)</f>
        <v>1932169.8606163235</v>
      </c>
      <c r="CU61">
        <f>CP61*(BK61/10000)^0.72*((A61+1)/3)^0.6*('CAPEX+OPEX'!$G$116/'CAPEX+OPEX'!$G$114)</f>
        <v>372713.20297186484</v>
      </c>
      <c r="CV61">
        <f>CQ61*(BK61/10000)^0.72*((A61+1)/3)^0.6*('CAPEX+OPEX'!$G$116/'CAPEX+OPEX'!$G$114)</f>
        <v>2307155.2721002945</v>
      </c>
      <c r="CW61">
        <f>CR61*(BK61/10000)^0.72*((A61+1)/3)^0.6*('CAPEX+OPEX'!$G$116/'CAPEX+OPEX'!$G$114)</f>
        <v>272395.52441150707</v>
      </c>
      <c r="CX61">
        <f t="shared" si="13"/>
        <v>5635728.9505027588</v>
      </c>
      <c r="CY61">
        <f>CN61*(BM61/10000)^0.72*((AF61+1)/3)^0.6*('CAPEX+OPEX'!$G$116/'CAPEX+OPEX'!$G$114)</f>
        <v>924883.13167584944</v>
      </c>
      <c r="CZ61">
        <f>CO61*(BM61/10000)^0.72*((AF61+1)/3)^0.6*('CAPEX+OPEX'!$G$116/'CAPEX+OPEX'!$G$114)</f>
        <v>2378601.0775852241</v>
      </c>
      <c r="DA61">
        <f>CP61*(BM61/10000)^0.72*((AF61+1)/3)^0.6*('CAPEX+OPEX'!$G$116/'CAPEX+OPEX'!$G$114)</f>
        <v>458829.23871730972</v>
      </c>
      <c r="DB61">
        <f>CQ61*(BM61/10000)^0.72*((AF61+1)/3)^0.6*('CAPEX+OPEX'!$G$116/'CAPEX+OPEX'!$G$114)</f>
        <v>2840227.5225552334</v>
      </c>
      <c r="DC61">
        <f>CR61*(BM61/10000)^0.72*((AF61+1)/3)^0.6*('CAPEX+OPEX'!$G$116/'CAPEX+OPEX'!$G$114)</f>
        <v>335332.98552122596</v>
      </c>
      <c r="DD61">
        <f t="shared" si="14"/>
        <v>6937873.956054843</v>
      </c>
      <c r="DE61">
        <f>CX61+DD61+1.15*(SUM(CI61:CL61)+SUM(CB61:CE61))</f>
        <v>12675560.474754643</v>
      </c>
      <c r="DF61">
        <f t="shared" si="15"/>
        <v>845037.36498364282</v>
      </c>
      <c r="DG61">
        <f>(BS61+BT61)*'Oxidant Feed Composition'!$N$28*60*7200</f>
        <v>20475447.94979779</v>
      </c>
      <c r="DH61">
        <f>((CG61+CH61)*'Reagent cost'!$C$17/1000*'Reagent cost'!$H$17+(CG61+CH61)*0.5*'Reagent cost'!$C$16/1000*'Reagent cost'!$H$16*1.5)*60*7200</f>
        <v>8710942.9770439211</v>
      </c>
      <c r="DI61">
        <f>CF61*'Reagent cost'!$C$17/1000*'Reagent cost'!$H$17*60*7200</f>
        <v>504921.59999999998</v>
      </c>
      <c r="DJ61">
        <f t="shared" si="16"/>
        <v>107.01914729065615</v>
      </c>
      <c r="DK61">
        <f t="shared" si="17"/>
        <v>1272.9398606753657</v>
      </c>
      <c r="DL61">
        <f t="shared" si="18"/>
        <v>35631230.98301962</v>
      </c>
      <c r="DM61">
        <f>BK61*(B61*(409.81+2)/1000+C61*(248.2+2*22.99)/1000+D61*(315.6+3*22.99)/1000+0.1*58.44/1000)</f>
        <v>0.70639694042110623</v>
      </c>
      <c r="DN61">
        <f>(BS61+BT61)/1000*('Oxidant Feed Composition'!$B$11*'Oxidant Feed Composition'!$O$20+'Oxidant Feed Composition'!$D$11*'Oxidant Feed Composition'!$O$21+'Oxidant Feed Composition'!$F$11*'Oxidant Feed Composition'!$O$27-'Oxidant Feed Composition'!$J$15*18.015)</f>
        <v>2.1506930914982116</v>
      </c>
      <c r="DO61">
        <f>(BU61+BV61)/1000*(0.2*368.34+0.4*58.44)</f>
        <v>1.4892943047894904</v>
      </c>
      <c r="DP61">
        <f>BK61/1000*(B61*195.08+C61*106.42+D61*102.91)</f>
        <v>4.999938342565946E-2</v>
      </c>
      <c r="DQ61">
        <f>SUM(DM61:DO61)-DP61</f>
        <v>4.2963849532831482</v>
      </c>
      <c r="DR61">
        <f>DQ61*60*7200*0.33</f>
        <v>612492.63894004561</v>
      </c>
      <c r="DS61">
        <v>1.2</v>
      </c>
      <c r="DT61">
        <f>BM61/60*(AM61*4+AN61*2+AO61*3)*96485/DV61</f>
        <v>1405.9072864386719</v>
      </c>
      <c r="DU61">
        <f>BN61*BA61*(AP61*4+AQ61*2+AR61*3)*96485/DV61/60</f>
        <v>705.84323552017645</v>
      </c>
      <c r="DV61">
        <v>0.7</v>
      </c>
      <c r="DW61">
        <f>0.499*((BK61/3.78541*15)^(-0.146))*BK61/3.78541*15*300*(1+(A61-2)/9)</f>
        <v>41280.414286181804</v>
      </c>
      <c r="DX61">
        <f>0.248*((BK61/3.78541*15)^(-0.144))*BK61/3.78541*15*300*(1+(A61-2)/3)</f>
        <v>37373.489075065132</v>
      </c>
      <c r="DY61">
        <f>0.105*((BK61/3.78541*15)^(-0.144))*BK61/3.78541*15*300*(1+(A61-2)/3)</f>
        <v>15823.453035813865</v>
      </c>
      <c r="DZ61">
        <f>0.058*((BK61/3.78541*15)^(-0.151))*BK61/3.78541*15*300*(1+(A61-2)/3)</f>
        <v>8382.1245272768647</v>
      </c>
      <c r="EA61">
        <f>0.056*((BK61/3.78541*15)^(-0.144))*BK61/3.78541*15*300*(1+(A61-2)/3)</f>
        <v>8439.174952434063</v>
      </c>
      <c r="EB61">
        <f>DS61*DT61/(3.6*10^6)*3600*7200*0.07</f>
        <v>850.29272683810882</v>
      </c>
      <c r="EC61">
        <f>0.499*((BM61/3.78541*15)^(-0.146))*BM61/3.78541*15*300*(1+(AF61-2)/9)</f>
        <v>51428.277996919023</v>
      </c>
      <c r="ED61">
        <f>0.248*((BM61/3.78541*15)^(-0.144))*BM61/3.78541*15*300*(1+(AF61-2)/3)</f>
        <v>54312.441716486632</v>
      </c>
      <c r="EE61">
        <f>0.105*((BM61/3.78541*15)^(-0.144))*BM61/3.78541*15*300*(1+(AF61-2)/3)</f>
        <v>22995.187017060871</v>
      </c>
      <c r="EF61">
        <f>0.058*((BM61/3.78541*15)^(-0.151))*BM61/3.78541*15*300*(1+(AF61-2)/3)</f>
        <v>12187.971725720628</v>
      </c>
      <c r="EG61">
        <f>0.056*((BM61/3.78541*15)^(-0.144))*BM61/3.78541*15*300*(1+(AF61-2)/3)</f>
        <v>12264.099742432467</v>
      </c>
      <c r="EH61">
        <f>DS61*DU61/(3.6*10^6)*3600*7200*0.07</f>
        <v>426.89398884260271</v>
      </c>
      <c r="EI61">
        <f>SUM(DW61:EH61)</f>
        <v>265763.82079107204</v>
      </c>
      <c r="EJ61">
        <f>EI61+DR61+DL61</f>
        <v>36509487.442750737</v>
      </c>
      <c r="EK61">
        <f>EJ61+DF61</f>
        <v>37354524.807734378</v>
      </c>
      <c r="EL61">
        <f>EK61/(BK61*60*7200)</f>
        <v>0.86468807425311056</v>
      </c>
      <c r="EM61">
        <f>EK61/(BM61*(AM61*195.084/1000+AN61*106.42/1000+AO61*102.911/1000)*60*7200)</f>
        <v>2892.7771733838422</v>
      </c>
      <c r="EN61">
        <f>EK61/(BN61*BA61*(AP61*195.084/1000+AQ61*106.42/1000+AR61*102.911/1000)*60*7200)</f>
        <v>5308.6729504709256</v>
      </c>
    </row>
    <row r="62" spans="1:144">
      <c r="A62">
        <f>'Costing 100 Lmin Feed Orig'!A62</f>
        <v>9</v>
      </c>
      <c r="B62">
        <f>'Costing 100 Lmin Feed Orig'!B62</f>
        <v>1.54143585092054E-3</v>
      </c>
      <c r="C62">
        <f>'Costing 100 Lmin Feed Orig'!C62</f>
        <v>1.54143585092054E-3</v>
      </c>
      <c r="D62">
        <f>'Costing 100 Lmin Feed Orig'!D62</f>
        <v>3.4254130020456501E-4</v>
      </c>
      <c r="E62">
        <f>'Costing 100 Lmin Feed Orig'!E62</f>
        <v>0</v>
      </c>
      <c r="F62">
        <f>'Costing 100 Lmin Feed Orig'!F62</f>
        <v>0</v>
      </c>
      <c r="G62">
        <f>'Costing 100 Lmin Feed Orig'!G62</f>
        <v>0</v>
      </c>
      <c r="H62">
        <f>'Costing 100 Lmin Feed Orig'!H62</f>
        <v>1.7768596981705501E-5</v>
      </c>
      <c r="I62">
        <f>'Costing 100 Lmin Feed Orig'!I62</f>
        <v>1.5331283704498101E-9</v>
      </c>
      <c r="J62">
        <f>'Costing 100 Lmin Feed Orig'!J62</f>
        <v>3.3763247208936601E-4</v>
      </c>
      <c r="K62">
        <f>'Costing 100 Lmin Feed Orig'!K62</f>
        <v>0.13890601070001499</v>
      </c>
      <c r="L62">
        <f>'Costing 100 Lmin Feed Orig'!L62</f>
        <v>0.14052575540227799</v>
      </c>
      <c r="M62">
        <f>'Costing 100 Lmin Feed Orig'!M62</f>
        <v>4.4751616793740602E-4</v>
      </c>
      <c r="N62">
        <f>'Costing 100 Lmin Feed Orig'!N62</f>
        <v>-5.0090140368830299E-17</v>
      </c>
      <c r="O62">
        <f>'Costing 100 Lmin Feed Orig'!O62</f>
        <v>-6.2343793322261397E-15</v>
      </c>
      <c r="P62">
        <f>'Costing 100 Lmin Feed Orig'!P62</f>
        <v>1.7787691892340301E-20</v>
      </c>
      <c r="Q62">
        <f>'Costing 100 Lmin Feed Orig'!Q62</f>
        <v>0.10969051996097</v>
      </c>
      <c r="R62">
        <f>'Costing 100 Lmin Feed Orig'!R62</f>
        <v>98.566938318892298</v>
      </c>
      <c r="S62">
        <f>'Costing 100 Lmin Feed Orig'!S62</f>
        <v>500</v>
      </c>
      <c r="T62">
        <f>'Costing 100 Lmin Feed Orig'!T62</f>
        <v>95</v>
      </c>
      <c r="U62">
        <f>'Costing 100 Lmin Feed Orig'!U62</f>
        <v>1</v>
      </c>
      <c r="V62">
        <f>'Costing 100 Lmin Feed Orig'!V62</f>
        <v>0.1</v>
      </c>
      <c r="W62">
        <f>'Costing 100 Lmin Feed Orig'!W62</f>
        <v>91.165581160141301</v>
      </c>
      <c r="X62" t="str">
        <f>'Costing 100 Lmin Feed Orig'!X62</f>
        <v>ddFc</v>
      </c>
      <c r="Y62">
        <f>'Costing 100 Lmin Feed Orig'!Y62</f>
        <v>1</v>
      </c>
      <c r="Z62">
        <f>'Costing 100 Lmin Feed Orig'!Z62</f>
        <v>0.28318429382522198</v>
      </c>
      <c r="AA62">
        <f>'Costing 100 Lmin Feed Orig'!AA62</f>
        <v>0.56945642916197003</v>
      </c>
      <c r="AB62">
        <f>'Costing 100 Lmin Feed Orig'!AB62</f>
        <v>3.7698628972227502E-3</v>
      </c>
      <c r="AC62">
        <f>'Costing 100 Lmin Feed Orig'!AC62</f>
        <v>1822.2107908876901</v>
      </c>
      <c r="AD62">
        <f>'Costing 100 Lmin Feed Orig'!AD62</f>
        <v>2662.6059073104898</v>
      </c>
      <c r="AE62">
        <f>'Costing 100 Lmin Feed Orig'!AE62</f>
        <v>2401.5030938442701</v>
      </c>
      <c r="AF62">
        <f>'Costing 100 Lmin Feed Orig'!AF62</f>
        <v>4</v>
      </c>
      <c r="AG62">
        <f>'Costing 100 Lmin Feed Orig'!AG62</f>
        <v>1.6497485970141401E-3</v>
      </c>
      <c r="AH62">
        <f>'Costing 100 Lmin Feed Orig'!AH62</f>
        <v>1.6689858606617799E-3</v>
      </c>
      <c r="AI62">
        <f>'Costing 100 Lmin Feed Orig'!AI62</f>
        <v>5.3150268046377499E-6</v>
      </c>
      <c r="AJ62">
        <f>'Costing 100 Lmin Feed Orig'!AJ62</f>
        <v>0</v>
      </c>
      <c r="AK62">
        <f>'Costing 100 Lmin Feed Orig'!AK62</f>
        <v>0</v>
      </c>
      <c r="AL62">
        <f>'Costing 100 Lmin Feed Orig'!AL62</f>
        <v>0</v>
      </c>
      <c r="AM62">
        <f>'Costing 100 Lmin Feed Orig'!AM62</f>
        <v>1.6048321319618701E-3</v>
      </c>
      <c r="AN62">
        <f>'Costing 100 Lmin Feed Orig'!AN62</f>
        <v>7.9192002642469804E-5</v>
      </c>
      <c r="AO62">
        <f>'Costing 100 Lmin Feed Orig'!AO62</f>
        <v>5.2728464102818699E-6</v>
      </c>
      <c r="AP62">
        <f>'Costing 100 Lmin Feed Orig'!AP62</f>
        <v>1.9874961185591101E-3</v>
      </c>
      <c r="AQ62">
        <f>'Costing 100 Lmin Feed Orig'!AQ62</f>
        <v>7.0346344441502298E-2</v>
      </c>
      <c r="AR62">
        <f>'Costing 100 Lmin Feed Orig'!AR62</f>
        <v>1.86642849011818E-6</v>
      </c>
      <c r="AS62">
        <f>'Costing 100 Lmin Feed Orig'!AS62</f>
        <v>-9.5194915860664904E-15</v>
      </c>
      <c r="AT62">
        <f>'Costing 100 Lmin Feed Orig'!AT62</f>
        <v>-1.2276442883096799E-13</v>
      </c>
      <c r="AU62">
        <f>'Costing 100 Lmin Feed Orig'!AU62</f>
        <v>-3.0580668722738401E-18</v>
      </c>
      <c r="AV62">
        <f>'Costing 100 Lmin Feed Orig'!AV62</f>
        <v>0.20872364334642199</v>
      </c>
      <c r="AW62">
        <f>'Costing 100 Lmin Feed Orig'!AW62</f>
        <v>99.206393572294303</v>
      </c>
      <c r="AX62">
        <f>'Costing 100 Lmin Feed Orig'!AX62</f>
        <v>500</v>
      </c>
      <c r="AY62">
        <f>'Costing 100 Lmin Feed Orig'!AY62</f>
        <v>95</v>
      </c>
      <c r="AZ62">
        <f>'Costing 100 Lmin Feed Orig'!AZ62</f>
        <v>0.92357542033771201</v>
      </c>
      <c r="BA62">
        <f>'Costing 100 Lmin Feed Orig'!BA62</f>
        <v>0.1</v>
      </c>
      <c r="BB62">
        <f>'Costing 100 Lmin Feed Orig'!BB62</f>
        <v>44.248720726134401</v>
      </c>
      <c r="BC62" t="str">
        <f>'Costing 100 Lmin Feed Orig'!BC62</f>
        <v>coeFc</v>
      </c>
      <c r="BD62">
        <f>'Costing 100 Lmin Feed Orig'!BD62</f>
        <v>1</v>
      </c>
      <c r="BE62">
        <f>'Costing 100 Lmin Feed Orig'!BE62</f>
        <v>1.8775014999999999E-2</v>
      </c>
      <c r="BF62">
        <f>'Costing 100 Lmin Feed Orig'!BF62</f>
        <v>0.10492961100000001</v>
      </c>
      <c r="BG62">
        <f>'Costing 100 Lmin Feed Orig'!BG62</f>
        <v>1.814625E-3</v>
      </c>
      <c r="BH62">
        <f>'Costing 100 Lmin Feed Orig'!BH62</f>
        <v>285.1951444</v>
      </c>
      <c r="BI62">
        <f>'Costing 100 Lmin Feed Orig'!BI62</f>
        <v>2169.8944889999998</v>
      </c>
      <c r="BJ62">
        <f>'Costing 100 Lmin Feed Orig'!BJ62</f>
        <v>866.49409060000005</v>
      </c>
      <c r="BK62">
        <f>'Costing 100 Lmin Feed Orig'!BK62</f>
        <v>100</v>
      </c>
      <c r="BL62">
        <f>'Costing 100 Lmin Feed Orig'!BL62</f>
        <v>10.969051996096999</v>
      </c>
      <c r="BM62">
        <f>'Costing 100 Lmin Feed Orig'!BM62</f>
        <v>92.357542033771196</v>
      </c>
      <c r="BN62">
        <f>'Costing 100 Lmin Feed Orig'!BN62</f>
        <v>20.872364334642199</v>
      </c>
      <c r="BO62">
        <f t="shared" si="1"/>
        <v>241.31914391413397</v>
      </c>
      <c r="BP62">
        <f t="shared" si="2"/>
        <v>250.46837201570639</v>
      </c>
      <c r="BQ62">
        <f t="shared" si="3"/>
        <v>24.1319143914134</v>
      </c>
      <c r="BR62">
        <f t="shared" si="4"/>
        <v>25.046837201570639</v>
      </c>
      <c r="BS62">
        <f>1.2*0.5*BL62*V62/'Oxidant Feed Composition'!$N$22</f>
        <v>6.5814311976581994</v>
      </c>
      <c r="BT62">
        <f>1.2*0.5*BN62*BA62/'Oxidant Feed Composition'!$N$22</f>
        <v>12.52341860078532</v>
      </c>
      <c r="BU62">
        <f t="shared" si="5"/>
        <v>5.4845259980484995</v>
      </c>
      <c r="BV62">
        <f t="shared" si="6"/>
        <v>10.4361821673211</v>
      </c>
      <c r="BW62">
        <f t="shared" si="7"/>
        <v>86.873016035722699</v>
      </c>
      <c r="BX62">
        <f t="shared" si="0"/>
        <v>35.100966387510397</v>
      </c>
      <c r="BY62">
        <f t="shared" si="8"/>
        <v>206.65318805973638</v>
      </c>
      <c r="BZ62">
        <f t="shared" si="9"/>
        <v>66.791565870855038</v>
      </c>
      <c r="CA62">
        <f t="shared" si="10"/>
        <v>62.617093003926598</v>
      </c>
      <c r="CB62">
        <f>BO62*'Reagent cost'!$G$11*'Reagent cost'!$H$11</f>
        <v>3185.4126996665682</v>
      </c>
      <c r="CC62">
        <f>BP62*'Reagent cost'!$G$11*'Reagent cost'!$H$11</f>
        <v>3306.1825106073247</v>
      </c>
      <c r="CD62">
        <f>BQ62*'Reagent cost'!$C$18/1000*'Reagent cost'!$H$18</f>
        <v>3848.5686313477631</v>
      </c>
      <c r="CE62">
        <f>BR62*'Ligand cost'!$B$56*'Ligand cost'!$J$56</f>
        <v>25500.8795521994</v>
      </c>
      <c r="CF62">
        <f t="shared" si="11"/>
        <v>10</v>
      </c>
      <c r="CG62">
        <f t="shared" si="12"/>
        <v>2.1938103992193998</v>
      </c>
      <c r="CH62">
        <f t="shared" si="12"/>
        <v>4.1744728669284399</v>
      </c>
      <c r="CI62">
        <f>7963.6*(BX62/1000)^0.6*1.7*('CAPEX+OPEX'!$G$116/'CAPEX+OPEX'!$G$115)</f>
        <v>2140.0916471558648</v>
      </c>
      <c r="CJ62">
        <f>7963.6*(BY62/1000)^0.6*1.7*('CAPEX+OPEX'!$G$116/'CAPEX+OPEX'!$G$115)</f>
        <v>6199.9215410229135</v>
      </c>
      <c r="CK62">
        <f>7963.6*(BZ62/1000)^0.6*1.7*('CAPEX+OPEX'!$G$116/'CAPEX+OPEX'!$G$115)</f>
        <v>3148.2840056223422</v>
      </c>
      <c r="CL62">
        <f>7963.6*(CA62/1000)^0.6*1.7*('CAPEX+OPEX'!$G$116/'CAPEX+OPEX'!$G$115)</f>
        <v>3028.7028683245958</v>
      </c>
      <c r="CM62">
        <f>'Costing 100 Lmin Feed Orig'!DE62</f>
        <v>39625.826528698344</v>
      </c>
      <c r="CN62">
        <f>'Costing 100 Lmin Feed Orig'!DF62</f>
        <v>4586243.4239371875</v>
      </c>
      <c r="CO62">
        <f>'Costing 100 Lmin Feed Orig'!DG62</f>
        <v>11794834.586807497</v>
      </c>
      <c r="CP62">
        <f>'Costing 100 Lmin Feed Orig'!DH62</f>
        <v>2275209.1661185985</v>
      </c>
      <c r="CQ62">
        <f>'Costing 100 Lmin Feed Orig'!DI62</f>
        <v>14083914.336508472</v>
      </c>
      <c r="CR62">
        <f>'Costing 100 Lmin Feed Orig'!DJ62</f>
        <v>1662824.8986326549</v>
      </c>
      <c r="CS62">
        <f>CN62*(BK62/10000)^0.72*((A62+1)/3)^0.6*('CAPEX+OPEX'!$G$116/'CAPEX+OPEX'!$G$114)</f>
        <v>800322.53402245743</v>
      </c>
      <c r="CT62">
        <f>CO62*(BK62/10000)^0.72*((A62+1)/3)^0.6*('CAPEX+OPEX'!$G$116/'CAPEX+OPEX'!$G$114)</f>
        <v>2058257.9318883498</v>
      </c>
      <c r="CU62">
        <f>CP62*(BK62/10000)^0.72*((A62+1)/3)^0.6*('CAPEX+OPEX'!$G$116/'CAPEX+OPEX'!$G$114)</f>
        <v>397035.437708179</v>
      </c>
      <c r="CV62">
        <f>CQ62*(BK62/10000)^0.72*((A62+1)/3)^0.6*('CAPEX+OPEX'!$G$116/'CAPEX+OPEX'!$G$114)</f>
        <v>2457713.856163613</v>
      </c>
      <c r="CW62">
        <f>CR62*(BK62/10000)^0.72*((A62+1)/3)^0.6*('CAPEX+OPEX'!$G$116/'CAPEX+OPEX'!$G$114)</f>
        <v>290171.30437591631</v>
      </c>
      <c r="CX62">
        <f t="shared" si="13"/>
        <v>6003501.064158516</v>
      </c>
      <c r="CY62">
        <f>CN62*(BM62/10000)^0.72*((AF62+1)/3)^0.6*('CAPEX+OPEX'!$G$116/'CAPEX+OPEX'!$G$114)</f>
        <v>498640.04312959599</v>
      </c>
      <c r="CZ62">
        <f>CO62*(BM62/10000)^0.72*((AF62+1)/3)^0.6*('CAPEX+OPEX'!$G$116/'CAPEX+OPEX'!$G$114)</f>
        <v>1282395.2597839017</v>
      </c>
      <c r="DA62">
        <f>CP62*(BM62/10000)^0.72*((AF62+1)/3)^0.6*('CAPEX+OPEX'!$G$116/'CAPEX+OPEX'!$G$114)</f>
        <v>247372.47717834351</v>
      </c>
      <c r="DB62">
        <f>CQ62*(BM62/10000)^0.72*((AF62+1)/3)^0.6*('CAPEX+OPEX'!$G$116/'CAPEX+OPEX'!$G$114)</f>
        <v>1531275.8183605524</v>
      </c>
      <c r="DC62">
        <f>CR62*(BM62/10000)^0.72*((AF62+1)/3)^0.6*('CAPEX+OPEX'!$G$116/'CAPEX+OPEX'!$G$114)</f>
        <v>180790.90064071334</v>
      </c>
      <c r="DD62">
        <f t="shared" si="14"/>
        <v>3740474.4990931074</v>
      </c>
      <c r="DE62">
        <f>CX62+DD62+1.15*(SUM(CI62:CL62)+SUM(CB62:CE62))</f>
        <v>9801887.3132259622</v>
      </c>
      <c r="DF62">
        <f t="shared" si="15"/>
        <v>653459.15421506413</v>
      </c>
      <c r="DG62">
        <f>(BS62+BT62)*'Oxidant Feed Composition'!$N$28*60*7200</f>
        <v>21241439.935912661</v>
      </c>
      <c r="DH62">
        <f>((CG62+CH62)*'Reagent cost'!$C$17/1000*'Reagent cost'!$H$17+(CG62+CH62)*0.5*'Reagent cost'!$C$16/1000*'Reagent cost'!$H$16*1.5)*60*7200</f>
        <v>9036821.6844733786</v>
      </c>
      <c r="DI62">
        <f>CF62*'Reagent cost'!$C$17/1000*'Reagent cost'!$H$17*60*7200</f>
        <v>504921.59999999998</v>
      </c>
      <c r="DJ62">
        <f t="shared" si="16"/>
        <v>64.915952102738927</v>
      </c>
      <c r="DK62">
        <f t="shared" si="17"/>
        <v>586.98896367094324</v>
      </c>
      <c r="DL62">
        <f t="shared" si="18"/>
        <v>36940602.150362179</v>
      </c>
      <c r="DM62">
        <f>BK62*(B62*(409.81+2)/1000+C62*(248.2+2*22.99)/1000+D62*(315.6+3*22.99)/1000+0.1*58.44/1000)</f>
        <v>0.70639694042110623</v>
      </c>
      <c r="DN62">
        <f>(BS62+BT62)/1000*('Oxidant Feed Composition'!$B$11*'Oxidant Feed Composition'!$O$20+'Oxidant Feed Composition'!$D$11*'Oxidant Feed Composition'!$O$21+'Oxidant Feed Composition'!$F$11*'Oxidant Feed Composition'!$O$27-'Oxidant Feed Composition'!$J$15*18.015)</f>
        <v>2.2311510954803184</v>
      </c>
      <c r="DO62">
        <f>(BU62+BV62)/1000*(0.2*368.34+0.4*58.44)</f>
        <v>1.5450092032001272</v>
      </c>
      <c r="DP62">
        <f>BK62/1000*(B62*195.08+C62*106.42+D62*102.91)</f>
        <v>4.999938342565946E-2</v>
      </c>
      <c r="DQ62">
        <f>SUM(DM62:DO62)-DP62</f>
        <v>4.432557855675892</v>
      </c>
      <c r="DR62">
        <f>DQ62*60*7200*0.33</f>
        <v>631905.44790515513</v>
      </c>
      <c r="DS62">
        <v>1.2</v>
      </c>
      <c r="DT62">
        <f>BM62/60*(AM62*4+AN62*2+AO62*3)*96485/DV62</f>
        <v>1398.9459464463214</v>
      </c>
      <c r="DU62">
        <f>BN62*BA62*(AP62*4+AQ62*2+AR62*3)*96485/DV62/60</f>
        <v>712.75787536363475</v>
      </c>
      <c r="DV62">
        <v>0.7</v>
      </c>
      <c r="DW62">
        <f>0.499*((BK62/3.78541*15)^(-0.146))*BK62/3.78541*15*300*(1+(A62-2)/9)</f>
        <v>44032.441905260595</v>
      </c>
      <c r="DX62">
        <f>0.248*((BK62/3.78541*15)^(-0.144))*BK62/3.78541*15*300*(1+(A62-2)/3)</f>
        <v>41526.098972294596</v>
      </c>
      <c r="DY62">
        <f>0.105*((BK62/3.78541*15)^(-0.144))*BK62/3.78541*15*300*(1+(A62-2)/3)</f>
        <v>17581.614484237631</v>
      </c>
      <c r="DZ62">
        <f>0.058*((BK62/3.78541*15)^(-0.151))*BK62/3.78541*15*300*(1+(A62-2)/3)</f>
        <v>9313.4716969742931</v>
      </c>
      <c r="EA62">
        <f>0.056*((BK62/3.78541*15)^(-0.144))*BK62/3.78541*15*300*(1+(A62-2)/3)</f>
        <v>9376.8610582600722</v>
      </c>
      <c r="EB62">
        <f>DS62*DT62/(3.6*10^6)*3600*7200*0.07</f>
        <v>846.08250841073527</v>
      </c>
      <c r="EC62">
        <f>0.499*((BM62/3.78541*15)^(-0.146))*BM62/3.78541*15*300*(1+(AF62-2)/9)</f>
        <v>28285.175261081924</v>
      </c>
      <c r="ED62">
        <f>0.248*((BM62/3.78541*15)^(-0.144))*BM62/3.78541*15*300*(1+(AF62-2)/3)</f>
        <v>19397.041035374452</v>
      </c>
      <c r="EE62">
        <f>0.105*((BM62/3.78541*15)^(-0.144))*BM62/3.78541*15*300*(1+(AF62-2)/3)</f>
        <v>8212.4568899770857</v>
      </c>
      <c r="EF62">
        <f>0.058*((BM62/3.78541*15)^(-0.151))*BM62/3.78541*15*300*(1+(AF62-2)/3)</f>
        <v>4352.7892707765368</v>
      </c>
      <c r="EG62">
        <f>0.056*((BM62/3.78541*15)^(-0.144))*BM62/3.78541*15*300*(1+(AF62-2)/3)</f>
        <v>4379.977007987779</v>
      </c>
      <c r="EH62">
        <f>DS62*DU62/(3.6*10^6)*3600*7200*0.07</f>
        <v>431.07596301992629</v>
      </c>
      <c r="EI62">
        <f>SUM(DW62:EH62)</f>
        <v>187735.08605365563</v>
      </c>
      <c r="EJ62">
        <f>EI62+DR62+DL62</f>
        <v>37760242.684320986</v>
      </c>
      <c r="EK62">
        <f>EJ62+DF62</f>
        <v>38413701.838536054</v>
      </c>
      <c r="EL62">
        <f>EK62/(BK62*60*7200)</f>
        <v>0.88920606107722344</v>
      </c>
      <c r="EM62">
        <f>EK62/(BM62*(AM62*195.084/1000+AN62*106.42/1000+AO62*102.911/1000)*60*7200)</f>
        <v>2989.5812477662616</v>
      </c>
      <c r="EN62">
        <f>EK62/(BN62*BA62*(AP62*195.084/1000+AQ62*106.42/1000+AR62*102.911/1000)*60*7200)</f>
        <v>5410.3517120402175</v>
      </c>
    </row>
    <row r="63" spans="1:144">
      <c r="A63">
        <f>'Costing 100 Lmin Feed Orig'!A63</f>
        <v>9</v>
      </c>
      <c r="B63">
        <f>'Costing 100 Lmin Feed Orig'!B63</f>
        <v>1.54143585092054E-3</v>
      </c>
      <c r="C63">
        <f>'Costing 100 Lmin Feed Orig'!C63</f>
        <v>1.54143585092054E-3</v>
      </c>
      <c r="D63">
        <f>'Costing 100 Lmin Feed Orig'!D63</f>
        <v>3.4254130020456501E-4</v>
      </c>
      <c r="E63">
        <f>'Costing 100 Lmin Feed Orig'!E63</f>
        <v>0</v>
      </c>
      <c r="F63">
        <f>'Costing 100 Lmin Feed Orig'!F63</f>
        <v>0</v>
      </c>
      <c r="G63">
        <f>'Costing 100 Lmin Feed Orig'!G63</f>
        <v>0</v>
      </c>
      <c r="H63">
        <f>'Costing 100 Lmin Feed Orig'!H63</f>
        <v>1.7768596981705501E-5</v>
      </c>
      <c r="I63">
        <f>'Costing 100 Lmin Feed Orig'!I63</f>
        <v>1.5331283704498101E-9</v>
      </c>
      <c r="J63">
        <f>'Costing 100 Lmin Feed Orig'!J63</f>
        <v>3.3763247208936601E-4</v>
      </c>
      <c r="K63">
        <f>'Costing 100 Lmin Feed Orig'!K63</f>
        <v>0.13890601070001499</v>
      </c>
      <c r="L63">
        <f>'Costing 100 Lmin Feed Orig'!L63</f>
        <v>0.14052575540227799</v>
      </c>
      <c r="M63">
        <f>'Costing 100 Lmin Feed Orig'!M63</f>
        <v>4.4751616793740602E-4</v>
      </c>
      <c r="N63">
        <f>'Costing 100 Lmin Feed Orig'!N63</f>
        <v>-5.0090140368830299E-17</v>
      </c>
      <c r="O63">
        <f>'Costing 100 Lmin Feed Orig'!O63</f>
        <v>-6.2343793322261397E-15</v>
      </c>
      <c r="P63">
        <f>'Costing 100 Lmin Feed Orig'!P63</f>
        <v>1.7787691892340301E-20</v>
      </c>
      <c r="Q63">
        <f>'Costing 100 Lmin Feed Orig'!Q63</f>
        <v>0.10969051996097</v>
      </c>
      <c r="R63">
        <f>'Costing 100 Lmin Feed Orig'!R63</f>
        <v>98.566938318892298</v>
      </c>
      <c r="S63">
        <f>'Costing 100 Lmin Feed Orig'!S63</f>
        <v>500</v>
      </c>
      <c r="T63">
        <f>'Costing 100 Lmin Feed Orig'!T63</f>
        <v>95</v>
      </c>
      <c r="U63">
        <f>'Costing 100 Lmin Feed Orig'!U63</f>
        <v>1</v>
      </c>
      <c r="V63">
        <f>'Costing 100 Lmin Feed Orig'!V63</f>
        <v>0.1</v>
      </c>
      <c r="W63">
        <f>'Costing 100 Lmin Feed Orig'!W63</f>
        <v>91.165581160141301</v>
      </c>
      <c r="X63" t="str">
        <f>'Costing 100 Lmin Feed Orig'!X63</f>
        <v>ddFc</v>
      </c>
      <c r="Y63">
        <f>'Costing 100 Lmin Feed Orig'!Y63</f>
        <v>1</v>
      </c>
      <c r="Z63">
        <f>'Costing 100 Lmin Feed Orig'!Z63</f>
        <v>0.28318429382522198</v>
      </c>
      <c r="AA63">
        <f>'Costing 100 Lmin Feed Orig'!AA63</f>
        <v>0.56945642916197003</v>
      </c>
      <c r="AB63">
        <f>'Costing 100 Lmin Feed Orig'!AB63</f>
        <v>3.7698628972227502E-3</v>
      </c>
      <c r="AC63">
        <f>'Costing 100 Lmin Feed Orig'!AC63</f>
        <v>1822.2107908876901</v>
      </c>
      <c r="AD63">
        <f>'Costing 100 Lmin Feed Orig'!AD63</f>
        <v>2662.6059073104898</v>
      </c>
      <c r="AE63">
        <f>'Costing 100 Lmin Feed Orig'!AE63</f>
        <v>2401.5030938442701</v>
      </c>
      <c r="AF63">
        <f>'Costing 100 Lmin Feed Orig'!AF63</f>
        <v>5</v>
      </c>
      <c r="AG63">
        <f>'Costing 100 Lmin Feed Orig'!AG63</f>
        <v>1.6497485970141401E-3</v>
      </c>
      <c r="AH63">
        <f>'Costing 100 Lmin Feed Orig'!AH63</f>
        <v>1.6689858606617799E-3</v>
      </c>
      <c r="AI63">
        <f>'Costing 100 Lmin Feed Orig'!AI63</f>
        <v>5.3150268046377499E-6</v>
      </c>
      <c r="AJ63">
        <f>'Costing 100 Lmin Feed Orig'!AJ63</f>
        <v>0</v>
      </c>
      <c r="AK63">
        <f>'Costing 100 Lmin Feed Orig'!AK63</f>
        <v>0</v>
      </c>
      <c r="AL63">
        <f>'Costing 100 Lmin Feed Orig'!AL63</f>
        <v>0</v>
      </c>
      <c r="AM63">
        <f>'Costing 100 Lmin Feed Orig'!AM63</f>
        <v>1.6104360946851499E-3</v>
      </c>
      <c r="AN63">
        <f>'Costing 100 Lmin Feed Orig'!AN63</f>
        <v>7.9481866578997695E-5</v>
      </c>
      <c r="AO63">
        <f>'Costing 100 Lmin Feed Orig'!AO63</f>
        <v>5.2779279086813702E-6</v>
      </c>
      <c r="AP63">
        <f>'Costing 100 Lmin Feed Orig'!AP63</f>
        <v>1.8118422491867001E-3</v>
      </c>
      <c r="AQ63">
        <f>'Costing 100 Lmin Feed Orig'!AQ63</f>
        <v>7.32573690584577E-2</v>
      </c>
      <c r="AR63">
        <f>'Costing 100 Lmin Feed Orig'!AR63</f>
        <v>1.7098211283888001E-6</v>
      </c>
      <c r="AS63">
        <f>'Costing 100 Lmin Feed Orig'!AS63</f>
        <v>-4.5211230592645498E-17</v>
      </c>
      <c r="AT63">
        <f>'Costing 100 Lmin Feed Orig'!AT63</f>
        <v>1.8735013540549499E-16</v>
      </c>
      <c r="AU63">
        <f>'Costing 100 Lmin Feed Orig'!AU63</f>
        <v>-3.54430348866721E-20</v>
      </c>
      <c r="AV63">
        <f>'Costing 100 Lmin Feed Orig'!AV63</f>
        <v>0.20039305783583899</v>
      </c>
      <c r="AW63">
        <f>'Costing 100 Lmin Feed Orig'!AW63</f>
        <v>99.301999833302602</v>
      </c>
      <c r="AX63">
        <f>'Costing 100 Lmin Feed Orig'!AX63</f>
        <v>500</v>
      </c>
      <c r="AY63">
        <f>'Costing 100 Lmin Feed Orig'!AY63</f>
        <v>95</v>
      </c>
      <c r="AZ63">
        <f>'Costing 100 Lmin Feed Orig'!AZ63</f>
        <v>0.92357542033771201</v>
      </c>
      <c r="BA63">
        <f>'Costing 100 Lmin Feed Orig'!BA63</f>
        <v>0.1</v>
      </c>
      <c r="BB63">
        <f>'Costing 100 Lmin Feed Orig'!BB63</f>
        <v>46.088194387167597</v>
      </c>
      <c r="BC63" t="str">
        <f>'Costing 100 Lmin Feed Orig'!BC63</f>
        <v>coeFc</v>
      </c>
      <c r="BD63">
        <f>'Costing 100 Lmin Feed Orig'!BD63</f>
        <v>1</v>
      </c>
      <c r="BE63">
        <f>'Costing 100 Lmin Feed Orig'!BE63</f>
        <v>1.8775014999999999E-2</v>
      </c>
      <c r="BF63">
        <f>'Costing 100 Lmin Feed Orig'!BF63</f>
        <v>0.10492961100000001</v>
      </c>
      <c r="BG63">
        <f>'Costing 100 Lmin Feed Orig'!BG63</f>
        <v>1.814625E-3</v>
      </c>
      <c r="BH63">
        <f>'Costing 100 Lmin Feed Orig'!BH63</f>
        <v>285.1951444</v>
      </c>
      <c r="BI63">
        <f>'Costing 100 Lmin Feed Orig'!BI63</f>
        <v>2169.8944889999998</v>
      </c>
      <c r="BJ63">
        <f>'Costing 100 Lmin Feed Orig'!BJ63</f>
        <v>866.49409060000005</v>
      </c>
      <c r="BK63">
        <f>'Costing 100 Lmin Feed Orig'!BK63</f>
        <v>100</v>
      </c>
      <c r="BL63">
        <f>'Costing 100 Lmin Feed Orig'!BL63</f>
        <v>10.969051996096999</v>
      </c>
      <c r="BM63">
        <f>'Costing 100 Lmin Feed Orig'!BM63</f>
        <v>92.357542033771196</v>
      </c>
      <c r="BN63">
        <f>'Costing 100 Lmin Feed Orig'!BN63</f>
        <v>20.039305783583899</v>
      </c>
      <c r="BO63">
        <f t="shared" si="1"/>
        <v>241.31914391413397</v>
      </c>
      <c r="BP63">
        <f t="shared" si="2"/>
        <v>280.55028097017458</v>
      </c>
      <c r="BQ63">
        <f t="shared" si="3"/>
        <v>24.1319143914134</v>
      </c>
      <c r="BR63">
        <f t="shared" si="4"/>
        <v>28.055028097017459</v>
      </c>
      <c r="BS63">
        <f>1.2*0.5*BL63*V63/'Oxidant Feed Composition'!$N$22</f>
        <v>6.5814311976581994</v>
      </c>
      <c r="BT63">
        <f>1.2*0.5*BN63*BA63/'Oxidant Feed Composition'!$N$22</f>
        <v>12.023583470150339</v>
      </c>
      <c r="BU63">
        <f t="shared" si="5"/>
        <v>5.4845259980484995</v>
      </c>
      <c r="BV63">
        <f t="shared" si="6"/>
        <v>10.019652891791949</v>
      </c>
      <c r="BW63">
        <f t="shared" si="7"/>
        <v>86.873016035722699</v>
      </c>
      <c r="BX63">
        <f t="shared" si="0"/>
        <v>35.100966387510397</v>
      </c>
      <c r="BY63">
        <f t="shared" si="8"/>
        <v>206.65318805973638</v>
      </c>
      <c r="BZ63">
        <f t="shared" si="9"/>
        <v>64.125778507468482</v>
      </c>
      <c r="CA63">
        <f t="shared" si="10"/>
        <v>60.117917350751696</v>
      </c>
      <c r="CB63">
        <f>BO63*'Reagent cost'!$G$11*'Reagent cost'!$H$11</f>
        <v>3185.4126996665682</v>
      </c>
      <c r="CC63">
        <f>BP63*'Reagent cost'!$G$11*'Reagent cost'!$H$11</f>
        <v>3703.2637088063047</v>
      </c>
      <c r="CD63">
        <f>BQ63*'Reagent cost'!$C$18/1000*'Reagent cost'!$H$18</f>
        <v>3848.5686313477631</v>
      </c>
      <c r="CE63">
        <f>BR63*'Ligand cost'!$B$56*'Ligand cost'!$J$56</f>
        <v>28563.602125810481</v>
      </c>
      <c r="CF63">
        <f t="shared" si="11"/>
        <v>10</v>
      </c>
      <c r="CG63">
        <f t="shared" si="12"/>
        <v>2.1938103992193998</v>
      </c>
      <c r="CH63">
        <f t="shared" si="12"/>
        <v>4.0078611567167801</v>
      </c>
      <c r="CI63">
        <f>7963.6*(BX63/1000)^0.6*1.7*('CAPEX+OPEX'!$G$116/'CAPEX+OPEX'!$G$115)</f>
        <v>2140.0916471558648</v>
      </c>
      <c r="CJ63">
        <f>7963.6*(BY63/1000)^0.6*1.7*('CAPEX+OPEX'!$G$116/'CAPEX+OPEX'!$G$115)</f>
        <v>6199.9215410229135</v>
      </c>
      <c r="CK63">
        <f>7963.6*(BZ63/1000)^0.6*1.7*('CAPEX+OPEX'!$G$116/'CAPEX+OPEX'!$G$115)</f>
        <v>3072.2780514246729</v>
      </c>
      <c r="CL63">
        <f>7963.6*(CA63/1000)^0.6*1.7*('CAPEX+OPEX'!$G$116/'CAPEX+OPEX'!$G$115)</f>
        <v>2955.583845048066</v>
      </c>
      <c r="CM63">
        <f>'Costing 100 Lmin Feed Orig'!DE63</f>
        <v>39625.826528698344</v>
      </c>
      <c r="CN63">
        <f>'Costing 100 Lmin Feed Orig'!DF63</f>
        <v>4586243.4239371875</v>
      </c>
      <c r="CO63">
        <f>'Costing 100 Lmin Feed Orig'!DG63</f>
        <v>11794834.586807497</v>
      </c>
      <c r="CP63">
        <f>'Costing 100 Lmin Feed Orig'!DH63</f>
        <v>2275209.1661185985</v>
      </c>
      <c r="CQ63">
        <f>'Costing 100 Lmin Feed Orig'!DI63</f>
        <v>14083914.336508472</v>
      </c>
      <c r="CR63">
        <f>'Costing 100 Lmin Feed Orig'!DJ63</f>
        <v>1662824.8986326549</v>
      </c>
      <c r="CS63">
        <f>CN63*(BK63/10000)^0.72*((A63+1)/3)^0.6*('CAPEX+OPEX'!$G$116/'CAPEX+OPEX'!$G$114)</f>
        <v>800322.53402245743</v>
      </c>
      <c r="CT63">
        <f>CO63*(BK63/10000)^0.72*((A63+1)/3)^0.6*('CAPEX+OPEX'!$G$116/'CAPEX+OPEX'!$G$114)</f>
        <v>2058257.9318883498</v>
      </c>
      <c r="CU63">
        <f>CP63*(BK63/10000)^0.72*((A63+1)/3)^0.6*('CAPEX+OPEX'!$G$116/'CAPEX+OPEX'!$G$114)</f>
        <v>397035.437708179</v>
      </c>
      <c r="CV63">
        <f>CQ63*(BK63/10000)^0.72*((A63+1)/3)^0.6*('CAPEX+OPEX'!$G$116/'CAPEX+OPEX'!$G$114)</f>
        <v>2457713.856163613</v>
      </c>
      <c r="CW63">
        <f>CR63*(BK63/10000)^0.72*((A63+1)/3)^0.6*('CAPEX+OPEX'!$G$116/'CAPEX+OPEX'!$G$114)</f>
        <v>290171.30437591631</v>
      </c>
      <c r="CX63">
        <f t="shared" si="13"/>
        <v>6003501.064158516</v>
      </c>
      <c r="CY63">
        <f>CN63*(BM63/10000)^0.72*((AF63+1)/3)^0.6*('CAPEX+OPEX'!$G$116/'CAPEX+OPEX'!$G$114)</f>
        <v>556283.14213476516</v>
      </c>
      <c r="CZ63">
        <f>CO63*(BM63/10000)^0.72*((AF63+1)/3)^0.6*('CAPEX+OPEX'!$G$116/'CAPEX+OPEX'!$G$114)</f>
        <v>1430640.9491183041</v>
      </c>
      <c r="DA63">
        <f>CP63*(BM63/10000)^0.72*((AF63+1)/3)^0.6*('CAPEX+OPEX'!$G$116/'CAPEX+OPEX'!$G$114)</f>
        <v>275968.88933900755</v>
      </c>
      <c r="DB63">
        <f>CQ63*(BM63/10000)^0.72*((AF63+1)/3)^0.6*('CAPEX+OPEX'!$G$116/'CAPEX+OPEX'!$G$114)</f>
        <v>1708292.2550028826</v>
      </c>
      <c r="DC63">
        <f>CR63*(BM63/10000)^0.72*((AF63+1)/3)^0.6*('CAPEX+OPEX'!$G$116/'CAPEX+OPEX'!$G$114)</f>
        <v>201690.44115787523</v>
      </c>
      <c r="DD63">
        <f t="shared" si="14"/>
        <v>4172875.6767528341</v>
      </c>
      <c r="DE63">
        <f>CX63+DD63+1.15*(SUM(CI63:CL63)+SUM(CB63:CE63))</f>
        <v>10238095.771499176</v>
      </c>
      <c r="DF63">
        <f t="shared" si="15"/>
        <v>682539.71809994499</v>
      </c>
      <c r="DG63">
        <f>(BS63+BT63)*'Oxidant Feed Composition'!$N$28*60*7200</f>
        <v>20685705.762796737</v>
      </c>
      <c r="DH63">
        <f>((CG63+CH63)*'Reagent cost'!$C$17/1000*'Reagent cost'!$H$17+(CG63+CH63)*0.5*'Reagent cost'!$C$16/1000*'Reagent cost'!$H$16*1.5)*60*7200</f>
        <v>8800393.7096482795</v>
      </c>
      <c r="DI63">
        <f>CF63*'Reagent cost'!$C$17/1000*'Reagent cost'!$H$17*60*7200</f>
        <v>504921.59999999998</v>
      </c>
      <c r="DJ63">
        <f t="shared" si="16"/>
        <v>68.886764084728725</v>
      </c>
      <c r="DK63">
        <f t="shared" si="17"/>
        <v>648.24341514316495</v>
      </c>
      <c r="DL63">
        <f t="shared" si="18"/>
        <v>35990085.843149096</v>
      </c>
      <c r="DM63">
        <f>BK63*(B63*(409.81+2)/1000+C63*(248.2+2*22.99)/1000+D63*(315.6+3*22.99)/1000+0.1*58.44/1000)</f>
        <v>0.70639694042110623</v>
      </c>
      <c r="DN63">
        <f>(BS63+BT63)/1000*('Oxidant Feed Composition'!$B$11*'Oxidant Feed Composition'!$O$20+'Oxidant Feed Composition'!$D$11*'Oxidant Feed Composition'!$O$21+'Oxidant Feed Composition'!$F$11*'Oxidant Feed Composition'!$O$27-'Oxidant Feed Composition'!$J$15*18.015)</f>
        <v>2.172778079673273</v>
      </c>
      <c r="DO63">
        <f>(BU63+BV63)/1000*(0.2*368.34+0.4*58.44)</f>
        <v>1.5045875361856766</v>
      </c>
      <c r="DP63">
        <f>BK63/1000*(B63*195.08+C63*106.42+D63*102.91)</f>
        <v>4.999938342565946E-2</v>
      </c>
      <c r="DQ63">
        <f>SUM(DM63:DO63)-DP63</f>
        <v>4.3337631728543959</v>
      </c>
      <c r="DR63">
        <f>DQ63*60*7200*0.33</f>
        <v>617821.27792212274</v>
      </c>
      <c r="DS63">
        <v>1.2</v>
      </c>
      <c r="DT63">
        <f>BM63/60*(AM63*4+AN63*2+AO63*3)*96485/DV63</f>
        <v>1403.8281404593017</v>
      </c>
      <c r="DU63">
        <f>BN63*BA63*(AP63*4+AQ63*2+AR63*3)*96485/DV63/60</f>
        <v>707.87568128545342</v>
      </c>
      <c r="DV63">
        <v>0.7</v>
      </c>
      <c r="DW63">
        <f>0.499*((BK63/3.78541*15)^(-0.146))*BK63/3.78541*15*300*(1+(A63-2)/9)</f>
        <v>44032.441905260595</v>
      </c>
      <c r="DX63">
        <f>0.248*((BK63/3.78541*15)^(-0.144))*BK63/3.78541*15*300*(1+(A63-2)/3)</f>
        <v>41526.098972294596</v>
      </c>
      <c r="DY63">
        <f>0.105*((BK63/3.78541*15)^(-0.144))*BK63/3.78541*15*300*(1+(A63-2)/3)</f>
        <v>17581.614484237631</v>
      </c>
      <c r="DZ63">
        <f>0.058*((BK63/3.78541*15)^(-0.151))*BK63/3.78541*15*300*(1+(A63-2)/3)</f>
        <v>9313.4716969742931</v>
      </c>
      <c r="EA63">
        <f>0.056*((BK63/3.78541*15)^(-0.144))*BK63/3.78541*15*300*(1+(A63-2)/3)</f>
        <v>9376.8610582600722</v>
      </c>
      <c r="EB63">
        <f>DS63*DT63/(3.6*10^6)*3600*7200*0.07</f>
        <v>849.03525934978575</v>
      </c>
      <c r="EC63">
        <f>0.499*((BM63/3.78541*15)^(-0.146))*BM63/3.78541*15*300*(1+(AF63-2)/9)</f>
        <v>30856.554830271187</v>
      </c>
      <c r="ED63">
        <f>0.248*((BM63/3.78541*15)^(-0.144))*BM63/3.78541*15*300*(1+(AF63-2)/3)</f>
        <v>23276.449242449344</v>
      </c>
      <c r="EE63">
        <f>0.105*((BM63/3.78541*15)^(-0.144))*BM63/3.78541*15*300*(1+(AF63-2)/3)</f>
        <v>9854.9482679725043</v>
      </c>
      <c r="EF63">
        <f>0.058*((BM63/3.78541*15)^(-0.151))*BM63/3.78541*15*300*(1+(AF63-2)/3)</f>
        <v>5223.3471249318445</v>
      </c>
      <c r="EG63">
        <f>0.056*((BM63/3.78541*15)^(-0.144))*BM63/3.78541*15*300*(1+(AF63-2)/3)</f>
        <v>5255.9724095853353</v>
      </c>
      <c r="EH63">
        <f>DS63*DU63/(3.6*10^6)*3600*7200*0.07</f>
        <v>428.12321204144223</v>
      </c>
      <c r="EI63">
        <f>SUM(DW63:EH63)</f>
        <v>197574.91846362862</v>
      </c>
      <c r="EJ63">
        <f>EI63+DR63+DL63</f>
        <v>36805482.039534844</v>
      </c>
      <c r="EK63">
        <f>EJ63+DF63</f>
        <v>37488021.757634789</v>
      </c>
      <c r="EL63">
        <f>EK63/(BK63*60*7200)</f>
        <v>0.86777828142673119</v>
      </c>
      <c r="EM63">
        <f>EK63/(BM63*(AM63*195.084/1000+AN63*106.42/1000+AO63*102.911/1000)*60*7200)</f>
        <v>2907.3865395212033</v>
      </c>
      <c r="EN63">
        <f>EK63/(BN63*BA63*(AP63*195.084/1000+AQ63*106.42/1000+AR63*102.911/1000)*60*7200)</f>
        <v>5313.5551888309437</v>
      </c>
    </row>
    <row r="64" spans="1:144">
      <c r="A64">
        <f>'Costing 100 Lmin Feed Orig'!A64</f>
        <v>9</v>
      </c>
      <c r="B64">
        <f>'Costing 100 Lmin Feed Orig'!B64</f>
        <v>1.54143585092054E-3</v>
      </c>
      <c r="C64">
        <f>'Costing 100 Lmin Feed Orig'!C64</f>
        <v>1.54143585092054E-3</v>
      </c>
      <c r="D64">
        <f>'Costing 100 Lmin Feed Orig'!D64</f>
        <v>3.4254130020456501E-4</v>
      </c>
      <c r="E64">
        <f>'Costing 100 Lmin Feed Orig'!E64</f>
        <v>0</v>
      </c>
      <c r="F64">
        <f>'Costing 100 Lmin Feed Orig'!F64</f>
        <v>0</v>
      </c>
      <c r="G64">
        <f>'Costing 100 Lmin Feed Orig'!G64</f>
        <v>0</v>
      </c>
      <c r="H64">
        <f>'Costing 100 Lmin Feed Orig'!H64</f>
        <v>1.7768596981705501E-5</v>
      </c>
      <c r="I64">
        <f>'Costing 100 Lmin Feed Orig'!I64</f>
        <v>1.5331283704498101E-9</v>
      </c>
      <c r="J64">
        <f>'Costing 100 Lmin Feed Orig'!J64</f>
        <v>3.3763247208936601E-4</v>
      </c>
      <c r="K64">
        <f>'Costing 100 Lmin Feed Orig'!K64</f>
        <v>0.13890601070001499</v>
      </c>
      <c r="L64">
        <f>'Costing 100 Lmin Feed Orig'!L64</f>
        <v>0.14052575540227799</v>
      </c>
      <c r="M64">
        <f>'Costing 100 Lmin Feed Orig'!M64</f>
        <v>4.4751616793740602E-4</v>
      </c>
      <c r="N64">
        <f>'Costing 100 Lmin Feed Orig'!N64</f>
        <v>-5.0090140368830299E-17</v>
      </c>
      <c r="O64">
        <f>'Costing 100 Lmin Feed Orig'!O64</f>
        <v>-6.2343793322261397E-15</v>
      </c>
      <c r="P64">
        <f>'Costing 100 Lmin Feed Orig'!P64</f>
        <v>1.7787691892340301E-20</v>
      </c>
      <c r="Q64">
        <f>'Costing 100 Lmin Feed Orig'!Q64</f>
        <v>0.10969051996097</v>
      </c>
      <c r="R64">
        <f>'Costing 100 Lmin Feed Orig'!R64</f>
        <v>98.566938318892298</v>
      </c>
      <c r="S64">
        <f>'Costing 100 Lmin Feed Orig'!S64</f>
        <v>500</v>
      </c>
      <c r="T64">
        <f>'Costing 100 Lmin Feed Orig'!T64</f>
        <v>95</v>
      </c>
      <c r="U64">
        <f>'Costing 100 Lmin Feed Orig'!U64</f>
        <v>1</v>
      </c>
      <c r="V64">
        <f>'Costing 100 Lmin Feed Orig'!V64</f>
        <v>0.1</v>
      </c>
      <c r="W64">
        <f>'Costing 100 Lmin Feed Orig'!W64</f>
        <v>91.165581160141301</v>
      </c>
      <c r="X64" t="str">
        <f>'Costing 100 Lmin Feed Orig'!X64</f>
        <v>ddFc</v>
      </c>
      <c r="Y64">
        <f>'Costing 100 Lmin Feed Orig'!Y64</f>
        <v>1</v>
      </c>
      <c r="Z64">
        <f>'Costing 100 Lmin Feed Orig'!Z64</f>
        <v>0.28318429382522198</v>
      </c>
      <c r="AA64">
        <f>'Costing 100 Lmin Feed Orig'!AA64</f>
        <v>0.56945642916197003</v>
      </c>
      <c r="AB64">
        <f>'Costing 100 Lmin Feed Orig'!AB64</f>
        <v>3.7698628972227502E-3</v>
      </c>
      <c r="AC64">
        <f>'Costing 100 Lmin Feed Orig'!AC64</f>
        <v>1822.2107908876901</v>
      </c>
      <c r="AD64">
        <f>'Costing 100 Lmin Feed Orig'!AD64</f>
        <v>2662.6059073104898</v>
      </c>
      <c r="AE64">
        <f>'Costing 100 Lmin Feed Orig'!AE64</f>
        <v>2401.5030938442701</v>
      </c>
      <c r="AF64">
        <f>'Costing 100 Lmin Feed Orig'!AF64</f>
        <v>6</v>
      </c>
      <c r="AG64">
        <f>'Costing 100 Lmin Feed Orig'!AG64</f>
        <v>1.6497485970141401E-3</v>
      </c>
      <c r="AH64">
        <f>'Costing 100 Lmin Feed Orig'!AH64</f>
        <v>1.6689858606617799E-3</v>
      </c>
      <c r="AI64">
        <f>'Costing 100 Lmin Feed Orig'!AI64</f>
        <v>5.3150268046377499E-6</v>
      </c>
      <c r="AJ64">
        <f>'Costing 100 Lmin Feed Orig'!AJ64</f>
        <v>0</v>
      </c>
      <c r="AK64">
        <f>'Costing 100 Lmin Feed Orig'!AK64</f>
        <v>0</v>
      </c>
      <c r="AL64">
        <f>'Costing 100 Lmin Feed Orig'!AL64</f>
        <v>0</v>
      </c>
      <c r="AM64">
        <f>'Costing 100 Lmin Feed Orig'!AM64</f>
        <v>1.6121184009261799E-3</v>
      </c>
      <c r="AN64">
        <f>'Costing 100 Lmin Feed Orig'!AN64</f>
        <v>7.9568883775184404E-5</v>
      </c>
      <c r="AO64">
        <f>'Costing 100 Lmin Feed Orig'!AO64</f>
        <v>5.27945332060777E-6</v>
      </c>
      <c r="AP64">
        <f>'Costing 100 Lmin Feed Orig'!AP64</f>
        <v>1.7562244702796299E-3</v>
      </c>
      <c r="AQ64">
        <f>'Costing 100 Lmin Feed Orig'!AQ64</f>
        <v>7.4179071024813498E-2</v>
      </c>
      <c r="AR64">
        <f>'Costing 100 Lmin Feed Orig'!AR64</f>
        <v>1.6602364494864499E-6</v>
      </c>
      <c r="AS64">
        <f>'Costing 100 Lmin Feed Orig'!AS64</f>
        <v>-2.22939071717331E-18</v>
      </c>
      <c r="AT64">
        <f>'Costing 100 Lmin Feed Orig'!AT64</f>
        <v>-1.51137782844479E-16</v>
      </c>
      <c r="AU64">
        <f>'Costing 100 Lmin Feed Orig'!AU64</f>
        <v>-1.53524721689841E-21</v>
      </c>
      <c r="AV64">
        <f>'Costing 100 Lmin Feed Orig'!AV64</f>
        <v>0.19789226694805201</v>
      </c>
      <c r="AW64">
        <f>'Costing 100 Lmin Feed Orig'!AW64</f>
        <v>99.330699818880703</v>
      </c>
      <c r="AX64">
        <f>'Costing 100 Lmin Feed Orig'!AX64</f>
        <v>500</v>
      </c>
      <c r="AY64">
        <f>'Costing 100 Lmin Feed Orig'!AY64</f>
        <v>95</v>
      </c>
      <c r="AZ64">
        <f>'Costing 100 Lmin Feed Orig'!AZ64</f>
        <v>0.92357542033771201</v>
      </c>
      <c r="BA64">
        <f>'Costing 100 Lmin Feed Orig'!BA64</f>
        <v>0.1</v>
      </c>
      <c r="BB64">
        <f>'Costing 100 Lmin Feed Orig'!BB64</f>
        <v>46.670617027200798</v>
      </c>
      <c r="BC64" t="str">
        <f>'Costing 100 Lmin Feed Orig'!BC64</f>
        <v>coeFc</v>
      </c>
      <c r="BD64">
        <f>'Costing 100 Lmin Feed Orig'!BD64</f>
        <v>1</v>
      </c>
      <c r="BE64">
        <f>'Costing 100 Lmin Feed Orig'!BE64</f>
        <v>1.8775014999999999E-2</v>
      </c>
      <c r="BF64">
        <f>'Costing 100 Lmin Feed Orig'!BF64</f>
        <v>0.10492961100000001</v>
      </c>
      <c r="BG64">
        <f>'Costing 100 Lmin Feed Orig'!BG64</f>
        <v>1.814625E-3</v>
      </c>
      <c r="BH64">
        <f>'Costing 100 Lmin Feed Orig'!BH64</f>
        <v>285.1951444</v>
      </c>
      <c r="BI64">
        <f>'Costing 100 Lmin Feed Orig'!BI64</f>
        <v>2169.8944889999998</v>
      </c>
      <c r="BJ64">
        <f>'Costing 100 Lmin Feed Orig'!BJ64</f>
        <v>866.49409060000005</v>
      </c>
      <c r="BK64">
        <f>'Costing 100 Lmin Feed Orig'!BK64</f>
        <v>100</v>
      </c>
      <c r="BL64">
        <f>'Costing 100 Lmin Feed Orig'!BL64</f>
        <v>10.969051996096999</v>
      </c>
      <c r="BM64">
        <f>'Costing 100 Lmin Feed Orig'!BM64</f>
        <v>92.357542033771196</v>
      </c>
      <c r="BN64">
        <f>'Costing 100 Lmin Feed Orig'!BN64</f>
        <v>19.789226694805201</v>
      </c>
      <c r="BO64">
        <f t="shared" si="1"/>
        <v>241.31914391413397</v>
      </c>
      <c r="BP64">
        <f t="shared" si="2"/>
        <v>316.62762711688322</v>
      </c>
      <c r="BQ64">
        <f t="shared" si="3"/>
        <v>24.1319143914134</v>
      </c>
      <c r="BR64">
        <f t="shared" si="4"/>
        <v>31.662762711688323</v>
      </c>
      <c r="BS64">
        <f>1.2*0.5*BL64*V64/'Oxidant Feed Composition'!$N$22</f>
        <v>6.5814311976581994</v>
      </c>
      <c r="BT64">
        <f>1.2*0.5*BN64*BA64/'Oxidant Feed Composition'!$N$22</f>
        <v>11.87353601688312</v>
      </c>
      <c r="BU64">
        <f t="shared" si="5"/>
        <v>5.4845259980484995</v>
      </c>
      <c r="BV64">
        <f t="shared" si="6"/>
        <v>9.8946133474026006</v>
      </c>
      <c r="BW64">
        <f t="shared" si="7"/>
        <v>86.873016035722699</v>
      </c>
      <c r="BX64">
        <f t="shared" si="0"/>
        <v>35.100966387510397</v>
      </c>
      <c r="BY64">
        <f t="shared" si="8"/>
        <v>206.65318805973638</v>
      </c>
      <c r="BZ64">
        <f t="shared" si="9"/>
        <v>63.325525423376646</v>
      </c>
      <c r="CA64">
        <f t="shared" si="10"/>
        <v>59.367680084415603</v>
      </c>
      <c r="CB64">
        <f>BO64*'Reagent cost'!$G$11*'Reagent cost'!$H$11</f>
        <v>3185.4126996665682</v>
      </c>
      <c r="CC64">
        <f>BP64*'Reagent cost'!$G$11*'Reagent cost'!$H$11</f>
        <v>4179.484677942859</v>
      </c>
      <c r="CD64">
        <f>BQ64*'Reagent cost'!$C$18/1000*'Reagent cost'!$H$18</f>
        <v>3848.5686313477631</v>
      </c>
      <c r="CE64">
        <f>BR64*'Ligand cost'!$B$56*'Ligand cost'!$J$56</f>
        <v>32236.736786471469</v>
      </c>
      <c r="CF64">
        <f t="shared" si="11"/>
        <v>10</v>
      </c>
      <c r="CG64">
        <f t="shared" si="12"/>
        <v>2.1938103992193998</v>
      </c>
      <c r="CH64">
        <f t="shared" si="12"/>
        <v>3.9578453389610404</v>
      </c>
      <c r="CI64">
        <f>7963.6*(BX64/1000)^0.6*1.7*('CAPEX+OPEX'!$G$116/'CAPEX+OPEX'!$G$115)</f>
        <v>2140.0916471558648</v>
      </c>
      <c r="CJ64">
        <f>7963.6*(BY64/1000)^0.6*1.7*('CAPEX+OPEX'!$G$116/'CAPEX+OPEX'!$G$115)</f>
        <v>6199.9215410229135</v>
      </c>
      <c r="CK64">
        <f>7963.6*(BZ64/1000)^0.6*1.7*('CAPEX+OPEX'!$G$116/'CAPEX+OPEX'!$G$115)</f>
        <v>3049.2161337270823</v>
      </c>
      <c r="CL64">
        <f>7963.6*(CA64/1000)^0.6*1.7*('CAPEX+OPEX'!$G$116/'CAPEX+OPEX'!$G$115)</f>
        <v>2933.3978871881586</v>
      </c>
      <c r="CM64">
        <f>'Costing 100 Lmin Feed Orig'!DE64</f>
        <v>39625.826528698344</v>
      </c>
      <c r="CN64">
        <f>'Costing 100 Lmin Feed Orig'!DF64</f>
        <v>4586243.4239371875</v>
      </c>
      <c r="CO64">
        <f>'Costing 100 Lmin Feed Orig'!DG64</f>
        <v>11794834.586807497</v>
      </c>
      <c r="CP64">
        <f>'Costing 100 Lmin Feed Orig'!DH64</f>
        <v>2275209.1661185985</v>
      </c>
      <c r="CQ64">
        <f>'Costing 100 Lmin Feed Orig'!DI64</f>
        <v>14083914.336508472</v>
      </c>
      <c r="CR64">
        <f>'Costing 100 Lmin Feed Orig'!DJ64</f>
        <v>1662824.8986326549</v>
      </c>
      <c r="CS64">
        <f>CN64*(BK64/10000)^0.72*((A64+1)/3)^0.6*('CAPEX+OPEX'!$G$116/'CAPEX+OPEX'!$G$114)</f>
        <v>800322.53402245743</v>
      </c>
      <c r="CT64">
        <f>CO64*(BK64/10000)^0.72*((A64+1)/3)^0.6*('CAPEX+OPEX'!$G$116/'CAPEX+OPEX'!$G$114)</f>
        <v>2058257.9318883498</v>
      </c>
      <c r="CU64">
        <f>CP64*(BK64/10000)^0.72*((A64+1)/3)^0.6*('CAPEX+OPEX'!$G$116/'CAPEX+OPEX'!$G$114)</f>
        <v>397035.437708179</v>
      </c>
      <c r="CV64">
        <f>CQ64*(BK64/10000)^0.72*((A64+1)/3)^0.6*('CAPEX+OPEX'!$G$116/'CAPEX+OPEX'!$G$114)</f>
        <v>2457713.856163613</v>
      </c>
      <c r="CW64">
        <f>CR64*(BK64/10000)^0.72*((A64+1)/3)^0.6*('CAPEX+OPEX'!$G$116/'CAPEX+OPEX'!$G$114)</f>
        <v>290171.30437591631</v>
      </c>
      <c r="CX64">
        <f t="shared" si="13"/>
        <v>6003501.064158516</v>
      </c>
      <c r="CY64">
        <f>CN64*(BM64/10000)^0.72*((AF64+1)/3)^0.6*('CAPEX+OPEX'!$G$116/'CAPEX+OPEX'!$G$114)</f>
        <v>610188.43601728987</v>
      </c>
      <c r="CZ64">
        <f>CO64*(BM64/10000)^0.72*((AF64+1)/3)^0.6*('CAPEX+OPEX'!$G$116/'CAPEX+OPEX'!$G$114)</f>
        <v>1569273.8052329933</v>
      </c>
      <c r="DA64">
        <f>CP64*(BM64/10000)^0.72*((AF64+1)/3)^0.6*('CAPEX+OPEX'!$G$116/'CAPEX+OPEX'!$G$114)</f>
        <v>302710.99772856798</v>
      </c>
      <c r="DB64">
        <f>CQ64*(BM64/10000)^0.72*((AF64+1)/3)^0.6*('CAPEX+OPEX'!$G$116/'CAPEX+OPEX'!$G$114)</f>
        <v>1873830.2500781715</v>
      </c>
      <c r="DC64">
        <f>CR64*(BM64/10000)^0.72*((AF64+1)/3)^0.6*('CAPEX+OPEX'!$G$116/'CAPEX+OPEX'!$G$114)</f>
        <v>221234.77331611529</v>
      </c>
      <c r="DD64">
        <f t="shared" si="14"/>
        <v>4577238.2623731382</v>
      </c>
      <c r="DE64">
        <f>CX64+DD64+1.15*(SUM(CI64:CL64)+SUM(CB64:CE64))</f>
        <v>10647178.081036855</v>
      </c>
      <c r="DF64">
        <f t="shared" si="15"/>
        <v>709811.87206912367</v>
      </c>
      <c r="DG64">
        <f>(BS64+BT64)*'Oxidant Feed Composition'!$N$28*60*7200</f>
        <v>20518877.758403216</v>
      </c>
      <c r="DH64">
        <f>((CG64+CH64)*'Reagent cost'!$C$17/1000*'Reagent cost'!$H$17+(CG64+CH64)*0.5*'Reagent cost'!$C$16/1000*'Reagent cost'!$H$16*1.5)*60*7200</f>
        <v>8729419.4756872412</v>
      </c>
      <c r="DI64">
        <f>CF64*'Reagent cost'!$C$17/1000*'Reagent cost'!$H$17*60*7200</f>
        <v>504921.59999999998</v>
      </c>
      <c r="DJ64">
        <f t="shared" si="16"/>
        <v>73.64897377609428</v>
      </c>
      <c r="DK64">
        <f t="shared" si="17"/>
        <v>721.70610835638468</v>
      </c>
      <c r="DL64">
        <f t="shared" si="18"/>
        <v>35704817.02700711</v>
      </c>
      <c r="DM64">
        <f>BK64*(B64*(409.81+2)/1000+C64*(248.2+2*22.99)/1000+D64*(315.6+3*22.99)/1000+0.1*58.44/1000)</f>
        <v>0.70639694042110623</v>
      </c>
      <c r="DN64">
        <f>(BS64+BT64)/1000*('Oxidant Feed Composition'!$B$11*'Oxidant Feed Composition'!$O$20+'Oxidant Feed Composition'!$D$11*'Oxidant Feed Composition'!$O$21+'Oxidant Feed Composition'!$F$11*'Oxidant Feed Composition'!$O$27-'Oxidant Feed Composition'!$J$15*18.015)</f>
        <v>2.1552548568652892</v>
      </c>
      <c r="DO64">
        <f>(BU64+BV64)/1000*(0.2*368.34+0.4*58.44)</f>
        <v>1.4924531986399567</v>
      </c>
      <c r="DP64">
        <f>BK64/1000*(B64*195.08+C64*106.42+D64*102.91)</f>
        <v>4.999938342565946E-2</v>
      </c>
      <c r="DQ64">
        <f>SUM(DM64:DO64)-DP64</f>
        <v>4.3041056125006927</v>
      </c>
      <c r="DR64">
        <f>DQ64*60*7200*0.33</f>
        <v>613593.29611809878</v>
      </c>
      <c r="DS64">
        <v>1.2</v>
      </c>
      <c r="DT64">
        <f>BM64/60*(AM64*4+AN64*2+AO64*3)*96485/DV64</f>
        <v>1405.2937722269342</v>
      </c>
      <c r="DU64">
        <f>BN64*BA64*(AP64*4+AQ64*2+AR64*3)*96485/DV64/60</f>
        <v>706.41004951793764</v>
      </c>
      <c r="DV64">
        <v>0.7</v>
      </c>
      <c r="DW64">
        <f>0.499*((BK64/3.78541*15)^(-0.146))*BK64/3.78541*15*300*(1+(A64-2)/9)</f>
        <v>44032.441905260595</v>
      </c>
      <c r="DX64">
        <f>0.248*((BK64/3.78541*15)^(-0.144))*BK64/3.78541*15*300*(1+(A64-2)/3)</f>
        <v>41526.098972294596</v>
      </c>
      <c r="DY64">
        <f>0.105*((BK64/3.78541*15)^(-0.144))*BK64/3.78541*15*300*(1+(A64-2)/3)</f>
        <v>17581.614484237631</v>
      </c>
      <c r="DZ64">
        <f>0.058*((BK64/3.78541*15)^(-0.151))*BK64/3.78541*15*300*(1+(A64-2)/3)</f>
        <v>9313.4716969742931</v>
      </c>
      <c r="EA64">
        <f>0.056*((BK64/3.78541*15)^(-0.144))*BK64/3.78541*15*300*(1+(A64-2)/3)</f>
        <v>9376.8610582600722</v>
      </c>
      <c r="EB64">
        <f>DS64*DT64/(3.6*10^6)*3600*7200*0.07</f>
        <v>849.92167344284985</v>
      </c>
      <c r="EC64">
        <f>0.499*((BM64/3.78541*15)^(-0.146))*BM64/3.78541*15*300*(1+(AF64-2)/9)</f>
        <v>33427.93439946045</v>
      </c>
      <c r="ED64">
        <f>0.248*((BM64/3.78541*15)^(-0.144))*BM64/3.78541*15*300*(1+(AF64-2)/3)</f>
        <v>27155.857449524232</v>
      </c>
      <c r="EE64">
        <f>0.105*((BM64/3.78541*15)^(-0.144))*BM64/3.78541*15*300*(1+(AF64-2)/3)</f>
        <v>11497.439645967921</v>
      </c>
      <c r="EF64">
        <f>0.058*((BM64/3.78541*15)^(-0.151))*BM64/3.78541*15*300*(1+(AF64-2)/3)</f>
        <v>6093.9049790871513</v>
      </c>
      <c r="EG64">
        <f>0.056*((BM64/3.78541*15)^(-0.144))*BM64/3.78541*15*300*(1+(AF64-2)/3)</f>
        <v>6131.9678111828907</v>
      </c>
      <c r="EH64">
        <f>DS64*DU64/(3.6*10^6)*3600*7200*0.07</f>
        <v>427.23679794844873</v>
      </c>
      <c r="EI64">
        <f>SUM(DW64:EH64)</f>
        <v>207414.75087364111</v>
      </c>
      <c r="EJ64">
        <f>EI64+DR64+DL64</f>
        <v>36525825.073998854</v>
      </c>
      <c r="EK64">
        <f>EJ64+DF64</f>
        <v>37235636.946067974</v>
      </c>
      <c r="EL64">
        <f>EK64/(BK64*60*7200)</f>
        <v>0.86193604041824012</v>
      </c>
      <c r="EM64">
        <f>EK64/(BM64*(AM64*195.084/1000+AN64*106.42/1000+AO64*102.911/1000)*60*7200)</f>
        <v>2884.7991488408102</v>
      </c>
      <c r="EN64">
        <f>EK64/(BN64*BA64*(AP64*195.084/1000+AQ64*106.42/1000+AR64*102.911/1000)*60*7200)</f>
        <v>5287.8780082023177</v>
      </c>
    </row>
    <row r="65" spans="1:144">
      <c r="A65">
        <f>'Costing 100 Lmin Feed Orig'!A65</f>
        <v>9</v>
      </c>
      <c r="B65">
        <f>'Costing 100 Lmin Feed Orig'!B65</f>
        <v>1.54143585092054E-3</v>
      </c>
      <c r="C65">
        <f>'Costing 100 Lmin Feed Orig'!C65</f>
        <v>1.54143585092054E-3</v>
      </c>
      <c r="D65">
        <f>'Costing 100 Lmin Feed Orig'!D65</f>
        <v>3.4254130020456501E-4</v>
      </c>
      <c r="E65">
        <f>'Costing 100 Lmin Feed Orig'!E65</f>
        <v>0</v>
      </c>
      <c r="F65">
        <f>'Costing 100 Lmin Feed Orig'!F65</f>
        <v>0</v>
      </c>
      <c r="G65">
        <f>'Costing 100 Lmin Feed Orig'!G65</f>
        <v>0</v>
      </c>
      <c r="H65">
        <f>'Costing 100 Lmin Feed Orig'!H65</f>
        <v>1.7768596981705501E-5</v>
      </c>
      <c r="I65">
        <f>'Costing 100 Lmin Feed Orig'!I65</f>
        <v>1.5331283704498101E-9</v>
      </c>
      <c r="J65">
        <f>'Costing 100 Lmin Feed Orig'!J65</f>
        <v>3.3763247208936601E-4</v>
      </c>
      <c r="K65">
        <f>'Costing 100 Lmin Feed Orig'!K65</f>
        <v>0.13890601070001499</v>
      </c>
      <c r="L65">
        <f>'Costing 100 Lmin Feed Orig'!L65</f>
        <v>0.14052575540227799</v>
      </c>
      <c r="M65">
        <f>'Costing 100 Lmin Feed Orig'!M65</f>
        <v>4.4751616793740602E-4</v>
      </c>
      <c r="N65">
        <f>'Costing 100 Lmin Feed Orig'!N65</f>
        <v>-5.0090140368830299E-17</v>
      </c>
      <c r="O65">
        <f>'Costing 100 Lmin Feed Orig'!O65</f>
        <v>-6.2343793322261397E-15</v>
      </c>
      <c r="P65">
        <f>'Costing 100 Lmin Feed Orig'!P65</f>
        <v>1.7787691892340301E-20</v>
      </c>
      <c r="Q65">
        <f>'Costing 100 Lmin Feed Orig'!Q65</f>
        <v>0.10969051996097</v>
      </c>
      <c r="R65">
        <f>'Costing 100 Lmin Feed Orig'!R65</f>
        <v>98.566938318892298</v>
      </c>
      <c r="S65">
        <f>'Costing 100 Lmin Feed Orig'!S65</f>
        <v>500</v>
      </c>
      <c r="T65">
        <f>'Costing 100 Lmin Feed Orig'!T65</f>
        <v>95</v>
      </c>
      <c r="U65">
        <f>'Costing 100 Lmin Feed Orig'!U65</f>
        <v>1</v>
      </c>
      <c r="V65">
        <f>'Costing 100 Lmin Feed Orig'!V65</f>
        <v>0.1</v>
      </c>
      <c r="W65">
        <f>'Costing 100 Lmin Feed Orig'!W65</f>
        <v>91.165581160141301</v>
      </c>
      <c r="X65" t="str">
        <f>'Costing 100 Lmin Feed Orig'!X65</f>
        <v>ddFc</v>
      </c>
      <c r="Y65">
        <f>'Costing 100 Lmin Feed Orig'!Y65</f>
        <v>1</v>
      </c>
      <c r="Z65">
        <f>'Costing 100 Lmin Feed Orig'!Z65</f>
        <v>0.28318429382522198</v>
      </c>
      <c r="AA65">
        <f>'Costing 100 Lmin Feed Orig'!AA65</f>
        <v>0.56945642916197003</v>
      </c>
      <c r="AB65">
        <f>'Costing 100 Lmin Feed Orig'!AB65</f>
        <v>3.7698628972227502E-3</v>
      </c>
      <c r="AC65">
        <f>'Costing 100 Lmin Feed Orig'!AC65</f>
        <v>1822.2107908876901</v>
      </c>
      <c r="AD65">
        <f>'Costing 100 Lmin Feed Orig'!AD65</f>
        <v>2662.6059073104898</v>
      </c>
      <c r="AE65">
        <f>'Costing 100 Lmin Feed Orig'!AE65</f>
        <v>2401.5030938442701</v>
      </c>
      <c r="AF65">
        <f>'Costing 100 Lmin Feed Orig'!AF65</f>
        <v>7</v>
      </c>
      <c r="AG65">
        <f>'Costing 100 Lmin Feed Orig'!AG65</f>
        <v>1.6497485970141401E-3</v>
      </c>
      <c r="AH65">
        <f>'Costing 100 Lmin Feed Orig'!AH65</f>
        <v>1.6689858606617799E-3</v>
      </c>
      <c r="AI65">
        <f>'Costing 100 Lmin Feed Orig'!AI65</f>
        <v>5.3150268046377499E-6</v>
      </c>
      <c r="AJ65">
        <f>'Costing 100 Lmin Feed Orig'!AJ65</f>
        <v>0</v>
      </c>
      <c r="AK65">
        <f>'Costing 100 Lmin Feed Orig'!AK65</f>
        <v>0</v>
      </c>
      <c r="AL65">
        <f>'Costing 100 Lmin Feed Orig'!AL65</f>
        <v>0</v>
      </c>
      <c r="AM65">
        <f>'Costing 100 Lmin Feed Orig'!AM65</f>
        <v>1.6126074648206801E-3</v>
      </c>
      <c r="AN65">
        <f>'Costing 100 Lmin Feed Orig'!AN65</f>
        <v>7.9594180322832604E-5</v>
      </c>
      <c r="AO65">
        <f>'Costing 100 Lmin Feed Orig'!AO65</f>
        <v>5.2798967729928503E-6</v>
      </c>
      <c r="AP65">
        <f>'Costing 100 Lmin Feed Orig'!AP65</f>
        <v>1.73979110112154E-3</v>
      </c>
      <c r="AQ65">
        <f>'Costing 100 Lmin Feed Orig'!AQ65</f>
        <v>7.4451405715099297E-2</v>
      </c>
      <c r="AR65">
        <f>'Costing 100 Lmin Feed Orig'!AR65</f>
        <v>1.64558571126931E-6</v>
      </c>
      <c r="AS65">
        <f>'Costing 100 Lmin Feed Orig'!AS65</f>
        <v>-4.4791102250807402E-18</v>
      </c>
      <c r="AT65">
        <f>'Costing 100 Lmin Feed Orig'!AT65</f>
        <v>-1.7100036664441299E-15</v>
      </c>
      <c r="AU65">
        <f>'Costing 100 Lmin Feed Orig'!AU65</f>
        <v>-4.5064799771888903E-21</v>
      </c>
      <c r="AV65">
        <f>'Costing 100 Lmin Feed Orig'!AV65</f>
        <v>0.19716526171033899</v>
      </c>
      <c r="AW65">
        <f>'Costing 100 Lmin Feed Orig'!AW65</f>
        <v>99.339043189504693</v>
      </c>
      <c r="AX65">
        <f>'Costing 100 Lmin Feed Orig'!AX65</f>
        <v>500</v>
      </c>
      <c r="AY65">
        <f>'Costing 100 Lmin Feed Orig'!AY65</f>
        <v>95</v>
      </c>
      <c r="AZ65">
        <f>'Costing 100 Lmin Feed Orig'!AZ65</f>
        <v>0.92357542033771201</v>
      </c>
      <c r="BA65">
        <f>'Costing 100 Lmin Feed Orig'!BA65</f>
        <v>0.1</v>
      </c>
      <c r="BB65">
        <f>'Costing 100 Lmin Feed Orig'!BB65</f>
        <v>46.842705065081802</v>
      </c>
      <c r="BC65" t="str">
        <f>'Costing 100 Lmin Feed Orig'!BC65</f>
        <v>coeFc</v>
      </c>
      <c r="BD65">
        <f>'Costing 100 Lmin Feed Orig'!BD65</f>
        <v>1</v>
      </c>
      <c r="BE65">
        <f>'Costing 100 Lmin Feed Orig'!BE65</f>
        <v>1.8775014999999999E-2</v>
      </c>
      <c r="BF65">
        <f>'Costing 100 Lmin Feed Orig'!BF65</f>
        <v>0.10492961100000001</v>
      </c>
      <c r="BG65">
        <f>'Costing 100 Lmin Feed Orig'!BG65</f>
        <v>1.814625E-3</v>
      </c>
      <c r="BH65">
        <f>'Costing 100 Lmin Feed Orig'!BH65</f>
        <v>285.1951444</v>
      </c>
      <c r="BI65">
        <f>'Costing 100 Lmin Feed Orig'!BI65</f>
        <v>2169.8944889999998</v>
      </c>
      <c r="BJ65">
        <f>'Costing 100 Lmin Feed Orig'!BJ65</f>
        <v>866.49409060000005</v>
      </c>
      <c r="BK65">
        <f>'Costing 100 Lmin Feed Orig'!BK65</f>
        <v>100</v>
      </c>
      <c r="BL65">
        <f>'Costing 100 Lmin Feed Orig'!BL65</f>
        <v>10.969051996096999</v>
      </c>
      <c r="BM65">
        <f>'Costing 100 Lmin Feed Orig'!BM65</f>
        <v>92.357542033771196</v>
      </c>
      <c r="BN65">
        <f>'Costing 100 Lmin Feed Orig'!BN65</f>
        <v>19.716526171033898</v>
      </c>
      <c r="BO65">
        <f t="shared" si="1"/>
        <v>241.31914391413397</v>
      </c>
      <c r="BP65">
        <f t="shared" si="2"/>
        <v>354.89747107861018</v>
      </c>
      <c r="BQ65">
        <f t="shared" si="3"/>
        <v>24.1319143914134</v>
      </c>
      <c r="BR65">
        <f t="shared" si="4"/>
        <v>35.489747107861021</v>
      </c>
      <c r="BS65">
        <f>1.2*0.5*BL65*V65/'Oxidant Feed Composition'!$N$22</f>
        <v>6.5814311976581994</v>
      </c>
      <c r="BT65">
        <f>1.2*0.5*BN65*BA65/'Oxidant Feed Composition'!$N$22</f>
        <v>11.829915702620339</v>
      </c>
      <c r="BU65">
        <f t="shared" si="5"/>
        <v>5.4845259980484995</v>
      </c>
      <c r="BV65">
        <f t="shared" si="6"/>
        <v>9.8582630855169491</v>
      </c>
      <c r="BW65">
        <f t="shared" si="7"/>
        <v>86.873016035722699</v>
      </c>
      <c r="BX65">
        <f t="shared" si="0"/>
        <v>35.100966387510397</v>
      </c>
      <c r="BY65">
        <f t="shared" si="8"/>
        <v>206.65318805973638</v>
      </c>
      <c r="BZ65">
        <f t="shared" si="9"/>
        <v>63.092883747308477</v>
      </c>
      <c r="CA65">
        <f t="shared" si="10"/>
        <v>59.149578513101694</v>
      </c>
      <c r="CB65">
        <f>BO65*'Reagent cost'!$G$11*'Reagent cost'!$H$11</f>
        <v>3185.4126996665682</v>
      </c>
      <c r="CC65">
        <f>BP65*'Reagent cost'!$G$11*'Reagent cost'!$H$11</f>
        <v>4684.6466182376553</v>
      </c>
      <c r="CD65">
        <f>BQ65*'Reagent cost'!$C$18/1000*'Reagent cost'!$H$18</f>
        <v>3848.5686313477631</v>
      </c>
      <c r="CE65">
        <f>BR65*'Ligand cost'!$B$56*'Ligand cost'!$J$56</f>
        <v>36133.095729900335</v>
      </c>
      <c r="CF65">
        <f t="shared" si="11"/>
        <v>10</v>
      </c>
      <c r="CG65">
        <f t="shared" si="12"/>
        <v>2.1938103992193998</v>
      </c>
      <c r="CH65">
        <f t="shared" si="12"/>
        <v>3.9433052342067798</v>
      </c>
      <c r="CI65">
        <f>7963.6*(BX65/1000)^0.6*1.7*('CAPEX+OPEX'!$G$116/'CAPEX+OPEX'!$G$115)</f>
        <v>2140.0916471558648</v>
      </c>
      <c r="CJ65">
        <f>7963.6*(BY65/1000)^0.6*1.7*('CAPEX+OPEX'!$G$116/'CAPEX+OPEX'!$G$115)</f>
        <v>6199.9215410229135</v>
      </c>
      <c r="CK65">
        <f>7963.6*(BZ65/1000)^0.6*1.7*('CAPEX+OPEX'!$G$116/'CAPEX+OPEX'!$G$115)</f>
        <v>3042.489965836156</v>
      </c>
      <c r="CL65">
        <f>7963.6*(CA65/1000)^0.6*1.7*('CAPEX+OPEX'!$G$116/'CAPEX+OPEX'!$G$115)</f>
        <v>2926.927199045761</v>
      </c>
      <c r="CM65">
        <f>'Costing 100 Lmin Feed Orig'!DE65</f>
        <v>39625.826528698344</v>
      </c>
      <c r="CN65">
        <f>'Costing 100 Lmin Feed Orig'!DF65</f>
        <v>4586243.4239371875</v>
      </c>
      <c r="CO65">
        <f>'Costing 100 Lmin Feed Orig'!DG65</f>
        <v>11794834.586807497</v>
      </c>
      <c r="CP65">
        <f>'Costing 100 Lmin Feed Orig'!DH65</f>
        <v>2275209.1661185985</v>
      </c>
      <c r="CQ65">
        <f>'Costing 100 Lmin Feed Orig'!DI65</f>
        <v>14083914.336508472</v>
      </c>
      <c r="CR65">
        <f>'Costing 100 Lmin Feed Orig'!DJ65</f>
        <v>1662824.8986326549</v>
      </c>
      <c r="CS65">
        <f>CN65*(BK65/10000)^0.72*((A65+1)/3)^0.6*('CAPEX+OPEX'!$G$116/'CAPEX+OPEX'!$G$114)</f>
        <v>800322.53402245743</v>
      </c>
      <c r="CT65">
        <f>CO65*(BK65/10000)^0.72*((A65+1)/3)^0.6*('CAPEX+OPEX'!$G$116/'CAPEX+OPEX'!$G$114)</f>
        <v>2058257.9318883498</v>
      </c>
      <c r="CU65">
        <f>CP65*(BK65/10000)^0.72*((A65+1)/3)^0.6*('CAPEX+OPEX'!$G$116/'CAPEX+OPEX'!$G$114)</f>
        <v>397035.437708179</v>
      </c>
      <c r="CV65">
        <f>CQ65*(BK65/10000)^0.72*((A65+1)/3)^0.6*('CAPEX+OPEX'!$G$116/'CAPEX+OPEX'!$G$114)</f>
        <v>2457713.856163613</v>
      </c>
      <c r="CW65">
        <f>CR65*(BK65/10000)^0.72*((A65+1)/3)^0.6*('CAPEX+OPEX'!$G$116/'CAPEX+OPEX'!$G$114)</f>
        <v>290171.30437591631</v>
      </c>
      <c r="CX65">
        <f t="shared" si="13"/>
        <v>6003501.064158516</v>
      </c>
      <c r="CY65">
        <f>CN65*(BM65/10000)^0.72*((AF65+1)/3)^0.6*('CAPEX+OPEX'!$G$116/'CAPEX+OPEX'!$G$114)</f>
        <v>661087.79766298935</v>
      </c>
      <c r="CZ65">
        <f>CO65*(BM65/10000)^0.72*((AF65+1)/3)^0.6*('CAPEX+OPEX'!$G$116/'CAPEX+OPEX'!$G$114)</f>
        <v>1700176.0482434032</v>
      </c>
      <c r="DA65">
        <f>CP65*(BM65/10000)^0.72*((AF65+1)/3)^0.6*('CAPEX+OPEX'!$G$116/'CAPEX+OPEX'!$G$114)</f>
        <v>327961.88030524191</v>
      </c>
      <c r="DB65">
        <f>CQ65*(BM65/10000)^0.72*((AF65+1)/3)^0.6*('CAPEX+OPEX'!$G$116/'CAPEX+OPEX'!$G$114)</f>
        <v>2030137.3151282831</v>
      </c>
      <c r="DC65">
        <f>CR65*(BM65/10000)^0.72*((AF65+1)/3)^0.6*('CAPEX+OPEX'!$G$116/'CAPEX+OPEX'!$G$114)</f>
        <v>239689.25077085066</v>
      </c>
      <c r="DD65">
        <f t="shared" si="14"/>
        <v>4959052.2921107681</v>
      </c>
      <c r="DE65">
        <f>CX65+DD65+1.15*(SUM(CI65:CL65)+SUM(CB65:CE65))</f>
        <v>11034038.683406331</v>
      </c>
      <c r="DF65">
        <f t="shared" si="15"/>
        <v>735602.57889375533</v>
      </c>
      <c r="DG65">
        <f>(BS65+BT65)*'Oxidant Feed Composition'!$N$28*60*7200</f>
        <v>20470379.167983834</v>
      </c>
      <c r="DH65">
        <f>((CG65+CH65)*'Reagent cost'!$C$17/1000*'Reagent cost'!$H$17+(CG65+CH65)*0.5*'Reagent cost'!$C$16/1000*'Reagent cost'!$H$16*1.5)*60*7200</f>
        <v>8708786.5470868032</v>
      </c>
      <c r="DI65">
        <f>CF65*'Reagent cost'!$C$17/1000*'Reagent cost'!$H$17*60*7200</f>
        <v>504921.59999999998</v>
      </c>
      <c r="DJ65">
        <f t="shared" si="16"/>
        <v>78.70059317904223</v>
      </c>
      <c r="DK65">
        <f t="shared" si="17"/>
        <v>799.63328722496203</v>
      </c>
      <c r="DL65">
        <f t="shared" si="18"/>
        <v>35621958.778741248</v>
      </c>
      <c r="DM65">
        <f>BK65*(B65*(409.81+2)/1000+C65*(248.2+2*22.99)/1000+D65*(315.6+3*22.99)/1000+0.1*58.44/1000)</f>
        <v>0.70639694042110623</v>
      </c>
      <c r="DN65">
        <f>(BS65+BT65)/1000*('Oxidant Feed Composition'!$B$11*'Oxidant Feed Composition'!$O$20+'Oxidant Feed Composition'!$D$11*'Oxidant Feed Composition'!$O$21+'Oxidant Feed Composition'!$F$11*'Oxidant Feed Composition'!$O$27-'Oxidant Feed Composition'!$J$15*18.015)</f>
        <v>2.1501606785294545</v>
      </c>
      <c r="DO65">
        <f>(BU65+BV65)/1000*(0.2*368.34+0.4*58.44)</f>
        <v>1.4889256238255253</v>
      </c>
      <c r="DP65">
        <f>BK65/1000*(B65*195.08+C65*106.42+D65*102.91)</f>
        <v>4.999938342565946E-2</v>
      </c>
      <c r="DQ65">
        <f>SUM(DM65:DO65)-DP65</f>
        <v>4.2954838593504263</v>
      </c>
      <c r="DR65">
        <f>DQ65*60*7200*0.33</f>
        <v>612364.17898899678</v>
      </c>
      <c r="DS65">
        <v>1.2</v>
      </c>
      <c r="DT65">
        <f>BM65/60*(AM65*4+AN65*2+AO65*3)*96485/DV65</f>
        <v>1405.7198464932956</v>
      </c>
      <c r="DU65">
        <f>BN65*BA65*(AP65*4+AQ65*2+AR65*3)*96485/DV65/60</f>
        <v>705.98397525229223</v>
      </c>
      <c r="DV65">
        <v>0.7</v>
      </c>
      <c r="DW65">
        <f>0.499*((BK65/3.78541*15)^(-0.146))*BK65/3.78541*15*300*(1+(A65-2)/9)</f>
        <v>44032.441905260595</v>
      </c>
      <c r="DX65">
        <f>0.248*((BK65/3.78541*15)^(-0.144))*BK65/3.78541*15*300*(1+(A65-2)/3)</f>
        <v>41526.098972294596</v>
      </c>
      <c r="DY65">
        <f>0.105*((BK65/3.78541*15)^(-0.144))*BK65/3.78541*15*300*(1+(A65-2)/3)</f>
        <v>17581.614484237631</v>
      </c>
      <c r="DZ65">
        <f>0.058*((BK65/3.78541*15)^(-0.151))*BK65/3.78541*15*300*(1+(A65-2)/3)</f>
        <v>9313.4716969742931</v>
      </c>
      <c r="EA65">
        <f>0.056*((BK65/3.78541*15)^(-0.144))*BK65/3.78541*15*300*(1+(A65-2)/3)</f>
        <v>9376.8610582600722</v>
      </c>
      <c r="EB65">
        <f>DS65*DT65/(3.6*10^6)*3600*7200*0.07</f>
        <v>850.17936315914517</v>
      </c>
      <c r="EC65">
        <f>0.499*((BM65/3.78541*15)^(-0.146))*BM65/3.78541*15*300*(1+(AF65-2)/9)</f>
        <v>35999.313968649723</v>
      </c>
      <c r="ED65">
        <f>0.248*((BM65/3.78541*15)^(-0.144))*BM65/3.78541*15*300*(1+(AF65-2)/3)</f>
        <v>31035.265656599127</v>
      </c>
      <c r="EE65">
        <f>0.105*((BM65/3.78541*15)^(-0.144))*BM65/3.78541*15*300*(1+(AF65-2)/3)</f>
        <v>13139.93102396334</v>
      </c>
      <c r="EF65">
        <f>0.058*((BM65/3.78541*15)^(-0.151))*BM65/3.78541*15*300*(1+(AF65-2)/3)</f>
        <v>6964.46283324246</v>
      </c>
      <c r="EG65">
        <f>0.056*((BM65/3.78541*15)^(-0.144))*BM65/3.78541*15*300*(1+(AF65-2)/3)</f>
        <v>7007.963212780448</v>
      </c>
      <c r="EH65">
        <f>DS65*DU65/(3.6*10^6)*3600*7200*0.07</f>
        <v>426.97910823258638</v>
      </c>
      <c r="EI65">
        <f>SUM(DW65:EH65)</f>
        <v>217254.58328365404</v>
      </c>
      <c r="EJ65">
        <f>EI65+DR65+DL65</f>
        <v>36451577.541013896</v>
      </c>
      <c r="EK65">
        <f>EJ65+DF65</f>
        <v>37187180.119907655</v>
      </c>
      <c r="EL65">
        <f>EK65/(BK65*60*7200)</f>
        <v>0.86081435462749201</v>
      </c>
      <c r="EM65">
        <f>EK65/(BM65*(AM65*195.084/1000+AN65*106.42/1000+AO65*102.911/1000)*60*7200)</f>
        <v>2880.1712120968796</v>
      </c>
      <c r="EN65">
        <f>EK65/(BN65*BA65*(AP65*195.084/1000+AQ65*106.42/1000+AR65*102.911/1000)*60*7200)</f>
        <v>5283.9349883815194</v>
      </c>
    </row>
    <row r="66" spans="1:144">
      <c r="A66">
        <f>'Costing 100 Lmin Feed Orig'!A66</f>
        <v>9</v>
      </c>
      <c r="B66">
        <f>'Costing 100 Lmin Feed Orig'!B66</f>
        <v>1.54143585092054E-3</v>
      </c>
      <c r="C66">
        <f>'Costing 100 Lmin Feed Orig'!C66</f>
        <v>1.54143585092054E-3</v>
      </c>
      <c r="D66">
        <f>'Costing 100 Lmin Feed Orig'!D66</f>
        <v>3.4254130020456501E-4</v>
      </c>
      <c r="E66">
        <f>'Costing 100 Lmin Feed Orig'!E66</f>
        <v>0</v>
      </c>
      <c r="F66">
        <f>'Costing 100 Lmin Feed Orig'!F66</f>
        <v>0</v>
      </c>
      <c r="G66">
        <f>'Costing 100 Lmin Feed Orig'!G66</f>
        <v>0</v>
      </c>
      <c r="H66">
        <f>'Costing 100 Lmin Feed Orig'!H66</f>
        <v>1.7768596981705501E-5</v>
      </c>
      <c r="I66">
        <f>'Costing 100 Lmin Feed Orig'!I66</f>
        <v>1.5331283704498101E-9</v>
      </c>
      <c r="J66">
        <f>'Costing 100 Lmin Feed Orig'!J66</f>
        <v>3.3763247208936601E-4</v>
      </c>
      <c r="K66">
        <f>'Costing 100 Lmin Feed Orig'!K66</f>
        <v>0.13890601070001499</v>
      </c>
      <c r="L66">
        <f>'Costing 100 Lmin Feed Orig'!L66</f>
        <v>0.14052575540227799</v>
      </c>
      <c r="M66">
        <f>'Costing 100 Lmin Feed Orig'!M66</f>
        <v>4.4751616793740602E-4</v>
      </c>
      <c r="N66">
        <f>'Costing 100 Lmin Feed Orig'!N66</f>
        <v>-5.0090140368830299E-17</v>
      </c>
      <c r="O66">
        <f>'Costing 100 Lmin Feed Orig'!O66</f>
        <v>-6.2343793322261397E-15</v>
      </c>
      <c r="P66">
        <f>'Costing 100 Lmin Feed Orig'!P66</f>
        <v>1.7787691892340301E-20</v>
      </c>
      <c r="Q66">
        <f>'Costing 100 Lmin Feed Orig'!Q66</f>
        <v>0.10969051996097</v>
      </c>
      <c r="R66">
        <f>'Costing 100 Lmin Feed Orig'!R66</f>
        <v>98.566938318892298</v>
      </c>
      <c r="S66">
        <f>'Costing 100 Lmin Feed Orig'!S66</f>
        <v>500</v>
      </c>
      <c r="T66">
        <f>'Costing 100 Lmin Feed Orig'!T66</f>
        <v>95</v>
      </c>
      <c r="U66">
        <f>'Costing 100 Lmin Feed Orig'!U66</f>
        <v>1</v>
      </c>
      <c r="V66">
        <f>'Costing 100 Lmin Feed Orig'!V66</f>
        <v>0.1</v>
      </c>
      <c r="W66">
        <f>'Costing 100 Lmin Feed Orig'!W66</f>
        <v>91.165581160141301</v>
      </c>
      <c r="X66" t="str">
        <f>'Costing 100 Lmin Feed Orig'!X66</f>
        <v>ddFc</v>
      </c>
      <c r="Y66">
        <f>'Costing 100 Lmin Feed Orig'!Y66</f>
        <v>1</v>
      </c>
      <c r="Z66">
        <f>'Costing 100 Lmin Feed Orig'!Z66</f>
        <v>0.28318429382522198</v>
      </c>
      <c r="AA66">
        <f>'Costing 100 Lmin Feed Orig'!AA66</f>
        <v>0.56945642916197003</v>
      </c>
      <c r="AB66">
        <f>'Costing 100 Lmin Feed Orig'!AB66</f>
        <v>3.7698628972227502E-3</v>
      </c>
      <c r="AC66">
        <f>'Costing 100 Lmin Feed Orig'!AC66</f>
        <v>1822.2107908876901</v>
      </c>
      <c r="AD66">
        <f>'Costing 100 Lmin Feed Orig'!AD66</f>
        <v>2662.6059073104898</v>
      </c>
      <c r="AE66">
        <f>'Costing 100 Lmin Feed Orig'!AE66</f>
        <v>2401.5030938442701</v>
      </c>
      <c r="AF66">
        <f>'Costing 100 Lmin Feed Orig'!AF66</f>
        <v>8</v>
      </c>
      <c r="AG66">
        <f>'Costing 100 Lmin Feed Orig'!AG66</f>
        <v>1.6497485970141401E-3</v>
      </c>
      <c r="AH66">
        <f>'Costing 100 Lmin Feed Orig'!AH66</f>
        <v>1.6689858606617799E-3</v>
      </c>
      <c r="AI66">
        <f>'Costing 100 Lmin Feed Orig'!AI66</f>
        <v>5.3150268046377499E-6</v>
      </c>
      <c r="AJ66">
        <f>'Costing 100 Lmin Feed Orig'!AJ66</f>
        <v>0</v>
      </c>
      <c r="AK66">
        <f>'Costing 100 Lmin Feed Orig'!AK66</f>
        <v>0</v>
      </c>
      <c r="AL66">
        <f>'Costing 100 Lmin Feed Orig'!AL66</f>
        <v>0</v>
      </c>
      <c r="AM66">
        <f>'Costing 100 Lmin Feed Orig'!AM66</f>
        <v>1.6127468294673999E-3</v>
      </c>
      <c r="AN66">
        <f>'Costing 100 Lmin Feed Orig'!AN66</f>
        <v>7.9601388937146201E-5</v>
      </c>
      <c r="AO66">
        <f>'Costing 100 Lmin Feed Orig'!AO66</f>
        <v>5.2800231400846897E-6</v>
      </c>
      <c r="AP66">
        <f>'Costing 100 Lmin Feed Orig'!AP66</f>
        <v>1.73508600246416E-3</v>
      </c>
      <c r="AQ66">
        <f>'Costing 100 Lmin Feed Orig'!AQ66</f>
        <v>7.4529378862327897E-2</v>
      </c>
      <c r="AR66">
        <f>'Costing 100 Lmin Feed Orig'!AR66</f>
        <v>1.6413910047206701E-6</v>
      </c>
      <c r="AS66">
        <f>'Costing 100 Lmin Feed Orig'!AS66</f>
        <v>5.1001480057440096E-15</v>
      </c>
      <c r="AT66">
        <f>'Costing 100 Lmin Feed Orig'!AT66</f>
        <v>-1.1878935335385401E-12</v>
      </c>
      <c r="AU66">
        <f>'Costing 100 Lmin Feed Orig'!AU66</f>
        <v>2.3339728163796199E-20</v>
      </c>
      <c r="AV66">
        <f>'Costing 100 Lmin Feed Orig'!AV66</f>
        <v>0.19695809292209099</v>
      </c>
      <c r="AW66">
        <f>'Costing 100 Lmin Feed Orig'!AW66</f>
        <v>99.341420733334502</v>
      </c>
      <c r="AX66">
        <f>'Costing 100 Lmin Feed Orig'!AX66</f>
        <v>500</v>
      </c>
      <c r="AY66">
        <f>'Costing 100 Lmin Feed Orig'!AY66</f>
        <v>95</v>
      </c>
      <c r="AZ66">
        <f>'Costing 100 Lmin Feed Orig'!AZ66</f>
        <v>0.92357542033771201</v>
      </c>
      <c r="BA66">
        <f>'Costing 100 Lmin Feed Orig'!BA66</f>
        <v>0.1</v>
      </c>
      <c r="BB66">
        <f>'Costing 100 Lmin Feed Orig'!BB66</f>
        <v>46.891976188205703</v>
      </c>
      <c r="BC66" t="str">
        <f>'Costing 100 Lmin Feed Orig'!BC66</f>
        <v>coeFc</v>
      </c>
      <c r="BD66">
        <f>'Costing 100 Lmin Feed Orig'!BD66</f>
        <v>1</v>
      </c>
      <c r="BE66">
        <f>'Costing 100 Lmin Feed Orig'!BE66</f>
        <v>1.8775014999999999E-2</v>
      </c>
      <c r="BF66">
        <f>'Costing 100 Lmin Feed Orig'!BF66</f>
        <v>0.10492961100000001</v>
      </c>
      <c r="BG66">
        <f>'Costing 100 Lmin Feed Orig'!BG66</f>
        <v>1.814625E-3</v>
      </c>
      <c r="BH66">
        <f>'Costing 100 Lmin Feed Orig'!BH66</f>
        <v>285.1951444</v>
      </c>
      <c r="BI66">
        <f>'Costing 100 Lmin Feed Orig'!BI66</f>
        <v>2169.8944889999998</v>
      </c>
      <c r="BJ66">
        <f>'Costing 100 Lmin Feed Orig'!BJ66</f>
        <v>866.49409060000005</v>
      </c>
      <c r="BK66">
        <f>'Costing 100 Lmin Feed Orig'!BK66</f>
        <v>100</v>
      </c>
      <c r="BL66">
        <f>'Costing 100 Lmin Feed Orig'!BL66</f>
        <v>10.969051996096999</v>
      </c>
      <c r="BM66">
        <f>'Costing 100 Lmin Feed Orig'!BM66</f>
        <v>92.357542033771196</v>
      </c>
      <c r="BN66">
        <f>'Costing 100 Lmin Feed Orig'!BN66</f>
        <v>19.695809292209098</v>
      </c>
      <c r="BO66">
        <f t="shared" si="1"/>
        <v>241.31914391413397</v>
      </c>
      <c r="BP66">
        <f t="shared" si="2"/>
        <v>393.916185844182</v>
      </c>
      <c r="BQ66">
        <f t="shared" si="3"/>
        <v>24.1319143914134</v>
      </c>
      <c r="BR66">
        <f t="shared" si="4"/>
        <v>39.391618584418204</v>
      </c>
      <c r="BS66">
        <f>1.2*0.5*BL66*V66/'Oxidant Feed Composition'!$N$22</f>
        <v>6.5814311976581994</v>
      </c>
      <c r="BT66">
        <f>1.2*0.5*BN66*BA66/'Oxidant Feed Composition'!$N$22</f>
        <v>11.817485575325458</v>
      </c>
      <c r="BU66">
        <f t="shared" si="5"/>
        <v>5.4845259980484995</v>
      </c>
      <c r="BV66">
        <f t="shared" si="6"/>
        <v>9.8479046461045492</v>
      </c>
      <c r="BW66">
        <f t="shared" si="7"/>
        <v>86.873016035722699</v>
      </c>
      <c r="BX66">
        <f t="shared" ref="BX66:BX101" si="19">(BS66+BL66)*2</f>
        <v>35.100966387510397</v>
      </c>
      <c r="BY66">
        <f t="shared" si="8"/>
        <v>206.65318805973638</v>
      </c>
      <c r="BZ66">
        <f t="shared" si="9"/>
        <v>63.026589735069109</v>
      </c>
      <c r="CA66">
        <f t="shared" si="10"/>
        <v>59.087427876627295</v>
      </c>
      <c r="CB66">
        <f>BO66*'Reagent cost'!$G$11*'Reagent cost'!$H$11</f>
        <v>3185.4126996665682</v>
      </c>
      <c r="CC66">
        <f>BP66*'Reagent cost'!$G$11*'Reagent cost'!$H$11</f>
        <v>5199.6936531432029</v>
      </c>
      <c r="CD66">
        <f>BQ66*'Reagent cost'!$C$18/1000*'Reagent cost'!$H$18</f>
        <v>3848.5686313477631</v>
      </c>
      <c r="CE66">
        <f>BR66*'Ligand cost'!$B$56*'Ligand cost'!$J$56</f>
        <v>40105.699286632342</v>
      </c>
      <c r="CF66">
        <f t="shared" si="11"/>
        <v>10</v>
      </c>
      <c r="CG66">
        <f t="shared" si="12"/>
        <v>2.1938103992193998</v>
      </c>
      <c r="CH66">
        <f t="shared" si="12"/>
        <v>3.9391618584418198</v>
      </c>
      <c r="CI66">
        <f>7963.6*(BX66/1000)^0.6*1.7*('CAPEX+OPEX'!$G$116/'CAPEX+OPEX'!$G$115)</f>
        <v>2140.0916471558648</v>
      </c>
      <c r="CJ66">
        <f>7963.6*(BY66/1000)^0.6*1.7*('CAPEX+OPEX'!$G$116/'CAPEX+OPEX'!$G$115)</f>
        <v>6199.9215410229135</v>
      </c>
      <c r="CK66">
        <f>7963.6*(BZ66/1000)^0.6*1.7*('CAPEX+OPEX'!$G$116/'CAPEX+OPEX'!$G$115)</f>
        <v>3040.5714489227012</v>
      </c>
      <c r="CL66">
        <f>7963.6*(CA66/1000)^0.6*1.7*('CAPEX+OPEX'!$G$116/'CAPEX+OPEX'!$G$115)</f>
        <v>2925.0815530785185</v>
      </c>
      <c r="CM66">
        <f>'Costing 100 Lmin Feed Orig'!DE66</f>
        <v>39625.826528698344</v>
      </c>
      <c r="CN66">
        <f>'Costing 100 Lmin Feed Orig'!DF66</f>
        <v>4586243.4239371875</v>
      </c>
      <c r="CO66">
        <f>'Costing 100 Lmin Feed Orig'!DG66</f>
        <v>11794834.586807497</v>
      </c>
      <c r="CP66">
        <f>'Costing 100 Lmin Feed Orig'!DH66</f>
        <v>2275209.1661185985</v>
      </c>
      <c r="CQ66">
        <f>'Costing 100 Lmin Feed Orig'!DI66</f>
        <v>14083914.336508472</v>
      </c>
      <c r="CR66">
        <f>'Costing 100 Lmin Feed Orig'!DJ66</f>
        <v>1662824.8986326549</v>
      </c>
      <c r="CS66">
        <f>CN66*(BK66/10000)^0.72*((A66+1)/3)^0.6*('CAPEX+OPEX'!$G$116/'CAPEX+OPEX'!$G$114)</f>
        <v>800322.53402245743</v>
      </c>
      <c r="CT66">
        <f>CO66*(BK66/10000)^0.72*((A66+1)/3)^0.6*('CAPEX+OPEX'!$G$116/'CAPEX+OPEX'!$G$114)</f>
        <v>2058257.9318883498</v>
      </c>
      <c r="CU66">
        <f>CP66*(BK66/10000)^0.72*((A66+1)/3)^0.6*('CAPEX+OPEX'!$G$116/'CAPEX+OPEX'!$G$114)</f>
        <v>397035.437708179</v>
      </c>
      <c r="CV66">
        <f>CQ66*(BK66/10000)^0.72*((A66+1)/3)^0.6*('CAPEX+OPEX'!$G$116/'CAPEX+OPEX'!$G$114)</f>
        <v>2457713.856163613</v>
      </c>
      <c r="CW66">
        <f>CR66*(BK66/10000)^0.72*((A66+1)/3)^0.6*('CAPEX+OPEX'!$G$116/'CAPEX+OPEX'!$G$114)</f>
        <v>290171.30437591631</v>
      </c>
      <c r="CX66">
        <f t="shared" si="13"/>
        <v>6003501.064158516</v>
      </c>
      <c r="CY66">
        <f>CN66*(BM66/10000)^0.72*((AF66+1)/3)^0.6*('CAPEX+OPEX'!$G$116/'CAPEX+OPEX'!$G$114)</f>
        <v>709497.14876377874</v>
      </c>
      <c r="CZ66">
        <f>CO66*(BM66/10000)^0.72*((AF66+1)/3)^0.6*('CAPEX+OPEX'!$G$116/'CAPEX+OPEX'!$G$114)</f>
        <v>1824674.5181040205</v>
      </c>
      <c r="DA66">
        <f>CP66*(BM66/10000)^0.72*((AF66+1)/3)^0.6*('CAPEX+OPEX'!$G$116/'CAPEX+OPEX'!$G$114)</f>
        <v>351977.48287345789</v>
      </c>
      <c r="DB66">
        <f>CQ66*(BM66/10000)^0.72*((AF66+1)/3)^0.6*('CAPEX+OPEX'!$G$116/'CAPEX+OPEX'!$G$114)</f>
        <v>2178797.7962599574</v>
      </c>
      <c r="DC66">
        <f>CR66*(BM66/10000)^0.72*((AF66+1)/3)^0.6*('CAPEX+OPEX'!$G$116/'CAPEX+OPEX'!$G$114)</f>
        <v>257240.93019477848</v>
      </c>
      <c r="DD66">
        <f t="shared" si="14"/>
        <v>5322187.8761959933</v>
      </c>
      <c r="DE66">
        <f>CX66+DD66+1.15*(SUM(CI66:CL66)+SUM(CB66:CE66))</f>
        <v>11402330.736884624</v>
      </c>
      <c r="DF66">
        <f t="shared" si="15"/>
        <v>760155.38245897496</v>
      </c>
      <c r="DG66">
        <f>(BS66+BT66)*'Oxidant Feed Composition'!$N$28*60*7200</f>
        <v>20456558.917884227</v>
      </c>
      <c r="DH66">
        <f>((CG66+CH66)*'Reagent cost'!$C$17/1000*'Reagent cost'!$H$17+(CG66+CH66)*0.5*'Reagent cost'!$C$16/1000*'Reagent cost'!$H$16*1.5)*60*7200</f>
        <v>8702906.9487092048</v>
      </c>
      <c r="DI66">
        <f>CF66*'Reagent cost'!$C$17/1000*'Reagent cost'!$H$17*60*7200</f>
        <v>504921.59999999998</v>
      </c>
      <c r="DJ66">
        <f t="shared" si="16"/>
        <v>83.851063528097711</v>
      </c>
      <c r="DK66">
        <f t="shared" si="17"/>
        <v>879.08535835960208</v>
      </c>
      <c r="DL66">
        <f t="shared" si="18"/>
        <v>35598420.483618379</v>
      </c>
      <c r="DM66">
        <f>BK66*(B66*(409.81+2)/1000+C66*(248.2+2*22.99)/1000+D66*(315.6+3*22.99)/1000+0.1*58.44/1000)</f>
        <v>0.70639694042110623</v>
      </c>
      <c r="DN66">
        <f>(BS66+BT66)/1000*('Oxidant Feed Composition'!$B$11*'Oxidant Feed Composition'!$O$20+'Oxidant Feed Composition'!$D$11*'Oxidant Feed Composition'!$O$21+'Oxidant Feed Composition'!$F$11*'Oxidant Feed Composition'!$O$27-'Oxidant Feed Composition'!$J$15*18.015)</f>
        <v>2.1487090318311806</v>
      </c>
      <c r="DO66">
        <f>(BU66+BV66)/1000*(0.2*368.34+0.4*58.44)</f>
        <v>1.4879203994311885</v>
      </c>
      <c r="DP66">
        <f>BK66/1000*(B66*195.08+C66*106.42+D66*102.91)</f>
        <v>4.999938342565946E-2</v>
      </c>
      <c r="DQ66">
        <f>SUM(DM66:DO66)-DP66</f>
        <v>4.2930269882578154</v>
      </c>
      <c r="DR66">
        <f>DQ66*60*7200*0.33</f>
        <v>612013.92744603415</v>
      </c>
      <c r="DS66">
        <v>1.2</v>
      </c>
      <c r="DT66">
        <f>BM66/60*(AM66*4+AN66*2+AO66*3)*96485/DV66</f>
        <v>1405.8412615116492</v>
      </c>
      <c r="DU66">
        <f>BN66*BA66*(AP66*4+AQ66*2+AR66*3)*96485/DV66/60</f>
        <v>705.86256077424412</v>
      </c>
      <c r="DV66">
        <v>0.7</v>
      </c>
      <c r="DW66">
        <f>0.499*((BK66/3.78541*15)^(-0.146))*BK66/3.78541*15*300*(1+(A66-2)/9)</f>
        <v>44032.441905260595</v>
      </c>
      <c r="DX66">
        <f>0.248*((BK66/3.78541*15)^(-0.144))*BK66/3.78541*15*300*(1+(A66-2)/3)</f>
        <v>41526.098972294596</v>
      </c>
      <c r="DY66">
        <f>0.105*((BK66/3.78541*15)^(-0.144))*BK66/3.78541*15*300*(1+(A66-2)/3)</f>
        <v>17581.614484237631</v>
      </c>
      <c r="DZ66">
        <f>0.058*((BK66/3.78541*15)^(-0.151))*BK66/3.78541*15*300*(1+(A66-2)/3)</f>
        <v>9313.4716969742931</v>
      </c>
      <c r="EA66">
        <f>0.056*((BK66/3.78541*15)^(-0.144))*BK66/3.78541*15*300*(1+(A66-2)/3)</f>
        <v>9376.8610582600722</v>
      </c>
      <c r="EB66">
        <f>DS66*DT66/(3.6*10^6)*3600*7200*0.07</f>
        <v>850.25279496224562</v>
      </c>
      <c r="EC66">
        <f>0.499*((BM66/3.78541*15)^(-0.146))*BM66/3.78541*15*300*(1+(AF66-2)/9)</f>
        <v>38570.693537838983</v>
      </c>
      <c r="ED66">
        <f>0.248*((BM66/3.78541*15)^(-0.144))*BM66/3.78541*15*300*(1+(AF66-2)/3)</f>
        <v>34914.673863674019</v>
      </c>
      <c r="EE66">
        <f>0.105*((BM66/3.78541*15)^(-0.144))*BM66/3.78541*15*300*(1+(AF66-2)/3)</f>
        <v>14782.422401958756</v>
      </c>
      <c r="EF66">
        <f>0.058*((BM66/3.78541*15)^(-0.151))*BM66/3.78541*15*300*(1+(AF66-2)/3)</f>
        <v>7835.0206873977668</v>
      </c>
      <c r="EG66">
        <f>0.056*((BM66/3.78541*15)^(-0.144))*BM66/3.78541*15*300*(1+(AF66-2)/3)</f>
        <v>7883.9586143780034</v>
      </c>
      <c r="EH66">
        <f>DS66*DU66/(3.6*10^6)*3600*7200*0.07</f>
        <v>426.90567675626289</v>
      </c>
      <c r="EI66">
        <f>SUM(DW66:EH66)</f>
        <v>227094.41569399321</v>
      </c>
      <c r="EJ66">
        <f>EI66+DR66+DL66</f>
        <v>36437528.826758407</v>
      </c>
      <c r="EK66">
        <f>EJ66+DF66</f>
        <v>37197684.209217384</v>
      </c>
      <c r="EL66">
        <f>EK66/(BK66*60*7200)</f>
        <v>0.86105750484299504</v>
      </c>
      <c r="EM66">
        <f>EK66/(BM66*(AM66*195.084/1000+AN66*106.42/1000+AO66*102.911/1000)*60*7200)</f>
        <v>2880.7357915765583</v>
      </c>
      <c r="EN66">
        <f>EK66/(BN66*BA66*(AP66*195.084/1000+AQ66*106.42/1000+AR66*102.911/1000)*60*7200)</f>
        <v>5286.2656788587828</v>
      </c>
    </row>
    <row r="67" spans="1:144">
      <c r="A67">
        <f>'Costing 100 Lmin Feed Orig'!A67</f>
        <v>9</v>
      </c>
      <c r="B67">
        <f>'Costing 100 Lmin Feed Orig'!B67</f>
        <v>1.54143585092054E-3</v>
      </c>
      <c r="C67">
        <f>'Costing 100 Lmin Feed Orig'!C67</f>
        <v>1.54143585092054E-3</v>
      </c>
      <c r="D67">
        <f>'Costing 100 Lmin Feed Orig'!D67</f>
        <v>3.4254130020456501E-4</v>
      </c>
      <c r="E67">
        <f>'Costing 100 Lmin Feed Orig'!E67</f>
        <v>0</v>
      </c>
      <c r="F67">
        <f>'Costing 100 Lmin Feed Orig'!F67</f>
        <v>0</v>
      </c>
      <c r="G67">
        <f>'Costing 100 Lmin Feed Orig'!G67</f>
        <v>0</v>
      </c>
      <c r="H67">
        <f>'Costing 100 Lmin Feed Orig'!H67</f>
        <v>1.7768596981705501E-5</v>
      </c>
      <c r="I67">
        <f>'Costing 100 Lmin Feed Orig'!I67</f>
        <v>1.5331283704498101E-9</v>
      </c>
      <c r="J67">
        <f>'Costing 100 Lmin Feed Orig'!J67</f>
        <v>3.3763247208936601E-4</v>
      </c>
      <c r="K67">
        <f>'Costing 100 Lmin Feed Orig'!K67</f>
        <v>0.13890601070001499</v>
      </c>
      <c r="L67">
        <f>'Costing 100 Lmin Feed Orig'!L67</f>
        <v>0.14052575540227799</v>
      </c>
      <c r="M67">
        <f>'Costing 100 Lmin Feed Orig'!M67</f>
        <v>4.4751616793740602E-4</v>
      </c>
      <c r="N67">
        <f>'Costing 100 Lmin Feed Orig'!N67</f>
        <v>-5.0090140368830299E-17</v>
      </c>
      <c r="O67">
        <f>'Costing 100 Lmin Feed Orig'!O67</f>
        <v>-6.2343793322261397E-15</v>
      </c>
      <c r="P67">
        <f>'Costing 100 Lmin Feed Orig'!P67</f>
        <v>1.7787691892340301E-20</v>
      </c>
      <c r="Q67">
        <f>'Costing 100 Lmin Feed Orig'!Q67</f>
        <v>0.10969051996097</v>
      </c>
      <c r="R67">
        <f>'Costing 100 Lmin Feed Orig'!R67</f>
        <v>98.566938318892298</v>
      </c>
      <c r="S67">
        <f>'Costing 100 Lmin Feed Orig'!S67</f>
        <v>500</v>
      </c>
      <c r="T67">
        <f>'Costing 100 Lmin Feed Orig'!T67</f>
        <v>95</v>
      </c>
      <c r="U67">
        <f>'Costing 100 Lmin Feed Orig'!U67</f>
        <v>1</v>
      </c>
      <c r="V67">
        <f>'Costing 100 Lmin Feed Orig'!V67</f>
        <v>0.1</v>
      </c>
      <c r="W67">
        <f>'Costing 100 Lmin Feed Orig'!W67</f>
        <v>91.165581160141301</v>
      </c>
      <c r="X67" t="str">
        <f>'Costing 100 Lmin Feed Orig'!X67</f>
        <v>ddFc</v>
      </c>
      <c r="Y67">
        <f>'Costing 100 Lmin Feed Orig'!Y67</f>
        <v>1</v>
      </c>
      <c r="Z67">
        <f>'Costing 100 Lmin Feed Orig'!Z67</f>
        <v>0.28318429382522198</v>
      </c>
      <c r="AA67">
        <f>'Costing 100 Lmin Feed Orig'!AA67</f>
        <v>0.56945642916197003</v>
      </c>
      <c r="AB67">
        <f>'Costing 100 Lmin Feed Orig'!AB67</f>
        <v>3.7698628972227502E-3</v>
      </c>
      <c r="AC67">
        <f>'Costing 100 Lmin Feed Orig'!AC67</f>
        <v>1822.2107908876901</v>
      </c>
      <c r="AD67">
        <f>'Costing 100 Lmin Feed Orig'!AD67</f>
        <v>2662.6059073104898</v>
      </c>
      <c r="AE67">
        <f>'Costing 100 Lmin Feed Orig'!AE67</f>
        <v>2401.5030938442701</v>
      </c>
      <c r="AF67">
        <f>'Costing 100 Lmin Feed Orig'!AF67</f>
        <v>9</v>
      </c>
      <c r="AG67">
        <f>'Costing 100 Lmin Feed Orig'!AG67</f>
        <v>1.6497485970141401E-3</v>
      </c>
      <c r="AH67">
        <f>'Costing 100 Lmin Feed Orig'!AH67</f>
        <v>1.6689858606617799E-3</v>
      </c>
      <c r="AI67">
        <f>'Costing 100 Lmin Feed Orig'!AI67</f>
        <v>5.3150268046377499E-6</v>
      </c>
      <c r="AJ67">
        <f>'Costing 100 Lmin Feed Orig'!AJ67</f>
        <v>0</v>
      </c>
      <c r="AK67">
        <f>'Costing 100 Lmin Feed Orig'!AK67</f>
        <v>0</v>
      </c>
      <c r="AL67">
        <f>'Costing 100 Lmin Feed Orig'!AL67</f>
        <v>0</v>
      </c>
      <c r="AM67">
        <f>'Costing 100 Lmin Feed Orig'!AM67</f>
        <v>1.6127861938138701E-3</v>
      </c>
      <c r="AN67">
        <f>'Costing 100 Lmin Feed Orig'!AN67</f>
        <v>7.9603425019377403E-5</v>
      </c>
      <c r="AO67">
        <f>'Costing 100 Lmin Feed Orig'!AO67</f>
        <v>5.2800588331914901E-6</v>
      </c>
      <c r="AP67">
        <f>'Costing 100 Lmin Feed Orig'!AP67</f>
        <v>1.7337552285219199E-3</v>
      </c>
      <c r="AQ67">
        <f>'Costing 100 Lmin Feed Orig'!AQ67</f>
        <v>7.4551432519081903E-2</v>
      </c>
      <c r="AR67">
        <f>'Costing 100 Lmin Feed Orig'!AR67</f>
        <v>1.64020458835788E-6</v>
      </c>
      <c r="AS67">
        <f>'Costing 100 Lmin Feed Orig'!AS67</f>
        <v>3.7486290113686297E-17</v>
      </c>
      <c r="AT67">
        <f>'Costing 100 Lmin Feed Orig'!AT67</f>
        <v>-4.9181578948287397E-15</v>
      </c>
      <c r="AU67">
        <f>'Costing 100 Lmin Feed Orig'!AU67</f>
        <v>-2.56756862136459E-21</v>
      </c>
      <c r="AV67">
        <f>'Costing 100 Lmin Feed Orig'!AV67</f>
        <v>0.19689957677272099</v>
      </c>
      <c r="AW67">
        <f>'Costing 100 Lmin Feed Orig'!AW67</f>
        <v>99.342092284167904</v>
      </c>
      <c r="AX67">
        <f>'Costing 100 Lmin Feed Orig'!AX67</f>
        <v>500</v>
      </c>
      <c r="AY67">
        <f>'Costing 100 Lmin Feed Orig'!AY67</f>
        <v>95</v>
      </c>
      <c r="AZ67">
        <f>'Costing 100 Lmin Feed Orig'!AZ67</f>
        <v>0.92357542033771201</v>
      </c>
      <c r="BA67">
        <f>'Costing 100 Lmin Feed Orig'!BA67</f>
        <v>0.1</v>
      </c>
      <c r="BB67">
        <f>'Costing 100 Lmin Feed Orig'!BB67</f>
        <v>46.905911910810303</v>
      </c>
      <c r="BC67" t="str">
        <f>'Costing 100 Lmin Feed Orig'!BC67</f>
        <v>coeFc</v>
      </c>
      <c r="BD67">
        <f>'Costing 100 Lmin Feed Orig'!BD67</f>
        <v>1</v>
      </c>
      <c r="BE67">
        <f>'Costing 100 Lmin Feed Orig'!BE67</f>
        <v>1.8775014999999999E-2</v>
      </c>
      <c r="BF67">
        <f>'Costing 100 Lmin Feed Orig'!BF67</f>
        <v>0.10492961100000001</v>
      </c>
      <c r="BG67">
        <f>'Costing 100 Lmin Feed Orig'!BG67</f>
        <v>1.814625E-3</v>
      </c>
      <c r="BH67">
        <f>'Costing 100 Lmin Feed Orig'!BH67</f>
        <v>285.1951444</v>
      </c>
      <c r="BI67">
        <f>'Costing 100 Lmin Feed Orig'!BI67</f>
        <v>2169.8944889999998</v>
      </c>
      <c r="BJ67">
        <f>'Costing 100 Lmin Feed Orig'!BJ67</f>
        <v>866.49409060000005</v>
      </c>
      <c r="BK67">
        <f>'Costing 100 Lmin Feed Orig'!BK67</f>
        <v>100</v>
      </c>
      <c r="BL67">
        <f>'Costing 100 Lmin Feed Orig'!BL67</f>
        <v>10.969051996096999</v>
      </c>
      <c r="BM67">
        <f>'Costing 100 Lmin Feed Orig'!BM67</f>
        <v>92.357542033771196</v>
      </c>
      <c r="BN67">
        <f>'Costing 100 Lmin Feed Orig'!BN67</f>
        <v>19.689957677272098</v>
      </c>
      <c r="BO67">
        <f t="shared" ref="BO67:BO101" si="20">(A67+2)*2*BL67</f>
        <v>241.31914391413397</v>
      </c>
      <c r="BP67">
        <f t="shared" ref="BP67:BP101" si="21">(AF67+2)*2*BN67</f>
        <v>433.17906889998613</v>
      </c>
      <c r="BQ67">
        <f t="shared" ref="BQ67:BQ101" si="22">BO67*V67</f>
        <v>24.1319143914134</v>
      </c>
      <c r="BR67">
        <f t="shared" ref="BR67:BR101" si="23">BP67*BA67</f>
        <v>43.317906889998618</v>
      </c>
      <c r="BS67">
        <f>1.2*0.5*BL67*V67/'Oxidant Feed Composition'!$N$22</f>
        <v>6.5814311976581994</v>
      </c>
      <c r="BT67">
        <f>1.2*0.5*BN67*BA67/'Oxidant Feed Composition'!$N$22</f>
        <v>11.813974606363256</v>
      </c>
      <c r="BU67">
        <f t="shared" ref="BU67:BU101" si="24">V67*BL67/0.2</f>
        <v>5.4845259980484995</v>
      </c>
      <c r="BV67">
        <f t="shared" ref="BV67:BV101" si="25">BA67*BN67/0.2</f>
        <v>9.8449788386360488</v>
      </c>
      <c r="BW67">
        <f t="shared" ref="BW67:BW101" si="26">BM67-BU67</f>
        <v>86.873016035722699</v>
      </c>
      <c r="BX67">
        <f t="shared" si="19"/>
        <v>35.100966387510397</v>
      </c>
      <c r="BY67">
        <f t="shared" ref="BY67:BY101" si="27">(BU67+BW67+BL67)*2</f>
        <v>206.65318805973638</v>
      </c>
      <c r="BZ67">
        <f t="shared" ref="BZ67:BZ101" si="28">(BT67+BN67)*2</f>
        <v>63.007864567270708</v>
      </c>
      <c r="CA67">
        <f t="shared" ref="CA67:CA101" si="29">(BV67+BN67)*2</f>
        <v>59.069873031816293</v>
      </c>
      <c r="CB67">
        <f>BO67*'Reagent cost'!$G$11*'Reagent cost'!$H$11</f>
        <v>3185.4126996665682</v>
      </c>
      <c r="CC67">
        <f>BP67*'Reagent cost'!$G$11*'Reagent cost'!$H$11</f>
        <v>5717.9637094798172</v>
      </c>
      <c r="CD67">
        <f>BQ67*'Reagent cost'!$C$18/1000*'Reagent cost'!$H$18</f>
        <v>3848.5686313477631</v>
      </c>
      <c r="CE67">
        <f>BR67*'Ligand cost'!$B$56*'Ligand cost'!$J$56</f>
        <v>44103.16229411884</v>
      </c>
      <c r="CF67">
        <f t="shared" ref="CF67:CF101" si="30">BK67*0.1</f>
        <v>10</v>
      </c>
      <c r="CG67">
        <f t="shared" ref="CG67:CH101" si="31">BU67*0.4</f>
        <v>2.1938103992193998</v>
      </c>
      <c r="CH67">
        <f t="shared" si="31"/>
        <v>3.9379915354544197</v>
      </c>
      <c r="CI67">
        <f>7963.6*(BX67/1000)^0.6*1.7*('CAPEX+OPEX'!$G$116/'CAPEX+OPEX'!$G$115)</f>
        <v>2140.0916471558648</v>
      </c>
      <c r="CJ67">
        <f>7963.6*(BY67/1000)^0.6*1.7*('CAPEX+OPEX'!$G$116/'CAPEX+OPEX'!$G$115)</f>
        <v>6199.9215410229135</v>
      </c>
      <c r="CK67">
        <f>7963.6*(BZ67/1000)^0.6*1.7*('CAPEX+OPEX'!$G$116/'CAPEX+OPEX'!$G$115)</f>
        <v>3040.029405372095</v>
      </c>
      <c r="CL67">
        <f>7963.6*(CA67/1000)^0.6*1.7*('CAPEX+OPEX'!$G$116/'CAPEX+OPEX'!$G$115)</f>
        <v>2924.5600979450091</v>
      </c>
      <c r="CM67">
        <f>'Costing 100 Lmin Feed Orig'!DE67</f>
        <v>39625.826528698344</v>
      </c>
      <c r="CN67">
        <f>'Costing 100 Lmin Feed Orig'!DF67</f>
        <v>4586243.4239371875</v>
      </c>
      <c r="CO67">
        <f>'Costing 100 Lmin Feed Orig'!DG67</f>
        <v>11794834.586807497</v>
      </c>
      <c r="CP67">
        <f>'Costing 100 Lmin Feed Orig'!DH67</f>
        <v>2275209.1661185985</v>
      </c>
      <c r="CQ67">
        <f>'Costing 100 Lmin Feed Orig'!DI67</f>
        <v>14083914.336508472</v>
      </c>
      <c r="CR67">
        <f>'Costing 100 Lmin Feed Orig'!DJ67</f>
        <v>1662824.8986326549</v>
      </c>
      <c r="CS67">
        <f>CN67*(BK67/10000)^0.72*((A67+1)/3)^0.6*('CAPEX+OPEX'!$G$116/'CAPEX+OPEX'!$G$114)</f>
        <v>800322.53402245743</v>
      </c>
      <c r="CT67">
        <f>CO67*(BK67/10000)^0.72*((A67+1)/3)^0.6*('CAPEX+OPEX'!$G$116/'CAPEX+OPEX'!$G$114)</f>
        <v>2058257.9318883498</v>
      </c>
      <c r="CU67">
        <f>CP67*(BK67/10000)^0.72*((A67+1)/3)^0.6*('CAPEX+OPEX'!$G$116/'CAPEX+OPEX'!$G$114)</f>
        <v>397035.437708179</v>
      </c>
      <c r="CV67">
        <f>CQ67*(BK67/10000)^0.72*((A67+1)/3)^0.6*('CAPEX+OPEX'!$G$116/'CAPEX+OPEX'!$G$114)</f>
        <v>2457713.856163613</v>
      </c>
      <c r="CW67">
        <f>CR67*(BK67/10000)^0.72*((A67+1)/3)^0.6*('CAPEX+OPEX'!$G$116/'CAPEX+OPEX'!$G$114)</f>
        <v>290171.30437591631</v>
      </c>
      <c r="CX67">
        <f t="shared" ref="CX67:CX101" si="32">SUM(CS67:CW67)</f>
        <v>6003501.064158516</v>
      </c>
      <c r="CY67">
        <f>CN67*(BM67/10000)^0.72*((AF67+1)/3)^0.6*('CAPEX+OPEX'!$G$116/'CAPEX+OPEX'!$G$114)</f>
        <v>755796.97409698786</v>
      </c>
      <c r="CZ67">
        <f>CO67*(BM67/10000)^0.72*((AF67+1)/3)^0.6*('CAPEX+OPEX'!$G$116/'CAPEX+OPEX'!$G$114)</f>
        <v>1943747.740068865</v>
      </c>
      <c r="DA67">
        <f>CP67*(BM67/10000)^0.72*((AF67+1)/3)^0.6*('CAPEX+OPEX'!$G$116/'CAPEX+OPEX'!$G$114)</f>
        <v>374946.56175793061</v>
      </c>
      <c r="DB67">
        <f>CQ67*(BM67/10000)^0.72*((AF67+1)/3)^0.6*('CAPEX+OPEX'!$G$116/'CAPEX+OPEX'!$G$114)</f>
        <v>2320980.125785856</v>
      </c>
      <c r="DC67">
        <f>CR67*(BM67/10000)^0.72*((AF67+1)/3)^0.6*('CAPEX+OPEX'!$G$116/'CAPEX+OPEX'!$G$114)</f>
        <v>274027.76317546447</v>
      </c>
      <c r="DD67">
        <f t="shared" ref="DD67:DD101" si="33">SUM(CY67:DC67)</f>
        <v>5669499.1648851037</v>
      </c>
      <c r="DE67">
        <f>CX67+DD67+1.15*(SUM(CI67:CL67)+SUM(CB67:CE67))</f>
        <v>11754833.895573646</v>
      </c>
      <c r="DF67">
        <f t="shared" ref="DF67:DF101" si="34">DE67/15</f>
        <v>783655.59303824301</v>
      </c>
      <c r="DG67">
        <f>(BS67+BT67)*'Oxidant Feed Composition'!$N$28*60*7200</f>
        <v>20452655.299844082</v>
      </c>
      <c r="DH67">
        <f>((CG67+CH67)*'Reagent cost'!$C$17/1000*'Reagent cost'!$H$17+(CG67+CH67)*0.5*'Reagent cost'!$C$16/1000*'Reagent cost'!$H$16*1.5)*60*7200</f>
        <v>8701246.2185393311</v>
      </c>
      <c r="DI67">
        <f>CF67*'Reagent cost'!$C$17/1000*'Reagent cost'!$H$17*60*7200</f>
        <v>504921.59999999998</v>
      </c>
      <c r="DJ67">
        <f t="shared" ref="DJ67:DJ101" si="35">(CB67+CC67)*0.01</f>
        <v>89.033764091463851</v>
      </c>
      <c r="DK67">
        <f t="shared" ref="DK67:DK101" si="36">(CD67+CE67)*0.02</f>
        <v>959.03461850933206</v>
      </c>
      <c r="DL67">
        <f t="shared" ref="DL67:DL101" si="37">SUM(DG67:DK67)*1.2</f>
        <v>35591845.424119212</v>
      </c>
      <c r="DM67">
        <f>BK67*(B67*(409.81+2)/1000+C67*(248.2+2*22.99)/1000+D67*(315.6+3*22.99)/1000+0.1*58.44/1000)</f>
        <v>0.70639694042110623</v>
      </c>
      <c r="DN67">
        <f>(BS67+BT67)/1000*('Oxidant Feed Composition'!$B$11*'Oxidant Feed Composition'!$O$20+'Oxidant Feed Composition'!$D$11*'Oxidant Feed Composition'!$O$21+'Oxidant Feed Composition'!$F$11*'Oxidant Feed Composition'!$O$27-'Oxidant Feed Composition'!$J$15*18.015)</f>
        <v>2.1482990049359758</v>
      </c>
      <c r="DO67">
        <f>(BU67+BV67)/1000*(0.2*368.34+0.4*58.44)</f>
        <v>1.4876364673712152</v>
      </c>
      <c r="DP67">
        <f>BK67/1000*(B67*195.08+C67*106.42+D67*102.91)</f>
        <v>4.999938342565946E-2</v>
      </c>
      <c r="DQ67">
        <f>SUM(DM67:DO67)-DP67</f>
        <v>4.2923330293026369</v>
      </c>
      <c r="DR67">
        <f>DQ67*60*7200*0.33</f>
        <v>611914.99665738398</v>
      </c>
      <c r="DS67">
        <v>1.2</v>
      </c>
      <c r="DT67">
        <f>BM67/60*(AM67*4+AN67*2+AO67*3)*96485/DV67</f>
        <v>1405.875555868555</v>
      </c>
      <c r="DU67">
        <f>BN67*BA67*(AP67*4+AQ67*2+AR67*3)*96485/DV67/60</f>
        <v>705.82826587847319</v>
      </c>
      <c r="DV67">
        <v>0.7</v>
      </c>
      <c r="DW67">
        <f>0.499*((BK67/3.78541*15)^(-0.146))*BK67/3.78541*15*300*(1+(A67-2)/9)</f>
        <v>44032.441905260595</v>
      </c>
      <c r="DX67">
        <f>0.248*((BK67/3.78541*15)^(-0.144))*BK67/3.78541*15*300*(1+(A67-2)/3)</f>
        <v>41526.098972294596</v>
      </c>
      <c r="DY67">
        <f>0.105*((BK67/3.78541*15)^(-0.144))*BK67/3.78541*15*300*(1+(A67-2)/3)</f>
        <v>17581.614484237631</v>
      </c>
      <c r="DZ67">
        <f>0.058*((BK67/3.78541*15)^(-0.151))*BK67/3.78541*15*300*(1+(A67-2)/3)</f>
        <v>9313.4716969742931</v>
      </c>
      <c r="EA67">
        <f>0.056*((BK67/3.78541*15)^(-0.144))*BK67/3.78541*15*300*(1+(A67-2)/3)</f>
        <v>9376.8610582600722</v>
      </c>
      <c r="EB67">
        <f>DS67*DT67/(3.6*10^6)*3600*7200*0.07</f>
        <v>850.27353618930215</v>
      </c>
      <c r="EC67">
        <f>0.499*((BM67/3.78541*15)^(-0.146))*BM67/3.78541*15*300*(1+(AF67-2)/9)</f>
        <v>41142.073107028249</v>
      </c>
      <c r="ED67">
        <f>0.248*((BM67/3.78541*15)^(-0.144))*BM67/3.78541*15*300*(1+(AF67-2)/3)</f>
        <v>38794.082070748911</v>
      </c>
      <c r="EE67">
        <f>0.105*((BM67/3.78541*15)^(-0.144))*BM67/3.78541*15*300*(1+(AF67-2)/3)</f>
        <v>16424.913779954175</v>
      </c>
      <c r="EF67">
        <f>0.058*((BM67/3.78541*15)^(-0.151))*BM67/3.78541*15*300*(1+(AF67-2)/3)</f>
        <v>8705.5785415530754</v>
      </c>
      <c r="EG67">
        <f>0.056*((BM67/3.78541*15)^(-0.144))*BM67/3.78541*15*300*(1+(AF67-2)/3)</f>
        <v>8759.9540159755597</v>
      </c>
      <c r="EH67">
        <f>DS67*DU67/(3.6*10^6)*3600*7200*0.07</f>
        <v>426.88493520330059</v>
      </c>
      <c r="EI67">
        <f>SUM(DW67:EH67)</f>
        <v>236934.24810367974</v>
      </c>
      <c r="EJ67">
        <f>EI67+DR67+DL67</f>
        <v>36440694.668880276</v>
      </c>
      <c r="EK67">
        <f>EJ67+DF67</f>
        <v>37224350.261918522</v>
      </c>
      <c r="EL67">
        <f>EK67/(BK67*60*7200)</f>
        <v>0.86167477458144726</v>
      </c>
      <c r="EM67">
        <f>EK67/(BM67*(AM67*195.084/1000+AN67*106.42/1000+AO67*102.911/1000)*60*7200)</f>
        <v>2882.7305508456666</v>
      </c>
      <c r="EN67">
        <f>EK67/(BN67*BA67*(AP67*195.084/1000+AQ67*106.42/1000+AR67*102.911/1000)*60*7200)</f>
        <v>5290.2922319695099</v>
      </c>
    </row>
    <row r="68" spans="1:144">
      <c r="A68">
        <f>'Costing 100 Lmin Feed Orig'!A68</f>
        <v>9</v>
      </c>
      <c r="B68">
        <f>'Costing 100 Lmin Feed Orig'!B68</f>
        <v>1.54143585092054E-3</v>
      </c>
      <c r="C68">
        <f>'Costing 100 Lmin Feed Orig'!C68</f>
        <v>1.54143585092054E-3</v>
      </c>
      <c r="D68">
        <f>'Costing 100 Lmin Feed Orig'!D68</f>
        <v>3.4254130020456501E-4</v>
      </c>
      <c r="E68">
        <f>'Costing 100 Lmin Feed Orig'!E68</f>
        <v>0</v>
      </c>
      <c r="F68">
        <f>'Costing 100 Lmin Feed Orig'!F68</f>
        <v>0</v>
      </c>
      <c r="G68">
        <f>'Costing 100 Lmin Feed Orig'!G68</f>
        <v>0</v>
      </c>
      <c r="H68">
        <f>'Costing 100 Lmin Feed Orig'!H68</f>
        <v>1.7768596981705501E-5</v>
      </c>
      <c r="I68">
        <f>'Costing 100 Lmin Feed Orig'!I68</f>
        <v>1.5331283704498101E-9</v>
      </c>
      <c r="J68">
        <f>'Costing 100 Lmin Feed Orig'!J68</f>
        <v>3.3763247208936601E-4</v>
      </c>
      <c r="K68">
        <f>'Costing 100 Lmin Feed Orig'!K68</f>
        <v>0.13890601070001499</v>
      </c>
      <c r="L68">
        <f>'Costing 100 Lmin Feed Orig'!L68</f>
        <v>0.14052575540227799</v>
      </c>
      <c r="M68">
        <f>'Costing 100 Lmin Feed Orig'!M68</f>
        <v>4.4751616793740602E-4</v>
      </c>
      <c r="N68">
        <f>'Costing 100 Lmin Feed Orig'!N68</f>
        <v>-5.0090140368830299E-17</v>
      </c>
      <c r="O68">
        <f>'Costing 100 Lmin Feed Orig'!O68</f>
        <v>-6.2343793322261397E-15</v>
      </c>
      <c r="P68">
        <f>'Costing 100 Lmin Feed Orig'!P68</f>
        <v>1.7787691892340301E-20</v>
      </c>
      <c r="Q68">
        <f>'Costing 100 Lmin Feed Orig'!Q68</f>
        <v>0.10969051996097</v>
      </c>
      <c r="R68">
        <f>'Costing 100 Lmin Feed Orig'!R68</f>
        <v>98.566938318892298</v>
      </c>
      <c r="S68">
        <f>'Costing 100 Lmin Feed Orig'!S68</f>
        <v>500</v>
      </c>
      <c r="T68">
        <f>'Costing 100 Lmin Feed Orig'!T68</f>
        <v>95</v>
      </c>
      <c r="U68">
        <f>'Costing 100 Lmin Feed Orig'!U68</f>
        <v>1</v>
      </c>
      <c r="V68">
        <f>'Costing 100 Lmin Feed Orig'!V68</f>
        <v>0.1</v>
      </c>
      <c r="W68">
        <f>'Costing 100 Lmin Feed Orig'!W68</f>
        <v>91.165581160141301</v>
      </c>
      <c r="X68" t="str">
        <f>'Costing 100 Lmin Feed Orig'!X68</f>
        <v>ddFc</v>
      </c>
      <c r="Y68">
        <f>'Costing 100 Lmin Feed Orig'!Y68</f>
        <v>1</v>
      </c>
      <c r="Z68">
        <f>'Costing 100 Lmin Feed Orig'!Z68</f>
        <v>0.28318429382522198</v>
      </c>
      <c r="AA68">
        <f>'Costing 100 Lmin Feed Orig'!AA68</f>
        <v>0.56945642916197003</v>
      </c>
      <c r="AB68">
        <f>'Costing 100 Lmin Feed Orig'!AB68</f>
        <v>3.7698628972227502E-3</v>
      </c>
      <c r="AC68">
        <f>'Costing 100 Lmin Feed Orig'!AC68</f>
        <v>1822.2107908876901</v>
      </c>
      <c r="AD68">
        <f>'Costing 100 Lmin Feed Orig'!AD68</f>
        <v>2662.6059073104898</v>
      </c>
      <c r="AE68">
        <f>'Costing 100 Lmin Feed Orig'!AE68</f>
        <v>2401.5030938442701</v>
      </c>
      <c r="AF68">
        <f>'Costing 100 Lmin Feed Orig'!AF68</f>
        <v>10</v>
      </c>
      <c r="AG68">
        <f>'Costing 100 Lmin Feed Orig'!AG68</f>
        <v>1.6497485970141401E-3</v>
      </c>
      <c r="AH68">
        <f>'Costing 100 Lmin Feed Orig'!AH68</f>
        <v>1.6689858606617799E-3</v>
      </c>
      <c r="AI68">
        <f>'Costing 100 Lmin Feed Orig'!AI68</f>
        <v>5.3150268046377499E-6</v>
      </c>
      <c r="AJ68">
        <f>'Costing 100 Lmin Feed Orig'!AJ68</f>
        <v>0</v>
      </c>
      <c r="AK68">
        <f>'Costing 100 Lmin Feed Orig'!AK68</f>
        <v>0</v>
      </c>
      <c r="AL68">
        <f>'Costing 100 Lmin Feed Orig'!AL68</f>
        <v>0</v>
      </c>
      <c r="AM68">
        <f>'Costing 100 Lmin Feed Orig'!AM68</f>
        <v>1.61279727507717E-3</v>
      </c>
      <c r="AN68">
        <f>'Costing 100 Lmin Feed Orig'!AN68</f>
        <v>7.9603998227522496E-5</v>
      </c>
      <c r="AO68">
        <f>'Costing 100 Lmin Feed Orig'!AO68</f>
        <v>5.28006888098894E-6</v>
      </c>
      <c r="AP68">
        <f>'Costing 100 Lmin Feed Orig'!AP68</f>
        <v>1.7333804651433E-3</v>
      </c>
      <c r="AQ68">
        <f>'Costing 100 Lmin Feed Orig'!AQ68</f>
        <v>7.4557643117945299E-2</v>
      </c>
      <c r="AR68">
        <f>'Costing 100 Lmin Feed Orig'!AR68</f>
        <v>1.6398704779534299E-6</v>
      </c>
      <c r="AS68">
        <f>'Costing 100 Lmin Feed Orig'!AS68</f>
        <v>6.2399223158329797E-15</v>
      </c>
      <c r="AT68">
        <f>'Costing 100 Lmin Feed Orig'!AT68</f>
        <v>-6.4600451724072805E-13</v>
      </c>
      <c r="AU68">
        <f>'Costing 100 Lmin Feed Orig'!AU68</f>
        <v>5.9854789124336998E-20</v>
      </c>
      <c r="AV68">
        <f>'Costing 100 Lmin Feed Orig'!AV68</f>
        <v>0.19688310425783201</v>
      </c>
      <c r="AW68">
        <f>'Costing 100 Lmin Feed Orig'!AW68</f>
        <v>99.342281329262306</v>
      </c>
      <c r="AX68">
        <f>'Costing 100 Lmin Feed Orig'!AX68</f>
        <v>500</v>
      </c>
      <c r="AY68">
        <f>'Costing 100 Lmin Feed Orig'!AY68</f>
        <v>95</v>
      </c>
      <c r="AZ68">
        <f>'Costing 100 Lmin Feed Orig'!AZ68</f>
        <v>0.92357542033771201</v>
      </c>
      <c r="BA68">
        <f>'Costing 100 Lmin Feed Orig'!BA68</f>
        <v>0.1</v>
      </c>
      <c r="BB68">
        <f>'Costing 100 Lmin Feed Orig'!BB68</f>
        <v>46.909836363013902</v>
      </c>
      <c r="BC68" t="str">
        <f>'Costing 100 Lmin Feed Orig'!BC68</f>
        <v>coeFc</v>
      </c>
      <c r="BD68">
        <f>'Costing 100 Lmin Feed Orig'!BD68</f>
        <v>1</v>
      </c>
      <c r="BE68">
        <f>'Costing 100 Lmin Feed Orig'!BE68</f>
        <v>1.8775014999999999E-2</v>
      </c>
      <c r="BF68">
        <f>'Costing 100 Lmin Feed Orig'!BF68</f>
        <v>0.10492961100000001</v>
      </c>
      <c r="BG68">
        <f>'Costing 100 Lmin Feed Orig'!BG68</f>
        <v>1.814625E-3</v>
      </c>
      <c r="BH68">
        <f>'Costing 100 Lmin Feed Orig'!BH68</f>
        <v>285.1951444</v>
      </c>
      <c r="BI68">
        <f>'Costing 100 Lmin Feed Orig'!BI68</f>
        <v>2169.8944889999998</v>
      </c>
      <c r="BJ68">
        <f>'Costing 100 Lmin Feed Orig'!BJ68</f>
        <v>866.49409060000005</v>
      </c>
      <c r="BK68">
        <f>'Costing 100 Lmin Feed Orig'!BK68</f>
        <v>100</v>
      </c>
      <c r="BL68">
        <f>'Costing 100 Lmin Feed Orig'!BL68</f>
        <v>10.969051996096999</v>
      </c>
      <c r="BM68">
        <f>'Costing 100 Lmin Feed Orig'!BM68</f>
        <v>92.357542033771196</v>
      </c>
      <c r="BN68">
        <f>'Costing 100 Lmin Feed Orig'!BN68</f>
        <v>19.6883104257832</v>
      </c>
      <c r="BO68">
        <f t="shared" si="20"/>
        <v>241.31914391413397</v>
      </c>
      <c r="BP68">
        <f t="shared" si="21"/>
        <v>472.51945021879681</v>
      </c>
      <c r="BQ68">
        <f t="shared" si="22"/>
        <v>24.1319143914134</v>
      </c>
      <c r="BR68">
        <f t="shared" si="23"/>
        <v>47.251945021879685</v>
      </c>
      <c r="BS68">
        <f>1.2*0.5*BL68*V68/'Oxidant Feed Composition'!$N$22</f>
        <v>6.5814311976581994</v>
      </c>
      <c r="BT68">
        <f>1.2*0.5*BN68*BA68/'Oxidant Feed Composition'!$N$22</f>
        <v>11.812986255469919</v>
      </c>
      <c r="BU68">
        <f t="shared" si="24"/>
        <v>5.4845259980484995</v>
      </c>
      <c r="BV68">
        <f t="shared" si="25"/>
        <v>9.8441552128916001</v>
      </c>
      <c r="BW68">
        <f t="shared" si="26"/>
        <v>86.873016035722699</v>
      </c>
      <c r="BX68">
        <f t="shared" si="19"/>
        <v>35.100966387510397</v>
      </c>
      <c r="BY68">
        <f t="shared" si="27"/>
        <v>206.65318805973638</v>
      </c>
      <c r="BZ68">
        <f t="shared" si="28"/>
        <v>63.002593362506239</v>
      </c>
      <c r="CA68">
        <f t="shared" si="29"/>
        <v>59.064931277349601</v>
      </c>
      <c r="CB68">
        <f>BO68*'Reagent cost'!$G$11*'Reagent cost'!$H$11</f>
        <v>3185.4126996665682</v>
      </c>
      <c r="CC68">
        <f>BP68*'Reagent cost'!$G$11*'Reagent cost'!$H$11</f>
        <v>6237.2567428881175</v>
      </c>
      <c r="CD68">
        <f>BQ68*'Reagent cost'!$C$18/1000*'Reagent cost'!$H$18</f>
        <v>3848.5686313477631</v>
      </c>
      <c r="CE68">
        <f>BR68*'Ligand cost'!$B$56*'Ligand cost'!$J$56</f>
        <v>48108.515614679709</v>
      </c>
      <c r="CF68">
        <f t="shared" si="30"/>
        <v>10</v>
      </c>
      <c r="CG68">
        <f t="shared" si="31"/>
        <v>2.1938103992193998</v>
      </c>
      <c r="CH68">
        <f t="shared" si="31"/>
        <v>3.9376620851566404</v>
      </c>
      <c r="CI68">
        <f>7963.6*(BX68/1000)^0.6*1.7*('CAPEX+OPEX'!$G$116/'CAPEX+OPEX'!$G$115)</f>
        <v>2140.0916471558648</v>
      </c>
      <c r="CJ68">
        <f>7963.6*(BY68/1000)^0.6*1.7*('CAPEX+OPEX'!$G$116/'CAPEX+OPEX'!$G$115)</f>
        <v>6199.9215410229135</v>
      </c>
      <c r="CK68">
        <f>7963.6*(BZ68/1000)^0.6*1.7*('CAPEX+OPEX'!$G$116/'CAPEX+OPEX'!$G$115)</f>
        <v>3039.8768064634182</v>
      </c>
      <c r="CL68">
        <f>7963.6*(CA68/1000)^0.6*1.7*('CAPEX+OPEX'!$G$116/'CAPEX+OPEX'!$G$115)</f>
        <v>2924.413295194181</v>
      </c>
      <c r="CM68">
        <f>'Costing 100 Lmin Feed Orig'!DE68</f>
        <v>39625.826528698344</v>
      </c>
      <c r="CN68">
        <f>'Costing 100 Lmin Feed Orig'!DF68</f>
        <v>4586243.4239371875</v>
      </c>
      <c r="CO68">
        <f>'Costing 100 Lmin Feed Orig'!DG68</f>
        <v>11794834.586807497</v>
      </c>
      <c r="CP68">
        <f>'Costing 100 Lmin Feed Orig'!DH68</f>
        <v>2275209.1661185985</v>
      </c>
      <c r="CQ68">
        <f>'Costing 100 Lmin Feed Orig'!DI68</f>
        <v>14083914.336508472</v>
      </c>
      <c r="CR68">
        <f>'Costing 100 Lmin Feed Orig'!DJ68</f>
        <v>1662824.8986326549</v>
      </c>
      <c r="CS68">
        <f>CN68*(BK68/10000)^0.72*((A68+1)/3)^0.6*('CAPEX+OPEX'!$G$116/'CAPEX+OPEX'!$G$114)</f>
        <v>800322.53402245743</v>
      </c>
      <c r="CT68">
        <f>CO68*(BK68/10000)^0.72*((A68+1)/3)^0.6*('CAPEX+OPEX'!$G$116/'CAPEX+OPEX'!$G$114)</f>
        <v>2058257.9318883498</v>
      </c>
      <c r="CU68">
        <f>CP68*(BK68/10000)^0.72*((A68+1)/3)^0.6*('CAPEX+OPEX'!$G$116/'CAPEX+OPEX'!$G$114)</f>
        <v>397035.437708179</v>
      </c>
      <c r="CV68">
        <f>CQ68*(BK68/10000)^0.72*((A68+1)/3)^0.6*('CAPEX+OPEX'!$G$116/'CAPEX+OPEX'!$G$114)</f>
        <v>2457713.856163613</v>
      </c>
      <c r="CW68">
        <f>CR68*(BK68/10000)^0.72*((A68+1)/3)^0.6*('CAPEX+OPEX'!$G$116/'CAPEX+OPEX'!$G$114)</f>
        <v>290171.30437591631</v>
      </c>
      <c r="CX68">
        <f t="shared" si="32"/>
        <v>6003501.064158516</v>
      </c>
      <c r="CY68">
        <f>CN68*(BM68/10000)^0.72*((AF68+1)/3)^0.6*('CAPEX+OPEX'!$G$116/'CAPEX+OPEX'!$G$114)</f>
        <v>800277.78225224779</v>
      </c>
      <c r="CZ68">
        <f>CO68*(BM68/10000)^0.72*((AF68+1)/3)^0.6*('CAPEX+OPEX'!$G$116/'CAPEX+OPEX'!$G$114)</f>
        <v>2058142.8399321893</v>
      </c>
      <c r="DA68">
        <f>CP68*(BM68/10000)^0.72*((AF68+1)/3)^0.6*('CAPEX+OPEX'!$G$116/'CAPEX+OPEX'!$G$114)</f>
        <v>397013.23661059892</v>
      </c>
      <c r="DB68">
        <f>CQ68*(BM68/10000)^0.72*((AF68+1)/3)^0.6*('CAPEX+OPEX'!$G$116/'CAPEX+OPEX'!$G$114)</f>
        <v>2457576.4277631165</v>
      </c>
      <c r="DC68">
        <f>CR68*(BM68/10000)^0.72*((AF68+1)/3)^0.6*('CAPEX+OPEX'!$G$116/'CAPEX+OPEX'!$G$114)</f>
        <v>290155.07881811575</v>
      </c>
      <c r="DD68">
        <f t="shared" si="33"/>
        <v>6003165.3653762685</v>
      </c>
      <c r="DE68">
        <f>CX68+DD68+1.15*(SUM(CI68:CL68)+SUM(CB68:CE68))</f>
        <v>12093703.095059967</v>
      </c>
      <c r="DF68">
        <f t="shared" si="34"/>
        <v>806246.87300399772</v>
      </c>
      <c r="DG68">
        <f>(BS68+BT68)*'Oxidant Feed Composition'!$N$28*60*7200</f>
        <v>20451556.41676686</v>
      </c>
      <c r="DH68">
        <f>((CG68+CH68)*'Reagent cost'!$C$17/1000*'Reagent cost'!$H$17+(CG68+CH68)*0.5*'Reagent cost'!$C$16/1000*'Reagent cost'!$H$16*1.5)*60*7200</f>
        <v>8700778.7167856414</v>
      </c>
      <c r="DI68">
        <f>CF68*'Reagent cost'!$C$17/1000*'Reagent cost'!$H$17*60*7200</f>
        <v>504921.59999999998</v>
      </c>
      <c r="DJ68">
        <f t="shared" si="35"/>
        <v>94.226694425546853</v>
      </c>
      <c r="DK68">
        <f t="shared" si="36"/>
        <v>1039.1416849205496</v>
      </c>
      <c r="DL68">
        <f t="shared" si="37"/>
        <v>35590068.122318208</v>
      </c>
      <c r="DM68">
        <f>BK68*(B68*(409.81+2)/1000+C68*(248.2+2*22.99)/1000+D68*(315.6+3*22.99)/1000+0.1*58.44/1000)</f>
        <v>0.70639694042110623</v>
      </c>
      <c r="DN68">
        <f>(BS68+BT68)/1000*('Oxidant Feed Composition'!$B$11*'Oxidant Feed Composition'!$O$20+'Oxidant Feed Composition'!$D$11*'Oxidant Feed Composition'!$O$21+'Oxidant Feed Composition'!$F$11*'Oxidant Feed Composition'!$O$27-'Oxidant Feed Composition'!$J$15*18.015)</f>
        <v>2.1481835808315388</v>
      </c>
      <c r="DO68">
        <f>(BU68+BV68)/1000*(0.2*368.34+0.4*58.44)</f>
        <v>1.4875565394344712</v>
      </c>
      <c r="DP68">
        <f>BK68/1000*(B68*195.08+C68*106.42+D68*102.91)</f>
        <v>4.999938342565946E-2</v>
      </c>
      <c r="DQ68">
        <f>SUM(DM68:DO68)-DP68</f>
        <v>4.2921376772614561</v>
      </c>
      <c r="DR68">
        <f>DQ68*60*7200*0.33</f>
        <v>611887.14727039333</v>
      </c>
      <c r="DS68">
        <v>1.2</v>
      </c>
      <c r="DT68">
        <f>BM68/60*(AM68*4+AN68*2+AO68*3)*96485/DV68</f>
        <v>1405.8852099213232</v>
      </c>
      <c r="DU68">
        <f>BN68*BA68*(AP68*4+AQ68*2+AR68*3)*96485/DV68/60</f>
        <v>705.81861211455293</v>
      </c>
      <c r="DV68">
        <v>0.7</v>
      </c>
      <c r="DW68">
        <f>0.499*((BK68/3.78541*15)^(-0.146))*BK68/3.78541*15*300*(1+(A68-2)/9)</f>
        <v>44032.441905260595</v>
      </c>
      <c r="DX68">
        <f>0.248*((BK68/3.78541*15)^(-0.144))*BK68/3.78541*15*300*(1+(A68-2)/3)</f>
        <v>41526.098972294596</v>
      </c>
      <c r="DY68">
        <f>0.105*((BK68/3.78541*15)^(-0.144))*BK68/3.78541*15*300*(1+(A68-2)/3)</f>
        <v>17581.614484237631</v>
      </c>
      <c r="DZ68">
        <f>0.058*((BK68/3.78541*15)^(-0.151))*BK68/3.78541*15*300*(1+(A68-2)/3)</f>
        <v>9313.4716969742931</v>
      </c>
      <c r="EA68">
        <f>0.056*((BK68/3.78541*15)^(-0.144))*BK68/3.78541*15*300*(1+(A68-2)/3)</f>
        <v>9376.8610582600722</v>
      </c>
      <c r="EB68">
        <f>DS68*DT68/(3.6*10^6)*3600*7200*0.07</f>
        <v>850.27937496041636</v>
      </c>
      <c r="EC68">
        <f>0.499*((BM68/3.78541*15)^(-0.146))*BM68/3.78541*15*300*(1+(AF68-2)/9)</f>
        <v>43713.452676217516</v>
      </c>
      <c r="ED68">
        <f>0.248*((BM68/3.78541*15)^(-0.144))*BM68/3.78541*15*300*(1+(AF68-2)/3)</f>
        <v>42673.490277823796</v>
      </c>
      <c r="EE68">
        <f>0.105*((BM68/3.78541*15)^(-0.144))*BM68/3.78541*15*300*(1+(AF68-2)/3)</f>
        <v>18067.40515794959</v>
      </c>
      <c r="EF68">
        <f>0.058*((BM68/3.78541*15)^(-0.151))*BM68/3.78541*15*300*(1+(AF68-2)/3)</f>
        <v>9576.1363957083813</v>
      </c>
      <c r="EG68">
        <f>0.056*((BM68/3.78541*15)^(-0.144))*BM68/3.78541*15*300*(1+(AF68-2)/3)</f>
        <v>9635.9494175731143</v>
      </c>
      <c r="EH68">
        <f>DS68*DU68/(3.6*10^6)*3600*7200*0.07</f>
        <v>426.87909660688166</v>
      </c>
      <c r="EI68">
        <f>SUM(DW68:EH68)</f>
        <v>246774.08051386688</v>
      </c>
      <c r="EJ68">
        <f>EI68+DR68+DL68</f>
        <v>36448729.350102469</v>
      </c>
      <c r="EK68">
        <f>EJ68+DF68</f>
        <v>37254976.223106466</v>
      </c>
      <c r="EL68">
        <f>EK68/(BK68*60*7200)</f>
        <v>0.86238370886820526</v>
      </c>
      <c r="EM68">
        <f>EK68/(BM68*(AM68*195.084/1000+AN68*106.42/1000+AO68*102.911/1000)*60*7200)</f>
        <v>2885.0824646102142</v>
      </c>
      <c r="EN68">
        <f>EK68/(BN68*BA68*(AP68*195.084/1000+AQ68*106.42/1000+AR68*102.911/1000)*60*7200)</f>
        <v>5294.7115297422406</v>
      </c>
    </row>
    <row r="69" spans="1:144">
      <c r="A69">
        <f>'Costing 100 Lmin Feed Orig'!A69</f>
        <v>9</v>
      </c>
      <c r="B69">
        <f>'Costing 100 Lmin Feed Orig'!B69</f>
        <v>1.54143585092054E-3</v>
      </c>
      <c r="C69">
        <f>'Costing 100 Lmin Feed Orig'!C69</f>
        <v>1.54143585092054E-3</v>
      </c>
      <c r="D69">
        <f>'Costing 100 Lmin Feed Orig'!D69</f>
        <v>3.4254130020456501E-4</v>
      </c>
      <c r="E69">
        <f>'Costing 100 Lmin Feed Orig'!E69</f>
        <v>0</v>
      </c>
      <c r="F69">
        <f>'Costing 100 Lmin Feed Orig'!F69</f>
        <v>0</v>
      </c>
      <c r="G69">
        <f>'Costing 100 Lmin Feed Orig'!G69</f>
        <v>0</v>
      </c>
      <c r="H69">
        <f>'Costing 100 Lmin Feed Orig'!H69</f>
        <v>1.7768596981705501E-5</v>
      </c>
      <c r="I69">
        <f>'Costing 100 Lmin Feed Orig'!I69</f>
        <v>1.5331283704498101E-9</v>
      </c>
      <c r="J69">
        <f>'Costing 100 Lmin Feed Orig'!J69</f>
        <v>3.3763247208936601E-4</v>
      </c>
      <c r="K69">
        <f>'Costing 100 Lmin Feed Orig'!K69</f>
        <v>0.13890601070001499</v>
      </c>
      <c r="L69">
        <f>'Costing 100 Lmin Feed Orig'!L69</f>
        <v>0.14052575540227799</v>
      </c>
      <c r="M69">
        <f>'Costing 100 Lmin Feed Orig'!M69</f>
        <v>4.4751616793740602E-4</v>
      </c>
      <c r="N69">
        <f>'Costing 100 Lmin Feed Orig'!N69</f>
        <v>-5.0090140368830299E-17</v>
      </c>
      <c r="O69">
        <f>'Costing 100 Lmin Feed Orig'!O69</f>
        <v>-6.2343793322261397E-15</v>
      </c>
      <c r="P69">
        <f>'Costing 100 Lmin Feed Orig'!P69</f>
        <v>1.7787691892340301E-20</v>
      </c>
      <c r="Q69">
        <f>'Costing 100 Lmin Feed Orig'!Q69</f>
        <v>0.10969051996097</v>
      </c>
      <c r="R69">
        <f>'Costing 100 Lmin Feed Orig'!R69</f>
        <v>98.566938318892298</v>
      </c>
      <c r="S69">
        <f>'Costing 100 Lmin Feed Orig'!S69</f>
        <v>500</v>
      </c>
      <c r="T69">
        <f>'Costing 100 Lmin Feed Orig'!T69</f>
        <v>95</v>
      </c>
      <c r="U69">
        <f>'Costing 100 Lmin Feed Orig'!U69</f>
        <v>1</v>
      </c>
      <c r="V69">
        <f>'Costing 100 Lmin Feed Orig'!V69</f>
        <v>0.1</v>
      </c>
      <c r="W69">
        <f>'Costing 100 Lmin Feed Orig'!W69</f>
        <v>91.165581160141301</v>
      </c>
      <c r="X69" t="str">
        <f>'Costing 100 Lmin Feed Orig'!X69</f>
        <v>ddFc</v>
      </c>
      <c r="Y69">
        <f>'Costing 100 Lmin Feed Orig'!Y69</f>
        <v>1</v>
      </c>
      <c r="Z69">
        <f>'Costing 100 Lmin Feed Orig'!Z69</f>
        <v>0.28318429382522198</v>
      </c>
      <c r="AA69">
        <f>'Costing 100 Lmin Feed Orig'!AA69</f>
        <v>0.56945642916197003</v>
      </c>
      <c r="AB69">
        <f>'Costing 100 Lmin Feed Orig'!AB69</f>
        <v>3.7698628972227502E-3</v>
      </c>
      <c r="AC69">
        <f>'Costing 100 Lmin Feed Orig'!AC69</f>
        <v>1822.2107908876901</v>
      </c>
      <c r="AD69">
        <f>'Costing 100 Lmin Feed Orig'!AD69</f>
        <v>2662.6059073104898</v>
      </c>
      <c r="AE69">
        <f>'Costing 100 Lmin Feed Orig'!AE69</f>
        <v>2401.5030938442701</v>
      </c>
      <c r="AF69">
        <f>'Costing 100 Lmin Feed Orig'!AF69</f>
        <v>11</v>
      </c>
      <c r="AG69">
        <f>'Costing 100 Lmin Feed Orig'!AG69</f>
        <v>1.6497485970141401E-3</v>
      </c>
      <c r="AH69">
        <f>'Costing 100 Lmin Feed Orig'!AH69</f>
        <v>1.6689858606617799E-3</v>
      </c>
      <c r="AI69">
        <f>'Costing 100 Lmin Feed Orig'!AI69</f>
        <v>5.3150268046377499E-6</v>
      </c>
      <c r="AJ69">
        <f>'Costing 100 Lmin Feed Orig'!AJ69</f>
        <v>0</v>
      </c>
      <c r="AK69">
        <f>'Costing 100 Lmin Feed Orig'!AK69</f>
        <v>0</v>
      </c>
      <c r="AL69">
        <f>'Costing 100 Lmin Feed Orig'!AL69</f>
        <v>0</v>
      </c>
      <c r="AM69">
        <f>'Costing 100 Lmin Feed Orig'!AM69</f>
        <v>1.6128003908315799E-3</v>
      </c>
      <c r="AN69">
        <f>'Costing 100 Lmin Feed Orig'!AN69</f>
        <v>7.9604159390225403E-5</v>
      </c>
      <c r="AO69">
        <f>'Costing 100 Lmin Feed Orig'!AO69</f>
        <v>5.2800717061551003E-6</v>
      </c>
      <c r="AP69">
        <f>'Costing 100 Lmin Feed Orig'!AP69</f>
        <v>1.7332750811688499E-3</v>
      </c>
      <c r="AQ69">
        <f>'Costing 100 Lmin Feed Orig'!AQ69</f>
        <v>7.4559389546738394E-2</v>
      </c>
      <c r="AR69">
        <f>'Costing 100 Lmin Feed Orig'!AR69</f>
        <v>1.63977652565795E-6</v>
      </c>
      <c r="AS69">
        <f>'Costing 100 Lmin Feed Orig'!AS69</f>
        <v>2.01441375516017E-15</v>
      </c>
      <c r="AT69">
        <f>'Costing 100 Lmin Feed Orig'!AT69</f>
        <v>-2.0058065451633499E-13</v>
      </c>
      <c r="AU69">
        <f>'Costing 100 Lmin Feed Orig'!AU69</f>
        <v>1.2288595180087699E-20</v>
      </c>
      <c r="AV69">
        <f>'Costing 100 Lmin Feed Orig'!AV69</f>
        <v>0.196878472577803</v>
      </c>
      <c r="AW69">
        <f>'Costing 100 Lmin Feed Orig'!AW69</f>
        <v>99.342334483578696</v>
      </c>
      <c r="AX69">
        <f>'Costing 100 Lmin Feed Orig'!AX69</f>
        <v>500</v>
      </c>
      <c r="AY69">
        <f>'Costing 100 Lmin Feed Orig'!AY69</f>
        <v>95</v>
      </c>
      <c r="AZ69">
        <f>'Costing 100 Lmin Feed Orig'!AZ69</f>
        <v>0.92357542033771201</v>
      </c>
      <c r="BA69">
        <f>'Costing 100 Lmin Feed Orig'!BA69</f>
        <v>0.1</v>
      </c>
      <c r="BB69">
        <f>'Costing 100 Lmin Feed Orig'!BB69</f>
        <v>46.9109399440677</v>
      </c>
      <c r="BC69" t="str">
        <f>'Costing 100 Lmin Feed Orig'!BC69</f>
        <v>coeFc</v>
      </c>
      <c r="BD69">
        <f>'Costing 100 Lmin Feed Orig'!BD69</f>
        <v>1</v>
      </c>
      <c r="BE69">
        <f>'Costing 100 Lmin Feed Orig'!BE69</f>
        <v>1.8775014999999999E-2</v>
      </c>
      <c r="BF69">
        <f>'Costing 100 Lmin Feed Orig'!BF69</f>
        <v>0.10492961100000001</v>
      </c>
      <c r="BG69">
        <f>'Costing 100 Lmin Feed Orig'!BG69</f>
        <v>1.814625E-3</v>
      </c>
      <c r="BH69">
        <f>'Costing 100 Lmin Feed Orig'!BH69</f>
        <v>285.1951444</v>
      </c>
      <c r="BI69">
        <f>'Costing 100 Lmin Feed Orig'!BI69</f>
        <v>2169.8944889999998</v>
      </c>
      <c r="BJ69">
        <f>'Costing 100 Lmin Feed Orig'!BJ69</f>
        <v>866.49409060000005</v>
      </c>
      <c r="BK69">
        <f>'Costing 100 Lmin Feed Orig'!BK69</f>
        <v>100</v>
      </c>
      <c r="BL69">
        <f>'Costing 100 Lmin Feed Orig'!BL69</f>
        <v>10.969051996096999</v>
      </c>
      <c r="BM69">
        <f>'Costing 100 Lmin Feed Orig'!BM69</f>
        <v>92.357542033771196</v>
      </c>
      <c r="BN69">
        <f>'Costing 100 Lmin Feed Orig'!BN69</f>
        <v>19.687847257780298</v>
      </c>
      <c r="BO69">
        <f t="shared" si="20"/>
        <v>241.31914391413397</v>
      </c>
      <c r="BP69">
        <f t="shared" si="21"/>
        <v>511.88402870228776</v>
      </c>
      <c r="BQ69">
        <f t="shared" si="22"/>
        <v>24.1319143914134</v>
      </c>
      <c r="BR69">
        <f t="shared" si="23"/>
        <v>51.188402870228778</v>
      </c>
      <c r="BS69">
        <f>1.2*0.5*BL69*V69/'Oxidant Feed Composition'!$N$22</f>
        <v>6.5814311976581994</v>
      </c>
      <c r="BT69">
        <f>1.2*0.5*BN69*BA69/'Oxidant Feed Composition'!$N$22</f>
        <v>11.812708354668176</v>
      </c>
      <c r="BU69">
        <f t="shared" si="24"/>
        <v>5.4845259980484995</v>
      </c>
      <c r="BV69">
        <f t="shared" si="25"/>
        <v>9.843923628890149</v>
      </c>
      <c r="BW69">
        <f t="shared" si="26"/>
        <v>86.873016035722699</v>
      </c>
      <c r="BX69">
        <f t="shared" si="19"/>
        <v>35.100966387510397</v>
      </c>
      <c r="BY69">
        <f t="shared" si="27"/>
        <v>206.65318805973638</v>
      </c>
      <c r="BZ69">
        <f t="shared" si="28"/>
        <v>63.001111224896945</v>
      </c>
      <c r="CA69">
        <f t="shared" si="29"/>
        <v>59.063541773340894</v>
      </c>
      <c r="CB69">
        <f>BO69*'Reagent cost'!$G$11*'Reagent cost'!$H$11</f>
        <v>3185.4126996665682</v>
      </c>
      <c r="CC69">
        <f>BP69*'Reagent cost'!$G$11*'Reagent cost'!$H$11</f>
        <v>6756.8691788701981</v>
      </c>
      <c r="CD69">
        <f>BQ69*'Reagent cost'!$C$18/1000*'Reagent cost'!$H$18</f>
        <v>3848.5686313477631</v>
      </c>
      <c r="CE69">
        <f>BR69*'Ligand cost'!$B$56*'Ligand cost'!$J$56</f>
        <v>52116.332515680107</v>
      </c>
      <c r="CF69">
        <f t="shared" si="30"/>
        <v>10</v>
      </c>
      <c r="CG69">
        <f t="shared" si="31"/>
        <v>2.1938103992193998</v>
      </c>
      <c r="CH69">
        <f t="shared" si="31"/>
        <v>3.93756945155606</v>
      </c>
      <c r="CI69">
        <f>7963.6*(BX69/1000)^0.6*1.7*('CAPEX+OPEX'!$G$116/'CAPEX+OPEX'!$G$115)</f>
        <v>2140.0916471558648</v>
      </c>
      <c r="CJ69">
        <f>7963.6*(BY69/1000)^0.6*1.7*('CAPEX+OPEX'!$G$116/'CAPEX+OPEX'!$G$115)</f>
        <v>6199.9215410229135</v>
      </c>
      <c r="CK69">
        <f>7963.6*(BZ69/1000)^0.6*1.7*('CAPEX+OPEX'!$G$116/'CAPEX+OPEX'!$G$115)</f>
        <v>3039.833898354078</v>
      </c>
      <c r="CL69">
        <f>7963.6*(CA69/1000)^0.6*1.7*('CAPEX+OPEX'!$G$116/'CAPEX+OPEX'!$G$115)</f>
        <v>2924.3720168617306</v>
      </c>
      <c r="CM69">
        <f>'Costing 100 Lmin Feed Orig'!DE69</f>
        <v>39625.826528698344</v>
      </c>
      <c r="CN69">
        <f>'Costing 100 Lmin Feed Orig'!DF69</f>
        <v>4586243.4239371875</v>
      </c>
      <c r="CO69">
        <f>'Costing 100 Lmin Feed Orig'!DG69</f>
        <v>11794834.586807497</v>
      </c>
      <c r="CP69">
        <f>'Costing 100 Lmin Feed Orig'!DH69</f>
        <v>2275209.1661185985</v>
      </c>
      <c r="CQ69">
        <f>'Costing 100 Lmin Feed Orig'!DI69</f>
        <v>14083914.336508472</v>
      </c>
      <c r="CR69">
        <f>'Costing 100 Lmin Feed Orig'!DJ69</f>
        <v>1662824.8986326549</v>
      </c>
      <c r="CS69">
        <f>CN69*(BK69/10000)^0.72*((A69+1)/3)^0.6*('CAPEX+OPEX'!$G$116/'CAPEX+OPEX'!$G$114)</f>
        <v>800322.53402245743</v>
      </c>
      <c r="CT69">
        <f>CO69*(BK69/10000)^0.72*((A69+1)/3)^0.6*('CAPEX+OPEX'!$G$116/'CAPEX+OPEX'!$G$114)</f>
        <v>2058257.9318883498</v>
      </c>
      <c r="CU69">
        <f>CP69*(BK69/10000)^0.72*((A69+1)/3)^0.6*('CAPEX+OPEX'!$G$116/'CAPEX+OPEX'!$G$114)</f>
        <v>397035.437708179</v>
      </c>
      <c r="CV69">
        <f>CQ69*(BK69/10000)^0.72*((A69+1)/3)^0.6*('CAPEX+OPEX'!$G$116/'CAPEX+OPEX'!$G$114)</f>
        <v>2457713.856163613</v>
      </c>
      <c r="CW69">
        <f>CR69*(BK69/10000)^0.72*((A69+1)/3)^0.6*('CAPEX+OPEX'!$G$116/'CAPEX+OPEX'!$G$114)</f>
        <v>290171.30437591631</v>
      </c>
      <c r="CX69">
        <f t="shared" si="32"/>
        <v>6003501.064158516</v>
      </c>
      <c r="CY69">
        <f>CN69*(BM69/10000)^0.72*((AF69+1)/3)^0.6*('CAPEX+OPEX'!$G$116/'CAPEX+OPEX'!$G$114)</f>
        <v>843167.57420412218</v>
      </c>
      <c r="CZ69">
        <f>CO69*(BM69/10000)^0.72*((AF69+1)/3)^0.6*('CAPEX+OPEX'!$G$116/'CAPEX+OPEX'!$G$114)</f>
        <v>2168446.1873067734</v>
      </c>
      <c r="DA69">
        <f>CP69*(BM69/10000)^0.72*((AF69+1)/3)^0.6*('CAPEX+OPEX'!$G$116/'CAPEX+OPEX'!$G$114)</f>
        <v>418290.61741260858</v>
      </c>
      <c r="DB69">
        <f>CQ69*(BM69/10000)^0.72*((AF69+1)/3)^0.6*('CAPEX+OPEX'!$G$116/'CAPEX+OPEX'!$G$114)</f>
        <v>2589286.8713492746</v>
      </c>
      <c r="DC69">
        <f>CR69*(BM69/10000)^0.72*((AF69+1)/3)^0.6*('CAPEX+OPEX'!$G$116/'CAPEX+OPEX'!$G$114)</f>
        <v>305705.5429697822</v>
      </c>
      <c r="DD69">
        <f t="shared" si="33"/>
        <v>6324896.7932425607</v>
      </c>
      <c r="DE69">
        <f>CX69+DD69+1.15*(SUM(CI69:CL69)+SUM(CB69:CE69))</f>
        <v>12420640.96984938</v>
      </c>
      <c r="DF69">
        <f t="shared" si="34"/>
        <v>828042.73132329201</v>
      </c>
      <c r="DG69">
        <f>(BS69+BT69)*'Oxidant Feed Composition'!$N$28*60*7200</f>
        <v>20451247.436939713</v>
      </c>
      <c r="DH69">
        <f>((CG69+CH69)*'Reagent cost'!$C$17/1000*'Reagent cost'!$H$17+(CG69+CH69)*0.5*'Reagent cost'!$C$16/1000*'Reagent cost'!$H$16*1.5)*60*7200</f>
        <v>8700647.2663938385</v>
      </c>
      <c r="DI69">
        <f>CF69*'Reagent cost'!$C$17/1000*'Reagent cost'!$H$17*60*7200</f>
        <v>504921.59999999998</v>
      </c>
      <c r="DJ69">
        <f t="shared" si="35"/>
        <v>99.422818785367667</v>
      </c>
      <c r="DK69">
        <f t="shared" si="36"/>
        <v>1119.2980229405575</v>
      </c>
      <c r="DL69">
        <f t="shared" si="37"/>
        <v>35589642.029010326</v>
      </c>
      <c r="DM69">
        <f>BK69*(B69*(409.81+2)/1000+C69*(248.2+2*22.99)/1000+D69*(315.6+3*22.99)/1000+0.1*58.44/1000)</f>
        <v>0.70639694042110623</v>
      </c>
      <c r="DN69">
        <f>(BS69+BT69)/1000*('Oxidant Feed Composition'!$B$11*'Oxidant Feed Composition'!$O$20+'Oxidant Feed Composition'!$D$11*'Oxidant Feed Composition'!$O$21+'Oxidant Feed Composition'!$F$11*'Oxidant Feed Composition'!$O$27-'Oxidant Feed Composition'!$J$15*18.015)</f>
        <v>2.1481511263142412</v>
      </c>
      <c r="DO69">
        <f>(BU69+BV69)/1000*(0.2*368.34+0.4*58.44)</f>
        <v>1.4875340655966343</v>
      </c>
      <c r="DP69">
        <f>BK69/1000*(B69*195.08+C69*106.42+D69*102.91)</f>
        <v>4.999938342565946E-2</v>
      </c>
      <c r="DQ69">
        <f>SUM(DM69:DO69)-DP69</f>
        <v>4.2920827489063216</v>
      </c>
      <c r="DR69">
        <f>DQ69*60*7200*0.33</f>
        <v>611879.31668408518</v>
      </c>
      <c r="DS69">
        <v>1.2</v>
      </c>
      <c r="DT69">
        <f>BM69/60*(AM69*4+AN69*2+AO69*3)*96485/DV69</f>
        <v>1405.8879243789322</v>
      </c>
      <c r="DU69">
        <f>BN69*BA69*(AP69*4+AQ69*2+AR69*3)*96485/DV69/60</f>
        <v>705.81589745617578</v>
      </c>
      <c r="DV69">
        <v>0.7</v>
      </c>
      <c r="DW69">
        <f>0.499*((BK69/3.78541*15)^(-0.146))*BK69/3.78541*15*300*(1+(A69-2)/9)</f>
        <v>44032.441905260595</v>
      </c>
      <c r="DX69">
        <f>0.248*((BK69/3.78541*15)^(-0.144))*BK69/3.78541*15*300*(1+(A69-2)/3)</f>
        <v>41526.098972294596</v>
      </c>
      <c r="DY69">
        <f>0.105*((BK69/3.78541*15)^(-0.144))*BK69/3.78541*15*300*(1+(A69-2)/3)</f>
        <v>17581.614484237631</v>
      </c>
      <c r="DZ69">
        <f>0.058*((BK69/3.78541*15)^(-0.151))*BK69/3.78541*15*300*(1+(A69-2)/3)</f>
        <v>9313.4716969742931</v>
      </c>
      <c r="EA69">
        <f>0.056*((BK69/3.78541*15)^(-0.144))*BK69/3.78541*15*300*(1+(A69-2)/3)</f>
        <v>9376.8610582600722</v>
      </c>
      <c r="EB69">
        <f>DS69*DT69/(3.6*10^6)*3600*7200*0.07</f>
        <v>850.28101666437828</v>
      </c>
      <c r="EC69">
        <f>0.499*((BM69/3.78541*15)^(-0.146))*BM69/3.78541*15*300*(1+(AF69-2)/9)</f>
        <v>46284.832245406782</v>
      </c>
      <c r="ED69">
        <f>0.248*((BM69/3.78541*15)^(-0.144))*BM69/3.78541*15*300*(1+(AF69-2)/3)</f>
        <v>46552.898484898687</v>
      </c>
      <c r="EE69">
        <f>0.105*((BM69/3.78541*15)^(-0.144))*BM69/3.78541*15*300*(1+(AF69-2)/3)</f>
        <v>19709.896535945009</v>
      </c>
      <c r="EF69">
        <f>0.058*((BM69/3.78541*15)^(-0.151))*BM69/3.78541*15*300*(1+(AF69-2)/3)</f>
        <v>10446.694249863689</v>
      </c>
      <c r="EG69">
        <f>0.056*((BM69/3.78541*15)^(-0.144))*BM69/3.78541*15*300*(1+(AF69-2)/3)</f>
        <v>10511.944819170671</v>
      </c>
      <c r="EH69">
        <f>DS69*DU69/(3.6*10^6)*3600*7200*0.07</f>
        <v>426.8774547814952</v>
      </c>
      <c r="EI69">
        <f>SUM(DW69:EH69)</f>
        <v>256613.91292375789</v>
      </c>
      <c r="EJ69">
        <f>EI69+DR69+DL69</f>
        <v>36458135.258618169</v>
      </c>
      <c r="EK69">
        <f>EJ69+DF69</f>
        <v>37286177.989941463</v>
      </c>
      <c r="EL69">
        <f>EK69/(BK69*60*7200)</f>
        <v>0.86310597198938577</v>
      </c>
      <c r="EM69">
        <f>EK69/(BM69*(AM69*195.084/1000+AN69*106.42/1000+AO69*102.911/1000)*60*7200)</f>
        <v>2887.4931986969286</v>
      </c>
      <c r="EN69">
        <f>EK69/(BN69*BA69*(AP69*195.084/1000+AQ69*106.42/1000+AR69*102.911/1000)*60*7200)</f>
        <v>5299.1647436316671</v>
      </c>
    </row>
    <row r="70" spans="1:144">
      <c r="A70">
        <f>'Costing 100 Lmin Feed Orig'!A70</f>
        <v>9</v>
      </c>
      <c r="B70">
        <f>'Costing 100 Lmin Feed Orig'!B70</f>
        <v>1.54143585092054E-3</v>
      </c>
      <c r="C70">
        <f>'Costing 100 Lmin Feed Orig'!C70</f>
        <v>1.54143585092054E-3</v>
      </c>
      <c r="D70">
        <f>'Costing 100 Lmin Feed Orig'!D70</f>
        <v>3.4254130020456501E-4</v>
      </c>
      <c r="E70">
        <f>'Costing 100 Lmin Feed Orig'!E70</f>
        <v>0</v>
      </c>
      <c r="F70">
        <f>'Costing 100 Lmin Feed Orig'!F70</f>
        <v>0</v>
      </c>
      <c r="G70">
        <f>'Costing 100 Lmin Feed Orig'!G70</f>
        <v>0</v>
      </c>
      <c r="H70">
        <f>'Costing 100 Lmin Feed Orig'!H70</f>
        <v>1.7768596981705501E-5</v>
      </c>
      <c r="I70">
        <f>'Costing 100 Lmin Feed Orig'!I70</f>
        <v>1.5331283704498101E-9</v>
      </c>
      <c r="J70">
        <f>'Costing 100 Lmin Feed Orig'!J70</f>
        <v>3.3763247208936601E-4</v>
      </c>
      <c r="K70">
        <f>'Costing 100 Lmin Feed Orig'!K70</f>
        <v>0.13890601070001499</v>
      </c>
      <c r="L70">
        <f>'Costing 100 Lmin Feed Orig'!L70</f>
        <v>0.14052575540227799</v>
      </c>
      <c r="M70">
        <f>'Costing 100 Lmin Feed Orig'!M70</f>
        <v>4.4751616793740602E-4</v>
      </c>
      <c r="N70">
        <f>'Costing 100 Lmin Feed Orig'!N70</f>
        <v>-5.0090140368830299E-17</v>
      </c>
      <c r="O70">
        <f>'Costing 100 Lmin Feed Orig'!O70</f>
        <v>-6.2343793322261397E-15</v>
      </c>
      <c r="P70">
        <f>'Costing 100 Lmin Feed Orig'!P70</f>
        <v>1.7787691892340301E-20</v>
      </c>
      <c r="Q70">
        <f>'Costing 100 Lmin Feed Orig'!Q70</f>
        <v>0.10969051996097</v>
      </c>
      <c r="R70">
        <f>'Costing 100 Lmin Feed Orig'!R70</f>
        <v>98.566938318892298</v>
      </c>
      <c r="S70">
        <f>'Costing 100 Lmin Feed Orig'!S70</f>
        <v>500</v>
      </c>
      <c r="T70">
        <f>'Costing 100 Lmin Feed Orig'!T70</f>
        <v>95</v>
      </c>
      <c r="U70">
        <f>'Costing 100 Lmin Feed Orig'!U70</f>
        <v>1</v>
      </c>
      <c r="V70">
        <f>'Costing 100 Lmin Feed Orig'!V70</f>
        <v>0.1</v>
      </c>
      <c r="W70">
        <f>'Costing 100 Lmin Feed Orig'!W70</f>
        <v>91.165581160141301</v>
      </c>
      <c r="X70" t="str">
        <f>'Costing 100 Lmin Feed Orig'!X70</f>
        <v>ddFc</v>
      </c>
      <c r="Y70">
        <f>'Costing 100 Lmin Feed Orig'!Y70</f>
        <v>1</v>
      </c>
      <c r="Z70">
        <f>'Costing 100 Lmin Feed Orig'!Z70</f>
        <v>0.28318429382522198</v>
      </c>
      <c r="AA70">
        <f>'Costing 100 Lmin Feed Orig'!AA70</f>
        <v>0.56945642916197003</v>
      </c>
      <c r="AB70">
        <f>'Costing 100 Lmin Feed Orig'!AB70</f>
        <v>3.7698628972227502E-3</v>
      </c>
      <c r="AC70">
        <f>'Costing 100 Lmin Feed Orig'!AC70</f>
        <v>1822.2107908876901</v>
      </c>
      <c r="AD70">
        <f>'Costing 100 Lmin Feed Orig'!AD70</f>
        <v>2662.6059073104898</v>
      </c>
      <c r="AE70">
        <f>'Costing 100 Lmin Feed Orig'!AE70</f>
        <v>2401.5030938442701</v>
      </c>
      <c r="AF70">
        <f>'Costing 100 Lmin Feed Orig'!AF70</f>
        <v>12</v>
      </c>
      <c r="AG70">
        <f>'Costing 100 Lmin Feed Orig'!AG70</f>
        <v>1.6497485970141401E-3</v>
      </c>
      <c r="AH70">
        <f>'Costing 100 Lmin Feed Orig'!AH70</f>
        <v>1.6689858606617799E-3</v>
      </c>
      <c r="AI70">
        <f>'Costing 100 Lmin Feed Orig'!AI70</f>
        <v>5.3150268046377499E-6</v>
      </c>
      <c r="AJ70">
        <f>'Costing 100 Lmin Feed Orig'!AJ70</f>
        <v>0</v>
      </c>
      <c r="AK70">
        <f>'Costing 100 Lmin Feed Orig'!AK70</f>
        <v>0</v>
      </c>
      <c r="AL70">
        <f>'Costing 100 Lmin Feed Orig'!AL70</f>
        <v>0</v>
      </c>
      <c r="AM70">
        <f>'Costing 100 Lmin Feed Orig'!AM70</f>
        <v>1.61280126654258E-3</v>
      </c>
      <c r="AN70">
        <f>'Costing 100 Lmin Feed Orig'!AN70</f>
        <v>7.9604204686258806E-5</v>
      </c>
      <c r="AO70">
        <f>'Costing 100 Lmin Feed Orig'!AO70</f>
        <v>5.2800725001932601E-6</v>
      </c>
      <c r="AP70">
        <f>'Costing 100 Lmin Feed Orig'!AP70</f>
        <v>1.7332454612020299E-3</v>
      </c>
      <c r="AQ70">
        <f>'Costing 100 Lmin Feed Orig'!AQ70</f>
        <v>7.4559880410390605E-2</v>
      </c>
      <c r="AR70">
        <f>'Costing 100 Lmin Feed Orig'!AR70</f>
        <v>1.63975011876007E-6</v>
      </c>
      <c r="AS70">
        <f>'Costing 100 Lmin Feed Orig'!AS70</f>
        <v>3.97766672030619E-16</v>
      </c>
      <c r="AT70">
        <f>'Costing 100 Lmin Feed Orig'!AT70</f>
        <v>-3.8874068894467698E-14</v>
      </c>
      <c r="AU70">
        <f>'Costing 100 Lmin Feed Orig'!AU70</f>
        <v>-3.3087224502121099E-21</v>
      </c>
      <c r="AV70">
        <f>'Costing 100 Lmin Feed Orig'!AV70</f>
        <v>0.196877170799345</v>
      </c>
      <c r="AW70">
        <f>'Costing 100 Lmin Feed Orig'!AW70</f>
        <v>99.3423494230736</v>
      </c>
      <c r="AX70">
        <f>'Costing 100 Lmin Feed Orig'!AX70</f>
        <v>500</v>
      </c>
      <c r="AY70">
        <f>'Costing 100 Lmin Feed Orig'!AY70</f>
        <v>95</v>
      </c>
      <c r="AZ70">
        <f>'Costing 100 Lmin Feed Orig'!AZ70</f>
        <v>0.92357542033771201</v>
      </c>
      <c r="BA70">
        <f>'Costing 100 Lmin Feed Orig'!BA70</f>
        <v>0.1</v>
      </c>
      <c r="BB70">
        <f>'Costing 100 Lmin Feed Orig'!BB70</f>
        <v>46.911250125541898</v>
      </c>
      <c r="BC70" t="str">
        <f>'Costing 100 Lmin Feed Orig'!BC70</f>
        <v>coeFc</v>
      </c>
      <c r="BD70">
        <f>'Costing 100 Lmin Feed Orig'!BD70</f>
        <v>1</v>
      </c>
      <c r="BE70">
        <f>'Costing 100 Lmin Feed Orig'!BE70</f>
        <v>1.8775014999999999E-2</v>
      </c>
      <c r="BF70">
        <f>'Costing 100 Lmin Feed Orig'!BF70</f>
        <v>0.10492961100000001</v>
      </c>
      <c r="BG70">
        <f>'Costing 100 Lmin Feed Orig'!BG70</f>
        <v>1.814625E-3</v>
      </c>
      <c r="BH70">
        <f>'Costing 100 Lmin Feed Orig'!BH70</f>
        <v>285.1951444</v>
      </c>
      <c r="BI70">
        <f>'Costing 100 Lmin Feed Orig'!BI70</f>
        <v>2169.8944889999998</v>
      </c>
      <c r="BJ70">
        <f>'Costing 100 Lmin Feed Orig'!BJ70</f>
        <v>866.49409060000005</v>
      </c>
      <c r="BK70">
        <f>'Costing 100 Lmin Feed Orig'!BK70</f>
        <v>100</v>
      </c>
      <c r="BL70">
        <f>'Costing 100 Lmin Feed Orig'!BL70</f>
        <v>10.969051996096999</v>
      </c>
      <c r="BM70">
        <f>'Costing 100 Lmin Feed Orig'!BM70</f>
        <v>92.357542033771196</v>
      </c>
      <c r="BN70">
        <f>'Costing 100 Lmin Feed Orig'!BN70</f>
        <v>19.687717079934501</v>
      </c>
      <c r="BO70">
        <f t="shared" si="20"/>
        <v>241.31914391413397</v>
      </c>
      <c r="BP70">
        <f t="shared" si="21"/>
        <v>551.25607823816608</v>
      </c>
      <c r="BQ70">
        <f t="shared" si="22"/>
        <v>24.1319143914134</v>
      </c>
      <c r="BR70">
        <f t="shared" si="23"/>
        <v>55.125607823816608</v>
      </c>
      <c r="BS70">
        <f>1.2*0.5*BL70*V70/'Oxidant Feed Composition'!$N$22</f>
        <v>6.5814311976581994</v>
      </c>
      <c r="BT70">
        <f>1.2*0.5*BN70*BA70/'Oxidant Feed Composition'!$N$22</f>
        <v>11.812630247960699</v>
      </c>
      <c r="BU70">
        <f t="shared" si="24"/>
        <v>5.4845259980484995</v>
      </c>
      <c r="BV70">
        <f t="shared" si="25"/>
        <v>9.8438585399672505</v>
      </c>
      <c r="BW70">
        <f t="shared" si="26"/>
        <v>86.873016035722699</v>
      </c>
      <c r="BX70">
        <f t="shared" si="19"/>
        <v>35.100966387510397</v>
      </c>
      <c r="BY70">
        <f t="shared" si="27"/>
        <v>206.65318805973638</v>
      </c>
      <c r="BZ70">
        <f t="shared" si="28"/>
        <v>63.000694655790397</v>
      </c>
      <c r="CA70">
        <f t="shared" si="29"/>
        <v>59.063151239803503</v>
      </c>
      <c r="CB70">
        <f>BO70*'Reagent cost'!$G$11*'Reagent cost'!$H$11</f>
        <v>3185.4126996665682</v>
      </c>
      <c r="CC70">
        <f>BP70*'Reagent cost'!$G$11*'Reagent cost'!$H$11</f>
        <v>7276.5802327437923</v>
      </c>
      <c r="CD70">
        <f>BQ70*'Reagent cost'!$C$18/1000*'Reagent cost'!$H$18</f>
        <v>3848.5686313477631</v>
      </c>
      <c r="CE70">
        <f>BR70*'Ligand cost'!$B$56*'Ligand cost'!$J$56</f>
        <v>56124.910065242737</v>
      </c>
      <c r="CF70">
        <f t="shared" si="30"/>
        <v>10</v>
      </c>
      <c r="CG70">
        <f t="shared" si="31"/>
        <v>2.1938103992193998</v>
      </c>
      <c r="CH70">
        <f t="shared" si="31"/>
        <v>3.9375434159869003</v>
      </c>
      <c r="CI70">
        <f>7963.6*(BX70/1000)^0.6*1.7*('CAPEX+OPEX'!$G$116/'CAPEX+OPEX'!$G$115)</f>
        <v>2140.0916471558648</v>
      </c>
      <c r="CJ70">
        <f>7963.6*(BY70/1000)^0.6*1.7*('CAPEX+OPEX'!$G$116/'CAPEX+OPEX'!$G$115)</f>
        <v>6199.9215410229135</v>
      </c>
      <c r="CK70">
        <f>7963.6*(BZ70/1000)^0.6*1.7*('CAPEX+OPEX'!$G$116/'CAPEX+OPEX'!$G$115)</f>
        <v>3039.8218385423597</v>
      </c>
      <c r="CL70">
        <f>7963.6*(CA70/1000)^0.6*1.7*('CAPEX+OPEX'!$G$116/'CAPEX+OPEX'!$G$115)</f>
        <v>2924.3604151173263</v>
      </c>
      <c r="CM70">
        <f>'Costing 100 Lmin Feed Orig'!DE70</f>
        <v>39625.826528698344</v>
      </c>
      <c r="CN70">
        <f>'Costing 100 Lmin Feed Orig'!DF70</f>
        <v>4586243.4239371875</v>
      </c>
      <c r="CO70">
        <f>'Costing 100 Lmin Feed Orig'!DG70</f>
        <v>11794834.586807497</v>
      </c>
      <c r="CP70">
        <f>'Costing 100 Lmin Feed Orig'!DH70</f>
        <v>2275209.1661185985</v>
      </c>
      <c r="CQ70">
        <f>'Costing 100 Lmin Feed Orig'!DI70</f>
        <v>14083914.336508472</v>
      </c>
      <c r="CR70">
        <f>'Costing 100 Lmin Feed Orig'!DJ70</f>
        <v>1662824.8986326549</v>
      </c>
      <c r="CS70">
        <f>CN70*(BK70/10000)^0.72*((A70+1)/3)^0.6*('CAPEX+OPEX'!$G$116/'CAPEX+OPEX'!$G$114)</f>
        <v>800322.53402245743</v>
      </c>
      <c r="CT70">
        <f>CO70*(BK70/10000)^0.72*((A70+1)/3)^0.6*('CAPEX+OPEX'!$G$116/'CAPEX+OPEX'!$G$114)</f>
        <v>2058257.9318883498</v>
      </c>
      <c r="CU70">
        <f>CP70*(BK70/10000)^0.72*((A70+1)/3)^0.6*('CAPEX+OPEX'!$G$116/'CAPEX+OPEX'!$G$114)</f>
        <v>397035.437708179</v>
      </c>
      <c r="CV70">
        <f>CQ70*(BK70/10000)^0.72*((A70+1)/3)^0.6*('CAPEX+OPEX'!$G$116/'CAPEX+OPEX'!$G$114)</f>
        <v>2457713.856163613</v>
      </c>
      <c r="CW70">
        <f>CR70*(BK70/10000)^0.72*((A70+1)/3)^0.6*('CAPEX+OPEX'!$G$116/'CAPEX+OPEX'!$G$114)</f>
        <v>290171.30437591631</v>
      </c>
      <c r="CX70">
        <f t="shared" si="32"/>
        <v>6003501.064158516</v>
      </c>
      <c r="CY70">
        <f>CN70*(BM70/10000)^0.72*((AF70+1)/3)^0.6*('CAPEX+OPEX'!$G$116/'CAPEX+OPEX'!$G$114)</f>
        <v>884649.34487489494</v>
      </c>
      <c r="CZ70">
        <f>CO70*(BM70/10000)^0.72*((AF70+1)/3)^0.6*('CAPEX+OPEX'!$G$116/'CAPEX+OPEX'!$G$114)</f>
        <v>2275128.4058902822</v>
      </c>
      <c r="DA70">
        <f>CP70*(BM70/10000)^0.72*((AF70+1)/3)^0.6*('CAPEX+OPEX'!$G$116/'CAPEX+OPEX'!$G$114)</f>
        <v>438869.48689964274</v>
      </c>
      <c r="DB70">
        <f>CQ70*(BM70/10000)^0.72*((AF70+1)/3)^0.6*('CAPEX+OPEX'!$G$116/'CAPEX+OPEX'!$G$114)</f>
        <v>2716673.4164254861</v>
      </c>
      <c r="DC70">
        <f>CR70*(BM70/10000)^0.72*((AF70+1)/3)^0.6*('CAPEX+OPEX'!$G$116/'CAPEX+OPEX'!$G$114)</f>
        <v>320745.50372518308</v>
      </c>
      <c r="DD70">
        <f t="shared" si="33"/>
        <v>6636066.157815489</v>
      </c>
      <c r="DE70">
        <f>CX70+DD70+1.15*(SUM(CI70:CL70)+SUM(CB70:CE70))</f>
        <v>12737017.83910547</v>
      </c>
      <c r="DF70">
        <f t="shared" si="34"/>
        <v>849134.52260703139</v>
      </c>
      <c r="DG70">
        <f>(BS70+BT70)*'Oxidant Feed Composition'!$N$28*60*7200</f>
        <v>20451160.595171623</v>
      </c>
      <c r="DH70">
        <f>((CG70+CH70)*'Reagent cost'!$C$17/1000*'Reagent cost'!$H$17+(CG70+CH70)*0.5*'Reagent cost'!$C$16/1000*'Reagent cost'!$H$16*1.5)*60*7200</f>
        <v>8700610.3209901694</v>
      </c>
      <c r="DI70">
        <f>CF70*'Reagent cost'!$C$17/1000*'Reagent cost'!$H$17*60*7200</f>
        <v>504921.59999999998</v>
      </c>
      <c r="DJ70">
        <f t="shared" si="35"/>
        <v>104.61992932410362</v>
      </c>
      <c r="DK70">
        <f t="shared" si="36"/>
        <v>1199.4695739318101</v>
      </c>
      <c r="DL70">
        <f t="shared" si="37"/>
        <v>35589595.926798061</v>
      </c>
      <c r="DM70">
        <f>BK70*(B70*(409.81+2)/1000+C70*(248.2+2*22.99)/1000+D70*(315.6+3*22.99)/1000+0.1*58.44/1000)</f>
        <v>0.70639694042110623</v>
      </c>
      <c r="DN70">
        <f>(BS70+BT70)/1000*('Oxidant Feed Composition'!$B$11*'Oxidant Feed Composition'!$O$20+'Oxidant Feed Composition'!$D$11*'Oxidant Feed Composition'!$O$21+'Oxidant Feed Composition'!$F$11*'Oxidant Feed Composition'!$O$27-'Oxidant Feed Composition'!$J$15*18.015)</f>
        <v>2.1481420046583377</v>
      </c>
      <c r="DO70">
        <f>(BU70+BV70)/1000*(0.2*368.34+0.4*58.44)</f>
        <v>1.4875277491072005</v>
      </c>
      <c r="DP70">
        <f>BK70/1000*(B70*195.08+C70*106.42+D70*102.91)</f>
        <v>4.999938342565946E-2</v>
      </c>
      <c r="DQ70">
        <f>SUM(DM70:DO70)-DP70</f>
        <v>4.2920673107609844</v>
      </c>
      <c r="DR70">
        <f>DQ70*60*7200*0.33</f>
        <v>611877.11582208599</v>
      </c>
      <c r="DS70">
        <v>1.2</v>
      </c>
      <c r="DT70">
        <f>BM70/60*(AM70*4+AN70*2+AO70*3)*96485/DV70</f>
        <v>1405.8886873017445</v>
      </c>
      <c r="DU70">
        <f>BN70*BA70*(AP70*4+AQ70*2+AR70*3)*96485/DV70/60</f>
        <v>705.8151344605501</v>
      </c>
      <c r="DV70">
        <v>0.7</v>
      </c>
      <c r="DW70">
        <f>0.499*((BK70/3.78541*15)^(-0.146))*BK70/3.78541*15*300*(1+(A70-2)/9)</f>
        <v>44032.441905260595</v>
      </c>
      <c r="DX70">
        <f>0.248*((BK70/3.78541*15)^(-0.144))*BK70/3.78541*15*300*(1+(A70-2)/3)</f>
        <v>41526.098972294596</v>
      </c>
      <c r="DY70">
        <f>0.105*((BK70/3.78541*15)^(-0.144))*BK70/3.78541*15*300*(1+(A70-2)/3)</f>
        <v>17581.614484237631</v>
      </c>
      <c r="DZ70">
        <f>0.058*((BK70/3.78541*15)^(-0.151))*BK70/3.78541*15*300*(1+(A70-2)/3)</f>
        <v>9313.4716969742931</v>
      </c>
      <c r="EA70">
        <f>0.056*((BK70/3.78541*15)^(-0.144))*BK70/3.78541*15*300*(1+(A70-2)/3)</f>
        <v>9376.8610582600722</v>
      </c>
      <c r="EB70">
        <f>DS70*DT70/(3.6*10^6)*3600*7200*0.07</f>
        <v>850.28147808009521</v>
      </c>
      <c r="EC70">
        <f>0.499*((BM70/3.78541*15)^(-0.146))*BM70/3.78541*15*300*(1+(AF70-2)/9)</f>
        <v>48856.211814596048</v>
      </c>
      <c r="ED70">
        <f>0.248*((BM70/3.78541*15)^(-0.144))*BM70/3.78541*15*300*(1+(AF70-2)/3)</f>
        <v>50432.306691973587</v>
      </c>
      <c r="EE70">
        <f>0.105*((BM70/3.78541*15)^(-0.144))*BM70/3.78541*15*300*(1+(AF70-2)/3)</f>
        <v>21352.387913940427</v>
      </c>
      <c r="EF70">
        <f>0.058*((BM70/3.78541*15)^(-0.151))*BM70/3.78541*15*300*(1+(AF70-2)/3)</f>
        <v>11317.252104018999</v>
      </c>
      <c r="EG70">
        <f>0.056*((BM70/3.78541*15)^(-0.144))*BM70/3.78541*15*300*(1+(AF70-2)/3)</f>
        <v>11387.940220768229</v>
      </c>
      <c r="EH70">
        <f>DS70*DU70/(3.6*10^6)*3600*7200*0.07</f>
        <v>426.87699332174071</v>
      </c>
      <c r="EI70">
        <f>SUM(DW70:EH70)</f>
        <v>266453.74533372629</v>
      </c>
      <c r="EJ70">
        <f>EI70+DR70+DL70</f>
        <v>36467926.787953876</v>
      </c>
      <c r="EK70">
        <f>EJ70+DF70</f>
        <v>37317061.310560904</v>
      </c>
      <c r="EL70">
        <f>EK70/(BK70*60*7200)</f>
        <v>0.86382086367039135</v>
      </c>
      <c r="EM70">
        <f>EK70/(BM70*(AM70*195.084/1000+AN70*106.42/1000+AO70*102.911/1000)*60*7200)</f>
        <v>2889.8832765636566</v>
      </c>
      <c r="EN70">
        <f>EK70/(BN70*BA70*(AP70*195.084/1000+AQ70*106.42/1000+AR70*102.911/1000)*60*7200)</f>
        <v>5303.5592107984685</v>
      </c>
    </row>
    <row r="71" spans="1:144">
      <c r="A71">
        <f>'Costing 100 Lmin Feed Orig'!A71</f>
        <v>9</v>
      </c>
      <c r="B71">
        <f>'Costing 100 Lmin Feed Orig'!B71</f>
        <v>1.54143585092054E-3</v>
      </c>
      <c r="C71">
        <f>'Costing 100 Lmin Feed Orig'!C71</f>
        <v>1.54143585092054E-3</v>
      </c>
      <c r="D71">
        <f>'Costing 100 Lmin Feed Orig'!D71</f>
        <v>3.4254130020456501E-4</v>
      </c>
      <c r="E71">
        <f>'Costing 100 Lmin Feed Orig'!E71</f>
        <v>0</v>
      </c>
      <c r="F71">
        <f>'Costing 100 Lmin Feed Orig'!F71</f>
        <v>0</v>
      </c>
      <c r="G71">
        <f>'Costing 100 Lmin Feed Orig'!G71</f>
        <v>0</v>
      </c>
      <c r="H71">
        <f>'Costing 100 Lmin Feed Orig'!H71</f>
        <v>1.7768596981705501E-5</v>
      </c>
      <c r="I71">
        <f>'Costing 100 Lmin Feed Orig'!I71</f>
        <v>1.5331283704498101E-9</v>
      </c>
      <c r="J71">
        <f>'Costing 100 Lmin Feed Orig'!J71</f>
        <v>3.3763247208936601E-4</v>
      </c>
      <c r="K71">
        <f>'Costing 100 Lmin Feed Orig'!K71</f>
        <v>0.13890601070001499</v>
      </c>
      <c r="L71">
        <f>'Costing 100 Lmin Feed Orig'!L71</f>
        <v>0.14052575540227799</v>
      </c>
      <c r="M71">
        <f>'Costing 100 Lmin Feed Orig'!M71</f>
        <v>4.4751616793740602E-4</v>
      </c>
      <c r="N71">
        <f>'Costing 100 Lmin Feed Orig'!N71</f>
        <v>-5.0090140368830299E-17</v>
      </c>
      <c r="O71">
        <f>'Costing 100 Lmin Feed Orig'!O71</f>
        <v>-6.2343793322261397E-15</v>
      </c>
      <c r="P71">
        <f>'Costing 100 Lmin Feed Orig'!P71</f>
        <v>1.7787691892340301E-20</v>
      </c>
      <c r="Q71">
        <f>'Costing 100 Lmin Feed Orig'!Q71</f>
        <v>0.10969051996097</v>
      </c>
      <c r="R71">
        <f>'Costing 100 Lmin Feed Orig'!R71</f>
        <v>98.566938318892298</v>
      </c>
      <c r="S71">
        <f>'Costing 100 Lmin Feed Orig'!S71</f>
        <v>500</v>
      </c>
      <c r="T71">
        <f>'Costing 100 Lmin Feed Orig'!T71</f>
        <v>95</v>
      </c>
      <c r="U71">
        <f>'Costing 100 Lmin Feed Orig'!U71</f>
        <v>1</v>
      </c>
      <c r="V71">
        <f>'Costing 100 Lmin Feed Orig'!V71</f>
        <v>0.1</v>
      </c>
      <c r="W71">
        <f>'Costing 100 Lmin Feed Orig'!W71</f>
        <v>91.165581160141301</v>
      </c>
      <c r="X71" t="str">
        <f>'Costing 100 Lmin Feed Orig'!X71</f>
        <v>ddFc</v>
      </c>
      <c r="Y71">
        <f>'Costing 100 Lmin Feed Orig'!Y71</f>
        <v>1</v>
      </c>
      <c r="Z71">
        <f>'Costing 100 Lmin Feed Orig'!Z71</f>
        <v>0.28318429382522198</v>
      </c>
      <c r="AA71">
        <f>'Costing 100 Lmin Feed Orig'!AA71</f>
        <v>0.56945642916197003</v>
      </c>
      <c r="AB71">
        <f>'Costing 100 Lmin Feed Orig'!AB71</f>
        <v>3.7698628972227502E-3</v>
      </c>
      <c r="AC71">
        <f>'Costing 100 Lmin Feed Orig'!AC71</f>
        <v>1822.2107908876901</v>
      </c>
      <c r="AD71">
        <f>'Costing 100 Lmin Feed Orig'!AD71</f>
        <v>2662.6059073104898</v>
      </c>
      <c r="AE71">
        <f>'Costing 100 Lmin Feed Orig'!AE71</f>
        <v>2401.5030938442701</v>
      </c>
      <c r="AF71">
        <f>'Costing 100 Lmin Feed Orig'!AF71</f>
        <v>13</v>
      </c>
      <c r="AG71">
        <f>'Costing 100 Lmin Feed Orig'!AG71</f>
        <v>1.6497485970141401E-3</v>
      </c>
      <c r="AH71">
        <f>'Costing 100 Lmin Feed Orig'!AH71</f>
        <v>1.6689858606617799E-3</v>
      </c>
      <c r="AI71">
        <f>'Costing 100 Lmin Feed Orig'!AI71</f>
        <v>5.3150268046377499E-6</v>
      </c>
      <c r="AJ71">
        <f>'Costing 100 Lmin Feed Orig'!AJ71</f>
        <v>0</v>
      </c>
      <c r="AK71">
        <f>'Costing 100 Lmin Feed Orig'!AK71</f>
        <v>0</v>
      </c>
      <c r="AL71">
        <f>'Costing 100 Lmin Feed Orig'!AL71</f>
        <v>0</v>
      </c>
      <c r="AM71">
        <f>'Costing 100 Lmin Feed Orig'!AM71</f>
        <v>1.6128015126361699E-3</v>
      </c>
      <c r="AN71">
        <f>'Costing 100 Lmin Feed Orig'!AN71</f>
        <v>7.9604217415409805E-5</v>
      </c>
      <c r="AO71">
        <f>'Costing 100 Lmin Feed Orig'!AO71</f>
        <v>5.2800727233350599E-6</v>
      </c>
      <c r="AP71">
        <f>'Costing 100 Lmin Feed Orig'!AP71</f>
        <v>1.7332371372774599E-3</v>
      </c>
      <c r="AQ71">
        <f>'Costing 100 Lmin Feed Orig'!AQ71</f>
        <v>7.4560018354909094E-2</v>
      </c>
      <c r="AR71">
        <f>'Costing 100 Lmin Feed Orig'!AR71</f>
        <v>1.6397426977852001E-6</v>
      </c>
      <c r="AS71">
        <f>'Costing 100 Lmin Feed Orig'!AS71</f>
        <v>2.84603070277444E-19</v>
      </c>
      <c r="AT71">
        <f>'Costing 100 Lmin Feed Orig'!AT71</f>
        <v>-1.2576745200831801E-17</v>
      </c>
      <c r="AU71">
        <f>'Costing 100 Lmin Feed Orig'!AU71</f>
        <v>8.8673761665684492E-22</v>
      </c>
      <c r="AV71">
        <f>'Costing 100 Lmin Feed Orig'!AV71</f>
        <v>0.196876804972202</v>
      </c>
      <c r="AW71">
        <f>'Costing 100 Lmin Feed Orig'!AW71</f>
        <v>99.342353621393102</v>
      </c>
      <c r="AX71">
        <f>'Costing 100 Lmin Feed Orig'!AX71</f>
        <v>500</v>
      </c>
      <c r="AY71">
        <f>'Costing 100 Lmin Feed Orig'!AY71</f>
        <v>95</v>
      </c>
      <c r="AZ71">
        <f>'Costing 100 Lmin Feed Orig'!AZ71</f>
        <v>0.92357542033771201</v>
      </c>
      <c r="BA71">
        <f>'Costing 100 Lmin Feed Orig'!BA71</f>
        <v>0.1</v>
      </c>
      <c r="BB71">
        <f>'Costing 100 Lmin Feed Orig'!BB71</f>
        <v>46.911337293802198</v>
      </c>
      <c r="BC71" t="str">
        <f>'Costing 100 Lmin Feed Orig'!BC71</f>
        <v>coeFc</v>
      </c>
      <c r="BD71">
        <f>'Costing 100 Lmin Feed Orig'!BD71</f>
        <v>1</v>
      </c>
      <c r="BE71">
        <f>'Costing 100 Lmin Feed Orig'!BE71</f>
        <v>1.8775014999999999E-2</v>
      </c>
      <c r="BF71">
        <f>'Costing 100 Lmin Feed Orig'!BF71</f>
        <v>0.10492961100000001</v>
      </c>
      <c r="BG71">
        <f>'Costing 100 Lmin Feed Orig'!BG71</f>
        <v>1.814625E-3</v>
      </c>
      <c r="BH71">
        <f>'Costing 100 Lmin Feed Orig'!BH71</f>
        <v>285.1951444</v>
      </c>
      <c r="BI71">
        <f>'Costing 100 Lmin Feed Orig'!BI71</f>
        <v>2169.8944889999998</v>
      </c>
      <c r="BJ71">
        <f>'Costing 100 Lmin Feed Orig'!BJ71</f>
        <v>866.49409060000005</v>
      </c>
      <c r="BK71">
        <f>'Costing 100 Lmin Feed Orig'!BK71</f>
        <v>100</v>
      </c>
      <c r="BL71">
        <f>'Costing 100 Lmin Feed Orig'!BL71</f>
        <v>10.969051996096999</v>
      </c>
      <c r="BM71">
        <f>'Costing 100 Lmin Feed Orig'!BM71</f>
        <v>92.357542033771196</v>
      </c>
      <c r="BN71">
        <f>'Costing 100 Lmin Feed Orig'!BN71</f>
        <v>19.6876804972202</v>
      </c>
      <c r="BO71">
        <f t="shared" si="20"/>
        <v>241.31914391413397</v>
      </c>
      <c r="BP71">
        <f t="shared" si="21"/>
        <v>590.63041491660601</v>
      </c>
      <c r="BQ71">
        <f t="shared" si="22"/>
        <v>24.1319143914134</v>
      </c>
      <c r="BR71">
        <f t="shared" si="23"/>
        <v>59.063041491660606</v>
      </c>
      <c r="BS71">
        <f>1.2*0.5*BL71*V71/'Oxidant Feed Composition'!$N$22</f>
        <v>6.5814311976581994</v>
      </c>
      <c r="BT71">
        <f>1.2*0.5*BN71*BA71/'Oxidant Feed Composition'!$N$22</f>
        <v>11.812608298332119</v>
      </c>
      <c r="BU71">
        <f t="shared" si="24"/>
        <v>5.4845259980484995</v>
      </c>
      <c r="BV71">
        <f t="shared" si="25"/>
        <v>9.8438402486100998</v>
      </c>
      <c r="BW71">
        <f t="shared" si="26"/>
        <v>86.873016035722699</v>
      </c>
      <c r="BX71">
        <f t="shared" si="19"/>
        <v>35.100966387510397</v>
      </c>
      <c r="BY71">
        <f t="shared" si="27"/>
        <v>206.65318805973638</v>
      </c>
      <c r="BZ71">
        <f t="shared" si="28"/>
        <v>63.000577591104637</v>
      </c>
      <c r="CA71">
        <f t="shared" si="29"/>
        <v>59.063041491660599</v>
      </c>
      <c r="CB71">
        <f>BO71*'Reagent cost'!$G$11*'Reagent cost'!$H$11</f>
        <v>3185.4126996665682</v>
      </c>
      <c r="CC71">
        <f>BP71*'Reagent cost'!$G$11*'Reagent cost'!$H$11</f>
        <v>7796.3214768992002</v>
      </c>
      <c r="CD71">
        <f>BQ71*'Reagent cost'!$C$18/1000*'Reagent cost'!$H$18</f>
        <v>3848.5686313477631</v>
      </c>
      <c r="CE71">
        <f>BR71*'Ligand cost'!$B$56*'Ligand cost'!$J$56</f>
        <v>60133.720475132257</v>
      </c>
      <c r="CF71">
        <f t="shared" si="30"/>
        <v>10</v>
      </c>
      <c r="CG71">
        <f t="shared" si="31"/>
        <v>2.1938103992193998</v>
      </c>
      <c r="CH71">
        <f t="shared" si="31"/>
        <v>3.9375360994440403</v>
      </c>
      <c r="CI71">
        <f>7963.6*(BX71/1000)^0.6*1.7*('CAPEX+OPEX'!$G$116/'CAPEX+OPEX'!$G$115)</f>
        <v>2140.0916471558648</v>
      </c>
      <c r="CJ71">
        <f>7963.6*(BY71/1000)^0.6*1.7*('CAPEX+OPEX'!$G$116/'CAPEX+OPEX'!$G$115)</f>
        <v>6199.9215410229135</v>
      </c>
      <c r="CK71">
        <f>7963.6*(BZ71/1000)^0.6*1.7*('CAPEX+OPEX'!$G$116/'CAPEX+OPEX'!$G$115)</f>
        <v>3039.8184494757229</v>
      </c>
      <c r="CL71">
        <f>7963.6*(CA71/1000)^0.6*1.7*('CAPEX+OPEX'!$G$116/'CAPEX+OPEX'!$G$115)</f>
        <v>2924.3571547774636</v>
      </c>
      <c r="CM71">
        <f>'Costing 100 Lmin Feed Orig'!DE71</f>
        <v>39625.826528698344</v>
      </c>
      <c r="CN71">
        <f>'Costing 100 Lmin Feed Orig'!DF71</f>
        <v>4586243.4239371875</v>
      </c>
      <c r="CO71">
        <f>'Costing 100 Lmin Feed Orig'!DG71</f>
        <v>11794834.586807497</v>
      </c>
      <c r="CP71">
        <f>'Costing 100 Lmin Feed Orig'!DH71</f>
        <v>2275209.1661185985</v>
      </c>
      <c r="CQ71">
        <f>'Costing 100 Lmin Feed Orig'!DI71</f>
        <v>14083914.336508472</v>
      </c>
      <c r="CR71">
        <f>'Costing 100 Lmin Feed Orig'!DJ71</f>
        <v>1662824.8986326549</v>
      </c>
      <c r="CS71">
        <f>CN71*(BK71/10000)^0.72*((A71+1)/3)^0.6*('CAPEX+OPEX'!$G$116/'CAPEX+OPEX'!$G$114)</f>
        <v>800322.53402245743</v>
      </c>
      <c r="CT71">
        <f>CO71*(BK71/10000)^0.72*((A71+1)/3)^0.6*('CAPEX+OPEX'!$G$116/'CAPEX+OPEX'!$G$114)</f>
        <v>2058257.9318883498</v>
      </c>
      <c r="CU71">
        <f>CP71*(BK71/10000)^0.72*((A71+1)/3)^0.6*('CAPEX+OPEX'!$G$116/'CAPEX+OPEX'!$G$114)</f>
        <v>397035.437708179</v>
      </c>
      <c r="CV71">
        <f>CQ71*(BK71/10000)^0.72*((A71+1)/3)^0.6*('CAPEX+OPEX'!$G$116/'CAPEX+OPEX'!$G$114)</f>
        <v>2457713.856163613</v>
      </c>
      <c r="CW71">
        <f>CR71*(BK71/10000)^0.72*((A71+1)/3)^0.6*('CAPEX+OPEX'!$G$116/'CAPEX+OPEX'!$G$114)</f>
        <v>290171.30437591631</v>
      </c>
      <c r="CX71">
        <f t="shared" si="32"/>
        <v>6003501.064158516</v>
      </c>
      <c r="CY71">
        <f>CN71*(BM71/10000)^0.72*((AF71+1)/3)^0.6*('CAPEX+OPEX'!$G$116/'CAPEX+OPEX'!$G$114)</f>
        <v>924872.72116447624</v>
      </c>
      <c r="CZ71">
        <f>CO71*(BM71/10000)^0.72*((AF71+1)/3)^0.6*('CAPEX+OPEX'!$G$116/'CAPEX+OPEX'!$G$114)</f>
        <v>2378574.3039824599</v>
      </c>
      <c r="DA71">
        <f>CP71*(BM71/10000)^0.72*((AF71+1)/3)^0.6*('CAPEX+OPEX'!$G$116/'CAPEX+OPEX'!$G$114)</f>
        <v>458824.07412208192</v>
      </c>
      <c r="DB71">
        <f>CQ71*(BM71/10000)^0.72*((AF71+1)/3)^0.6*('CAPEX+OPEX'!$G$116/'CAPEX+OPEX'!$G$114)</f>
        <v>2840195.5528718065</v>
      </c>
      <c r="DC71">
        <f>CR71*(BM71/10000)^0.72*((AF71+1)/3)^0.6*('CAPEX+OPEX'!$G$116/'CAPEX+OPEX'!$G$114)</f>
        <v>335329.21100340848</v>
      </c>
      <c r="DD71">
        <f t="shared" si="33"/>
        <v>6937795.8631442329</v>
      </c>
      <c r="DE71">
        <f>CX71+DD71+1.15*(SUM(CI71:CL71)+SUM(CB71:CE71))</f>
        <v>13043955.371189548</v>
      </c>
      <c r="DF71">
        <f t="shared" si="34"/>
        <v>869597.0247459698</v>
      </c>
      <c r="DG71">
        <f>(BS71+BT71)*'Oxidant Feed Composition'!$N$28*60*7200</f>
        <v>20451136.190807182</v>
      </c>
      <c r="DH71">
        <f>((CG71+CH71)*'Reagent cost'!$C$17/1000*'Reagent cost'!$H$17+(CG71+CH71)*0.5*'Reagent cost'!$C$16/1000*'Reagent cost'!$H$16*1.5)*60*7200</f>
        <v>8700599.9385542143</v>
      </c>
      <c r="DI71">
        <f>CF71*'Reagent cost'!$C$17/1000*'Reagent cost'!$H$17*60*7200</f>
        <v>504921.59999999998</v>
      </c>
      <c r="DJ71">
        <f t="shared" si="35"/>
        <v>109.8173417656577</v>
      </c>
      <c r="DK71">
        <f t="shared" si="36"/>
        <v>1279.6457821296005</v>
      </c>
      <c r="DL71">
        <f t="shared" si="37"/>
        <v>35589656.630982354</v>
      </c>
      <c r="DM71">
        <f>BK71*(B71*(409.81+2)/1000+C71*(248.2+2*22.99)/1000+D71*(315.6+3*22.99)/1000+0.1*58.44/1000)</f>
        <v>0.70639694042110623</v>
      </c>
      <c r="DN71">
        <f>(BS71+BT71)/1000*('Oxidant Feed Composition'!$B$11*'Oxidant Feed Composition'!$O$20+'Oxidant Feed Composition'!$D$11*'Oxidant Feed Composition'!$O$21+'Oxidant Feed Composition'!$F$11*'Oxidant Feed Composition'!$O$27-'Oxidant Feed Composition'!$J$15*18.015)</f>
        <v>2.148139441281061</v>
      </c>
      <c r="DO71">
        <f>(BU71+BV71)/1000*(0.2*368.34+0.4*58.44)</f>
        <v>1.4875259740407372</v>
      </c>
      <c r="DP71">
        <f>BK71/1000*(B71*195.08+C71*106.42+D71*102.91)</f>
        <v>4.999938342565946E-2</v>
      </c>
      <c r="DQ71">
        <f>SUM(DM71:DO71)-DP71</f>
        <v>4.2920629723172441</v>
      </c>
      <c r="DR71">
        <f>DQ71*60*7200*0.33</f>
        <v>611876.4973335464</v>
      </c>
      <c r="DS71">
        <v>1.2</v>
      </c>
      <c r="DT71">
        <f>BM71/60*(AM71*4+AN71*2+AO71*3)*96485/DV71</f>
        <v>1405.8889016994299</v>
      </c>
      <c r="DU71">
        <f>BN71*BA71*(AP71*4+AQ71*2+AR71*3)*96485/DV71/60</f>
        <v>705.8149200453754</v>
      </c>
      <c r="DV71">
        <v>0.7</v>
      </c>
      <c r="DW71">
        <f>0.499*((BK71/3.78541*15)^(-0.146))*BK71/3.78541*15*300*(1+(A71-2)/9)</f>
        <v>44032.441905260595</v>
      </c>
      <c r="DX71">
        <f>0.248*((BK71/3.78541*15)^(-0.144))*BK71/3.78541*15*300*(1+(A71-2)/3)</f>
        <v>41526.098972294596</v>
      </c>
      <c r="DY71">
        <f>0.105*((BK71/3.78541*15)^(-0.144))*BK71/3.78541*15*300*(1+(A71-2)/3)</f>
        <v>17581.614484237631</v>
      </c>
      <c r="DZ71">
        <f>0.058*((BK71/3.78541*15)^(-0.151))*BK71/3.78541*15*300*(1+(A71-2)/3)</f>
        <v>9313.4716969742931</v>
      </c>
      <c r="EA71">
        <f>0.056*((BK71/3.78541*15)^(-0.144))*BK71/3.78541*15*300*(1+(A71-2)/3)</f>
        <v>9376.8610582600722</v>
      </c>
      <c r="EB71">
        <f>DS71*DT71/(3.6*10^6)*3600*7200*0.07</f>
        <v>850.28160774781531</v>
      </c>
      <c r="EC71">
        <f>0.499*((BM71/3.78541*15)^(-0.146))*BM71/3.78541*15*300*(1+(AF71-2)/9)</f>
        <v>51427.591383785315</v>
      </c>
      <c r="ED71">
        <f>0.248*((BM71/3.78541*15)^(-0.144))*BM71/3.78541*15*300*(1+(AF71-2)/3)</f>
        <v>54311.714899048464</v>
      </c>
      <c r="EE71">
        <f>0.105*((BM71/3.78541*15)^(-0.144))*BM71/3.78541*15*300*(1+(AF71-2)/3)</f>
        <v>22994.879291935842</v>
      </c>
      <c r="EF71">
        <f>0.058*((BM71/3.78541*15)^(-0.151))*BM71/3.78541*15*300*(1+(AF71-2)/3)</f>
        <v>12187.809958174303</v>
      </c>
      <c r="EG71">
        <f>0.056*((BM71/3.78541*15)^(-0.144))*BM71/3.78541*15*300*(1+(AF71-2)/3)</f>
        <v>12263.935622365781</v>
      </c>
      <c r="EH71">
        <f>DS71*DU71/(3.6*10^6)*3600*7200*0.07</f>
        <v>426.87686364344307</v>
      </c>
      <c r="EI71">
        <f>SUM(DW71:EH71)</f>
        <v>276293.57774372824</v>
      </c>
      <c r="EJ71">
        <f>EI71+DR71+DL71</f>
        <v>36477826.706059627</v>
      </c>
      <c r="EK71">
        <f>EJ71+DF71</f>
        <v>37347423.730805598</v>
      </c>
      <c r="EL71">
        <f>EK71/(BK71*60*7200)</f>
        <v>0.8645236974723518</v>
      </c>
      <c r="EM71">
        <f>EK71/(BM71*(AM71*195.084/1000+AN71*106.42/1000+AO71*102.911/1000)*60*7200)</f>
        <v>2892.2341417711573</v>
      </c>
      <c r="EN71">
        <f>EK71/(BN71*BA71*(AP71*195.084/1000+AQ71*106.42/1000+AR71*102.911/1000)*60*7200)</f>
        <v>5307.8758520916144</v>
      </c>
    </row>
    <row r="72" spans="1:144">
      <c r="A72">
        <f>'Costing 100 Lmin Feed Orig'!A72</f>
        <v>10</v>
      </c>
      <c r="B72">
        <f>'Costing 100 Lmin Feed Orig'!B72</f>
        <v>1.54143585092054E-3</v>
      </c>
      <c r="C72">
        <f>'Costing 100 Lmin Feed Orig'!C72</f>
        <v>1.54143585092054E-3</v>
      </c>
      <c r="D72">
        <f>'Costing 100 Lmin Feed Orig'!D72</f>
        <v>3.4254130020456501E-4</v>
      </c>
      <c r="E72">
        <f>'Costing 100 Lmin Feed Orig'!E72</f>
        <v>0</v>
      </c>
      <c r="F72">
        <f>'Costing 100 Lmin Feed Orig'!F72</f>
        <v>0</v>
      </c>
      <c r="G72">
        <f>'Costing 100 Lmin Feed Orig'!G72</f>
        <v>0</v>
      </c>
      <c r="H72">
        <f>'Costing 100 Lmin Feed Orig'!H72</f>
        <v>1.7770671970930099E-5</v>
      </c>
      <c r="I72">
        <f>'Costing 100 Lmin Feed Orig'!I72</f>
        <v>5.2649488631162003E-10</v>
      </c>
      <c r="J72">
        <f>'Costing 100 Lmin Feed Orig'!J72</f>
        <v>3.3765279177869602E-4</v>
      </c>
      <c r="K72">
        <f>'Costing 100 Lmin Feed Orig'!K72</f>
        <v>0.139053960209192</v>
      </c>
      <c r="L72">
        <f>'Costing 100 Lmin Feed Orig'!L72</f>
        <v>0.14067571356050099</v>
      </c>
      <c r="M72">
        <f>'Costing 100 Lmin Feed Orig'!M72</f>
        <v>4.4613899794023002E-4</v>
      </c>
      <c r="N72">
        <f>'Costing 100 Lmin Feed Orig'!N72</f>
        <v>-1.6046192152785399E-16</v>
      </c>
      <c r="O72">
        <f>'Costing 100 Lmin Feed Orig'!O72</f>
        <v>-5.9831913729046996E-14</v>
      </c>
      <c r="P72">
        <f>'Costing 100 Lmin Feed Orig'!P72</f>
        <v>-6.6915602833089703E-20</v>
      </c>
      <c r="Q72">
        <f>'Costing 100 Lmin Feed Orig'!Q72</f>
        <v>0.10957366310586</v>
      </c>
      <c r="R72">
        <f>'Costing 100 Lmin Feed Orig'!R72</f>
        <v>98.572870359588904</v>
      </c>
      <c r="S72">
        <f>'Costing 100 Lmin Feed Orig'!S72</f>
        <v>500</v>
      </c>
      <c r="T72">
        <f>'Costing 100 Lmin Feed Orig'!T72</f>
        <v>95</v>
      </c>
      <c r="U72">
        <f>'Costing 100 Lmin Feed Orig'!U72</f>
        <v>1</v>
      </c>
      <c r="V72">
        <f>'Costing 100 Lmin Feed Orig'!V72</f>
        <v>0.1</v>
      </c>
      <c r="W72">
        <f>'Costing 100 Lmin Feed Orig'!W72</f>
        <v>91.262806376555005</v>
      </c>
      <c r="X72" t="str">
        <f>'Costing 100 Lmin Feed Orig'!X72</f>
        <v>ddFc</v>
      </c>
      <c r="Y72">
        <f>'Costing 100 Lmin Feed Orig'!Y72</f>
        <v>1</v>
      </c>
      <c r="Z72">
        <f>'Costing 100 Lmin Feed Orig'!Z72</f>
        <v>0.28318429382522198</v>
      </c>
      <c r="AA72">
        <f>'Costing 100 Lmin Feed Orig'!AA72</f>
        <v>0.56945642916197003</v>
      </c>
      <c r="AB72">
        <f>'Costing 100 Lmin Feed Orig'!AB72</f>
        <v>3.7698628972227502E-3</v>
      </c>
      <c r="AC72">
        <f>'Costing 100 Lmin Feed Orig'!AC72</f>
        <v>1822.2107908876901</v>
      </c>
      <c r="AD72">
        <f>'Costing 100 Lmin Feed Orig'!AD72</f>
        <v>2662.6059073104898</v>
      </c>
      <c r="AE72">
        <f>'Costing 100 Lmin Feed Orig'!AE72</f>
        <v>2401.5030938442701</v>
      </c>
      <c r="AF72">
        <f>'Costing 100 Lmin Feed Orig'!AF72</f>
        <v>4</v>
      </c>
      <c r="AG72">
        <f>'Costing 100 Lmin Feed Orig'!AG72</f>
        <v>1.6497548842793E-3</v>
      </c>
      <c r="AH72">
        <f>'Costing 100 Lmin Feed Orig'!AH72</f>
        <v>1.66899558413707E-3</v>
      </c>
      <c r="AI72">
        <f>'Costing 100 Lmin Feed Orig'!AI72</f>
        <v>5.2930530695573503E-6</v>
      </c>
      <c r="AJ72">
        <f>'Costing 100 Lmin Feed Orig'!AJ72</f>
        <v>0</v>
      </c>
      <c r="AK72">
        <f>'Costing 100 Lmin Feed Orig'!AK72</f>
        <v>0</v>
      </c>
      <c r="AL72">
        <f>'Costing 100 Lmin Feed Orig'!AL72</f>
        <v>0</v>
      </c>
      <c r="AM72">
        <f>'Costing 100 Lmin Feed Orig'!AM72</f>
        <v>1.6048413033404E-3</v>
      </c>
      <c r="AN72">
        <f>'Costing 100 Lmin Feed Orig'!AN72</f>
        <v>7.9214281912587002E-5</v>
      </c>
      <c r="AO72">
        <f>'Costing 100 Lmin Feed Orig'!AO72</f>
        <v>5.2510498442721197E-6</v>
      </c>
      <c r="AP72">
        <f>'Costing 100 Lmin Feed Orig'!AP72</f>
        <v>1.9874301532163399E-3</v>
      </c>
      <c r="AQ72">
        <f>'Costing 100 Lmin Feed Orig'!AQ72</f>
        <v>7.0347971160411499E-2</v>
      </c>
      <c r="AR72">
        <f>'Costing 100 Lmin Feed Orig'!AR72</f>
        <v>1.8586466433211301E-6</v>
      </c>
      <c r="AS72">
        <f>'Costing 100 Lmin Feed Orig'!AS72</f>
        <v>-9.4990475988515606E-15</v>
      </c>
      <c r="AT72">
        <f>'Costing 100 Lmin Feed Orig'!AT72</f>
        <v>-1.2249511301132201E-13</v>
      </c>
      <c r="AU72">
        <f>'Costing 100 Lmin Feed Orig'!AU72</f>
        <v>-3.0412916494512601E-18</v>
      </c>
      <c r="AV72">
        <f>'Costing 100 Lmin Feed Orig'!AV72</f>
        <v>0.20871608876883399</v>
      </c>
      <c r="AW72">
        <f>'Costing 100 Lmin Feed Orig'!AW72</f>
        <v>99.206446171363694</v>
      </c>
      <c r="AX72">
        <f>'Costing 100 Lmin Feed Orig'!AX72</f>
        <v>500</v>
      </c>
      <c r="AY72">
        <f>'Costing 100 Lmin Feed Orig'!AY72</f>
        <v>95</v>
      </c>
      <c r="AZ72">
        <f>'Costing 100 Lmin Feed Orig'!AZ72</f>
        <v>0.92357064280818002</v>
      </c>
      <c r="BA72">
        <f>'Costing 100 Lmin Feed Orig'!BA72</f>
        <v>0.1</v>
      </c>
      <c r="BB72">
        <f>'Costing 100 Lmin Feed Orig'!BB72</f>
        <v>44.250093428642501</v>
      </c>
      <c r="BC72" t="str">
        <f>'Costing 100 Lmin Feed Orig'!BC72</f>
        <v>coeFc</v>
      </c>
      <c r="BD72">
        <f>'Costing 100 Lmin Feed Orig'!BD72</f>
        <v>1</v>
      </c>
      <c r="BE72">
        <f>'Costing 100 Lmin Feed Orig'!BE72</f>
        <v>1.8775014999999999E-2</v>
      </c>
      <c r="BF72">
        <f>'Costing 100 Lmin Feed Orig'!BF72</f>
        <v>0.10492961100000001</v>
      </c>
      <c r="BG72">
        <f>'Costing 100 Lmin Feed Orig'!BG72</f>
        <v>1.814625E-3</v>
      </c>
      <c r="BH72">
        <f>'Costing 100 Lmin Feed Orig'!BH72</f>
        <v>285.1951444</v>
      </c>
      <c r="BI72">
        <f>'Costing 100 Lmin Feed Orig'!BI72</f>
        <v>2169.8944889999998</v>
      </c>
      <c r="BJ72">
        <f>'Costing 100 Lmin Feed Orig'!BJ72</f>
        <v>866.49409060000005</v>
      </c>
      <c r="BK72">
        <f>'Costing 100 Lmin Feed Orig'!BK72</f>
        <v>100</v>
      </c>
      <c r="BL72">
        <f>'Costing 100 Lmin Feed Orig'!BL72</f>
        <v>10.957366310586</v>
      </c>
      <c r="BM72">
        <f>'Costing 100 Lmin Feed Orig'!BM72</f>
        <v>92.357064280818008</v>
      </c>
      <c r="BN72">
        <f>'Costing 100 Lmin Feed Orig'!BN72</f>
        <v>20.8716088768834</v>
      </c>
      <c r="BO72">
        <f t="shared" si="20"/>
        <v>262.97679145406403</v>
      </c>
      <c r="BP72">
        <f t="shared" si="21"/>
        <v>250.4593065226008</v>
      </c>
      <c r="BQ72">
        <f t="shared" si="22"/>
        <v>26.297679145406406</v>
      </c>
      <c r="BR72">
        <f t="shared" si="23"/>
        <v>25.045930652260083</v>
      </c>
      <c r="BS72">
        <f>1.2*0.5*BL72*V72/'Oxidant Feed Composition'!$N$22</f>
        <v>6.5744197863515996</v>
      </c>
      <c r="BT72">
        <f>1.2*0.5*BN72*BA72/'Oxidant Feed Composition'!$N$22</f>
        <v>12.52296532613004</v>
      </c>
      <c r="BU72">
        <f t="shared" si="24"/>
        <v>5.478683155293</v>
      </c>
      <c r="BV72">
        <f t="shared" si="25"/>
        <v>10.4358044384417</v>
      </c>
      <c r="BW72">
        <f t="shared" si="26"/>
        <v>86.87838112552501</v>
      </c>
      <c r="BX72">
        <f t="shared" si="19"/>
        <v>35.063572193875203</v>
      </c>
      <c r="BY72">
        <f t="shared" si="27"/>
        <v>206.62886118280801</v>
      </c>
      <c r="BZ72">
        <f t="shared" si="28"/>
        <v>66.789148406026882</v>
      </c>
      <c r="CA72">
        <f t="shared" si="29"/>
        <v>62.614826630650199</v>
      </c>
      <c r="CB72">
        <f>BO72*'Reagent cost'!$G$11*'Reagent cost'!$H$11</f>
        <v>3471.2936471936455</v>
      </c>
      <c r="CC72">
        <f>BP72*'Reagent cost'!$G$11*'Reagent cost'!$H$11</f>
        <v>3306.0628460983307</v>
      </c>
      <c r="CD72">
        <f>BQ72*'Reagent cost'!$C$18/1000*'Reagent cost'!$H$18</f>
        <v>4193.9657747282263</v>
      </c>
      <c r="CE72">
        <f>BR72*'Ligand cost'!$B$56*'Ligand cost'!$J$56</f>
        <v>25499.956569205955</v>
      </c>
      <c r="CF72">
        <f t="shared" si="30"/>
        <v>10</v>
      </c>
      <c r="CG72">
        <f t="shared" si="31"/>
        <v>2.1914732621172002</v>
      </c>
      <c r="CH72">
        <f t="shared" si="31"/>
        <v>4.1743217753766801</v>
      </c>
      <c r="CI72">
        <f>7963.6*(BX72/1000)^0.6*1.7*('CAPEX+OPEX'!$G$116/'CAPEX+OPEX'!$G$115)</f>
        <v>2138.7234102796551</v>
      </c>
      <c r="CJ72">
        <f>7963.6*(BY72/1000)^0.6*1.7*('CAPEX+OPEX'!$G$116/'CAPEX+OPEX'!$G$115)</f>
        <v>6199.4836239091055</v>
      </c>
      <c r="CK72">
        <f>7963.6*(BZ72/1000)^0.6*1.7*('CAPEX+OPEX'!$G$116/'CAPEX+OPEX'!$G$115)</f>
        <v>3148.2156354245658</v>
      </c>
      <c r="CL72">
        <f>7963.6*(CA72/1000)^0.6*1.7*('CAPEX+OPEX'!$G$116/'CAPEX+OPEX'!$G$115)</f>
        <v>3028.6370950291303</v>
      </c>
      <c r="CM72">
        <f>'Costing 100 Lmin Feed Orig'!DE72</f>
        <v>39625.826528698344</v>
      </c>
      <c r="CN72">
        <f>'Costing 100 Lmin Feed Orig'!DF72</f>
        <v>4586243.4239371875</v>
      </c>
      <c r="CO72">
        <f>'Costing 100 Lmin Feed Orig'!DG72</f>
        <v>11794834.586807497</v>
      </c>
      <c r="CP72">
        <f>'Costing 100 Lmin Feed Orig'!DH72</f>
        <v>2275209.1661185985</v>
      </c>
      <c r="CQ72">
        <f>'Costing 100 Lmin Feed Orig'!DI72</f>
        <v>14083914.336508472</v>
      </c>
      <c r="CR72">
        <f>'Costing 100 Lmin Feed Orig'!DJ72</f>
        <v>1662824.8986326549</v>
      </c>
      <c r="CS72">
        <f>CN72*(BK72/10000)^0.72*((A72+1)/3)^0.6*('CAPEX+OPEX'!$G$116/'CAPEX+OPEX'!$G$114)</f>
        <v>847423.79840727116</v>
      </c>
      <c r="CT72">
        <f>CO72*(BK72/10000)^0.72*((A72+1)/3)^0.6*('CAPEX+OPEX'!$G$116/'CAPEX+OPEX'!$G$114)</f>
        <v>2179392.2832288719</v>
      </c>
      <c r="CU72">
        <f>CP72*(BK72/10000)^0.72*((A72+1)/3)^0.6*('CAPEX+OPEX'!$G$116/'CAPEX+OPEX'!$G$114)</f>
        <v>420402.1059283549</v>
      </c>
      <c r="CV72">
        <f>CQ72*(BK72/10000)^0.72*((A72+1)/3)^0.6*('CAPEX+OPEX'!$G$116/'CAPEX+OPEX'!$G$114)</f>
        <v>2602357.3282642425</v>
      </c>
      <c r="CW72">
        <f>CR72*(BK72/10000)^0.72*((A72+1)/3)^0.6*('CAPEX+OPEX'!$G$116/'CAPEX+OPEX'!$G$114)</f>
        <v>307248.71347447456</v>
      </c>
      <c r="CX72">
        <f t="shared" si="32"/>
        <v>6356824.2293032147</v>
      </c>
      <c r="CY72">
        <f>CN72*(BM72/10000)^0.72*((AF72+1)/3)^0.6*('CAPEX+OPEX'!$G$116/'CAPEX+OPEX'!$G$114)</f>
        <v>498638.18596251757</v>
      </c>
      <c r="CZ72">
        <f>CO72*(BM72/10000)^0.72*((AF72+1)/3)^0.6*('CAPEX+OPEX'!$G$116/'CAPEX+OPEX'!$G$114)</f>
        <v>1282390.483548437</v>
      </c>
      <c r="DA72">
        <f>CP72*(BM72/10000)^0.72*((AF72+1)/3)^0.6*('CAPEX+OPEX'!$G$116/'CAPEX+OPEX'!$G$114)</f>
        <v>247371.55584836402</v>
      </c>
      <c r="DB72">
        <f>CQ72*(BM72/10000)^0.72*((AF72+1)/3)^0.6*('CAPEX+OPEX'!$G$116/'CAPEX+OPEX'!$G$114)</f>
        <v>1531270.1151783131</v>
      </c>
      <c r="DC72">
        <f>CR72*(BM72/10000)^0.72*((AF72+1)/3)^0.6*('CAPEX+OPEX'!$G$116/'CAPEX+OPEX'!$G$114)</f>
        <v>180790.22729144391</v>
      </c>
      <c r="DD72">
        <f t="shared" si="33"/>
        <v>3740460.5678290757</v>
      </c>
      <c r="DE72">
        <f>CX72+DD72+1.15*(SUM(CI72:CL72)+SUM(CB72:CE72))</f>
        <v>10155919.08652444</v>
      </c>
      <c r="DF72">
        <f t="shared" si="34"/>
        <v>677061.27243496268</v>
      </c>
      <c r="DG72">
        <f>(BS72+BT72)*'Oxidant Feed Composition'!$N$28*60*7200</f>
        <v>21233140.437085267</v>
      </c>
      <c r="DH72">
        <f>((CG72+CH72)*'Reagent cost'!$C$17/1000*'Reagent cost'!$H$17+(CG72+CH72)*0.5*'Reagent cost'!$C$16/1000*'Reagent cost'!$H$16*1.5)*60*7200</f>
        <v>9033290.7990343589</v>
      </c>
      <c r="DI72">
        <f>CF72*'Reagent cost'!$C$17/1000*'Reagent cost'!$H$17*60*7200</f>
        <v>504921.59999999998</v>
      </c>
      <c r="DJ72">
        <f t="shared" si="35"/>
        <v>67.773564932919768</v>
      </c>
      <c r="DK72">
        <f t="shared" si="36"/>
        <v>593.87844687868358</v>
      </c>
      <c r="DL72">
        <f t="shared" si="37"/>
        <v>36926417.385757729</v>
      </c>
      <c r="DM72">
        <f>BK72*(B72*(409.81+2)/1000+C72*(248.2+2*22.99)/1000+D72*(315.6+3*22.99)/1000+0.1*58.44/1000)</f>
        <v>0.70639694042110623</v>
      </c>
      <c r="DN72">
        <f>(BS72+BT72)/1000*('Oxidant Feed Composition'!$B$11*'Oxidant Feed Composition'!$O$20+'Oxidant Feed Composition'!$D$11*'Oxidant Feed Composition'!$O$21+'Oxidant Feed Composition'!$F$11*'Oxidant Feed Composition'!$O$27-'Oxidant Feed Composition'!$J$15*18.015)</f>
        <v>2.230279335564016</v>
      </c>
      <c r="DO72">
        <f>(BU72+BV72)/1000*(0.2*368.34+0.4*58.44)</f>
        <v>1.54440553404639</v>
      </c>
      <c r="DP72">
        <f>BK72/1000*(B72*195.08+C72*106.42+D72*102.91)</f>
        <v>4.999938342565946E-2</v>
      </c>
      <c r="DQ72">
        <f>SUM(DM72:DO72)-DP72</f>
        <v>4.4310824266058519</v>
      </c>
      <c r="DR72">
        <f>DQ72*60*7200*0.33</f>
        <v>631695.11073693028</v>
      </c>
      <c r="DS72">
        <v>1.2</v>
      </c>
      <c r="DT72">
        <f>BM72/60*(AM72*4+AN72*2+AO72*3)*96485/DV72</f>
        <v>1398.9420736828372</v>
      </c>
      <c r="DU72">
        <f>BN72*BA72*(AP72*4+AQ72*2+AR72*3)*96485/DV72/60</f>
        <v>712.74630003990501</v>
      </c>
      <c r="DV72">
        <v>0.7</v>
      </c>
      <c r="DW72">
        <f>0.499*((BK72/3.78541*15)^(-0.146))*BK72/3.78541*15*300*(1+(A72-2)/9)</f>
        <v>46784.46952433938</v>
      </c>
      <c r="DX72">
        <f>0.248*((BK72/3.78541*15)^(-0.144))*BK72/3.78541*15*300*(1+(A72-2)/3)</f>
        <v>45678.708869524045</v>
      </c>
      <c r="DY72">
        <f>0.105*((BK72/3.78541*15)^(-0.144))*BK72/3.78541*15*300*(1+(A72-2)/3)</f>
        <v>19339.775932661389</v>
      </c>
      <c r="DZ72">
        <f>0.058*((BK72/3.78541*15)^(-0.151))*BK72/3.78541*15*300*(1+(A72-2)/3)</f>
        <v>10244.818866671721</v>
      </c>
      <c r="EA72">
        <f>0.056*((BK72/3.78541*15)^(-0.144))*BK72/3.78541*15*300*(1+(A72-2)/3)</f>
        <v>10314.547164086078</v>
      </c>
      <c r="EB72">
        <f>DS72*DT72/(3.6*10^6)*3600*7200*0.07</f>
        <v>846.08016616337989</v>
      </c>
      <c r="EC72">
        <f>0.499*((BM72/3.78541*15)^(-0.146))*BM72/3.78541*15*300*(1+(AF72-2)/9)</f>
        <v>28285.050307726531</v>
      </c>
      <c r="ED72">
        <f>0.248*((BM72/3.78541*15)^(-0.144))*BM72/3.78541*15*300*(1+(AF72-2)/3)</f>
        <v>19396.955145805132</v>
      </c>
      <c r="EE72">
        <f>0.105*((BM72/3.78541*15)^(-0.144))*BM72/3.78541*15*300*(1+(AF72-2)/3)</f>
        <v>8212.4205254416884</v>
      </c>
      <c r="EF72">
        <f>0.058*((BM72/3.78541*15)^(-0.151))*BM72/3.78541*15*300*(1+(AF72-2)/3)</f>
        <v>4352.7701543586227</v>
      </c>
      <c r="EG72">
        <f>0.056*((BM72/3.78541*15)^(-0.144))*BM72/3.78541*15*300*(1+(AF72-2)/3)</f>
        <v>4379.9576135689013</v>
      </c>
      <c r="EH72">
        <f>DS72*DU72/(3.6*10^6)*3600*7200*0.07</f>
        <v>431.06896226413448</v>
      </c>
      <c r="EI72">
        <f>SUM(DW72:EH72)</f>
        <v>198266.62323261102</v>
      </c>
      <c r="EJ72">
        <f>EI72+DR72+DL72</f>
        <v>37756379.119727269</v>
      </c>
      <c r="EK72">
        <f>EJ72+DF72</f>
        <v>38433440.392162234</v>
      </c>
      <c r="EL72">
        <f>EK72/(BK72*60*7200)</f>
        <v>0.88966297204079248</v>
      </c>
      <c r="EM72">
        <f>EK72/(BM72*(AM72*195.084/1000+AN72*106.42/1000+AO72*102.911/1000)*60*7200)</f>
        <v>2991.1150862251125</v>
      </c>
      <c r="EN72">
        <f>EK72/(BN72*BA72*(AP72*195.084/1000+AQ72*106.42/1000+AR72*102.911/1000)*60*7200)</f>
        <v>5413.218092742407</v>
      </c>
    </row>
    <row r="73" spans="1:144">
      <c r="A73">
        <f>'Costing 100 Lmin Feed Orig'!A73</f>
        <v>10</v>
      </c>
      <c r="B73">
        <f>'Costing 100 Lmin Feed Orig'!B73</f>
        <v>1.54143585092054E-3</v>
      </c>
      <c r="C73">
        <f>'Costing 100 Lmin Feed Orig'!C73</f>
        <v>1.54143585092054E-3</v>
      </c>
      <c r="D73">
        <f>'Costing 100 Lmin Feed Orig'!D73</f>
        <v>3.4254130020456501E-4</v>
      </c>
      <c r="E73">
        <f>'Costing 100 Lmin Feed Orig'!E73</f>
        <v>0</v>
      </c>
      <c r="F73">
        <f>'Costing 100 Lmin Feed Orig'!F73</f>
        <v>0</v>
      </c>
      <c r="G73">
        <f>'Costing 100 Lmin Feed Orig'!G73</f>
        <v>0</v>
      </c>
      <c r="H73">
        <f>'Costing 100 Lmin Feed Orig'!H73</f>
        <v>1.7770671970930099E-5</v>
      </c>
      <c r="I73">
        <f>'Costing 100 Lmin Feed Orig'!I73</f>
        <v>5.2649488631162003E-10</v>
      </c>
      <c r="J73">
        <f>'Costing 100 Lmin Feed Orig'!J73</f>
        <v>3.3765279177869602E-4</v>
      </c>
      <c r="K73">
        <f>'Costing 100 Lmin Feed Orig'!K73</f>
        <v>0.139053960209192</v>
      </c>
      <c r="L73">
        <f>'Costing 100 Lmin Feed Orig'!L73</f>
        <v>0.14067571356050099</v>
      </c>
      <c r="M73">
        <f>'Costing 100 Lmin Feed Orig'!M73</f>
        <v>4.4613899794023002E-4</v>
      </c>
      <c r="N73">
        <f>'Costing 100 Lmin Feed Orig'!N73</f>
        <v>-1.6046192152785399E-16</v>
      </c>
      <c r="O73">
        <f>'Costing 100 Lmin Feed Orig'!O73</f>
        <v>-5.9831913729046996E-14</v>
      </c>
      <c r="P73">
        <f>'Costing 100 Lmin Feed Orig'!P73</f>
        <v>-6.6915602833089703E-20</v>
      </c>
      <c r="Q73">
        <f>'Costing 100 Lmin Feed Orig'!Q73</f>
        <v>0.10957366310586</v>
      </c>
      <c r="R73">
        <f>'Costing 100 Lmin Feed Orig'!R73</f>
        <v>98.572870359588904</v>
      </c>
      <c r="S73">
        <f>'Costing 100 Lmin Feed Orig'!S73</f>
        <v>500</v>
      </c>
      <c r="T73">
        <f>'Costing 100 Lmin Feed Orig'!T73</f>
        <v>95</v>
      </c>
      <c r="U73">
        <f>'Costing 100 Lmin Feed Orig'!U73</f>
        <v>1</v>
      </c>
      <c r="V73">
        <f>'Costing 100 Lmin Feed Orig'!V73</f>
        <v>0.1</v>
      </c>
      <c r="W73">
        <f>'Costing 100 Lmin Feed Orig'!W73</f>
        <v>91.262806376555005</v>
      </c>
      <c r="X73" t="str">
        <f>'Costing 100 Lmin Feed Orig'!X73</f>
        <v>ddFc</v>
      </c>
      <c r="Y73">
        <f>'Costing 100 Lmin Feed Orig'!Y73</f>
        <v>1</v>
      </c>
      <c r="Z73">
        <f>'Costing 100 Lmin Feed Orig'!Z73</f>
        <v>0.28318429382522198</v>
      </c>
      <c r="AA73">
        <f>'Costing 100 Lmin Feed Orig'!AA73</f>
        <v>0.56945642916197003</v>
      </c>
      <c r="AB73">
        <f>'Costing 100 Lmin Feed Orig'!AB73</f>
        <v>3.7698628972227502E-3</v>
      </c>
      <c r="AC73">
        <f>'Costing 100 Lmin Feed Orig'!AC73</f>
        <v>1822.2107908876901</v>
      </c>
      <c r="AD73">
        <f>'Costing 100 Lmin Feed Orig'!AD73</f>
        <v>2662.6059073104898</v>
      </c>
      <c r="AE73">
        <f>'Costing 100 Lmin Feed Orig'!AE73</f>
        <v>2401.5030938442701</v>
      </c>
      <c r="AF73">
        <f>'Costing 100 Lmin Feed Orig'!AF73</f>
        <v>5</v>
      </c>
      <c r="AG73">
        <f>'Costing 100 Lmin Feed Orig'!AG73</f>
        <v>1.6497548842793E-3</v>
      </c>
      <c r="AH73">
        <f>'Costing 100 Lmin Feed Orig'!AH73</f>
        <v>1.66899558413707E-3</v>
      </c>
      <c r="AI73">
        <f>'Costing 100 Lmin Feed Orig'!AI73</f>
        <v>5.2930530695573503E-6</v>
      </c>
      <c r="AJ73">
        <f>'Costing 100 Lmin Feed Orig'!AJ73</f>
        <v>0</v>
      </c>
      <c r="AK73">
        <f>'Costing 100 Lmin Feed Orig'!AK73</f>
        <v>0</v>
      </c>
      <c r="AL73">
        <f>'Costing 100 Lmin Feed Orig'!AL73</f>
        <v>0</v>
      </c>
      <c r="AM73">
        <f>'Costing 100 Lmin Feed Orig'!AM73</f>
        <v>1.6104435974931999E-3</v>
      </c>
      <c r="AN73">
        <f>'Costing 100 Lmin Feed Orig'!AN73</f>
        <v>7.9504080567360702E-5</v>
      </c>
      <c r="AO73">
        <f>'Costing 100 Lmin Feed Orig'!AO73</f>
        <v>5.2561088045772501E-6</v>
      </c>
      <c r="AP73">
        <f>'Costing 100 Lmin Feed Orig'!AP73</f>
        <v>1.81182114984423E-3</v>
      </c>
      <c r="AQ73">
        <f>'Costing 100 Lmin Feed Orig'!AQ73</f>
        <v>7.3258205444439506E-2</v>
      </c>
      <c r="AR73">
        <f>'Costing 100 Lmin Feed Orig'!AR73</f>
        <v>1.7027272859467399E-6</v>
      </c>
      <c r="AS73">
        <f>'Costing 100 Lmin Feed Orig'!AS73</f>
        <v>-4.4743668405761099E-17</v>
      </c>
      <c r="AT73">
        <f>'Costing 100 Lmin Feed Orig'!AT73</f>
        <v>1.8843433757798001E-16</v>
      </c>
      <c r="AU73">
        <f>'Costing 100 Lmin Feed Orig'!AU73</f>
        <v>-3.54364174417717E-20</v>
      </c>
      <c r="AV73">
        <f>'Costing 100 Lmin Feed Orig'!AV73</f>
        <v>0.200388158675712</v>
      </c>
      <c r="AW73">
        <f>'Costing 100 Lmin Feed Orig'!AW73</f>
        <v>99.302023529811606</v>
      </c>
      <c r="AX73">
        <f>'Costing 100 Lmin Feed Orig'!AX73</f>
        <v>500</v>
      </c>
      <c r="AY73">
        <f>'Costing 100 Lmin Feed Orig'!AY73</f>
        <v>95</v>
      </c>
      <c r="AZ73">
        <f>'Costing 100 Lmin Feed Orig'!AZ73</f>
        <v>0.92357064280818002</v>
      </c>
      <c r="BA73">
        <f>'Costing 100 Lmin Feed Orig'!BA73</f>
        <v>0.1</v>
      </c>
      <c r="BB73">
        <f>'Costing 100 Lmin Feed Orig'!BB73</f>
        <v>46.089082753776403</v>
      </c>
      <c r="BC73" t="str">
        <f>'Costing 100 Lmin Feed Orig'!BC73</f>
        <v>coeFc</v>
      </c>
      <c r="BD73">
        <f>'Costing 100 Lmin Feed Orig'!BD73</f>
        <v>1</v>
      </c>
      <c r="BE73">
        <f>'Costing 100 Lmin Feed Orig'!BE73</f>
        <v>1.8775014999999999E-2</v>
      </c>
      <c r="BF73">
        <f>'Costing 100 Lmin Feed Orig'!BF73</f>
        <v>0.10492961100000001</v>
      </c>
      <c r="BG73">
        <f>'Costing 100 Lmin Feed Orig'!BG73</f>
        <v>1.814625E-3</v>
      </c>
      <c r="BH73">
        <f>'Costing 100 Lmin Feed Orig'!BH73</f>
        <v>285.1951444</v>
      </c>
      <c r="BI73">
        <f>'Costing 100 Lmin Feed Orig'!BI73</f>
        <v>2169.8944889999998</v>
      </c>
      <c r="BJ73">
        <f>'Costing 100 Lmin Feed Orig'!BJ73</f>
        <v>866.49409060000005</v>
      </c>
      <c r="BK73">
        <f>'Costing 100 Lmin Feed Orig'!BK73</f>
        <v>100</v>
      </c>
      <c r="BL73">
        <f>'Costing 100 Lmin Feed Orig'!BL73</f>
        <v>10.957366310586</v>
      </c>
      <c r="BM73">
        <f>'Costing 100 Lmin Feed Orig'!BM73</f>
        <v>92.357064280818008</v>
      </c>
      <c r="BN73">
        <f>'Costing 100 Lmin Feed Orig'!BN73</f>
        <v>20.038815867571198</v>
      </c>
      <c r="BO73">
        <f t="shared" si="20"/>
        <v>262.97679145406403</v>
      </c>
      <c r="BP73">
        <f t="shared" si="21"/>
        <v>280.54342214599677</v>
      </c>
      <c r="BQ73">
        <f t="shared" si="22"/>
        <v>26.297679145406406</v>
      </c>
      <c r="BR73">
        <f t="shared" si="23"/>
        <v>28.054342214599679</v>
      </c>
      <c r="BS73">
        <f>1.2*0.5*BL73*V73/'Oxidant Feed Composition'!$N$22</f>
        <v>6.5744197863515996</v>
      </c>
      <c r="BT73">
        <f>1.2*0.5*BN73*BA73/'Oxidant Feed Composition'!$N$22</f>
        <v>12.023289520542718</v>
      </c>
      <c r="BU73">
        <f t="shared" si="24"/>
        <v>5.478683155293</v>
      </c>
      <c r="BV73">
        <f t="shared" si="25"/>
        <v>10.019407933785599</v>
      </c>
      <c r="BW73">
        <f t="shared" si="26"/>
        <v>86.87838112552501</v>
      </c>
      <c r="BX73">
        <f t="shared" si="19"/>
        <v>35.063572193875203</v>
      </c>
      <c r="BY73">
        <f t="shared" si="27"/>
        <v>206.62886118280801</v>
      </c>
      <c r="BZ73">
        <f t="shared" si="28"/>
        <v>64.124210776227841</v>
      </c>
      <c r="CA73">
        <f t="shared" si="29"/>
        <v>60.116447602713592</v>
      </c>
      <c r="CB73">
        <f>BO73*'Reagent cost'!$G$11*'Reagent cost'!$H$11</f>
        <v>3471.2936471936455</v>
      </c>
      <c r="CC73">
        <f>BP73*'Reagent cost'!$G$11*'Reagent cost'!$H$11</f>
        <v>3703.1731723271578</v>
      </c>
      <c r="CD73">
        <f>BQ73*'Reagent cost'!$C$18/1000*'Reagent cost'!$H$18</f>
        <v>4193.9657747282263</v>
      </c>
      <c r="CE73">
        <f>BR73*'Ligand cost'!$B$56*'Ligand cost'!$J$56</f>
        <v>28562.90380990009</v>
      </c>
      <c r="CF73">
        <f t="shared" si="30"/>
        <v>10</v>
      </c>
      <c r="CG73">
        <f t="shared" si="31"/>
        <v>2.1914732621172002</v>
      </c>
      <c r="CH73">
        <f t="shared" si="31"/>
        <v>4.0077631735142401</v>
      </c>
      <c r="CI73">
        <f>7963.6*(BX73/1000)^0.6*1.7*('CAPEX+OPEX'!$G$116/'CAPEX+OPEX'!$G$115)</f>
        <v>2138.7234102796551</v>
      </c>
      <c r="CJ73">
        <f>7963.6*(BY73/1000)^0.6*1.7*('CAPEX+OPEX'!$G$116/'CAPEX+OPEX'!$G$115)</f>
        <v>6199.4836239091055</v>
      </c>
      <c r="CK73">
        <f>7963.6*(BZ73/1000)^0.6*1.7*('CAPEX+OPEX'!$G$116/'CAPEX+OPEX'!$G$115)</f>
        <v>3072.2329850260039</v>
      </c>
      <c r="CL73">
        <f>7963.6*(CA73/1000)^0.6*1.7*('CAPEX+OPEX'!$G$116/'CAPEX+OPEX'!$G$115)</f>
        <v>2955.5404904044981</v>
      </c>
      <c r="CM73">
        <f>'Costing 100 Lmin Feed Orig'!DE73</f>
        <v>39625.826528698344</v>
      </c>
      <c r="CN73">
        <f>'Costing 100 Lmin Feed Orig'!DF73</f>
        <v>4586243.4239371875</v>
      </c>
      <c r="CO73">
        <f>'Costing 100 Lmin Feed Orig'!DG73</f>
        <v>11794834.586807497</v>
      </c>
      <c r="CP73">
        <f>'Costing 100 Lmin Feed Orig'!DH73</f>
        <v>2275209.1661185985</v>
      </c>
      <c r="CQ73">
        <f>'Costing 100 Lmin Feed Orig'!DI73</f>
        <v>14083914.336508472</v>
      </c>
      <c r="CR73">
        <f>'Costing 100 Lmin Feed Orig'!DJ73</f>
        <v>1662824.8986326549</v>
      </c>
      <c r="CS73">
        <f>CN73*(BK73/10000)^0.72*((A73+1)/3)^0.6*('CAPEX+OPEX'!$G$116/'CAPEX+OPEX'!$G$114)</f>
        <v>847423.79840727116</v>
      </c>
      <c r="CT73">
        <f>CO73*(BK73/10000)^0.72*((A73+1)/3)^0.6*('CAPEX+OPEX'!$G$116/'CAPEX+OPEX'!$G$114)</f>
        <v>2179392.2832288719</v>
      </c>
      <c r="CU73">
        <f>CP73*(BK73/10000)^0.72*((A73+1)/3)^0.6*('CAPEX+OPEX'!$G$116/'CAPEX+OPEX'!$G$114)</f>
        <v>420402.1059283549</v>
      </c>
      <c r="CV73">
        <f>CQ73*(BK73/10000)^0.72*((A73+1)/3)^0.6*('CAPEX+OPEX'!$G$116/'CAPEX+OPEX'!$G$114)</f>
        <v>2602357.3282642425</v>
      </c>
      <c r="CW73">
        <f>CR73*(BK73/10000)^0.72*((A73+1)/3)^0.6*('CAPEX+OPEX'!$G$116/'CAPEX+OPEX'!$G$114)</f>
        <v>307248.71347447456</v>
      </c>
      <c r="CX73">
        <f t="shared" si="32"/>
        <v>6356824.2293032147</v>
      </c>
      <c r="CY73">
        <f>CN73*(BM73/10000)^0.72*((AF73+1)/3)^0.6*('CAPEX+OPEX'!$G$116/'CAPEX+OPEX'!$G$114)</f>
        <v>556281.07027801778</v>
      </c>
      <c r="CZ73">
        <f>CO73*(BM73/10000)^0.72*((AF73+1)/3)^0.6*('CAPEX+OPEX'!$G$116/'CAPEX+OPEX'!$G$114)</f>
        <v>1430635.6207470505</v>
      </c>
      <c r="DA73">
        <f>CP73*(BM73/10000)^0.72*((AF73+1)/3)^0.6*('CAPEX+OPEX'!$G$116/'CAPEX+OPEX'!$G$114)</f>
        <v>275967.86150270962</v>
      </c>
      <c r="DB73">
        <f>CQ73*(BM73/10000)^0.72*((AF73+1)/3)^0.6*('CAPEX+OPEX'!$G$116/'CAPEX+OPEX'!$G$114)</f>
        <v>1708285.8925292303</v>
      </c>
      <c r="DC73">
        <f>CR73*(BM73/10000)^0.72*((AF73+1)/3)^0.6*('CAPEX+OPEX'!$G$116/'CAPEX+OPEX'!$G$114)</f>
        <v>201689.68996901164</v>
      </c>
      <c r="DD73">
        <f t="shared" si="33"/>
        <v>4172860.13502602</v>
      </c>
      <c r="DE73">
        <f>CX73+DD73+1.15*(SUM(CI73:CL73)+SUM(CB73:CE73))</f>
        <v>10592126.278780067</v>
      </c>
      <c r="DF73">
        <f t="shared" si="34"/>
        <v>706141.75191867119</v>
      </c>
      <c r="DG73">
        <f>(BS73+BT73)*'Oxidant Feed Composition'!$N$28*60*7200</f>
        <v>20677583.407127537</v>
      </c>
      <c r="DH73">
        <f>((CG73+CH73)*'Reagent cost'!$C$17/1000*'Reagent cost'!$H$17+(CG73+CH73)*0.5*'Reagent cost'!$C$16/1000*'Reagent cost'!$H$16*1.5)*60*7200</f>
        <v>8796938.1868559532</v>
      </c>
      <c r="DI73">
        <f>CF73*'Reagent cost'!$C$17/1000*'Reagent cost'!$H$17*60*7200</f>
        <v>504921.59999999998</v>
      </c>
      <c r="DJ73">
        <f t="shared" si="35"/>
        <v>71.744668195208035</v>
      </c>
      <c r="DK73">
        <f t="shared" si="36"/>
        <v>655.13739169256633</v>
      </c>
      <c r="DL73">
        <f t="shared" si="37"/>
        <v>35976204.091252059</v>
      </c>
      <c r="DM73">
        <f>BK73*(B73*(409.81+2)/1000+C73*(248.2+2*22.99)/1000+D73*(315.6+3*22.99)/1000+0.1*58.44/1000)</f>
        <v>0.70639694042110623</v>
      </c>
      <c r="DN73">
        <f>(BS73+BT73)/1000*('Oxidant Feed Composition'!$B$11*'Oxidant Feed Composition'!$O$20+'Oxidant Feed Composition'!$D$11*'Oxidant Feed Composition'!$O$21+'Oxidant Feed Composition'!$F$11*'Oxidant Feed Composition'!$O$27-'Oxidant Feed Composition'!$J$15*18.015)</f>
        <v>2.1719249264593712</v>
      </c>
      <c r="DO73">
        <f>(BU73+BV73)/1000*(0.2*368.34+0.4*58.44)</f>
        <v>1.5039967516485435</v>
      </c>
      <c r="DP73">
        <f>BK73/1000*(B73*195.08+C73*106.42+D73*102.91)</f>
        <v>4.999938342565946E-2</v>
      </c>
      <c r="DQ73">
        <f>SUM(DM73:DO73)-DP73</f>
        <v>4.3323192351033608</v>
      </c>
      <c r="DR73">
        <f>DQ73*60*7200*0.33</f>
        <v>617615.43015633523</v>
      </c>
      <c r="DS73">
        <v>1.2</v>
      </c>
      <c r="DT73">
        <f>BM73/60*(AM73*4+AN73*2+AO73*3)*96485/DV73</f>
        <v>1403.8227843223513</v>
      </c>
      <c r="DU73">
        <f>BN73*BA73*(AP73*4+AQ73*2+AR73*3)*96485/DV73/60</f>
        <v>707.86558933533445</v>
      </c>
      <c r="DV73">
        <v>0.7</v>
      </c>
      <c r="DW73">
        <f>0.499*((BK73/3.78541*15)^(-0.146))*BK73/3.78541*15*300*(1+(A73-2)/9)</f>
        <v>46784.46952433938</v>
      </c>
      <c r="DX73">
        <f>0.248*((BK73/3.78541*15)^(-0.144))*BK73/3.78541*15*300*(1+(A73-2)/3)</f>
        <v>45678.708869524045</v>
      </c>
      <c r="DY73">
        <f>0.105*((BK73/3.78541*15)^(-0.144))*BK73/3.78541*15*300*(1+(A73-2)/3)</f>
        <v>19339.775932661389</v>
      </c>
      <c r="DZ73">
        <f>0.058*((BK73/3.78541*15)^(-0.151))*BK73/3.78541*15*300*(1+(A73-2)/3)</f>
        <v>10244.818866671721</v>
      </c>
      <c r="EA73">
        <f>0.056*((BK73/3.78541*15)^(-0.144))*BK73/3.78541*15*300*(1+(A73-2)/3)</f>
        <v>10314.547164086078</v>
      </c>
      <c r="EB73">
        <f>DS73*DT73/(3.6*10^6)*3600*7200*0.07</f>
        <v>849.03201995815812</v>
      </c>
      <c r="EC73">
        <f>0.499*((BM73/3.78541*15)^(-0.146))*BM73/3.78541*15*300*(1+(AF73-2)/9)</f>
        <v>30856.418517519851</v>
      </c>
      <c r="ED73">
        <f>0.248*((BM73/3.78541*15)^(-0.144))*BM73/3.78541*15*300*(1+(AF73-2)/3)</f>
        <v>23276.346174966162</v>
      </c>
      <c r="EE73">
        <f>0.105*((BM73/3.78541*15)^(-0.144))*BM73/3.78541*15*300*(1+(AF73-2)/3)</f>
        <v>9854.9046305300271</v>
      </c>
      <c r="EF73">
        <f>0.058*((BM73/3.78541*15)^(-0.151))*BM73/3.78541*15*300*(1+(AF73-2)/3)</f>
        <v>5223.3241852303481</v>
      </c>
      <c r="EG73">
        <f>0.056*((BM73/3.78541*15)^(-0.144))*BM73/3.78541*15*300*(1+(AF73-2)/3)</f>
        <v>5255.949136282682</v>
      </c>
      <c r="EH73">
        <f>DS73*DU73/(3.6*10^6)*3600*7200*0.07</f>
        <v>428.11710843001032</v>
      </c>
      <c r="EI73">
        <f>SUM(DW73:EH73)</f>
        <v>208106.41213019987</v>
      </c>
      <c r="EJ73">
        <f>EI73+DR73+DL73</f>
        <v>36801925.933538593</v>
      </c>
      <c r="EK73">
        <f>EJ73+DF73</f>
        <v>37508067.685457267</v>
      </c>
      <c r="EL73">
        <f>EK73/(BK73*60*7200)</f>
        <v>0.86824230753373299</v>
      </c>
      <c r="EM73">
        <f>EK73/(BM73*(AM73*195.084/1000+AN73*106.42/1000+AO73*102.911/1000)*60*7200)</f>
        <v>2908.9420083838986</v>
      </c>
      <c r="EN73">
        <f>EK73/(BN73*BA73*(AP73*195.084/1000+AQ73*106.42/1000+AR73*102.911/1000)*60*7200)</f>
        <v>5316.4715740315787</v>
      </c>
    </row>
    <row r="74" spans="1:144">
      <c r="A74">
        <f>'Costing 100 Lmin Feed Orig'!A74</f>
        <v>10</v>
      </c>
      <c r="B74">
        <f>'Costing 100 Lmin Feed Orig'!B74</f>
        <v>1.54143585092054E-3</v>
      </c>
      <c r="C74">
        <f>'Costing 100 Lmin Feed Orig'!C74</f>
        <v>1.54143585092054E-3</v>
      </c>
      <c r="D74">
        <f>'Costing 100 Lmin Feed Orig'!D74</f>
        <v>3.4254130020456501E-4</v>
      </c>
      <c r="E74">
        <f>'Costing 100 Lmin Feed Orig'!E74</f>
        <v>0</v>
      </c>
      <c r="F74">
        <f>'Costing 100 Lmin Feed Orig'!F74</f>
        <v>0</v>
      </c>
      <c r="G74">
        <f>'Costing 100 Lmin Feed Orig'!G74</f>
        <v>0</v>
      </c>
      <c r="H74">
        <f>'Costing 100 Lmin Feed Orig'!H74</f>
        <v>1.7770671970930099E-5</v>
      </c>
      <c r="I74">
        <f>'Costing 100 Lmin Feed Orig'!I74</f>
        <v>5.2649488631162003E-10</v>
      </c>
      <c r="J74">
        <f>'Costing 100 Lmin Feed Orig'!J74</f>
        <v>3.3765279177869602E-4</v>
      </c>
      <c r="K74">
        <f>'Costing 100 Lmin Feed Orig'!K74</f>
        <v>0.139053960209192</v>
      </c>
      <c r="L74">
        <f>'Costing 100 Lmin Feed Orig'!L74</f>
        <v>0.14067571356050099</v>
      </c>
      <c r="M74">
        <f>'Costing 100 Lmin Feed Orig'!M74</f>
        <v>4.4613899794023002E-4</v>
      </c>
      <c r="N74">
        <f>'Costing 100 Lmin Feed Orig'!N74</f>
        <v>-1.6046192152785399E-16</v>
      </c>
      <c r="O74">
        <f>'Costing 100 Lmin Feed Orig'!O74</f>
        <v>-5.9831913729046996E-14</v>
      </c>
      <c r="P74">
        <f>'Costing 100 Lmin Feed Orig'!P74</f>
        <v>-6.6915602833089703E-20</v>
      </c>
      <c r="Q74">
        <f>'Costing 100 Lmin Feed Orig'!Q74</f>
        <v>0.10957366310586</v>
      </c>
      <c r="R74">
        <f>'Costing 100 Lmin Feed Orig'!R74</f>
        <v>98.572870359588904</v>
      </c>
      <c r="S74">
        <f>'Costing 100 Lmin Feed Orig'!S74</f>
        <v>500</v>
      </c>
      <c r="T74">
        <f>'Costing 100 Lmin Feed Orig'!T74</f>
        <v>95</v>
      </c>
      <c r="U74">
        <f>'Costing 100 Lmin Feed Orig'!U74</f>
        <v>1</v>
      </c>
      <c r="V74">
        <f>'Costing 100 Lmin Feed Orig'!V74</f>
        <v>0.1</v>
      </c>
      <c r="W74">
        <f>'Costing 100 Lmin Feed Orig'!W74</f>
        <v>91.262806376555005</v>
      </c>
      <c r="X74" t="str">
        <f>'Costing 100 Lmin Feed Orig'!X74</f>
        <v>ddFc</v>
      </c>
      <c r="Y74">
        <f>'Costing 100 Lmin Feed Orig'!Y74</f>
        <v>1</v>
      </c>
      <c r="Z74">
        <f>'Costing 100 Lmin Feed Orig'!Z74</f>
        <v>0.28318429382522198</v>
      </c>
      <c r="AA74">
        <f>'Costing 100 Lmin Feed Orig'!AA74</f>
        <v>0.56945642916197003</v>
      </c>
      <c r="AB74">
        <f>'Costing 100 Lmin Feed Orig'!AB74</f>
        <v>3.7698628972227502E-3</v>
      </c>
      <c r="AC74">
        <f>'Costing 100 Lmin Feed Orig'!AC74</f>
        <v>1822.2107908876901</v>
      </c>
      <c r="AD74">
        <f>'Costing 100 Lmin Feed Orig'!AD74</f>
        <v>2662.6059073104898</v>
      </c>
      <c r="AE74">
        <f>'Costing 100 Lmin Feed Orig'!AE74</f>
        <v>2401.5030938442701</v>
      </c>
      <c r="AF74">
        <f>'Costing 100 Lmin Feed Orig'!AF74</f>
        <v>6</v>
      </c>
      <c r="AG74">
        <f>'Costing 100 Lmin Feed Orig'!AG74</f>
        <v>1.6497548842793E-3</v>
      </c>
      <c r="AH74">
        <f>'Costing 100 Lmin Feed Orig'!AH74</f>
        <v>1.66899558413707E-3</v>
      </c>
      <c r="AI74">
        <f>'Costing 100 Lmin Feed Orig'!AI74</f>
        <v>5.2930530695573503E-6</v>
      </c>
      <c r="AJ74">
        <f>'Costing 100 Lmin Feed Orig'!AJ74</f>
        <v>0</v>
      </c>
      <c r="AK74">
        <f>'Costing 100 Lmin Feed Orig'!AK74</f>
        <v>0</v>
      </c>
      <c r="AL74">
        <f>'Costing 100 Lmin Feed Orig'!AL74</f>
        <v>0</v>
      </c>
      <c r="AM74">
        <f>'Costing 100 Lmin Feed Orig'!AM74</f>
        <v>1.6121253228941501E-3</v>
      </c>
      <c r="AN74">
        <f>'Costing 100 Lmin Feed Orig'!AN74</f>
        <v>7.9591074029532495E-5</v>
      </c>
      <c r="AO74">
        <f>'Costing 100 Lmin Feed Orig'!AO74</f>
        <v>5.2576273786285902E-6</v>
      </c>
      <c r="AP74">
        <f>'Costing 100 Lmin Feed Orig'!AP74</f>
        <v>1.75622111317691E-3</v>
      </c>
      <c r="AQ74">
        <f>'Costing 100 Lmin Feed Orig'!AQ74</f>
        <v>7.4179598573032607E-2</v>
      </c>
      <c r="AR74">
        <f>'Costing 100 Lmin Feed Orig'!AR74</f>
        <v>1.65336358086057E-6</v>
      </c>
      <c r="AS74">
        <f>'Costing 100 Lmin Feed Orig'!AS74</f>
        <v>-1.84991995680339E-18</v>
      </c>
      <c r="AT74">
        <f>'Costing 100 Lmin Feed Orig'!AT74</f>
        <v>-1.4875253806501101E-16</v>
      </c>
      <c r="AU74">
        <f>'Costing 100 Lmin Feed Orig'!AU74</f>
        <v>-2.54771628666332E-21</v>
      </c>
      <c r="AV74">
        <f>'Costing 100 Lmin Feed Orig'!AV74</f>
        <v>0.19788828374922501</v>
      </c>
      <c r="AW74">
        <f>'Costing 100 Lmin Feed Orig'!AW74</f>
        <v>99.330713475508006</v>
      </c>
      <c r="AX74">
        <f>'Costing 100 Lmin Feed Orig'!AX74</f>
        <v>500</v>
      </c>
      <c r="AY74">
        <f>'Costing 100 Lmin Feed Orig'!AY74</f>
        <v>95</v>
      </c>
      <c r="AZ74">
        <f>'Costing 100 Lmin Feed Orig'!AZ74</f>
        <v>0.92357064280818002</v>
      </c>
      <c r="BA74">
        <f>'Costing 100 Lmin Feed Orig'!BA74</f>
        <v>0.1</v>
      </c>
      <c r="BB74">
        <f>'Costing 100 Lmin Feed Orig'!BB74</f>
        <v>46.671315012190298</v>
      </c>
      <c r="BC74" t="str">
        <f>'Costing 100 Lmin Feed Orig'!BC74</f>
        <v>coeFc</v>
      </c>
      <c r="BD74">
        <f>'Costing 100 Lmin Feed Orig'!BD74</f>
        <v>1</v>
      </c>
      <c r="BE74">
        <f>'Costing 100 Lmin Feed Orig'!BE74</f>
        <v>1.8775014999999999E-2</v>
      </c>
      <c r="BF74">
        <f>'Costing 100 Lmin Feed Orig'!BF74</f>
        <v>0.10492961100000001</v>
      </c>
      <c r="BG74">
        <f>'Costing 100 Lmin Feed Orig'!BG74</f>
        <v>1.814625E-3</v>
      </c>
      <c r="BH74">
        <f>'Costing 100 Lmin Feed Orig'!BH74</f>
        <v>285.1951444</v>
      </c>
      <c r="BI74">
        <f>'Costing 100 Lmin Feed Orig'!BI74</f>
        <v>2169.8944889999998</v>
      </c>
      <c r="BJ74">
        <f>'Costing 100 Lmin Feed Orig'!BJ74</f>
        <v>866.49409060000005</v>
      </c>
      <c r="BK74">
        <f>'Costing 100 Lmin Feed Orig'!BK74</f>
        <v>100</v>
      </c>
      <c r="BL74">
        <f>'Costing 100 Lmin Feed Orig'!BL74</f>
        <v>10.957366310586</v>
      </c>
      <c r="BM74">
        <f>'Costing 100 Lmin Feed Orig'!BM74</f>
        <v>92.357064280818008</v>
      </c>
      <c r="BN74">
        <f>'Costing 100 Lmin Feed Orig'!BN74</f>
        <v>19.788828374922502</v>
      </c>
      <c r="BO74">
        <f t="shared" si="20"/>
        <v>262.97679145406403</v>
      </c>
      <c r="BP74">
        <f t="shared" si="21"/>
        <v>316.62125399876004</v>
      </c>
      <c r="BQ74">
        <f t="shared" si="22"/>
        <v>26.297679145406406</v>
      </c>
      <c r="BR74">
        <f t="shared" si="23"/>
        <v>31.662125399876004</v>
      </c>
      <c r="BS74">
        <f>1.2*0.5*BL74*V74/'Oxidant Feed Composition'!$N$22</f>
        <v>6.5744197863515996</v>
      </c>
      <c r="BT74">
        <f>1.2*0.5*BN74*BA74/'Oxidant Feed Composition'!$N$22</f>
        <v>11.873297024953501</v>
      </c>
      <c r="BU74">
        <f t="shared" si="24"/>
        <v>5.478683155293</v>
      </c>
      <c r="BV74">
        <f t="shared" si="25"/>
        <v>9.8944141874612512</v>
      </c>
      <c r="BW74">
        <f t="shared" si="26"/>
        <v>86.87838112552501</v>
      </c>
      <c r="BX74">
        <f t="shared" si="19"/>
        <v>35.063572193875203</v>
      </c>
      <c r="BY74">
        <f t="shared" si="27"/>
        <v>206.62886118280801</v>
      </c>
      <c r="BZ74">
        <f t="shared" si="28"/>
        <v>63.324250799752008</v>
      </c>
      <c r="CA74">
        <f t="shared" si="29"/>
        <v>59.366485124767507</v>
      </c>
      <c r="CB74">
        <f>BO74*'Reagent cost'!$G$11*'Reagent cost'!$H$11</f>
        <v>3471.2936471936455</v>
      </c>
      <c r="CC74">
        <f>BP74*'Reagent cost'!$G$11*'Reagent cost'!$H$11</f>
        <v>4179.4005527836325</v>
      </c>
      <c r="CD74">
        <f>BQ74*'Reagent cost'!$C$18/1000*'Reagent cost'!$H$18</f>
        <v>4193.9657747282263</v>
      </c>
      <c r="CE74">
        <f>BR74*'Ligand cost'!$B$56*'Ligand cost'!$J$56</f>
        <v>32236.087921641458</v>
      </c>
      <c r="CF74">
        <f t="shared" si="30"/>
        <v>10</v>
      </c>
      <c r="CG74">
        <f t="shared" si="31"/>
        <v>2.1914732621172002</v>
      </c>
      <c r="CH74">
        <f t="shared" si="31"/>
        <v>3.9577656749845005</v>
      </c>
      <c r="CI74">
        <f>7963.6*(BX74/1000)^0.6*1.7*('CAPEX+OPEX'!$G$116/'CAPEX+OPEX'!$G$115)</f>
        <v>2138.7234102796551</v>
      </c>
      <c r="CJ74">
        <f>7963.6*(BY74/1000)^0.6*1.7*('CAPEX+OPEX'!$G$116/'CAPEX+OPEX'!$G$115)</f>
        <v>6199.4836239091055</v>
      </c>
      <c r="CK74">
        <f>7963.6*(BZ74/1000)^0.6*1.7*('CAPEX+OPEX'!$G$116/'CAPEX+OPEX'!$G$115)</f>
        <v>3049.1793085902286</v>
      </c>
      <c r="CL74">
        <f>7963.6*(CA74/1000)^0.6*1.7*('CAPEX+OPEX'!$G$116/'CAPEX+OPEX'!$G$115)</f>
        <v>2933.3624607789084</v>
      </c>
      <c r="CM74">
        <f>'Costing 100 Lmin Feed Orig'!DE74</f>
        <v>39625.826528698344</v>
      </c>
      <c r="CN74">
        <f>'Costing 100 Lmin Feed Orig'!DF74</f>
        <v>4586243.4239371875</v>
      </c>
      <c r="CO74">
        <f>'Costing 100 Lmin Feed Orig'!DG74</f>
        <v>11794834.586807497</v>
      </c>
      <c r="CP74">
        <f>'Costing 100 Lmin Feed Orig'!DH74</f>
        <v>2275209.1661185985</v>
      </c>
      <c r="CQ74">
        <f>'Costing 100 Lmin Feed Orig'!DI74</f>
        <v>14083914.336508472</v>
      </c>
      <c r="CR74">
        <f>'Costing 100 Lmin Feed Orig'!DJ74</f>
        <v>1662824.8986326549</v>
      </c>
      <c r="CS74">
        <f>CN74*(BK74/10000)^0.72*((A74+1)/3)^0.6*('CAPEX+OPEX'!$G$116/'CAPEX+OPEX'!$G$114)</f>
        <v>847423.79840727116</v>
      </c>
      <c r="CT74">
        <f>CO74*(BK74/10000)^0.72*((A74+1)/3)^0.6*('CAPEX+OPEX'!$G$116/'CAPEX+OPEX'!$G$114)</f>
        <v>2179392.2832288719</v>
      </c>
      <c r="CU74">
        <f>CP74*(BK74/10000)^0.72*((A74+1)/3)^0.6*('CAPEX+OPEX'!$G$116/'CAPEX+OPEX'!$G$114)</f>
        <v>420402.1059283549</v>
      </c>
      <c r="CV74">
        <f>CQ74*(BK74/10000)^0.72*((A74+1)/3)^0.6*('CAPEX+OPEX'!$G$116/'CAPEX+OPEX'!$G$114)</f>
        <v>2602357.3282642425</v>
      </c>
      <c r="CW74">
        <f>CR74*(BK74/10000)^0.72*((A74+1)/3)^0.6*('CAPEX+OPEX'!$G$116/'CAPEX+OPEX'!$G$114)</f>
        <v>307248.71347447456</v>
      </c>
      <c r="CX74">
        <f t="shared" si="32"/>
        <v>6356824.2293032147</v>
      </c>
      <c r="CY74">
        <f>CN74*(BM74/10000)^0.72*((AF74+1)/3)^0.6*('CAPEX+OPEX'!$G$116/'CAPEX+OPEX'!$G$114)</f>
        <v>610186.16339219559</v>
      </c>
      <c r="CZ74">
        <f>CO74*(BM74/10000)^0.72*((AF74+1)/3)^0.6*('CAPEX+OPEX'!$G$116/'CAPEX+OPEX'!$G$114)</f>
        <v>1569267.9605286056</v>
      </c>
      <c r="DA74">
        <f>CP74*(BM74/10000)^0.72*((AF74+1)/3)^0.6*('CAPEX+OPEX'!$G$116/'CAPEX+OPEX'!$G$114)</f>
        <v>302709.87029223994</v>
      </c>
      <c r="DB74">
        <f>CQ74*(BM74/10000)^0.72*((AF74+1)/3)^0.6*('CAPEX+OPEX'!$G$116/'CAPEX+OPEX'!$G$114)</f>
        <v>1873823.2710641536</v>
      </c>
      <c r="DC74">
        <f>CR74*(BM74/10000)^0.72*((AF74+1)/3)^0.6*('CAPEX+OPEX'!$G$116/'CAPEX+OPEX'!$G$114)</f>
        <v>221233.94933508278</v>
      </c>
      <c r="DD74">
        <f t="shared" si="33"/>
        <v>4577221.2146122772</v>
      </c>
      <c r="DE74">
        <f>CX74+DD74+1.15*(SUM(CI74:CL74)+SUM(CB74:CE74))</f>
        <v>11001207.165120382</v>
      </c>
      <c r="DF74">
        <f t="shared" si="34"/>
        <v>733413.81100802543</v>
      </c>
      <c r="DG74">
        <f>(BS74+BT74)*'Oxidant Feed Composition'!$N$28*60*7200</f>
        <v>20510816.506601807</v>
      </c>
      <c r="DH74">
        <f>((CG74+CH74)*'Reagent cost'!$C$17/1000*'Reagent cost'!$H$17+(CG74+CH74)*0.5*'Reagent cost'!$C$16/1000*'Reagent cost'!$H$16*1.5)*60*7200</f>
        <v>8725989.9485317022</v>
      </c>
      <c r="DI74">
        <f>CF74*'Reagent cost'!$C$17/1000*'Reagent cost'!$H$17*60*7200</f>
        <v>504921.59999999998</v>
      </c>
      <c r="DJ74">
        <f t="shared" si="35"/>
        <v>76.506941999772778</v>
      </c>
      <c r="DK74">
        <f t="shared" si="36"/>
        <v>728.60107392739371</v>
      </c>
      <c r="DL74">
        <f t="shared" si="37"/>
        <v>35691039.795779325</v>
      </c>
      <c r="DM74">
        <f>BK74*(B74*(409.81+2)/1000+C74*(248.2+2*22.99)/1000+D74*(315.6+3*22.99)/1000+0.1*58.44/1000)</f>
        <v>0.70639694042110623</v>
      </c>
      <c r="DN74">
        <f>(BS74+BT74)/1000*('Oxidant Feed Composition'!$B$11*'Oxidant Feed Composition'!$O$20+'Oxidant Feed Composition'!$D$11*'Oxidant Feed Composition'!$O$21+'Oxidant Feed Composition'!$F$11*'Oxidant Feed Composition'!$O$27-'Oxidant Feed Composition'!$J$15*18.015)</f>
        <v>2.1544081218585323</v>
      </c>
      <c r="DO74">
        <f>(BU74+BV74)/1000*(0.2*368.34+0.4*58.44)</f>
        <v>1.4918668585302435</v>
      </c>
      <c r="DP74">
        <f>BK74/1000*(B74*195.08+C74*106.42+D74*102.91)</f>
        <v>4.999938342565946E-2</v>
      </c>
      <c r="DQ74">
        <f>SUM(DM74:DO74)-DP74</f>
        <v>4.3026725373842218</v>
      </c>
      <c r="DR74">
        <f>DQ74*60*7200*0.33</f>
        <v>613388.99692949466</v>
      </c>
      <c r="DS74">
        <v>1.2</v>
      </c>
      <c r="DT74">
        <f>BM74/60*(AM74*4+AN74*2+AO74*3)*96485/DV74</f>
        <v>1405.2879011413529</v>
      </c>
      <c r="DU74">
        <f>BN74*BA74*(AP74*4+AQ74*2+AR74*3)*96485/DV74/60</f>
        <v>706.40047251644887</v>
      </c>
      <c r="DV74">
        <v>0.7</v>
      </c>
      <c r="DW74">
        <f>0.499*((BK74/3.78541*15)^(-0.146))*BK74/3.78541*15*300*(1+(A74-2)/9)</f>
        <v>46784.46952433938</v>
      </c>
      <c r="DX74">
        <f>0.248*((BK74/3.78541*15)^(-0.144))*BK74/3.78541*15*300*(1+(A74-2)/3)</f>
        <v>45678.708869524045</v>
      </c>
      <c r="DY74">
        <f>0.105*((BK74/3.78541*15)^(-0.144))*BK74/3.78541*15*300*(1+(A74-2)/3)</f>
        <v>19339.775932661389</v>
      </c>
      <c r="DZ74">
        <f>0.058*((BK74/3.78541*15)^(-0.151))*BK74/3.78541*15*300*(1+(A74-2)/3)</f>
        <v>10244.818866671721</v>
      </c>
      <c r="EA74">
        <f>0.056*((BK74/3.78541*15)^(-0.144))*BK74/3.78541*15*300*(1+(A74-2)/3)</f>
        <v>10314.547164086078</v>
      </c>
      <c r="EB74">
        <f>DS74*DT74/(3.6*10^6)*3600*7200*0.07</f>
        <v>849.91812261029031</v>
      </c>
      <c r="EC74">
        <f>0.499*((BM74/3.78541*15)^(-0.146))*BM74/3.78541*15*300*(1+(AF74-2)/9)</f>
        <v>33427.786727313171</v>
      </c>
      <c r="ED74">
        <f>0.248*((BM74/3.78541*15)^(-0.144))*BM74/3.78541*15*300*(1+(AF74-2)/3)</f>
        <v>27155.737204127185</v>
      </c>
      <c r="EE74">
        <f>0.105*((BM74/3.78541*15)^(-0.144))*BM74/3.78541*15*300*(1+(AF74-2)/3)</f>
        <v>11497.388735618364</v>
      </c>
      <c r="EF74">
        <f>0.058*((BM74/3.78541*15)^(-0.151))*BM74/3.78541*15*300*(1+(AF74-2)/3)</f>
        <v>6093.8782161020717</v>
      </c>
      <c r="EG74">
        <f>0.056*((BM74/3.78541*15)^(-0.144))*BM74/3.78541*15*300*(1+(AF74-2)/3)</f>
        <v>6131.9406589964619</v>
      </c>
      <c r="EH74">
        <f>DS74*DU74/(3.6*10^6)*3600*7200*0.07</f>
        <v>427.23100577794827</v>
      </c>
      <c r="EI74">
        <f>SUM(DW74:EH74)</f>
        <v>217946.20102782812</v>
      </c>
      <c r="EJ74">
        <f>EI74+DR74+DL74</f>
        <v>36522374.993736647</v>
      </c>
      <c r="EK74">
        <f>EJ74+DF74</f>
        <v>37255788.804744676</v>
      </c>
      <c r="EL74">
        <f>EK74/(BK74*60*7200)</f>
        <v>0.86240251862834894</v>
      </c>
      <c r="EM74">
        <f>EK74/(BM74*(AM74*195.084/1000+AN74*106.42/1000+AO74*102.911/1000)*60*7200)</f>
        <v>2886.3622504718578</v>
      </c>
      <c r="EN74">
        <f>EK74/(BN74*BA74*(AP74*195.084/1000+AQ74*106.42/1000+AR74*102.911/1000)*60*7200)</f>
        <v>5290.8111064571513</v>
      </c>
    </row>
    <row r="75" spans="1:144">
      <c r="A75">
        <f>'Costing 100 Lmin Feed Orig'!A75</f>
        <v>10</v>
      </c>
      <c r="B75">
        <f>'Costing 100 Lmin Feed Orig'!B75</f>
        <v>1.54143585092054E-3</v>
      </c>
      <c r="C75">
        <f>'Costing 100 Lmin Feed Orig'!C75</f>
        <v>1.54143585092054E-3</v>
      </c>
      <c r="D75">
        <f>'Costing 100 Lmin Feed Orig'!D75</f>
        <v>3.4254130020456501E-4</v>
      </c>
      <c r="E75">
        <f>'Costing 100 Lmin Feed Orig'!E75</f>
        <v>0</v>
      </c>
      <c r="F75">
        <f>'Costing 100 Lmin Feed Orig'!F75</f>
        <v>0</v>
      </c>
      <c r="G75">
        <f>'Costing 100 Lmin Feed Orig'!G75</f>
        <v>0</v>
      </c>
      <c r="H75">
        <f>'Costing 100 Lmin Feed Orig'!H75</f>
        <v>1.7770671970930099E-5</v>
      </c>
      <c r="I75">
        <f>'Costing 100 Lmin Feed Orig'!I75</f>
        <v>5.2649488631162003E-10</v>
      </c>
      <c r="J75">
        <f>'Costing 100 Lmin Feed Orig'!J75</f>
        <v>3.3765279177869602E-4</v>
      </c>
      <c r="K75">
        <f>'Costing 100 Lmin Feed Orig'!K75</f>
        <v>0.139053960209192</v>
      </c>
      <c r="L75">
        <f>'Costing 100 Lmin Feed Orig'!L75</f>
        <v>0.14067571356050099</v>
      </c>
      <c r="M75">
        <f>'Costing 100 Lmin Feed Orig'!M75</f>
        <v>4.4613899794023002E-4</v>
      </c>
      <c r="N75">
        <f>'Costing 100 Lmin Feed Orig'!N75</f>
        <v>-1.6046192152785399E-16</v>
      </c>
      <c r="O75">
        <f>'Costing 100 Lmin Feed Orig'!O75</f>
        <v>-5.9831913729046996E-14</v>
      </c>
      <c r="P75">
        <f>'Costing 100 Lmin Feed Orig'!P75</f>
        <v>-6.6915602833089703E-20</v>
      </c>
      <c r="Q75">
        <f>'Costing 100 Lmin Feed Orig'!Q75</f>
        <v>0.10957366310586</v>
      </c>
      <c r="R75">
        <f>'Costing 100 Lmin Feed Orig'!R75</f>
        <v>98.572870359588904</v>
      </c>
      <c r="S75">
        <f>'Costing 100 Lmin Feed Orig'!S75</f>
        <v>500</v>
      </c>
      <c r="T75">
        <f>'Costing 100 Lmin Feed Orig'!T75</f>
        <v>95</v>
      </c>
      <c r="U75">
        <f>'Costing 100 Lmin Feed Orig'!U75</f>
        <v>1</v>
      </c>
      <c r="V75">
        <f>'Costing 100 Lmin Feed Orig'!V75</f>
        <v>0.1</v>
      </c>
      <c r="W75">
        <f>'Costing 100 Lmin Feed Orig'!W75</f>
        <v>91.262806376555005</v>
      </c>
      <c r="X75" t="str">
        <f>'Costing 100 Lmin Feed Orig'!X75</f>
        <v>ddFc</v>
      </c>
      <c r="Y75">
        <f>'Costing 100 Lmin Feed Orig'!Y75</f>
        <v>1</v>
      </c>
      <c r="Z75">
        <f>'Costing 100 Lmin Feed Orig'!Z75</f>
        <v>0.28318429382522198</v>
      </c>
      <c r="AA75">
        <f>'Costing 100 Lmin Feed Orig'!AA75</f>
        <v>0.56945642916197003</v>
      </c>
      <c r="AB75">
        <f>'Costing 100 Lmin Feed Orig'!AB75</f>
        <v>3.7698628972227502E-3</v>
      </c>
      <c r="AC75">
        <f>'Costing 100 Lmin Feed Orig'!AC75</f>
        <v>1822.2107908876901</v>
      </c>
      <c r="AD75">
        <f>'Costing 100 Lmin Feed Orig'!AD75</f>
        <v>2662.6059073104898</v>
      </c>
      <c r="AE75">
        <f>'Costing 100 Lmin Feed Orig'!AE75</f>
        <v>2401.5030938442701</v>
      </c>
      <c r="AF75">
        <f>'Costing 100 Lmin Feed Orig'!AF75</f>
        <v>7</v>
      </c>
      <c r="AG75">
        <f>'Costing 100 Lmin Feed Orig'!AG75</f>
        <v>1.6497548842793E-3</v>
      </c>
      <c r="AH75">
        <f>'Costing 100 Lmin Feed Orig'!AH75</f>
        <v>1.66899558413707E-3</v>
      </c>
      <c r="AI75">
        <f>'Costing 100 Lmin Feed Orig'!AI75</f>
        <v>5.2930530695573503E-6</v>
      </c>
      <c r="AJ75">
        <f>'Costing 100 Lmin Feed Orig'!AJ75</f>
        <v>0</v>
      </c>
      <c r="AK75">
        <f>'Costing 100 Lmin Feed Orig'!AK75</f>
        <v>0</v>
      </c>
      <c r="AL75">
        <f>'Costing 100 Lmin Feed Orig'!AL75</f>
        <v>0</v>
      </c>
      <c r="AM75">
        <f>'Costing 100 Lmin Feed Orig'!AM75</f>
        <v>1.6126141989109301E-3</v>
      </c>
      <c r="AN75">
        <f>'Costing 100 Lmin Feed Orig'!AN75</f>
        <v>7.9616362695628595E-5</v>
      </c>
      <c r="AO75">
        <f>'Costing 100 Lmin Feed Orig'!AO75</f>
        <v>5.2580688259994502E-6</v>
      </c>
      <c r="AP75">
        <f>'Costing 100 Lmin Feed Orig'!AP75</f>
        <v>1.7397937197708099E-3</v>
      </c>
      <c r="AQ75">
        <f>'Costing 100 Lmin Feed Orig'!AQ75</f>
        <v>7.4451829856534701E-2</v>
      </c>
      <c r="AR75">
        <f>'Costing 100 Lmin Feed Orig'!AR75</f>
        <v>1.63877878475564E-6</v>
      </c>
      <c r="AS75">
        <f>'Costing 100 Lmin Feed Orig'!AS75</f>
        <v>-4.3300324263639803E-18</v>
      </c>
      <c r="AT75">
        <f>'Costing 100 Lmin Feed Orig'!AT75</f>
        <v>-1.6727071117106299E-15</v>
      </c>
      <c r="AU75">
        <f>'Costing 100 Lmin Feed Orig'!AU75</f>
        <v>-5.3336605897419202E-21</v>
      </c>
      <c r="AV75">
        <f>'Costing 100 Lmin Feed Orig'!AV75</f>
        <v>0.197161573065819</v>
      </c>
      <c r="AW75">
        <f>'Costing 100 Lmin Feed Orig'!AW75</f>
        <v>99.339053602936502</v>
      </c>
      <c r="AX75">
        <f>'Costing 100 Lmin Feed Orig'!AX75</f>
        <v>500</v>
      </c>
      <c r="AY75">
        <f>'Costing 100 Lmin Feed Orig'!AY75</f>
        <v>95</v>
      </c>
      <c r="AZ75">
        <f>'Costing 100 Lmin Feed Orig'!AZ75</f>
        <v>0.92357064280818002</v>
      </c>
      <c r="BA75">
        <f>'Costing 100 Lmin Feed Orig'!BA75</f>
        <v>0.1</v>
      </c>
      <c r="BB75">
        <f>'Costing 100 Lmin Feed Orig'!BB75</f>
        <v>46.843339117600799</v>
      </c>
      <c r="BC75" t="str">
        <f>'Costing 100 Lmin Feed Orig'!BC75</f>
        <v>coeFc</v>
      </c>
      <c r="BD75">
        <f>'Costing 100 Lmin Feed Orig'!BD75</f>
        <v>1</v>
      </c>
      <c r="BE75">
        <f>'Costing 100 Lmin Feed Orig'!BE75</f>
        <v>1.8775014999999999E-2</v>
      </c>
      <c r="BF75">
        <f>'Costing 100 Lmin Feed Orig'!BF75</f>
        <v>0.10492961100000001</v>
      </c>
      <c r="BG75">
        <f>'Costing 100 Lmin Feed Orig'!BG75</f>
        <v>1.814625E-3</v>
      </c>
      <c r="BH75">
        <f>'Costing 100 Lmin Feed Orig'!BH75</f>
        <v>285.1951444</v>
      </c>
      <c r="BI75">
        <f>'Costing 100 Lmin Feed Orig'!BI75</f>
        <v>2169.8944889999998</v>
      </c>
      <c r="BJ75">
        <f>'Costing 100 Lmin Feed Orig'!BJ75</f>
        <v>866.49409060000005</v>
      </c>
      <c r="BK75">
        <f>'Costing 100 Lmin Feed Orig'!BK75</f>
        <v>100</v>
      </c>
      <c r="BL75">
        <f>'Costing 100 Lmin Feed Orig'!BL75</f>
        <v>10.957366310586</v>
      </c>
      <c r="BM75">
        <f>'Costing 100 Lmin Feed Orig'!BM75</f>
        <v>92.357064280818008</v>
      </c>
      <c r="BN75">
        <f>'Costing 100 Lmin Feed Orig'!BN75</f>
        <v>19.716157306581898</v>
      </c>
      <c r="BO75">
        <f t="shared" si="20"/>
        <v>262.97679145406403</v>
      </c>
      <c r="BP75">
        <f t="shared" si="21"/>
        <v>354.89083151847416</v>
      </c>
      <c r="BQ75">
        <f t="shared" si="22"/>
        <v>26.297679145406406</v>
      </c>
      <c r="BR75">
        <f t="shared" si="23"/>
        <v>35.489083151847417</v>
      </c>
      <c r="BS75">
        <f>1.2*0.5*BL75*V75/'Oxidant Feed Composition'!$N$22</f>
        <v>6.5744197863515996</v>
      </c>
      <c r="BT75">
        <f>1.2*0.5*BN75*BA75/'Oxidant Feed Composition'!$N$22</f>
        <v>11.829694383949137</v>
      </c>
      <c r="BU75">
        <f t="shared" si="24"/>
        <v>5.478683155293</v>
      </c>
      <c r="BV75">
        <f t="shared" si="25"/>
        <v>9.8580786532909492</v>
      </c>
      <c r="BW75">
        <f t="shared" si="26"/>
        <v>86.87838112552501</v>
      </c>
      <c r="BX75">
        <f t="shared" si="19"/>
        <v>35.063572193875203</v>
      </c>
      <c r="BY75">
        <f t="shared" si="27"/>
        <v>206.62886118280801</v>
      </c>
      <c r="BZ75">
        <f t="shared" si="28"/>
        <v>63.091703381062075</v>
      </c>
      <c r="CA75">
        <f t="shared" si="29"/>
        <v>59.148471919745695</v>
      </c>
      <c r="CB75">
        <f>BO75*'Reagent cost'!$G$11*'Reagent cost'!$H$11</f>
        <v>3471.2936471936455</v>
      </c>
      <c r="CC75">
        <f>BP75*'Reagent cost'!$G$11*'Reagent cost'!$H$11</f>
        <v>4684.5589760438597</v>
      </c>
      <c r="CD75">
        <f>BQ75*'Reagent cost'!$C$18/1000*'Reagent cost'!$H$18</f>
        <v>4193.9657747282263</v>
      </c>
      <c r="CE75">
        <f>BR75*'Ligand cost'!$B$56*'Ligand cost'!$J$56</f>
        <v>36132.419737870092</v>
      </c>
      <c r="CF75">
        <f t="shared" si="30"/>
        <v>10</v>
      </c>
      <c r="CG75">
        <f t="shared" si="31"/>
        <v>2.1914732621172002</v>
      </c>
      <c r="CH75">
        <f t="shared" si="31"/>
        <v>3.9432314613163797</v>
      </c>
      <c r="CI75">
        <f>7963.6*(BX75/1000)^0.6*1.7*('CAPEX+OPEX'!$G$116/'CAPEX+OPEX'!$G$115)</f>
        <v>2138.7234102796551</v>
      </c>
      <c r="CJ75">
        <f>7963.6*(BY75/1000)^0.6*1.7*('CAPEX+OPEX'!$G$116/'CAPEX+OPEX'!$G$115)</f>
        <v>6199.4836239091055</v>
      </c>
      <c r="CK75">
        <f>7963.6*(BZ75/1000)^0.6*1.7*('CAPEX+OPEX'!$G$116/'CAPEX+OPEX'!$G$115)</f>
        <v>3042.4558136558958</v>
      </c>
      <c r="CL75">
        <f>7963.6*(CA75/1000)^0.6*1.7*('CAPEX+OPEX'!$G$116/'CAPEX+OPEX'!$G$115)</f>
        <v>2926.8943440663093</v>
      </c>
      <c r="CM75">
        <f>'Costing 100 Lmin Feed Orig'!DE75</f>
        <v>39625.826528698344</v>
      </c>
      <c r="CN75">
        <f>'Costing 100 Lmin Feed Orig'!DF75</f>
        <v>4586243.4239371875</v>
      </c>
      <c r="CO75">
        <f>'Costing 100 Lmin Feed Orig'!DG75</f>
        <v>11794834.586807497</v>
      </c>
      <c r="CP75">
        <f>'Costing 100 Lmin Feed Orig'!DH75</f>
        <v>2275209.1661185985</v>
      </c>
      <c r="CQ75">
        <f>'Costing 100 Lmin Feed Orig'!DI75</f>
        <v>14083914.336508472</v>
      </c>
      <c r="CR75">
        <f>'Costing 100 Lmin Feed Orig'!DJ75</f>
        <v>1662824.8986326549</v>
      </c>
      <c r="CS75">
        <f>CN75*(BK75/10000)^0.72*((A75+1)/3)^0.6*('CAPEX+OPEX'!$G$116/'CAPEX+OPEX'!$G$114)</f>
        <v>847423.79840727116</v>
      </c>
      <c r="CT75">
        <f>CO75*(BK75/10000)^0.72*((A75+1)/3)^0.6*('CAPEX+OPEX'!$G$116/'CAPEX+OPEX'!$G$114)</f>
        <v>2179392.2832288719</v>
      </c>
      <c r="CU75">
        <f>CP75*(BK75/10000)^0.72*((A75+1)/3)^0.6*('CAPEX+OPEX'!$G$116/'CAPEX+OPEX'!$G$114)</f>
        <v>420402.1059283549</v>
      </c>
      <c r="CV75">
        <f>CQ75*(BK75/10000)^0.72*((A75+1)/3)^0.6*('CAPEX+OPEX'!$G$116/'CAPEX+OPEX'!$G$114)</f>
        <v>2602357.3282642425</v>
      </c>
      <c r="CW75">
        <f>CR75*(BK75/10000)^0.72*((A75+1)/3)^0.6*('CAPEX+OPEX'!$G$116/'CAPEX+OPEX'!$G$114)</f>
        <v>307248.71347447456</v>
      </c>
      <c r="CX75">
        <f t="shared" si="32"/>
        <v>6356824.2293032147</v>
      </c>
      <c r="CY75">
        <f>CN75*(BM75/10000)^0.72*((AF75+1)/3)^0.6*('CAPEX+OPEX'!$G$116/'CAPEX+OPEX'!$G$114)</f>
        <v>661085.33546503587</v>
      </c>
      <c r="CZ75">
        <f>CO75*(BM75/10000)^0.72*((AF75+1)/3)^0.6*('CAPEX+OPEX'!$G$116/'CAPEX+OPEX'!$G$114)</f>
        <v>1700169.715998274</v>
      </c>
      <c r="DA75">
        <f>CP75*(BM75/10000)^0.72*((AF75+1)/3)^0.6*('CAPEX+OPEX'!$G$116/'CAPEX+OPEX'!$G$114)</f>
        <v>327960.6588229012</v>
      </c>
      <c r="DB75">
        <f>CQ75*(BM75/10000)^0.72*((AF75+1)/3)^0.6*('CAPEX+OPEX'!$G$116/'CAPEX+OPEX'!$G$114)</f>
        <v>2030129.7539541693</v>
      </c>
      <c r="DC75">
        <f>CR75*(BM75/10000)^0.72*((AF75+1)/3)^0.6*('CAPEX+OPEX'!$G$116/'CAPEX+OPEX'!$G$114)</f>
        <v>239688.35805677422</v>
      </c>
      <c r="DD75">
        <f t="shared" si="33"/>
        <v>4959033.822297154</v>
      </c>
      <c r="DE75">
        <f>CX75+DD75+1.15*(SUM(CI75:CL75)+SUM(CB75:CE75))</f>
        <v>11388066.316227278</v>
      </c>
      <c r="DF75">
        <f t="shared" si="34"/>
        <v>759204.42108181852</v>
      </c>
      <c r="DG75">
        <f>(BS75+BT75)*'Oxidant Feed Composition'!$N$28*60*7200</f>
        <v>20462337.565929014</v>
      </c>
      <c r="DH75">
        <f>((CG75+CH75)*'Reagent cost'!$C$17/1000*'Reagent cost'!$H$17+(CG75+CH75)*0.5*'Reagent cost'!$C$16/1000*'Reagent cost'!$H$16*1.5)*60*7200</f>
        <v>8705365.37959316</v>
      </c>
      <c r="DI75">
        <f>CF75*'Reagent cost'!$C$17/1000*'Reagent cost'!$H$17*60*7200</f>
        <v>504921.59999999998</v>
      </c>
      <c r="DJ75">
        <f t="shared" si="35"/>
        <v>81.558526232375058</v>
      </c>
      <c r="DK75">
        <f t="shared" si="36"/>
        <v>806.52771025196637</v>
      </c>
      <c r="DL75">
        <f t="shared" si="37"/>
        <v>35608215.158110388</v>
      </c>
      <c r="DM75">
        <f>BK75*(B75*(409.81+2)/1000+C75*(248.2+2*22.99)/1000+D75*(315.6+3*22.99)/1000+0.1*58.44/1000)</f>
        <v>0.70639694042110623</v>
      </c>
      <c r="DN75">
        <f>(BS75+BT75)/1000*('Oxidant Feed Composition'!$B$11*'Oxidant Feed Composition'!$O$20+'Oxidant Feed Composition'!$D$11*'Oxidant Feed Composition'!$O$21+'Oxidant Feed Composition'!$F$11*'Oxidant Feed Composition'!$O$27-'Oxidant Feed Composition'!$J$15*18.015)</f>
        <v>2.1493160074860529</v>
      </c>
      <c r="DO75">
        <f>(BU75+BV75)/1000*(0.2*368.34+0.4*58.44)</f>
        <v>1.4883407129522206</v>
      </c>
      <c r="DP75">
        <f>BK75/1000*(B75*195.08+C75*106.42+D75*102.91)</f>
        <v>4.999938342565946E-2</v>
      </c>
      <c r="DQ75">
        <f>SUM(DM75:DO75)-DP75</f>
        <v>4.2940542774337196</v>
      </c>
      <c r="DR75">
        <f>DQ75*60*7200*0.33</f>
        <v>612160.37779095117</v>
      </c>
      <c r="DS75">
        <v>1.2</v>
      </c>
      <c r="DT75">
        <f>BM75/60*(AM75*4+AN75*2+AO75*3)*96485/DV75</f>
        <v>1405.7138091362219</v>
      </c>
      <c r="DU75">
        <f>BN75*BA75*(AP75*4+AQ75*2+AR75*3)*96485/DV75/60</f>
        <v>705.97456452228209</v>
      </c>
      <c r="DV75">
        <v>0.7</v>
      </c>
      <c r="DW75">
        <f>0.499*((BK75/3.78541*15)^(-0.146))*BK75/3.78541*15*300*(1+(A75-2)/9)</f>
        <v>46784.46952433938</v>
      </c>
      <c r="DX75">
        <f>0.248*((BK75/3.78541*15)^(-0.144))*BK75/3.78541*15*300*(1+(A75-2)/3)</f>
        <v>45678.708869524045</v>
      </c>
      <c r="DY75">
        <f>0.105*((BK75/3.78541*15)^(-0.144))*BK75/3.78541*15*300*(1+(A75-2)/3)</f>
        <v>19339.775932661389</v>
      </c>
      <c r="DZ75">
        <f>0.058*((BK75/3.78541*15)^(-0.151))*BK75/3.78541*15*300*(1+(A75-2)/3)</f>
        <v>10244.818866671721</v>
      </c>
      <c r="EA75">
        <f>0.056*((BK75/3.78541*15)^(-0.144))*BK75/3.78541*15*300*(1+(A75-2)/3)</f>
        <v>10314.547164086078</v>
      </c>
      <c r="EB75">
        <f>DS75*DT75/(3.6*10^6)*3600*7200*0.07</f>
        <v>850.17571176558715</v>
      </c>
      <c r="EC75">
        <f>0.499*((BM75/3.78541*15)^(-0.146))*BM75/3.78541*15*300*(1+(AF75-2)/9)</f>
        <v>35999.15493710649</v>
      </c>
      <c r="ED75">
        <f>0.248*((BM75/3.78541*15)^(-0.144))*BM75/3.78541*15*300*(1+(AF75-2)/3)</f>
        <v>31035.128233288218</v>
      </c>
      <c r="EE75">
        <f>0.105*((BM75/3.78541*15)^(-0.144))*BM75/3.78541*15*300*(1+(AF75-2)/3)</f>
        <v>13139.872840706705</v>
      </c>
      <c r="EF75">
        <f>0.058*((BM75/3.78541*15)^(-0.151))*BM75/3.78541*15*300*(1+(AF75-2)/3)</f>
        <v>6964.4322469737981</v>
      </c>
      <c r="EG75">
        <f>0.056*((BM75/3.78541*15)^(-0.144))*BM75/3.78541*15*300*(1+(AF75-2)/3)</f>
        <v>7007.9321817102436</v>
      </c>
      <c r="EH75">
        <f>DS75*DU75/(3.6*10^6)*3600*7200*0.07</f>
        <v>426.97341662307616</v>
      </c>
      <c r="EI75">
        <f>SUM(DW75:EH75)</f>
        <v>227785.98992545673</v>
      </c>
      <c r="EJ75">
        <f>EI75+DR75+DL75</f>
        <v>36448161.525826797</v>
      </c>
      <c r="EK75">
        <f>EJ75+DF75</f>
        <v>37207365.946908616</v>
      </c>
      <c r="EL75">
        <f>EK75/(BK75*60*7200)</f>
        <v>0.86128161914140311</v>
      </c>
      <c r="EM75">
        <f>EK75/(BM75*(AM75*195.084/1000+AN75*106.42/1000+AO75*102.911/1000)*60*7200)</f>
        <v>2881.7368077701972</v>
      </c>
      <c r="EN75">
        <f>EK75/(BN75*BA75*(AP75*195.084/1000+AQ75*106.42/1000+AR75*102.911/1000)*60*7200)</f>
        <v>5286.8733470278657</v>
      </c>
    </row>
    <row r="76" spans="1:144">
      <c r="A76">
        <f>'Costing 100 Lmin Feed Orig'!A76</f>
        <v>10</v>
      </c>
      <c r="B76">
        <f>'Costing 100 Lmin Feed Orig'!B76</f>
        <v>1.54143585092054E-3</v>
      </c>
      <c r="C76">
        <f>'Costing 100 Lmin Feed Orig'!C76</f>
        <v>1.54143585092054E-3</v>
      </c>
      <c r="D76">
        <f>'Costing 100 Lmin Feed Orig'!D76</f>
        <v>3.4254130020456501E-4</v>
      </c>
      <c r="E76">
        <f>'Costing 100 Lmin Feed Orig'!E76</f>
        <v>0</v>
      </c>
      <c r="F76">
        <f>'Costing 100 Lmin Feed Orig'!F76</f>
        <v>0</v>
      </c>
      <c r="G76">
        <f>'Costing 100 Lmin Feed Orig'!G76</f>
        <v>0</v>
      </c>
      <c r="H76">
        <f>'Costing 100 Lmin Feed Orig'!H76</f>
        <v>1.7770671970930099E-5</v>
      </c>
      <c r="I76">
        <f>'Costing 100 Lmin Feed Orig'!I76</f>
        <v>5.2649488631162003E-10</v>
      </c>
      <c r="J76">
        <f>'Costing 100 Lmin Feed Orig'!J76</f>
        <v>3.3765279177869602E-4</v>
      </c>
      <c r="K76">
        <f>'Costing 100 Lmin Feed Orig'!K76</f>
        <v>0.139053960209192</v>
      </c>
      <c r="L76">
        <f>'Costing 100 Lmin Feed Orig'!L76</f>
        <v>0.14067571356050099</v>
      </c>
      <c r="M76">
        <f>'Costing 100 Lmin Feed Orig'!M76</f>
        <v>4.4613899794023002E-4</v>
      </c>
      <c r="N76">
        <f>'Costing 100 Lmin Feed Orig'!N76</f>
        <v>-1.6046192152785399E-16</v>
      </c>
      <c r="O76">
        <f>'Costing 100 Lmin Feed Orig'!O76</f>
        <v>-5.9831913729046996E-14</v>
      </c>
      <c r="P76">
        <f>'Costing 100 Lmin Feed Orig'!P76</f>
        <v>-6.6915602833089703E-20</v>
      </c>
      <c r="Q76">
        <f>'Costing 100 Lmin Feed Orig'!Q76</f>
        <v>0.10957366310586</v>
      </c>
      <c r="R76">
        <f>'Costing 100 Lmin Feed Orig'!R76</f>
        <v>98.572870359588904</v>
      </c>
      <c r="S76">
        <f>'Costing 100 Lmin Feed Orig'!S76</f>
        <v>500</v>
      </c>
      <c r="T76">
        <f>'Costing 100 Lmin Feed Orig'!T76</f>
        <v>95</v>
      </c>
      <c r="U76">
        <f>'Costing 100 Lmin Feed Orig'!U76</f>
        <v>1</v>
      </c>
      <c r="V76">
        <f>'Costing 100 Lmin Feed Orig'!V76</f>
        <v>0.1</v>
      </c>
      <c r="W76">
        <f>'Costing 100 Lmin Feed Orig'!W76</f>
        <v>91.262806376555005</v>
      </c>
      <c r="X76" t="str">
        <f>'Costing 100 Lmin Feed Orig'!X76</f>
        <v>ddFc</v>
      </c>
      <c r="Y76">
        <f>'Costing 100 Lmin Feed Orig'!Y76</f>
        <v>1</v>
      </c>
      <c r="Z76">
        <f>'Costing 100 Lmin Feed Orig'!Z76</f>
        <v>0.28318429382522198</v>
      </c>
      <c r="AA76">
        <f>'Costing 100 Lmin Feed Orig'!AA76</f>
        <v>0.56945642916197003</v>
      </c>
      <c r="AB76">
        <f>'Costing 100 Lmin Feed Orig'!AB76</f>
        <v>3.7698628972227502E-3</v>
      </c>
      <c r="AC76">
        <f>'Costing 100 Lmin Feed Orig'!AC76</f>
        <v>1822.2107908876901</v>
      </c>
      <c r="AD76">
        <f>'Costing 100 Lmin Feed Orig'!AD76</f>
        <v>2662.6059073104898</v>
      </c>
      <c r="AE76">
        <f>'Costing 100 Lmin Feed Orig'!AE76</f>
        <v>2401.5030938442701</v>
      </c>
      <c r="AF76">
        <f>'Costing 100 Lmin Feed Orig'!AF76</f>
        <v>8</v>
      </c>
      <c r="AG76">
        <f>'Costing 100 Lmin Feed Orig'!AG76</f>
        <v>1.6497548842793E-3</v>
      </c>
      <c r="AH76">
        <f>'Costing 100 Lmin Feed Orig'!AH76</f>
        <v>1.66899558413707E-3</v>
      </c>
      <c r="AI76">
        <f>'Costing 100 Lmin Feed Orig'!AI76</f>
        <v>5.2930530695573503E-6</v>
      </c>
      <c r="AJ76">
        <f>'Costing 100 Lmin Feed Orig'!AJ76</f>
        <v>0</v>
      </c>
      <c r="AK76">
        <f>'Costing 100 Lmin Feed Orig'!AK76</f>
        <v>0</v>
      </c>
      <c r="AL76">
        <f>'Costing 100 Lmin Feed Orig'!AL76</f>
        <v>0</v>
      </c>
      <c r="AM76">
        <f>'Costing 100 Lmin Feed Orig'!AM76</f>
        <v>1.61275350560018E-3</v>
      </c>
      <c r="AN76">
        <f>'Costing 100 Lmin Feed Orig'!AN76</f>
        <v>7.9623568834895101E-5</v>
      </c>
      <c r="AO76">
        <f>'Costing 100 Lmin Feed Orig'!AO76</f>
        <v>5.2581946177476304E-6</v>
      </c>
      <c r="AP76">
        <f>'Costing 100 Lmin Feed Orig'!AP76</f>
        <v>1.7350904900191701E-3</v>
      </c>
      <c r="AQ76">
        <f>'Costing 100 Lmin Feed Orig'!AQ76</f>
        <v>7.4529770779203794E-2</v>
      </c>
      <c r="AR76">
        <f>'Costing 100 Lmin Feed Orig'!AR76</f>
        <v>1.63460309858261E-6</v>
      </c>
      <c r="AS76">
        <f>'Costing 100 Lmin Feed Orig'!AS76</f>
        <v>5.0504644411898598E-15</v>
      </c>
      <c r="AT76">
        <f>'Costing 100 Lmin Feed Orig'!AT76</f>
        <v>-1.17550023534529E-12</v>
      </c>
      <c r="AU76">
        <f>'Costing 100 Lmin Feed Orig'!AU76</f>
        <v>2.20162391837113E-20</v>
      </c>
      <c r="AV76">
        <f>'Costing 100 Lmin Feed Orig'!AV76</f>
        <v>0.19695449478278201</v>
      </c>
      <c r="AW76">
        <f>'Costing 100 Lmin Feed Orig'!AW76</f>
        <v>99.341430147182905</v>
      </c>
      <c r="AX76">
        <f>'Costing 100 Lmin Feed Orig'!AX76</f>
        <v>500</v>
      </c>
      <c r="AY76">
        <f>'Costing 100 Lmin Feed Orig'!AY76</f>
        <v>95</v>
      </c>
      <c r="AZ76">
        <f>'Costing 100 Lmin Feed Orig'!AZ76</f>
        <v>0.92357064280818002</v>
      </c>
      <c r="BA76">
        <f>'Costing 100 Lmin Feed Orig'!BA76</f>
        <v>0.1</v>
      </c>
      <c r="BB76">
        <f>'Costing 100 Lmin Feed Orig'!BB76</f>
        <v>46.8925902821751</v>
      </c>
      <c r="BC76" t="str">
        <f>'Costing 100 Lmin Feed Orig'!BC76</f>
        <v>coeFc</v>
      </c>
      <c r="BD76">
        <f>'Costing 100 Lmin Feed Orig'!BD76</f>
        <v>1</v>
      </c>
      <c r="BE76">
        <f>'Costing 100 Lmin Feed Orig'!BE76</f>
        <v>1.8775014999999999E-2</v>
      </c>
      <c r="BF76">
        <f>'Costing 100 Lmin Feed Orig'!BF76</f>
        <v>0.10492961100000001</v>
      </c>
      <c r="BG76">
        <f>'Costing 100 Lmin Feed Orig'!BG76</f>
        <v>1.814625E-3</v>
      </c>
      <c r="BH76">
        <f>'Costing 100 Lmin Feed Orig'!BH76</f>
        <v>285.1951444</v>
      </c>
      <c r="BI76">
        <f>'Costing 100 Lmin Feed Orig'!BI76</f>
        <v>2169.8944889999998</v>
      </c>
      <c r="BJ76">
        <f>'Costing 100 Lmin Feed Orig'!BJ76</f>
        <v>866.49409060000005</v>
      </c>
      <c r="BK76">
        <f>'Costing 100 Lmin Feed Orig'!BK76</f>
        <v>100</v>
      </c>
      <c r="BL76">
        <f>'Costing 100 Lmin Feed Orig'!BL76</f>
        <v>10.957366310586</v>
      </c>
      <c r="BM76">
        <f>'Costing 100 Lmin Feed Orig'!BM76</f>
        <v>92.357064280818008</v>
      </c>
      <c r="BN76">
        <f>'Costing 100 Lmin Feed Orig'!BN76</f>
        <v>19.695449478278203</v>
      </c>
      <c r="BO76">
        <f t="shared" si="20"/>
        <v>262.97679145406403</v>
      </c>
      <c r="BP76">
        <f t="shared" si="21"/>
        <v>393.90898956556407</v>
      </c>
      <c r="BQ76">
        <f t="shared" si="22"/>
        <v>26.297679145406406</v>
      </c>
      <c r="BR76">
        <f t="shared" si="23"/>
        <v>39.390898956556413</v>
      </c>
      <c r="BS76">
        <f>1.2*0.5*BL76*V76/'Oxidant Feed Composition'!$N$22</f>
        <v>6.5744197863515996</v>
      </c>
      <c r="BT76">
        <f>1.2*0.5*BN76*BA76/'Oxidant Feed Composition'!$N$22</f>
        <v>11.817269686966922</v>
      </c>
      <c r="BU76">
        <f t="shared" si="24"/>
        <v>5.478683155293</v>
      </c>
      <c r="BV76">
        <f t="shared" si="25"/>
        <v>9.8477247391391014</v>
      </c>
      <c r="BW76">
        <f t="shared" si="26"/>
        <v>86.87838112552501</v>
      </c>
      <c r="BX76">
        <f t="shared" si="19"/>
        <v>35.063572193875203</v>
      </c>
      <c r="BY76">
        <f t="shared" si="27"/>
        <v>206.62886118280801</v>
      </c>
      <c r="BZ76">
        <f t="shared" si="28"/>
        <v>63.025438330490246</v>
      </c>
      <c r="CA76">
        <f t="shared" si="29"/>
        <v>59.086348434834605</v>
      </c>
      <c r="CB76">
        <f>BO76*'Reagent cost'!$G$11*'Reagent cost'!$H$11</f>
        <v>3471.2936471936455</v>
      </c>
      <c r="CC76">
        <f>BP76*'Reagent cost'!$G$11*'Reagent cost'!$H$11</f>
        <v>5199.5986622654455</v>
      </c>
      <c r="CD76">
        <f>BQ76*'Reagent cost'!$C$18/1000*'Reagent cost'!$H$18</f>
        <v>4193.9657747282263</v>
      </c>
      <c r="CE76">
        <f>BR76*'Ligand cost'!$B$56*'Ligand cost'!$J$56</f>
        <v>40104.966613549579</v>
      </c>
      <c r="CF76">
        <f t="shared" si="30"/>
        <v>10</v>
      </c>
      <c r="CG76">
        <f t="shared" si="31"/>
        <v>2.1914732621172002</v>
      </c>
      <c r="CH76">
        <f t="shared" si="31"/>
        <v>3.9390898956556408</v>
      </c>
      <c r="CI76">
        <f>7963.6*(BX76/1000)^0.6*1.7*('CAPEX+OPEX'!$G$116/'CAPEX+OPEX'!$G$115)</f>
        <v>2138.7234102796551</v>
      </c>
      <c r="CJ76">
        <f>7963.6*(BY76/1000)^0.6*1.7*('CAPEX+OPEX'!$G$116/'CAPEX+OPEX'!$G$115)</f>
        <v>6199.4836239091055</v>
      </c>
      <c r="CK76">
        <f>7963.6*(BZ76/1000)^0.6*1.7*('CAPEX+OPEX'!$G$116/'CAPEX+OPEX'!$G$115)</f>
        <v>3040.5381206969964</v>
      </c>
      <c r="CL76">
        <f>7963.6*(CA76/1000)^0.6*1.7*('CAPEX+OPEX'!$G$116/'CAPEX+OPEX'!$G$115)</f>
        <v>2925.049490757392</v>
      </c>
      <c r="CM76">
        <f>'Costing 100 Lmin Feed Orig'!DE76</f>
        <v>39625.826528698344</v>
      </c>
      <c r="CN76">
        <f>'Costing 100 Lmin Feed Orig'!DF76</f>
        <v>4586243.4239371875</v>
      </c>
      <c r="CO76">
        <f>'Costing 100 Lmin Feed Orig'!DG76</f>
        <v>11794834.586807497</v>
      </c>
      <c r="CP76">
        <f>'Costing 100 Lmin Feed Orig'!DH76</f>
        <v>2275209.1661185985</v>
      </c>
      <c r="CQ76">
        <f>'Costing 100 Lmin Feed Orig'!DI76</f>
        <v>14083914.336508472</v>
      </c>
      <c r="CR76">
        <f>'Costing 100 Lmin Feed Orig'!DJ76</f>
        <v>1662824.8986326549</v>
      </c>
      <c r="CS76">
        <f>CN76*(BK76/10000)^0.72*((A76+1)/3)^0.6*('CAPEX+OPEX'!$G$116/'CAPEX+OPEX'!$G$114)</f>
        <v>847423.79840727116</v>
      </c>
      <c r="CT76">
        <f>CO76*(BK76/10000)^0.72*((A76+1)/3)^0.6*('CAPEX+OPEX'!$G$116/'CAPEX+OPEX'!$G$114)</f>
        <v>2179392.2832288719</v>
      </c>
      <c r="CU76">
        <f>CP76*(BK76/10000)^0.72*((A76+1)/3)^0.6*('CAPEX+OPEX'!$G$116/'CAPEX+OPEX'!$G$114)</f>
        <v>420402.1059283549</v>
      </c>
      <c r="CV76">
        <f>CQ76*(BK76/10000)^0.72*((A76+1)/3)^0.6*('CAPEX+OPEX'!$G$116/'CAPEX+OPEX'!$G$114)</f>
        <v>2602357.3282642425</v>
      </c>
      <c r="CW76">
        <f>CR76*(BK76/10000)^0.72*((A76+1)/3)^0.6*('CAPEX+OPEX'!$G$116/'CAPEX+OPEX'!$G$114)</f>
        <v>307248.71347447456</v>
      </c>
      <c r="CX76">
        <f t="shared" si="32"/>
        <v>6356824.2293032147</v>
      </c>
      <c r="CY76">
        <f>CN76*(BM76/10000)^0.72*((AF76+1)/3)^0.6*('CAPEX+OPEX'!$G$116/'CAPEX+OPEX'!$G$114)</f>
        <v>709494.50626692141</v>
      </c>
      <c r="CZ76">
        <f>CO76*(BM76/10000)^0.72*((AF76+1)/3)^0.6*('CAPEX+OPEX'!$G$116/'CAPEX+OPEX'!$G$114)</f>
        <v>1824667.7221687753</v>
      </c>
      <c r="DA76">
        <f>CP76*(BM76/10000)^0.72*((AF76+1)/3)^0.6*('CAPEX+OPEX'!$G$116/'CAPEX+OPEX'!$G$114)</f>
        <v>351976.17194586084</v>
      </c>
      <c r="DB76">
        <f>CQ76*(BM76/10000)^0.72*((AF76+1)/3)^0.6*('CAPEX+OPEX'!$G$116/'CAPEX+OPEX'!$G$114)</f>
        <v>2178789.6814051773</v>
      </c>
      <c r="DC76">
        <f>CR76*(BM76/10000)^0.72*((AF76+1)/3)^0.6*('CAPEX+OPEX'!$G$116/'CAPEX+OPEX'!$G$114)</f>
        <v>257239.97211009727</v>
      </c>
      <c r="DD76">
        <f t="shared" si="33"/>
        <v>5322168.0538968323</v>
      </c>
      <c r="DE76">
        <f>CX76+DD76+1.15*(SUM(CI76:CL76)+SUM(CB76:CE76))</f>
        <v>11756356.945444934</v>
      </c>
      <c r="DF76">
        <f t="shared" si="34"/>
        <v>783757.12969632889</v>
      </c>
      <c r="DG76">
        <f>(BS76+BT76)*'Oxidant Feed Composition'!$N$28*60*7200</f>
        <v>20448523.353440881</v>
      </c>
      <c r="DH76">
        <f>((CG76+CH76)*'Reagent cost'!$C$17/1000*'Reagent cost'!$H$17+(CG76+CH76)*0.5*'Reagent cost'!$C$16/1000*'Reagent cost'!$H$16*1.5)*60*7200</f>
        <v>8699488.349818185</v>
      </c>
      <c r="DI76">
        <f>CF76*'Reagent cost'!$C$17/1000*'Reagent cost'!$H$17*60*7200</f>
        <v>504921.59999999998</v>
      </c>
      <c r="DJ76">
        <f t="shared" si="35"/>
        <v>86.708923094590901</v>
      </c>
      <c r="DK76">
        <f t="shared" si="36"/>
        <v>885.97864776555616</v>
      </c>
      <c r="DL76">
        <f t="shared" si="37"/>
        <v>35584687.188995913</v>
      </c>
      <c r="DM76">
        <f>BK76*(B76*(409.81+2)/1000+C76*(248.2+2*22.99)/1000+D76*(315.6+3*22.99)/1000+0.1*58.44/1000)</f>
        <v>0.70639694042110623</v>
      </c>
      <c r="DN76">
        <f>(BS76+BT76)/1000*('Oxidant Feed Composition'!$B$11*'Oxidant Feed Composition'!$O$20+'Oxidant Feed Composition'!$D$11*'Oxidant Feed Composition'!$O$21+'Oxidant Feed Composition'!$F$11*'Oxidant Feed Composition'!$O$27-'Oxidant Feed Composition'!$J$15*18.015)</f>
        <v>2.1478649949643454</v>
      </c>
      <c r="DO76">
        <f>(BU76+BV76)/1000*(0.2*368.34+0.4*58.44)</f>
        <v>1.4873359277072689</v>
      </c>
      <c r="DP76">
        <f>BK76/1000*(B76*195.08+C76*106.42+D76*102.91)</f>
        <v>4.999938342565946E-2</v>
      </c>
      <c r="DQ76">
        <f>SUM(DM76:DO76)-DP76</f>
        <v>4.2915984796670603</v>
      </c>
      <c r="DR76">
        <f>DQ76*60*7200*0.33</f>
        <v>611810.2792613362</v>
      </c>
      <c r="DS76">
        <v>1.2</v>
      </c>
      <c r="DT76">
        <f>BM76/60*(AM76*4+AN76*2+AO76*3)*96485/DV76</f>
        <v>1405.8351729230828</v>
      </c>
      <c r="DU76">
        <f>BN76*BA76*(AP76*4+AQ76*2+AR76*3)*96485/DV76/60</f>
        <v>705.85320127009629</v>
      </c>
      <c r="DV76">
        <v>0.7</v>
      </c>
      <c r="DW76">
        <f>0.499*((BK76/3.78541*15)^(-0.146))*BK76/3.78541*15*300*(1+(A76-2)/9)</f>
        <v>46784.46952433938</v>
      </c>
      <c r="DX76">
        <f>0.248*((BK76/3.78541*15)^(-0.144))*BK76/3.78541*15*300*(1+(A76-2)/3)</f>
        <v>45678.708869524045</v>
      </c>
      <c r="DY76">
        <f>0.105*((BK76/3.78541*15)^(-0.144))*BK76/3.78541*15*300*(1+(A76-2)/3)</f>
        <v>19339.775932661389</v>
      </c>
      <c r="DZ76">
        <f>0.058*((BK76/3.78541*15)^(-0.151))*BK76/3.78541*15*300*(1+(A76-2)/3)</f>
        <v>10244.818866671721</v>
      </c>
      <c r="EA76">
        <f>0.056*((BK76/3.78541*15)^(-0.144))*BK76/3.78541*15*300*(1+(A76-2)/3)</f>
        <v>10314.547164086078</v>
      </c>
      <c r="EB76">
        <f>DS76*DT76/(3.6*10^6)*3600*7200*0.07</f>
        <v>850.24911258388056</v>
      </c>
      <c r="EC76">
        <f>0.499*((BM76/3.78541*15)^(-0.146))*BM76/3.78541*15*300*(1+(AF76-2)/9)</f>
        <v>38570.52314689981</v>
      </c>
      <c r="ED76">
        <f>0.248*((BM76/3.78541*15)^(-0.144))*BM76/3.78541*15*300*(1+(AF76-2)/3)</f>
        <v>34914.519262449241</v>
      </c>
      <c r="EE76">
        <f>0.105*((BM76/3.78541*15)^(-0.144))*BM76/3.78541*15*300*(1+(AF76-2)/3)</f>
        <v>14782.35694579504</v>
      </c>
      <c r="EF76">
        <f>0.058*((BM76/3.78541*15)^(-0.151))*BM76/3.78541*15*300*(1+(AF76-2)/3)</f>
        <v>7834.9862778455226</v>
      </c>
      <c r="EG76">
        <f>0.056*((BM76/3.78541*15)^(-0.144))*BM76/3.78541*15*300*(1+(AF76-2)/3)</f>
        <v>7883.9237044240235</v>
      </c>
      <c r="EH76">
        <f>DS76*DU76/(3.6*10^6)*3600*7200*0.07</f>
        <v>426.90001612815422</v>
      </c>
      <c r="EI76">
        <f>SUM(DW76:EH76)</f>
        <v>237625.77882340824</v>
      </c>
      <c r="EJ76">
        <f>EI76+DR76+DL76</f>
        <v>36434123.247080654</v>
      </c>
      <c r="EK76">
        <f>EJ76+DF76</f>
        <v>37217880.376776986</v>
      </c>
      <c r="EL76">
        <f>EK76/(BK76*60*7200)</f>
        <v>0.86152500872168947</v>
      </c>
      <c r="EM76">
        <f>EK76/(BM76*(AM76*195.084/1000+AN76*106.42/1000+AO76*102.911/1000)*60*7200)</f>
        <v>2882.3021580551035</v>
      </c>
      <c r="EN76">
        <f>EK76/(BN76*BA76*(AP76*195.084/1000+AQ76*106.42/1000+AR76*102.911/1000)*60*7200)</f>
        <v>5289.2056508900378</v>
      </c>
    </row>
    <row r="77" spans="1:144">
      <c r="A77">
        <f>'Costing 100 Lmin Feed Orig'!A77</f>
        <v>10</v>
      </c>
      <c r="B77">
        <f>'Costing 100 Lmin Feed Orig'!B77</f>
        <v>1.54143585092054E-3</v>
      </c>
      <c r="C77">
        <f>'Costing 100 Lmin Feed Orig'!C77</f>
        <v>1.54143585092054E-3</v>
      </c>
      <c r="D77">
        <f>'Costing 100 Lmin Feed Orig'!D77</f>
        <v>3.4254130020456501E-4</v>
      </c>
      <c r="E77">
        <f>'Costing 100 Lmin Feed Orig'!E77</f>
        <v>0</v>
      </c>
      <c r="F77">
        <f>'Costing 100 Lmin Feed Orig'!F77</f>
        <v>0</v>
      </c>
      <c r="G77">
        <f>'Costing 100 Lmin Feed Orig'!G77</f>
        <v>0</v>
      </c>
      <c r="H77">
        <f>'Costing 100 Lmin Feed Orig'!H77</f>
        <v>1.7770671970930099E-5</v>
      </c>
      <c r="I77">
        <f>'Costing 100 Lmin Feed Orig'!I77</f>
        <v>5.2649488631162003E-10</v>
      </c>
      <c r="J77">
        <f>'Costing 100 Lmin Feed Orig'!J77</f>
        <v>3.3765279177869602E-4</v>
      </c>
      <c r="K77">
        <f>'Costing 100 Lmin Feed Orig'!K77</f>
        <v>0.139053960209192</v>
      </c>
      <c r="L77">
        <f>'Costing 100 Lmin Feed Orig'!L77</f>
        <v>0.14067571356050099</v>
      </c>
      <c r="M77">
        <f>'Costing 100 Lmin Feed Orig'!M77</f>
        <v>4.4613899794023002E-4</v>
      </c>
      <c r="N77">
        <f>'Costing 100 Lmin Feed Orig'!N77</f>
        <v>-1.6046192152785399E-16</v>
      </c>
      <c r="O77">
        <f>'Costing 100 Lmin Feed Orig'!O77</f>
        <v>-5.9831913729046996E-14</v>
      </c>
      <c r="P77">
        <f>'Costing 100 Lmin Feed Orig'!P77</f>
        <v>-6.6915602833089703E-20</v>
      </c>
      <c r="Q77">
        <f>'Costing 100 Lmin Feed Orig'!Q77</f>
        <v>0.10957366310586</v>
      </c>
      <c r="R77">
        <f>'Costing 100 Lmin Feed Orig'!R77</f>
        <v>98.572870359588904</v>
      </c>
      <c r="S77">
        <f>'Costing 100 Lmin Feed Orig'!S77</f>
        <v>500</v>
      </c>
      <c r="T77">
        <f>'Costing 100 Lmin Feed Orig'!T77</f>
        <v>95</v>
      </c>
      <c r="U77">
        <f>'Costing 100 Lmin Feed Orig'!U77</f>
        <v>1</v>
      </c>
      <c r="V77">
        <f>'Costing 100 Lmin Feed Orig'!V77</f>
        <v>0.1</v>
      </c>
      <c r="W77">
        <f>'Costing 100 Lmin Feed Orig'!W77</f>
        <v>91.262806376555005</v>
      </c>
      <c r="X77" t="str">
        <f>'Costing 100 Lmin Feed Orig'!X77</f>
        <v>ddFc</v>
      </c>
      <c r="Y77">
        <f>'Costing 100 Lmin Feed Orig'!Y77</f>
        <v>1</v>
      </c>
      <c r="Z77">
        <f>'Costing 100 Lmin Feed Orig'!Z77</f>
        <v>0.28318429382522198</v>
      </c>
      <c r="AA77">
        <f>'Costing 100 Lmin Feed Orig'!AA77</f>
        <v>0.56945642916197003</v>
      </c>
      <c r="AB77">
        <f>'Costing 100 Lmin Feed Orig'!AB77</f>
        <v>3.7698628972227502E-3</v>
      </c>
      <c r="AC77">
        <f>'Costing 100 Lmin Feed Orig'!AC77</f>
        <v>1822.2107908876901</v>
      </c>
      <c r="AD77">
        <f>'Costing 100 Lmin Feed Orig'!AD77</f>
        <v>2662.6059073104898</v>
      </c>
      <c r="AE77">
        <f>'Costing 100 Lmin Feed Orig'!AE77</f>
        <v>2401.5030938442701</v>
      </c>
      <c r="AF77">
        <f>'Costing 100 Lmin Feed Orig'!AF77</f>
        <v>9</v>
      </c>
      <c r="AG77">
        <f>'Costing 100 Lmin Feed Orig'!AG77</f>
        <v>1.6497548842793E-3</v>
      </c>
      <c r="AH77">
        <f>'Costing 100 Lmin Feed Orig'!AH77</f>
        <v>1.66899558413707E-3</v>
      </c>
      <c r="AI77">
        <f>'Costing 100 Lmin Feed Orig'!AI77</f>
        <v>5.2930530695573503E-6</v>
      </c>
      <c r="AJ77">
        <f>'Costing 100 Lmin Feed Orig'!AJ77</f>
        <v>0</v>
      </c>
      <c r="AK77">
        <f>'Costing 100 Lmin Feed Orig'!AK77</f>
        <v>0</v>
      </c>
      <c r="AL77">
        <f>'Costing 100 Lmin Feed Orig'!AL77</f>
        <v>0</v>
      </c>
      <c r="AM77">
        <f>'Costing 100 Lmin Feed Orig'!AM77</f>
        <v>1.6127928524710801E-3</v>
      </c>
      <c r="AN77">
        <f>'Costing 100 Lmin Feed Orig'!AN77</f>
        <v>7.9625604160899597E-5</v>
      </c>
      <c r="AO77">
        <f>'Costing 100 Lmin Feed Orig'!AO77</f>
        <v>5.2582301473474496E-6</v>
      </c>
      <c r="AP77">
        <f>'Costing 100 Lmin Feed Orig'!AP77</f>
        <v>1.73376028278021E-3</v>
      </c>
      <c r="AQ77">
        <f>'Costing 100 Lmin Feed Orig'!AQ77</f>
        <v>7.4551814690152901E-2</v>
      </c>
      <c r="AR77">
        <f>'Costing 100 Lmin Feed Orig'!AR77</f>
        <v>1.6334220957110999E-6</v>
      </c>
      <c r="AS77">
        <f>'Costing 100 Lmin Feed Orig'!AS77</f>
        <v>3.7072938035426199E-17</v>
      </c>
      <c r="AT77">
        <f>'Costing 100 Lmin Feed Orig'!AT77</f>
        <v>-4.8554910092590799E-15</v>
      </c>
      <c r="AU77">
        <f>'Costing 100 Lmin Feed Orig'!AU77</f>
        <v>-3.3748968992163501E-22</v>
      </c>
      <c r="AV77">
        <f>'Costing 100 Lmin Feed Orig'!AV77</f>
        <v>0.19689600584133801</v>
      </c>
      <c r="AW77">
        <f>'Costing 100 Lmin Feed Orig'!AW77</f>
        <v>99.342101396825598</v>
      </c>
      <c r="AX77">
        <f>'Costing 100 Lmin Feed Orig'!AX77</f>
        <v>500</v>
      </c>
      <c r="AY77">
        <f>'Costing 100 Lmin Feed Orig'!AY77</f>
        <v>95</v>
      </c>
      <c r="AZ77">
        <f>'Costing 100 Lmin Feed Orig'!AZ77</f>
        <v>0.92357064280818002</v>
      </c>
      <c r="BA77">
        <f>'Costing 100 Lmin Feed Orig'!BA77</f>
        <v>0.1</v>
      </c>
      <c r="BB77">
        <f>'Costing 100 Lmin Feed Orig'!BB77</f>
        <v>46.906519960207</v>
      </c>
      <c r="BC77" t="str">
        <f>'Costing 100 Lmin Feed Orig'!BC77</f>
        <v>coeFc</v>
      </c>
      <c r="BD77">
        <f>'Costing 100 Lmin Feed Orig'!BD77</f>
        <v>1</v>
      </c>
      <c r="BE77">
        <f>'Costing 100 Lmin Feed Orig'!BE77</f>
        <v>1.8775014999999999E-2</v>
      </c>
      <c r="BF77">
        <f>'Costing 100 Lmin Feed Orig'!BF77</f>
        <v>0.10492961100000001</v>
      </c>
      <c r="BG77">
        <f>'Costing 100 Lmin Feed Orig'!BG77</f>
        <v>1.814625E-3</v>
      </c>
      <c r="BH77">
        <f>'Costing 100 Lmin Feed Orig'!BH77</f>
        <v>285.1951444</v>
      </c>
      <c r="BI77">
        <f>'Costing 100 Lmin Feed Orig'!BI77</f>
        <v>2169.8944889999998</v>
      </c>
      <c r="BJ77">
        <f>'Costing 100 Lmin Feed Orig'!BJ77</f>
        <v>866.49409060000005</v>
      </c>
      <c r="BK77">
        <f>'Costing 100 Lmin Feed Orig'!BK77</f>
        <v>100</v>
      </c>
      <c r="BL77">
        <f>'Costing 100 Lmin Feed Orig'!BL77</f>
        <v>10.957366310586</v>
      </c>
      <c r="BM77">
        <f>'Costing 100 Lmin Feed Orig'!BM77</f>
        <v>92.357064280818008</v>
      </c>
      <c r="BN77">
        <f>'Costing 100 Lmin Feed Orig'!BN77</f>
        <v>19.6896005841338</v>
      </c>
      <c r="BO77">
        <f t="shared" si="20"/>
        <v>262.97679145406403</v>
      </c>
      <c r="BP77">
        <f t="shared" si="21"/>
        <v>433.17121285094356</v>
      </c>
      <c r="BQ77">
        <f t="shared" si="22"/>
        <v>26.297679145406406</v>
      </c>
      <c r="BR77">
        <f t="shared" si="23"/>
        <v>43.317121285094359</v>
      </c>
      <c r="BS77">
        <f>1.2*0.5*BL77*V77/'Oxidant Feed Composition'!$N$22</f>
        <v>6.5744197863515996</v>
      </c>
      <c r="BT77">
        <f>1.2*0.5*BN77*BA77/'Oxidant Feed Composition'!$N$22</f>
        <v>11.81376035048028</v>
      </c>
      <c r="BU77">
        <f t="shared" si="24"/>
        <v>5.478683155293</v>
      </c>
      <c r="BV77">
        <f t="shared" si="25"/>
        <v>9.8448002920668998</v>
      </c>
      <c r="BW77">
        <f t="shared" si="26"/>
        <v>86.87838112552501</v>
      </c>
      <c r="BX77">
        <f t="shared" si="19"/>
        <v>35.063572193875203</v>
      </c>
      <c r="BY77">
        <f t="shared" si="27"/>
        <v>206.62886118280801</v>
      </c>
      <c r="BZ77">
        <f t="shared" si="28"/>
        <v>63.006721869228159</v>
      </c>
      <c r="CA77">
        <f t="shared" si="29"/>
        <v>59.068801752401399</v>
      </c>
      <c r="CB77">
        <f>BO77*'Reagent cost'!$G$11*'Reagent cost'!$H$11</f>
        <v>3471.2936471936455</v>
      </c>
      <c r="CC77">
        <f>BP77*'Reagent cost'!$G$11*'Reagent cost'!$H$11</f>
        <v>5717.8600096324553</v>
      </c>
      <c r="CD77">
        <f>BQ77*'Reagent cost'!$C$18/1000*'Reagent cost'!$H$18</f>
        <v>4193.9657747282263</v>
      </c>
      <c r="CE77">
        <f>BR77*'Ligand cost'!$B$56*'Ligand cost'!$J$56</f>
        <v>44102.36244797946</v>
      </c>
      <c r="CF77">
        <f t="shared" si="30"/>
        <v>10</v>
      </c>
      <c r="CG77">
        <f t="shared" si="31"/>
        <v>2.1914732621172002</v>
      </c>
      <c r="CH77">
        <f t="shared" si="31"/>
        <v>3.9379201168267599</v>
      </c>
      <c r="CI77">
        <f>7963.6*(BX77/1000)^0.6*1.7*('CAPEX+OPEX'!$G$116/'CAPEX+OPEX'!$G$115)</f>
        <v>2138.7234102796551</v>
      </c>
      <c r="CJ77">
        <f>7963.6*(BY77/1000)^0.6*1.7*('CAPEX+OPEX'!$G$116/'CAPEX+OPEX'!$G$115)</f>
        <v>6199.4836239091055</v>
      </c>
      <c r="CK77">
        <f>7963.6*(BZ77/1000)^0.6*1.7*('CAPEX+OPEX'!$G$116/'CAPEX+OPEX'!$G$115)</f>
        <v>3039.9963252325761</v>
      </c>
      <c r="CL77">
        <f>7963.6*(CA77/1000)^0.6*1.7*('CAPEX+OPEX'!$G$116/'CAPEX+OPEX'!$G$115)</f>
        <v>2924.5282742870195</v>
      </c>
      <c r="CM77">
        <f>'Costing 100 Lmin Feed Orig'!DE77</f>
        <v>39625.826528698344</v>
      </c>
      <c r="CN77">
        <f>'Costing 100 Lmin Feed Orig'!DF77</f>
        <v>4586243.4239371875</v>
      </c>
      <c r="CO77">
        <f>'Costing 100 Lmin Feed Orig'!DG77</f>
        <v>11794834.586807497</v>
      </c>
      <c r="CP77">
        <f>'Costing 100 Lmin Feed Orig'!DH77</f>
        <v>2275209.1661185985</v>
      </c>
      <c r="CQ77">
        <f>'Costing 100 Lmin Feed Orig'!DI77</f>
        <v>14083914.336508472</v>
      </c>
      <c r="CR77">
        <f>'Costing 100 Lmin Feed Orig'!DJ77</f>
        <v>1662824.8986326549</v>
      </c>
      <c r="CS77">
        <f>CN77*(BK77/10000)^0.72*((A77+1)/3)^0.6*('CAPEX+OPEX'!$G$116/'CAPEX+OPEX'!$G$114)</f>
        <v>847423.79840727116</v>
      </c>
      <c r="CT77">
        <f>CO77*(BK77/10000)^0.72*((A77+1)/3)^0.6*('CAPEX+OPEX'!$G$116/'CAPEX+OPEX'!$G$114)</f>
        <v>2179392.2832288719</v>
      </c>
      <c r="CU77">
        <f>CP77*(BK77/10000)^0.72*((A77+1)/3)^0.6*('CAPEX+OPEX'!$G$116/'CAPEX+OPEX'!$G$114)</f>
        <v>420402.1059283549</v>
      </c>
      <c r="CV77">
        <f>CQ77*(BK77/10000)^0.72*((A77+1)/3)^0.6*('CAPEX+OPEX'!$G$116/'CAPEX+OPEX'!$G$114)</f>
        <v>2602357.3282642425</v>
      </c>
      <c r="CW77">
        <f>CR77*(BK77/10000)^0.72*((A77+1)/3)^0.6*('CAPEX+OPEX'!$G$116/'CAPEX+OPEX'!$G$114)</f>
        <v>307248.71347447456</v>
      </c>
      <c r="CX77">
        <f t="shared" si="32"/>
        <v>6356824.2293032147</v>
      </c>
      <c r="CY77">
        <f>CN77*(BM77/10000)^0.72*((AF77+1)/3)^0.6*('CAPEX+OPEX'!$G$116/'CAPEX+OPEX'!$G$114)</f>
        <v>755794.15915808035</v>
      </c>
      <c r="CZ77">
        <f>CO77*(BM77/10000)^0.72*((AF77+1)/3)^0.6*('CAPEX+OPEX'!$G$116/'CAPEX+OPEX'!$G$114)</f>
        <v>1943740.5006496462</v>
      </c>
      <c r="DA77">
        <f>CP77*(BM77/10000)^0.72*((AF77+1)/3)^0.6*('CAPEX+OPEX'!$G$116/'CAPEX+OPEX'!$G$114)</f>
        <v>374945.16528281744</v>
      </c>
      <c r="DB77">
        <f>CQ77*(BM77/10000)^0.72*((AF77+1)/3)^0.6*('CAPEX+OPEX'!$G$116/'CAPEX+OPEX'!$G$114)</f>
        <v>2320971.4813780542</v>
      </c>
      <c r="DC77">
        <f>CR77*(BM77/10000)^0.72*((AF77+1)/3)^0.6*('CAPEX+OPEX'!$G$116/'CAPEX+OPEX'!$G$114)</f>
        <v>274026.74256882182</v>
      </c>
      <c r="DD77">
        <f t="shared" si="33"/>
        <v>5669478.0490374202</v>
      </c>
      <c r="DE77">
        <f>CX77+DD77+1.15*(SUM(CI77:CL77)+SUM(CB77:CE77))</f>
        <v>12108858.723880863</v>
      </c>
      <c r="DF77">
        <f t="shared" si="34"/>
        <v>807257.24825872423</v>
      </c>
      <c r="DG77">
        <f>(BS77+BT77)*'Oxidant Feed Composition'!$N$28*60*7200</f>
        <v>20444621.55044413</v>
      </c>
      <c r="DH77">
        <f>((CG77+CH77)*'Reagent cost'!$C$17/1000*'Reagent cost'!$H$17+(CG77+CH77)*0.5*'Reagent cost'!$C$16/1000*'Reagent cost'!$H$16*1.5)*60*7200</f>
        <v>8697828.3918287102</v>
      </c>
      <c r="DI77">
        <f>CF77*'Reagent cost'!$C$17/1000*'Reagent cost'!$H$17*60*7200</f>
        <v>504921.59999999998</v>
      </c>
      <c r="DJ77">
        <f t="shared" si="35"/>
        <v>91.891536568261003</v>
      </c>
      <c r="DK77">
        <f t="shared" si="36"/>
        <v>965.92656445415378</v>
      </c>
      <c r="DL77">
        <f t="shared" si="37"/>
        <v>35578115.232448637</v>
      </c>
      <c r="DM77">
        <f>BK77*(B77*(409.81+2)/1000+C77*(248.2+2*22.99)/1000+D77*(315.6+3*22.99)/1000+0.1*58.44/1000)</f>
        <v>0.70639694042110623</v>
      </c>
      <c r="DN77">
        <f>(BS77+BT77)/1000*('Oxidant Feed Composition'!$B$11*'Oxidant Feed Composition'!$O$20+'Oxidant Feed Composition'!$D$11*'Oxidant Feed Composition'!$O$21+'Oxidant Feed Composition'!$F$11*'Oxidant Feed Composition'!$O$27-'Oxidant Feed Composition'!$J$15*18.015)</f>
        <v>2.1474551587170474</v>
      </c>
      <c r="DO77">
        <f>(BU77+BV77)/1000*(0.2*368.34+0.4*58.44)</f>
        <v>1.4870521276655941</v>
      </c>
      <c r="DP77">
        <f>BK77/1000*(B77*195.08+C77*106.42+D77*102.91)</f>
        <v>4.999938342565946E-2</v>
      </c>
      <c r="DQ77">
        <f>SUM(DM77:DO77)-DP77</f>
        <v>4.2909048433780876</v>
      </c>
      <c r="DR77">
        <f>DQ77*60*7200*0.33</f>
        <v>611711.39447198017</v>
      </c>
      <c r="DS77">
        <v>1.2</v>
      </c>
      <c r="DT77">
        <f>BM77/60*(AM77*4+AN77*2+AO77*3)*96485/DV77</f>
        <v>1405.8694518465684</v>
      </c>
      <c r="DU77">
        <f>BN77*BA77*(AP77*4+AQ77*2+AR77*3)*96485/DV77/60</f>
        <v>705.8189218133607</v>
      </c>
      <c r="DV77">
        <v>0.7</v>
      </c>
      <c r="DW77">
        <f>0.499*((BK77/3.78541*15)^(-0.146))*BK77/3.78541*15*300*(1+(A77-2)/9)</f>
        <v>46784.46952433938</v>
      </c>
      <c r="DX77">
        <f>0.248*((BK77/3.78541*15)^(-0.144))*BK77/3.78541*15*300*(1+(A77-2)/3)</f>
        <v>45678.708869524045</v>
      </c>
      <c r="DY77">
        <f>0.105*((BK77/3.78541*15)^(-0.144))*BK77/3.78541*15*300*(1+(A77-2)/3)</f>
        <v>19339.775932661389</v>
      </c>
      <c r="DZ77">
        <f>0.058*((BK77/3.78541*15)^(-0.151))*BK77/3.78541*15*300*(1+(A77-2)/3)</f>
        <v>10244.818866671721</v>
      </c>
      <c r="EA77">
        <f>0.056*((BK77/3.78541*15)^(-0.144))*BK77/3.78541*15*300*(1+(A77-2)/3)</f>
        <v>10314.547164086078</v>
      </c>
      <c r="EB77">
        <f>DS77*DT77/(3.6*10^6)*3600*7200*0.07</f>
        <v>850.26984447680456</v>
      </c>
      <c r="EC77">
        <f>0.499*((BM77/3.78541*15)^(-0.146))*BM77/3.78541*15*300*(1+(AF77-2)/9)</f>
        <v>41141.89135669313</v>
      </c>
      <c r="ED77">
        <f>0.248*((BM77/3.78541*15)^(-0.144))*BM77/3.78541*15*300*(1+(AF77-2)/3)</f>
        <v>38793.910291610271</v>
      </c>
      <c r="EE77">
        <f>0.105*((BM77/3.78541*15)^(-0.144))*BM77/3.78541*15*300*(1+(AF77-2)/3)</f>
        <v>16424.84105088338</v>
      </c>
      <c r="EF77">
        <f>0.058*((BM77/3.78541*15)^(-0.151))*BM77/3.78541*15*300*(1+(AF77-2)/3)</f>
        <v>8705.5403087172472</v>
      </c>
      <c r="EG77">
        <f>0.056*((BM77/3.78541*15)^(-0.144))*BM77/3.78541*15*300*(1+(AF77-2)/3)</f>
        <v>8759.9152271378043</v>
      </c>
      <c r="EH77">
        <f>DS77*DU77/(3.6*10^6)*3600*7200*0.07</f>
        <v>426.87928391272061</v>
      </c>
      <c r="EI77">
        <f>SUM(DW77:EH77)</f>
        <v>247465.56772071397</v>
      </c>
      <c r="EJ77">
        <f>EI77+DR77+DL77</f>
        <v>36437292.194641329</v>
      </c>
      <c r="EK77">
        <f>EJ77+DF77</f>
        <v>37244549.442900054</v>
      </c>
      <c r="EL77">
        <f>EK77/(BK77*60*7200)</f>
        <v>0.86214234821527902</v>
      </c>
      <c r="EM77">
        <f>EK77/(BM77*(AM77*195.084/1000+AN77*106.42/1000+AO77*102.911/1000)*60*7200)</f>
        <v>2884.2971456594914</v>
      </c>
      <c r="EN77">
        <f>EK77/(BN77*BA77*(AP77*195.084/1000+AQ77*106.42/1000+AR77*102.911/1000)*60*7200)</f>
        <v>5293.2327106227785</v>
      </c>
    </row>
    <row r="78" spans="1:144">
      <c r="A78">
        <f>'Costing 100 Lmin Feed Orig'!A78</f>
        <v>10</v>
      </c>
      <c r="B78">
        <f>'Costing 100 Lmin Feed Orig'!B78</f>
        <v>1.54143585092054E-3</v>
      </c>
      <c r="C78">
        <f>'Costing 100 Lmin Feed Orig'!C78</f>
        <v>1.54143585092054E-3</v>
      </c>
      <c r="D78">
        <f>'Costing 100 Lmin Feed Orig'!D78</f>
        <v>3.4254130020456501E-4</v>
      </c>
      <c r="E78">
        <f>'Costing 100 Lmin Feed Orig'!E78</f>
        <v>0</v>
      </c>
      <c r="F78">
        <f>'Costing 100 Lmin Feed Orig'!F78</f>
        <v>0</v>
      </c>
      <c r="G78">
        <f>'Costing 100 Lmin Feed Orig'!G78</f>
        <v>0</v>
      </c>
      <c r="H78">
        <f>'Costing 100 Lmin Feed Orig'!H78</f>
        <v>1.7770671970930099E-5</v>
      </c>
      <c r="I78">
        <f>'Costing 100 Lmin Feed Orig'!I78</f>
        <v>5.2649488631162003E-10</v>
      </c>
      <c r="J78">
        <f>'Costing 100 Lmin Feed Orig'!J78</f>
        <v>3.3765279177869602E-4</v>
      </c>
      <c r="K78">
        <f>'Costing 100 Lmin Feed Orig'!K78</f>
        <v>0.139053960209192</v>
      </c>
      <c r="L78">
        <f>'Costing 100 Lmin Feed Orig'!L78</f>
        <v>0.14067571356050099</v>
      </c>
      <c r="M78">
        <f>'Costing 100 Lmin Feed Orig'!M78</f>
        <v>4.4613899794023002E-4</v>
      </c>
      <c r="N78">
        <f>'Costing 100 Lmin Feed Orig'!N78</f>
        <v>-1.6046192152785399E-16</v>
      </c>
      <c r="O78">
        <f>'Costing 100 Lmin Feed Orig'!O78</f>
        <v>-5.9831913729046996E-14</v>
      </c>
      <c r="P78">
        <f>'Costing 100 Lmin Feed Orig'!P78</f>
        <v>-6.6915602833089703E-20</v>
      </c>
      <c r="Q78">
        <f>'Costing 100 Lmin Feed Orig'!Q78</f>
        <v>0.10957366310586</v>
      </c>
      <c r="R78">
        <f>'Costing 100 Lmin Feed Orig'!R78</f>
        <v>98.572870359588904</v>
      </c>
      <c r="S78">
        <f>'Costing 100 Lmin Feed Orig'!S78</f>
        <v>500</v>
      </c>
      <c r="T78">
        <f>'Costing 100 Lmin Feed Orig'!T78</f>
        <v>95</v>
      </c>
      <c r="U78">
        <f>'Costing 100 Lmin Feed Orig'!U78</f>
        <v>1</v>
      </c>
      <c r="V78">
        <f>'Costing 100 Lmin Feed Orig'!V78</f>
        <v>0.1</v>
      </c>
      <c r="W78">
        <f>'Costing 100 Lmin Feed Orig'!W78</f>
        <v>91.262806376555005</v>
      </c>
      <c r="X78" t="str">
        <f>'Costing 100 Lmin Feed Orig'!X78</f>
        <v>ddFc</v>
      </c>
      <c r="Y78">
        <f>'Costing 100 Lmin Feed Orig'!Y78</f>
        <v>1</v>
      </c>
      <c r="Z78">
        <f>'Costing 100 Lmin Feed Orig'!Z78</f>
        <v>0.28318429382522198</v>
      </c>
      <c r="AA78">
        <f>'Costing 100 Lmin Feed Orig'!AA78</f>
        <v>0.56945642916197003</v>
      </c>
      <c r="AB78">
        <f>'Costing 100 Lmin Feed Orig'!AB78</f>
        <v>3.7698628972227502E-3</v>
      </c>
      <c r="AC78">
        <f>'Costing 100 Lmin Feed Orig'!AC78</f>
        <v>1822.2107908876901</v>
      </c>
      <c r="AD78">
        <f>'Costing 100 Lmin Feed Orig'!AD78</f>
        <v>2662.6059073104898</v>
      </c>
      <c r="AE78">
        <f>'Costing 100 Lmin Feed Orig'!AE78</f>
        <v>2401.5030938442701</v>
      </c>
      <c r="AF78">
        <f>'Costing 100 Lmin Feed Orig'!AF78</f>
        <v>10</v>
      </c>
      <c r="AG78">
        <f>'Costing 100 Lmin Feed Orig'!AG78</f>
        <v>1.6497548842793E-3</v>
      </c>
      <c r="AH78">
        <f>'Costing 100 Lmin Feed Orig'!AH78</f>
        <v>1.66899558413707E-3</v>
      </c>
      <c r="AI78">
        <f>'Costing 100 Lmin Feed Orig'!AI78</f>
        <v>5.2930530695573503E-6</v>
      </c>
      <c r="AJ78">
        <f>'Costing 100 Lmin Feed Orig'!AJ78</f>
        <v>0</v>
      </c>
      <c r="AK78">
        <f>'Costing 100 Lmin Feed Orig'!AK78</f>
        <v>0</v>
      </c>
      <c r="AL78">
        <f>'Costing 100 Lmin Feed Orig'!AL78</f>
        <v>0</v>
      </c>
      <c r="AM78">
        <f>'Costing 100 Lmin Feed Orig'!AM78</f>
        <v>1.612803928521E-3</v>
      </c>
      <c r="AN78">
        <f>'Costing 100 Lmin Feed Orig'!AN78</f>
        <v>7.96261771409158E-5</v>
      </c>
      <c r="AO78">
        <f>'Costing 100 Lmin Feed Orig'!AO78</f>
        <v>5.2582401488513497E-6</v>
      </c>
      <c r="AP78">
        <f>'Costing 100 Lmin Feed Orig'!AP78</f>
        <v>1.7333856890078599E-3</v>
      </c>
      <c r="AQ78">
        <f>'Costing 100 Lmin Feed Orig'!AQ78</f>
        <v>7.4558022378498803E-2</v>
      </c>
      <c r="AR78">
        <f>'Costing 100 Lmin Feed Orig'!AR78</f>
        <v>1.6330895187087101E-6</v>
      </c>
      <c r="AS78">
        <f>'Costing 100 Lmin Feed Orig'!AS78</f>
        <v>6.1817751980698602E-15</v>
      </c>
      <c r="AT78">
        <f>'Costing 100 Lmin Feed Orig'!AT78</f>
        <v>-6.4017497899970799E-13</v>
      </c>
      <c r="AU78">
        <f>'Costing 100 Lmin Feed Orig'!AU78</f>
        <v>5.9603326218120902E-20</v>
      </c>
      <c r="AV78">
        <f>'Costing 100 Lmin Feed Orig'!AV78</f>
        <v>0.196879541421767</v>
      </c>
      <c r="AW78">
        <f>'Costing 100 Lmin Feed Orig'!AW78</f>
        <v>99.342290352117899</v>
      </c>
      <c r="AX78">
        <f>'Costing 100 Lmin Feed Orig'!AX78</f>
        <v>500</v>
      </c>
      <c r="AY78">
        <f>'Costing 100 Lmin Feed Orig'!AY78</f>
        <v>95</v>
      </c>
      <c r="AZ78">
        <f>'Costing 100 Lmin Feed Orig'!AZ78</f>
        <v>0.92357064280818002</v>
      </c>
      <c r="BA78">
        <f>'Costing 100 Lmin Feed Orig'!BA78</f>
        <v>0.1</v>
      </c>
      <c r="BB78">
        <f>'Costing 100 Lmin Feed Orig'!BB78</f>
        <v>46.910442605595598</v>
      </c>
      <c r="BC78" t="str">
        <f>'Costing 100 Lmin Feed Orig'!BC78</f>
        <v>coeFc</v>
      </c>
      <c r="BD78">
        <f>'Costing 100 Lmin Feed Orig'!BD78</f>
        <v>1</v>
      </c>
      <c r="BE78">
        <f>'Costing 100 Lmin Feed Orig'!BE78</f>
        <v>1.8775014999999999E-2</v>
      </c>
      <c r="BF78">
        <f>'Costing 100 Lmin Feed Orig'!BF78</f>
        <v>0.10492961100000001</v>
      </c>
      <c r="BG78">
        <f>'Costing 100 Lmin Feed Orig'!BG78</f>
        <v>1.814625E-3</v>
      </c>
      <c r="BH78">
        <f>'Costing 100 Lmin Feed Orig'!BH78</f>
        <v>285.1951444</v>
      </c>
      <c r="BI78">
        <f>'Costing 100 Lmin Feed Orig'!BI78</f>
        <v>2169.8944889999998</v>
      </c>
      <c r="BJ78">
        <f>'Costing 100 Lmin Feed Orig'!BJ78</f>
        <v>866.49409060000005</v>
      </c>
      <c r="BK78">
        <f>'Costing 100 Lmin Feed Orig'!BK78</f>
        <v>100</v>
      </c>
      <c r="BL78">
        <f>'Costing 100 Lmin Feed Orig'!BL78</f>
        <v>10.957366310586</v>
      </c>
      <c r="BM78">
        <f>'Costing 100 Lmin Feed Orig'!BM78</f>
        <v>92.357064280818008</v>
      </c>
      <c r="BN78">
        <f>'Costing 100 Lmin Feed Orig'!BN78</f>
        <v>19.6879541421767</v>
      </c>
      <c r="BO78">
        <f t="shared" si="20"/>
        <v>262.97679145406403</v>
      </c>
      <c r="BP78">
        <f t="shared" si="21"/>
        <v>472.5108994122408</v>
      </c>
      <c r="BQ78">
        <f t="shared" si="22"/>
        <v>26.297679145406406</v>
      </c>
      <c r="BR78">
        <f t="shared" si="23"/>
        <v>47.25108994122408</v>
      </c>
      <c r="BS78">
        <f>1.2*0.5*BL78*V78/'Oxidant Feed Composition'!$N$22</f>
        <v>6.5744197863515996</v>
      </c>
      <c r="BT78">
        <f>1.2*0.5*BN78*BA78/'Oxidant Feed Composition'!$N$22</f>
        <v>11.81277248530602</v>
      </c>
      <c r="BU78">
        <f t="shared" si="24"/>
        <v>5.478683155293</v>
      </c>
      <c r="BV78">
        <f t="shared" si="25"/>
        <v>9.8439770710883501</v>
      </c>
      <c r="BW78">
        <f t="shared" si="26"/>
        <v>86.87838112552501</v>
      </c>
      <c r="BX78">
        <f t="shared" si="19"/>
        <v>35.063572193875203</v>
      </c>
      <c r="BY78">
        <f t="shared" si="27"/>
        <v>206.62886118280801</v>
      </c>
      <c r="BZ78">
        <f t="shared" si="28"/>
        <v>63.00145325496544</v>
      </c>
      <c r="CA78">
        <f t="shared" si="29"/>
        <v>59.0638624265301</v>
      </c>
      <c r="CB78">
        <f>BO78*'Reagent cost'!$G$11*'Reagent cost'!$H$11</f>
        <v>3471.2936471936455</v>
      </c>
      <c r="CC78">
        <f>BP78*'Reagent cost'!$G$11*'Reagent cost'!$H$11</f>
        <v>6237.1438722415787</v>
      </c>
      <c r="CD78">
        <f>BQ78*'Reagent cost'!$C$18/1000*'Reagent cost'!$H$18</f>
        <v>4193.9657747282263</v>
      </c>
      <c r="CE78">
        <f>BR78*'Ligand cost'!$B$56*'Ligand cost'!$J$56</f>
        <v>48107.645033351197</v>
      </c>
      <c r="CF78">
        <f t="shared" si="30"/>
        <v>10</v>
      </c>
      <c r="CG78">
        <f t="shared" si="31"/>
        <v>2.1914732621172002</v>
      </c>
      <c r="CH78">
        <f t="shared" si="31"/>
        <v>3.93759082843534</v>
      </c>
      <c r="CI78">
        <f>7963.6*(BX78/1000)^0.6*1.7*('CAPEX+OPEX'!$G$116/'CAPEX+OPEX'!$G$115)</f>
        <v>2138.7234102796551</v>
      </c>
      <c r="CJ78">
        <f>7963.6*(BY78/1000)^0.6*1.7*('CAPEX+OPEX'!$G$116/'CAPEX+OPEX'!$G$115)</f>
        <v>6199.4836239091055</v>
      </c>
      <c r="CK78">
        <f>7963.6*(BZ78/1000)^0.6*1.7*('CAPEX+OPEX'!$G$116/'CAPEX+OPEX'!$G$115)</f>
        <v>3039.8438002124476</v>
      </c>
      <c r="CL78">
        <f>7963.6*(CA78/1000)^0.6*1.7*('CAPEX+OPEX'!$G$116/'CAPEX+OPEX'!$G$115)</f>
        <v>2924.3815426182359</v>
      </c>
      <c r="CM78">
        <f>'Costing 100 Lmin Feed Orig'!DE78</f>
        <v>39625.826528698344</v>
      </c>
      <c r="CN78">
        <f>'Costing 100 Lmin Feed Orig'!DF78</f>
        <v>4586243.4239371875</v>
      </c>
      <c r="CO78">
        <f>'Costing 100 Lmin Feed Orig'!DG78</f>
        <v>11794834.586807497</v>
      </c>
      <c r="CP78">
        <f>'Costing 100 Lmin Feed Orig'!DH78</f>
        <v>2275209.1661185985</v>
      </c>
      <c r="CQ78">
        <f>'Costing 100 Lmin Feed Orig'!DI78</f>
        <v>14083914.336508472</v>
      </c>
      <c r="CR78">
        <f>'Costing 100 Lmin Feed Orig'!DJ78</f>
        <v>1662824.8986326549</v>
      </c>
      <c r="CS78">
        <f>CN78*(BK78/10000)^0.72*((A78+1)/3)^0.6*('CAPEX+OPEX'!$G$116/'CAPEX+OPEX'!$G$114)</f>
        <v>847423.79840727116</v>
      </c>
      <c r="CT78">
        <f>CO78*(BK78/10000)^0.72*((A78+1)/3)^0.6*('CAPEX+OPEX'!$G$116/'CAPEX+OPEX'!$G$114)</f>
        <v>2179392.2832288719</v>
      </c>
      <c r="CU78">
        <f>CP78*(BK78/10000)^0.72*((A78+1)/3)^0.6*('CAPEX+OPEX'!$G$116/'CAPEX+OPEX'!$G$114)</f>
        <v>420402.1059283549</v>
      </c>
      <c r="CV78">
        <f>CQ78*(BK78/10000)^0.72*((A78+1)/3)^0.6*('CAPEX+OPEX'!$G$116/'CAPEX+OPEX'!$G$114)</f>
        <v>2602357.3282642425</v>
      </c>
      <c r="CW78">
        <f>CR78*(BK78/10000)^0.72*((A78+1)/3)^0.6*('CAPEX+OPEX'!$G$116/'CAPEX+OPEX'!$G$114)</f>
        <v>307248.71347447456</v>
      </c>
      <c r="CX78">
        <f t="shared" si="32"/>
        <v>6356824.2293032147</v>
      </c>
      <c r="CY78">
        <f>CN78*(BM78/10000)^0.72*((AF78+1)/3)^0.6*('CAPEX+OPEX'!$G$116/'CAPEX+OPEX'!$G$114)</f>
        <v>800274.80164615484</v>
      </c>
      <c r="CZ78">
        <f>CO78*(BM78/10000)^0.72*((AF78+1)/3)^0.6*('CAPEX+OPEX'!$G$116/'CAPEX+OPEX'!$G$114)</f>
        <v>2058135.1744524958</v>
      </c>
      <c r="DA78">
        <f>CP78*(BM78/10000)^0.72*((AF78+1)/3)^0.6*('CAPEX+OPEX'!$G$116/'CAPEX+OPEX'!$G$114)</f>
        <v>397011.75794894132</v>
      </c>
      <c r="DB78">
        <f>CQ78*(BM78/10000)^0.72*((AF78+1)/3)^0.6*('CAPEX+OPEX'!$G$116/'CAPEX+OPEX'!$G$114)</f>
        <v>2457567.2746072533</v>
      </c>
      <c r="DC78">
        <f>CR78*(BM78/10000)^0.72*((AF78+1)/3)^0.6*('CAPEX+OPEX'!$G$116/'CAPEX+OPEX'!$G$114)</f>
        <v>290153.99814586045</v>
      </c>
      <c r="DD78">
        <f t="shared" si="33"/>
        <v>6003143.0068007056</v>
      </c>
      <c r="DE78">
        <f>CX78+DD78+1.15*(SUM(CI78:CL78)+SUM(CB78:CE78))</f>
        <v>12447726.588914134</v>
      </c>
      <c r="DF78">
        <f t="shared" si="34"/>
        <v>829848.43926094228</v>
      </c>
      <c r="DG78">
        <f>(BS78+BT78)*'Oxidant Feed Composition'!$N$28*60*7200</f>
        <v>20443523.207406361</v>
      </c>
      <c r="DH78">
        <f>((CG78+CH78)*'Reagent cost'!$C$17/1000*'Reagent cost'!$H$17+(CG78+CH78)*0.5*'Reagent cost'!$C$16/1000*'Reagent cost'!$H$16*1.5)*60*7200</f>
        <v>8697361.1198259331</v>
      </c>
      <c r="DI78">
        <f>CF78*'Reagent cost'!$C$17/1000*'Reagent cost'!$H$17*60*7200</f>
        <v>504921.59999999998</v>
      </c>
      <c r="DJ78">
        <f t="shared" si="35"/>
        <v>97.084375194352248</v>
      </c>
      <c r="DK78">
        <f t="shared" si="36"/>
        <v>1046.0322161615884</v>
      </c>
      <c r="DL78">
        <f t="shared" si="37"/>
        <v>35576338.852588378</v>
      </c>
      <c r="DM78">
        <f>BK78*(B78*(409.81+2)/1000+C78*(248.2+2*22.99)/1000+D78*(315.6+3*22.99)/1000+0.1*58.44/1000)</f>
        <v>0.70639694042110623</v>
      </c>
      <c r="DN78">
        <f>(BS78+BT78)/1000*('Oxidant Feed Composition'!$B$11*'Oxidant Feed Composition'!$O$20+'Oxidant Feed Composition'!$D$11*'Oxidant Feed Composition'!$O$21+'Oxidant Feed Composition'!$F$11*'Oxidant Feed Composition'!$O$27-'Oxidant Feed Composition'!$J$15*18.015)</f>
        <v>2.1473397913370893</v>
      </c>
      <c r="DO78">
        <f>(BU78+BV78)/1000*(0.2*368.34+0.4*58.44)</f>
        <v>1.4869722390089517</v>
      </c>
      <c r="DP78">
        <f>BK78/1000*(B78*195.08+C78*106.42+D78*102.91)</f>
        <v>4.999938342565946E-2</v>
      </c>
      <c r="DQ78">
        <f>SUM(DM78:DO78)-DP78</f>
        <v>4.2907095873414871</v>
      </c>
      <c r="DR78">
        <f>DQ78*60*7200*0.33</f>
        <v>611683.55877140246</v>
      </c>
      <c r="DS78">
        <v>1.2</v>
      </c>
      <c r="DT78">
        <f>BM78/60*(AM78*4+AN78*2+AO78*3)*96485/DV78</f>
        <v>1405.8791012986701</v>
      </c>
      <c r="DU78">
        <f>BN78*BA78*(AP78*4+AQ78*2+AR78*3)*96485/DV78/60</f>
        <v>705.80927264751585</v>
      </c>
      <c r="DV78">
        <v>0.7</v>
      </c>
      <c r="DW78">
        <f>0.499*((BK78/3.78541*15)^(-0.146))*BK78/3.78541*15*300*(1+(A78-2)/9)</f>
        <v>46784.46952433938</v>
      </c>
      <c r="DX78">
        <f>0.248*((BK78/3.78541*15)^(-0.144))*BK78/3.78541*15*300*(1+(A78-2)/3)</f>
        <v>45678.708869524045</v>
      </c>
      <c r="DY78">
        <f>0.105*((BK78/3.78541*15)^(-0.144))*BK78/3.78541*15*300*(1+(A78-2)/3)</f>
        <v>19339.775932661389</v>
      </c>
      <c r="DZ78">
        <f>0.058*((BK78/3.78541*15)^(-0.151))*BK78/3.78541*15*300*(1+(A78-2)/3)</f>
        <v>10244.818866671721</v>
      </c>
      <c r="EA78">
        <f>0.056*((BK78/3.78541*15)^(-0.144))*BK78/3.78541*15*300*(1+(A78-2)/3)</f>
        <v>10314.547164086078</v>
      </c>
      <c r="EB78">
        <f>DS78*DT78/(3.6*10^6)*3600*7200*0.07</f>
        <v>850.2756804654357</v>
      </c>
      <c r="EC78">
        <f>0.499*((BM78/3.78541*15)^(-0.146))*BM78/3.78541*15*300*(1+(AF78-2)/9)</f>
        <v>43713.259566486457</v>
      </c>
      <c r="ED78">
        <f>0.248*((BM78/3.78541*15)^(-0.144))*BM78/3.78541*15*300*(1+(AF78-2)/3)</f>
        <v>42673.301320771294</v>
      </c>
      <c r="EE78">
        <f>0.105*((BM78/3.78541*15)^(-0.144))*BM78/3.78541*15*300*(1+(AF78-2)/3)</f>
        <v>18067.325155971717</v>
      </c>
      <c r="EF78">
        <f>0.058*((BM78/3.78541*15)^(-0.151))*BM78/3.78541*15*300*(1+(AF78-2)/3)</f>
        <v>9576.0943395889717</v>
      </c>
      <c r="EG78">
        <f>0.056*((BM78/3.78541*15)^(-0.144))*BM78/3.78541*15*300*(1+(AF78-2)/3)</f>
        <v>9635.9067498515833</v>
      </c>
      <c r="EH78">
        <f>DS78*DU78/(3.6*10^6)*3600*7200*0.07</f>
        <v>426.87344809721759</v>
      </c>
      <c r="EI78">
        <f>SUM(DW78:EH78)</f>
        <v>257305.35661851533</v>
      </c>
      <c r="EJ78">
        <f>EI78+DR78+DL78</f>
        <v>36445327.767978296</v>
      </c>
      <c r="EK78">
        <f>EJ78+DF78</f>
        <v>37275176.20723924</v>
      </c>
      <c r="EL78">
        <f>EK78/(BK78*60*7200)</f>
        <v>0.86285130109350094</v>
      </c>
      <c r="EM78">
        <f>EK78/(BM78*(AM78*195.084/1000+AN78*106.42/1000+AO78*102.911/1000)*60*7200)</f>
        <v>2886.6491221885799</v>
      </c>
      <c r="EN78">
        <f>EK78/(BN78*BA78*(AP78*195.084/1000+AQ78*106.42/1000+AR78*102.911/1000)*60*7200)</f>
        <v>5297.6521861372348</v>
      </c>
    </row>
    <row r="79" spans="1:144">
      <c r="A79">
        <f>'Costing 100 Lmin Feed Orig'!A79</f>
        <v>10</v>
      </c>
      <c r="B79">
        <f>'Costing 100 Lmin Feed Orig'!B79</f>
        <v>1.54143585092054E-3</v>
      </c>
      <c r="C79">
        <f>'Costing 100 Lmin Feed Orig'!C79</f>
        <v>1.54143585092054E-3</v>
      </c>
      <c r="D79">
        <f>'Costing 100 Lmin Feed Orig'!D79</f>
        <v>3.4254130020456501E-4</v>
      </c>
      <c r="E79">
        <f>'Costing 100 Lmin Feed Orig'!E79</f>
        <v>0</v>
      </c>
      <c r="F79">
        <f>'Costing 100 Lmin Feed Orig'!F79</f>
        <v>0</v>
      </c>
      <c r="G79">
        <f>'Costing 100 Lmin Feed Orig'!G79</f>
        <v>0</v>
      </c>
      <c r="H79">
        <f>'Costing 100 Lmin Feed Orig'!H79</f>
        <v>1.7770671970930099E-5</v>
      </c>
      <c r="I79">
        <f>'Costing 100 Lmin Feed Orig'!I79</f>
        <v>5.2649488631162003E-10</v>
      </c>
      <c r="J79">
        <f>'Costing 100 Lmin Feed Orig'!J79</f>
        <v>3.3765279177869602E-4</v>
      </c>
      <c r="K79">
        <f>'Costing 100 Lmin Feed Orig'!K79</f>
        <v>0.139053960209192</v>
      </c>
      <c r="L79">
        <f>'Costing 100 Lmin Feed Orig'!L79</f>
        <v>0.14067571356050099</v>
      </c>
      <c r="M79">
        <f>'Costing 100 Lmin Feed Orig'!M79</f>
        <v>4.4613899794023002E-4</v>
      </c>
      <c r="N79">
        <f>'Costing 100 Lmin Feed Orig'!N79</f>
        <v>-1.6046192152785399E-16</v>
      </c>
      <c r="O79">
        <f>'Costing 100 Lmin Feed Orig'!O79</f>
        <v>-5.9831913729046996E-14</v>
      </c>
      <c r="P79">
        <f>'Costing 100 Lmin Feed Orig'!P79</f>
        <v>-6.6915602833089703E-20</v>
      </c>
      <c r="Q79">
        <f>'Costing 100 Lmin Feed Orig'!Q79</f>
        <v>0.10957366310586</v>
      </c>
      <c r="R79">
        <f>'Costing 100 Lmin Feed Orig'!R79</f>
        <v>98.572870359588904</v>
      </c>
      <c r="S79">
        <f>'Costing 100 Lmin Feed Orig'!S79</f>
        <v>500</v>
      </c>
      <c r="T79">
        <f>'Costing 100 Lmin Feed Orig'!T79</f>
        <v>95</v>
      </c>
      <c r="U79">
        <f>'Costing 100 Lmin Feed Orig'!U79</f>
        <v>1</v>
      </c>
      <c r="V79">
        <f>'Costing 100 Lmin Feed Orig'!V79</f>
        <v>0.1</v>
      </c>
      <c r="W79">
        <f>'Costing 100 Lmin Feed Orig'!W79</f>
        <v>91.262806376555005</v>
      </c>
      <c r="X79" t="str">
        <f>'Costing 100 Lmin Feed Orig'!X79</f>
        <v>ddFc</v>
      </c>
      <c r="Y79">
        <f>'Costing 100 Lmin Feed Orig'!Y79</f>
        <v>1</v>
      </c>
      <c r="Z79">
        <f>'Costing 100 Lmin Feed Orig'!Z79</f>
        <v>0.28318429382522198</v>
      </c>
      <c r="AA79">
        <f>'Costing 100 Lmin Feed Orig'!AA79</f>
        <v>0.56945642916197003</v>
      </c>
      <c r="AB79">
        <f>'Costing 100 Lmin Feed Orig'!AB79</f>
        <v>3.7698628972227502E-3</v>
      </c>
      <c r="AC79">
        <f>'Costing 100 Lmin Feed Orig'!AC79</f>
        <v>1822.2107908876901</v>
      </c>
      <c r="AD79">
        <f>'Costing 100 Lmin Feed Orig'!AD79</f>
        <v>2662.6059073104898</v>
      </c>
      <c r="AE79">
        <f>'Costing 100 Lmin Feed Orig'!AE79</f>
        <v>2401.5030938442701</v>
      </c>
      <c r="AF79">
        <f>'Costing 100 Lmin Feed Orig'!AF79</f>
        <v>11</v>
      </c>
      <c r="AG79">
        <f>'Costing 100 Lmin Feed Orig'!AG79</f>
        <v>1.6497548842793E-3</v>
      </c>
      <c r="AH79">
        <f>'Costing 100 Lmin Feed Orig'!AH79</f>
        <v>1.66899558413707E-3</v>
      </c>
      <c r="AI79">
        <f>'Costing 100 Lmin Feed Orig'!AI79</f>
        <v>5.2930530695573503E-6</v>
      </c>
      <c r="AJ79">
        <f>'Costing 100 Lmin Feed Orig'!AJ79</f>
        <v>0</v>
      </c>
      <c r="AK79">
        <f>'Costing 100 Lmin Feed Orig'!AK79</f>
        <v>0</v>
      </c>
      <c r="AL79">
        <f>'Costing 100 Lmin Feed Orig'!AL79</f>
        <v>0</v>
      </c>
      <c r="AM79">
        <f>'Costing 100 Lmin Feed Orig'!AM79</f>
        <v>1.6128070427284199E-3</v>
      </c>
      <c r="AN79">
        <f>'Costing 100 Lmin Feed Orig'!AN79</f>
        <v>7.9626338235286499E-5</v>
      </c>
      <c r="AO79">
        <f>'Costing 100 Lmin Feed Orig'!AO79</f>
        <v>5.2582429609278296E-6</v>
      </c>
      <c r="AP79">
        <f>'Costing 100 Lmin Feed Orig'!AP79</f>
        <v>1.73328035546949E-3</v>
      </c>
      <c r="AQ79">
        <f>'Costing 100 Lmin Feed Orig'!AQ79</f>
        <v>7.4559767943401897E-2</v>
      </c>
      <c r="AR79">
        <f>'Costing 100 Lmin Feed Orig'!AR79</f>
        <v>1.6329960000428399E-6</v>
      </c>
      <c r="AS79">
        <f>'Costing 100 Lmin Feed Orig'!AS79</f>
        <v>1.9974730962150899E-15</v>
      </c>
      <c r="AT79">
        <f>'Costing 100 Lmin Feed Orig'!AT79</f>
        <v>-1.98872819254236E-13</v>
      </c>
      <c r="AU79">
        <f>'Costing 100 Lmin Feed Orig'!AU79</f>
        <v>1.25797627557064E-20</v>
      </c>
      <c r="AV79">
        <f>'Costing 100 Lmin Feed Orig'!AV79</f>
        <v>0.19687491213897099</v>
      </c>
      <c r="AW79">
        <f>'Costing 100 Lmin Feed Orig'!AW79</f>
        <v>99.342343479801301</v>
      </c>
      <c r="AX79">
        <f>'Costing 100 Lmin Feed Orig'!AX79</f>
        <v>500</v>
      </c>
      <c r="AY79">
        <f>'Costing 100 Lmin Feed Orig'!AY79</f>
        <v>95</v>
      </c>
      <c r="AZ79">
        <f>'Costing 100 Lmin Feed Orig'!AZ79</f>
        <v>0.92357064280818002</v>
      </c>
      <c r="BA79">
        <f>'Costing 100 Lmin Feed Orig'!BA79</f>
        <v>0.1</v>
      </c>
      <c r="BB79">
        <f>'Costing 100 Lmin Feed Orig'!BB79</f>
        <v>46.911545649668199</v>
      </c>
      <c r="BC79" t="str">
        <f>'Costing 100 Lmin Feed Orig'!BC79</f>
        <v>coeFc</v>
      </c>
      <c r="BD79">
        <f>'Costing 100 Lmin Feed Orig'!BD79</f>
        <v>1</v>
      </c>
      <c r="BE79">
        <f>'Costing 100 Lmin Feed Orig'!BE79</f>
        <v>1.8775014999999999E-2</v>
      </c>
      <c r="BF79">
        <f>'Costing 100 Lmin Feed Orig'!BF79</f>
        <v>0.10492961100000001</v>
      </c>
      <c r="BG79">
        <f>'Costing 100 Lmin Feed Orig'!BG79</f>
        <v>1.814625E-3</v>
      </c>
      <c r="BH79">
        <f>'Costing 100 Lmin Feed Orig'!BH79</f>
        <v>285.1951444</v>
      </c>
      <c r="BI79">
        <f>'Costing 100 Lmin Feed Orig'!BI79</f>
        <v>2169.8944889999998</v>
      </c>
      <c r="BJ79">
        <f>'Costing 100 Lmin Feed Orig'!BJ79</f>
        <v>866.49409060000005</v>
      </c>
      <c r="BK79">
        <f>'Costing 100 Lmin Feed Orig'!BK79</f>
        <v>100</v>
      </c>
      <c r="BL79">
        <f>'Costing 100 Lmin Feed Orig'!BL79</f>
        <v>10.957366310586</v>
      </c>
      <c r="BM79">
        <f>'Costing 100 Lmin Feed Orig'!BM79</f>
        <v>92.357064280818008</v>
      </c>
      <c r="BN79">
        <f>'Costing 100 Lmin Feed Orig'!BN79</f>
        <v>19.687491213897097</v>
      </c>
      <c r="BO79">
        <f t="shared" si="20"/>
        <v>262.97679145406403</v>
      </c>
      <c r="BP79">
        <f t="shared" si="21"/>
        <v>511.87477156132451</v>
      </c>
      <c r="BQ79">
        <f t="shared" si="22"/>
        <v>26.297679145406406</v>
      </c>
      <c r="BR79">
        <f t="shared" si="23"/>
        <v>51.187477156132452</v>
      </c>
      <c r="BS79">
        <f>1.2*0.5*BL79*V79/'Oxidant Feed Composition'!$N$22</f>
        <v>6.5744197863515996</v>
      </c>
      <c r="BT79">
        <f>1.2*0.5*BN79*BA79/'Oxidant Feed Composition'!$N$22</f>
        <v>11.812494728338258</v>
      </c>
      <c r="BU79">
        <f t="shared" si="24"/>
        <v>5.478683155293</v>
      </c>
      <c r="BV79">
        <f t="shared" si="25"/>
        <v>9.8437456069485485</v>
      </c>
      <c r="BW79">
        <f t="shared" si="26"/>
        <v>86.87838112552501</v>
      </c>
      <c r="BX79">
        <f t="shared" si="19"/>
        <v>35.063572193875203</v>
      </c>
      <c r="BY79">
        <f t="shared" si="27"/>
        <v>206.62886118280801</v>
      </c>
      <c r="BZ79">
        <f t="shared" si="28"/>
        <v>62.99997188447071</v>
      </c>
      <c r="CA79">
        <f t="shared" si="29"/>
        <v>59.062473641691291</v>
      </c>
      <c r="CB79">
        <f>BO79*'Reagent cost'!$G$11*'Reagent cost'!$H$11</f>
        <v>3471.2936471936455</v>
      </c>
      <c r="CC79">
        <f>BP79*'Reagent cost'!$G$11*'Reagent cost'!$H$11</f>
        <v>6756.7469846094846</v>
      </c>
      <c r="CD79">
        <f>BQ79*'Reagent cost'!$C$18/1000*'Reagent cost'!$H$18</f>
        <v>4193.9657747282263</v>
      </c>
      <c r="CE79">
        <f>BR79*'Ligand cost'!$B$56*'Ligand cost'!$J$56</f>
        <v>52115.390020486797</v>
      </c>
      <c r="CF79">
        <f t="shared" si="30"/>
        <v>10</v>
      </c>
      <c r="CG79">
        <f t="shared" si="31"/>
        <v>2.1914732621172002</v>
      </c>
      <c r="CH79">
        <f t="shared" si="31"/>
        <v>3.9374982427794194</v>
      </c>
      <c r="CI79">
        <f>7963.6*(BX79/1000)^0.6*1.7*('CAPEX+OPEX'!$G$116/'CAPEX+OPEX'!$G$115)</f>
        <v>2138.7234102796551</v>
      </c>
      <c r="CJ79">
        <f>7963.6*(BY79/1000)^0.6*1.7*('CAPEX+OPEX'!$G$116/'CAPEX+OPEX'!$G$115)</f>
        <v>6199.4836239091055</v>
      </c>
      <c r="CK79">
        <f>7963.6*(BZ79/1000)^0.6*1.7*('CAPEX+OPEX'!$G$116/'CAPEX+OPEX'!$G$115)</f>
        <v>3039.8009140008598</v>
      </c>
      <c r="CL79">
        <f>7963.6*(CA79/1000)^0.6*1.7*('CAPEX+OPEX'!$G$116/'CAPEX+OPEX'!$G$115)</f>
        <v>2924.3402853517946</v>
      </c>
      <c r="CM79">
        <f>'Costing 100 Lmin Feed Orig'!DE79</f>
        <v>39625.826528698344</v>
      </c>
      <c r="CN79">
        <f>'Costing 100 Lmin Feed Orig'!DF79</f>
        <v>4586243.4239371875</v>
      </c>
      <c r="CO79">
        <f>'Costing 100 Lmin Feed Orig'!DG79</f>
        <v>11794834.586807497</v>
      </c>
      <c r="CP79">
        <f>'Costing 100 Lmin Feed Orig'!DH79</f>
        <v>2275209.1661185985</v>
      </c>
      <c r="CQ79">
        <f>'Costing 100 Lmin Feed Orig'!DI79</f>
        <v>14083914.336508472</v>
      </c>
      <c r="CR79">
        <f>'Costing 100 Lmin Feed Orig'!DJ79</f>
        <v>1662824.8986326549</v>
      </c>
      <c r="CS79">
        <f>CN79*(BK79/10000)^0.72*((A79+1)/3)^0.6*('CAPEX+OPEX'!$G$116/'CAPEX+OPEX'!$G$114)</f>
        <v>847423.79840727116</v>
      </c>
      <c r="CT79">
        <f>CO79*(BK79/10000)^0.72*((A79+1)/3)^0.6*('CAPEX+OPEX'!$G$116/'CAPEX+OPEX'!$G$114)</f>
        <v>2179392.2832288719</v>
      </c>
      <c r="CU79">
        <f>CP79*(BK79/10000)^0.72*((A79+1)/3)^0.6*('CAPEX+OPEX'!$G$116/'CAPEX+OPEX'!$G$114)</f>
        <v>420402.1059283549</v>
      </c>
      <c r="CV79">
        <f>CQ79*(BK79/10000)^0.72*((A79+1)/3)^0.6*('CAPEX+OPEX'!$G$116/'CAPEX+OPEX'!$G$114)</f>
        <v>2602357.3282642425</v>
      </c>
      <c r="CW79">
        <f>CR79*(BK79/10000)^0.72*((A79+1)/3)^0.6*('CAPEX+OPEX'!$G$116/'CAPEX+OPEX'!$G$114)</f>
        <v>307248.71347447456</v>
      </c>
      <c r="CX79">
        <f t="shared" si="32"/>
        <v>6356824.2293032147</v>
      </c>
      <c r="CY79">
        <f>CN79*(BM79/10000)^0.72*((AF79+1)/3)^0.6*('CAPEX+OPEX'!$G$116/'CAPEX+OPEX'!$G$114)</f>
        <v>843164.43385652674</v>
      </c>
      <c r="CZ79">
        <f>CO79*(BM79/10000)^0.72*((AF79+1)/3)^0.6*('CAPEX+OPEX'!$G$116/'CAPEX+OPEX'!$G$114)</f>
        <v>2168438.1110061919</v>
      </c>
      <c r="DA79">
        <f>CP79*(BM79/10000)^0.72*((AF79+1)/3)^0.6*('CAPEX+OPEX'!$G$116/'CAPEX+OPEX'!$G$114)</f>
        <v>418289.05950410414</v>
      </c>
      <c r="DB79">
        <f>CQ79*(BM79/10000)^0.72*((AF79+1)/3)^0.6*('CAPEX+OPEX'!$G$116/'CAPEX+OPEX'!$G$114)</f>
        <v>2589277.2276425567</v>
      </c>
      <c r="DC79">
        <f>CR79*(BM79/10000)^0.72*((AF79+1)/3)^0.6*('CAPEX+OPEX'!$G$116/'CAPEX+OPEX'!$G$114)</f>
        <v>305704.40438037703</v>
      </c>
      <c r="DD79">
        <f t="shared" si="33"/>
        <v>6324873.2363897571</v>
      </c>
      <c r="DE79">
        <f>CX79+DD79+1.15*(SUM(CI79:CL79)+SUM(CB79:CE79))</f>
        <v>12774663.172052614</v>
      </c>
      <c r="DF79">
        <f t="shared" si="34"/>
        <v>851644.21147017425</v>
      </c>
      <c r="DG79">
        <f>(BS79+BT79)*'Oxidant Feed Composition'!$N$28*60*7200</f>
        <v>20443214.387498863</v>
      </c>
      <c r="DH79">
        <f>((CG79+CH79)*'Reagent cost'!$C$17/1000*'Reagent cost'!$H$17+(CG79+CH79)*0.5*'Reagent cost'!$C$16/1000*'Reagent cost'!$H$16*1.5)*60*7200</f>
        <v>8697229.7374693193</v>
      </c>
      <c r="DI79">
        <f>CF79*'Reagent cost'!$C$17/1000*'Reagent cost'!$H$17*60*7200</f>
        <v>504921.59999999998</v>
      </c>
      <c r="DJ79">
        <f t="shared" si="35"/>
        <v>102.28040631803131</v>
      </c>
      <c r="DK79">
        <f t="shared" si="36"/>
        <v>1126.1871159043005</v>
      </c>
      <c r="DL79">
        <f t="shared" si="37"/>
        <v>35575913.030988485</v>
      </c>
      <c r="DM79">
        <f>BK79*(B79*(409.81+2)/1000+C79*(248.2+2*22.99)/1000+D79*(315.6+3*22.99)/1000+0.1*58.44/1000)</f>
        <v>0.70639694042110623</v>
      </c>
      <c r="DN79">
        <f>(BS79+BT79)/1000*('Oxidant Feed Composition'!$B$11*'Oxidant Feed Composition'!$O$20+'Oxidant Feed Composition'!$D$11*'Oxidant Feed Composition'!$O$21+'Oxidant Feed Composition'!$F$11*'Oxidant Feed Composition'!$O$27-'Oxidant Feed Composition'!$J$15*18.015)</f>
        <v>2.1473073536173777</v>
      </c>
      <c r="DO79">
        <f>(BU79+BV79)/1000*(0.2*368.34+0.4*58.44)</f>
        <v>1.4869497768029687</v>
      </c>
      <c r="DP79">
        <f>BK79/1000*(B79*195.08+C79*106.42+D79*102.91)</f>
        <v>4.999938342565946E-2</v>
      </c>
      <c r="DQ79">
        <f>SUM(DM79:DO79)-DP79</f>
        <v>4.2906546874157927</v>
      </c>
      <c r="DR79">
        <f>DQ79*60*7200*0.33</f>
        <v>611675.73223799537</v>
      </c>
      <c r="DS79">
        <v>1.2</v>
      </c>
      <c r="DT79">
        <f>BM79/60*(AM79*4+AN79*2+AO79*3)*96485/DV79</f>
        <v>1405.8818143920212</v>
      </c>
      <c r="DU79">
        <f>BN79*BA79*(AP79*4+AQ79*2+AR79*3)*96485/DV79/60</f>
        <v>705.80655935524931</v>
      </c>
      <c r="DV79">
        <v>0.7</v>
      </c>
      <c r="DW79">
        <f>0.499*((BK79/3.78541*15)^(-0.146))*BK79/3.78541*15*300*(1+(A79-2)/9)</f>
        <v>46784.46952433938</v>
      </c>
      <c r="DX79">
        <f>0.248*((BK79/3.78541*15)^(-0.144))*BK79/3.78541*15*300*(1+(A79-2)/3)</f>
        <v>45678.708869524045</v>
      </c>
      <c r="DY79">
        <f>0.105*((BK79/3.78541*15)^(-0.144))*BK79/3.78541*15*300*(1+(A79-2)/3)</f>
        <v>19339.775932661389</v>
      </c>
      <c r="DZ79">
        <f>0.058*((BK79/3.78541*15)^(-0.151))*BK79/3.78541*15*300*(1+(A79-2)/3)</f>
        <v>10244.818866671721</v>
      </c>
      <c r="EA79">
        <f>0.056*((BK79/3.78541*15)^(-0.144))*BK79/3.78541*15*300*(1+(A79-2)/3)</f>
        <v>10314.547164086078</v>
      </c>
      <c r="EB79">
        <f>DS79*DT79/(3.6*10^6)*3600*7200*0.07</f>
        <v>850.27732134429448</v>
      </c>
      <c r="EC79">
        <f>0.499*((BM79/3.78541*15)^(-0.146))*BM79/3.78541*15*300*(1+(AF79-2)/9)</f>
        <v>46284.627776279776</v>
      </c>
      <c r="ED79">
        <f>0.248*((BM79/3.78541*15)^(-0.144))*BM79/3.78541*15*300*(1+(AF79-2)/3)</f>
        <v>46552.692349932324</v>
      </c>
      <c r="EE79">
        <f>0.105*((BM79/3.78541*15)^(-0.144))*BM79/3.78541*15*300*(1+(AF79-2)/3)</f>
        <v>19709.809261060054</v>
      </c>
      <c r="EF79">
        <f>0.058*((BM79/3.78541*15)^(-0.151))*BM79/3.78541*15*300*(1+(AF79-2)/3)</f>
        <v>10446.648370460696</v>
      </c>
      <c r="EG79">
        <f>0.056*((BM79/3.78541*15)^(-0.144))*BM79/3.78541*15*300*(1+(AF79-2)/3)</f>
        <v>10511.898272565364</v>
      </c>
      <c r="EH79">
        <f>DS79*DU79/(3.6*10^6)*3600*7200*0.07</f>
        <v>426.87180709805483</v>
      </c>
      <c r="EI79">
        <f>SUM(DW79:EH79)</f>
        <v>267145.14551602321</v>
      </c>
      <c r="EJ79">
        <f>EI79+DR79+DL79</f>
        <v>36454733.908742502</v>
      </c>
      <c r="EK79">
        <f>EJ79+DF79</f>
        <v>37306378.120212674</v>
      </c>
      <c r="EL79">
        <f>EK79/(BK79*60*7200)</f>
        <v>0.86357356759751558</v>
      </c>
      <c r="EM79">
        <f>EK79/(BM79*(AM79*195.084/1000+AN79*106.42/1000+AO79*102.911/1000)*60*7200)</f>
        <v>2889.0598693195866</v>
      </c>
      <c r="EN79">
        <f>EK79/(BN79*BA79*(AP79*195.084/1000+AQ79*106.42/1000+AR79*102.911/1000)*60*7200)</f>
        <v>5302.1054804681835</v>
      </c>
    </row>
    <row r="80" spans="1:144">
      <c r="A80">
        <f>'Costing 100 Lmin Feed Orig'!A80</f>
        <v>10</v>
      </c>
      <c r="B80">
        <f>'Costing 100 Lmin Feed Orig'!B80</f>
        <v>1.54143585092054E-3</v>
      </c>
      <c r="C80">
        <f>'Costing 100 Lmin Feed Orig'!C80</f>
        <v>1.54143585092054E-3</v>
      </c>
      <c r="D80">
        <f>'Costing 100 Lmin Feed Orig'!D80</f>
        <v>3.4254130020456501E-4</v>
      </c>
      <c r="E80">
        <f>'Costing 100 Lmin Feed Orig'!E80</f>
        <v>0</v>
      </c>
      <c r="F80">
        <f>'Costing 100 Lmin Feed Orig'!F80</f>
        <v>0</v>
      </c>
      <c r="G80">
        <f>'Costing 100 Lmin Feed Orig'!G80</f>
        <v>0</v>
      </c>
      <c r="H80">
        <f>'Costing 100 Lmin Feed Orig'!H80</f>
        <v>1.7770671970930099E-5</v>
      </c>
      <c r="I80">
        <f>'Costing 100 Lmin Feed Orig'!I80</f>
        <v>5.2649488631162003E-10</v>
      </c>
      <c r="J80">
        <f>'Costing 100 Lmin Feed Orig'!J80</f>
        <v>3.3765279177869602E-4</v>
      </c>
      <c r="K80">
        <f>'Costing 100 Lmin Feed Orig'!K80</f>
        <v>0.139053960209192</v>
      </c>
      <c r="L80">
        <f>'Costing 100 Lmin Feed Orig'!L80</f>
        <v>0.14067571356050099</v>
      </c>
      <c r="M80">
        <f>'Costing 100 Lmin Feed Orig'!M80</f>
        <v>4.4613899794023002E-4</v>
      </c>
      <c r="N80">
        <f>'Costing 100 Lmin Feed Orig'!N80</f>
        <v>-1.6046192152785399E-16</v>
      </c>
      <c r="O80">
        <f>'Costing 100 Lmin Feed Orig'!O80</f>
        <v>-5.9831913729046996E-14</v>
      </c>
      <c r="P80">
        <f>'Costing 100 Lmin Feed Orig'!P80</f>
        <v>-6.6915602833089703E-20</v>
      </c>
      <c r="Q80">
        <f>'Costing 100 Lmin Feed Orig'!Q80</f>
        <v>0.10957366310586</v>
      </c>
      <c r="R80">
        <f>'Costing 100 Lmin Feed Orig'!R80</f>
        <v>98.572870359588904</v>
      </c>
      <c r="S80">
        <f>'Costing 100 Lmin Feed Orig'!S80</f>
        <v>500</v>
      </c>
      <c r="T80">
        <f>'Costing 100 Lmin Feed Orig'!T80</f>
        <v>95</v>
      </c>
      <c r="U80">
        <f>'Costing 100 Lmin Feed Orig'!U80</f>
        <v>1</v>
      </c>
      <c r="V80">
        <f>'Costing 100 Lmin Feed Orig'!V80</f>
        <v>0.1</v>
      </c>
      <c r="W80">
        <f>'Costing 100 Lmin Feed Orig'!W80</f>
        <v>91.262806376555005</v>
      </c>
      <c r="X80" t="str">
        <f>'Costing 100 Lmin Feed Orig'!X80</f>
        <v>ddFc</v>
      </c>
      <c r="Y80">
        <f>'Costing 100 Lmin Feed Orig'!Y80</f>
        <v>1</v>
      </c>
      <c r="Z80">
        <f>'Costing 100 Lmin Feed Orig'!Z80</f>
        <v>0.28318429382522198</v>
      </c>
      <c r="AA80">
        <f>'Costing 100 Lmin Feed Orig'!AA80</f>
        <v>0.56945642916197003</v>
      </c>
      <c r="AB80">
        <f>'Costing 100 Lmin Feed Orig'!AB80</f>
        <v>3.7698628972227502E-3</v>
      </c>
      <c r="AC80">
        <f>'Costing 100 Lmin Feed Orig'!AC80</f>
        <v>1822.2107908876901</v>
      </c>
      <c r="AD80">
        <f>'Costing 100 Lmin Feed Orig'!AD80</f>
        <v>2662.6059073104898</v>
      </c>
      <c r="AE80">
        <f>'Costing 100 Lmin Feed Orig'!AE80</f>
        <v>2401.5030938442701</v>
      </c>
      <c r="AF80">
        <f>'Costing 100 Lmin Feed Orig'!AF80</f>
        <v>12</v>
      </c>
      <c r="AG80">
        <f>'Costing 100 Lmin Feed Orig'!AG80</f>
        <v>1.6497548842793E-3</v>
      </c>
      <c r="AH80">
        <f>'Costing 100 Lmin Feed Orig'!AH80</f>
        <v>1.66899558413707E-3</v>
      </c>
      <c r="AI80">
        <f>'Costing 100 Lmin Feed Orig'!AI80</f>
        <v>5.2930530695573503E-6</v>
      </c>
      <c r="AJ80">
        <f>'Costing 100 Lmin Feed Orig'!AJ80</f>
        <v>0</v>
      </c>
      <c r="AK80">
        <f>'Costing 100 Lmin Feed Orig'!AK80</f>
        <v>0</v>
      </c>
      <c r="AL80">
        <f>'Costing 100 Lmin Feed Orig'!AL80</f>
        <v>0</v>
      </c>
      <c r="AM80">
        <f>'Costing 100 Lmin Feed Orig'!AM80</f>
        <v>1.6128079179820701E-3</v>
      </c>
      <c r="AN80">
        <f>'Costing 100 Lmin Feed Orig'!AN80</f>
        <v>7.9626383510946294E-5</v>
      </c>
      <c r="AO80">
        <f>'Costing 100 Lmin Feed Orig'!AO80</f>
        <v>5.2582437512666399E-6</v>
      </c>
      <c r="AP80">
        <f>'Costing 100 Lmin Feed Orig'!AP80</f>
        <v>1.7332507504425E-3</v>
      </c>
      <c r="AQ80">
        <f>'Costing 100 Lmin Feed Orig'!AQ80</f>
        <v>7.4560258551583894E-2</v>
      </c>
      <c r="AR80">
        <f>'Costing 100 Lmin Feed Orig'!AR80</f>
        <v>1.6329697157021899E-6</v>
      </c>
      <c r="AS80">
        <f>'Costing 100 Lmin Feed Orig'!AS80</f>
        <v>3.9110560493341098E-16</v>
      </c>
      <c r="AT80">
        <f>'Costing 100 Lmin Feed Orig'!AT80</f>
        <v>-3.8191238366236302E-14</v>
      </c>
      <c r="AU80">
        <f>'Costing 100 Lmin Feed Orig'!AU80</f>
        <v>-3.3021050053116801E-21</v>
      </c>
      <c r="AV80">
        <f>'Costing 100 Lmin Feed Orig'!AV80</f>
        <v>0.19687361106780901</v>
      </c>
      <c r="AW80">
        <f>'Costing 100 Lmin Feed Orig'!AW80</f>
        <v>99.342358411425806</v>
      </c>
      <c r="AX80">
        <f>'Costing 100 Lmin Feed Orig'!AX80</f>
        <v>500</v>
      </c>
      <c r="AY80">
        <f>'Costing 100 Lmin Feed Orig'!AY80</f>
        <v>95</v>
      </c>
      <c r="AZ80">
        <f>'Costing 100 Lmin Feed Orig'!AZ80</f>
        <v>0.92357064280818002</v>
      </c>
      <c r="BA80">
        <f>'Costing 100 Lmin Feed Orig'!BA80</f>
        <v>0.1</v>
      </c>
      <c r="BB80">
        <f>'Costing 100 Lmin Feed Orig'!BB80</f>
        <v>46.911855672219602</v>
      </c>
      <c r="BC80" t="str">
        <f>'Costing 100 Lmin Feed Orig'!BC80</f>
        <v>coeFc</v>
      </c>
      <c r="BD80">
        <f>'Costing 100 Lmin Feed Orig'!BD80</f>
        <v>1</v>
      </c>
      <c r="BE80">
        <f>'Costing 100 Lmin Feed Orig'!BE80</f>
        <v>1.8775014999999999E-2</v>
      </c>
      <c r="BF80">
        <f>'Costing 100 Lmin Feed Orig'!BF80</f>
        <v>0.10492961100000001</v>
      </c>
      <c r="BG80">
        <f>'Costing 100 Lmin Feed Orig'!BG80</f>
        <v>1.814625E-3</v>
      </c>
      <c r="BH80">
        <f>'Costing 100 Lmin Feed Orig'!BH80</f>
        <v>285.1951444</v>
      </c>
      <c r="BI80">
        <f>'Costing 100 Lmin Feed Orig'!BI80</f>
        <v>2169.8944889999998</v>
      </c>
      <c r="BJ80">
        <f>'Costing 100 Lmin Feed Orig'!BJ80</f>
        <v>866.49409060000005</v>
      </c>
      <c r="BK80">
        <f>'Costing 100 Lmin Feed Orig'!BK80</f>
        <v>100</v>
      </c>
      <c r="BL80">
        <f>'Costing 100 Lmin Feed Orig'!BL80</f>
        <v>10.957366310586</v>
      </c>
      <c r="BM80">
        <f>'Costing 100 Lmin Feed Orig'!BM80</f>
        <v>92.357064280818008</v>
      </c>
      <c r="BN80">
        <f>'Costing 100 Lmin Feed Orig'!BN80</f>
        <v>19.687361106780902</v>
      </c>
      <c r="BO80">
        <f t="shared" si="20"/>
        <v>262.97679145406403</v>
      </c>
      <c r="BP80">
        <f t="shared" si="21"/>
        <v>551.2461109898652</v>
      </c>
      <c r="BQ80">
        <f t="shared" si="22"/>
        <v>26.297679145406406</v>
      </c>
      <c r="BR80">
        <f t="shared" si="23"/>
        <v>55.12461109898652</v>
      </c>
      <c r="BS80">
        <f>1.2*0.5*BL80*V80/'Oxidant Feed Composition'!$N$22</f>
        <v>6.5744197863515996</v>
      </c>
      <c r="BT80">
        <f>1.2*0.5*BN80*BA80/'Oxidant Feed Composition'!$N$22</f>
        <v>11.812416664068541</v>
      </c>
      <c r="BU80">
        <f t="shared" si="24"/>
        <v>5.478683155293</v>
      </c>
      <c r="BV80">
        <f t="shared" si="25"/>
        <v>9.8436805533904508</v>
      </c>
      <c r="BW80">
        <f t="shared" si="26"/>
        <v>86.87838112552501</v>
      </c>
      <c r="BX80">
        <f t="shared" si="19"/>
        <v>35.063572193875203</v>
      </c>
      <c r="BY80">
        <f t="shared" si="27"/>
        <v>206.62886118280801</v>
      </c>
      <c r="BZ80">
        <f t="shared" si="28"/>
        <v>62.999555541698882</v>
      </c>
      <c r="CA80">
        <f t="shared" si="29"/>
        <v>59.062083320342708</v>
      </c>
      <c r="CB80">
        <f>BO80*'Reagent cost'!$G$11*'Reagent cost'!$H$11</f>
        <v>3471.2936471936455</v>
      </c>
      <c r="CC80">
        <f>BP80*'Reagent cost'!$G$11*'Reagent cost'!$H$11</f>
        <v>7276.4486650662202</v>
      </c>
      <c r="CD80">
        <f>BQ80*'Reagent cost'!$C$18/1000*'Reagent cost'!$H$18</f>
        <v>4193.9657747282263</v>
      </c>
      <c r="CE80">
        <f>BR80*'Ligand cost'!$B$56*'Ligand cost'!$J$56</f>
        <v>56123.895272052112</v>
      </c>
      <c r="CF80">
        <f t="shared" si="30"/>
        <v>10</v>
      </c>
      <c r="CG80">
        <f t="shared" si="31"/>
        <v>2.1914732621172002</v>
      </c>
      <c r="CH80">
        <f t="shared" si="31"/>
        <v>3.9374722213561806</v>
      </c>
      <c r="CI80">
        <f>7963.6*(BX80/1000)^0.6*1.7*('CAPEX+OPEX'!$G$116/'CAPEX+OPEX'!$G$115)</f>
        <v>2138.7234102796551</v>
      </c>
      <c r="CJ80">
        <f>7963.6*(BY80/1000)^0.6*1.7*('CAPEX+OPEX'!$G$116/'CAPEX+OPEX'!$G$115)</f>
        <v>6199.4836239091055</v>
      </c>
      <c r="CK80">
        <f>7963.6*(BZ80/1000)^0.6*1.7*('CAPEX+OPEX'!$G$116/'CAPEX+OPEX'!$G$115)</f>
        <v>3039.7888606544216</v>
      </c>
      <c r="CL80">
        <f>7963.6*(CA80/1000)^0.6*1.7*('CAPEX+OPEX'!$G$116/'CAPEX+OPEX'!$G$115)</f>
        <v>2924.3286898271026</v>
      </c>
      <c r="CM80">
        <f>'Costing 100 Lmin Feed Orig'!DE80</f>
        <v>39625.826528698344</v>
      </c>
      <c r="CN80">
        <f>'Costing 100 Lmin Feed Orig'!DF80</f>
        <v>4586243.4239371875</v>
      </c>
      <c r="CO80">
        <f>'Costing 100 Lmin Feed Orig'!DG80</f>
        <v>11794834.586807497</v>
      </c>
      <c r="CP80">
        <f>'Costing 100 Lmin Feed Orig'!DH80</f>
        <v>2275209.1661185985</v>
      </c>
      <c r="CQ80">
        <f>'Costing 100 Lmin Feed Orig'!DI80</f>
        <v>14083914.336508472</v>
      </c>
      <c r="CR80">
        <f>'Costing 100 Lmin Feed Orig'!DJ80</f>
        <v>1662824.8986326549</v>
      </c>
      <c r="CS80">
        <f>CN80*(BK80/10000)^0.72*((A80+1)/3)^0.6*('CAPEX+OPEX'!$G$116/'CAPEX+OPEX'!$G$114)</f>
        <v>847423.79840727116</v>
      </c>
      <c r="CT80">
        <f>CO80*(BK80/10000)^0.72*((A80+1)/3)^0.6*('CAPEX+OPEX'!$G$116/'CAPEX+OPEX'!$G$114)</f>
        <v>2179392.2832288719</v>
      </c>
      <c r="CU80">
        <f>CP80*(BK80/10000)^0.72*((A80+1)/3)^0.6*('CAPEX+OPEX'!$G$116/'CAPEX+OPEX'!$G$114)</f>
        <v>420402.1059283549</v>
      </c>
      <c r="CV80">
        <f>CQ80*(BK80/10000)^0.72*((A80+1)/3)^0.6*('CAPEX+OPEX'!$G$116/'CAPEX+OPEX'!$G$114)</f>
        <v>2602357.3282642425</v>
      </c>
      <c r="CW80">
        <f>CR80*(BK80/10000)^0.72*((A80+1)/3)^0.6*('CAPEX+OPEX'!$G$116/'CAPEX+OPEX'!$G$114)</f>
        <v>307248.71347447456</v>
      </c>
      <c r="CX80">
        <f t="shared" si="32"/>
        <v>6356824.2293032147</v>
      </c>
      <c r="CY80">
        <f>CN80*(BM80/10000)^0.72*((AF80+1)/3)^0.6*('CAPEX+OPEX'!$G$116/'CAPEX+OPEX'!$G$114)</f>
        <v>884646.05002992239</v>
      </c>
      <c r="CZ80">
        <f>CO80*(BM80/10000)^0.72*((AF80+1)/3)^0.6*('CAPEX+OPEX'!$G$116/'CAPEX+OPEX'!$G$114)</f>
        <v>2275119.9322555778</v>
      </c>
      <c r="DA80">
        <f>CP80*(BM80/10000)^0.72*((AF80+1)/3)^0.6*('CAPEX+OPEX'!$G$116/'CAPEX+OPEX'!$G$114)</f>
        <v>438867.85234587191</v>
      </c>
      <c r="DB80">
        <f>CQ80*(BM80/10000)^0.72*((AF80+1)/3)^0.6*('CAPEX+OPEX'!$G$116/'CAPEX+OPEX'!$G$114)</f>
        <v>2716663.2982721184</v>
      </c>
      <c r="DC80">
        <f>CR80*(BM80/10000)^0.72*((AF80+1)/3)^0.6*('CAPEX+OPEX'!$G$116/'CAPEX+OPEX'!$G$114)</f>
        <v>320744.30911997985</v>
      </c>
      <c r="DD80">
        <f t="shared" si="33"/>
        <v>6636041.4420234701</v>
      </c>
      <c r="DE80">
        <f>CX80+DD80+1.15*(SUM(CI80:CL80)+SUM(CB80:CE80))</f>
        <v>13091038.788461953</v>
      </c>
      <c r="DF80">
        <f t="shared" si="34"/>
        <v>872735.91923079686</v>
      </c>
      <c r="DG80">
        <f>(BS80+BT80)*'Oxidant Feed Composition'!$N$28*60*7200</f>
        <v>20443127.592914566</v>
      </c>
      <c r="DH80">
        <f>((CG80+CH80)*'Reagent cost'!$C$17/1000*'Reagent cost'!$H$17+(CG80+CH80)*0.5*'Reagent cost'!$C$16/1000*'Reagent cost'!$H$16*1.5)*60*7200</f>
        <v>8697192.8121392168</v>
      </c>
      <c r="DI80">
        <f>CF80*'Reagent cost'!$C$17/1000*'Reagent cost'!$H$17*60*7200</f>
        <v>504921.59999999998</v>
      </c>
      <c r="DJ80">
        <f t="shared" si="35"/>
        <v>107.47742312259867</v>
      </c>
      <c r="DK80">
        <f t="shared" si="36"/>
        <v>1206.3572209356068</v>
      </c>
      <c r="DL80">
        <f t="shared" si="37"/>
        <v>35575867.007637411</v>
      </c>
      <c r="DM80">
        <f>BK80*(B80*(409.81+2)/1000+C80*(248.2+2*22.99)/1000+D80*(315.6+3*22.99)/1000+0.1*58.44/1000)</f>
        <v>0.70639694042110623</v>
      </c>
      <c r="DN80">
        <f>(BS80+BT80)/1000*('Oxidant Feed Composition'!$B$11*'Oxidant Feed Composition'!$O$20+'Oxidant Feed Composition'!$D$11*'Oxidant Feed Composition'!$O$21+'Oxidant Feed Composition'!$F$11*'Oxidant Feed Composition'!$O$27-'Oxidant Feed Composition'!$J$15*18.015)</f>
        <v>2.1472982369175488</v>
      </c>
      <c r="DO80">
        <f>(BU80+BV80)/1000*(0.2*368.34+0.4*58.44)</f>
        <v>1.4869434637454768</v>
      </c>
      <c r="DP80">
        <f>BK80/1000*(B80*195.08+C80*106.42+D80*102.91)</f>
        <v>4.999938342565946E-2</v>
      </c>
      <c r="DQ80">
        <f>SUM(DM80:DO80)-DP80</f>
        <v>4.290639257658472</v>
      </c>
      <c r="DR80">
        <f>DQ80*60*7200*0.33</f>
        <v>611673.5325717919</v>
      </c>
      <c r="DS80">
        <v>1.2</v>
      </c>
      <c r="DT80">
        <f>BM80/60*(AM80*4+AN80*2+AO80*3)*96485/DV80</f>
        <v>1405.8825769117466</v>
      </c>
      <c r="DU80">
        <f>BN80*BA80*(AP80*4+AQ80*2+AR80*3)*96485/DV80/60</f>
        <v>705.80579676317939</v>
      </c>
      <c r="DV80">
        <v>0.7</v>
      </c>
      <c r="DW80">
        <f>0.499*((BK80/3.78541*15)^(-0.146))*BK80/3.78541*15*300*(1+(A80-2)/9)</f>
        <v>46784.46952433938</v>
      </c>
      <c r="DX80">
        <f>0.248*((BK80/3.78541*15)^(-0.144))*BK80/3.78541*15*300*(1+(A80-2)/3)</f>
        <v>45678.708869524045</v>
      </c>
      <c r="DY80">
        <f>0.105*((BK80/3.78541*15)^(-0.144))*BK80/3.78541*15*300*(1+(A80-2)/3)</f>
        <v>19339.775932661389</v>
      </c>
      <c r="DZ80">
        <f>0.058*((BK80/3.78541*15)^(-0.151))*BK80/3.78541*15*300*(1+(A80-2)/3)</f>
        <v>10244.818866671721</v>
      </c>
      <c r="EA80">
        <f>0.056*((BK80/3.78541*15)^(-0.144))*BK80/3.78541*15*300*(1+(A80-2)/3)</f>
        <v>10314.547164086078</v>
      </c>
      <c r="EB80">
        <f>DS80*DT80/(3.6*10^6)*3600*7200*0.07</f>
        <v>850.27778251622431</v>
      </c>
      <c r="EC80">
        <f>0.499*((BM80/3.78541*15)^(-0.146))*BM80/3.78541*15*300*(1+(AF80-2)/9)</f>
        <v>48855.995986073096</v>
      </c>
      <c r="ED80">
        <f>0.248*((BM80/3.78541*15)^(-0.144))*BM80/3.78541*15*300*(1+(AF80-2)/3)</f>
        <v>50432.083379093361</v>
      </c>
      <c r="EE80">
        <f>0.105*((BM80/3.78541*15)^(-0.144))*BM80/3.78541*15*300*(1+(AF80-2)/3)</f>
        <v>21352.293366148395</v>
      </c>
      <c r="EF80">
        <f>0.058*((BM80/3.78541*15)^(-0.151))*BM80/3.78541*15*300*(1+(AF80-2)/3)</f>
        <v>11317.202401332423</v>
      </c>
      <c r="EG80">
        <f>0.056*((BM80/3.78541*15)^(-0.144))*BM80/3.78541*15*300*(1+(AF80-2)/3)</f>
        <v>11387.889795279147</v>
      </c>
      <c r="EH80">
        <f>DS80*DU80/(3.6*10^6)*3600*7200*0.07</f>
        <v>426.87134588237086</v>
      </c>
      <c r="EI80">
        <f>SUM(DW80:EH80)</f>
        <v>276984.93441360764</v>
      </c>
      <c r="EJ80">
        <f>EI80+DR80+DL80</f>
        <v>36464525.474622808</v>
      </c>
      <c r="EK80">
        <f>EJ80+DF80</f>
        <v>37337261.393853605</v>
      </c>
      <c r="EL80">
        <f>EK80/(BK80*60*7200)</f>
        <v>0.86428845819105571</v>
      </c>
      <c r="EM80">
        <f>EK80/(BM80*(AM80*195.084/1000+AN80*106.42/1000+AO80*102.911/1000)*60*7200)</f>
        <v>2891.449945465175</v>
      </c>
      <c r="EN80">
        <f>EK80/(BN80*BA80*(AP80*195.084/1000+AQ80*106.42/1000+AR80*102.911/1000)*60*7200)</f>
        <v>5306.4999990032375</v>
      </c>
    </row>
    <row r="81" spans="1:144">
      <c r="A81">
        <f>'Costing 100 Lmin Feed Orig'!A81</f>
        <v>10</v>
      </c>
      <c r="B81">
        <f>'Costing 100 Lmin Feed Orig'!B81</f>
        <v>1.54143585092054E-3</v>
      </c>
      <c r="C81">
        <f>'Costing 100 Lmin Feed Orig'!C81</f>
        <v>1.54143585092054E-3</v>
      </c>
      <c r="D81">
        <f>'Costing 100 Lmin Feed Orig'!D81</f>
        <v>3.4254130020456501E-4</v>
      </c>
      <c r="E81">
        <f>'Costing 100 Lmin Feed Orig'!E81</f>
        <v>0</v>
      </c>
      <c r="F81">
        <f>'Costing 100 Lmin Feed Orig'!F81</f>
        <v>0</v>
      </c>
      <c r="G81">
        <f>'Costing 100 Lmin Feed Orig'!G81</f>
        <v>0</v>
      </c>
      <c r="H81">
        <f>'Costing 100 Lmin Feed Orig'!H81</f>
        <v>1.7770671970930099E-5</v>
      </c>
      <c r="I81">
        <f>'Costing 100 Lmin Feed Orig'!I81</f>
        <v>5.2649488631162003E-10</v>
      </c>
      <c r="J81">
        <f>'Costing 100 Lmin Feed Orig'!J81</f>
        <v>3.3765279177869602E-4</v>
      </c>
      <c r="K81">
        <f>'Costing 100 Lmin Feed Orig'!K81</f>
        <v>0.139053960209192</v>
      </c>
      <c r="L81">
        <f>'Costing 100 Lmin Feed Orig'!L81</f>
        <v>0.14067571356050099</v>
      </c>
      <c r="M81">
        <f>'Costing 100 Lmin Feed Orig'!M81</f>
        <v>4.4613899794023002E-4</v>
      </c>
      <c r="N81">
        <f>'Costing 100 Lmin Feed Orig'!N81</f>
        <v>-1.6046192152785399E-16</v>
      </c>
      <c r="O81">
        <f>'Costing 100 Lmin Feed Orig'!O81</f>
        <v>-5.9831913729046996E-14</v>
      </c>
      <c r="P81">
        <f>'Costing 100 Lmin Feed Orig'!P81</f>
        <v>-6.6915602833089703E-20</v>
      </c>
      <c r="Q81">
        <f>'Costing 100 Lmin Feed Orig'!Q81</f>
        <v>0.10957366310586</v>
      </c>
      <c r="R81">
        <f>'Costing 100 Lmin Feed Orig'!R81</f>
        <v>98.572870359588904</v>
      </c>
      <c r="S81">
        <f>'Costing 100 Lmin Feed Orig'!S81</f>
        <v>500</v>
      </c>
      <c r="T81">
        <f>'Costing 100 Lmin Feed Orig'!T81</f>
        <v>95</v>
      </c>
      <c r="U81">
        <f>'Costing 100 Lmin Feed Orig'!U81</f>
        <v>1</v>
      </c>
      <c r="V81">
        <f>'Costing 100 Lmin Feed Orig'!V81</f>
        <v>0.1</v>
      </c>
      <c r="W81">
        <f>'Costing 100 Lmin Feed Orig'!W81</f>
        <v>91.262806376555005</v>
      </c>
      <c r="X81" t="str">
        <f>'Costing 100 Lmin Feed Orig'!X81</f>
        <v>ddFc</v>
      </c>
      <c r="Y81">
        <f>'Costing 100 Lmin Feed Orig'!Y81</f>
        <v>1</v>
      </c>
      <c r="Z81">
        <f>'Costing 100 Lmin Feed Orig'!Z81</f>
        <v>0.28318429382522198</v>
      </c>
      <c r="AA81">
        <f>'Costing 100 Lmin Feed Orig'!AA81</f>
        <v>0.56945642916197003</v>
      </c>
      <c r="AB81">
        <f>'Costing 100 Lmin Feed Orig'!AB81</f>
        <v>3.7698628972227502E-3</v>
      </c>
      <c r="AC81">
        <f>'Costing 100 Lmin Feed Orig'!AC81</f>
        <v>1822.2107908876901</v>
      </c>
      <c r="AD81">
        <f>'Costing 100 Lmin Feed Orig'!AD81</f>
        <v>2662.6059073104898</v>
      </c>
      <c r="AE81">
        <f>'Costing 100 Lmin Feed Orig'!AE81</f>
        <v>2401.5030938442701</v>
      </c>
      <c r="AF81">
        <f>'Costing 100 Lmin Feed Orig'!AF81</f>
        <v>13</v>
      </c>
      <c r="AG81">
        <f>'Costing 100 Lmin Feed Orig'!AG81</f>
        <v>1.6497548842793E-3</v>
      </c>
      <c r="AH81">
        <f>'Costing 100 Lmin Feed Orig'!AH81</f>
        <v>1.66899558413707E-3</v>
      </c>
      <c r="AI81">
        <f>'Costing 100 Lmin Feed Orig'!AI81</f>
        <v>5.2930530695573503E-6</v>
      </c>
      <c r="AJ81">
        <f>'Costing 100 Lmin Feed Orig'!AJ81</f>
        <v>0</v>
      </c>
      <c r="AK81">
        <f>'Costing 100 Lmin Feed Orig'!AK81</f>
        <v>0</v>
      </c>
      <c r="AL81">
        <f>'Costing 100 Lmin Feed Orig'!AL81</f>
        <v>0</v>
      </c>
      <c r="AM81">
        <f>'Costing 100 Lmin Feed Orig'!AM81</f>
        <v>1.6128081639407901E-3</v>
      </c>
      <c r="AN81">
        <f>'Costing 100 Lmin Feed Orig'!AN81</f>
        <v>7.96263962340472E-5</v>
      </c>
      <c r="AO81">
        <f>'Costing 100 Lmin Feed Orig'!AO81</f>
        <v>5.2582439733631299E-6</v>
      </c>
      <c r="AP81">
        <f>'Costing 100 Lmin Feed Orig'!AP81</f>
        <v>1.7332424309303299E-3</v>
      </c>
      <c r="AQ81">
        <f>'Costing 100 Lmin Feed Orig'!AQ81</f>
        <v>7.4560396420763494E-2</v>
      </c>
      <c r="AR81">
        <f>'Costing 100 Lmin Feed Orig'!AR81</f>
        <v>1.63296232935881E-6</v>
      </c>
      <c r="AS81">
        <f>'Costing 100 Lmin Feed Orig'!AS81</f>
        <v>5.2177229550864901E-19</v>
      </c>
      <c r="AT81">
        <f>'Costing 100 Lmin Feed Orig'!AT81</f>
        <v>-1.32272665043231E-17</v>
      </c>
      <c r="AU81">
        <f>'Costing 100 Lmin Feed Orig'!AU81</f>
        <v>8.0732827785175501E-22</v>
      </c>
      <c r="AV81">
        <f>'Costing 100 Lmin Feed Orig'!AV81</f>
        <v>0.19687324544888599</v>
      </c>
      <c r="AW81">
        <f>'Costing 100 Lmin Feed Orig'!AW81</f>
        <v>99.3423626074255</v>
      </c>
      <c r="AX81">
        <f>'Costing 100 Lmin Feed Orig'!AX81</f>
        <v>500</v>
      </c>
      <c r="AY81">
        <f>'Costing 100 Lmin Feed Orig'!AY81</f>
        <v>95</v>
      </c>
      <c r="AZ81">
        <f>'Costing 100 Lmin Feed Orig'!AZ81</f>
        <v>0.92357064280818002</v>
      </c>
      <c r="BA81">
        <f>'Costing 100 Lmin Feed Orig'!BA81</f>
        <v>0.1</v>
      </c>
      <c r="BB81">
        <f>'Costing 100 Lmin Feed Orig'!BB81</f>
        <v>46.9119427935657</v>
      </c>
      <c r="BC81" t="str">
        <f>'Costing 100 Lmin Feed Orig'!BC81</f>
        <v>coeFc</v>
      </c>
      <c r="BD81">
        <f>'Costing 100 Lmin Feed Orig'!BD81</f>
        <v>1</v>
      </c>
      <c r="BE81">
        <f>'Costing 100 Lmin Feed Orig'!BE81</f>
        <v>1.8775014999999999E-2</v>
      </c>
      <c r="BF81">
        <f>'Costing 100 Lmin Feed Orig'!BF81</f>
        <v>0.10492961100000001</v>
      </c>
      <c r="BG81">
        <f>'Costing 100 Lmin Feed Orig'!BG81</f>
        <v>1.814625E-3</v>
      </c>
      <c r="BH81">
        <f>'Costing 100 Lmin Feed Orig'!BH81</f>
        <v>285.1951444</v>
      </c>
      <c r="BI81">
        <f>'Costing 100 Lmin Feed Orig'!BI81</f>
        <v>2169.8944889999998</v>
      </c>
      <c r="BJ81">
        <f>'Costing 100 Lmin Feed Orig'!BJ81</f>
        <v>866.49409060000005</v>
      </c>
      <c r="BK81">
        <f>'Costing 100 Lmin Feed Orig'!BK81</f>
        <v>100</v>
      </c>
      <c r="BL81">
        <f>'Costing 100 Lmin Feed Orig'!BL81</f>
        <v>10.957366310586</v>
      </c>
      <c r="BM81">
        <f>'Costing 100 Lmin Feed Orig'!BM81</f>
        <v>92.357064280818008</v>
      </c>
      <c r="BN81">
        <f>'Costing 100 Lmin Feed Orig'!BN81</f>
        <v>19.6873245448886</v>
      </c>
      <c r="BO81">
        <f t="shared" si="20"/>
        <v>262.97679145406403</v>
      </c>
      <c r="BP81">
        <f t="shared" si="21"/>
        <v>590.61973634665799</v>
      </c>
      <c r="BQ81">
        <f t="shared" si="22"/>
        <v>26.297679145406406</v>
      </c>
      <c r="BR81">
        <f t="shared" si="23"/>
        <v>59.061973634665804</v>
      </c>
      <c r="BS81">
        <f>1.2*0.5*BL81*V81/'Oxidant Feed Composition'!$N$22</f>
        <v>6.5744197863515996</v>
      </c>
      <c r="BT81">
        <f>1.2*0.5*BN81*BA81/'Oxidant Feed Composition'!$N$22</f>
        <v>11.812394726933158</v>
      </c>
      <c r="BU81">
        <f t="shared" si="24"/>
        <v>5.478683155293</v>
      </c>
      <c r="BV81">
        <f t="shared" si="25"/>
        <v>9.8436622724443001</v>
      </c>
      <c r="BW81">
        <f t="shared" si="26"/>
        <v>86.87838112552501</v>
      </c>
      <c r="BX81">
        <f t="shared" si="19"/>
        <v>35.063572193875203</v>
      </c>
      <c r="BY81">
        <f t="shared" si="27"/>
        <v>206.62886118280801</v>
      </c>
      <c r="BZ81">
        <f t="shared" si="28"/>
        <v>62.999438543643521</v>
      </c>
      <c r="CA81">
        <f t="shared" si="29"/>
        <v>59.061973634665804</v>
      </c>
      <c r="CB81">
        <f>BO81*'Reagent cost'!$G$11*'Reagent cost'!$H$11</f>
        <v>3471.2936471936455</v>
      </c>
      <c r="CC81">
        <f>BP81*'Reagent cost'!$G$11*'Reagent cost'!$H$11</f>
        <v>7796.1805197758858</v>
      </c>
      <c r="CD81">
        <f>BQ81*'Reagent cost'!$C$18/1000*'Reagent cost'!$H$18</f>
        <v>4193.9657747282263</v>
      </c>
      <c r="CE81">
        <f>BR81*'Ligand cost'!$B$56*'Ligand cost'!$J$56</f>
        <v>60132.633260312105</v>
      </c>
      <c r="CF81">
        <f t="shared" si="30"/>
        <v>10</v>
      </c>
      <c r="CG81">
        <f t="shared" si="31"/>
        <v>2.1914732621172002</v>
      </c>
      <c r="CH81">
        <f t="shared" si="31"/>
        <v>3.9374649089777201</v>
      </c>
      <c r="CI81">
        <f>7963.6*(BX81/1000)^0.6*1.7*('CAPEX+OPEX'!$G$116/'CAPEX+OPEX'!$G$115)</f>
        <v>2138.7234102796551</v>
      </c>
      <c r="CJ81">
        <f>7963.6*(BY81/1000)^0.6*1.7*('CAPEX+OPEX'!$G$116/'CAPEX+OPEX'!$G$115)</f>
        <v>6199.4836239091055</v>
      </c>
      <c r="CK81">
        <f>7963.6*(BZ81/1000)^0.6*1.7*('CAPEX+OPEX'!$G$116/'CAPEX+OPEX'!$G$115)</f>
        <v>3039.7854734922639</v>
      </c>
      <c r="CL81">
        <f>7963.6*(CA81/1000)^0.6*1.7*('CAPEX+OPEX'!$G$116/'CAPEX+OPEX'!$G$115)</f>
        <v>2924.3254313193802</v>
      </c>
      <c r="CM81">
        <f>'Costing 100 Lmin Feed Orig'!DE81</f>
        <v>39625.826528698344</v>
      </c>
      <c r="CN81">
        <f>'Costing 100 Lmin Feed Orig'!DF81</f>
        <v>4586243.4239371875</v>
      </c>
      <c r="CO81">
        <f>'Costing 100 Lmin Feed Orig'!DG81</f>
        <v>11794834.586807497</v>
      </c>
      <c r="CP81">
        <f>'Costing 100 Lmin Feed Orig'!DH81</f>
        <v>2275209.1661185985</v>
      </c>
      <c r="CQ81">
        <f>'Costing 100 Lmin Feed Orig'!DI81</f>
        <v>14083914.336508472</v>
      </c>
      <c r="CR81">
        <f>'Costing 100 Lmin Feed Orig'!DJ81</f>
        <v>1662824.8986326549</v>
      </c>
      <c r="CS81">
        <f>CN81*(BK81/10000)^0.72*((A81+1)/3)^0.6*('CAPEX+OPEX'!$G$116/'CAPEX+OPEX'!$G$114)</f>
        <v>847423.79840727116</v>
      </c>
      <c r="CT81">
        <f>CO81*(BK81/10000)^0.72*((A81+1)/3)^0.6*('CAPEX+OPEX'!$G$116/'CAPEX+OPEX'!$G$114)</f>
        <v>2179392.2832288719</v>
      </c>
      <c r="CU81">
        <f>CP81*(BK81/10000)^0.72*((A81+1)/3)^0.6*('CAPEX+OPEX'!$G$116/'CAPEX+OPEX'!$G$114)</f>
        <v>420402.1059283549</v>
      </c>
      <c r="CV81">
        <f>CQ81*(BK81/10000)^0.72*((A81+1)/3)^0.6*('CAPEX+OPEX'!$G$116/'CAPEX+OPEX'!$G$114)</f>
        <v>2602357.3282642425</v>
      </c>
      <c r="CW81">
        <f>CR81*(BK81/10000)^0.72*((A81+1)/3)^0.6*('CAPEX+OPEX'!$G$116/'CAPEX+OPEX'!$G$114)</f>
        <v>307248.71347447456</v>
      </c>
      <c r="CX81">
        <f t="shared" si="32"/>
        <v>6356824.2293032147</v>
      </c>
      <c r="CY81">
        <f>CN81*(BM81/10000)^0.72*((AF81+1)/3)^0.6*('CAPEX+OPEX'!$G$116/'CAPEX+OPEX'!$G$114)</f>
        <v>924869.27650897147</v>
      </c>
      <c r="CZ81">
        <f>CO81*(BM81/10000)^0.72*((AF81+1)/3)^0.6*('CAPEX+OPEX'!$G$116/'CAPEX+OPEX'!$G$114)</f>
        <v>2378565.4450671924</v>
      </c>
      <c r="DA81">
        <f>CP81*(BM81/10000)^0.72*((AF81+1)/3)^0.6*('CAPEX+OPEX'!$G$116/'CAPEX+OPEX'!$G$114)</f>
        <v>458822.36524816178</v>
      </c>
      <c r="DB81">
        <f>CQ81*(BM81/10000)^0.72*((AF81+1)/3)^0.6*('CAPEX+OPEX'!$G$116/'CAPEX+OPEX'!$G$114)</f>
        <v>2840184.9746646415</v>
      </c>
      <c r="DC81">
        <f>CR81*(BM81/10000)^0.72*((AF81+1)/3)^0.6*('CAPEX+OPEX'!$G$116/'CAPEX+OPEX'!$G$114)</f>
        <v>335327.96208170697</v>
      </c>
      <c r="DD81">
        <f t="shared" si="33"/>
        <v>6937770.0235706745</v>
      </c>
      <c r="DE81">
        <f>CX81+DD81+1.15*(SUM(CI81:CL81)+SUM(CB81:CE81))</f>
        <v>13397975.102686051</v>
      </c>
      <c r="DF81">
        <f t="shared" si="34"/>
        <v>893198.34017907013</v>
      </c>
      <c r="DG81">
        <f>(BS81+BT81)*'Oxidant Feed Composition'!$N$28*60*7200</f>
        <v>20443103.202440497</v>
      </c>
      <c r="DH81">
        <f>((CG81+CH81)*'Reagent cost'!$C$17/1000*'Reagent cost'!$H$17+(CG81+CH81)*0.5*'Reagent cost'!$C$16/1000*'Reagent cost'!$H$16*1.5)*60*7200</f>
        <v>8697182.4356126916</v>
      </c>
      <c r="DI81">
        <f>CF81*'Reagent cost'!$C$17/1000*'Reagent cost'!$H$17*60*7200</f>
        <v>504921.59999999998</v>
      </c>
      <c r="DJ81">
        <f t="shared" si="35"/>
        <v>112.67474166969532</v>
      </c>
      <c r="DK81">
        <f t="shared" si="36"/>
        <v>1286.5319807008066</v>
      </c>
      <c r="DL81">
        <f t="shared" si="37"/>
        <v>35575927.733730666</v>
      </c>
      <c r="DM81">
        <f>BK81*(B81*(409.81+2)/1000+C81*(248.2+2*22.99)/1000+D81*(315.6+3*22.99)/1000+0.1*58.44/1000)</f>
        <v>0.70639694042110623</v>
      </c>
      <c r="DN81">
        <f>(BS81+BT81)/1000*('Oxidant Feed Composition'!$B$11*'Oxidant Feed Composition'!$O$20+'Oxidant Feed Composition'!$D$11*'Oxidant Feed Composition'!$O$21+'Oxidant Feed Composition'!$F$11*'Oxidant Feed Composition'!$O$27-'Oxidant Feed Composition'!$J$15*18.015)</f>
        <v>2.1472956749992838</v>
      </c>
      <c r="DO81">
        <f>(BU81+BV81)/1000*(0.2*368.34+0.4*58.44)</f>
        <v>1.4869416896893384</v>
      </c>
      <c r="DP81">
        <f>BK81/1000*(B81*195.08+C81*106.42+D81*102.91)</f>
        <v>4.999938342565946E-2</v>
      </c>
      <c r="DQ81">
        <f>SUM(DM81:DO81)-DP81</f>
        <v>4.2906349216840685</v>
      </c>
      <c r="DR81">
        <f>DQ81*60*7200*0.33</f>
        <v>611672.91443528072</v>
      </c>
      <c r="DS81">
        <v>1.2</v>
      </c>
      <c r="DT81">
        <f>BM81/60*(AM81*4+AN81*2+AO81*3)*96485/DV81</f>
        <v>1405.8827911906292</v>
      </c>
      <c r="DU81">
        <f>BN81*BA81*(AP81*4+AQ81*2+AR81*3)*96485/DV81/60</f>
        <v>705.80558246711394</v>
      </c>
      <c r="DV81">
        <v>0.7</v>
      </c>
      <c r="DW81">
        <f>0.499*((BK81/3.78541*15)^(-0.146))*BK81/3.78541*15*300*(1+(A81-2)/9)</f>
        <v>46784.46952433938</v>
      </c>
      <c r="DX81">
        <f>0.248*((BK81/3.78541*15)^(-0.144))*BK81/3.78541*15*300*(1+(A81-2)/3)</f>
        <v>45678.708869524045</v>
      </c>
      <c r="DY81">
        <f>0.105*((BK81/3.78541*15)^(-0.144))*BK81/3.78541*15*300*(1+(A81-2)/3)</f>
        <v>19339.775932661389</v>
      </c>
      <c r="DZ81">
        <f>0.058*((BK81/3.78541*15)^(-0.151))*BK81/3.78541*15*300*(1+(A81-2)/3)</f>
        <v>10244.818866671721</v>
      </c>
      <c r="EA81">
        <f>0.056*((BK81/3.78541*15)^(-0.144))*BK81/3.78541*15*300*(1+(A81-2)/3)</f>
        <v>10314.547164086078</v>
      </c>
      <c r="EB81">
        <f>DS81*DT81/(3.6*10^6)*3600*7200*0.07</f>
        <v>850.27791211209262</v>
      </c>
      <c r="EC81">
        <f>0.499*((BM81/3.78541*15)^(-0.146))*BM81/3.78541*15*300*(1+(AF81-2)/9)</f>
        <v>51427.364195866423</v>
      </c>
      <c r="ED81">
        <f>0.248*((BM81/3.78541*15)^(-0.144))*BM81/3.78541*15*300*(1+(AF81-2)/3)</f>
        <v>54311.474408254369</v>
      </c>
      <c r="EE81">
        <f>0.105*((BM81/3.78541*15)^(-0.144))*BM81/3.78541*15*300*(1+(AF81-2)/3)</f>
        <v>22994.777471236728</v>
      </c>
      <c r="EF81">
        <f>0.058*((BM81/3.78541*15)^(-0.151))*BM81/3.78541*15*300*(1+(AF81-2)/3)</f>
        <v>12187.756432204143</v>
      </c>
      <c r="EG81">
        <f>0.056*((BM81/3.78541*15)^(-0.144))*BM81/3.78541*15*300*(1+(AF81-2)/3)</f>
        <v>12263.881317992924</v>
      </c>
      <c r="EH81">
        <f>DS81*DU81/(3.6*10^6)*3600*7200*0.07</f>
        <v>426.87121627611049</v>
      </c>
      <c r="EI81">
        <f>SUM(DW81:EH81)</f>
        <v>286824.72331122548</v>
      </c>
      <c r="EJ81">
        <f>EI81+DR81+DL81</f>
        <v>36474425.371477172</v>
      </c>
      <c r="EK81">
        <f>EJ81+DF81</f>
        <v>37367623.711656243</v>
      </c>
      <c r="EL81">
        <f>EK81/(BK81*60*7200)</f>
        <v>0.86499128962167227</v>
      </c>
      <c r="EM81">
        <f>EK81/(BM81*(AM81*195.084/1000+AN81*106.42/1000+AO81*102.911/1000)*60*7200)</f>
        <v>2893.800804653109</v>
      </c>
      <c r="EN81">
        <f>EK81/(BN81*BA81*(AP81*195.084/1000+AQ81*106.42/1000+AR81*102.911/1000)*60*7200)</f>
        <v>5310.8166826142824</v>
      </c>
    </row>
    <row r="82" spans="1:144">
      <c r="A82">
        <f>'Costing 100 Lmin Feed Orig'!A82</f>
        <v>11</v>
      </c>
      <c r="B82">
        <f>'Costing 100 Lmin Feed Orig'!B82</f>
        <v>1.54143585092054E-3</v>
      </c>
      <c r="C82">
        <f>'Costing 100 Lmin Feed Orig'!C82</f>
        <v>1.54143585092054E-3</v>
      </c>
      <c r="D82">
        <f>'Costing 100 Lmin Feed Orig'!D82</f>
        <v>3.4254130020456501E-4</v>
      </c>
      <c r="E82">
        <f>'Costing 100 Lmin Feed Orig'!E82</f>
        <v>0</v>
      </c>
      <c r="F82">
        <f>'Costing 100 Lmin Feed Orig'!F82</f>
        <v>0</v>
      </c>
      <c r="G82">
        <f>'Costing 100 Lmin Feed Orig'!G82</f>
        <v>0</v>
      </c>
      <c r="H82">
        <f>'Costing 100 Lmin Feed Orig'!H82</f>
        <v>1.7771367359861701E-5</v>
      </c>
      <c r="I82">
        <f>'Costing 100 Lmin Feed Orig'!I82</f>
        <v>1.8081057367328801E-10</v>
      </c>
      <c r="J82">
        <f>'Costing 100 Lmin Feed Orig'!J82</f>
        <v>3.3765941525589702E-4</v>
      </c>
      <c r="K82">
        <f>'Costing 100 Lmin Feed Orig'!K82</f>
        <v>0.139102253285185</v>
      </c>
      <c r="L82">
        <f>'Costing 100 Lmin Feed Orig'!L82</f>
        <v>0.14072466572308701</v>
      </c>
      <c r="M82">
        <f>'Costing 100 Lmin Feed Orig'!M82</f>
        <v>4.4568945720355099E-4</v>
      </c>
      <c r="N82">
        <f>'Costing 100 Lmin Feed Orig'!N82</f>
        <v>-8.03393809811758E-16</v>
      </c>
      <c r="O82">
        <f>'Costing 100 Lmin Feed Orig'!O82</f>
        <v>-8.4019770307808202E-13</v>
      </c>
      <c r="P82">
        <f>'Costing 100 Lmin Feed Orig'!P82</f>
        <v>-2.26157796916898E-19</v>
      </c>
      <c r="Q82">
        <f>'Costing 100 Lmin Feed Orig'!Q82</f>
        <v>0.10953557168033</v>
      </c>
      <c r="R82">
        <f>'Costing 100 Lmin Feed Orig'!R82</f>
        <v>98.5748039883795</v>
      </c>
      <c r="S82">
        <f>'Costing 100 Lmin Feed Orig'!S82</f>
        <v>500</v>
      </c>
      <c r="T82">
        <f>'Costing 100 Lmin Feed Orig'!T82</f>
        <v>95</v>
      </c>
      <c r="U82">
        <f>'Costing 100 Lmin Feed Orig'!U82</f>
        <v>1</v>
      </c>
      <c r="V82">
        <f>'Costing 100 Lmin Feed Orig'!V82</f>
        <v>0.1</v>
      </c>
      <c r="W82">
        <f>'Costing 100 Lmin Feed Orig'!W82</f>
        <v>91.294543376138293</v>
      </c>
      <c r="X82" t="str">
        <f>'Costing 100 Lmin Feed Orig'!X82</f>
        <v>ddFc</v>
      </c>
      <c r="Y82">
        <f>'Costing 100 Lmin Feed Orig'!Y82</f>
        <v>1</v>
      </c>
      <c r="Z82">
        <f>'Costing 100 Lmin Feed Orig'!Z82</f>
        <v>0.28318429382522198</v>
      </c>
      <c r="AA82">
        <f>'Costing 100 Lmin Feed Orig'!AA82</f>
        <v>0.56945642916197003</v>
      </c>
      <c r="AB82">
        <f>'Costing 100 Lmin Feed Orig'!AB82</f>
        <v>3.7698628972227502E-3</v>
      </c>
      <c r="AC82">
        <f>'Costing 100 Lmin Feed Orig'!AC82</f>
        <v>1822.2107908876901</v>
      </c>
      <c r="AD82">
        <f>'Costing 100 Lmin Feed Orig'!AD82</f>
        <v>2662.6059073104898</v>
      </c>
      <c r="AE82">
        <f>'Costing 100 Lmin Feed Orig'!AE82</f>
        <v>2401.5030938442701</v>
      </c>
      <c r="AF82">
        <f>'Costing 100 Lmin Feed Orig'!AF82</f>
        <v>4</v>
      </c>
      <c r="AG82">
        <f>'Costing 100 Lmin Feed Orig'!AG82</f>
        <v>1.6497569194096201E-3</v>
      </c>
      <c r="AH82">
        <f>'Costing 100 Lmin Feed Orig'!AH82</f>
        <v>1.6689987798565299E-3</v>
      </c>
      <c r="AI82">
        <f>'Costing 100 Lmin Feed Orig'!AI82</f>
        <v>5.28589040482341E-6</v>
      </c>
      <c r="AJ82">
        <f>'Costing 100 Lmin Feed Orig'!AJ82</f>
        <v>0</v>
      </c>
      <c r="AK82">
        <f>'Costing 100 Lmin Feed Orig'!AK82</f>
        <v>0</v>
      </c>
      <c r="AL82">
        <f>'Costing 100 Lmin Feed Orig'!AL82</f>
        <v>0</v>
      </c>
      <c r="AM82">
        <f>'Costing 100 Lmin Feed Orig'!AM82</f>
        <v>1.6048442786411501E-3</v>
      </c>
      <c r="AN82">
        <f>'Costing 100 Lmin Feed Orig'!AN82</f>
        <v>7.9221543426505204E-5</v>
      </c>
      <c r="AO82">
        <f>'Costing 100 Lmin Feed Orig'!AO82</f>
        <v>5.2439449251215197E-6</v>
      </c>
      <c r="AP82">
        <f>'Costing 100 Lmin Feed Orig'!AP82</f>
        <v>1.9874086219128402E-3</v>
      </c>
      <c r="AQ82">
        <f>'Costing 100 Lmin Feed Orig'!AQ82</f>
        <v>7.0348501715363707E-2</v>
      </c>
      <c r="AR82">
        <f>'Costing 100 Lmin Feed Orig'!AR82</f>
        <v>1.8561101411739801E-6</v>
      </c>
      <c r="AS82">
        <f>'Costing 100 Lmin Feed Orig'!AS82</f>
        <v>-9.4923594267000406E-15</v>
      </c>
      <c r="AT82">
        <f>'Costing 100 Lmin Feed Orig'!AT82</f>
        <v>-1.2240620843317799E-13</v>
      </c>
      <c r="AU82">
        <f>'Costing 100 Lmin Feed Orig'!AU82</f>
        <v>-3.0355146200531901E-18</v>
      </c>
      <c r="AV82">
        <f>'Costing 100 Lmin Feed Orig'!AV82</f>
        <v>0.20871362817040201</v>
      </c>
      <c r="AW82">
        <f>'Costing 100 Lmin Feed Orig'!AW82</f>
        <v>99.206463311013493</v>
      </c>
      <c r="AX82">
        <f>'Costing 100 Lmin Feed Orig'!AX82</f>
        <v>500</v>
      </c>
      <c r="AY82">
        <f>'Costing 100 Lmin Feed Orig'!AY82</f>
        <v>95</v>
      </c>
      <c r="AZ82">
        <f>'Costing 100 Lmin Feed Orig'!AZ82</f>
        <v>0.92356908198738696</v>
      </c>
      <c r="BA82">
        <f>'Costing 100 Lmin Feed Orig'!BA82</f>
        <v>0.1</v>
      </c>
      <c r="BB82">
        <f>'Costing 100 Lmin Feed Orig'!BB82</f>
        <v>44.250540325682302</v>
      </c>
      <c r="BC82" t="str">
        <f>'Costing 100 Lmin Feed Orig'!BC82</f>
        <v>coeFc</v>
      </c>
      <c r="BD82">
        <f>'Costing 100 Lmin Feed Orig'!BD82</f>
        <v>1</v>
      </c>
      <c r="BE82">
        <f>'Costing 100 Lmin Feed Orig'!BE82</f>
        <v>1.8775014999999999E-2</v>
      </c>
      <c r="BF82">
        <f>'Costing 100 Lmin Feed Orig'!BF82</f>
        <v>0.10492961100000001</v>
      </c>
      <c r="BG82">
        <f>'Costing 100 Lmin Feed Orig'!BG82</f>
        <v>1.814625E-3</v>
      </c>
      <c r="BH82">
        <f>'Costing 100 Lmin Feed Orig'!BH82</f>
        <v>285.1951444</v>
      </c>
      <c r="BI82">
        <f>'Costing 100 Lmin Feed Orig'!BI82</f>
        <v>2169.8944889999998</v>
      </c>
      <c r="BJ82">
        <f>'Costing 100 Lmin Feed Orig'!BJ82</f>
        <v>866.49409060000005</v>
      </c>
      <c r="BK82">
        <f>'Costing 100 Lmin Feed Orig'!BK82</f>
        <v>100</v>
      </c>
      <c r="BL82">
        <f>'Costing 100 Lmin Feed Orig'!BL82</f>
        <v>10.953557168032999</v>
      </c>
      <c r="BM82">
        <f>'Costing 100 Lmin Feed Orig'!BM82</f>
        <v>92.356908198738694</v>
      </c>
      <c r="BN82">
        <f>'Costing 100 Lmin Feed Orig'!BN82</f>
        <v>20.8713628170402</v>
      </c>
      <c r="BO82">
        <f t="shared" si="20"/>
        <v>284.79248636885796</v>
      </c>
      <c r="BP82">
        <f t="shared" si="21"/>
        <v>250.4563538044824</v>
      </c>
      <c r="BQ82">
        <f t="shared" si="22"/>
        <v>28.479248636885799</v>
      </c>
      <c r="BR82">
        <f t="shared" si="23"/>
        <v>25.045635380448243</v>
      </c>
      <c r="BS82">
        <f>1.2*0.5*BL82*V82/'Oxidant Feed Composition'!$N$22</f>
        <v>6.5721343008197994</v>
      </c>
      <c r="BT82">
        <f>1.2*0.5*BN82*BA82/'Oxidant Feed Composition'!$N$22</f>
        <v>12.52281769022412</v>
      </c>
      <c r="BU82">
        <f t="shared" si="24"/>
        <v>5.4767785840164995</v>
      </c>
      <c r="BV82">
        <f t="shared" si="25"/>
        <v>10.4356814085201</v>
      </c>
      <c r="BW82">
        <f t="shared" si="26"/>
        <v>86.880129614722193</v>
      </c>
      <c r="BX82">
        <f t="shared" si="19"/>
        <v>35.051382937705597</v>
      </c>
      <c r="BY82">
        <f t="shared" si="27"/>
        <v>206.62093073354339</v>
      </c>
      <c r="BZ82">
        <f t="shared" si="28"/>
        <v>66.788361014528647</v>
      </c>
      <c r="CA82">
        <f t="shared" si="29"/>
        <v>62.614088451120601</v>
      </c>
      <c r="CB82">
        <f>BO82*'Reagent cost'!$G$11*'Reagent cost'!$H$11</f>
        <v>3759.2608200689256</v>
      </c>
      <c r="CC82">
        <f>BP82*'Reagent cost'!$G$11*'Reagent cost'!$H$11</f>
        <v>3306.0238702191682</v>
      </c>
      <c r="CD82">
        <f>BQ82*'Reagent cost'!$C$18/1000*'Reagent cost'!$H$18</f>
        <v>4541.8834647976191</v>
      </c>
      <c r="CE82">
        <f>BR82*'Ligand cost'!$B$56*'Ligand cost'!$J$56</f>
        <v>25499.65594478586</v>
      </c>
      <c r="CF82">
        <f t="shared" si="30"/>
        <v>10</v>
      </c>
      <c r="CG82">
        <f t="shared" si="31"/>
        <v>2.1907114336065998</v>
      </c>
      <c r="CH82">
        <f t="shared" si="31"/>
        <v>4.1742725634080404</v>
      </c>
      <c r="CI82">
        <f>7963.6*(BX82/1000)^0.6*1.7*('CAPEX+OPEX'!$G$116/'CAPEX+OPEX'!$G$115)</f>
        <v>2138.2772847076108</v>
      </c>
      <c r="CJ82">
        <f>7963.6*(BY82/1000)^0.6*1.7*('CAPEX+OPEX'!$G$116/'CAPEX+OPEX'!$G$115)</f>
        <v>6199.3408604999822</v>
      </c>
      <c r="CK82">
        <f>7963.6*(BZ82/1000)^0.6*1.7*('CAPEX+OPEX'!$G$116/'CAPEX+OPEX'!$G$115)</f>
        <v>3148.193366381196</v>
      </c>
      <c r="CL82">
        <f>7963.6*(CA82/1000)^0.6*1.7*('CAPEX+OPEX'!$G$116/'CAPEX+OPEX'!$G$115)</f>
        <v>3028.6156718298857</v>
      </c>
      <c r="CM82">
        <f>'Costing 100 Lmin Feed Orig'!DE82</f>
        <v>39625.826528698344</v>
      </c>
      <c r="CN82">
        <f>'Costing 100 Lmin Feed Orig'!DF82</f>
        <v>4586243.4239371875</v>
      </c>
      <c r="CO82">
        <f>'Costing 100 Lmin Feed Orig'!DG82</f>
        <v>11794834.586807497</v>
      </c>
      <c r="CP82">
        <f>'Costing 100 Lmin Feed Orig'!DH82</f>
        <v>2275209.1661185985</v>
      </c>
      <c r="CQ82">
        <f>'Costing 100 Lmin Feed Orig'!DI82</f>
        <v>14083914.336508472</v>
      </c>
      <c r="CR82">
        <f>'Costing 100 Lmin Feed Orig'!DJ82</f>
        <v>1662824.8986326549</v>
      </c>
      <c r="CS82">
        <f>CN82*(BK82/10000)^0.72*((A82+1)/3)^0.6*('CAPEX+OPEX'!$G$116/'CAPEX+OPEX'!$G$114)</f>
        <v>892840.31653984461</v>
      </c>
      <c r="CT82">
        <f>CO82*(BK82/10000)^0.72*((A82+1)/3)^0.6*('CAPEX+OPEX'!$G$116/'CAPEX+OPEX'!$G$114)</f>
        <v>2296193.8284949926</v>
      </c>
      <c r="CU82">
        <f>CP82*(BK82/10000)^0.72*((A82+1)/3)^0.6*('CAPEX+OPEX'!$G$116/'CAPEX+OPEX'!$G$114)</f>
        <v>442932.9811560188</v>
      </c>
      <c r="CV82">
        <f>CQ82*(BK82/10000)^0.72*((A82+1)/3)^0.6*('CAPEX+OPEX'!$G$116/'CAPEX+OPEX'!$G$114)</f>
        <v>2741827.1059701391</v>
      </c>
      <c r="CW82">
        <f>CR82*(BK82/10000)^0.72*((A82+1)/3)^0.6*('CAPEX+OPEX'!$G$116/'CAPEX+OPEX'!$G$114)</f>
        <v>323715.28756992728</v>
      </c>
      <c r="CX82">
        <f t="shared" si="32"/>
        <v>6697509.5197309218</v>
      </c>
      <c r="CY82">
        <f>CN82*(BM82/10000)^0.72*((AF82+1)/3)^0.6*('CAPEX+OPEX'!$G$116/'CAPEX+OPEX'!$G$114)</f>
        <v>498637.57922471326</v>
      </c>
      <c r="CZ82">
        <f>CO82*(BM82/10000)^0.72*((AF82+1)/3)^0.6*('CAPEX+OPEX'!$G$116/'CAPEX+OPEX'!$G$114)</f>
        <v>1282388.9231489168</v>
      </c>
      <c r="DA82">
        <f>CP82*(BM82/10000)^0.72*((AF82+1)/3)^0.6*('CAPEX+OPEX'!$G$116/'CAPEX+OPEX'!$G$114)</f>
        <v>247371.254849205</v>
      </c>
      <c r="DB82">
        <f>CQ82*(BM82/10000)^0.72*((AF82+1)/3)^0.6*('CAPEX+OPEX'!$G$116/'CAPEX+OPEX'!$G$114)</f>
        <v>1531268.2519446225</v>
      </c>
      <c r="DC82">
        <f>CR82*(BM82/10000)^0.72*((AF82+1)/3)^0.6*('CAPEX+OPEX'!$G$116/'CAPEX+OPEX'!$G$114)</f>
        <v>180790.00730775911</v>
      </c>
      <c r="DD82">
        <f t="shared" si="33"/>
        <v>3740456.016475217</v>
      </c>
      <c r="DE82">
        <f>CX82+DD82+1.15*(SUM(CI82:CL82)+SUM(CB82:CE82))</f>
        <v>10497329.975181922</v>
      </c>
      <c r="DF82">
        <f t="shared" si="34"/>
        <v>699821.99834546144</v>
      </c>
      <c r="DG82">
        <f>(BS82+BT82)*'Oxidant Feed Composition'!$N$28*60*7200</f>
        <v>21230435.207605772</v>
      </c>
      <c r="DH82">
        <f>((CG82+CH82)*'Reagent cost'!$C$17/1000*'Reagent cost'!$H$17+(CG82+CH82)*0.5*'Reagent cost'!$C$16/1000*'Reagent cost'!$H$16*1.5)*60*7200</f>
        <v>9032139.9035915043</v>
      </c>
      <c r="DI82">
        <f>CF82*'Reagent cost'!$C$17/1000*'Reagent cost'!$H$17*60*7200</f>
        <v>504921.59999999998</v>
      </c>
      <c r="DJ82">
        <f t="shared" si="35"/>
        <v>70.652846902880938</v>
      </c>
      <c r="DK82">
        <f t="shared" si="36"/>
        <v>600.83078819166963</v>
      </c>
      <c r="DL82">
        <f t="shared" si="37"/>
        <v>36921801.833798848</v>
      </c>
      <c r="DM82">
        <f>BK82*(B82*(409.81+2)/1000+C82*(248.2+2*22.99)/1000+D82*(315.6+3*22.99)/1000+0.1*58.44/1000)</f>
        <v>0.70639694042110623</v>
      </c>
      <c r="DN82">
        <f>(BS82+BT82)/1000*('Oxidant Feed Composition'!$B$11*'Oxidant Feed Composition'!$O$20+'Oxidant Feed Composition'!$D$11*'Oxidant Feed Composition'!$O$21+'Oxidant Feed Composition'!$F$11*'Oxidant Feed Composition'!$O$27-'Oxidant Feed Composition'!$J$15*18.015)</f>
        <v>2.2299951845961479</v>
      </c>
      <c r="DO82">
        <f>(BU82+BV82)/1000*(0.2*368.34+0.4*58.44)</f>
        <v>1.5442087675157219</v>
      </c>
      <c r="DP82">
        <f>BK82/1000*(B82*195.08+C82*106.42+D82*102.91)</f>
        <v>4.999938342565946E-2</v>
      </c>
      <c r="DQ82">
        <f>SUM(DM82:DO82)-DP82</f>
        <v>4.4306015091073165</v>
      </c>
      <c r="DR82">
        <f>DQ82*60*7200*0.33</f>
        <v>631626.55113833898</v>
      </c>
      <c r="DS82">
        <v>1.2</v>
      </c>
      <c r="DT82">
        <f>BM82/60*(AM82*4+AN82*2+AO82*3)*96485/DV82</f>
        <v>1398.9407935581069</v>
      </c>
      <c r="DU82">
        <f>BN82*BA82*(AP82*4+AQ82*2+AR82*3)*96485/DV82/60</f>
        <v>712.74253559444992</v>
      </c>
      <c r="DV82">
        <v>0.7</v>
      </c>
      <c r="DW82">
        <f>0.499*((BK82/3.78541*15)^(-0.146))*BK82/3.78541*15*300*(1+(A82-2)/9)</f>
        <v>49536.497143418172</v>
      </c>
      <c r="DX82">
        <f>0.248*((BK82/3.78541*15)^(-0.144))*BK82/3.78541*15*300*(1+(A82-2)/3)</f>
        <v>49831.318766753509</v>
      </c>
      <c r="DY82">
        <f>0.105*((BK82/3.78541*15)^(-0.144))*BK82/3.78541*15*300*(1+(A82-2)/3)</f>
        <v>21097.937381085154</v>
      </c>
      <c r="DZ82">
        <f>0.058*((BK82/3.78541*15)^(-0.151))*BK82/3.78541*15*300*(1+(A82-2)/3)</f>
        <v>11176.166036369152</v>
      </c>
      <c r="EA82">
        <f>0.056*((BK82/3.78541*15)^(-0.144))*BK82/3.78541*15*300*(1+(A82-2)/3)</f>
        <v>11252.233269912085</v>
      </c>
      <c r="EB82">
        <f>DS82*DT82/(3.6*10^6)*3600*7200*0.07</f>
        <v>846.07939194394294</v>
      </c>
      <c r="EC82">
        <f>0.499*((BM82/3.78541*15)^(-0.146))*BM82/3.78541*15*300*(1+(AF82-2)/9)</f>
        <v>28285.00948539532</v>
      </c>
      <c r="ED82">
        <f>0.248*((BM82/3.78541*15)^(-0.144))*BM82/3.78541*15*300*(1+(AF82-2)/3)</f>
        <v>19396.927085634903</v>
      </c>
      <c r="EE82">
        <f>0.105*((BM82/3.78541*15)^(-0.144))*BM82/3.78541*15*300*(1+(AF82-2)/3)</f>
        <v>8212.4086451276798</v>
      </c>
      <c r="EF82">
        <f>0.058*((BM82/3.78541*15)^(-0.151))*BM82/3.78541*15*300*(1+(AF82-2)/3)</f>
        <v>4352.763909014071</v>
      </c>
      <c r="EG82">
        <f>0.056*((BM82/3.78541*15)^(-0.144))*BM82/3.78541*15*300*(1+(AF82-2)/3)</f>
        <v>4379.9512774014302</v>
      </c>
      <c r="EH82">
        <f>DS82*DU82/(3.6*10^6)*3600*7200*0.07</f>
        <v>431.06668552752325</v>
      </c>
      <c r="EI82">
        <f>SUM(DW82:EH82)</f>
        <v>208798.35907758295</v>
      </c>
      <c r="EJ82">
        <f>EI82+DR82+DL82</f>
        <v>37762226.74401477</v>
      </c>
      <c r="EK82">
        <f>EJ82+DF82</f>
        <v>38462048.742360234</v>
      </c>
      <c r="EL82">
        <f>EK82/(BK82*60*7200)</f>
        <v>0.8903252023694499</v>
      </c>
      <c r="EM82">
        <f>EK82/(BM82*(AM82*195.084/1000+AN82*106.42/1000+AO82*102.911/1000)*60*7200)</f>
        <v>2993.3408324896618</v>
      </c>
      <c r="EN82">
        <f>EK82/(BN82*BA82*(AP82*195.084/1000+AQ82*106.42/1000+AR82*102.911/1000)*60*7200)</f>
        <v>5417.275572091452</v>
      </c>
    </row>
    <row r="83" spans="1:144">
      <c r="A83">
        <f>'Costing 100 Lmin Feed Orig'!A83</f>
        <v>11</v>
      </c>
      <c r="B83">
        <f>'Costing 100 Lmin Feed Orig'!B83</f>
        <v>1.54143585092054E-3</v>
      </c>
      <c r="C83">
        <f>'Costing 100 Lmin Feed Orig'!C83</f>
        <v>1.54143585092054E-3</v>
      </c>
      <c r="D83">
        <f>'Costing 100 Lmin Feed Orig'!D83</f>
        <v>3.4254130020456501E-4</v>
      </c>
      <c r="E83">
        <f>'Costing 100 Lmin Feed Orig'!E83</f>
        <v>0</v>
      </c>
      <c r="F83">
        <f>'Costing 100 Lmin Feed Orig'!F83</f>
        <v>0</v>
      </c>
      <c r="G83">
        <f>'Costing 100 Lmin Feed Orig'!G83</f>
        <v>0</v>
      </c>
      <c r="H83">
        <f>'Costing 100 Lmin Feed Orig'!H83</f>
        <v>1.7771367359861701E-5</v>
      </c>
      <c r="I83">
        <f>'Costing 100 Lmin Feed Orig'!I83</f>
        <v>1.8081057367328801E-10</v>
      </c>
      <c r="J83">
        <f>'Costing 100 Lmin Feed Orig'!J83</f>
        <v>3.3765941525589702E-4</v>
      </c>
      <c r="K83">
        <f>'Costing 100 Lmin Feed Orig'!K83</f>
        <v>0.139102253285185</v>
      </c>
      <c r="L83">
        <f>'Costing 100 Lmin Feed Orig'!L83</f>
        <v>0.14072466572308701</v>
      </c>
      <c r="M83">
        <f>'Costing 100 Lmin Feed Orig'!M83</f>
        <v>4.4568945720355099E-4</v>
      </c>
      <c r="N83">
        <f>'Costing 100 Lmin Feed Orig'!N83</f>
        <v>-8.03393809811758E-16</v>
      </c>
      <c r="O83">
        <f>'Costing 100 Lmin Feed Orig'!O83</f>
        <v>-8.4019770307808202E-13</v>
      </c>
      <c r="P83">
        <f>'Costing 100 Lmin Feed Orig'!P83</f>
        <v>-2.26157796916898E-19</v>
      </c>
      <c r="Q83">
        <f>'Costing 100 Lmin Feed Orig'!Q83</f>
        <v>0.10953557168033</v>
      </c>
      <c r="R83">
        <f>'Costing 100 Lmin Feed Orig'!R83</f>
        <v>98.5748039883795</v>
      </c>
      <c r="S83">
        <f>'Costing 100 Lmin Feed Orig'!S83</f>
        <v>500</v>
      </c>
      <c r="T83">
        <f>'Costing 100 Lmin Feed Orig'!T83</f>
        <v>95</v>
      </c>
      <c r="U83">
        <f>'Costing 100 Lmin Feed Orig'!U83</f>
        <v>1</v>
      </c>
      <c r="V83">
        <f>'Costing 100 Lmin Feed Orig'!V83</f>
        <v>0.1</v>
      </c>
      <c r="W83">
        <f>'Costing 100 Lmin Feed Orig'!W83</f>
        <v>91.294543376138293</v>
      </c>
      <c r="X83" t="str">
        <f>'Costing 100 Lmin Feed Orig'!X83</f>
        <v>ddFc</v>
      </c>
      <c r="Y83">
        <f>'Costing 100 Lmin Feed Orig'!Y83</f>
        <v>1</v>
      </c>
      <c r="Z83">
        <f>'Costing 100 Lmin Feed Orig'!Z83</f>
        <v>0.28318429382522198</v>
      </c>
      <c r="AA83">
        <f>'Costing 100 Lmin Feed Orig'!AA83</f>
        <v>0.56945642916197003</v>
      </c>
      <c r="AB83">
        <f>'Costing 100 Lmin Feed Orig'!AB83</f>
        <v>3.7698628972227502E-3</v>
      </c>
      <c r="AC83">
        <f>'Costing 100 Lmin Feed Orig'!AC83</f>
        <v>1822.2107908876901</v>
      </c>
      <c r="AD83">
        <f>'Costing 100 Lmin Feed Orig'!AD83</f>
        <v>2662.6059073104898</v>
      </c>
      <c r="AE83">
        <f>'Costing 100 Lmin Feed Orig'!AE83</f>
        <v>2401.5030938442701</v>
      </c>
      <c r="AF83">
        <f>'Costing 100 Lmin Feed Orig'!AF83</f>
        <v>5</v>
      </c>
      <c r="AG83">
        <f>'Costing 100 Lmin Feed Orig'!AG83</f>
        <v>1.6497569194096201E-3</v>
      </c>
      <c r="AH83">
        <f>'Costing 100 Lmin Feed Orig'!AH83</f>
        <v>1.6689987798565299E-3</v>
      </c>
      <c r="AI83">
        <f>'Costing 100 Lmin Feed Orig'!AI83</f>
        <v>5.28589040482341E-6</v>
      </c>
      <c r="AJ83">
        <f>'Costing 100 Lmin Feed Orig'!AJ83</f>
        <v>0</v>
      </c>
      <c r="AK83">
        <f>'Costing 100 Lmin Feed Orig'!AK83</f>
        <v>0</v>
      </c>
      <c r="AL83">
        <f>'Costing 100 Lmin Feed Orig'!AL83</f>
        <v>0</v>
      </c>
      <c r="AM83">
        <f>'Costing 100 Lmin Feed Orig'!AM83</f>
        <v>1.6104460290619601E-3</v>
      </c>
      <c r="AN83">
        <f>'Costing 100 Lmin Feed Orig'!AN83</f>
        <v>7.9511320807382698E-5</v>
      </c>
      <c r="AO83">
        <f>'Costing 100 Lmin Feed Orig'!AO83</f>
        <v>5.2489965417355999E-6</v>
      </c>
      <c r="AP83">
        <f>'Costing 100 Lmin Feed Orig'!AP83</f>
        <v>1.8118142403982199E-3</v>
      </c>
      <c r="AQ83">
        <f>'Costing 100 Lmin Feed Orig'!AQ83</f>
        <v>7.3258478446211001E-2</v>
      </c>
      <c r="AR83">
        <f>'Costing 100 Lmin Feed Orig'!AR83</f>
        <v>1.7004149724062101E-6</v>
      </c>
      <c r="AS83">
        <f>'Costing 100 Lmin Feed Orig'!AS83</f>
        <v>-4.4892746204477899E-17</v>
      </c>
      <c r="AT83">
        <f>'Costing 100 Lmin Feed Orig'!AT83</f>
        <v>1.89301699315969E-16</v>
      </c>
      <c r="AU83">
        <f>'Costing 100 Lmin Feed Orig'!AU83</f>
        <v>-3.52775987641615E-20</v>
      </c>
      <c r="AV83">
        <f>'Costing 100 Lmin Feed Orig'!AV83</f>
        <v>0.200386563373979</v>
      </c>
      <c r="AW83">
        <f>'Costing 100 Lmin Feed Orig'!AW83</f>
        <v>99.302031251836993</v>
      </c>
      <c r="AX83">
        <f>'Costing 100 Lmin Feed Orig'!AX83</f>
        <v>500</v>
      </c>
      <c r="AY83">
        <f>'Costing 100 Lmin Feed Orig'!AY83</f>
        <v>95</v>
      </c>
      <c r="AZ83">
        <f>'Costing 100 Lmin Feed Orig'!AZ83</f>
        <v>0.92356908198738696</v>
      </c>
      <c r="BA83">
        <f>'Costing 100 Lmin Feed Orig'!BA83</f>
        <v>0.1</v>
      </c>
      <c r="BB83">
        <f>'Costing 100 Lmin Feed Orig'!BB83</f>
        <v>46.089371784062003</v>
      </c>
      <c r="BC83" t="str">
        <f>'Costing 100 Lmin Feed Orig'!BC83</f>
        <v>coeFc</v>
      </c>
      <c r="BD83">
        <f>'Costing 100 Lmin Feed Orig'!BD83</f>
        <v>1</v>
      </c>
      <c r="BE83">
        <f>'Costing 100 Lmin Feed Orig'!BE83</f>
        <v>1.8775014999999999E-2</v>
      </c>
      <c r="BF83">
        <f>'Costing 100 Lmin Feed Orig'!BF83</f>
        <v>0.10492961100000001</v>
      </c>
      <c r="BG83">
        <f>'Costing 100 Lmin Feed Orig'!BG83</f>
        <v>1.814625E-3</v>
      </c>
      <c r="BH83">
        <f>'Costing 100 Lmin Feed Orig'!BH83</f>
        <v>285.1951444</v>
      </c>
      <c r="BI83">
        <f>'Costing 100 Lmin Feed Orig'!BI83</f>
        <v>2169.8944889999998</v>
      </c>
      <c r="BJ83">
        <f>'Costing 100 Lmin Feed Orig'!BJ83</f>
        <v>866.49409060000005</v>
      </c>
      <c r="BK83">
        <f>'Costing 100 Lmin Feed Orig'!BK83</f>
        <v>100</v>
      </c>
      <c r="BL83">
        <f>'Costing 100 Lmin Feed Orig'!BL83</f>
        <v>10.953557168032999</v>
      </c>
      <c r="BM83">
        <f>'Costing 100 Lmin Feed Orig'!BM83</f>
        <v>92.356908198738694</v>
      </c>
      <c r="BN83">
        <f>'Costing 100 Lmin Feed Orig'!BN83</f>
        <v>20.038656337397899</v>
      </c>
      <c r="BO83">
        <f t="shared" si="20"/>
        <v>284.79248636885796</v>
      </c>
      <c r="BP83">
        <f t="shared" si="21"/>
        <v>280.5411887235706</v>
      </c>
      <c r="BQ83">
        <f t="shared" si="22"/>
        <v>28.479248636885799</v>
      </c>
      <c r="BR83">
        <f t="shared" si="23"/>
        <v>28.054118872357062</v>
      </c>
      <c r="BS83">
        <f>1.2*0.5*BL83*V83/'Oxidant Feed Composition'!$N$22</f>
        <v>6.5721343008197994</v>
      </c>
      <c r="BT83">
        <f>1.2*0.5*BN83*BA83/'Oxidant Feed Composition'!$N$22</f>
        <v>12.023193802438739</v>
      </c>
      <c r="BU83">
        <f t="shared" si="24"/>
        <v>5.4767785840164995</v>
      </c>
      <c r="BV83">
        <f t="shared" si="25"/>
        <v>10.01932816869895</v>
      </c>
      <c r="BW83">
        <f t="shared" si="26"/>
        <v>86.880129614722193</v>
      </c>
      <c r="BX83">
        <f t="shared" si="19"/>
        <v>35.051382937705597</v>
      </c>
      <c r="BY83">
        <f t="shared" si="27"/>
        <v>206.62093073354339</v>
      </c>
      <c r="BZ83">
        <f t="shared" si="28"/>
        <v>64.123700279673272</v>
      </c>
      <c r="CA83">
        <f t="shared" si="29"/>
        <v>60.115969012193702</v>
      </c>
      <c r="CB83">
        <f>BO83*'Reagent cost'!$G$11*'Reagent cost'!$H$11</f>
        <v>3759.2608200689256</v>
      </c>
      <c r="CC83">
        <f>BP83*'Reagent cost'!$G$11*'Reagent cost'!$H$11</f>
        <v>3703.1436911511319</v>
      </c>
      <c r="CD83">
        <f>BQ83*'Reagent cost'!$C$18/1000*'Reagent cost'!$H$18</f>
        <v>4541.8834647976191</v>
      </c>
      <c r="CE83">
        <f>BR83*'Ligand cost'!$B$56*'Ligand cost'!$J$56</f>
        <v>28562.676418969168</v>
      </c>
      <c r="CF83">
        <f t="shared" si="30"/>
        <v>10</v>
      </c>
      <c r="CG83">
        <f t="shared" si="31"/>
        <v>2.1907114336065998</v>
      </c>
      <c r="CH83">
        <f t="shared" si="31"/>
        <v>4.0077312674795804</v>
      </c>
      <c r="CI83">
        <f>7963.6*(BX83/1000)^0.6*1.7*('CAPEX+OPEX'!$G$116/'CAPEX+OPEX'!$G$115)</f>
        <v>2138.2772847076108</v>
      </c>
      <c r="CJ83">
        <f>7963.6*(BY83/1000)^0.6*1.7*('CAPEX+OPEX'!$G$116/'CAPEX+OPEX'!$G$115)</f>
        <v>6199.3408604999822</v>
      </c>
      <c r="CK83">
        <f>7963.6*(BZ83/1000)^0.6*1.7*('CAPEX+OPEX'!$G$116/'CAPEX+OPEX'!$G$115)</f>
        <v>3072.218310067838</v>
      </c>
      <c r="CL83">
        <f>7963.6*(CA83/1000)^0.6*1.7*('CAPEX+OPEX'!$G$116/'CAPEX+OPEX'!$G$115)</f>
        <v>2955.5263728446439</v>
      </c>
      <c r="CM83">
        <f>'Costing 100 Lmin Feed Orig'!DE83</f>
        <v>39625.826528698344</v>
      </c>
      <c r="CN83">
        <f>'Costing 100 Lmin Feed Orig'!DF83</f>
        <v>4586243.4239371875</v>
      </c>
      <c r="CO83">
        <f>'Costing 100 Lmin Feed Orig'!DG83</f>
        <v>11794834.586807497</v>
      </c>
      <c r="CP83">
        <f>'Costing 100 Lmin Feed Orig'!DH83</f>
        <v>2275209.1661185985</v>
      </c>
      <c r="CQ83">
        <f>'Costing 100 Lmin Feed Orig'!DI83</f>
        <v>14083914.336508472</v>
      </c>
      <c r="CR83">
        <f>'Costing 100 Lmin Feed Orig'!DJ83</f>
        <v>1662824.8986326549</v>
      </c>
      <c r="CS83">
        <f>CN83*(BK83/10000)^0.72*((A83+1)/3)^0.6*('CAPEX+OPEX'!$G$116/'CAPEX+OPEX'!$G$114)</f>
        <v>892840.31653984461</v>
      </c>
      <c r="CT83">
        <f>CO83*(BK83/10000)^0.72*((A83+1)/3)^0.6*('CAPEX+OPEX'!$G$116/'CAPEX+OPEX'!$G$114)</f>
        <v>2296193.8284949926</v>
      </c>
      <c r="CU83">
        <f>CP83*(BK83/10000)^0.72*((A83+1)/3)^0.6*('CAPEX+OPEX'!$G$116/'CAPEX+OPEX'!$G$114)</f>
        <v>442932.9811560188</v>
      </c>
      <c r="CV83">
        <f>CQ83*(BK83/10000)^0.72*((A83+1)/3)^0.6*('CAPEX+OPEX'!$G$116/'CAPEX+OPEX'!$G$114)</f>
        <v>2741827.1059701391</v>
      </c>
      <c r="CW83">
        <f>CR83*(BK83/10000)^0.72*((A83+1)/3)^0.6*('CAPEX+OPEX'!$G$116/'CAPEX+OPEX'!$G$114)</f>
        <v>323715.28756992728</v>
      </c>
      <c r="CX83">
        <f t="shared" si="32"/>
        <v>6697509.5197309218</v>
      </c>
      <c r="CY83">
        <f>CN83*(BM83/10000)^0.72*((AF83+1)/3)^0.6*('CAPEX+OPEX'!$G$116/'CAPEX+OPEX'!$G$114)</f>
        <v>556280.39340094617</v>
      </c>
      <c r="CZ83">
        <f>CO83*(BM83/10000)^0.72*((AF83+1)/3)^0.6*('CAPEX+OPEX'!$G$116/'CAPEX+OPEX'!$G$114)</f>
        <v>1430633.8799643754</v>
      </c>
      <c r="DA83">
        <f>CP83*(BM83/10000)^0.72*((AF83+1)/3)^0.6*('CAPEX+OPEX'!$G$116/'CAPEX+OPEX'!$G$114)</f>
        <v>275967.52570786065</v>
      </c>
      <c r="DB83">
        <f>CQ83*(BM83/10000)^0.72*((AF83+1)/3)^0.6*('CAPEX+OPEX'!$G$116/'CAPEX+OPEX'!$G$114)</f>
        <v>1708283.8139045672</v>
      </c>
      <c r="DC83">
        <f>CR83*(BM83/10000)^0.72*((AF83+1)/3)^0.6*('CAPEX+OPEX'!$G$116/'CAPEX+OPEX'!$G$114)</f>
        <v>201689.4445550761</v>
      </c>
      <c r="DD83">
        <f t="shared" si="33"/>
        <v>4172855.0575328255</v>
      </c>
      <c r="DE83">
        <f>CX83+DD83+1.15*(SUM(CI83:CL83)+SUM(CB83:CE83))</f>
        <v>10933536.75357032</v>
      </c>
      <c r="DF83">
        <f t="shared" si="34"/>
        <v>728902.45023802132</v>
      </c>
      <c r="DG83">
        <f>(BS83+BT83)*'Oxidant Feed Composition'!$N$28*60*7200</f>
        <v>20674935.901675351</v>
      </c>
      <c r="DH83">
        <f>((CG83+CH83)*'Reagent cost'!$C$17/1000*'Reagent cost'!$H$17+(CG83+CH83)*0.5*'Reagent cost'!$C$16/1000*'Reagent cost'!$H$16*1.5)*60*7200</f>
        <v>8795811.8491522819</v>
      </c>
      <c r="DI83">
        <f>CF83*'Reagent cost'!$C$17/1000*'Reagent cost'!$H$17*60*7200</f>
        <v>504921.59999999998</v>
      </c>
      <c r="DJ83">
        <f t="shared" si="35"/>
        <v>74.624045112200577</v>
      </c>
      <c r="DK83">
        <f t="shared" si="36"/>
        <v>662.09119767533571</v>
      </c>
      <c r="DL83">
        <f t="shared" si="37"/>
        <v>35971687.279284507</v>
      </c>
      <c r="DM83">
        <f>BK83*(B83*(409.81+2)/1000+C83*(248.2+2*22.99)/1000+D83*(315.6+3*22.99)/1000+0.1*58.44/1000)</f>
        <v>0.70639694042110623</v>
      </c>
      <c r="DN83">
        <f>(BS83+BT83)/1000*('Oxidant Feed Composition'!$B$11*'Oxidant Feed Composition'!$O$20+'Oxidant Feed Composition'!$D$11*'Oxidant Feed Composition'!$O$21+'Oxidant Feed Composition'!$F$11*'Oxidant Feed Composition'!$O$27-'Oxidant Feed Composition'!$J$15*18.015)</f>
        <v>2.1716468386881207</v>
      </c>
      <c r="DO83">
        <f>(BU83+BV83)/1000*(0.2*368.34+0.4*58.44)</f>
        <v>1.5038041837105178</v>
      </c>
      <c r="DP83">
        <f>BK83/1000*(B83*195.08+C83*106.42+D83*102.91)</f>
        <v>4.999938342565946E-2</v>
      </c>
      <c r="DQ83">
        <f>SUM(DM83:DO83)-DP83</f>
        <v>4.3318485793940846</v>
      </c>
      <c r="DR83">
        <f>DQ83*60*7200*0.33</f>
        <v>617548.33347842062</v>
      </c>
      <c r="DS83">
        <v>1.2</v>
      </c>
      <c r="DT83">
        <f>BM83/60*(AM83*4+AN83*2+AO83*3)*96485/DV83</f>
        <v>1403.8210207975924</v>
      </c>
      <c r="DU83">
        <f>BN83*BA83*(AP83*4+AQ83*2+AR83*3)*96485/DV83/60</f>
        <v>707.86230828995599</v>
      </c>
      <c r="DV83">
        <v>0.7</v>
      </c>
      <c r="DW83">
        <f>0.499*((BK83/3.78541*15)^(-0.146))*BK83/3.78541*15*300*(1+(A83-2)/9)</f>
        <v>49536.497143418172</v>
      </c>
      <c r="DX83">
        <f>0.248*((BK83/3.78541*15)^(-0.144))*BK83/3.78541*15*300*(1+(A83-2)/3)</f>
        <v>49831.318766753509</v>
      </c>
      <c r="DY83">
        <f>0.105*((BK83/3.78541*15)^(-0.144))*BK83/3.78541*15*300*(1+(A83-2)/3)</f>
        <v>21097.937381085154</v>
      </c>
      <c r="DZ83">
        <f>0.058*((BK83/3.78541*15)^(-0.151))*BK83/3.78541*15*300*(1+(A83-2)/3)</f>
        <v>11176.166036369152</v>
      </c>
      <c r="EA83">
        <f>0.056*((BK83/3.78541*15)^(-0.144))*BK83/3.78541*15*300*(1+(A83-2)/3)</f>
        <v>11252.233269912085</v>
      </c>
      <c r="EB83">
        <f>DS83*DT83/(3.6*10^6)*3600*7200*0.07</f>
        <v>849.03095337838397</v>
      </c>
      <c r="EC83">
        <f>0.499*((BM83/3.78541*15)^(-0.146))*BM83/3.78541*15*300*(1+(AF83-2)/9)</f>
        <v>30856.373984067617</v>
      </c>
      <c r="ED83">
        <f>0.248*((BM83/3.78541*15)^(-0.144))*BM83/3.78541*15*300*(1+(AF83-2)/3)</f>
        <v>23276.312502761884</v>
      </c>
      <c r="EE83">
        <f>0.105*((BM83/3.78541*15)^(-0.144))*BM83/3.78541*15*300*(1+(AF83-2)/3)</f>
        <v>9854.8903741532158</v>
      </c>
      <c r="EF83">
        <f>0.058*((BM83/3.78541*15)^(-0.151))*BM83/3.78541*15*300*(1+(AF83-2)/3)</f>
        <v>5223.316690816886</v>
      </c>
      <c r="EG83">
        <f>0.056*((BM83/3.78541*15)^(-0.144))*BM83/3.78541*15*300*(1+(AF83-2)/3)</f>
        <v>5255.9415328817167</v>
      </c>
      <c r="EH83">
        <f>DS83*DU83/(3.6*10^6)*3600*7200*0.07</f>
        <v>428.11512405376538</v>
      </c>
      <c r="EI83">
        <f>SUM(DW83:EH83)</f>
        <v>218638.13375965157</v>
      </c>
      <c r="EJ83">
        <f>EI83+DR83+DL83</f>
        <v>36807873.746522576</v>
      </c>
      <c r="EK83">
        <f>EJ83+DF83</f>
        <v>37536776.196760595</v>
      </c>
      <c r="EL83">
        <f>EK83/(BK83*60*7200)</f>
        <v>0.86890685640649523</v>
      </c>
      <c r="EM83">
        <f>EK83/(BM83*(AM83*195.084/1000+AN83*106.42/1000+AO83*102.911/1000)*60*7200)</f>
        <v>2911.168799175477</v>
      </c>
      <c r="EN83">
        <f>EK83/(BN83*BA83*(AP83*195.084/1000+AQ83*106.42/1000+AR83*102.911/1000)*60*7200)</f>
        <v>5320.5652038764947</v>
      </c>
    </row>
    <row r="84" spans="1:144">
      <c r="A84">
        <f>'Costing 100 Lmin Feed Orig'!A84</f>
        <v>11</v>
      </c>
      <c r="B84">
        <f>'Costing 100 Lmin Feed Orig'!B84</f>
        <v>1.54143585092054E-3</v>
      </c>
      <c r="C84">
        <f>'Costing 100 Lmin Feed Orig'!C84</f>
        <v>1.54143585092054E-3</v>
      </c>
      <c r="D84">
        <f>'Costing 100 Lmin Feed Orig'!D84</f>
        <v>3.4254130020456501E-4</v>
      </c>
      <c r="E84">
        <f>'Costing 100 Lmin Feed Orig'!E84</f>
        <v>0</v>
      </c>
      <c r="F84">
        <f>'Costing 100 Lmin Feed Orig'!F84</f>
        <v>0</v>
      </c>
      <c r="G84">
        <f>'Costing 100 Lmin Feed Orig'!G84</f>
        <v>0</v>
      </c>
      <c r="H84">
        <f>'Costing 100 Lmin Feed Orig'!H84</f>
        <v>1.7771367359861701E-5</v>
      </c>
      <c r="I84">
        <f>'Costing 100 Lmin Feed Orig'!I84</f>
        <v>1.8081057367328801E-10</v>
      </c>
      <c r="J84">
        <f>'Costing 100 Lmin Feed Orig'!J84</f>
        <v>3.3765941525589702E-4</v>
      </c>
      <c r="K84">
        <f>'Costing 100 Lmin Feed Orig'!K84</f>
        <v>0.139102253285185</v>
      </c>
      <c r="L84">
        <f>'Costing 100 Lmin Feed Orig'!L84</f>
        <v>0.14072466572308701</v>
      </c>
      <c r="M84">
        <f>'Costing 100 Lmin Feed Orig'!M84</f>
        <v>4.4568945720355099E-4</v>
      </c>
      <c r="N84">
        <f>'Costing 100 Lmin Feed Orig'!N84</f>
        <v>-8.03393809811758E-16</v>
      </c>
      <c r="O84">
        <f>'Costing 100 Lmin Feed Orig'!O84</f>
        <v>-8.4019770307808202E-13</v>
      </c>
      <c r="P84">
        <f>'Costing 100 Lmin Feed Orig'!P84</f>
        <v>-2.26157796916898E-19</v>
      </c>
      <c r="Q84">
        <f>'Costing 100 Lmin Feed Orig'!Q84</f>
        <v>0.10953557168033</v>
      </c>
      <c r="R84">
        <f>'Costing 100 Lmin Feed Orig'!R84</f>
        <v>98.5748039883795</v>
      </c>
      <c r="S84">
        <f>'Costing 100 Lmin Feed Orig'!S84</f>
        <v>500</v>
      </c>
      <c r="T84">
        <f>'Costing 100 Lmin Feed Orig'!T84</f>
        <v>95</v>
      </c>
      <c r="U84">
        <f>'Costing 100 Lmin Feed Orig'!U84</f>
        <v>1</v>
      </c>
      <c r="V84">
        <f>'Costing 100 Lmin Feed Orig'!V84</f>
        <v>0.1</v>
      </c>
      <c r="W84">
        <f>'Costing 100 Lmin Feed Orig'!W84</f>
        <v>91.294543376138293</v>
      </c>
      <c r="X84" t="str">
        <f>'Costing 100 Lmin Feed Orig'!X84</f>
        <v>ddFc</v>
      </c>
      <c r="Y84">
        <f>'Costing 100 Lmin Feed Orig'!Y84</f>
        <v>1</v>
      </c>
      <c r="Z84">
        <f>'Costing 100 Lmin Feed Orig'!Z84</f>
        <v>0.28318429382522198</v>
      </c>
      <c r="AA84">
        <f>'Costing 100 Lmin Feed Orig'!AA84</f>
        <v>0.56945642916197003</v>
      </c>
      <c r="AB84">
        <f>'Costing 100 Lmin Feed Orig'!AB84</f>
        <v>3.7698628972227502E-3</v>
      </c>
      <c r="AC84">
        <f>'Costing 100 Lmin Feed Orig'!AC84</f>
        <v>1822.2107908876901</v>
      </c>
      <c r="AD84">
        <f>'Costing 100 Lmin Feed Orig'!AD84</f>
        <v>2662.6059073104898</v>
      </c>
      <c r="AE84">
        <f>'Costing 100 Lmin Feed Orig'!AE84</f>
        <v>2401.5030938442701</v>
      </c>
      <c r="AF84">
        <f>'Costing 100 Lmin Feed Orig'!AF84</f>
        <v>6</v>
      </c>
      <c r="AG84">
        <f>'Costing 100 Lmin Feed Orig'!AG84</f>
        <v>1.6497569194096201E-3</v>
      </c>
      <c r="AH84">
        <f>'Costing 100 Lmin Feed Orig'!AH84</f>
        <v>1.6689987798565299E-3</v>
      </c>
      <c r="AI84">
        <f>'Costing 100 Lmin Feed Orig'!AI84</f>
        <v>5.28589040482341E-6</v>
      </c>
      <c r="AJ84">
        <f>'Costing 100 Lmin Feed Orig'!AJ84</f>
        <v>0</v>
      </c>
      <c r="AK84">
        <f>'Costing 100 Lmin Feed Orig'!AK84</f>
        <v>0</v>
      </c>
      <c r="AL84">
        <f>'Costing 100 Lmin Feed Orig'!AL84</f>
        <v>0</v>
      </c>
      <c r="AM84">
        <f>'Costing 100 Lmin Feed Orig'!AM84</f>
        <v>1.61212756517482E-3</v>
      </c>
      <c r="AN84">
        <f>'Costing 100 Lmin Feed Orig'!AN84</f>
        <v>7.9598306534484298E-5</v>
      </c>
      <c r="AO84">
        <f>'Costing 100 Lmin Feed Orig'!AO84</f>
        <v>5.2505128878875599E-6</v>
      </c>
      <c r="AP84">
        <f>'Costing 100 Lmin Feed Orig'!AP84</f>
        <v>1.7562199861538999E-3</v>
      </c>
      <c r="AQ84">
        <f>'Costing 100 Lmin Feed Orig'!AQ84</f>
        <v>7.4179770926534203E-2</v>
      </c>
      <c r="AR84">
        <f>'Costing 100 Lmin Feed Orig'!AR84</f>
        <v>1.6511232671055801E-6</v>
      </c>
      <c r="AS84">
        <f>'Costing 100 Lmin Feed Orig'!AS84</f>
        <v>-1.8702487475374901E-18</v>
      </c>
      <c r="AT84">
        <f>'Costing 100 Lmin Feed Orig'!AT84</f>
        <v>-1.4853569763051401E-16</v>
      </c>
      <c r="AU84">
        <f>'Costing 100 Lmin Feed Orig'!AU84</f>
        <v>-1.8925892415213202E-21</v>
      </c>
      <c r="AV84">
        <f>'Costing 100 Lmin Feed Orig'!AV84</f>
        <v>0.197886986940187</v>
      </c>
      <c r="AW84">
        <f>'Costing 100 Lmin Feed Orig'!AW84</f>
        <v>99.330717925903897</v>
      </c>
      <c r="AX84">
        <f>'Costing 100 Lmin Feed Orig'!AX84</f>
        <v>500</v>
      </c>
      <c r="AY84">
        <f>'Costing 100 Lmin Feed Orig'!AY84</f>
        <v>95</v>
      </c>
      <c r="AZ84">
        <f>'Costing 100 Lmin Feed Orig'!AZ84</f>
        <v>0.92356908198738696</v>
      </c>
      <c r="BA84">
        <f>'Costing 100 Lmin Feed Orig'!BA84</f>
        <v>0.1</v>
      </c>
      <c r="BB84">
        <f>'Costing 100 Lmin Feed Orig'!BB84</f>
        <v>46.671541988081501</v>
      </c>
      <c r="BC84" t="str">
        <f>'Costing 100 Lmin Feed Orig'!BC84</f>
        <v>coeFc</v>
      </c>
      <c r="BD84">
        <f>'Costing 100 Lmin Feed Orig'!BD84</f>
        <v>1</v>
      </c>
      <c r="BE84">
        <f>'Costing 100 Lmin Feed Orig'!BE84</f>
        <v>1.8775014999999999E-2</v>
      </c>
      <c r="BF84">
        <f>'Costing 100 Lmin Feed Orig'!BF84</f>
        <v>0.10492961100000001</v>
      </c>
      <c r="BG84">
        <f>'Costing 100 Lmin Feed Orig'!BG84</f>
        <v>1.814625E-3</v>
      </c>
      <c r="BH84">
        <f>'Costing 100 Lmin Feed Orig'!BH84</f>
        <v>285.1951444</v>
      </c>
      <c r="BI84">
        <f>'Costing 100 Lmin Feed Orig'!BI84</f>
        <v>2169.8944889999998</v>
      </c>
      <c r="BJ84">
        <f>'Costing 100 Lmin Feed Orig'!BJ84</f>
        <v>866.49409060000005</v>
      </c>
      <c r="BK84">
        <f>'Costing 100 Lmin Feed Orig'!BK84</f>
        <v>100</v>
      </c>
      <c r="BL84">
        <f>'Costing 100 Lmin Feed Orig'!BL84</f>
        <v>10.953557168032999</v>
      </c>
      <c r="BM84">
        <f>'Costing 100 Lmin Feed Orig'!BM84</f>
        <v>92.356908198738694</v>
      </c>
      <c r="BN84">
        <f>'Costing 100 Lmin Feed Orig'!BN84</f>
        <v>19.788698694018699</v>
      </c>
      <c r="BO84">
        <f t="shared" si="20"/>
        <v>284.79248636885796</v>
      </c>
      <c r="BP84">
        <f t="shared" si="21"/>
        <v>316.61917910429918</v>
      </c>
      <c r="BQ84">
        <f t="shared" si="22"/>
        <v>28.479248636885799</v>
      </c>
      <c r="BR84">
        <f t="shared" si="23"/>
        <v>31.661917910429921</v>
      </c>
      <c r="BS84">
        <f>1.2*0.5*BL84*V84/'Oxidant Feed Composition'!$N$22</f>
        <v>6.5721343008197994</v>
      </c>
      <c r="BT84">
        <f>1.2*0.5*BN84*BA84/'Oxidant Feed Composition'!$N$22</f>
        <v>11.873219216411218</v>
      </c>
      <c r="BU84">
        <f t="shared" si="24"/>
        <v>5.4767785840164995</v>
      </c>
      <c r="BV84">
        <f t="shared" si="25"/>
        <v>9.8943493470093493</v>
      </c>
      <c r="BW84">
        <f t="shared" si="26"/>
        <v>86.880129614722193</v>
      </c>
      <c r="BX84">
        <f t="shared" si="19"/>
        <v>35.051382937705597</v>
      </c>
      <c r="BY84">
        <f t="shared" si="27"/>
        <v>206.62093073354339</v>
      </c>
      <c r="BZ84">
        <f t="shared" si="28"/>
        <v>63.323835820859834</v>
      </c>
      <c r="CA84">
        <f t="shared" si="29"/>
        <v>59.366096082056096</v>
      </c>
      <c r="CB84">
        <f>BO84*'Reagent cost'!$G$11*'Reagent cost'!$H$11</f>
        <v>3759.2608200689256</v>
      </c>
      <c r="CC84">
        <f>BP84*'Reagent cost'!$G$11*'Reagent cost'!$H$11</f>
        <v>4179.373164176749</v>
      </c>
      <c r="CD84">
        <f>BQ84*'Reagent cost'!$C$18/1000*'Reagent cost'!$H$18</f>
        <v>4541.8834647976191</v>
      </c>
      <c r="CE84">
        <f>BR84*'Ligand cost'!$B$56*'Ligand cost'!$J$56</f>
        <v>32235.876670882313</v>
      </c>
      <c r="CF84">
        <f t="shared" si="30"/>
        <v>10</v>
      </c>
      <c r="CG84">
        <f t="shared" si="31"/>
        <v>2.1907114336065998</v>
      </c>
      <c r="CH84">
        <f t="shared" si="31"/>
        <v>3.9577397388037401</v>
      </c>
      <c r="CI84">
        <f>7963.6*(BX84/1000)^0.6*1.7*('CAPEX+OPEX'!$G$116/'CAPEX+OPEX'!$G$115)</f>
        <v>2138.2772847076108</v>
      </c>
      <c r="CJ84">
        <f>7963.6*(BY84/1000)^0.6*1.7*('CAPEX+OPEX'!$G$116/'CAPEX+OPEX'!$G$115)</f>
        <v>6199.3408604999822</v>
      </c>
      <c r="CK84">
        <f>7963.6*(BZ84/1000)^0.6*1.7*('CAPEX+OPEX'!$G$116/'CAPEX+OPEX'!$G$115)</f>
        <v>3049.1673193757256</v>
      </c>
      <c r="CL84">
        <f>7963.6*(CA84/1000)^0.6*1.7*('CAPEX+OPEX'!$G$116/'CAPEX+OPEX'!$G$115)</f>
        <v>2933.3509269502315</v>
      </c>
      <c r="CM84">
        <f>'Costing 100 Lmin Feed Orig'!DE84</f>
        <v>39625.826528698344</v>
      </c>
      <c r="CN84">
        <f>'Costing 100 Lmin Feed Orig'!DF84</f>
        <v>4586243.4239371875</v>
      </c>
      <c r="CO84">
        <f>'Costing 100 Lmin Feed Orig'!DG84</f>
        <v>11794834.586807497</v>
      </c>
      <c r="CP84">
        <f>'Costing 100 Lmin Feed Orig'!DH84</f>
        <v>2275209.1661185985</v>
      </c>
      <c r="CQ84">
        <f>'Costing 100 Lmin Feed Orig'!DI84</f>
        <v>14083914.336508472</v>
      </c>
      <c r="CR84">
        <f>'Costing 100 Lmin Feed Orig'!DJ84</f>
        <v>1662824.8986326549</v>
      </c>
      <c r="CS84">
        <f>CN84*(BK84/10000)^0.72*((A84+1)/3)^0.6*('CAPEX+OPEX'!$G$116/'CAPEX+OPEX'!$G$114)</f>
        <v>892840.31653984461</v>
      </c>
      <c r="CT84">
        <f>CO84*(BK84/10000)^0.72*((A84+1)/3)^0.6*('CAPEX+OPEX'!$G$116/'CAPEX+OPEX'!$G$114)</f>
        <v>2296193.8284949926</v>
      </c>
      <c r="CU84">
        <f>CP84*(BK84/10000)^0.72*((A84+1)/3)^0.6*('CAPEX+OPEX'!$G$116/'CAPEX+OPEX'!$G$114)</f>
        <v>442932.9811560188</v>
      </c>
      <c r="CV84">
        <f>CQ84*(BK84/10000)^0.72*((A84+1)/3)^0.6*('CAPEX+OPEX'!$G$116/'CAPEX+OPEX'!$G$114)</f>
        <v>2741827.1059701391</v>
      </c>
      <c r="CW84">
        <f>CR84*(BK84/10000)^0.72*((A84+1)/3)^0.6*('CAPEX+OPEX'!$G$116/'CAPEX+OPEX'!$G$114)</f>
        <v>323715.28756992728</v>
      </c>
      <c r="CX84">
        <f t="shared" si="32"/>
        <v>6697509.5197309218</v>
      </c>
      <c r="CY84">
        <f>CN84*(BM84/10000)^0.72*((AF84+1)/3)^0.6*('CAPEX+OPEX'!$G$116/'CAPEX+OPEX'!$G$114)</f>
        <v>610185.42092396237</v>
      </c>
      <c r="CZ84">
        <f>CO84*(BM84/10000)^0.72*((AF84+1)/3)^0.6*('CAPEX+OPEX'!$G$116/'CAPEX+OPEX'!$G$114)</f>
        <v>1569266.0510595285</v>
      </c>
      <c r="DA84">
        <f>CP84*(BM84/10000)^0.72*((AF84+1)/3)^0.6*('CAPEX+OPEX'!$G$116/'CAPEX+OPEX'!$G$114)</f>
        <v>302709.50195799035</v>
      </c>
      <c r="DB84">
        <f>CQ84*(BM84/10000)^0.72*((AF84+1)/3)^0.6*('CAPEX+OPEX'!$G$116/'CAPEX+OPEX'!$G$114)</f>
        <v>1873820.9910153144</v>
      </c>
      <c r="DC84">
        <f>CR84*(BM84/10000)^0.72*((AF84+1)/3)^0.6*('CAPEX+OPEX'!$G$116/'CAPEX+OPEX'!$G$114)</f>
        <v>221233.6801398939</v>
      </c>
      <c r="DD84">
        <f t="shared" si="33"/>
        <v>4577215.6450966895</v>
      </c>
      <c r="DE84">
        <f>CX84+DD84+1.15*(SUM(CI84:CL84)+SUM(CB84:CE84))</f>
        <v>11342617.174915789</v>
      </c>
      <c r="DF84">
        <f t="shared" si="34"/>
        <v>756174.47832771926</v>
      </c>
      <c r="DG84">
        <f>(BS84+BT84)*'Oxidant Feed Composition'!$N$28*60*7200</f>
        <v>20508188.913626458</v>
      </c>
      <c r="DH84">
        <f>((CG84+CH84)*'Reagent cost'!$C$17/1000*'Reagent cost'!$H$17+(CG84+CH84)*0.5*'Reagent cost'!$C$16/1000*'Reagent cost'!$H$16*1.5)*60*7200</f>
        <v>8724872.082264198</v>
      </c>
      <c r="DI84">
        <f>CF84*'Reagent cost'!$C$17/1000*'Reagent cost'!$H$17*60*7200</f>
        <v>504921.59999999998</v>
      </c>
      <c r="DJ84">
        <f t="shared" si="35"/>
        <v>79.386339842456749</v>
      </c>
      <c r="DK84">
        <f t="shared" si="36"/>
        <v>735.55520271359876</v>
      </c>
      <c r="DL84">
        <f t="shared" si="37"/>
        <v>35686557.044919856</v>
      </c>
      <c r="DM84">
        <f>BK84*(B84*(409.81+2)/1000+C84*(248.2+2*22.99)/1000+D84*(315.6+3*22.99)/1000+0.1*58.44/1000)</f>
        <v>0.70639694042110623</v>
      </c>
      <c r="DN84">
        <f>(BS84+BT84)/1000*('Oxidant Feed Composition'!$B$11*'Oxidant Feed Composition'!$O$20+'Oxidant Feed Composition'!$D$11*'Oxidant Feed Composition'!$O$21+'Oxidant Feed Composition'!$F$11*'Oxidant Feed Composition'!$O$27-'Oxidant Feed Composition'!$J$15*18.015)</f>
        <v>2.1541321256472061</v>
      </c>
      <c r="DO84">
        <f>(BU84+BV84)/1000*(0.2*368.34+0.4*58.44)</f>
        <v>1.4916757389384725</v>
      </c>
      <c r="DP84">
        <f>BK84/1000*(B84*195.08+C84*106.42+D84*102.91)</f>
        <v>4.999938342565946E-2</v>
      </c>
      <c r="DQ84">
        <f>SUM(DM84:DO84)-DP84</f>
        <v>4.3022054215811254</v>
      </c>
      <c r="DR84">
        <f>DQ84*60*7200*0.33</f>
        <v>613322.40490060532</v>
      </c>
      <c r="DS84">
        <v>1.2</v>
      </c>
      <c r="DT84">
        <f>BM84/60*(AM84*4+AN84*2+AO84*3)*96485/DV84</f>
        <v>1405.2859697967249</v>
      </c>
      <c r="DU84">
        <f>BN84*BA84*(AP84*4+AQ84*2+AR84*3)*96485/DV84/60</f>
        <v>706.39735929093831</v>
      </c>
      <c r="DV84">
        <v>0.7</v>
      </c>
      <c r="DW84">
        <f>0.499*((BK84/3.78541*15)^(-0.146))*BK84/3.78541*15*300*(1+(A84-2)/9)</f>
        <v>49536.497143418172</v>
      </c>
      <c r="DX84">
        <f>0.248*((BK84/3.78541*15)^(-0.144))*BK84/3.78541*15*300*(1+(A84-2)/3)</f>
        <v>49831.318766753509</v>
      </c>
      <c r="DY84">
        <f>0.105*((BK84/3.78541*15)^(-0.144))*BK84/3.78541*15*300*(1+(A84-2)/3)</f>
        <v>21097.937381085154</v>
      </c>
      <c r="DZ84">
        <f>0.058*((BK84/3.78541*15)^(-0.151))*BK84/3.78541*15*300*(1+(A84-2)/3)</f>
        <v>11176.166036369152</v>
      </c>
      <c r="EA84">
        <f>0.056*((BK84/3.78541*15)^(-0.144))*BK84/3.78541*15*300*(1+(A84-2)/3)</f>
        <v>11252.233269912085</v>
      </c>
      <c r="EB84">
        <f>DS84*DT84/(3.6*10^6)*3600*7200*0.07</f>
        <v>849.9169545330592</v>
      </c>
      <c r="EC84">
        <f>0.499*((BM84/3.78541*15)^(-0.146))*BM84/3.78541*15*300*(1+(AF84-2)/9)</f>
        <v>33427.738482739922</v>
      </c>
      <c r="ED84">
        <f>0.248*((BM84/3.78541*15)^(-0.144))*BM84/3.78541*15*300*(1+(AF84-2)/3)</f>
        <v>27155.697919888862</v>
      </c>
      <c r="EE84">
        <f>0.105*((BM84/3.78541*15)^(-0.144))*BM84/3.78541*15*300*(1+(AF84-2)/3)</f>
        <v>11497.37210317875</v>
      </c>
      <c r="EF84">
        <f>0.058*((BM84/3.78541*15)^(-0.151))*BM84/3.78541*15*300*(1+(AF84-2)/3)</f>
        <v>6093.8694726196991</v>
      </c>
      <c r="EG84">
        <f>0.056*((BM84/3.78541*15)^(-0.144))*BM84/3.78541*15*300*(1+(AF84-2)/3)</f>
        <v>6131.9317883620024</v>
      </c>
      <c r="EH84">
        <f>DS84*DU84/(3.6*10^6)*3600*7200*0.07</f>
        <v>427.22912289915951</v>
      </c>
      <c r="EI84">
        <f>SUM(DW84:EH84)</f>
        <v>228477.90844175953</v>
      </c>
      <c r="EJ84">
        <f>EI84+DR84+DL84</f>
        <v>36528357.358262219</v>
      </c>
      <c r="EK84">
        <f>EJ84+DF84</f>
        <v>37284531.83658994</v>
      </c>
      <c r="EL84">
        <f>EK84/(BK84*60*7200)</f>
        <v>0.86306786658773005</v>
      </c>
      <c r="EM84">
        <f>EK84/(BM84*(AM84*195.084/1000+AN84*106.42/1000+AO84*102.911/1000)*60*7200)</f>
        <v>2888.5897345787157</v>
      </c>
      <c r="EN84">
        <f>EK84/(BN84*BA84*(AP84*195.084/1000+AQ84*106.42/1000+AR84*102.911/1000)*60*7200)</f>
        <v>5294.916192210293</v>
      </c>
    </row>
    <row r="85" spans="1:144">
      <c r="A85">
        <f>'Costing 100 Lmin Feed Orig'!A85</f>
        <v>11</v>
      </c>
      <c r="B85">
        <f>'Costing 100 Lmin Feed Orig'!B85</f>
        <v>1.54143585092054E-3</v>
      </c>
      <c r="C85">
        <f>'Costing 100 Lmin Feed Orig'!C85</f>
        <v>1.54143585092054E-3</v>
      </c>
      <c r="D85">
        <f>'Costing 100 Lmin Feed Orig'!D85</f>
        <v>3.4254130020456501E-4</v>
      </c>
      <c r="E85">
        <f>'Costing 100 Lmin Feed Orig'!E85</f>
        <v>0</v>
      </c>
      <c r="F85">
        <f>'Costing 100 Lmin Feed Orig'!F85</f>
        <v>0</v>
      </c>
      <c r="G85">
        <f>'Costing 100 Lmin Feed Orig'!G85</f>
        <v>0</v>
      </c>
      <c r="H85">
        <f>'Costing 100 Lmin Feed Orig'!H85</f>
        <v>1.7771367359861701E-5</v>
      </c>
      <c r="I85">
        <f>'Costing 100 Lmin Feed Orig'!I85</f>
        <v>1.8081057367328801E-10</v>
      </c>
      <c r="J85">
        <f>'Costing 100 Lmin Feed Orig'!J85</f>
        <v>3.3765941525589702E-4</v>
      </c>
      <c r="K85">
        <f>'Costing 100 Lmin Feed Orig'!K85</f>
        <v>0.139102253285185</v>
      </c>
      <c r="L85">
        <f>'Costing 100 Lmin Feed Orig'!L85</f>
        <v>0.14072466572308701</v>
      </c>
      <c r="M85">
        <f>'Costing 100 Lmin Feed Orig'!M85</f>
        <v>4.4568945720355099E-4</v>
      </c>
      <c r="N85">
        <f>'Costing 100 Lmin Feed Orig'!N85</f>
        <v>-8.03393809811758E-16</v>
      </c>
      <c r="O85">
        <f>'Costing 100 Lmin Feed Orig'!O85</f>
        <v>-8.4019770307808202E-13</v>
      </c>
      <c r="P85">
        <f>'Costing 100 Lmin Feed Orig'!P85</f>
        <v>-2.26157796916898E-19</v>
      </c>
      <c r="Q85">
        <f>'Costing 100 Lmin Feed Orig'!Q85</f>
        <v>0.10953557168033</v>
      </c>
      <c r="R85">
        <f>'Costing 100 Lmin Feed Orig'!R85</f>
        <v>98.5748039883795</v>
      </c>
      <c r="S85">
        <f>'Costing 100 Lmin Feed Orig'!S85</f>
        <v>500</v>
      </c>
      <c r="T85">
        <f>'Costing 100 Lmin Feed Orig'!T85</f>
        <v>95</v>
      </c>
      <c r="U85">
        <f>'Costing 100 Lmin Feed Orig'!U85</f>
        <v>1</v>
      </c>
      <c r="V85">
        <f>'Costing 100 Lmin Feed Orig'!V85</f>
        <v>0.1</v>
      </c>
      <c r="W85">
        <f>'Costing 100 Lmin Feed Orig'!W85</f>
        <v>91.294543376138293</v>
      </c>
      <c r="X85" t="str">
        <f>'Costing 100 Lmin Feed Orig'!X85</f>
        <v>ddFc</v>
      </c>
      <c r="Y85">
        <f>'Costing 100 Lmin Feed Orig'!Y85</f>
        <v>1</v>
      </c>
      <c r="Z85">
        <f>'Costing 100 Lmin Feed Orig'!Z85</f>
        <v>0.28318429382522198</v>
      </c>
      <c r="AA85">
        <f>'Costing 100 Lmin Feed Orig'!AA85</f>
        <v>0.56945642916197003</v>
      </c>
      <c r="AB85">
        <f>'Costing 100 Lmin Feed Orig'!AB85</f>
        <v>3.7698628972227502E-3</v>
      </c>
      <c r="AC85">
        <f>'Costing 100 Lmin Feed Orig'!AC85</f>
        <v>1822.2107908876901</v>
      </c>
      <c r="AD85">
        <f>'Costing 100 Lmin Feed Orig'!AD85</f>
        <v>2662.6059073104898</v>
      </c>
      <c r="AE85">
        <f>'Costing 100 Lmin Feed Orig'!AE85</f>
        <v>2401.5030938442701</v>
      </c>
      <c r="AF85">
        <f>'Costing 100 Lmin Feed Orig'!AF85</f>
        <v>7</v>
      </c>
      <c r="AG85">
        <f>'Costing 100 Lmin Feed Orig'!AG85</f>
        <v>1.6497569194096201E-3</v>
      </c>
      <c r="AH85">
        <f>'Costing 100 Lmin Feed Orig'!AH85</f>
        <v>1.6689987798565299E-3</v>
      </c>
      <c r="AI85">
        <f>'Costing 100 Lmin Feed Orig'!AI85</f>
        <v>5.28589040482341E-6</v>
      </c>
      <c r="AJ85">
        <f>'Costing 100 Lmin Feed Orig'!AJ85</f>
        <v>0</v>
      </c>
      <c r="AK85">
        <f>'Costing 100 Lmin Feed Orig'!AK85</f>
        <v>0</v>
      </c>
      <c r="AL85">
        <f>'Costing 100 Lmin Feed Orig'!AL85</f>
        <v>0</v>
      </c>
      <c r="AM85">
        <f>'Costing 100 Lmin Feed Orig'!AM85</f>
        <v>1.6126163799612099E-3</v>
      </c>
      <c r="AN85">
        <f>'Costing 100 Lmin Feed Orig'!AN85</f>
        <v>7.9623592631732702E-5</v>
      </c>
      <c r="AO85">
        <f>'Costing 100 Lmin Feed Orig'!AO85</f>
        <v>5.2509536820161704E-6</v>
      </c>
      <c r="AP85">
        <f>'Costing 100 Lmin Feed Orig'!AP85</f>
        <v>1.7397945404161699E-3</v>
      </c>
      <c r="AQ85">
        <f>'Costing 100 Lmin Feed Orig'!AQ85</f>
        <v>7.4451968508709498E-2</v>
      </c>
      <c r="AR85">
        <f>'Costing 100 Lmin Feed Orig'!AR85</f>
        <v>1.63655995585356E-6</v>
      </c>
      <c r="AS85">
        <f>'Costing 100 Lmin Feed Orig'!AS85</f>
        <v>-4.4791102250807402E-18</v>
      </c>
      <c r="AT85">
        <f>'Costing 100 Lmin Feed Orig'!AT85</f>
        <v>-1.66186508998578E-15</v>
      </c>
      <c r="AU85">
        <f>'Costing 100 Lmin Feed Orig'!AU85</f>
        <v>-5.8233515123733103E-21</v>
      </c>
      <c r="AV85">
        <f>'Costing 100 Lmin Feed Orig'!AV85</f>
        <v>0.19716037225109501</v>
      </c>
      <c r="AW85">
        <f>'Costing 100 Lmin Feed Orig'!AW85</f>
        <v>99.339056996426606</v>
      </c>
      <c r="AX85">
        <f>'Costing 100 Lmin Feed Orig'!AX85</f>
        <v>500</v>
      </c>
      <c r="AY85">
        <f>'Costing 100 Lmin Feed Orig'!AY85</f>
        <v>95</v>
      </c>
      <c r="AZ85">
        <f>'Costing 100 Lmin Feed Orig'!AZ85</f>
        <v>0.92356908198738696</v>
      </c>
      <c r="BA85">
        <f>'Costing 100 Lmin Feed Orig'!BA85</f>
        <v>0.1</v>
      </c>
      <c r="BB85">
        <f>'Costing 100 Lmin Feed Orig'!BB85</f>
        <v>46.8435452541733</v>
      </c>
      <c r="BC85" t="str">
        <f>'Costing 100 Lmin Feed Orig'!BC85</f>
        <v>coeFc</v>
      </c>
      <c r="BD85">
        <f>'Costing 100 Lmin Feed Orig'!BD85</f>
        <v>1</v>
      </c>
      <c r="BE85">
        <f>'Costing 100 Lmin Feed Orig'!BE85</f>
        <v>1.8775014999999999E-2</v>
      </c>
      <c r="BF85">
        <f>'Costing 100 Lmin Feed Orig'!BF85</f>
        <v>0.10492961100000001</v>
      </c>
      <c r="BG85">
        <f>'Costing 100 Lmin Feed Orig'!BG85</f>
        <v>1.814625E-3</v>
      </c>
      <c r="BH85">
        <f>'Costing 100 Lmin Feed Orig'!BH85</f>
        <v>285.1951444</v>
      </c>
      <c r="BI85">
        <f>'Costing 100 Lmin Feed Orig'!BI85</f>
        <v>2169.8944889999998</v>
      </c>
      <c r="BJ85">
        <f>'Costing 100 Lmin Feed Orig'!BJ85</f>
        <v>866.49409060000005</v>
      </c>
      <c r="BK85">
        <f>'Costing 100 Lmin Feed Orig'!BK85</f>
        <v>100</v>
      </c>
      <c r="BL85">
        <f>'Costing 100 Lmin Feed Orig'!BL85</f>
        <v>10.953557168032999</v>
      </c>
      <c r="BM85">
        <f>'Costing 100 Lmin Feed Orig'!BM85</f>
        <v>92.356908198738694</v>
      </c>
      <c r="BN85">
        <f>'Costing 100 Lmin Feed Orig'!BN85</f>
        <v>19.716037225109499</v>
      </c>
      <c r="BO85">
        <f t="shared" si="20"/>
        <v>284.79248636885796</v>
      </c>
      <c r="BP85">
        <f t="shared" si="21"/>
        <v>354.88867005197096</v>
      </c>
      <c r="BQ85">
        <f t="shared" si="22"/>
        <v>28.479248636885799</v>
      </c>
      <c r="BR85">
        <f t="shared" si="23"/>
        <v>35.4888670051971</v>
      </c>
      <c r="BS85">
        <f>1.2*0.5*BL85*V85/'Oxidant Feed Composition'!$N$22</f>
        <v>6.5721343008197994</v>
      </c>
      <c r="BT85">
        <f>1.2*0.5*BN85*BA85/'Oxidant Feed Composition'!$N$22</f>
        <v>11.829622335065698</v>
      </c>
      <c r="BU85">
        <f t="shared" si="24"/>
        <v>5.4767785840164995</v>
      </c>
      <c r="BV85">
        <f t="shared" si="25"/>
        <v>9.8580186125547495</v>
      </c>
      <c r="BW85">
        <f t="shared" si="26"/>
        <v>86.880129614722193</v>
      </c>
      <c r="BX85">
        <f t="shared" si="19"/>
        <v>35.051382937705597</v>
      </c>
      <c r="BY85">
        <f t="shared" si="27"/>
        <v>206.62093073354339</v>
      </c>
      <c r="BZ85">
        <f t="shared" si="28"/>
        <v>63.091319120350391</v>
      </c>
      <c r="CA85">
        <f t="shared" si="29"/>
        <v>59.148111675328494</v>
      </c>
      <c r="CB85">
        <f>BO85*'Reagent cost'!$G$11*'Reagent cost'!$H$11</f>
        <v>3759.2608200689256</v>
      </c>
      <c r="CC85">
        <f>BP85*'Reagent cost'!$G$11*'Reagent cost'!$H$11</f>
        <v>4684.5304446860173</v>
      </c>
      <c r="CD85">
        <f>BQ85*'Reagent cost'!$C$18/1000*'Reagent cost'!$H$18</f>
        <v>4541.8834647976191</v>
      </c>
      <c r="CE85">
        <f>BR85*'Ligand cost'!$B$56*'Ligand cost'!$J$56</f>
        <v>36132.199672971241</v>
      </c>
      <c r="CF85">
        <f t="shared" si="30"/>
        <v>10</v>
      </c>
      <c r="CG85">
        <f t="shared" si="31"/>
        <v>2.1907114336065998</v>
      </c>
      <c r="CH85">
        <f t="shared" si="31"/>
        <v>3.9432074450218999</v>
      </c>
      <c r="CI85">
        <f>7963.6*(BX85/1000)^0.6*1.7*('CAPEX+OPEX'!$G$116/'CAPEX+OPEX'!$G$115)</f>
        <v>2138.2772847076108</v>
      </c>
      <c r="CJ85">
        <f>7963.6*(BY85/1000)^0.6*1.7*('CAPEX+OPEX'!$G$116/'CAPEX+OPEX'!$G$115)</f>
        <v>6199.3408604999822</v>
      </c>
      <c r="CK85">
        <f>7963.6*(BZ85/1000)^0.6*1.7*('CAPEX+OPEX'!$G$116/'CAPEX+OPEX'!$G$115)</f>
        <v>3042.4446955760445</v>
      </c>
      <c r="CL85">
        <f>7963.6*(CA85/1000)^0.6*1.7*('CAPEX+OPEX'!$G$116/'CAPEX+OPEX'!$G$115)</f>
        <v>2926.8836482840111</v>
      </c>
      <c r="CM85">
        <f>'Costing 100 Lmin Feed Orig'!DE85</f>
        <v>39625.826528698344</v>
      </c>
      <c r="CN85">
        <f>'Costing 100 Lmin Feed Orig'!DF85</f>
        <v>4586243.4239371875</v>
      </c>
      <c r="CO85">
        <f>'Costing 100 Lmin Feed Orig'!DG85</f>
        <v>11794834.586807497</v>
      </c>
      <c r="CP85">
        <f>'Costing 100 Lmin Feed Orig'!DH85</f>
        <v>2275209.1661185985</v>
      </c>
      <c r="CQ85">
        <f>'Costing 100 Lmin Feed Orig'!DI85</f>
        <v>14083914.336508472</v>
      </c>
      <c r="CR85">
        <f>'Costing 100 Lmin Feed Orig'!DJ85</f>
        <v>1662824.8986326549</v>
      </c>
      <c r="CS85">
        <f>CN85*(BK85/10000)^0.72*((A85+1)/3)^0.6*('CAPEX+OPEX'!$G$116/'CAPEX+OPEX'!$G$114)</f>
        <v>892840.31653984461</v>
      </c>
      <c r="CT85">
        <f>CO85*(BK85/10000)^0.72*((A85+1)/3)^0.6*('CAPEX+OPEX'!$G$116/'CAPEX+OPEX'!$G$114)</f>
        <v>2296193.8284949926</v>
      </c>
      <c r="CU85">
        <f>CP85*(BK85/10000)^0.72*((A85+1)/3)^0.6*('CAPEX+OPEX'!$G$116/'CAPEX+OPEX'!$G$114)</f>
        <v>442932.9811560188</v>
      </c>
      <c r="CV85">
        <f>CQ85*(BK85/10000)^0.72*((A85+1)/3)^0.6*('CAPEX+OPEX'!$G$116/'CAPEX+OPEX'!$G$114)</f>
        <v>2741827.1059701391</v>
      </c>
      <c r="CW85">
        <f>CR85*(BK85/10000)^0.72*((A85+1)/3)^0.6*('CAPEX+OPEX'!$G$116/'CAPEX+OPEX'!$G$114)</f>
        <v>323715.28756992728</v>
      </c>
      <c r="CX85">
        <f t="shared" si="32"/>
        <v>6697509.5197309218</v>
      </c>
      <c r="CY85">
        <f>CN85*(BM85/10000)^0.72*((AF85+1)/3)^0.6*('CAPEX+OPEX'!$G$116/'CAPEX+OPEX'!$G$114)</f>
        <v>661084.53106321464</v>
      </c>
      <c r="CZ85">
        <f>CO85*(BM85/10000)^0.72*((AF85+1)/3)^0.6*('CAPEX+OPEX'!$G$116/'CAPEX+OPEX'!$G$114)</f>
        <v>1700167.6472492905</v>
      </c>
      <c r="DA85">
        <f>CP85*(BM85/10000)^0.72*((AF85+1)/3)^0.6*('CAPEX+OPEX'!$G$116/'CAPEX+OPEX'!$G$114)</f>
        <v>327960.2597637524</v>
      </c>
      <c r="DB85">
        <f>CQ85*(BM85/10000)^0.72*((AF85+1)/3)^0.6*('CAPEX+OPEX'!$G$116/'CAPEX+OPEX'!$G$114)</f>
        <v>2030127.2837132132</v>
      </c>
      <c r="DC85">
        <f>CR85*(BM85/10000)^0.72*((AF85+1)/3)^0.6*('CAPEX+OPEX'!$G$116/'CAPEX+OPEX'!$G$114)</f>
        <v>239688.06640645108</v>
      </c>
      <c r="DD85">
        <f t="shared" si="33"/>
        <v>4959027.788195922</v>
      </c>
      <c r="DE85">
        <f>CX85+DD85+1.15*(SUM(CI85:CL85)+SUM(CB85:CE85))</f>
        <v>11729475.851952175</v>
      </c>
      <c r="DF85">
        <f t="shared" si="34"/>
        <v>781965.05679681164</v>
      </c>
      <c r="DG85">
        <f>(BS85+BT85)*'Oxidant Feed Composition'!$N$28*60*7200</f>
        <v>20459716.376743734</v>
      </c>
      <c r="DH85">
        <f>((CG85+CH85)*'Reagent cost'!$C$17/1000*'Reagent cost'!$H$17+(CG85+CH85)*0.5*'Reagent cost'!$C$16/1000*'Reagent cost'!$H$16*1.5)*60*7200</f>
        <v>8704250.2377129383</v>
      </c>
      <c r="DI85">
        <f>CF85*'Reagent cost'!$C$17/1000*'Reagent cost'!$H$17*60*7200</f>
        <v>504921.59999999998</v>
      </c>
      <c r="DJ85">
        <f t="shared" si="35"/>
        <v>84.437912647549425</v>
      </c>
      <c r="DK85">
        <f t="shared" si="36"/>
        <v>813.48166275537722</v>
      </c>
      <c r="DL85">
        <f t="shared" si="37"/>
        <v>35603743.360838488</v>
      </c>
      <c r="DM85">
        <f>BK85*(B85*(409.81+2)/1000+C85*(248.2+2*22.99)/1000+D85*(315.6+3*22.99)/1000+0.1*58.44/1000)</f>
        <v>0.70639694042110623</v>
      </c>
      <c r="DN85">
        <f>(BS85+BT85)/1000*('Oxidant Feed Composition'!$B$11*'Oxidant Feed Composition'!$O$20+'Oxidant Feed Composition'!$D$11*'Oxidant Feed Composition'!$O$21+'Oxidant Feed Composition'!$F$11*'Oxidant Feed Composition'!$O$27-'Oxidant Feed Composition'!$J$15*18.015)</f>
        <v>2.1490406839138352</v>
      </c>
      <c r="DO85">
        <f>(BU85+BV85)/1000*(0.2*368.34+0.4*58.44)</f>
        <v>1.4881500591440602</v>
      </c>
      <c r="DP85">
        <f>BK85/1000*(B85*195.08+C85*106.42+D85*102.91)</f>
        <v>4.999938342565946E-2</v>
      </c>
      <c r="DQ85">
        <f>SUM(DM85:DO85)-DP85</f>
        <v>4.2935883000533419</v>
      </c>
      <c r="DR85">
        <f>DQ85*60*7200*0.33</f>
        <v>612093.94805560447</v>
      </c>
      <c r="DS85">
        <v>1.2</v>
      </c>
      <c r="DT85">
        <f>BM85/60*(AM85*4+AN85*2+AO85*3)*96485/DV85</f>
        <v>1405.7118236014501</v>
      </c>
      <c r="DU85">
        <f>BN85*BA85*(AP85*4+AQ85*2+AR85*3)*96485/DV85/60</f>
        <v>705.97150548690695</v>
      </c>
      <c r="DV85">
        <v>0.7</v>
      </c>
      <c r="DW85">
        <f>0.499*((BK85/3.78541*15)^(-0.146))*BK85/3.78541*15*300*(1+(A85-2)/9)</f>
        <v>49536.497143418172</v>
      </c>
      <c r="DX85">
        <f>0.248*((BK85/3.78541*15)^(-0.144))*BK85/3.78541*15*300*(1+(A85-2)/3)</f>
        <v>49831.318766753509</v>
      </c>
      <c r="DY85">
        <f>0.105*((BK85/3.78541*15)^(-0.144))*BK85/3.78541*15*300*(1+(A85-2)/3)</f>
        <v>21097.937381085154</v>
      </c>
      <c r="DZ85">
        <f>0.058*((BK85/3.78541*15)^(-0.151))*BK85/3.78541*15*300*(1+(A85-2)/3)</f>
        <v>11176.166036369152</v>
      </c>
      <c r="EA85">
        <f>0.056*((BK85/3.78541*15)^(-0.144))*BK85/3.78541*15*300*(1+(A85-2)/3)</f>
        <v>11252.233269912085</v>
      </c>
      <c r="EB85">
        <f>DS85*DT85/(3.6*10^6)*3600*7200*0.07</f>
        <v>850.17451091415705</v>
      </c>
      <c r="EC85">
        <f>0.499*((BM85/3.78541*15)^(-0.146))*BM85/3.78541*15*300*(1+(AF85-2)/9)</f>
        <v>35999.102981412223</v>
      </c>
      <c r="ED85">
        <f>0.248*((BM85/3.78541*15)^(-0.144))*BM85/3.78541*15*300*(1+(AF85-2)/3)</f>
        <v>31035.083337015851</v>
      </c>
      <c r="EE85">
        <f>0.105*((BM85/3.78541*15)^(-0.144))*BM85/3.78541*15*300*(1+(AF85-2)/3)</f>
        <v>13139.85383220429</v>
      </c>
      <c r="EF85">
        <f>0.058*((BM85/3.78541*15)^(-0.151))*BM85/3.78541*15*300*(1+(AF85-2)/3)</f>
        <v>6964.4222544225158</v>
      </c>
      <c r="EG85">
        <f>0.056*((BM85/3.78541*15)^(-0.144))*BM85/3.78541*15*300*(1+(AF85-2)/3)</f>
        <v>7007.9220438422899</v>
      </c>
      <c r="EH85">
        <f>DS85*DU85/(3.6*10^6)*3600*7200*0.07</f>
        <v>426.97156651848138</v>
      </c>
      <c r="EI85">
        <f>SUM(DW85:EH85)</f>
        <v>238317.6831238679</v>
      </c>
      <c r="EJ85">
        <f>EI85+DR85+DL85</f>
        <v>36454154.992017962</v>
      </c>
      <c r="EK85">
        <f>EJ85+DF85</f>
        <v>37236120.048814774</v>
      </c>
      <c r="EL85">
        <f>EK85/(BK85*60*7200)</f>
        <v>0.86194722335219387</v>
      </c>
      <c r="EM85">
        <f>EK85/(BM85*(AM85*195.084/1000+AN85*106.42/1000+AO85*102.911/1000)*60*7200)</f>
        <v>2883.9645838950114</v>
      </c>
      <c r="EN85">
        <f>EK85/(BN85*BA85*(AP85*195.084/1000+AQ85*106.42/1000+AR85*102.911/1000)*60*7200)</f>
        <v>5290.9818982589995</v>
      </c>
    </row>
    <row r="86" spans="1:144">
      <c r="A86">
        <f>'Costing 100 Lmin Feed Orig'!A86</f>
        <v>11</v>
      </c>
      <c r="B86">
        <f>'Costing 100 Lmin Feed Orig'!B86</f>
        <v>1.54143585092054E-3</v>
      </c>
      <c r="C86">
        <f>'Costing 100 Lmin Feed Orig'!C86</f>
        <v>1.54143585092054E-3</v>
      </c>
      <c r="D86">
        <f>'Costing 100 Lmin Feed Orig'!D86</f>
        <v>3.4254130020456501E-4</v>
      </c>
      <c r="E86">
        <f>'Costing 100 Lmin Feed Orig'!E86</f>
        <v>0</v>
      </c>
      <c r="F86">
        <f>'Costing 100 Lmin Feed Orig'!F86</f>
        <v>0</v>
      </c>
      <c r="G86">
        <f>'Costing 100 Lmin Feed Orig'!G86</f>
        <v>0</v>
      </c>
      <c r="H86">
        <f>'Costing 100 Lmin Feed Orig'!H86</f>
        <v>1.7771367359861701E-5</v>
      </c>
      <c r="I86">
        <f>'Costing 100 Lmin Feed Orig'!I86</f>
        <v>1.8081057367328801E-10</v>
      </c>
      <c r="J86">
        <f>'Costing 100 Lmin Feed Orig'!J86</f>
        <v>3.3765941525589702E-4</v>
      </c>
      <c r="K86">
        <f>'Costing 100 Lmin Feed Orig'!K86</f>
        <v>0.139102253285185</v>
      </c>
      <c r="L86">
        <f>'Costing 100 Lmin Feed Orig'!L86</f>
        <v>0.14072466572308701</v>
      </c>
      <c r="M86">
        <f>'Costing 100 Lmin Feed Orig'!M86</f>
        <v>4.4568945720355099E-4</v>
      </c>
      <c r="N86">
        <f>'Costing 100 Lmin Feed Orig'!N86</f>
        <v>-8.03393809811758E-16</v>
      </c>
      <c r="O86">
        <f>'Costing 100 Lmin Feed Orig'!O86</f>
        <v>-8.4019770307808202E-13</v>
      </c>
      <c r="P86">
        <f>'Costing 100 Lmin Feed Orig'!P86</f>
        <v>-2.26157796916898E-19</v>
      </c>
      <c r="Q86">
        <f>'Costing 100 Lmin Feed Orig'!Q86</f>
        <v>0.10953557168033</v>
      </c>
      <c r="R86">
        <f>'Costing 100 Lmin Feed Orig'!R86</f>
        <v>98.5748039883795</v>
      </c>
      <c r="S86">
        <f>'Costing 100 Lmin Feed Orig'!S86</f>
        <v>500</v>
      </c>
      <c r="T86">
        <f>'Costing 100 Lmin Feed Orig'!T86</f>
        <v>95</v>
      </c>
      <c r="U86">
        <f>'Costing 100 Lmin Feed Orig'!U86</f>
        <v>1</v>
      </c>
      <c r="V86">
        <f>'Costing 100 Lmin Feed Orig'!V86</f>
        <v>0.1</v>
      </c>
      <c r="W86">
        <f>'Costing 100 Lmin Feed Orig'!W86</f>
        <v>91.294543376138293</v>
      </c>
      <c r="X86" t="str">
        <f>'Costing 100 Lmin Feed Orig'!X86</f>
        <v>ddFc</v>
      </c>
      <c r="Y86">
        <f>'Costing 100 Lmin Feed Orig'!Y86</f>
        <v>1</v>
      </c>
      <c r="Z86">
        <f>'Costing 100 Lmin Feed Orig'!Z86</f>
        <v>0.28318429382522198</v>
      </c>
      <c r="AA86">
        <f>'Costing 100 Lmin Feed Orig'!AA86</f>
        <v>0.56945642916197003</v>
      </c>
      <c r="AB86">
        <f>'Costing 100 Lmin Feed Orig'!AB86</f>
        <v>3.7698628972227502E-3</v>
      </c>
      <c r="AC86">
        <f>'Costing 100 Lmin Feed Orig'!AC86</f>
        <v>1822.2107908876901</v>
      </c>
      <c r="AD86">
        <f>'Costing 100 Lmin Feed Orig'!AD86</f>
        <v>2662.6059073104898</v>
      </c>
      <c r="AE86">
        <f>'Costing 100 Lmin Feed Orig'!AE86</f>
        <v>2401.5030938442701</v>
      </c>
      <c r="AF86">
        <f>'Costing 100 Lmin Feed Orig'!AF86</f>
        <v>8</v>
      </c>
      <c r="AG86">
        <f>'Costing 100 Lmin Feed Orig'!AG86</f>
        <v>1.6497569194096201E-3</v>
      </c>
      <c r="AH86">
        <f>'Costing 100 Lmin Feed Orig'!AH86</f>
        <v>1.6689987798565299E-3</v>
      </c>
      <c r="AI86">
        <f>'Costing 100 Lmin Feed Orig'!AI86</f>
        <v>5.28589040482341E-6</v>
      </c>
      <c r="AJ86">
        <f>'Costing 100 Lmin Feed Orig'!AJ86</f>
        <v>0</v>
      </c>
      <c r="AK86">
        <f>'Costing 100 Lmin Feed Orig'!AK86</f>
        <v>0</v>
      </c>
      <c r="AL86">
        <f>'Costing 100 Lmin Feed Orig'!AL86</f>
        <v>0</v>
      </c>
      <c r="AM86">
        <f>'Costing 100 Lmin Feed Orig'!AM86</f>
        <v>1.6127556677607399E-3</v>
      </c>
      <c r="AN86">
        <f>'Costing 100 Lmin Feed Orig'!AN86</f>
        <v>7.9630797964244996E-5</v>
      </c>
      <c r="AO86">
        <f>'Costing 100 Lmin Feed Orig'!AO86</f>
        <v>5.2510792863207299E-6</v>
      </c>
      <c r="AP86">
        <f>'Costing 100 Lmin Feed Orig'!AP86</f>
        <v>1.7350919198262601E-3</v>
      </c>
      <c r="AQ86">
        <f>'Costing 100 Lmin Feed Orig'!AQ86</f>
        <v>7.4529898928506394E-2</v>
      </c>
      <c r="AR86">
        <f>'Costing 100 Lmin Feed Orig'!AR86</f>
        <v>1.6323904665746701E-6</v>
      </c>
      <c r="AS86">
        <f>'Costing 100 Lmin Feed Orig'!AS86</f>
        <v>5.0343369338741403E-15</v>
      </c>
      <c r="AT86">
        <f>'Costing 100 Lmin Feed Orig'!AT86</f>
        <v>-1.17148695258362E-12</v>
      </c>
      <c r="AU86">
        <f>'Costing 100 Lmin Feed Orig'!AU86</f>
        <v>2.5583041985040001E-20</v>
      </c>
      <c r="AV86">
        <f>'Costing 100 Lmin Feed Orig'!AV86</f>
        <v>0.19695332346498701</v>
      </c>
      <c r="AW86">
        <f>'Costing 100 Lmin Feed Orig'!AW86</f>
        <v>99.341433214905294</v>
      </c>
      <c r="AX86">
        <f>'Costing 100 Lmin Feed Orig'!AX86</f>
        <v>500</v>
      </c>
      <c r="AY86">
        <f>'Costing 100 Lmin Feed Orig'!AY86</f>
        <v>95</v>
      </c>
      <c r="AZ86">
        <f>'Costing 100 Lmin Feed Orig'!AZ86</f>
        <v>0.92356908198738696</v>
      </c>
      <c r="BA86">
        <f>'Costing 100 Lmin Feed Orig'!BA86</f>
        <v>0.1</v>
      </c>
      <c r="BB86">
        <f>'Costing 100 Lmin Feed Orig'!BB86</f>
        <v>46.892789912812503</v>
      </c>
      <c r="BC86" t="str">
        <f>'Costing 100 Lmin Feed Orig'!BC86</f>
        <v>coeFc</v>
      </c>
      <c r="BD86">
        <f>'Costing 100 Lmin Feed Orig'!BD86</f>
        <v>1</v>
      </c>
      <c r="BE86">
        <f>'Costing 100 Lmin Feed Orig'!BE86</f>
        <v>1.8775014999999999E-2</v>
      </c>
      <c r="BF86">
        <f>'Costing 100 Lmin Feed Orig'!BF86</f>
        <v>0.10492961100000001</v>
      </c>
      <c r="BG86">
        <f>'Costing 100 Lmin Feed Orig'!BG86</f>
        <v>1.814625E-3</v>
      </c>
      <c r="BH86">
        <f>'Costing 100 Lmin Feed Orig'!BH86</f>
        <v>285.1951444</v>
      </c>
      <c r="BI86">
        <f>'Costing 100 Lmin Feed Orig'!BI86</f>
        <v>2169.8944889999998</v>
      </c>
      <c r="BJ86">
        <f>'Costing 100 Lmin Feed Orig'!BJ86</f>
        <v>866.49409060000005</v>
      </c>
      <c r="BK86">
        <f>'Costing 100 Lmin Feed Orig'!BK86</f>
        <v>100</v>
      </c>
      <c r="BL86">
        <f>'Costing 100 Lmin Feed Orig'!BL86</f>
        <v>10.953557168032999</v>
      </c>
      <c r="BM86">
        <f>'Costing 100 Lmin Feed Orig'!BM86</f>
        <v>92.356908198738694</v>
      </c>
      <c r="BN86">
        <f>'Costing 100 Lmin Feed Orig'!BN86</f>
        <v>19.695332346498702</v>
      </c>
      <c r="BO86">
        <f t="shared" si="20"/>
        <v>284.79248636885796</v>
      </c>
      <c r="BP86">
        <f t="shared" si="21"/>
        <v>393.90664692997404</v>
      </c>
      <c r="BQ86">
        <f t="shared" si="22"/>
        <v>28.479248636885799</v>
      </c>
      <c r="BR86">
        <f t="shared" si="23"/>
        <v>39.390664692997404</v>
      </c>
      <c r="BS86">
        <f>1.2*0.5*BL86*V86/'Oxidant Feed Composition'!$N$22</f>
        <v>6.5721343008197994</v>
      </c>
      <c r="BT86">
        <f>1.2*0.5*BN86*BA86/'Oxidant Feed Composition'!$N$22</f>
        <v>11.817199407899221</v>
      </c>
      <c r="BU86">
        <f t="shared" si="24"/>
        <v>5.4767785840164995</v>
      </c>
      <c r="BV86">
        <f t="shared" si="25"/>
        <v>9.8476661732493511</v>
      </c>
      <c r="BW86">
        <f t="shared" si="26"/>
        <v>86.880129614722193</v>
      </c>
      <c r="BX86">
        <f t="shared" si="19"/>
        <v>35.051382937705597</v>
      </c>
      <c r="BY86">
        <f t="shared" si="27"/>
        <v>206.62093073354339</v>
      </c>
      <c r="BZ86">
        <f t="shared" si="28"/>
        <v>63.025063508795846</v>
      </c>
      <c r="CA86">
        <f t="shared" si="29"/>
        <v>59.085997039496107</v>
      </c>
      <c r="CB86">
        <f>BO86*'Reagent cost'!$G$11*'Reagent cost'!$H$11</f>
        <v>3759.2608200689256</v>
      </c>
      <c r="CC86">
        <f>BP86*'Reagent cost'!$G$11*'Reagent cost'!$H$11</f>
        <v>5199.5677394756585</v>
      </c>
      <c r="CD86">
        <f>BQ86*'Reagent cost'!$C$18/1000*'Reagent cost'!$H$18</f>
        <v>4541.8834647976191</v>
      </c>
      <c r="CE86">
        <f>BR86*'Ligand cost'!$B$56*'Ligand cost'!$J$56</f>
        <v>40104.72810332357</v>
      </c>
      <c r="CF86">
        <f t="shared" si="30"/>
        <v>10</v>
      </c>
      <c r="CG86">
        <f t="shared" si="31"/>
        <v>2.1907114336065998</v>
      </c>
      <c r="CH86">
        <f t="shared" si="31"/>
        <v>3.9390664692997408</v>
      </c>
      <c r="CI86">
        <f>7963.6*(BX86/1000)^0.6*1.7*('CAPEX+OPEX'!$G$116/'CAPEX+OPEX'!$G$115)</f>
        <v>2138.2772847076108</v>
      </c>
      <c r="CJ86">
        <f>7963.6*(BY86/1000)^0.6*1.7*('CAPEX+OPEX'!$G$116/'CAPEX+OPEX'!$G$115)</f>
        <v>6199.3408604999822</v>
      </c>
      <c r="CK86">
        <f>7963.6*(BZ86/1000)^0.6*1.7*('CAPEX+OPEX'!$G$116/'CAPEX+OPEX'!$G$115)</f>
        <v>3040.5272711635121</v>
      </c>
      <c r="CL86">
        <f>7963.6*(CA86/1000)^0.6*1.7*('CAPEX+OPEX'!$G$116/'CAPEX+OPEX'!$G$115)</f>
        <v>2925.0390533212753</v>
      </c>
      <c r="CM86">
        <f>'Costing 100 Lmin Feed Orig'!DE86</f>
        <v>39625.826528698344</v>
      </c>
      <c r="CN86">
        <f>'Costing 100 Lmin Feed Orig'!DF86</f>
        <v>4586243.4239371875</v>
      </c>
      <c r="CO86">
        <f>'Costing 100 Lmin Feed Orig'!DG86</f>
        <v>11794834.586807497</v>
      </c>
      <c r="CP86">
        <f>'Costing 100 Lmin Feed Orig'!DH86</f>
        <v>2275209.1661185985</v>
      </c>
      <c r="CQ86">
        <f>'Costing 100 Lmin Feed Orig'!DI86</f>
        <v>14083914.336508472</v>
      </c>
      <c r="CR86">
        <f>'Costing 100 Lmin Feed Orig'!DJ86</f>
        <v>1662824.8986326549</v>
      </c>
      <c r="CS86">
        <f>CN86*(BK86/10000)^0.72*((A86+1)/3)^0.6*('CAPEX+OPEX'!$G$116/'CAPEX+OPEX'!$G$114)</f>
        <v>892840.31653984461</v>
      </c>
      <c r="CT86">
        <f>CO86*(BK86/10000)^0.72*((A86+1)/3)^0.6*('CAPEX+OPEX'!$G$116/'CAPEX+OPEX'!$G$114)</f>
        <v>2296193.8284949926</v>
      </c>
      <c r="CU86">
        <f>CP86*(BK86/10000)^0.72*((A86+1)/3)^0.6*('CAPEX+OPEX'!$G$116/'CAPEX+OPEX'!$G$114)</f>
        <v>442932.9811560188</v>
      </c>
      <c r="CV86">
        <f>CQ86*(BK86/10000)^0.72*((A86+1)/3)^0.6*('CAPEX+OPEX'!$G$116/'CAPEX+OPEX'!$G$114)</f>
        <v>2741827.1059701391</v>
      </c>
      <c r="CW86">
        <f>CR86*(BK86/10000)^0.72*((A86+1)/3)^0.6*('CAPEX+OPEX'!$G$116/'CAPEX+OPEX'!$G$114)</f>
        <v>323715.28756992728</v>
      </c>
      <c r="CX86">
        <f t="shared" si="32"/>
        <v>6697509.5197309218</v>
      </c>
      <c r="CY86">
        <f>CN86*(BM86/10000)^0.72*((AF86+1)/3)^0.6*('CAPEX+OPEX'!$G$116/'CAPEX+OPEX'!$G$114)</f>
        <v>709493.64296132035</v>
      </c>
      <c r="CZ86">
        <f>CO86*(BM86/10000)^0.72*((AF86+1)/3)^0.6*('CAPEX+OPEX'!$G$116/'CAPEX+OPEX'!$G$114)</f>
        <v>1824665.5019319013</v>
      </c>
      <c r="DA86">
        <f>CP86*(BM86/10000)^0.72*((AF86+1)/3)^0.6*('CAPEX+OPEX'!$G$116/'CAPEX+OPEX'!$G$114)</f>
        <v>351975.74366488325</v>
      </c>
      <c r="DB86">
        <f>CQ86*(BM86/10000)^0.72*((AF86+1)/3)^0.6*('CAPEX+OPEX'!$G$116/'CAPEX+OPEX'!$G$114)</f>
        <v>2178787.0302763539</v>
      </c>
      <c r="DC86">
        <f>CR86*(BM86/10000)^0.72*((AF86+1)/3)^0.6*('CAPEX+OPEX'!$G$116/'CAPEX+OPEX'!$G$114)</f>
        <v>257239.65910315106</v>
      </c>
      <c r="DD86">
        <f t="shared" si="33"/>
        <v>5322161.5779376104</v>
      </c>
      <c r="DE86">
        <f>CX86+DD86+1.15*(SUM(CI86:CL86)+SUM(CB86:CE86))</f>
        <v>12097766.015955495</v>
      </c>
      <c r="DF86">
        <f t="shared" si="34"/>
        <v>806517.734397033</v>
      </c>
      <c r="DG86">
        <f>(BS86+BT86)*'Oxidant Feed Composition'!$N$28*60*7200</f>
        <v>20445904.131998606</v>
      </c>
      <c r="DH86">
        <f>((CG86+CH86)*'Reagent cost'!$C$17/1000*'Reagent cost'!$H$17+(CG86+CH86)*0.5*'Reagent cost'!$C$16/1000*'Reagent cost'!$H$16*1.5)*60*7200</f>
        <v>8698374.0450819042</v>
      </c>
      <c r="DI86">
        <f>CF86*'Reagent cost'!$C$17/1000*'Reagent cost'!$H$17*60*7200</f>
        <v>504921.59999999998</v>
      </c>
      <c r="DJ86">
        <f t="shared" si="35"/>
        <v>89.588285595445853</v>
      </c>
      <c r="DK86">
        <f t="shared" si="36"/>
        <v>892.93223136242375</v>
      </c>
      <c r="DL86">
        <f t="shared" si="37"/>
        <v>35580218.757116966</v>
      </c>
      <c r="DM86">
        <f>BK86*(B86*(409.81+2)/1000+C86*(248.2+2*22.99)/1000+D86*(315.6+3*22.99)/1000+0.1*58.44/1000)</f>
        <v>0.70639694042110623</v>
      </c>
      <c r="DN86">
        <f>(BS86+BT86)/1000*('Oxidant Feed Composition'!$B$11*'Oxidant Feed Composition'!$O$20+'Oxidant Feed Composition'!$D$11*'Oxidant Feed Composition'!$O$21+'Oxidant Feed Composition'!$F$11*'Oxidant Feed Composition'!$O$27-'Oxidant Feed Composition'!$J$15*18.015)</f>
        <v>2.1475898780792444</v>
      </c>
      <c r="DO86">
        <f>(BU86+BV86)/1000*(0.2*368.34+0.4*58.44)</f>
        <v>1.4871454170241072</v>
      </c>
      <c r="DP86">
        <f>BK86/1000*(B86*195.08+C86*106.42+D86*102.91)</f>
        <v>4.999938342565946E-2</v>
      </c>
      <c r="DQ86">
        <f>SUM(DM86:DO86)-DP86</f>
        <v>4.2911328520987979</v>
      </c>
      <c r="DR86">
        <f>DQ86*60*7200*0.33</f>
        <v>611743.89939520461</v>
      </c>
      <c r="DS86">
        <v>1.2</v>
      </c>
      <c r="DT86">
        <f>BM86/60*(AM86*4+AN86*2+AO86*3)*96485/DV86</f>
        <v>1405.8331706903878</v>
      </c>
      <c r="DU86">
        <f>BN86*BA86*(AP86*4+AQ86*2+AR86*3)*96485/DV86/60</f>
        <v>705.85015893081743</v>
      </c>
      <c r="DV86">
        <v>0.7</v>
      </c>
      <c r="DW86">
        <f>0.499*((BK86/3.78541*15)^(-0.146))*BK86/3.78541*15*300*(1+(A86-2)/9)</f>
        <v>49536.497143418172</v>
      </c>
      <c r="DX86">
        <f>0.248*((BK86/3.78541*15)^(-0.144))*BK86/3.78541*15*300*(1+(A86-2)/3)</f>
        <v>49831.318766753509</v>
      </c>
      <c r="DY86">
        <f>0.105*((BK86/3.78541*15)^(-0.144))*BK86/3.78541*15*300*(1+(A86-2)/3)</f>
        <v>21097.937381085154</v>
      </c>
      <c r="DZ86">
        <f>0.058*((BK86/3.78541*15)^(-0.151))*BK86/3.78541*15*300*(1+(A86-2)/3)</f>
        <v>11176.166036369152</v>
      </c>
      <c r="EA86">
        <f>0.056*((BK86/3.78541*15)^(-0.144))*BK86/3.78541*15*300*(1+(A86-2)/3)</f>
        <v>11252.233269912085</v>
      </c>
      <c r="EB86">
        <f>DS86*DT86/(3.6*10^6)*3600*7200*0.07</f>
        <v>850.24790163354669</v>
      </c>
      <c r="EC86">
        <f>0.499*((BM86/3.78541*15)^(-0.146))*BM86/3.78541*15*300*(1+(AF86-2)/9)</f>
        <v>38570.467480084517</v>
      </c>
      <c r="ED86">
        <f>0.248*((BM86/3.78541*15)^(-0.144))*BM86/3.78541*15*300*(1+(AF86-2)/3)</f>
        <v>34914.468754142828</v>
      </c>
      <c r="EE86">
        <f>0.105*((BM86/3.78541*15)^(-0.144))*BM86/3.78541*15*300*(1+(AF86-2)/3)</f>
        <v>14782.335561229824</v>
      </c>
      <c r="EF86">
        <f>0.058*((BM86/3.78541*15)^(-0.151))*BM86/3.78541*15*300*(1+(AF86-2)/3)</f>
        <v>7834.9750362253289</v>
      </c>
      <c r="EG86">
        <f>0.056*((BM86/3.78541*15)^(-0.144))*BM86/3.78541*15*300*(1+(AF86-2)/3)</f>
        <v>7883.9122993225756</v>
      </c>
      <c r="EH86">
        <f>DS86*DU86/(3.6*10^6)*3600*7200*0.07</f>
        <v>426.8981761213584</v>
      </c>
      <c r="EI86">
        <f>SUM(DW86:EH86)</f>
        <v>248157.45780629804</v>
      </c>
      <c r="EJ86">
        <f>EI86+DR86+DL86</f>
        <v>36440120.114318468</v>
      </c>
      <c r="EK86">
        <f>EJ86+DF86</f>
        <v>37246637.848715499</v>
      </c>
      <c r="EL86">
        <f>EK86/(BK86*60*7200)</f>
        <v>0.86219069094248846</v>
      </c>
      <c r="EM86">
        <f>EK86/(BM86*(AM86*195.084/1000+AN86*106.42/1000+AO86*102.911/1000)*60*7200)</f>
        <v>2884.5300370795458</v>
      </c>
      <c r="EN86">
        <f>EK86/(BN86*BA86*(AP86*195.084/1000+AQ86*106.42/1000+AR86*102.911/1000)*60*7200)</f>
        <v>5293.3152272218904</v>
      </c>
    </row>
    <row r="87" spans="1:144">
      <c r="A87">
        <f>'Costing 100 Lmin Feed Orig'!A87</f>
        <v>11</v>
      </c>
      <c r="B87">
        <f>'Costing 100 Lmin Feed Orig'!B87</f>
        <v>1.54143585092054E-3</v>
      </c>
      <c r="C87">
        <f>'Costing 100 Lmin Feed Orig'!C87</f>
        <v>1.54143585092054E-3</v>
      </c>
      <c r="D87">
        <f>'Costing 100 Lmin Feed Orig'!D87</f>
        <v>3.4254130020456501E-4</v>
      </c>
      <c r="E87">
        <f>'Costing 100 Lmin Feed Orig'!E87</f>
        <v>0</v>
      </c>
      <c r="F87">
        <f>'Costing 100 Lmin Feed Orig'!F87</f>
        <v>0</v>
      </c>
      <c r="G87">
        <f>'Costing 100 Lmin Feed Orig'!G87</f>
        <v>0</v>
      </c>
      <c r="H87">
        <f>'Costing 100 Lmin Feed Orig'!H87</f>
        <v>1.7771367359861701E-5</v>
      </c>
      <c r="I87">
        <f>'Costing 100 Lmin Feed Orig'!I87</f>
        <v>1.8081057367328801E-10</v>
      </c>
      <c r="J87">
        <f>'Costing 100 Lmin Feed Orig'!J87</f>
        <v>3.3765941525589702E-4</v>
      </c>
      <c r="K87">
        <f>'Costing 100 Lmin Feed Orig'!K87</f>
        <v>0.139102253285185</v>
      </c>
      <c r="L87">
        <f>'Costing 100 Lmin Feed Orig'!L87</f>
        <v>0.14072466572308701</v>
      </c>
      <c r="M87">
        <f>'Costing 100 Lmin Feed Orig'!M87</f>
        <v>4.4568945720355099E-4</v>
      </c>
      <c r="N87">
        <f>'Costing 100 Lmin Feed Orig'!N87</f>
        <v>-8.03393809811758E-16</v>
      </c>
      <c r="O87">
        <f>'Costing 100 Lmin Feed Orig'!O87</f>
        <v>-8.4019770307808202E-13</v>
      </c>
      <c r="P87">
        <f>'Costing 100 Lmin Feed Orig'!P87</f>
        <v>-2.26157796916898E-19</v>
      </c>
      <c r="Q87">
        <f>'Costing 100 Lmin Feed Orig'!Q87</f>
        <v>0.10953557168033</v>
      </c>
      <c r="R87">
        <f>'Costing 100 Lmin Feed Orig'!R87</f>
        <v>98.5748039883795</v>
      </c>
      <c r="S87">
        <f>'Costing 100 Lmin Feed Orig'!S87</f>
        <v>500</v>
      </c>
      <c r="T87">
        <f>'Costing 100 Lmin Feed Orig'!T87</f>
        <v>95</v>
      </c>
      <c r="U87">
        <f>'Costing 100 Lmin Feed Orig'!U87</f>
        <v>1</v>
      </c>
      <c r="V87">
        <f>'Costing 100 Lmin Feed Orig'!V87</f>
        <v>0.1</v>
      </c>
      <c r="W87">
        <f>'Costing 100 Lmin Feed Orig'!W87</f>
        <v>91.294543376138293</v>
      </c>
      <c r="X87" t="str">
        <f>'Costing 100 Lmin Feed Orig'!X87</f>
        <v>ddFc</v>
      </c>
      <c r="Y87">
        <f>'Costing 100 Lmin Feed Orig'!Y87</f>
        <v>1</v>
      </c>
      <c r="Z87">
        <f>'Costing 100 Lmin Feed Orig'!Z87</f>
        <v>0.28318429382522198</v>
      </c>
      <c r="AA87">
        <f>'Costing 100 Lmin Feed Orig'!AA87</f>
        <v>0.56945642916197003</v>
      </c>
      <c r="AB87">
        <f>'Costing 100 Lmin Feed Orig'!AB87</f>
        <v>3.7698628972227502E-3</v>
      </c>
      <c r="AC87">
        <f>'Costing 100 Lmin Feed Orig'!AC87</f>
        <v>1822.2107908876901</v>
      </c>
      <c r="AD87">
        <f>'Costing 100 Lmin Feed Orig'!AD87</f>
        <v>2662.6059073104898</v>
      </c>
      <c r="AE87">
        <f>'Costing 100 Lmin Feed Orig'!AE87</f>
        <v>2401.5030938442701</v>
      </c>
      <c r="AF87">
        <f>'Costing 100 Lmin Feed Orig'!AF87</f>
        <v>9</v>
      </c>
      <c r="AG87">
        <f>'Costing 100 Lmin Feed Orig'!AG87</f>
        <v>1.6497569194096201E-3</v>
      </c>
      <c r="AH87">
        <f>'Costing 100 Lmin Feed Orig'!AH87</f>
        <v>1.6689987798565299E-3</v>
      </c>
      <c r="AI87">
        <f>'Costing 100 Lmin Feed Orig'!AI87</f>
        <v>5.28589040482341E-6</v>
      </c>
      <c r="AJ87">
        <f>'Costing 100 Lmin Feed Orig'!AJ87</f>
        <v>0</v>
      </c>
      <c r="AK87">
        <f>'Costing 100 Lmin Feed Orig'!AK87</f>
        <v>0</v>
      </c>
      <c r="AL87">
        <f>'Costing 100 Lmin Feed Orig'!AL87</f>
        <v>0</v>
      </c>
      <c r="AM87">
        <f>'Costing 100 Lmin Feed Orig'!AM87</f>
        <v>1.6127950089356499E-3</v>
      </c>
      <c r="AN87">
        <f>'Costing 100 Lmin Feed Orig'!AN87</f>
        <v>7.9632833043740095E-5</v>
      </c>
      <c r="AO87">
        <f>'Costing 100 Lmin Feed Orig'!AO87</f>
        <v>5.2511147626523301E-6</v>
      </c>
      <c r="AP87">
        <f>'Costing 100 Lmin Feed Orig'!AP87</f>
        <v>1.7337618973110201E-3</v>
      </c>
      <c r="AQ87">
        <f>'Costing 100 Lmin Feed Orig'!AQ87</f>
        <v>7.4551939662868896E-2</v>
      </c>
      <c r="AR87">
        <f>'Costing 100 Lmin Feed Orig'!AR87</f>
        <v>1.6312112273867399E-6</v>
      </c>
      <c r="AS87">
        <f>'Costing 100 Lmin Feed Orig'!AS87</f>
        <v>3.6795111228726801E-17</v>
      </c>
      <c r="AT87">
        <f>'Costing 100 Lmin Feed Orig'!AT87</f>
        <v>-4.8355416892853498E-15</v>
      </c>
      <c r="AU87">
        <f>'Costing 100 Lmin Feed Orig'!AU87</f>
        <v>-1.38304598418866E-21</v>
      </c>
      <c r="AV87">
        <f>'Costing 100 Lmin Feed Orig'!AV87</f>
        <v>0.19689484339142299</v>
      </c>
      <c r="AW87">
        <f>'Costing 100 Lmin Feed Orig'!AW87</f>
        <v>99.342104366383694</v>
      </c>
      <c r="AX87">
        <f>'Costing 100 Lmin Feed Orig'!AX87</f>
        <v>500</v>
      </c>
      <c r="AY87">
        <f>'Costing 100 Lmin Feed Orig'!AY87</f>
        <v>95</v>
      </c>
      <c r="AZ87">
        <f>'Costing 100 Lmin Feed Orig'!AZ87</f>
        <v>0.92356908198738696</v>
      </c>
      <c r="BA87">
        <f>'Costing 100 Lmin Feed Orig'!BA87</f>
        <v>0.1</v>
      </c>
      <c r="BB87">
        <f>'Costing 100 Lmin Feed Orig'!BB87</f>
        <v>46.906717620397401</v>
      </c>
      <c r="BC87" t="str">
        <f>'Costing 100 Lmin Feed Orig'!BC87</f>
        <v>coeFc</v>
      </c>
      <c r="BD87">
        <f>'Costing 100 Lmin Feed Orig'!BD87</f>
        <v>1</v>
      </c>
      <c r="BE87">
        <f>'Costing 100 Lmin Feed Orig'!BE87</f>
        <v>1.8775014999999999E-2</v>
      </c>
      <c r="BF87">
        <f>'Costing 100 Lmin Feed Orig'!BF87</f>
        <v>0.10492961100000001</v>
      </c>
      <c r="BG87">
        <f>'Costing 100 Lmin Feed Orig'!BG87</f>
        <v>1.814625E-3</v>
      </c>
      <c r="BH87">
        <f>'Costing 100 Lmin Feed Orig'!BH87</f>
        <v>285.1951444</v>
      </c>
      <c r="BI87">
        <f>'Costing 100 Lmin Feed Orig'!BI87</f>
        <v>2169.8944889999998</v>
      </c>
      <c r="BJ87">
        <f>'Costing 100 Lmin Feed Orig'!BJ87</f>
        <v>866.49409060000005</v>
      </c>
      <c r="BK87">
        <f>'Costing 100 Lmin Feed Orig'!BK87</f>
        <v>100</v>
      </c>
      <c r="BL87">
        <f>'Costing 100 Lmin Feed Orig'!BL87</f>
        <v>10.953557168032999</v>
      </c>
      <c r="BM87">
        <f>'Costing 100 Lmin Feed Orig'!BM87</f>
        <v>92.356908198738694</v>
      </c>
      <c r="BN87">
        <f>'Costing 100 Lmin Feed Orig'!BN87</f>
        <v>19.6894843391423</v>
      </c>
      <c r="BO87">
        <f t="shared" si="20"/>
        <v>284.79248636885796</v>
      </c>
      <c r="BP87">
        <f t="shared" si="21"/>
        <v>433.16865546113058</v>
      </c>
      <c r="BQ87">
        <f t="shared" si="22"/>
        <v>28.479248636885799</v>
      </c>
      <c r="BR87">
        <f t="shared" si="23"/>
        <v>43.316865546113064</v>
      </c>
      <c r="BS87">
        <f>1.2*0.5*BL87*V87/'Oxidant Feed Composition'!$N$22</f>
        <v>6.5721343008197994</v>
      </c>
      <c r="BT87">
        <f>1.2*0.5*BN87*BA87/'Oxidant Feed Composition'!$N$22</f>
        <v>11.81369060348538</v>
      </c>
      <c r="BU87">
        <f t="shared" si="24"/>
        <v>5.4767785840164995</v>
      </c>
      <c r="BV87">
        <f t="shared" si="25"/>
        <v>9.8447421695711501</v>
      </c>
      <c r="BW87">
        <f t="shared" si="26"/>
        <v>86.880129614722193</v>
      </c>
      <c r="BX87">
        <f t="shared" si="19"/>
        <v>35.051382937705597</v>
      </c>
      <c r="BY87">
        <f t="shared" si="27"/>
        <v>206.62093073354339</v>
      </c>
      <c r="BZ87">
        <f t="shared" si="28"/>
        <v>63.006349885255361</v>
      </c>
      <c r="CA87">
        <f t="shared" si="29"/>
        <v>59.068453017426904</v>
      </c>
      <c r="CB87">
        <f>BO87*'Reagent cost'!$G$11*'Reagent cost'!$H$11</f>
        <v>3759.2608200689256</v>
      </c>
      <c r="CC87">
        <f>BP87*'Reagent cost'!$G$11*'Reagent cost'!$H$11</f>
        <v>5717.8262520869239</v>
      </c>
      <c r="CD87">
        <f>BQ87*'Reagent cost'!$C$18/1000*'Reagent cost'!$H$18</f>
        <v>4541.8834647976191</v>
      </c>
      <c r="CE87">
        <f>BR87*'Ligand cost'!$B$56*'Ligand cost'!$J$56</f>
        <v>44102.102073030474</v>
      </c>
      <c r="CF87">
        <f t="shared" si="30"/>
        <v>10</v>
      </c>
      <c r="CG87">
        <f t="shared" si="31"/>
        <v>2.1907114336065998</v>
      </c>
      <c r="CH87">
        <f t="shared" si="31"/>
        <v>3.93789686782846</v>
      </c>
      <c r="CI87">
        <f>7963.6*(BX87/1000)^0.6*1.7*('CAPEX+OPEX'!$G$116/'CAPEX+OPEX'!$G$115)</f>
        <v>2138.2772847076108</v>
      </c>
      <c r="CJ87">
        <f>7963.6*(BY87/1000)^0.6*1.7*('CAPEX+OPEX'!$G$116/'CAPEX+OPEX'!$G$115)</f>
        <v>6199.3408604999822</v>
      </c>
      <c r="CK87">
        <f>7963.6*(BZ87/1000)^0.6*1.7*('CAPEX+OPEX'!$G$116/'CAPEX+OPEX'!$G$115)</f>
        <v>3039.9855565601665</v>
      </c>
      <c r="CL87">
        <f>7963.6*(CA87/1000)^0.6*1.7*('CAPEX+OPEX'!$G$116/'CAPEX+OPEX'!$G$115)</f>
        <v>2924.5179146406381</v>
      </c>
      <c r="CM87">
        <f>'Costing 100 Lmin Feed Orig'!DE87</f>
        <v>39625.826528698344</v>
      </c>
      <c r="CN87">
        <f>'Costing 100 Lmin Feed Orig'!DF87</f>
        <v>4586243.4239371875</v>
      </c>
      <c r="CO87">
        <f>'Costing 100 Lmin Feed Orig'!DG87</f>
        <v>11794834.586807497</v>
      </c>
      <c r="CP87">
        <f>'Costing 100 Lmin Feed Orig'!DH87</f>
        <v>2275209.1661185985</v>
      </c>
      <c r="CQ87">
        <f>'Costing 100 Lmin Feed Orig'!DI87</f>
        <v>14083914.336508472</v>
      </c>
      <c r="CR87">
        <f>'Costing 100 Lmin Feed Orig'!DJ87</f>
        <v>1662824.8986326549</v>
      </c>
      <c r="CS87">
        <f>CN87*(BK87/10000)^0.72*((A87+1)/3)^0.6*('CAPEX+OPEX'!$G$116/'CAPEX+OPEX'!$G$114)</f>
        <v>892840.31653984461</v>
      </c>
      <c r="CT87">
        <f>CO87*(BK87/10000)^0.72*((A87+1)/3)^0.6*('CAPEX+OPEX'!$G$116/'CAPEX+OPEX'!$G$114)</f>
        <v>2296193.8284949926</v>
      </c>
      <c r="CU87">
        <f>CP87*(BK87/10000)^0.72*((A87+1)/3)^0.6*('CAPEX+OPEX'!$G$116/'CAPEX+OPEX'!$G$114)</f>
        <v>442932.9811560188</v>
      </c>
      <c r="CV87">
        <f>CQ87*(BK87/10000)^0.72*((A87+1)/3)^0.6*('CAPEX+OPEX'!$G$116/'CAPEX+OPEX'!$G$114)</f>
        <v>2741827.1059701391</v>
      </c>
      <c r="CW87">
        <f>CR87*(BK87/10000)^0.72*((A87+1)/3)^0.6*('CAPEX+OPEX'!$G$116/'CAPEX+OPEX'!$G$114)</f>
        <v>323715.28756992728</v>
      </c>
      <c r="CX87">
        <f t="shared" si="32"/>
        <v>6697509.5197309218</v>
      </c>
      <c r="CY87">
        <f>CN87*(BM87/10000)^0.72*((AF87+1)/3)^0.6*('CAPEX+OPEX'!$G$116/'CAPEX+OPEX'!$G$114)</f>
        <v>755793.23951553891</v>
      </c>
      <c r="CZ87">
        <f>CO87*(BM87/10000)^0.72*((AF87+1)/3)^0.6*('CAPEX+OPEX'!$G$116/'CAPEX+OPEX'!$G$114)</f>
        <v>1943738.1355262429</v>
      </c>
      <c r="DA87">
        <f>CP87*(BM87/10000)^0.72*((AF87+1)/3)^0.6*('CAPEX+OPEX'!$G$116/'CAPEX+OPEX'!$G$114)</f>
        <v>374944.70905340556</v>
      </c>
      <c r="DB87">
        <f>CQ87*(BM87/10000)^0.72*((AF87+1)/3)^0.6*('CAPEX+OPEX'!$G$116/'CAPEX+OPEX'!$G$114)</f>
        <v>2320968.6572438823</v>
      </c>
      <c r="DC87">
        <f>CR87*(BM87/10000)^0.72*((AF87+1)/3)^0.6*('CAPEX+OPEX'!$G$116/'CAPEX+OPEX'!$G$114)</f>
        <v>274026.40913590638</v>
      </c>
      <c r="DD87">
        <f t="shared" si="33"/>
        <v>5669471.1504749758</v>
      </c>
      <c r="DE87">
        <f>CX87+DD87+1.15*(SUM(CI87:CL87)+SUM(CB87:CE87))</f>
        <v>12450267.34356625</v>
      </c>
      <c r="DF87">
        <f t="shared" si="34"/>
        <v>830017.82290441671</v>
      </c>
      <c r="DG87">
        <f>(BS87+BT87)*'Oxidant Feed Composition'!$N$28*60*7200</f>
        <v>20442002.920579009</v>
      </c>
      <c r="DH87">
        <f>((CG87+CH87)*'Reagent cost'!$C$17/1000*'Reagent cost'!$H$17+(CG87+CH87)*0.5*'Reagent cost'!$C$16/1000*'Reagent cost'!$H$16*1.5)*60*7200</f>
        <v>8696714.3387692086</v>
      </c>
      <c r="DI87">
        <f>CF87*'Reagent cost'!$C$17/1000*'Reagent cost'!$H$17*60*7200</f>
        <v>504921.59999999998</v>
      </c>
      <c r="DJ87">
        <f t="shared" si="35"/>
        <v>94.770870721558495</v>
      </c>
      <c r="DK87">
        <f t="shared" si="36"/>
        <v>972.87971075656185</v>
      </c>
      <c r="DL87">
        <f t="shared" si="37"/>
        <v>35573647.811915636</v>
      </c>
      <c r="DM87">
        <f>BK87*(B87*(409.81+2)/1000+C87*(248.2+2*22.99)/1000+D87*(315.6+3*22.99)/1000+0.1*58.44/1000)</f>
        <v>0.70639694042110623</v>
      </c>
      <c r="DN87">
        <f>(BS87+BT87)/1000*('Oxidant Feed Composition'!$B$11*'Oxidant Feed Composition'!$O$20+'Oxidant Feed Composition'!$D$11*'Oxidant Feed Composition'!$O$21+'Oxidant Feed Composition'!$F$11*'Oxidant Feed Composition'!$O$27-'Oxidant Feed Composition'!$J$15*18.015)</f>
        <v>2.1471801039698244</v>
      </c>
      <c r="DO87">
        <f>(BU87+BV87)/1000*(0.2*368.34+0.4*58.44)</f>
        <v>1.4868616600111597</v>
      </c>
      <c r="DP87">
        <f>BK87/1000*(B87*195.08+C87*106.42+D87*102.91)</f>
        <v>4.999938342565946E-2</v>
      </c>
      <c r="DQ87">
        <f>SUM(DM87:DO87)-DP87</f>
        <v>4.2904393209764304</v>
      </c>
      <c r="DR87">
        <f>DQ87*60*7200*0.33</f>
        <v>611645.0295984</v>
      </c>
      <c r="DS87">
        <v>1.2</v>
      </c>
      <c r="DT87">
        <f>BM87/60*(AM87*4+AN87*2+AO87*3)*96485/DV87</f>
        <v>1405.8674445834067</v>
      </c>
      <c r="DU87">
        <f>BN87*BA87*(AP87*4+AQ87*2+AR87*3)*96485/DV87/60</f>
        <v>705.81588450637275</v>
      </c>
      <c r="DV87">
        <v>0.7</v>
      </c>
      <c r="DW87">
        <f>0.499*((BK87/3.78541*15)^(-0.146))*BK87/3.78541*15*300*(1+(A87-2)/9)</f>
        <v>49536.497143418172</v>
      </c>
      <c r="DX87">
        <f>0.248*((BK87/3.78541*15)^(-0.144))*BK87/3.78541*15*300*(1+(A87-2)/3)</f>
        <v>49831.318766753509</v>
      </c>
      <c r="DY87">
        <f>0.105*((BK87/3.78541*15)^(-0.144))*BK87/3.78541*15*300*(1+(A87-2)/3)</f>
        <v>21097.937381085154</v>
      </c>
      <c r="DZ87">
        <f>0.058*((BK87/3.78541*15)^(-0.151))*BK87/3.78541*15*300*(1+(A87-2)/3)</f>
        <v>11176.166036369152</v>
      </c>
      <c r="EA87">
        <f>0.056*((BK87/3.78541*15)^(-0.144))*BK87/3.78541*15*300*(1+(A87-2)/3)</f>
        <v>11252.233269912085</v>
      </c>
      <c r="EB87">
        <f>DS87*DT87/(3.6*10^6)*3600*7200*0.07</f>
        <v>850.26863048404448</v>
      </c>
      <c r="EC87">
        <f>0.499*((BM87/3.78541*15)^(-0.146))*BM87/3.78541*15*300*(1+(AF87-2)/9)</f>
        <v>41141.831978756825</v>
      </c>
      <c r="ED87">
        <f>0.248*((BM87/3.78541*15)^(-0.144))*BM87/3.78541*15*300*(1+(AF87-2)/3)</f>
        <v>38793.854171269806</v>
      </c>
      <c r="EE87">
        <f>0.105*((BM87/3.78541*15)^(-0.144))*BM87/3.78541*15*300*(1+(AF87-2)/3)</f>
        <v>16424.81729025536</v>
      </c>
      <c r="EF87">
        <f>0.058*((BM87/3.78541*15)^(-0.151))*BM87/3.78541*15*300*(1+(AF87-2)/3)</f>
        <v>8705.5278180281439</v>
      </c>
      <c r="EG87">
        <f>0.056*((BM87/3.78541*15)^(-0.144))*BM87/3.78541*15*300*(1+(AF87-2)/3)</f>
        <v>8759.9025548028621</v>
      </c>
      <c r="EH87">
        <f>DS87*DU87/(3.6*10^6)*3600*7200*0.07</f>
        <v>426.87744694945422</v>
      </c>
      <c r="EI87">
        <f>SUM(DW87:EH87)</f>
        <v>257997.23248808456</v>
      </c>
      <c r="EJ87">
        <f>EI87+DR87+DL87</f>
        <v>36443290.074002117</v>
      </c>
      <c r="EK87">
        <f>EJ87+DF87</f>
        <v>37273307.896906532</v>
      </c>
      <c r="EL87">
        <f>EK87/(BK87*60*7200)</f>
        <v>0.86280805316913267</v>
      </c>
      <c r="EM87">
        <f>EK87/(BM87*(AM87*195.084/1000+AN87*106.42/1000+AO87*102.911/1000)*60*7200)</f>
        <v>2886.5250572374234</v>
      </c>
      <c r="EN87">
        <f>EK87/(BN87*BA87*(AP87*195.084/1000+AQ87*106.42/1000+AR87*102.911/1000)*60*7200)</f>
        <v>5297.3425930749954</v>
      </c>
    </row>
    <row r="88" spans="1:144">
      <c r="A88">
        <f>'Costing 100 Lmin Feed Orig'!A88</f>
        <v>11</v>
      </c>
      <c r="B88">
        <f>'Costing 100 Lmin Feed Orig'!B88</f>
        <v>1.54143585092054E-3</v>
      </c>
      <c r="C88">
        <f>'Costing 100 Lmin Feed Orig'!C88</f>
        <v>1.54143585092054E-3</v>
      </c>
      <c r="D88">
        <f>'Costing 100 Lmin Feed Orig'!D88</f>
        <v>3.4254130020456501E-4</v>
      </c>
      <c r="E88">
        <f>'Costing 100 Lmin Feed Orig'!E88</f>
        <v>0</v>
      </c>
      <c r="F88">
        <f>'Costing 100 Lmin Feed Orig'!F88</f>
        <v>0</v>
      </c>
      <c r="G88">
        <f>'Costing 100 Lmin Feed Orig'!G88</f>
        <v>0</v>
      </c>
      <c r="H88">
        <f>'Costing 100 Lmin Feed Orig'!H88</f>
        <v>1.7771367359861701E-5</v>
      </c>
      <c r="I88">
        <f>'Costing 100 Lmin Feed Orig'!I88</f>
        <v>1.8081057367328801E-10</v>
      </c>
      <c r="J88">
        <f>'Costing 100 Lmin Feed Orig'!J88</f>
        <v>3.3765941525589702E-4</v>
      </c>
      <c r="K88">
        <f>'Costing 100 Lmin Feed Orig'!K88</f>
        <v>0.139102253285185</v>
      </c>
      <c r="L88">
        <f>'Costing 100 Lmin Feed Orig'!L88</f>
        <v>0.14072466572308701</v>
      </c>
      <c r="M88">
        <f>'Costing 100 Lmin Feed Orig'!M88</f>
        <v>4.4568945720355099E-4</v>
      </c>
      <c r="N88">
        <f>'Costing 100 Lmin Feed Orig'!N88</f>
        <v>-8.03393809811758E-16</v>
      </c>
      <c r="O88">
        <f>'Costing 100 Lmin Feed Orig'!O88</f>
        <v>-8.4019770307808202E-13</v>
      </c>
      <c r="P88">
        <f>'Costing 100 Lmin Feed Orig'!P88</f>
        <v>-2.26157796916898E-19</v>
      </c>
      <c r="Q88">
        <f>'Costing 100 Lmin Feed Orig'!Q88</f>
        <v>0.10953557168033</v>
      </c>
      <c r="R88">
        <f>'Costing 100 Lmin Feed Orig'!R88</f>
        <v>98.5748039883795</v>
      </c>
      <c r="S88">
        <f>'Costing 100 Lmin Feed Orig'!S88</f>
        <v>500</v>
      </c>
      <c r="T88">
        <f>'Costing 100 Lmin Feed Orig'!T88</f>
        <v>95</v>
      </c>
      <c r="U88">
        <f>'Costing 100 Lmin Feed Orig'!U88</f>
        <v>1</v>
      </c>
      <c r="V88">
        <f>'Costing 100 Lmin Feed Orig'!V88</f>
        <v>0.1</v>
      </c>
      <c r="W88">
        <f>'Costing 100 Lmin Feed Orig'!W88</f>
        <v>91.294543376138293</v>
      </c>
      <c r="X88" t="str">
        <f>'Costing 100 Lmin Feed Orig'!X88</f>
        <v>ddFc</v>
      </c>
      <c r="Y88">
        <f>'Costing 100 Lmin Feed Orig'!Y88</f>
        <v>1</v>
      </c>
      <c r="Z88">
        <f>'Costing 100 Lmin Feed Orig'!Z88</f>
        <v>0.28318429382522198</v>
      </c>
      <c r="AA88">
        <f>'Costing 100 Lmin Feed Orig'!AA88</f>
        <v>0.56945642916197003</v>
      </c>
      <c r="AB88">
        <f>'Costing 100 Lmin Feed Orig'!AB88</f>
        <v>3.7698628972227502E-3</v>
      </c>
      <c r="AC88">
        <f>'Costing 100 Lmin Feed Orig'!AC88</f>
        <v>1822.2107908876901</v>
      </c>
      <c r="AD88">
        <f>'Costing 100 Lmin Feed Orig'!AD88</f>
        <v>2662.6059073104898</v>
      </c>
      <c r="AE88">
        <f>'Costing 100 Lmin Feed Orig'!AE88</f>
        <v>2401.5030938442701</v>
      </c>
      <c r="AF88">
        <f>'Costing 100 Lmin Feed Orig'!AF88</f>
        <v>10</v>
      </c>
      <c r="AG88">
        <f>'Costing 100 Lmin Feed Orig'!AG88</f>
        <v>1.6497569194096201E-3</v>
      </c>
      <c r="AH88">
        <f>'Costing 100 Lmin Feed Orig'!AH88</f>
        <v>1.6689987798565299E-3</v>
      </c>
      <c r="AI88">
        <f>'Costing 100 Lmin Feed Orig'!AI88</f>
        <v>5.28589040482341E-6</v>
      </c>
      <c r="AJ88">
        <f>'Costing 100 Lmin Feed Orig'!AJ88</f>
        <v>0</v>
      </c>
      <c r="AK88">
        <f>'Costing 100 Lmin Feed Orig'!AK88</f>
        <v>0</v>
      </c>
      <c r="AL88">
        <f>'Costing 100 Lmin Feed Orig'!AL88</f>
        <v>0</v>
      </c>
      <c r="AM88">
        <f>'Costing 100 Lmin Feed Orig'!AM88</f>
        <v>1.61280608328623E-3</v>
      </c>
      <c r="AN88">
        <f>'Costing 100 Lmin Feed Orig'!AN88</f>
        <v>7.9633405949388404E-5</v>
      </c>
      <c r="AO88">
        <f>'Costing 100 Lmin Feed Orig'!AO88</f>
        <v>5.2511247490748196E-6</v>
      </c>
      <c r="AP88">
        <f>'Costing 100 Lmin Feed Orig'!AP88</f>
        <v>1.7333873588263201E-3</v>
      </c>
      <c r="AQ88">
        <f>'Costing 100 Lmin Feed Orig'!AQ88</f>
        <v>7.4558146402506298E-2</v>
      </c>
      <c r="AR88">
        <f>'Costing 100 Lmin Feed Orig'!AR88</f>
        <v>1.63087914994542E-6</v>
      </c>
      <c r="AS88">
        <f>'Costing 100 Lmin Feed Orig'!AS88</f>
        <v>6.1625306095082401E-15</v>
      </c>
      <c r="AT88">
        <f>'Costing 100 Lmin Feed Orig'!AT88</f>
        <v>-6.3828326304915498E-13</v>
      </c>
      <c r="AU88">
        <f>'Costing 100 Lmin Feed Orig'!AU88</f>
        <v>5.8087931335923803E-20</v>
      </c>
      <c r="AV88">
        <f>'Costing 100 Lmin Feed Orig'!AV88</f>
        <v>0.19687838161047699</v>
      </c>
      <c r="AW88">
        <f>'Costing 100 Lmin Feed Orig'!AW88</f>
        <v>99.342293292406097</v>
      </c>
      <c r="AX88">
        <f>'Costing 100 Lmin Feed Orig'!AX88</f>
        <v>500</v>
      </c>
      <c r="AY88">
        <f>'Costing 100 Lmin Feed Orig'!AY88</f>
        <v>95</v>
      </c>
      <c r="AZ88">
        <f>'Costing 100 Lmin Feed Orig'!AZ88</f>
        <v>0.92356908198738696</v>
      </c>
      <c r="BA88">
        <f>'Costing 100 Lmin Feed Orig'!BA88</f>
        <v>0.1</v>
      </c>
      <c r="BB88">
        <f>'Costing 100 Lmin Feed Orig'!BB88</f>
        <v>46.910639676765697</v>
      </c>
      <c r="BC88" t="str">
        <f>'Costing 100 Lmin Feed Orig'!BC88</f>
        <v>coeFc</v>
      </c>
      <c r="BD88">
        <f>'Costing 100 Lmin Feed Orig'!BD88</f>
        <v>1</v>
      </c>
      <c r="BE88">
        <f>'Costing 100 Lmin Feed Orig'!BE88</f>
        <v>1.8775014999999999E-2</v>
      </c>
      <c r="BF88">
        <f>'Costing 100 Lmin Feed Orig'!BF88</f>
        <v>0.10492961100000001</v>
      </c>
      <c r="BG88">
        <f>'Costing 100 Lmin Feed Orig'!BG88</f>
        <v>1.814625E-3</v>
      </c>
      <c r="BH88">
        <f>'Costing 100 Lmin Feed Orig'!BH88</f>
        <v>285.1951444</v>
      </c>
      <c r="BI88">
        <f>'Costing 100 Lmin Feed Orig'!BI88</f>
        <v>2169.8944889999998</v>
      </c>
      <c r="BJ88">
        <f>'Costing 100 Lmin Feed Orig'!BJ88</f>
        <v>866.49409060000005</v>
      </c>
      <c r="BK88">
        <f>'Costing 100 Lmin Feed Orig'!BK88</f>
        <v>100</v>
      </c>
      <c r="BL88">
        <f>'Costing 100 Lmin Feed Orig'!BL88</f>
        <v>10.953557168032999</v>
      </c>
      <c r="BM88">
        <f>'Costing 100 Lmin Feed Orig'!BM88</f>
        <v>92.356908198738694</v>
      </c>
      <c r="BN88">
        <f>'Costing 100 Lmin Feed Orig'!BN88</f>
        <v>19.687838161047701</v>
      </c>
      <c r="BO88">
        <f t="shared" si="20"/>
        <v>284.79248636885796</v>
      </c>
      <c r="BP88">
        <f t="shared" si="21"/>
        <v>472.50811586514482</v>
      </c>
      <c r="BQ88">
        <f t="shared" si="22"/>
        <v>28.479248636885799</v>
      </c>
      <c r="BR88">
        <f t="shared" si="23"/>
        <v>47.250811586514487</v>
      </c>
      <c r="BS88">
        <f>1.2*0.5*BL88*V88/'Oxidant Feed Composition'!$N$22</f>
        <v>6.5721343008197994</v>
      </c>
      <c r="BT88">
        <f>1.2*0.5*BN88*BA88/'Oxidant Feed Composition'!$N$22</f>
        <v>11.812702896628618</v>
      </c>
      <c r="BU88">
        <f t="shared" si="24"/>
        <v>5.4767785840164995</v>
      </c>
      <c r="BV88">
        <f t="shared" si="25"/>
        <v>9.8439190805238503</v>
      </c>
      <c r="BW88">
        <f t="shared" si="26"/>
        <v>86.880129614722193</v>
      </c>
      <c r="BX88">
        <f t="shared" si="19"/>
        <v>35.051382937705597</v>
      </c>
      <c r="BY88">
        <f t="shared" si="27"/>
        <v>206.62093073354339</v>
      </c>
      <c r="BZ88">
        <f t="shared" si="28"/>
        <v>63.001082115352638</v>
      </c>
      <c r="CA88">
        <f t="shared" si="29"/>
        <v>59.063514483143102</v>
      </c>
      <c r="CB88">
        <f>BO88*'Reagent cost'!$G$11*'Reagent cost'!$H$11</f>
        <v>3759.2608200689256</v>
      </c>
      <c r="CC88">
        <f>BP88*'Reagent cost'!$G$11*'Reagent cost'!$H$11</f>
        <v>6237.1071294199119</v>
      </c>
      <c r="CD88">
        <f>BQ88*'Reagent cost'!$C$18/1000*'Reagent cost'!$H$18</f>
        <v>4541.8834647976191</v>
      </c>
      <c r="CE88">
        <f>BR88*'Ligand cost'!$B$56*'Ligand cost'!$J$56</f>
        <v>48107.36163270205</v>
      </c>
      <c r="CF88">
        <f t="shared" si="30"/>
        <v>10</v>
      </c>
      <c r="CG88">
        <f t="shared" si="31"/>
        <v>2.1907114336065998</v>
      </c>
      <c r="CH88">
        <f t="shared" si="31"/>
        <v>3.9375676322095403</v>
      </c>
      <c r="CI88">
        <f>7963.6*(BX88/1000)^0.6*1.7*('CAPEX+OPEX'!$G$116/'CAPEX+OPEX'!$G$115)</f>
        <v>2138.2772847076108</v>
      </c>
      <c r="CJ88">
        <f>7963.6*(BY88/1000)^0.6*1.7*('CAPEX+OPEX'!$G$116/'CAPEX+OPEX'!$G$115)</f>
        <v>6199.3408604999822</v>
      </c>
      <c r="CK88">
        <f>7963.6*(BZ88/1000)^0.6*1.7*('CAPEX+OPEX'!$G$116/'CAPEX+OPEX'!$G$115)</f>
        <v>3039.8330556242968</v>
      </c>
      <c r="CL88">
        <f>7963.6*(CA88/1000)^0.6*1.7*('CAPEX+OPEX'!$G$116/'CAPEX+OPEX'!$G$115)</f>
        <v>2924.3712061413185</v>
      </c>
      <c r="CM88">
        <f>'Costing 100 Lmin Feed Orig'!DE88</f>
        <v>39625.826528698344</v>
      </c>
      <c r="CN88">
        <f>'Costing 100 Lmin Feed Orig'!DF88</f>
        <v>4586243.4239371875</v>
      </c>
      <c r="CO88">
        <f>'Costing 100 Lmin Feed Orig'!DG88</f>
        <v>11794834.586807497</v>
      </c>
      <c r="CP88">
        <f>'Costing 100 Lmin Feed Orig'!DH88</f>
        <v>2275209.1661185985</v>
      </c>
      <c r="CQ88">
        <f>'Costing 100 Lmin Feed Orig'!DI88</f>
        <v>14083914.336508472</v>
      </c>
      <c r="CR88">
        <f>'Costing 100 Lmin Feed Orig'!DJ88</f>
        <v>1662824.8986326549</v>
      </c>
      <c r="CS88">
        <f>CN88*(BK88/10000)^0.72*((A88+1)/3)^0.6*('CAPEX+OPEX'!$G$116/'CAPEX+OPEX'!$G$114)</f>
        <v>892840.31653984461</v>
      </c>
      <c r="CT88">
        <f>CO88*(BK88/10000)^0.72*((A88+1)/3)^0.6*('CAPEX+OPEX'!$G$116/'CAPEX+OPEX'!$G$114)</f>
        <v>2296193.8284949926</v>
      </c>
      <c r="CU88">
        <f>CP88*(BK88/10000)^0.72*((A88+1)/3)^0.6*('CAPEX+OPEX'!$G$116/'CAPEX+OPEX'!$G$114)</f>
        <v>442932.9811560188</v>
      </c>
      <c r="CV88">
        <f>CQ88*(BK88/10000)^0.72*((A88+1)/3)^0.6*('CAPEX+OPEX'!$G$116/'CAPEX+OPEX'!$G$114)</f>
        <v>2741827.1059701391</v>
      </c>
      <c r="CW88">
        <f>CR88*(BK88/10000)^0.72*((A88+1)/3)^0.6*('CAPEX+OPEX'!$G$116/'CAPEX+OPEX'!$G$114)</f>
        <v>323715.28756992728</v>
      </c>
      <c r="CX88">
        <f t="shared" si="32"/>
        <v>6697509.5197309218</v>
      </c>
      <c r="CY88">
        <f>CN88*(BM88/10000)^0.72*((AF88+1)/3)^0.6*('CAPEX+OPEX'!$G$116/'CAPEX+OPEX'!$G$114)</f>
        <v>800273.82788002607</v>
      </c>
      <c r="CZ88">
        <f>CO88*(BM88/10000)^0.72*((AF88+1)/3)^0.6*('CAPEX+OPEX'!$G$116/'CAPEX+OPEX'!$G$114)</f>
        <v>2058132.6701348326</v>
      </c>
      <c r="DA88">
        <f>CP88*(BM88/10000)^0.72*((AF88+1)/3)^0.6*('CAPEX+OPEX'!$G$116/'CAPEX+OPEX'!$G$114)</f>
        <v>397011.27486912702</v>
      </c>
      <c r="DB88">
        <f>CQ88*(BM88/10000)^0.72*((AF88+1)/3)^0.6*('CAPEX+OPEX'!$G$116/'CAPEX+OPEX'!$G$114)</f>
        <v>2457564.2842647284</v>
      </c>
      <c r="DC88">
        <f>CR88*(BM88/10000)^0.72*((AF88+1)/3)^0.6*('CAPEX+OPEX'!$G$116/'CAPEX+OPEX'!$G$114)</f>
        <v>290153.64508946665</v>
      </c>
      <c r="DD88">
        <f t="shared" si="33"/>
        <v>6003135.7022381816</v>
      </c>
      <c r="DE88">
        <f>CX88+DD88+1.15*(SUM(CI88:CL88)+SUM(CB88:CE88))</f>
        <v>12789134.772741159</v>
      </c>
      <c r="DF88">
        <f t="shared" si="34"/>
        <v>852608.9848494106</v>
      </c>
      <c r="DG88">
        <f>(BS88+BT88)*'Oxidant Feed Composition'!$N$28*60*7200</f>
        <v>20440904.753564164</v>
      </c>
      <c r="DH88">
        <f>((CG88+CH88)*'Reagent cost'!$C$17/1000*'Reagent cost'!$H$17+(CG88+CH88)*0.5*'Reagent cost'!$C$16/1000*'Reagent cost'!$H$16*1.5)*60*7200</f>
        <v>8696247.1416524965</v>
      </c>
      <c r="DI88">
        <f>CF88*'Reagent cost'!$C$17/1000*'Reagent cost'!$H$17*60*7200</f>
        <v>504921.59999999998</v>
      </c>
      <c r="DJ88">
        <f t="shared" si="35"/>
        <v>99.963679494888382</v>
      </c>
      <c r="DK88">
        <f t="shared" si="36"/>
        <v>1052.9849019499934</v>
      </c>
      <c r="DL88">
        <f t="shared" si="37"/>
        <v>35571871.732557729</v>
      </c>
      <c r="DM88">
        <f>BK88*(B88*(409.81+2)/1000+C88*(248.2+2*22.99)/1000+D88*(315.6+3*22.99)/1000+0.1*58.44/1000)</f>
        <v>0.70639694042110623</v>
      </c>
      <c r="DN88">
        <f>(BS88+BT88)/1000*('Oxidant Feed Composition'!$B$11*'Oxidant Feed Composition'!$O$20+'Oxidant Feed Composition'!$D$11*'Oxidant Feed Composition'!$O$21+'Oxidant Feed Composition'!$F$11*'Oxidant Feed Composition'!$O$27-'Oxidant Feed Composition'!$J$15*18.015)</f>
        <v>2.1470647550789024</v>
      </c>
      <c r="DO88">
        <f>(BU88+BV88)/1000*(0.2*368.34+0.4*58.44)</f>
        <v>1.4867817841576538</v>
      </c>
      <c r="DP88">
        <f>BK88/1000*(B88*195.08+C88*106.42+D88*102.91)</f>
        <v>4.999938342565946E-2</v>
      </c>
      <c r="DQ88">
        <f>SUM(DM88:DO88)-DP88</f>
        <v>4.2902440962320023</v>
      </c>
      <c r="DR88">
        <f>DQ88*60*7200*0.33</f>
        <v>611617.19835883426</v>
      </c>
      <c r="DS88">
        <v>1.2</v>
      </c>
      <c r="DT88">
        <f>BM88/60*(AM88*4+AN88*2+AO88*3)*96485/DV88</f>
        <v>1405.8770925358626</v>
      </c>
      <c r="DU88">
        <f>BN88*BA88*(AP88*4+AQ88*2+AR88*3)*96485/DV88/60</f>
        <v>705.80623683932424</v>
      </c>
      <c r="DV88">
        <v>0.7</v>
      </c>
      <c r="DW88">
        <f>0.499*((BK88/3.78541*15)^(-0.146))*BK88/3.78541*15*300*(1+(A88-2)/9)</f>
        <v>49536.497143418172</v>
      </c>
      <c r="DX88">
        <f>0.248*((BK88/3.78541*15)^(-0.144))*BK88/3.78541*15*300*(1+(A88-2)/3)</f>
        <v>49831.318766753509</v>
      </c>
      <c r="DY88">
        <f>0.105*((BK88/3.78541*15)^(-0.144))*BK88/3.78541*15*300*(1+(A88-2)/3)</f>
        <v>21097.937381085154</v>
      </c>
      <c r="DZ88">
        <f>0.058*((BK88/3.78541*15)^(-0.151))*BK88/3.78541*15*300*(1+(A88-2)/3)</f>
        <v>11176.166036369152</v>
      </c>
      <c r="EA88">
        <f>0.056*((BK88/3.78541*15)^(-0.144))*BK88/3.78541*15*300*(1+(A88-2)/3)</f>
        <v>11252.233269912085</v>
      </c>
      <c r="EB88">
        <f>DS88*DT88/(3.6*10^6)*3600*7200*0.07</f>
        <v>850.27446556568964</v>
      </c>
      <c r="EC88">
        <f>0.499*((BM88/3.78541*15)^(-0.146))*BM88/3.78541*15*300*(1+(AF88-2)/9)</f>
        <v>43713.196477429126</v>
      </c>
      <c r="ED88">
        <f>0.248*((BM88/3.78541*15)^(-0.144))*BM88/3.78541*15*300*(1+(AF88-2)/3)</f>
        <v>42673.239588396784</v>
      </c>
      <c r="EE88">
        <f>0.105*((BM88/3.78541*15)^(-0.144))*BM88/3.78541*15*300*(1+(AF88-2)/3)</f>
        <v>18067.299019280894</v>
      </c>
      <c r="EF88">
        <f>0.058*((BM88/3.78541*15)^(-0.151))*BM88/3.78541*15*300*(1+(AF88-2)/3)</f>
        <v>9576.080599830957</v>
      </c>
      <c r="EG88">
        <f>0.056*((BM88/3.78541*15)^(-0.144))*BM88/3.78541*15*300*(1+(AF88-2)/3)</f>
        <v>9635.8928102831469</v>
      </c>
      <c r="EH88">
        <f>DS88*DU88/(3.6*10^6)*3600*7200*0.07</f>
        <v>426.87161204042332</v>
      </c>
      <c r="EI88">
        <f>SUM(DW88:EH88)</f>
        <v>267837.00717036513</v>
      </c>
      <c r="EJ88">
        <f>EI88+DR88+DL88</f>
        <v>36451325.938086927</v>
      </c>
      <c r="EK88">
        <f>EJ88+DF88</f>
        <v>37303934.922936335</v>
      </c>
      <c r="EL88">
        <f>EK88/(BK88*60*7200)</f>
        <v>0.86351701210500775</v>
      </c>
      <c r="EM88">
        <f>EK88/(BM88*(AM88*195.084/1000+AN88*106.42/1000+AO88*102.911/1000)*60*7200)</f>
        <v>2888.8770424567247</v>
      </c>
      <c r="EN88">
        <f>EK88/(BN88*BA88*(AP88*195.084/1000+AQ88*106.42/1000+AR88*102.911/1000)*60*7200)</f>
        <v>5301.7621661643907</v>
      </c>
    </row>
    <row r="89" spans="1:144">
      <c r="A89">
        <f>'Costing 100 Lmin Feed Orig'!A89</f>
        <v>11</v>
      </c>
      <c r="B89">
        <f>'Costing 100 Lmin Feed Orig'!B89</f>
        <v>1.54143585092054E-3</v>
      </c>
      <c r="C89">
        <f>'Costing 100 Lmin Feed Orig'!C89</f>
        <v>1.54143585092054E-3</v>
      </c>
      <c r="D89">
        <f>'Costing 100 Lmin Feed Orig'!D89</f>
        <v>3.4254130020456501E-4</v>
      </c>
      <c r="E89">
        <f>'Costing 100 Lmin Feed Orig'!E89</f>
        <v>0</v>
      </c>
      <c r="F89">
        <f>'Costing 100 Lmin Feed Orig'!F89</f>
        <v>0</v>
      </c>
      <c r="G89">
        <f>'Costing 100 Lmin Feed Orig'!G89</f>
        <v>0</v>
      </c>
      <c r="H89">
        <f>'Costing 100 Lmin Feed Orig'!H89</f>
        <v>1.7771367359861701E-5</v>
      </c>
      <c r="I89">
        <f>'Costing 100 Lmin Feed Orig'!I89</f>
        <v>1.8081057367328801E-10</v>
      </c>
      <c r="J89">
        <f>'Costing 100 Lmin Feed Orig'!J89</f>
        <v>3.3765941525589702E-4</v>
      </c>
      <c r="K89">
        <f>'Costing 100 Lmin Feed Orig'!K89</f>
        <v>0.139102253285185</v>
      </c>
      <c r="L89">
        <f>'Costing 100 Lmin Feed Orig'!L89</f>
        <v>0.14072466572308701</v>
      </c>
      <c r="M89">
        <f>'Costing 100 Lmin Feed Orig'!M89</f>
        <v>4.4568945720355099E-4</v>
      </c>
      <c r="N89">
        <f>'Costing 100 Lmin Feed Orig'!N89</f>
        <v>-8.03393809811758E-16</v>
      </c>
      <c r="O89">
        <f>'Costing 100 Lmin Feed Orig'!O89</f>
        <v>-8.4019770307808202E-13</v>
      </c>
      <c r="P89">
        <f>'Costing 100 Lmin Feed Orig'!P89</f>
        <v>-2.26157796916898E-19</v>
      </c>
      <c r="Q89">
        <f>'Costing 100 Lmin Feed Orig'!Q89</f>
        <v>0.10953557168033</v>
      </c>
      <c r="R89">
        <f>'Costing 100 Lmin Feed Orig'!R89</f>
        <v>98.5748039883795</v>
      </c>
      <c r="S89">
        <f>'Costing 100 Lmin Feed Orig'!S89</f>
        <v>500</v>
      </c>
      <c r="T89">
        <f>'Costing 100 Lmin Feed Orig'!T89</f>
        <v>95</v>
      </c>
      <c r="U89">
        <f>'Costing 100 Lmin Feed Orig'!U89</f>
        <v>1</v>
      </c>
      <c r="V89">
        <f>'Costing 100 Lmin Feed Orig'!V89</f>
        <v>0.1</v>
      </c>
      <c r="W89">
        <f>'Costing 100 Lmin Feed Orig'!W89</f>
        <v>91.294543376138293</v>
      </c>
      <c r="X89" t="str">
        <f>'Costing 100 Lmin Feed Orig'!X89</f>
        <v>ddFc</v>
      </c>
      <c r="Y89">
        <f>'Costing 100 Lmin Feed Orig'!Y89</f>
        <v>1</v>
      </c>
      <c r="Z89">
        <f>'Costing 100 Lmin Feed Orig'!Z89</f>
        <v>0.28318429382522198</v>
      </c>
      <c r="AA89">
        <f>'Costing 100 Lmin Feed Orig'!AA89</f>
        <v>0.56945642916197003</v>
      </c>
      <c r="AB89">
        <f>'Costing 100 Lmin Feed Orig'!AB89</f>
        <v>3.7698628972227502E-3</v>
      </c>
      <c r="AC89">
        <f>'Costing 100 Lmin Feed Orig'!AC89</f>
        <v>1822.2107908876901</v>
      </c>
      <c r="AD89">
        <f>'Costing 100 Lmin Feed Orig'!AD89</f>
        <v>2662.6059073104898</v>
      </c>
      <c r="AE89">
        <f>'Costing 100 Lmin Feed Orig'!AE89</f>
        <v>2401.5030938442701</v>
      </c>
      <c r="AF89">
        <f>'Costing 100 Lmin Feed Orig'!AF89</f>
        <v>11</v>
      </c>
      <c r="AG89">
        <f>'Costing 100 Lmin Feed Orig'!AG89</f>
        <v>1.6497569194096201E-3</v>
      </c>
      <c r="AH89">
        <f>'Costing 100 Lmin Feed Orig'!AH89</f>
        <v>1.6689987798565299E-3</v>
      </c>
      <c r="AI89">
        <f>'Costing 100 Lmin Feed Orig'!AI89</f>
        <v>5.28589040482341E-6</v>
      </c>
      <c r="AJ89">
        <f>'Costing 100 Lmin Feed Orig'!AJ89</f>
        <v>0</v>
      </c>
      <c r="AK89">
        <f>'Costing 100 Lmin Feed Orig'!AK89</f>
        <v>0</v>
      </c>
      <c r="AL89">
        <f>'Costing 100 Lmin Feed Orig'!AL89</f>
        <v>0</v>
      </c>
      <c r="AM89">
        <f>'Costing 100 Lmin Feed Orig'!AM89</f>
        <v>1.6128091969893901E-3</v>
      </c>
      <c r="AN89">
        <f>'Costing 100 Lmin Feed Orig'!AN89</f>
        <v>7.9633567021484305E-5</v>
      </c>
      <c r="AO89">
        <f>'Costing 100 Lmin Feed Orig'!AO89</f>
        <v>5.2511275568870697E-6</v>
      </c>
      <c r="AP89">
        <f>'Costing 100 Lmin Feed Orig'!AP89</f>
        <v>1.7332820417295799E-3</v>
      </c>
      <c r="AQ89">
        <f>'Costing 100 Lmin Feed Orig'!AQ89</f>
        <v>7.4559891685805804E-2</v>
      </c>
      <c r="AR89">
        <f>'Costing 100 Lmin Feed Orig'!AR89</f>
        <v>1.63078577254671E-6</v>
      </c>
      <c r="AS89">
        <f>'Costing 100 Lmin Feed Orig'!AS89</f>
        <v>1.9922621495235798E-15</v>
      </c>
      <c r="AT89">
        <f>'Costing 100 Lmin Feed Orig'!AT89</f>
        <v>-1.9831944246540001E-13</v>
      </c>
      <c r="AU89">
        <f>'Costing 100 Lmin Feed Orig'!AU89</f>
        <v>1.2917252445628E-20</v>
      </c>
      <c r="AV89">
        <f>'Costing 100 Lmin Feed Orig'!AV89</f>
        <v>0.19687375310907501</v>
      </c>
      <c r="AW89">
        <f>'Costing 100 Lmin Feed Orig'!AW89</f>
        <v>99.3423464114084</v>
      </c>
      <c r="AX89">
        <f>'Costing 100 Lmin Feed Orig'!AX89</f>
        <v>500</v>
      </c>
      <c r="AY89">
        <f>'Costing 100 Lmin Feed Orig'!AY89</f>
        <v>95</v>
      </c>
      <c r="AZ89">
        <f>'Costing 100 Lmin Feed Orig'!AZ89</f>
        <v>0.92356908198738696</v>
      </c>
      <c r="BA89">
        <f>'Costing 100 Lmin Feed Orig'!BA89</f>
        <v>0.1</v>
      </c>
      <c r="BB89">
        <f>'Costing 100 Lmin Feed Orig'!BB89</f>
        <v>46.911742545777201</v>
      </c>
      <c r="BC89" t="str">
        <f>'Costing 100 Lmin Feed Orig'!BC89</f>
        <v>coeFc</v>
      </c>
      <c r="BD89">
        <f>'Costing 100 Lmin Feed Orig'!BD89</f>
        <v>1</v>
      </c>
      <c r="BE89">
        <f>'Costing 100 Lmin Feed Orig'!BE89</f>
        <v>1.8775014999999999E-2</v>
      </c>
      <c r="BF89">
        <f>'Costing 100 Lmin Feed Orig'!BF89</f>
        <v>0.10492961100000001</v>
      </c>
      <c r="BG89">
        <f>'Costing 100 Lmin Feed Orig'!BG89</f>
        <v>1.814625E-3</v>
      </c>
      <c r="BH89">
        <f>'Costing 100 Lmin Feed Orig'!BH89</f>
        <v>285.1951444</v>
      </c>
      <c r="BI89">
        <f>'Costing 100 Lmin Feed Orig'!BI89</f>
        <v>2169.8944889999998</v>
      </c>
      <c r="BJ89">
        <f>'Costing 100 Lmin Feed Orig'!BJ89</f>
        <v>866.49409060000005</v>
      </c>
      <c r="BK89">
        <f>'Costing 100 Lmin Feed Orig'!BK89</f>
        <v>100</v>
      </c>
      <c r="BL89">
        <f>'Costing 100 Lmin Feed Orig'!BL89</f>
        <v>10.953557168032999</v>
      </c>
      <c r="BM89">
        <f>'Costing 100 Lmin Feed Orig'!BM89</f>
        <v>92.356908198738694</v>
      </c>
      <c r="BN89">
        <f>'Costing 100 Lmin Feed Orig'!BN89</f>
        <v>19.687375310907502</v>
      </c>
      <c r="BO89">
        <f t="shared" si="20"/>
        <v>284.79248636885796</v>
      </c>
      <c r="BP89">
        <f t="shared" si="21"/>
        <v>511.87175808359507</v>
      </c>
      <c r="BQ89">
        <f t="shared" si="22"/>
        <v>28.479248636885799</v>
      </c>
      <c r="BR89">
        <f t="shared" si="23"/>
        <v>51.187175808359513</v>
      </c>
      <c r="BS89">
        <f>1.2*0.5*BL89*V89/'Oxidant Feed Composition'!$N$22</f>
        <v>6.5721343008197994</v>
      </c>
      <c r="BT89">
        <f>1.2*0.5*BN89*BA89/'Oxidant Feed Composition'!$N$22</f>
        <v>11.812425186544498</v>
      </c>
      <c r="BU89">
        <f t="shared" si="24"/>
        <v>5.4767785840164995</v>
      </c>
      <c r="BV89">
        <f t="shared" si="25"/>
        <v>9.8436876554537509</v>
      </c>
      <c r="BW89">
        <f t="shared" si="26"/>
        <v>86.880129614722193</v>
      </c>
      <c r="BX89">
        <f t="shared" si="19"/>
        <v>35.051382937705597</v>
      </c>
      <c r="BY89">
        <f t="shared" si="27"/>
        <v>206.62093073354339</v>
      </c>
      <c r="BZ89">
        <f t="shared" si="28"/>
        <v>62.999600994904</v>
      </c>
      <c r="CA89">
        <f t="shared" si="29"/>
        <v>59.062125932722509</v>
      </c>
      <c r="CB89">
        <f>BO89*'Reagent cost'!$G$11*'Reagent cost'!$H$11</f>
        <v>3759.2608200689256</v>
      </c>
      <c r="CC89">
        <f>BP89*'Reagent cost'!$G$11*'Reagent cost'!$H$11</f>
        <v>6756.7072067034551</v>
      </c>
      <c r="CD89">
        <f>BQ89*'Reagent cost'!$C$18/1000*'Reagent cost'!$H$18</f>
        <v>4541.8834647976191</v>
      </c>
      <c r="CE89">
        <f>BR89*'Ligand cost'!$B$56*'Ligand cost'!$J$56</f>
        <v>52115.083209962198</v>
      </c>
      <c r="CF89">
        <f t="shared" si="30"/>
        <v>10</v>
      </c>
      <c r="CG89">
        <f t="shared" si="31"/>
        <v>2.1907114336065998</v>
      </c>
      <c r="CH89">
        <f t="shared" si="31"/>
        <v>3.9374750621815005</v>
      </c>
      <c r="CI89">
        <f>7963.6*(BX89/1000)^0.6*1.7*('CAPEX+OPEX'!$G$116/'CAPEX+OPEX'!$G$115)</f>
        <v>2138.2772847076108</v>
      </c>
      <c r="CJ89">
        <f>7963.6*(BY89/1000)^0.6*1.7*('CAPEX+OPEX'!$G$116/'CAPEX+OPEX'!$G$115)</f>
        <v>6199.3408604999822</v>
      </c>
      <c r="CK89">
        <f>7963.6*(BZ89/1000)^0.6*1.7*('CAPEX+OPEX'!$G$116/'CAPEX+OPEX'!$G$115)</f>
        <v>3039.7901765506263</v>
      </c>
      <c r="CL89">
        <f>7963.6*(CA89/1000)^0.6*1.7*('CAPEX+OPEX'!$G$116/'CAPEX+OPEX'!$G$115)</f>
        <v>2924.3299557416776</v>
      </c>
      <c r="CM89">
        <f>'Costing 100 Lmin Feed Orig'!DE89</f>
        <v>39625.826528698344</v>
      </c>
      <c r="CN89">
        <f>'Costing 100 Lmin Feed Orig'!DF89</f>
        <v>4586243.4239371875</v>
      </c>
      <c r="CO89">
        <f>'Costing 100 Lmin Feed Orig'!DG89</f>
        <v>11794834.586807497</v>
      </c>
      <c r="CP89">
        <f>'Costing 100 Lmin Feed Orig'!DH89</f>
        <v>2275209.1661185985</v>
      </c>
      <c r="CQ89">
        <f>'Costing 100 Lmin Feed Orig'!DI89</f>
        <v>14083914.336508472</v>
      </c>
      <c r="CR89">
        <f>'Costing 100 Lmin Feed Orig'!DJ89</f>
        <v>1662824.8986326549</v>
      </c>
      <c r="CS89">
        <f>CN89*(BK89/10000)^0.72*((A89+1)/3)^0.6*('CAPEX+OPEX'!$G$116/'CAPEX+OPEX'!$G$114)</f>
        <v>892840.31653984461</v>
      </c>
      <c r="CT89">
        <f>CO89*(BK89/10000)^0.72*((A89+1)/3)^0.6*('CAPEX+OPEX'!$G$116/'CAPEX+OPEX'!$G$114)</f>
        <v>2296193.8284949926</v>
      </c>
      <c r="CU89">
        <f>CP89*(BK89/10000)^0.72*((A89+1)/3)^0.6*('CAPEX+OPEX'!$G$116/'CAPEX+OPEX'!$G$114)</f>
        <v>442932.9811560188</v>
      </c>
      <c r="CV89">
        <f>CQ89*(BK89/10000)^0.72*((A89+1)/3)^0.6*('CAPEX+OPEX'!$G$116/'CAPEX+OPEX'!$G$114)</f>
        <v>2741827.1059701391</v>
      </c>
      <c r="CW89">
        <f>CR89*(BK89/10000)^0.72*((A89+1)/3)^0.6*('CAPEX+OPEX'!$G$116/'CAPEX+OPEX'!$G$114)</f>
        <v>323715.28756992728</v>
      </c>
      <c r="CX89">
        <f t="shared" si="32"/>
        <v>6697509.5197309218</v>
      </c>
      <c r="CY89">
        <f>CN89*(BM89/10000)^0.72*((AF89+1)/3)^0.6*('CAPEX+OPEX'!$G$116/'CAPEX+OPEX'!$G$114)</f>
        <v>843163.40790273575</v>
      </c>
      <c r="CZ89">
        <f>CO89*(BM89/10000)^0.72*((AF89+1)/3)^0.6*('CAPEX+OPEX'!$G$116/'CAPEX+OPEX'!$G$114)</f>
        <v>2168435.4724730523</v>
      </c>
      <c r="DA89">
        <f>CP89*(BM89/10000)^0.72*((AF89+1)/3)^0.6*('CAPEX+OPEX'!$G$116/'CAPEX+OPEX'!$G$114)</f>
        <v>418288.55053428863</v>
      </c>
      <c r="DB89">
        <f>CQ89*(BM89/10000)^0.72*((AF89+1)/3)^0.6*('CAPEX+OPEX'!$G$116/'CAPEX+OPEX'!$G$114)</f>
        <v>2589274.0770367184</v>
      </c>
      <c r="DC89">
        <f>CR89*(BM89/10000)^0.72*((AF89+1)/3)^0.6*('CAPEX+OPEX'!$G$116/'CAPEX+OPEX'!$G$114)</f>
        <v>305704.0324024093</v>
      </c>
      <c r="DD89">
        <f t="shared" si="33"/>
        <v>6324865.5403492041</v>
      </c>
      <c r="DE89">
        <f>CX89+DD89+1.15*(SUM(CI89:CL89)+SUM(CB89:CE89))</f>
        <v>13116070.934006013</v>
      </c>
      <c r="DF89">
        <f t="shared" si="34"/>
        <v>874404.72893373424</v>
      </c>
      <c r="DG89">
        <f>(BS89+BT89)*'Oxidant Feed Composition'!$N$28*60*7200</f>
        <v>20440595.98578354</v>
      </c>
      <c r="DH89">
        <f>((CG89+CH89)*'Reagent cost'!$C$17/1000*'Reagent cost'!$H$17+(CG89+CH89)*0.5*'Reagent cost'!$C$16/1000*'Reagent cost'!$H$16*1.5)*60*7200</f>
        <v>8696115.7814724017</v>
      </c>
      <c r="DI89">
        <f>CF89*'Reagent cost'!$C$17/1000*'Reagent cost'!$H$17*60*7200</f>
        <v>504921.59999999998</v>
      </c>
      <c r="DJ89">
        <f t="shared" si="35"/>
        <v>105.15968026772381</v>
      </c>
      <c r="DK89">
        <f t="shared" si="36"/>
        <v>1133.1393334951963</v>
      </c>
      <c r="DL89">
        <f t="shared" si="37"/>
        <v>35571445.99952364</v>
      </c>
      <c r="DM89">
        <f>BK89*(B89*(409.81+2)/1000+C89*(248.2+2*22.99)/1000+D89*(315.6+3*22.99)/1000+0.1*58.44/1000)</f>
        <v>0.70639694042110623</v>
      </c>
      <c r="DN89">
        <f>(BS89+BT89)/1000*('Oxidant Feed Composition'!$B$11*'Oxidant Feed Composition'!$O$20+'Oxidant Feed Composition'!$D$11*'Oxidant Feed Composition'!$O$21+'Oxidant Feed Composition'!$F$11*'Oxidant Feed Composition'!$O$27-'Oxidant Feed Composition'!$J$15*18.015)</f>
        <v>2.147032322834475</v>
      </c>
      <c r="DO89">
        <f>(BU89+BV89)/1000*(0.2*368.34+0.4*58.44)</f>
        <v>1.4867593257431508</v>
      </c>
      <c r="DP89">
        <f>BK89/1000*(B89*195.08+C89*106.42+D89*102.91)</f>
        <v>4.999938342565946E-2</v>
      </c>
      <c r="DQ89">
        <f>SUM(DM89:DO89)-DP89</f>
        <v>4.2901892055730722</v>
      </c>
      <c r="DR89">
        <f>DQ89*60*7200*0.33</f>
        <v>611609.3731464973</v>
      </c>
      <c r="DS89">
        <v>1.2</v>
      </c>
      <c r="DT89">
        <f>BM89/60*(AM89*4+AN89*2+AO89*3)*96485/DV89</f>
        <v>1405.879805184511</v>
      </c>
      <c r="DU89">
        <f>BN89*BA89*(AP89*4+AQ89*2+AR89*3)*96485/DV89/60</f>
        <v>705.8035239923704</v>
      </c>
      <c r="DV89">
        <v>0.7</v>
      </c>
      <c r="DW89">
        <f>0.499*((BK89/3.78541*15)^(-0.146))*BK89/3.78541*15*300*(1+(A89-2)/9)</f>
        <v>49536.497143418172</v>
      </c>
      <c r="DX89">
        <f>0.248*((BK89/3.78541*15)^(-0.144))*BK89/3.78541*15*300*(1+(A89-2)/3)</f>
        <v>49831.318766753509</v>
      </c>
      <c r="DY89">
        <f>0.105*((BK89/3.78541*15)^(-0.144))*BK89/3.78541*15*300*(1+(A89-2)/3)</f>
        <v>21097.937381085154</v>
      </c>
      <c r="DZ89">
        <f>0.058*((BK89/3.78541*15)^(-0.151))*BK89/3.78541*15*300*(1+(A89-2)/3)</f>
        <v>11176.166036369152</v>
      </c>
      <c r="EA89">
        <f>0.056*((BK89/3.78541*15)^(-0.144))*BK89/3.78541*15*300*(1+(A89-2)/3)</f>
        <v>11252.233269912085</v>
      </c>
      <c r="EB89">
        <f>DS89*DT89/(3.6*10^6)*3600*7200*0.07</f>
        <v>850.27610617559242</v>
      </c>
      <c r="EC89">
        <f>0.499*((BM89/3.78541*15)^(-0.146))*BM89/3.78541*15*300*(1+(AF89-2)/9)</f>
        <v>46284.560976101428</v>
      </c>
      <c r="ED89">
        <f>0.248*((BM89/3.78541*15)^(-0.144))*BM89/3.78541*15*300*(1+(AF89-2)/3)</f>
        <v>46552.625005523769</v>
      </c>
      <c r="EE89">
        <f>0.105*((BM89/3.78541*15)^(-0.144))*BM89/3.78541*15*300*(1+(AF89-2)/3)</f>
        <v>19709.780748306432</v>
      </c>
      <c r="EF89">
        <f>0.058*((BM89/3.78541*15)^(-0.151))*BM89/3.78541*15*300*(1+(AF89-2)/3)</f>
        <v>10446.633381633772</v>
      </c>
      <c r="EG89">
        <f>0.056*((BM89/3.78541*15)^(-0.144))*BM89/3.78541*15*300*(1+(AF89-2)/3)</f>
        <v>10511.883065763433</v>
      </c>
      <c r="EH89">
        <f>DS89*DU89/(3.6*10^6)*3600*7200*0.07</f>
        <v>426.86997131058564</v>
      </c>
      <c r="EI89">
        <f>SUM(DW89:EH89)</f>
        <v>277676.78185235313</v>
      </c>
      <c r="EJ89">
        <f>EI89+DR89+DL89</f>
        <v>36460732.154522493</v>
      </c>
      <c r="EK89">
        <f>EJ89+DF89</f>
        <v>37335136.88345623</v>
      </c>
      <c r="EL89">
        <f>EK89/(BK89*60*7200)</f>
        <v>0.86423927970963499</v>
      </c>
      <c r="EM89">
        <f>EK89/(BM89*(AM89*195.084/1000+AN89*106.42/1000+AO89*102.911/1000)*60*7200)</f>
        <v>2891.2877905481391</v>
      </c>
      <c r="EN89">
        <f>EK89/(BN89*BA89*(AP89*195.084/1000+AQ89*106.42/1000+AR89*102.911/1000)*60*7200)</f>
        <v>5306.2154978149447</v>
      </c>
    </row>
    <row r="90" spans="1:144">
      <c r="A90">
        <f>'Costing 100 Lmin Feed Orig'!A90</f>
        <v>11</v>
      </c>
      <c r="B90">
        <f>'Costing 100 Lmin Feed Orig'!B90</f>
        <v>1.54143585092054E-3</v>
      </c>
      <c r="C90">
        <f>'Costing 100 Lmin Feed Orig'!C90</f>
        <v>1.54143585092054E-3</v>
      </c>
      <c r="D90">
        <f>'Costing 100 Lmin Feed Orig'!D90</f>
        <v>3.4254130020456501E-4</v>
      </c>
      <c r="E90">
        <f>'Costing 100 Lmin Feed Orig'!E90</f>
        <v>0</v>
      </c>
      <c r="F90">
        <f>'Costing 100 Lmin Feed Orig'!F90</f>
        <v>0</v>
      </c>
      <c r="G90">
        <f>'Costing 100 Lmin Feed Orig'!G90</f>
        <v>0</v>
      </c>
      <c r="H90">
        <f>'Costing 100 Lmin Feed Orig'!H90</f>
        <v>1.7771367359861701E-5</v>
      </c>
      <c r="I90">
        <f>'Costing 100 Lmin Feed Orig'!I90</f>
        <v>1.8081057367328801E-10</v>
      </c>
      <c r="J90">
        <f>'Costing 100 Lmin Feed Orig'!J90</f>
        <v>3.3765941525589702E-4</v>
      </c>
      <c r="K90">
        <f>'Costing 100 Lmin Feed Orig'!K90</f>
        <v>0.139102253285185</v>
      </c>
      <c r="L90">
        <f>'Costing 100 Lmin Feed Orig'!L90</f>
        <v>0.14072466572308701</v>
      </c>
      <c r="M90">
        <f>'Costing 100 Lmin Feed Orig'!M90</f>
        <v>4.4568945720355099E-4</v>
      </c>
      <c r="N90">
        <f>'Costing 100 Lmin Feed Orig'!N90</f>
        <v>-8.03393809811758E-16</v>
      </c>
      <c r="O90">
        <f>'Costing 100 Lmin Feed Orig'!O90</f>
        <v>-8.4019770307808202E-13</v>
      </c>
      <c r="P90">
        <f>'Costing 100 Lmin Feed Orig'!P90</f>
        <v>-2.26157796916898E-19</v>
      </c>
      <c r="Q90">
        <f>'Costing 100 Lmin Feed Orig'!Q90</f>
        <v>0.10953557168033</v>
      </c>
      <c r="R90">
        <f>'Costing 100 Lmin Feed Orig'!R90</f>
        <v>98.5748039883795</v>
      </c>
      <c r="S90">
        <f>'Costing 100 Lmin Feed Orig'!S90</f>
        <v>500</v>
      </c>
      <c r="T90">
        <f>'Costing 100 Lmin Feed Orig'!T90</f>
        <v>95</v>
      </c>
      <c r="U90">
        <f>'Costing 100 Lmin Feed Orig'!U90</f>
        <v>1</v>
      </c>
      <c r="V90">
        <f>'Costing 100 Lmin Feed Orig'!V90</f>
        <v>0.1</v>
      </c>
      <c r="W90">
        <f>'Costing 100 Lmin Feed Orig'!W90</f>
        <v>91.294543376138293</v>
      </c>
      <c r="X90" t="str">
        <f>'Costing 100 Lmin Feed Orig'!X90</f>
        <v>ddFc</v>
      </c>
      <c r="Y90">
        <f>'Costing 100 Lmin Feed Orig'!Y90</f>
        <v>1</v>
      </c>
      <c r="Z90">
        <f>'Costing 100 Lmin Feed Orig'!Z90</f>
        <v>0.28318429382522198</v>
      </c>
      <c r="AA90">
        <f>'Costing 100 Lmin Feed Orig'!AA90</f>
        <v>0.56945642916197003</v>
      </c>
      <c r="AB90">
        <f>'Costing 100 Lmin Feed Orig'!AB90</f>
        <v>3.7698628972227502E-3</v>
      </c>
      <c r="AC90">
        <f>'Costing 100 Lmin Feed Orig'!AC90</f>
        <v>1822.2107908876901</v>
      </c>
      <c r="AD90">
        <f>'Costing 100 Lmin Feed Orig'!AD90</f>
        <v>2662.6059073104898</v>
      </c>
      <c r="AE90">
        <f>'Costing 100 Lmin Feed Orig'!AE90</f>
        <v>2401.5030938442701</v>
      </c>
      <c r="AF90">
        <f>'Costing 100 Lmin Feed Orig'!AF90</f>
        <v>12</v>
      </c>
      <c r="AG90">
        <f>'Costing 100 Lmin Feed Orig'!AG90</f>
        <v>1.6497569194096201E-3</v>
      </c>
      <c r="AH90">
        <f>'Costing 100 Lmin Feed Orig'!AH90</f>
        <v>1.6689987798565299E-3</v>
      </c>
      <c r="AI90">
        <f>'Costing 100 Lmin Feed Orig'!AI90</f>
        <v>5.28589040482341E-6</v>
      </c>
      <c r="AJ90">
        <f>'Costing 100 Lmin Feed Orig'!AJ90</f>
        <v>0</v>
      </c>
      <c r="AK90">
        <f>'Costing 100 Lmin Feed Orig'!AK90</f>
        <v>0</v>
      </c>
      <c r="AL90">
        <f>'Costing 100 Lmin Feed Orig'!AL90</f>
        <v>0</v>
      </c>
      <c r="AM90">
        <f>'Costing 100 Lmin Feed Orig'!AM90</f>
        <v>1.6128100720939401E-3</v>
      </c>
      <c r="AN90">
        <f>'Costing 100 Lmin Feed Orig'!AN90</f>
        <v>7.9633612290502494E-5</v>
      </c>
      <c r="AO90">
        <f>'Costing 100 Lmin Feed Orig'!AO90</f>
        <v>5.2511283460207698E-6</v>
      </c>
      <c r="AP90">
        <f>'Costing 100 Lmin Feed Orig'!AP90</f>
        <v>1.73325244157297E-3</v>
      </c>
      <c r="AQ90">
        <f>'Costing 100 Lmin Feed Orig'!AQ90</f>
        <v>7.4560382210708806E-2</v>
      </c>
      <c r="AR90">
        <f>'Costing 100 Lmin Feed Orig'!AR90</f>
        <v>1.63075952813163E-6</v>
      </c>
      <c r="AS90">
        <f>'Costing 100 Lmin Feed Orig'!AS90</f>
        <v>3.8857128235522602E-16</v>
      </c>
      <c r="AT90">
        <f>'Costing 100 Lmin Feed Orig'!AT90</f>
        <v>-3.7970928484787298E-14</v>
      </c>
      <c r="AU90">
        <f>'Costing 100 Lmin Feed Orig'!AU90</f>
        <v>-3.6660644748350096E-21</v>
      </c>
      <c r="AV90">
        <f>'Costing 100 Lmin Feed Orig'!AV90</f>
        <v>0.196872452268469</v>
      </c>
      <c r="AW90">
        <f>'Costing 100 Lmin Feed Orig'!AW90</f>
        <v>99.342361340467505</v>
      </c>
      <c r="AX90">
        <f>'Costing 100 Lmin Feed Orig'!AX90</f>
        <v>500</v>
      </c>
      <c r="AY90">
        <f>'Costing 100 Lmin Feed Orig'!AY90</f>
        <v>95</v>
      </c>
      <c r="AZ90">
        <f>'Costing 100 Lmin Feed Orig'!AZ90</f>
        <v>0.92356908198738696</v>
      </c>
      <c r="BA90">
        <f>'Costing 100 Lmin Feed Orig'!BA90</f>
        <v>0.1</v>
      </c>
      <c r="BB90">
        <f>'Costing 100 Lmin Feed Orig'!BB90</f>
        <v>46.912052516516702</v>
      </c>
      <c r="BC90" t="str">
        <f>'Costing 100 Lmin Feed Orig'!BC90</f>
        <v>coeFc</v>
      </c>
      <c r="BD90">
        <f>'Costing 100 Lmin Feed Orig'!BD90</f>
        <v>1</v>
      </c>
      <c r="BE90">
        <f>'Costing 100 Lmin Feed Orig'!BE90</f>
        <v>1.8775014999999999E-2</v>
      </c>
      <c r="BF90">
        <f>'Costing 100 Lmin Feed Orig'!BF90</f>
        <v>0.10492961100000001</v>
      </c>
      <c r="BG90">
        <f>'Costing 100 Lmin Feed Orig'!BG90</f>
        <v>1.814625E-3</v>
      </c>
      <c r="BH90">
        <f>'Costing 100 Lmin Feed Orig'!BH90</f>
        <v>285.1951444</v>
      </c>
      <c r="BI90">
        <f>'Costing 100 Lmin Feed Orig'!BI90</f>
        <v>2169.8944889999998</v>
      </c>
      <c r="BJ90">
        <f>'Costing 100 Lmin Feed Orig'!BJ90</f>
        <v>866.49409060000005</v>
      </c>
      <c r="BK90">
        <f>'Costing 100 Lmin Feed Orig'!BK90</f>
        <v>100</v>
      </c>
      <c r="BL90">
        <f>'Costing 100 Lmin Feed Orig'!BL90</f>
        <v>10.953557168032999</v>
      </c>
      <c r="BM90">
        <f>'Costing 100 Lmin Feed Orig'!BM90</f>
        <v>92.356908198738694</v>
      </c>
      <c r="BN90">
        <f>'Costing 100 Lmin Feed Orig'!BN90</f>
        <v>19.687245226846901</v>
      </c>
      <c r="BO90">
        <f t="shared" si="20"/>
        <v>284.79248636885796</v>
      </c>
      <c r="BP90">
        <f t="shared" si="21"/>
        <v>551.24286635171325</v>
      </c>
      <c r="BQ90">
        <f t="shared" si="22"/>
        <v>28.479248636885799</v>
      </c>
      <c r="BR90">
        <f t="shared" si="23"/>
        <v>55.12428663517133</v>
      </c>
      <c r="BS90">
        <f>1.2*0.5*BL90*V90/'Oxidant Feed Composition'!$N$22</f>
        <v>6.5721343008197994</v>
      </c>
      <c r="BT90">
        <f>1.2*0.5*BN90*BA90/'Oxidant Feed Composition'!$N$22</f>
        <v>11.812347136108141</v>
      </c>
      <c r="BU90">
        <f t="shared" si="24"/>
        <v>5.4767785840164995</v>
      </c>
      <c r="BV90">
        <f t="shared" si="25"/>
        <v>9.8436226134234506</v>
      </c>
      <c r="BW90">
        <f t="shared" si="26"/>
        <v>86.880129614722193</v>
      </c>
      <c r="BX90">
        <f t="shared" si="19"/>
        <v>35.051382937705597</v>
      </c>
      <c r="BY90">
        <f t="shared" si="27"/>
        <v>206.62093073354339</v>
      </c>
      <c r="BZ90">
        <f t="shared" si="28"/>
        <v>62.999184725910084</v>
      </c>
      <c r="CA90">
        <f t="shared" si="29"/>
        <v>59.061735680540707</v>
      </c>
      <c r="CB90">
        <f>BO90*'Reagent cost'!$G$11*'Reagent cost'!$H$11</f>
        <v>3759.2608200689256</v>
      </c>
      <c r="CC90">
        <f>BP90*'Reagent cost'!$G$11*'Reagent cost'!$H$11</f>
        <v>7276.4058358426155</v>
      </c>
      <c r="CD90">
        <f>BQ90*'Reagent cost'!$C$18/1000*'Reagent cost'!$H$18</f>
        <v>4541.8834647976191</v>
      </c>
      <c r="CE90">
        <f>BR90*'Ligand cost'!$B$56*'Ligand cost'!$J$56</f>
        <v>56123.564926443862</v>
      </c>
      <c r="CF90">
        <f t="shared" si="30"/>
        <v>10</v>
      </c>
      <c r="CG90">
        <f t="shared" si="31"/>
        <v>2.1907114336065998</v>
      </c>
      <c r="CH90">
        <f t="shared" si="31"/>
        <v>3.9374490453693802</v>
      </c>
      <c r="CI90">
        <f>7963.6*(BX90/1000)^0.6*1.7*('CAPEX+OPEX'!$G$116/'CAPEX+OPEX'!$G$115)</f>
        <v>2138.2772847076108</v>
      </c>
      <c r="CJ90">
        <f>7963.6*(BY90/1000)^0.6*1.7*('CAPEX+OPEX'!$G$116/'CAPEX+OPEX'!$G$115)</f>
        <v>6199.3408604999822</v>
      </c>
      <c r="CK90">
        <f>7963.6*(BZ90/1000)^0.6*1.7*('CAPEX+OPEX'!$G$116/'CAPEX+OPEX'!$G$115)</f>
        <v>3039.7781253117219</v>
      </c>
      <c r="CL90">
        <f>7963.6*(CA90/1000)^0.6*1.7*('CAPEX+OPEX'!$G$116/'CAPEX+OPEX'!$G$115)</f>
        <v>2924.3183622444676</v>
      </c>
      <c r="CM90">
        <f>'Costing 100 Lmin Feed Orig'!DE90</f>
        <v>39625.826528698344</v>
      </c>
      <c r="CN90">
        <f>'Costing 100 Lmin Feed Orig'!DF90</f>
        <v>4586243.4239371875</v>
      </c>
      <c r="CO90">
        <f>'Costing 100 Lmin Feed Orig'!DG90</f>
        <v>11794834.586807497</v>
      </c>
      <c r="CP90">
        <f>'Costing 100 Lmin Feed Orig'!DH90</f>
        <v>2275209.1661185985</v>
      </c>
      <c r="CQ90">
        <f>'Costing 100 Lmin Feed Orig'!DI90</f>
        <v>14083914.336508472</v>
      </c>
      <c r="CR90">
        <f>'Costing 100 Lmin Feed Orig'!DJ90</f>
        <v>1662824.8986326549</v>
      </c>
      <c r="CS90">
        <f>CN90*(BK90/10000)^0.72*((A90+1)/3)^0.6*('CAPEX+OPEX'!$G$116/'CAPEX+OPEX'!$G$114)</f>
        <v>892840.31653984461</v>
      </c>
      <c r="CT90">
        <f>CO90*(BK90/10000)^0.72*((A90+1)/3)^0.6*('CAPEX+OPEX'!$G$116/'CAPEX+OPEX'!$G$114)</f>
        <v>2296193.8284949926</v>
      </c>
      <c r="CU90">
        <f>CP90*(BK90/10000)^0.72*((A90+1)/3)^0.6*('CAPEX+OPEX'!$G$116/'CAPEX+OPEX'!$G$114)</f>
        <v>442932.9811560188</v>
      </c>
      <c r="CV90">
        <f>CQ90*(BK90/10000)^0.72*((A90+1)/3)^0.6*('CAPEX+OPEX'!$G$116/'CAPEX+OPEX'!$G$114)</f>
        <v>2741827.1059701391</v>
      </c>
      <c r="CW90">
        <f>CR90*(BK90/10000)^0.72*((A90+1)/3)^0.6*('CAPEX+OPEX'!$G$116/'CAPEX+OPEX'!$G$114)</f>
        <v>323715.28756992728</v>
      </c>
      <c r="CX90">
        <f t="shared" si="32"/>
        <v>6697509.5197309218</v>
      </c>
      <c r="CY90">
        <f>CN90*(BM90/10000)^0.72*((AF90+1)/3)^0.6*('CAPEX+OPEX'!$G$116/'CAPEX+OPEX'!$G$114)</f>
        <v>884644.97360172844</v>
      </c>
      <c r="CZ90">
        <f>CO90*(BM90/10000)^0.72*((AF90+1)/3)^0.6*('CAPEX+OPEX'!$G$116/'CAPEX+OPEX'!$G$114)</f>
        <v>2275117.1639130982</v>
      </c>
      <c r="DA90">
        <f>CP90*(BM90/10000)^0.72*((AF90+1)/3)^0.6*('CAPEX+OPEX'!$G$116/'CAPEX+OPEX'!$G$114)</f>
        <v>438867.31833599339</v>
      </c>
      <c r="DB90">
        <f>CQ90*(BM90/10000)^0.72*((AF90+1)/3)^0.6*('CAPEX+OPEX'!$G$116/'CAPEX+OPEX'!$G$114)</f>
        <v>2716659.9926642226</v>
      </c>
      <c r="DC90">
        <f>CR90*(BM90/10000)^0.72*((AF90+1)/3)^0.6*('CAPEX+OPEX'!$G$116/'CAPEX+OPEX'!$G$114)</f>
        <v>320743.91884161107</v>
      </c>
      <c r="DD90">
        <f t="shared" si="33"/>
        <v>6636033.3673566533</v>
      </c>
      <c r="DE90">
        <f>CX90+DD90+1.15*(SUM(CI90:CL90)+SUM(CB90:CE90))</f>
        <v>13432446.14121948</v>
      </c>
      <c r="DF90">
        <f t="shared" si="34"/>
        <v>895496.40941463201</v>
      </c>
      <c r="DG90">
        <f>(BS90+BT90)*'Oxidant Feed Composition'!$N$28*60*7200</f>
        <v>20440509.206579655</v>
      </c>
      <c r="DH90">
        <f>((CG90+CH90)*'Reagent cost'!$C$17/1000*'Reagent cost'!$H$17+(CG90+CH90)*0.5*'Reagent cost'!$C$16/1000*'Reagent cost'!$H$16*1.5)*60*7200</f>
        <v>8696078.8626856431</v>
      </c>
      <c r="DI90">
        <f>CF90*'Reagent cost'!$C$17/1000*'Reagent cost'!$H$17*60*7200</f>
        <v>504921.59999999998</v>
      </c>
      <c r="DJ90">
        <f t="shared" si="35"/>
        <v>110.35666655911541</v>
      </c>
      <c r="DK90">
        <f t="shared" si="36"/>
        <v>1213.3089678248296</v>
      </c>
      <c r="DL90">
        <f t="shared" si="37"/>
        <v>35571400.001879618</v>
      </c>
      <c r="DM90">
        <f>BK90*(B90*(409.81+2)/1000+C90*(248.2+2*22.99)/1000+D90*(315.6+3*22.99)/1000+0.1*58.44/1000)</f>
        <v>0.70639694042110623</v>
      </c>
      <c r="DN90">
        <f>(BS90+BT90)/1000*('Oxidant Feed Composition'!$B$11*'Oxidant Feed Composition'!$O$20+'Oxidant Feed Composition'!$D$11*'Oxidant Feed Composition'!$O$21+'Oxidant Feed Composition'!$F$11*'Oxidant Feed Composition'!$O$27-'Oxidant Feed Composition'!$J$15*18.015)</f>
        <v>2.1470232077501685</v>
      </c>
      <c r="DO90">
        <f>(BU90+BV90)/1000*(0.2*368.34+0.4*58.44)</f>
        <v>1.4867530138043623</v>
      </c>
      <c r="DP90">
        <f>BK90/1000*(B90*195.08+C90*106.42+D90*102.91)</f>
        <v>4.999938342565946E-2</v>
      </c>
      <c r="DQ90">
        <f>SUM(DM90:DO90)-DP90</f>
        <v>4.2901737785499767</v>
      </c>
      <c r="DR90">
        <f>DQ90*60*7200*0.33</f>
        <v>611607.17387008481</v>
      </c>
      <c r="DS90">
        <v>1.2</v>
      </c>
      <c r="DT90">
        <f>BM90/60*(AM90*4+AN90*2+AO90*3)*96485/DV90</f>
        <v>1405.8805675728252</v>
      </c>
      <c r="DU90">
        <f>BN90*BA90*(AP90*4+AQ90*2+AR90*3)*96485/DV90/60</f>
        <v>705.80276153185252</v>
      </c>
      <c r="DV90">
        <v>0.7</v>
      </c>
      <c r="DW90">
        <f>0.499*((BK90/3.78541*15)^(-0.146))*BK90/3.78541*15*300*(1+(A90-2)/9)</f>
        <v>49536.497143418172</v>
      </c>
      <c r="DX90">
        <f>0.248*((BK90/3.78541*15)^(-0.144))*BK90/3.78541*15*300*(1+(A90-2)/3)</f>
        <v>49831.318766753509</v>
      </c>
      <c r="DY90">
        <f>0.105*((BK90/3.78541*15)^(-0.144))*BK90/3.78541*15*300*(1+(A90-2)/3)</f>
        <v>21097.937381085154</v>
      </c>
      <c r="DZ90">
        <f>0.058*((BK90/3.78541*15)^(-0.151))*BK90/3.78541*15*300*(1+(A90-2)/3)</f>
        <v>11176.166036369152</v>
      </c>
      <c r="EA90">
        <f>0.056*((BK90/3.78541*15)^(-0.144))*BK90/3.78541*15*300*(1+(A90-2)/3)</f>
        <v>11252.233269912085</v>
      </c>
      <c r="EB90">
        <f>DS90*DT90/(3.6*10^6)*3600*7200*0.07</f>
        <v>850.27656726804469</v>
      </c>
      <c r="EC90">
        <f>0.499*((BM90/3.78541*15)^(-0.146))*BM90/3.78541*15*300*(1+(AF90-2)/9)</f>
        <v>48855.925474773729</v>
      </c>
      <c r="ED90">
        <f>0.248*((BM90/3.78541*15)^(-0.144))*BM90/3.78541*15*300*(1+(AF90-2)/3)</f>
        <v>50432.010422650754</v>
      </c>
      <c r="EE90">
        <f>0.105*((BM90/3.78541*15)^(-0.144))*BM90/3.78541*15*300*(1+(AF90-2)/3)</f>
        <v>21352.262477331969</v>
      </c>
      <c r="EF90">
        <f>0.058*((BM90/3.78541*15)^(-0.151))*BM90/3.78541*15*300*(1+(AF90-2)/3)</f>
        <v>11317.186163436589</v>
      </c>
      <c r="EG90">
        <f>0.056*((BM90/3.78541*15)^(-0.144))*BM90/3.78541*15*300*(1+(AF90-2)/3)</f>
        <v>11387.873321243722</v>
      </c>
      <c r="EH90">
        <f>DS90*DU90/(3.6*10^6)*3600*7200*0.07</f>
        <v>426.86951017446444</v>
      </c>
      <c r="EI90">
        <f>SUM(DW90:EH90)</f>
        <v>287516.55653441726</v>
      </c>
      <c r="EJ90">
        <f>EI90+DR90+DL90</f>
        <v>36470523.732284121</v>
      </c>
      <c r="EK90">
        <f>EJ90+DF90</f>
        <v>37366020.141698755</v>
      </c>
      <c r="EL90">
        <f>EK90/(BK90*60*7200)</f>
        <v>0.86495416994673047</v>
      </c>
      <c r="EM90">
        <f>EK90/(BM90*(AM90*195.084/1000+AN90*106.42/1000+AO90*102.911/1000)*60*7200)</f>
        <v>2893.6778652244366</v>
      </c>
      <c r="EN90">
        <f>EK90/(BN90*BA90*(AP90*195.084/1000+AQ90*106.42/1000+AR90*102.911/1000)*60*7200)</f>
        <v>5310.6100361668896</v>
      </c>
    </row>
    <row r="91" spans="1:144">
      <c r="A91">
        <f>'Costing 100 Lmin Feed Orig'!A91</f>
        <v>11</v>
      </c>
      <c r="B91">
        <f>'Costing 100 Lmin Feed Orig'!B91</f>
        <v>1.54143585092054E-3</v>
      </c>
      <c r="C91">
        <f>'Costing 100 Lmin Feed Orig'!C91</f>
        <v>1.54143585092054E-3</v>
      </c>
      <c r="D91">
        <f>'Costing 100 Lmin Feed Orig'!D91</f>
        <v>3.4254130020456501E-4</v>
      </c>
      <c r="E91">
        <f>'Costing 100 Lmin Feed Orig'!E91</f>
        <v>0</v>
      </c>
      <c r="F91">
        <f>'Costing 100 Lmin Feed Orig'!F91</f>
        <v>0</v>
      </c>
      <c r="G91">
        <f>'Costing 100 Lmin Feed Orig'!G91</f>
        <v>0</v>
      </c>
      <c r="H91">
        <f>'Costing 100 Lmin Feed Orig'!H91</f>
        <v>1.7771367359861701E-5</v>
      </c>
      <c r="I91">
        <f>'Costing 100 Lmin Feed Orig'!I91</f>
        <v>1.8081057367328801E-10</v>
      </c>
      <c r="J91">
        <f>'Costing 100 Lmin Feed Orig'!J91</f>
        <v>3.3765941525589702E-4</v>
      </c>
      <c r="K91">
        <f>'Costing 100 Lmin Feed Orig'!K91</f>
        <v>0.139102253285185</v>
      </c>
      <c r="L91">
        <f>'Costing 100 Lmin Feed Orig'!L91</f>
        <v>0.14072466572308701</v>
      </c>
      <c r="M91">
        <f>'Costing 100 Lmin Feed Orig'!M91</f>
        <v>4.4568945720355099E-4</v>
      </c>
      <c r="N91">
        <f>'Costing 100 Lmin Feed Orig'!N91</f>
        <v>-8.03393809811758E-16</v>
      </c>
      <c r="O91">
        <f>'Costing 100 Lmin Feed Orig'!O91</f>
        <v>-8.4019770307808202E-13</v>
      </c>
      <c r="P91">
        <f>'Costing 100 Lmin Feed Orig'!P91</f>
        <v>-2.26157796916898E-19</v>
      </c>
      <c r="Q91">
        <f>'Costing 100 Lmin Feed Orig'!Q91</f>
        <v>0.10953557168033</v>
      </c>
      <c r="R91">
        <f>'Costing 100 Lmin Feed Orig'!R91</f>
        <v>98.5748039883795</v>
      </c>
      <c r="S91">
        <f>'Costing 100 Lmin Feed Orig'!S91</f>
        <v>500</v>
      </c>
      <c r="T91">
        <f>'Costing 100 Lmin Feed Orig'!T91</f>
        <v>95</v>
      </c>
      <c r="U91">
        <f>'Costing 100 Lmin Feed Orig'!U91</f>
        <v>1</v>
      </c>
      <c r="V91">
        <f>'Costing 100 Lmin Feed Orig'!V91</f>
        <v>0.1</v>
      </c>
      <c r="W91">
        <f>'Costing 100 Lmin Feed Orig'!W91</f>
        <v>91.294543376138293</v>
      </c>
      <c r="X91" t="str">
        <f>'Costing 100 Lmin Feed Orig'!X91</f>
        <v>ddFc</v>
      </c>
      <c r="Y91">
        <f>'Costing 100 Lmin Feed Orig'!Y91</f>
        <v>1</v>
      </c>
      <c r="Z91">
        <f>'Costing 100 Lmin Feed Orig'!Z91</f>
        <v>0.28318429382522198</v>
      </c>
      <c r="AA91">
        <f>'Costing 100 Lmin Feed Orig'!AA91</f>
        <v>0.56945642916197003</v>
      </c>
      <c r="AB91">
        <f>'Costing 100 Lmin Feed Orig'!AB91</f>
        <v>3.7698628972227502E-3</v>
      </c>
      <c r="AC91">
        <f>'Costing 100 Lmin Feed Orig'!AC91</f>
        <v>1822.2107908876901</v>
      </c>
      <c r="AD91">
        <f>'Costing 100 Lmin Feed Orig'!AD91</f>
        <v>2662.6059073104898</v>
      </c>
      <c r="AE91">
        <f>'Costing 100 Lmin Feed Orig'!AE91</f>
        <v>2401.5030938442701</v>
      </c>
      <c r="AF91">
        <f>'Costing 100 Lmin Feed Orig'!AF91</f>
        <v>13</v>
      </c>
      <c r="AG91">
        <f>'Costing 100 Lmin Feed Orig'!AG91</f>
        <v>1.6497569194096201E-3</v>
      </c>
      <c r="AH91">
        <f>'Costing 100 Lmin Feed Orig'!AH91</f>
        <v>1.6689987798565299E-3</v>
      </c>
      <c r="AI91">
        <f>'Costing 100 Lmin Feed Orig'!AI91</f>
        <v>5.28589040482341E-6</v>
      </c>
      <c r="AJ91">
        <f>'Costing 100 Lmin Feed Orig'!AJ91</f>
        <v>0</v>
      </c>
      <c r="AK91">
        <f>'Costing 100 Lmin Feed Orig'!AK91</f>
        <v>0</v>
      </c>
      <c r="AL91">
        <f>'Costing 100 Lmin Feed Orig'!AL91</f>
        <v>0</v>
      </c>
      <c r="AM91">
        <f>'Costing 100 Lmin Feed Orig'!AM91</f>
        <v>1.6128103180087E-3</v>
      </c>
      <c r="AN91">
        <f>'Costing 100 Lmin Feed Orig'!AN91</f>
        <v>7.9633625011629096E-5</v>
      </c>
      <c r="AO91">
        <f>'Costing 100 Lmin Feed Orig'!AO91</f>
        <v>5.2511285677767398E-6</v>
      </c>
      <c r="AP91">
        <f>'Costing 100 Lmin Feed Orig'!AP91</f>
        <v>1.7332441234993001E-3</v>
      </c>
      <c r="AQ91">
        <f>'Costing 100 Lmin Feed Orig'!AQ91</f>
        <v>7.4560520055328497E-2</v>
      </c>
      <c r="AR91">
        <f>'Costing 100 Lmin Feed Orig'!AR91</f>
        <v>1.6307521530699199E-6</v>
      </c>
      <c r="AS91">
        <f>'Costing 100 Lmin Feed Orig'!AS91</f>
        <v>4.9466724119651101E-19</v>
      </c>
      <c r="AT91">
        <f>'Costing 100 Lmin Feed Orig'!AT91</f>
        <v>-1.2576745200831801E-17</v>
      </c>
      <c r="AU91">
        <f>'Costing 100 Lmin Feed Orig'!AU91</f>
        <v>1.39628087398951E-21</v>
      </c>
      <c r="AV91">
        <f>'Costing 100 Lmin Feed Orig'!AV91</f>
        <v>0.19687208671741999</v>
      </c>
      <c r="AW91">
        <f>'Costing 100 Lmin Feed Orig'!AW91</f>
        <v>99.342365535710996</v>
      </c>
      <c r="AX91">
        <f>'Costing 100 Lmin Feed Orig'!AX91</f>
        <v>500</v>
      </c>
      <c r="AY91">
        <f>'Costing 100 Lmin Feed Orig'!AY91</f>
        <v>95</v>
      </c>
      <c r="AZ91">
        <f>'Costing 100 Lmin Feed Orig'!AZ91</f>
        <v>0.92356908198738696</v>
      </c>
      <c r="BA91">
        <f>'Costing 100 Lmin Feed Orig'!BA91</f>
        <v>0.1</v>
      </c>
      <c r="BB91">
        <f>'Costing 100 Lmin Feed Orig'!BB91</f>
        <v>46.912139622567501</v>
      </c>
      <c r="BC91" t="str">
        <f>'Costing 100 Lmin Feed Orig'!BC91</f>
        <v>coeFc</v>
      </c>
      <c r="BD91">
        <f>'Costing 100 Lmin Feed Orig'!BD91</f>
        <v>1</v>
      </c>
      <c r="BE91">
        <f>'Costing 100 Lmin Feed Orig'!BE91</f>
        <v>1.8775014999999999E-2</v>
      </c>
      <c r="BF91">
        <f>'Costing 100 Lmin Feed Orig'!BF91</f>
        <v>0.10492961100000001</v>
      </c>
      <c r="BG91">
        <f>'Costing 100 Lmin Feed Orig'!BG91</f>
        <v>1.814625E-3</v>
      </c>
      <c r="BH91">
        <f>'Costing 100 Lmin Feed Orig'!BH91</f>
        <v>285.1951444</v>
      </c>
      <c r="BI91">
        <f>'Costing 100 Lmin Feed Orig'!BI91</f>
        <v>2169.8944889999998</v>
      </c>
      <c r="BJ91">
        <f>'Costing 100 Lmin Feed Orig'!BJ91</f>
        <v>866.49409060000005</v>
      </c>
      <c r="BK91">
        <f>'Costing 100 Lmin Feed Orig'!BK91</f>
        <v>100</v>
      </c>
      <c r="BL91">
        <f>'Costing 100 Lmin Feed Orig'!BL91</f>
        <v>10.953557168032999</v>
      </c>
      <c r="BM91">
        <f>'Costing 100 Lmin Feed Orig'!BM91</f>
        <v>92.356908198738694</v>
      </c>
      <c r="BN91">
        <f>'Costing 100 Lmin Feed Orig'!BN91</f>
        <v>19.687208671741999</v>
      </c>
      <c r="BO91">
        <f t="shared" si="20"/>
        <v>284.79248636885796</v>
      </c>
      <c r="BP91">
        <f t="shared" si="21"/>
        <v>590.61626015226</v>
      </c>
      <c r="BQ91">
        <f t="shared" si="22"/>
        <v>28.479248636885799</v>
      </c>
      <c r="BR91">
        <f t="shared" si="23"/>
        <v>59.061626015226004</v>
      </c>
      <c r="BS91">
        <f>1.2*0.5*BL91*V91/'Oxidant Feed Composition'!$N$22</f>
        <v>6.5721343008197994</v>
      </c>
      <c r="BT91">
        <f>1.2*0.5*BN91*BA91/'Oxidant Feed Composition'!$N$22</f>
        <v>11.8123252030452</v>
      </c>
      <c r="BU91">
        <f t="shared" si="24"/>
        <v>5.4767785840164995</v>
      </c>
      <c r="BV91">
        <f t="shared" si="25"/>
        <v>9.8436043358709995</v>
      </c>
      <c r="BW91">
        <f t="shared" si="26"/>
        <v>86.880129614722193</v>
      </c>
      <c r="BX91">
        <f t="shared" si="19"/>
        <v>35.051382937705597</v>
      </c>
      <c r="BY91">
        <f t="shared" si="27"/>
        <v>206.62093073354339</v>
      </c>
      <c r="BZ91">
        <f t="shared" si="28"/>
        <v>62.999067749574394</v>
      </c>
      <c r="CA91">
        <f t="shared" si="29"/>
        <v>59.061626015225997</v>
      </c>
      <c r="CB91">
        <f>BO91*'Reagent cost'!$G$11*'Reagent cost'!$H$11</f>
        <v>3759.2608200689256</v>
      </c>
      <c r="CC91">
        <f>BP91*'Reagent cost'!$G$11*'Reagent cost'!$H$11</f>
        <v>7796.1346340098326</v>
      </c>
      <c r="CD91">
        <f>BQ91*'Reagent cost'!$C$18/1000*'Reagent cost'!$H$18</f>
        <v>4541.8834647976191</v>
      </c>
      <c r="CE91">
        <f>BR91*'Ligand cost'!$B$56*'Ligand cost'!$J$56</f>
        <v>60132.279339320281</v>
      </c>
      <c r="CF91">
        <f t="shared" si="30"/>
        <v>10</v>
      </c>
      <c r="CG91">
        <f t="shared" si="31"/>
        <v>2.1907114336065998</v>
      </c>
      <c r="CH91">
        <f t="shared" si="31"/>
        <v>3.9374417343484001</v>
      </c>
      <c r="CI91">
        <f>7963.6*(BX91/1000)^0.6*1.7*('CAPEX+OPEX'!$G$116/'CAPEX+OPEX'!$G$115)</f>
        <v>2138.2772847076108</v>
      </c>
      <c r="CJ91">
        <f>7963.6*(BY91/1000)^0.6*1.7*('CAPEX+OPEX'!$G$116/'CAPEX+OPEX'!$G$115)</f>
        <v>6199.3408604999822</v>
      </c>
      <c r="CK91">
        <f>7963.6*(BZ91/1000)^0.6*1.7*('CAPEX+OPEX'!$G$116/'CAPEX+OPEX'!$G$115)</f>
        <v>3039.7747387703889</v>
      </c>
      <c r="CL91">
        <f>7963.6*(CA91/1000)^0.6*1.7*('CAPEX+OPEX'!$G$116/'CAPEX+OPEX'!$G$115)</f>
        <v>2924.3151043339894</v>
      </c>
      <c r="CM91">
        <f>'Costing 100 Lmin Feed Orig'!DE91</f>
        <v>39625.826528698344</v>
      </c>
      <c r="CN91">
        <f>'Costing 100 Lmin Feed Orig'!DF91</f>
        <v>4586243.4239371875</v>
      </c>
      <c r="CO91">
        <f>'Costing 100 Lmin Feed Orig'!DG91</f>
        <v>11794834.586807497</v>
      </c>
      <c r="CP91">
        <f>'Costing 100 Lmin Feed Orig'!DH91</f>
        <v>2275209.1661185985</v>
      </c>
      <c r="CQ91">
        <f>'Costing 100 Lmin Feed Orig'!DI91</f>
        <v>14083914.336508472</v>
      </c>
      <c r="CR91">
        <f>'Costing 100 Lmin Feed Orig'!DJ91</f>
        <v>1662824.8986326549</v>
      </c>
      <c r="CS91">
        <f>CN91*(BK91/10000)^0.72*((A91+1)/3)^0.6*('CAPEX+OPEX'!$G$116/'CAPEX+OPEX'!$G$114)</f>
        <v>892840.31653984461</v>
      </c>
      <c r="CT91">
        <f>CO91*(BK91/10000)^0.72*((A91+1)/3)^0.6*('CAPEX+OPEX'!$G$116/'CAPEX+OPEX'!$G$114)</f>
        <v>2296193.8284949926</v>
      </c>
      <c r="CU91">
        <f>CP91*(BK91/10000)^0.72*((A91+1)/3)^0.6*('CAPEX+OPEX'!$G$116/'CAPEX+OPEX'!$G$114)</f>
        <v>442932.9811560188</v>
      </c>
      <c r="CV91">
        <f>CQ91*(BK91/10000)^0.72*((A91+1)/3)^0.6*('CAPEX+OPEX'!$G$116/'CAPEX+OPEX'!$G$114)</f>
        <v>2741827.1059701391</v>
      </c>
      <c r="CW91">
        <f>CR91*(BK91/10000)^0.72*((A91+1)/3)^0.6*('CAPEX+OPEX'!$G$116/'CAPEX+OPEX'!$G$114)</f>
        <v>323715.28756992728</v>
      </c>
      <c r="CX91">
        <f t="shared" si="32"/>
        <v>6697509.5197309218</v>
      </c>
      <c r="CY91">
        <f>CN91*(BM91/10000)^0.72*((AF91+1)/3)^0.6*('CAPEX+OPEX'!$G$116/'CAPEX+OPEX'!$G$114)</f>
        <v>924868.15113757015</v>
      </c>
      <c r="CZ91">
        <f>CO91*(BM91/10000)^0.72*((AF91+1)/3)^0.6*('CAPEX+OPEX'!$G$116/'CAPEX+OPEX'!$G$114)</f>
        <v>2378562.5508532794</v>
      </c>
      <c r="DA91">
        <f>CP91*(BM91/10000)^0.72*((AF91+1)/3)^0.6*('CAPEX+OPEX'!$G$116/'CAPEX+OPEX'!$G$114)</f>
        <v>458821.80695783772</v>
      </c>
      <c r="DB91">
        <f>CQ91*(BM91/10000)^0.72*((AF91+1)/3)^0.6*('CAPEX+OPEX'!$G$116/'CAPEX+OPEX'!$G$114)</f>
        <v>2840181.5187568436</v>
      </c>
      <c r="DC91">
        <f>CR91*(BM91/10000)^0.72*((AF91+1)/3)^0.6*('CAPEX+OPEX'!$G$116/'CAPEX+OPEX'!$G$114)</f>
        <v>335327.55405809957</v>
      </c>
      <c r="DD91">
        <f t="shared" si="33"/>
        <v>6937761.5817636298</v>
      </c>
      <c r="DE91">
        <f>CX91+DD91+1.15*(SUM(CI91:CL91)+SUM(CB91:CE91))</f>
        <v>13739382.057678036</v>
      </c>
      <c r="DF91">
        <f t="shared" si="34"/>
        <v>915958.80384520243</v>
      </c>
      <c r="DG91">
        <f>(BS91+BT91)*'Oxidant Feed Composition'!$N$28*60*7200</f>
        <v>20440484.820633467</v>
      </c>
      <c r="DH91">
        <f>((CG91+CH91)*'Reagent cost'!$C$17/1000*'Reagent cost'!$H$17+(CG91+CH91)*0.5*'Reagent cost'!$C$16/1000*'Reagent cost'!$H$16*1.5)*60*7200</f>
        <v>8696068.488085432</v>
      </c>
      <c r="DI91">
        <f>CF91*'Reagent cost'!$C$17/1000*'Reagent cost'!$H$17*60*7200</f>
        <v>504921.59999999998</v>
      </c>
      <c r="DJ91">
        <f t="shared" si="35"/>
        <v>115.55395454078759</v>
      </c>
      <c r="DK91">
        <f t="shared" si="36"/>
        <v>1293.4832560823579</v>
      </c>
      <c r="DL91">
        <f t="shared" si="37"/>
        <v>35571460.735115424</v>
      </c>
      <c r="DM91">
        <f>BK91*(B91*(409.81+2)/1000+C91*(248.2+2*22.99)/1000+D91*(315.6+3*22.99)/1000+0.1*58.44/1000)</f>
        <v>0.70639694042110623</v>
      </c>
      <c r="DN91">
        <f>(BS91+BT91)/1000*('Oxidant Feed Composition'!$B$11*'Oxidant Feed Composition'!$O$20+'Oxidant Feed Composition'!$D$11*'Oxidant Feed Composition'!$O$21+'Oxidant Feed Composition'!$F$11*'Oxidant Feed Composition'!$O$27-'Oxidant Feed Composition'!$J$15*18.015)</f>
        <v>2.1470206463075021</v>
      </c>
      <c r="DO91">
        <f>(BU91+BV91)/1000*(0.2*368.34+0.4*58.44)</f>
        <v>1.4867512400775624</v>
      </c>
      <c r="DP91">
        <f>BK91/1000*(B91*195.08+C91*106.42+D91*102.91)</f>
        <v>4.999938342565946E-2</v>
      </c>
      <c r="DQ91">
        <f>SUM(DM91:DO91)-DP91</f>
        <v>4.2901694433805106</v>
      </c>
      <c r="DR91">
        <f>DQ91*60*7200*0.33</f>
        <v>611606.5558483256</v>
      </c>
      <c r="DS91">
        <v>1.2</v>
      </c>
      <c r="DT91">
        <f>BM91/60*(AM91*4+AN91*2+AO91*3)*96485/DV91</f>
        <v>1405.8807818129837</v>
      </c>
      <c r="DU91">
        <f>BN91*BA91*(AP91*4+AQ91*2+AR91*3)*96485/DV91/60</f>
        <v>705.80254727461261</v>
      </c>
      <c r="DV91">
        <v>0.7</v>
      </c>
      <c r="DW91">
        <f>0.499*((BK91/3.78541*15)^(-0.146))*BK91/3.78541*15*300*(1+(A91-2)/9)</f>
        <v>49536.497143418172</v>
      </c>
      <c r="DX91">
        <f>0.248*((BK91/3.78541*15)^(-0.144))*BK91/3.78541*15*300*(1+(A91-2)/3)</f>
        <v>49831.318766753509</v>
      </c>
      <c r="DY91">
        <f>0.105*((BK91/3.78541*15)^(-0.144))*BK91/3.78541*15*300*(1+(A91-2)/3)</f>
        <v>21097.937381085154</v>
      </c>
      <c r="DZ91">
        <f>0.058*((BK91/3.78541*15)^(-0.151))*BK91/3.78541*15*300*(1+(A91-2)/3)</f>
        <v>11176.166036369152</v>
      </c>
      <c r="EA91">
        <f>0.056*((BK91/3.78541*15)^(-0.144))*BK91/3.78541*15*300*(1+(A91-2)/3)</f>
        <v>11252.233269912085</v>
      </c>
      <c r="EB91">
        <f>DS91*DT91/(3.6*10^6)*3600*7200*0.07</f>
        <v>850.2766968404926</v>
      </c>
      <c r="EC91">
        <f>0.499*((BM91/3.78541*15)^(-0.146))*BM91/3.78541*15*300*(1+(AF91-2)/9)</f>
        <v>51427.28997344603</v>
      </c>
      <c r="ED91">
        <f>0.248*((BM91/3.78541*15)^(-0.144))*BM91/3.78541*15*300*(1+(AF91-2)/3)</f>
        <v>54311.395839777724</v>
      </c>
      <c r="EE91">
        <f>0.105*((BM91/3.78541*15)^(-0.144))*BM91/3.78541*15*300*(1+(AF91-2)/3)</f>
        <v>22994.7442063575</v>
      </c>
      <c r="EF91">
        <f>0.058*((BM91/3.78541*15)^(-0.151))*BM91/3.78541*15*300*(1+(AF91-2)/3)</f>
        <v>12187.738945239398</v>
      </c>
      <c r="EG91">
        <f>0.056*((BM91/3.78541*15)^(-0.144))*BM91/3.78541*15*300*(1+(AF91-2)/3)</f>
        <v>12263.863576724005</v>
      </c>
      <c r="EH91">
        <f>DS91*DU91/(3.6*10^6)*3600*7200*0.07</f>
        <v>426.86938059168574</v>
      </c>
      <c r="EI91">
        <f>SUM(DW91:EH91)</f>
        <v>297356.33121651493</v>
      </c>
      <c r="EJ91">
        <f>EI91+DR91+DL91</f>
        <v>36480423.622180261</v>
      </c>
      <c r="EK91">
        <f>EJ91+DF91</f>
        <v>37396382.426025465</v>
      </c>
      <c r="EL91">
        <f>EK91/(BK91*60*7200)</f>
        <v>0.86565700060244133</v>
      </c>
      <c r="EM91">
        <f>EK91/(BM91*(AM91*195.084/1000+AN91*106.42/1000+AO91*102.911/1000)*60*7200)</f>
        <v>2896.028722211357</v>
      </c>
      <c r="EN91">
        <f>EK91/(BN91*BA91*(AP91*195.084/1000+AQ91*106.42/1000+AR91*102.911/1000)*60*7200)</f>
        <v>5314.9267343897118</v>
      </c>
    </row>
    <row r="92" spans="1:144">
      <c r="A92">
        <f>'Costing 100 Lmin Feed Orig'!A92</f>
        <v>12</v>
      </c>
      <c r="B92">
        <f>'Costing 100 Lmin Feed Orig'!B92</f>
        <v>1.54143585092054E-3</v>
      </c>
      <c r="C92">
        <f>'Costing 100 Lmin Feed Orig'!C92</f>
        <v>1.54143585092054E-3</v>
      </c>
      <c r="D92">
        <f>'Costing 100 Lmin Feed Orig'!D92</f>
        <v>3.4254130020456501E-4</v>
      </c>
      <c r="E92">
        <f>'Costing 100 Lmin Feed Orig'!E92</f>
        <v>0</v>
      </c>
      <c r="F92">
        <f>'Costing 100 Lmin Feed Orig'!F92</f>
        <v>0</v>
      </c>
      <c r="G92">
        <f>'Costing 100 Lmin Feed Orig'!G92</f>
        <v>0</v>
      </c>
      <c r="H92">
        <f>'Costing 100 Lmin Feed Orig'!H92</f>
        <v>1.7771599281349402E-5</v>
      </c>
      <c r="I92">
        <f>'Costing 100 Lmin Feed Orig'!I92</f>
        <v>6.3113732322488897E-11</v>
      </c>
      <c r="J92">
        <f>'Costing 100 Lmin Feed Orig'!J92</f>
        <v>3.37661562480901E-4</v>
      </c>
      <c r="K92">
        <f>'Costing 100 Lmin Feed Orig'!K92</f>
        <v>0.13911791568267901</v>
      </c>
      <c r="L92">
        <f>'Costing 100 Lmin Feed Orig'!L92</f>
        <v>0.140740543921716</v>
      </c>
      <c r="M92">
        <f>'Costing 100 Lmin Feed Orig'!M92</f>
        <v>4.45543656000266E-4</v>
      </c>
      <c r="N92">
        <f>'Costing 100 Lmin Feed Orig'!N92</f>
        <v>-4.7646348672047899E-15</v>
      </c>
      <c r="O92">
        <f>'Costing 100 Lmin Feed Orig'!O92</f>
        <v>-1.1300289697036E-11</v>
      </c>
      <c r="P92">
        <f>'Costing 100 Lmin Feed Orig'!P92</f>
        <v>-4.6756218688437302E-19</v>
      </c>
      <c r="Q92">
        <f>'Costing 100 Lmin Feed Orig'!Q92</f>
        <v>0.10952322309941399</v>
      </c>
      <c r="R92">
        <f>'Costing 100 Lmin Feed Orig'!R92</f>
        <v>98.575430839799395</v>
      </c>
      <c r="S92">
        <f>'Costing 100 Lmin Feed Orig'!S92</f>
        <v>500</v>
      </c>
      <c r="T92">
        <f>'Costing 100 Lmin Feed Orig'!T92</f>
        <v>95</v>
      </c>
      <c r="U92">
        <f>'Costing 100 Lmin Feed Orig'!U92</f>
        <v>1</v>
      </c>
      <c r="V92">
        <f>'Costing 100 Lmin Feed Orig'!V92</f>
        <v>0.1</v>
      </c>
      <c r="W92">
        <f>'Costing 100 Lmin Feed Orig'!W92</f>
        <v>91.304836700459305</v>
      </c>
      <c r="X92" t="str">
        <f>'Costing 100 Lmin Feed Orig'!X92</f>
        <v>ddFc</v>
      </c>
      <c r="Y92">
        <f>'Costing 100 Lmin Feed Orig'!Y92</f>
        <v>1</v>
      </c>
      <c r="Z92">
        <f>'Costing 100 Lmin Feed Orig'!Z92</f>
        <v>0.28318429382522198</v>
      </c>
      <c r="AA92">
        <f>'Costing 100 Lmin Feed Orig'!AA92</f>
        <v>0.56945642916197003</v>
      </c>
      <c r="AB92">
        <f>'Costing 100 Lmin Feed Orig'!AB92</f>
        <v>3.7698628972227502E-3</v>
      </c>
      <c r="AC92">
        <f>'Costing 100 Lmin Feed Orig'!AC92</f>
        <v>1822.2107908876901</v>
      </c>
      <c r="AD92">
        <f>'Costing 100 Lmin Feed Orig'!AD92</f>
        <v>2662.6059073104898</v>
      </c>
      <c r="AE92">
        <f>'Costing 100 Lmin Feed Orig'!AE92</f>
        <v>2401.5030938442701</v>
      </c>
      <c r="AF92">
        <f>'Costing 100 Lmin Feed Orig'!AF92</f>
        <v>4</v>
      </c>
      <c r="AG92">
        <f>'Costing 100 Lmin Feed Orig'!AG92</f>
        <v>1.6497575706444501E-3</v>
      </c>
      <c r="AH92">
        <f>'Costing 100 Lmin Feed Orig'!AH92</f>
        <v>1.66899983148883E-3</v>
      </c>
      <c r="AI92">
        <f>'Costing 100 Lmin Feed Orig'!AI92</f>
        <v>5.28356837386519E-6</v>
      </c>
      <c r="AJ92">
        <f>'Costing 100 Lmin Feed Orig'!AJ92</f>
        <v>0</v>
      </c>
      <c r="AK92">
        <f>'Costing 100 Lmin Feed Orig'!AK92</f>
        <v>0</v>
      </c>
      <c r="AL92">
        <f>'Costing 100 Lmin Feed Orig'!AL92</f>
        <v>0</v>
      </c>
      <c r="AM92">
        <f>'Costing 100 Lmin Feed Orig'!AM92</f>
        <v>1.6048452348297699E-3</v>
      </c>
      <c r="AN92">
        <f>'Costing 100 Lmin Feed Orig'!AN92</f>
        <v>7.9223897063492306E-5</v>
      </c>
      <c r="AO92">
        <f>'Costing 100 Lmin Feed Orig'!AO92</f>
        <v>5.2416416138490404E-6</v>
      </c>
      <c r="AP92">
        <f>'Costing 100 Lmin Feed Orig'!AP92</f>
        <v>1.9874016210830801E-3</v>
      </c>
      <c r="AQ92">
        <f>'Costing 100 Lmin Feed Orig'!AQ92</f>
        <v>7.0348673954820695E-2</v>
      </c>
      <c r="AR92">
        <f>'Costing 100 Lmin Feed Orig'!AR92</f>
        <v>1.85528784684309E-6</v>
      </c>
      <c r="AS92">
        <f>'Costing 100 Lmin Feed Orig'!AS92</f>
        <v>-9.4900622733470806E-15</v>
      </c>
      <c r="AT92">
        <f>'Costing 100 Lmin Feed Orig'!AT92</f>
        <v>-1.22378452857563E-13</v>
      </c>
      <c r="AU92">
        <f>'Costing 100 Lmin Feed Orig'!AU92</f>
        <v>-3.0328014676440201E-18</v>
      </c>
      <c r="AV92">
        <f>'Costing 100 Lmin Feed Orig'!AV92</f>
        <v>0.20871283207273</v>
      </c>
      <c r="AW92">
        <f>'Costing 100 Lmin Feed Orig'!AW92</f>
        <v>99.206468866315106</v>
      </c>
      <c r="AX92">
        <f>'Costing 100 Lmin Feed Orig'!AX92</f>
        <v>500</v>
      </c>
      <c r="AY92">
        <f>'Costing 100 Lmin Feed Orig'!AY92</f>
        <v>95</v>
      </c>
      <c r="AZ92">
        <f>'Costing 100 Lmin Feed Orig'!AZ92</f>
        <v>0.92356857683566096</v>
      </c>
      <c r="BA92">
        <f>'Costing 100 Lmin Feed Orig'!BA92</f>
        <v>0.1</v>
      </c>
      <c r="BB92">
        <f>'Costing 100 Lmin Feed Orig'!BB92</f>
        <v>44.250684908239002</v>
      </c>
      <c r="BC92" t="str">
        <f>'Costing 100 Lmin Feed Orig'!BC92</f>
        <v>coeFc</v>
      </c>
      <c r="BD92">
        <f>'Costing 100 Lmin Feed Orig'!BD92</f>
        <v>1</v>
      </c>
      <c r="BE92">
        <f>'Costing 100 Lmin Feed Orig'!BE92</f>
        <v>1.8775014999999999E-2</v>
      </c>
      <c r="BF92">
        <f>'Costing 100 Lmin Feed Orig'!BF92</f>
        <v>0.10492961100000001</v>
      </c>
      <c r="BG92">
        <f>'Costing 100 Lmin Feed Orig'!BG92</f>
        <v>1.814625E-3</v>
      </c>
      <c r="BH92">
        <f>'Costing 100 Lmin Feed Orig'!BH92</f>
        <v>285.1951444</v>
      </c>
      <c r="BI92">
        <f>'Costing 100 Lmin Feed Orig'!BI92</f>
        <v>2169.8944889999998</v>
      </c>
      <c r="BJ92">
        <f>'Costing 100 Lmin Feed Orig'!BJ92</f>
        <v>866.49409060000005</v>
      </c>
      <c r="BK92">
        <f>'Costing 100 Lmin Feed Orig'!BK92</f>
        <v>100</v>
      </c>
      <c r="BL92">
        <f>'Costing 100 Lmin Feed Orig'!BL92</f>
        <v>10.952322309941399</v>
      </c>
      <c r="BM92">
        <f>'Costing 100 Lmin Feed Orig'!BM92</f>
        <v>92.356857683566091</v>
      </c>
      <c r="BN92">
        <f>'Costing 100 Lmin Feed Orig'!BN92</f>
        <v>20.871283207272999</v>
      </c>
      <c r="BO92">
        <f t="shared" si="20"/>
        <v>306.6650246783592</v>
      </c>
      <c r="BP92">
        <f t="shared" si="21"/>
        <v>250.455398487276</v>
      </c>
      <c r="BQ92">
        <f t="shared" si="22"/>
        <v>30.666502467835922</v>
      </c>
      <c r="BR92">
        <f t="shared" si="23"/>
        <v>25.0455398487276</v>
      </c>
      <c r="BS92">
        <f>1.2*0.5*BL92*V92/'Oxidant Feed Composition'!$N$22</f>
        <v>6.5713933859648392</v>
      </c>
      <c r="BT92">
        <f>1.2*0.5*BN92*BA92/'Oxidant Feed Composition'!$N$22</f>
        <v>12.522769924363798</v>
      </c>
      <c r="BU92">
        <f t="shared" si="24"/>
        <v>5.4761611549706997</v>
      </c>
      <c r="BV92">
        <f t="shared" si="25"/>
        <v>10.435641603636499</v>
      </c>
      <c r="BW92">
        <f t="shared" si="26"/>
        <v>86.880696528595394</v>
      </c>
      <c r="BX92">
        <f t="shared" si="19"/>
        <v>35.047431391812481</v>
      </c>
      <c r="BY92">
        <f t="shared" si="27"/>
        <v>206.61835998701497</v>
      </c>
      <c r="BZ92">
        <f t="shared" si="28"/>
        <v>66.78810626327359</v>
      </c>
      <c r="CA92">
        <f t="shared" si="29"/>
        <v>62.613849621819</v>
      </c>
      <c r="CB92">
        <f>BO92*'Reagent cost'!$G$11*'Reagent cost'!$H$11</f>
        <v>4047.9783257543413</v>
      </c>
      <c r="CC92">
        <f>BP92*'Reagent cost'!$G$11*'Reagent cost'!$H$11</f>
        <v>3306.0112600320435</v>
      </c>
      <c r="CD92">
        <f>BQ92*'Reagent cost'!$C$18/1000*'Reagent cost'!$H$18</f>
        <v>4890.707695899031</v>
      </c>
      <c r="CE92">
        <f>BR92*'Ligand cost'!$B$56*'Ligand cost'!$J$56</f>
        <v>25499.558681291794</v>
      </c>
      <c r="CF92">
        <f t="shared" si="30"/>
        <v>10</v>
      </c>
      <c r="CG92">
        <f t="shared" si="31"/>
        <v>2.19046446198828</v>
      </c>
      <c r="CH92">
        <f t="shared" si="31"/>
        <v>4.1742566414546003</v>
      </c>
      <c r="CI92">
        <f>7963.6*(BX92/1000)^0.6*1.7*('CAPEX+OPEX'!$G$116/'CAPEX+OPEX'!$G$115)</f>
        <v>2138.1326451989207</v>
      </c>
      <c r="CJ92">
        <f>7963.6*(BY92/1000)^0.6*1.7*('CAPEX+OPEX'!$G$116/'CAPEX+OPEX'!$G$115)</f>
        <v>6199.2945816251477</v>
      </c>
      <c r="CK92">
        <f>7963.6*(BZ92/1000)^0.6*1.7*('CAPEX+OPEX'!$G$116/'CAPEX+OPEX'!$G$115)</f>
        <v>3148.1861614717395</v>
      </c>
      <c r="CL92">
        <f>7963.6*(CA92/1000)^0.6*1.7*('CAPEX+OPEX'!$G$116/'CAPEX+OPEX'!$G$115)</f>
        <v>3028.6087405841981</v>
      </c>
      <c r="CM92">
        <f>'Costing 100 Lmin Feed Orig'!DE92</f>
        <v>39625.826528698344</v>
      </c>
      <c r="CN92">
        <f>'Costing 100 Lmin Feed Orig'!DF92</f>
        <v>4586243.4239371875</v>
      </c>
      <c r="CO92">
        <f>'Costing 100 Lmin Feed Orig'!DG92</f>
        <v>11794834.586807497</v>
      </c>
      <c r="CP92">
        <f>'Costing 100 Lmin Feed Orig'!DH92</f>
        <v>2275209.1661185985</v>
      </c>
      <c r="CQ92">
        <f>'Costing 100 Lmin Feed Orig'!DI92</f>
        <v>14083914.336508472</v>
      </c>
      <c r="CR92">
        <f>'Costing 100 Lmin Feed Orig'!DJ92</f>
        <v>1662824.8986326549</v>
      </c>
      <c r="CS92">
        <f>CN92*(BK92/10000)^0.72*((A92+1)/3)^0.6*('CAPEX+OPEX'!$G$116/'CAPEX+OPEX'!$G$114)</f>
        <v>936765.86395108781</v>
      </c>
      <c r="CT92">
        <f>CO92*(BK92/10000)^0.72*((A92+1)/3)^0.6*('CAPEX+OPEX'!$G$116/'CAPEX+OPEX'!$G$114)</f>
        <v>2409160.916797909</v>
      </c>
      <c r="CU92">
        <f>CP92*(BK92/10000)^0.72*((A92+1)/3)^0.6*('CAPEX+OPEX'!$G$116/'CAPEX+OPEX'!$G$114)</f>
        <v>464724.19432521454</v>
      </c>
      <c r="CV92">
        <f>CQ92*(BK92/10000)^0.72*((A92+1)/3)^0.6*('CAPEX+OPEX'!$G$116/'CAPEX+OPEX'!$G$114)</f>
        <v>2876718.2553791031</v>
      </c>
      <c r="CW92">
        <f>CR92*(BK92/10000)^0.72*((A92+1)/3)^0.6*('CAPEX+OPEX'!$G$116/'CAPEX+OPEX'!$G$114)</f>
        <v>339641.28346021532</v>
      </c>
      <c r="CX92">
        <f t="shared" si="32"/>
        <v>7027010.5139135299</v>
      </c>
      <c r="CY92">
        <f>CN92*(BM92/10000)^0.72*((AF92+1)/3)^0.6*('CAPEX+OPEX'!$G$116/'CAPEX+OPEX'!$G$114)</f>
        <v>498637.38285704167</v>
      </c>
      <c r="CZ92">
        <f>CO92*(BM92/10000)^0.72*((AF92+1)/3)^0.6*('CAPEX+OPEX'!$G$116/'CAPEX+OPEX'!$G$114)</f>
        <v>1282388.4181333755</v>
      </c>
      <c r="DA92">
        <f>CP92*(BM92/10000)^0.72*((AF92+1)/3)^0.6*('CAPEX+OPEX'!$G$116/'CAPEX+OPEX'!$G$114)</f>
        <v>247371.15743232475</v>
      </c>
      <c r="DB92">
        <f>CQ92*(BM92/10000)^0.72*((AF92+1)/3)^0.6*('CAPEX+OPEX'!$G$116/'CAPEX+OPEX'!$G$114)</f>
        <v>1531267.648918309</v>
      </c>
      <c r="DC92">
        <f>CR92*(BM92/10000)^0.72*((AF92+1)/3)^0.6*('CAPEX+OPEX'!$G$116/'CAPEX+OPEX'!$G$114)</f>
        <v>180789.93611113401</v>
      </c>
      <c r="DD92">
        <f t="shared" si="33"/>
        <v>3740454.5434521851</v>
      </c>
      <c r="DE92">
        <f>CX92+DD92+1.15*(SUM(CI92:CL92)+SUM(CB92:CE92))</f>
        <v>10827562.307171352</v>
      </c>
      <c r="DF92">
        <f t="shared" si="34"/>
        <v>721837.48714475683</v>
      </c>
      <c r="DG92">
        <f>(BS92+BT92)*'Oxidant Feed Composition'!$N$28*60*7200</f>
        <v>21229558.324813236</v>
      </c>
      <c r="DH92">
        <f>((CG92+CH92)*'Reagent cost'!$C$17/1000*'Reagent cost'!$H$17+(CG92+CH92)*0.5*'Reagent cost'!$C$16/1000*'Reagent cost'!$H$16*1.5)*60*7200</f>
        <v>9031766.8482121062</v>
      </c>
      <c r="DI92">
        <f>CF92*'Reagent cost'!$C$17/1000*'Reagent cost'!$H$17*60*7200</f>
        <v>504921.59999999998</v>
      </c>
      <c r="DJ92">
        <f t="shared" si="35"/>
        <v>73.539895857863854</v>
      </c>
      <c r="DK92">
        <f t="shared" si="36"/>
        <v>607.80532754381659</v>
      </c>
      <c r="DL92">
        <f t="shared" si="37"/>
        <v>36920313.741898492</v>
      </c>
      <c r="DM92">
        <f>BK92*(B92*(409.81+2)/1000+C92*(248.2+2*22.99)/1000+D92*(315.6+3*22.99)/1000+0.1*58.44/1000)</f>
        <v>0.70639694042110623</v>
      </c>
      <c r="DN92">
        <f>(BS92+BT92)/1000*('Oxidant Feed Composition'!$B$11*'Oxidant Feed Composition'!$O$20+'Oxidant Feed Composition'!$D$11*'Oxidant Feed Composition'!$O$21+'Oxidant Feed Composition'!$F$11*'Oxidant Feed Composition'!$O$27-'Oxidant Feed Composition'!$J$15*18.015)</f>
        <v>2.2299030788816068</v>
      </c>
      <c r="DO92">
        <f>(BU92+BV92)/1000*(0.2*368.34+0.4*58.44)</f>
        <v>1.5441449869062769</v>
      </c>
      <c r="DP92">
        <f>BK92/1000*(B92*195.08+C92*106.42+D92*102.91)</f>
        <v>4.999938342565946E-2</v>
      </c>
      <c r="DQ92">
        <f>SUM(DM92:DO92)-DP92</f>
        <v>4.4304456227833304</v>
      </c>
      <c r="DR92">
        <f>DQ92*60*7200*0.33</f>
        <v>631604.32798399171</v>
      </c>
      <c r="DS92">
        <v>1.2</v>
      </c>
      <c r="DT92">
        <f>BM92/60*(AM92*4+AN92*2+AO92*3)*96485/DV92</f>
        <v>1398.9403725553298</v>
      </c>
      <c r="DU92">
        <f>BN92*BA92*(AP92*4+AQ92*2+AR92*3)*96485/DV92/60</f>
        <v>712.74132254763572</v>
      </c>
      <c r="DV92">
        <v>0.7</v>
      </c>
      <c r="DW92">
        <f>0.499*((BK92/3.78541*15)^(-0.146))*BK92/3.78541*15*300*(1+(A92-2)/9)</f>
        <v>52288.524762496963</v>
      </c>
      <c r="DX92">
        <f>0.248*((BK92/3.78541*15)^(-0.144))*BK92/3.78541*15*300*(1+(A92-2)/3)</f>
        <v>53983.928663982973</v>
      </c>
      <c r="DY92">
        <f>0.105*((BK92/3.78541*15)^(-0.144))*BK92/3.78541*15*300*(1+(A92-2)/3)</f>
        <v>22856.098829508919</v>
      </c>
      <c r="DZ92">
        <f>0.058*((BK92/3.78541*15)^(-0.151))*BK92/3.78541*15*300*(1+(A92-2)/3)</f>
        <v>12107.513206066582</v>
      </c>
      <c r="EA92">
        <f>0.056*((BK92/3.78541*15)^(-0.144))*BK92/3.78541*15*300*(1+(A92-2)/3)</f>
        <v>12189.919375738094</v>
      </c>
      <c r="EB92">
        <f>DS92*DT92/(3.6*10^6)*3600*7200*0.07</f>
        <v>846.07913732146346</v>
      </c>
      <c r="EC92">
        <f>0.499*((BM92/3.78541*15)^(-0.146))*BM92/3.78541*15*300*(1+(AF92-2)/9)</f>
        <v>28284.996273452896</v>
      </c>
      <c r="ED92">
        <f>0.248*((BM92/3.78541*15)^(-0.144))*BM92/3.78541*15*300*(1+(AF92-2)/3)</f>
        <v>19396.918004101793</v>
      </c>
      <c r="EE92">
        <f>0.105*((BM92/3.78541*15)^(-0.144))*BM92/3.78541*15*300*(1+(AF92-2)/3)</f>
        <v>8212.4048001237406</v>
      </c>
      <c r="EF92">
        <f>0.058*((BM92/3.78541*15)^(-0.151))*BM92/3.78541*15*300*(1+(AF92-2)/3)</f>
        <v>4352.7618877396708</v>
      </c>
      <c r="EG92">
        <f>0.056*((BM92/3.78541*15)^(-0.144))*BM92/3.78541*15*300*(1+(AF92-2)/3)</f>
        <v>4379.9492267326632</v>
      </c>
      <c r="EH92">
        <f>DS92*DU92/(3.6*10^6)*3600*7200*0.07</f>
        <v>431.06595187681012</v>
      </c>
      <c r="EI92">
        <f>SUM(DW92:EH92)</f>
        <v>219330.16011914256</v>
      </c>
      <c r="EJ92">
        <f>EI92+DR92+DL92</f>
        <v>37771248.230001628</v>
      </c>
      <c r="EK92">
        <f>EJ92+DF92</f>
        <v>38493085.717146382</v>
      </c>
      <c r="EL92">
        <f>EK92/(BK92*60*7200)</f>
        <v>0.89104365085986992</v>
      </c>
      <c r="EM92">
        <f>EK92/(BM92*(AM92*195.084/1000+AN92*106.42/1000+AO92*102.911/1000)*60*7200)</f>
        <v>2995.7560891351459</v>
      </c>
      <c r="EN92">
        <f>EK92/(BN92*BA92*(AP92*195.084/1000+AQ92*106.42/1000+AR92*102.911/1000)*60*7200)</f>
        <v>5421.6561042438279</v>
      </c>
    </row>
    <row r="93" spans="1:144">
      <c r="A93">
        <f>'Costing 100 Lmin Feed Orig'!A93</f>
        <v>12</v>
      </c>
      <c r="B93">
        <f>'Costing 100 Lmin Feed Orig'!B93</f>
        <v>1.54143585092054E-3</v>
      </c>
      <c r="C93">
        <f>'Costing 100 Lmin Feed Orig'!C93</f>
        <v>1.54143585092054E-3</v>
      </c>
      <c r="D93">
        <f>'Costing 100 Lmin Feed Orig'!D93</f>
        <v>3.4254130020456501E-4</v>
      </c>
      <c r="E93">
        <f>'Costing 100 Lmin Feed Orig'!E93</f>
        <v>0</v>
      </c>
      <c r="F93">
        <f>'Costing 100 Lmin Feed Orig'!F93</f>
        <v>0</v>
      </c>
      <c r="G93">
        <f>'Costing 100 Lmin Feed Orig'!G93</f>
        <v>0</v>
      </c>
      <c r="H93">
        <f>'Costing 100 Lmin Feed Orig'!H93</f>
        <v>1.7771599281349402E-5</v>
      </c>
      <c r="I93">
        <f>'Costing 100 Lmin Feed Orig'!I93</f>
        <v>6.3113732322488897E-11</v>
      </c>
      <c r="J93">
        <f>'Costing 100 Lmin Feed Orig'!J93</f>
        <v>3.37661562480901E-4</v>
      </c>
      <c r="K93">
        <f>'Costing 100 Lmin Feed Orig'!K93</f>
        <v>0.13911791568267901</v>
      </c>
      <c r="L93">
        <f>'Costing 100 Lmin Feed Orig'!L93</f>
        <v>0.140740543921716</v>
      </c>
      <c r="M93">
        <f>'Costing 100 Lmin Feed Orig'!M93</f>
        <v>4.45543656000266E-4</v>
      </c>
      <c r="N93">
        <f>'Costing 100 Lmin Feed Orig'!N93</f>
        <v>-4.7646348672047899E-15</v>
      </c>
      <c r="O93">
        <f>'Costing 100 Lmin Feed Orig'!O93</f>
        <v>-1.1300289697036E-11</v>
      </c>
      <c r="P93">
        <f>'Costing 100 Lmin Feed Orig'!P93</f>
        <v>-4.6756218688437302E-19</v>
      </c>
      <c r="Q93">
        <f>'Costing 100 Lmin Feed Orig'!Q93</f>
        <v>0.10952322309941399</v>
      </c>
      <c r="R93">
        <f>'Costing 100 Lmin Feed Orig'!R93</f>
        <v>98.575430839799395</v>
      </c>
      <c r="S93">
        <f>'Costing 100 Lmin Feed Orig'!S93</f>
        <v>500</v>
      </c>
      <c r="T93">
        <f>'Costing 100 Lmin Feed Orig'!T93</f>
        <v>95</v>
      </c>
      <c r="U93">
        <f>'Costing 100 Lmin Feed Orig'!U93</f>
        <v>1</v>
      </c>
      <c r="V93">
        <f>'Costing 100 Lmin Feed Orig'!V93</f>
        <v>0.1</v>
      </c>
      <c r="W93">
        <f>'Costing 100 Lmin Feed Orig'!W93</f>
        <v>91.304836700459305</v>
      </c>
      <c r="X93" t="str">
        <f>'Costing 100 Lmin Feed Orig'!X93</f>
        <v>ddFc</v>
      </c>
      <c r="Y93">
        <f>'Costing 100 Lmin Feed Orig'!Y93</f>
        <v>1</v>
      </c>
      <c r="Z93">
        <f>'Costing 100 Lmin Feed Orig'!Z93</f>
        <v>0.28318429382522198</v>
      </c>
      <c r="AA93">
        <f>'Costing 100 Lmin Feed Orig'!AA93</f>
        <v>0.56945642916197003</v>
      </c>
      <c r="AB93">
        <f>'Costing 100 Lmin Feed Orig'!AB93</f>
        <v>3.7698628972227502E-3</v>
      </c>
      <c r="AC93">
        <f>'Costing 100 Lmin Feed Orig'!AC93</f>
        <v>1822.2107908876901</v>
      </c>
      <c r="AD93">
        <f>'Costing 100 Lmin Feed Orig'!AD93</f>
        <v>2662.6059073104898</v>
      </c>
      <c r="AE93">
        <f>'Costing 100 Lmin Feed Orig'!AE93</f>
        <v>2401.5030938442701</v>
      </c>
      <c r="AF93">
        <f>'Costing 100 Lmin Feed Orig'!AF93</f>
        <v>5</v>
      </c>
      <c r="AG93">
        <f>'Costing 100 Lmin Feed Orig'!AG93</f>
        <v>1.6497575706444501E-3</v>
      </c>
      <c r="AH93">
        <f>'Costing 100 Lmin Feed Orig'!AH93</f>
        <v>1.66899983148883E-3</v>
      </c>
      <c r="AI93">
        <f>'Costing 100 Lmin Feed Orig'!AI93</f>
        <v>5.28356837386519E-6</v>
      </c>
      <c r="AJ93">
        <f>'Costing 100 Lmin Feed Orig'!AJ93</f>
        <v>0</v>
      </c>
      <c r="AK93">
        <f>'Costing 100 Lmin Feed Orig'!AK93</f>
        <v>0</v>
      </c>
      <c r="AL93">
        <f>'Costing 100 Lmin Feed Orig'!AL93</f>
        <v>0</v>
      </c>
      <c r="AM93">
        <f>'Costing 100 Lmin Feed Orig'!AM93</f>
        <v>1.61044680899333E-3</v>
      </c>
      <c r="AN93">
        <f>'Costing 100 Lmin Feed Orig'!AN93</f>
        <v>7.9513667548027593E-5</v>
      </c>
      <c r="AO93">
        <f>'Costing 100 Lmin Feed Orig'!AO93</f>
        <v>5.2466908500710802E-6</v>
      </c>
      <c r="AP93">
        <f>'Costing 100 Lmin Feed Orig'!AP93</f>
        <v>1.8118119800337601E-3</v>
      </c>
      <c r="AQ93">
        <f>'Costing 100 Lmin Feed Orig'!AQ93</f>
        <v>7.3258567195411697E-2</v>
      </c>
      <c r="AR93">
        <f>'Costing 100 Lmin Feed Orig'!AR93</f>
        <v>1.6996653485653601E-6</v>
      </c>
      <c r="AS93">
        <f>'Costing 100 Lmin Feed Orig'!AS93</f>
        <v>-4.4472617862639699E-17</v>
      </c>
      <c r="AT93">
        <f>'Costing 100 Lmin Feed Orig'!AT93</f>
        <v>1.89518539750466E-16</v>
      </c>
      <c r="AU93">
        <f>'Costing 100 Lmin Feed Orig'!AU93</f>
        <v>-3.4807760176231399E-20</v>
      </c>
      <c r="AV93">
        <f>'Costing 100 Lmin Feed Orig'!AV93</f>
        <v>0.20038604773893701</v>
      </c>
      <c r="AW93">
        <f>'Costing 100 Lmin Feed Orig'!AW93</f>
        <v>99.302033754753197</v>
      </c>
      <c r="AX93">
        <f>'Costing 100 Lmin Feed Orig'!AX93</f>
        <v>500</v>
      </c>
      <c r="AY93">
        <f>'Costing 100 Lmin Feed Orig'!AY93</f>
        <v>95</v>
      </c>
      <c r="AZ93">
        <f>'Costing 100 Lmin Feed Orig'!AZ93</f>
        <v>0.92356857683566096</v>
      </c>
      <c r="BA93">
        <f>'Costing 100 Lmin Feed Orig'!BA93</f>
        <v>0.1</v>
      </c>
      <c r="BB93">
        <f>'Costing 100 Lmin Feed Orig'!BB93</f>
        <v>46.089465172689103</v>
      </c>
      <c r="BC93" t="str">
        <f>'Costing 100 Lmin Feed Orig'!BC93</f>
        <v>coeFc</v>
      </c>
      <c r="BD93">
        <f>'Costing 100 Lmin Feed Orig'!BD93</f>
        <v>1</v>
      </c>
      <c r="BE93">
        <f>'Costing 100 Lmin Feed Orig'!BE93</f>
        <v>1.8775014999999999E-2</v>
      </c>
      <c r="BF93">
        <f>'Costing 100 Lmin Feed Orig'!BF93</f>
        <v>0.10492961100000001</v>
      </c>
      <c r="BG93">
        <f>'Costing 100 Lmin Feed Orig'!BG93</f>
        <v>1.814625E-3</v>
      </c>
      <c r="BH93">
        <f>'Costing 100 Lmin Feed Orig'!BH93</f>
        <v>285.1951444</v>
      </c>
      <c r="BI93">
        <f>'Costing 100 Lmin Feed Orig'!BI93</f>
        <v>2169.8944889999998</v>
      </c>
      <c r="BJ93">
        <f>'Costing 100 Lmin Feed Orig'!BJ93</f>
        <v>866.49409060000005</v>
      </c>
      <c r="BK93">
        <f>'Costing 100 Lmin Feed Orig'!BK93</f>
        <v>100</v>
      </c>
      <c r="BL93">
        <f>'Costing 100 Lmin Feed Orig'!BL93</f>
        <v>10.952322309941399</v>
      </c>
      <c r="BM93">
        <f>'Costing 100 Lmin Feed Orig'!BM93</f>
        <v>92.356857683566091</v>
      </c>
      <c r="BN93">
        <f>'Costing 100 Lmin Feed Orig'!BN93</f>
        <v>20.038604773893702</v>
      </c>
      <c r="BO93">
        <f t="shared" si="20"/>
        <v>306.6650246783592</v>
      </c>
      <c r="BP93">
        <f t="shared" si="21"/>
        <v>280.54046683451185</v>
      </c>
      <c r="BQ93">
        <f t="shared" si="22"/>
        <v>30.666502467835922</v>
      </c>
      <c r="BR93">
        <f t="shared" si="23"/>
        <v>28.054046683451187</v>
      </c>
      <c r="BS93">
        <f>1.2*0.5*BL93*V93/'Oxidant Feed Composition'!$N$22</f>
        <v>6.5713933859648392</v>
      </c>
      <c r="BT93">
        <f>1.2*0.5*BN93*BA93/'Oxidant Feed Composition'!$N$22</f>
        <v>12.023162864336223</v>
      </c>
      <c r="BU93">
        <f t="shared" si="24"/>
        <v>5.4761611549706997</v>
      </c>
      <c r="BV93">
        <f t="shared" si="25"/>
        <v>10.019302386946851</v>
      </c>
      <c r="BW93">
        <f t="shared" si="26"/>
        <v>86.880696528595394</v>
      </c>
      <c r="BX93">
        <f t="shared" si="19"/>
        <v>35.047431391812481</v>
      </c>
      <c r="BY93">
        <f t="shared" si="27"/>
        <v>206.61835998701497</v>
      </c>
      <c r="BZ93">
        <f t="shared" si="28"/>
        <v>64.123535276459847</v>
      </c>
      <c r="CA93">
        <f t="shared" si="29"/>
        <v>60.115814321681107</v>
      </c>
      <c r="CB93">
        <f>BO93*'Reagent cost'!$G$11*'Reagent cost'!$H$11</f>
        <v>4047.9783257543413</v>
      </c>
      <c r="CC93">
        <f>BP93*'Reagent cost'!$G$11*'Reagent cost'!$H$11</f>
        <v>3703.1341622155564</v>
      </c>
      <c r="CD93">
        <f>BQ93*'Reagent cost'!$C$18/1000*'Reagent cost'!$H$18</f>
        <v>4890.707695899031</v>
      </c>
      <c r="CE93">
        <f>BR93*'Ligand cost'!$B$56*'Ligand cost'!$J$56</f>
        <v>28562.602921442158</v>
      </c>
      <c r="CF93">
        <f t="shared" si="30"/>
        <v>10</v>
      </c>
      <c r="CG93">
        <f t="shared" si="31"/>
        <v>2.19046446198828</v>
      </c>
      <c r="CH93">
        <f t="shared" si="31"/>
        <v>4.0077209547787405</v>
      </c>
      <c r="CI93">
        <f>7963.6*(BX93/1000)^0.6*1.7*('CAPEX+OPEX'!$G$116/'CAPEX+OPEX'!$G$115)</f>
        <v>2138.1326451989207</v>
      </c>
      <c r="CJ93">
        <f>7963.6*(BY93/1000)^0.6*1.7*('CAPEX+OPEX'!$G$116/'CAPEX+OPEX'!$G$115)</f>
        <v>6199.2945816251477</v>
      </c>
      <c r="CK93">
        <f>7963.6*(BZ93/1000)^0.6*1.7*('CAPEX+OPEX'!$G$116/'CAPEX+OPEX'!$G$115)</f>
        <v>3072.2135668030037</v>
      </c>
      <c r="CL93">
        <f>7963.6*(CA93/1000)^0.6*1.7*('CAPEX+OPEX'!$G$116/'CAPEX+OPEX'!$G$115)</f>
        <v>2955.5218097430356</v>
      </c>
      <c r="CM93">
        <f>'Costing 100 Lmin Feed Orig'!DE93</f>
        <v>39625.826528698344</v>
      </c>
      <c r="CN93">
        <f>'Costing 100 Lmin Feed Orig'!DF93</f>
        <v>4586243.4239371875</v>
      </c>
      <c r="CO93">
        <f>'Costing 100 Lmin Feed Orig'!DG93</f>
        <v>11794834.586807497</v>
      </c>
      <c r="CP93">
        <f>'Costing 100 Lmin Feed Orig'!DH93</f>
        <v>2275209.1661185985</v>
      </c>
      <c r="CQ93">
        <f>'Costing 100 Lmin Feed Orig'!DI93</f>
        <v>14083914.336508472</v>
      </c>
      <c r="CR93">
        <f>'Costing 100 Lmin Feed Orig'!DJ93</f>
        <v>1662824.8986326549</v>
      </c>
      <c r="CS93">
        <f>CN93*(BK93/10000)^0.72*((A93+1)/3)^0.6*('CAPEX+OPEX'!$G$116/'CAPEX+OPEX'!$G$114)</f>
        <v>936765.86395108781</v>
      </c>
      <c r="CT93">
        <f>CO93*(BK93/10000)^0.72*((A93+1)/3)^0.6*('CAPEX+OPEX'!$G$116/'CAPEX+OPEX'!$G$114)</f>
        <v>2409160.916797909</v>
      </c>
      <c r="CU93">
        <f>CP93*(BK93/10000)^0.72*((A93+1)/3)^0.6*('CAPEX+OPEX'!$G$116/'CAPEX+OPEX'!$G$114)</f>
        <v>464724.19432521454</v>
      </c>
      <c r="CV93">
        <f>CQ93*(BK93/10000)^0.72*((A93+1)/3)^0.6*('CAPEX+OPEX'!$G$116/'CAPEX+OPEX'!$G$114)</f>
        <v>2876718.2553791031</v>
      </c>
      <c r="CW93">
        <f>CR93*(BK93/10000)^0.72*((A93+1)/3)^0.6*('CAPEX+OPEX'!$G$116/'CAPEX+OPEX'!$G$114)</f>
        <v>339641.28346021532</v>
      </c>
      <c r="CX93">
        <f t="shared" si="32"/>
        <v>7027010.5139135299</v>
      </c>
      <c r="CY93">
        <f>CN93*(BM93/10000)^0.72*((AF93+1)/3)^0.6*('CAPEX+OPEX'!$G$116/'CAPEX+OPEX'!$G$114)</f>
        <v>556280.17433304957</v>
      </c>
      <c r="CZ93">
        <f>CO93*(BM93/10000)^0.72*((AF93+1)/3)^0.6*('CAPEX+OPEX'!$G$116/'CAPEX+OPEX'!$G$114)</f>
        <v>1430633.3165687236</v>
      </c>
      <c r="DA93">
        <f>CP93*(BM93/10000)^0.72*((AF93+1)/3)^0.6*('CAPEX+OPEX'!$G$116/'CAPEX+OPEX'!$G$114)</f>
        <v>275967.41702952847</v>
      </c>
      <c r="DB93">
        <f>CQ93*(BM93/10000)^0.72*((AF93+1)/3)^0.6*('CAPEX+OPEX'!$G$116/'CAPEX+OPEX'!$G$114)</f>
        <v>1708283.1411680363</v>
      </c>
      <c r="DC93">
        <f>CR93*(BM93/10000)^0.72*((AF93+1)/3)^0.6*('CAPEX+OPEX'!$G$116/'CAPEX+OPEX'!$G$114)</f>
        <v>201689.36512807687</v>
      </c>
      <c r="DD93">
        <f t="shared" si="33"/>
        <v>4172853.4142274149</v>
      </c>
      <c r="DE93">
        <f>CX93+DD93+1.15*(SUM(CI93:CL93)+SUM(CB93:CE93))</f>
        <v>11263768.951705929</v>
      </c>
      <c r="DF93">
        <f t="shared" si="34"/>
        <v>750917.93011372862</v>
      </c>
      <c r="DG93">
        <f>(BS93+BT93)*'Oxidant Feed Composition'!$N$28*60*7200</f>
        <v>20674077.728572261</v>
      </c>
      <c r="DH93">
        <f>((CG93+CH93)*'Reagent cost'!$C$17/1000*'Reagent cost'!$H$17+(CG93+CH93)*0.5*'Reagent cost'!$C$16/1000*'Reagent cost'!$H$16*1.5)*60*7200</f>
        <v>8795446.7535029072</v>
      </c>
      <c r="DI93">
        <f>CF93*'Reagent cost'!$C$17/1000*'Reagent cost'!$H$17*60*7200</f>
        <v>504921.59999999998</v>
      </c>
      <c r="DJ93">
        <f t="shared" si="35"/>
        <v>77.511124879698983</v>
      </c>
      <c r="DK93">
        <f t="shared" si="36"/>
        <v>669.0662123468237</v>
      </c>
      <c r="DL93">
        <f t="shared" si="37"/>
        <v>35970231.191294879</v>
      </c>
      <c r="DM93">
        <f>BK93*(B93*(409.81+2)/1000+C93*(248.2+2*22.99)/1000+D93*(315.6+3*22.99)/1000+0.1*58.44/1000)</f>
        <v>0.70639694042110623</v>
      </c>
      <c r="DN93">
        <f>(BS93+BT93)/1000*('Oxidant Feed Composition'!$B$11*'Oxidant Feed Composition'!$O$20+'Oxidant Feed Composition'!$D$11*'Oxidant Feed Composition'!$O$21+'Oxidant Feed Composition'!$F$11*'Oxidant Feed Composition'!$O$27-'Oxidant Feed Composition'!$J$15*18.015)</f>
        <v>2.1715566981955337</v>
      </c>
      <c r="DO93">
        <f>(BU93+BV93)/1000*(0.2*368.34+0.4*58.44)</f>
        <v>1.5037417639618469</v>
      </c>
      <c r="DP93">
        <f>BK93/1000*(B93*195.08+C93*106.42+D93*102.91)</f>
        <v>4.999938342565946E-2</v>
      </c>
      <c r="DQ93">
        <f>SUM(DM93:DO93)-DP93</f>
        <v>4.3316960191528269</v>
      </c>
      <c r="DR93">
        <f>DQ93*60*7200*0.33</f>
        <v>617526.58449042705</v>
      </c>
      <c r="DS93">
        <v>1.2</v>
      </c>
      <c r="DT93">
        <f>BM93/60*(AM93*4+AN93*2+AO93*3)*96485/DV93</f>
        <v>1403.8204430995365</v>
      </c>
      <c r="DU93">
        <f>BN93*BA93*(AP93*4+AQ93*2+AR93*3)*96485/DV93/60</f>
        <v>707.86125193843873</v>
      </c>
      <c r="DV93">
        <v>0.7</v>
      </c>
      <c r="DW93">
        <f>0.499*((BK93/3.78541*15)^(-0.146))*BK93/3.78541*15*300*(1+(A93-2)/9)</f>
        <v>52288.524762496963</v>
      </c>
      <c r="DX93">
        <f>0.248*((BK93/3.78541*15)^(-0.144))*BK93/3.78541*15*300*(1+(A93-2)/3)</f>
        <v>53983.928663982973</v>
      </c>
      <c r="DY93">
        <f>0.105*((BK93/3.78541*15)^(-0.144))*BK93/3.78541*15*300*(1+(A93-2)/3)</f>
        <v>22856.098829508919</v>
      </c>
      <c r="DZ93">
        <f>0.058*((BK93/3.78541*15)^(-0.151))*BK93/3.78541*15*300*(1+(A93-2)/3)</f>
        <v>12107.513206066582</v>
      </c>
      <c r="EA93">
        <f>0.056*((BK93/3.78541*15)^(-0.144))*BK93/3.78541*15*300*(1+(A93-2)/3)</f>
        <v>12189.919375738094</v>
      </c>
      <c r="EB93">
        <f>DS93*DT93/(3.6*10^6)*3600*7200*0.07</f>
        <v>849.03060398659966</v>
      </c>
      <c r="EC93">
        <f>0.499*((BM93/3.78541*15)^(-0.146))*BM93/3.78541*15*300*(1+(AF93-2)/9)</f>
        <v>30856.35957103952</v>
      </c>
      <c r="ED93">
        <f>0.248*((BM93/3.78541*15)^(-0.144))*BM93/3.78541*15*300*(1+(AF93-2)/3)</f>
        <v>23276.301604922155</v>
      </c>
      <c r="EE93">
        <f>0.105*((BM93/3.78541*15)^(-0.144))*BM93/3.78541*15*300*(1+(AF93-2)/3)</f>
        <v>9854.8857601484906</v>
      </c>
      <c r="EF93">
        <f>0.058*((BM93/3.78541*15)^(-0.151))*BM93/3.78541*15*300*(1+(AF93-2)/3)</f>
        <v>5223.3142652876058</v>
      </c>
      <c r="EG93">
        <f>0.056*((BM93/3.78541*15)^(-0.144))*BM93/3.78541*15*300*(1+(AF93-2)/3)</f>
        <v>5255.9390720791962</v>
      </c>
      <c r="EH93">
        <f>DS93*DU93/(3.6*10^6)*3600*7200*0.07</f>
        <v>428.11448517236784</v>
      </c>
      <c r="EI93">
        <f>SUM(DW93:EH93)</f>
        <v>229169.93020042952</v>
      </c>
      <c r="EJ93">
        <f>EI93+DR93+DL93</f>
        <v>36816927.705985732</v>
      </c>
      <c r="EK93">
        <f>EJ93+DF93</f>
        <v>37567845.636099458</v>
      </c>
      <c r="EL93">
        <f>EK93/(BK93*60*7200)</f>
        <v>0.86962605639119117</v>
      </c>
      <c r="EM93">
        <f>EK93/(BM93*(AM93*195.084/1000+AN93*106.42/1000+AO93*102.911/1000)*60*7200)</f>
        <v>2913.5785025007149</v>
      </c>
      <c r="EN93">
        <f>EK93/(BN93*BA93*(AP93*195.084/1000+AQ93*106.42/1000+AR93*102.911/1000)*60*7200)</f>
        <v>5324.9769408214052</v>
      </c>
    </row>
    <row r="94" spans="1:144">
      <c r="A94">
        <f>'Costing 100 Lmin Feed Orig'!A94</f>
        <v>12</v>
      </c>
      <c r="B94">
        <f>'Costing 100 Lmin Feed Orig'!B94</f>
        <v>1.54143585092054E-3</v>
      </c>
      <c r="C94">
        <f>'Costing 100 Lmin Feed Orig'!C94</f>
        <v>1.54143585092054E-3</v>
      </c>
      <c r="D94">
        <f>'Costing 100 Lmin Feed Orig'!D94</f>
        <v>3.4254130020456501E-4</v>
      </c>
      <c r="E94">
        <f>'Costing 100 Lmin Feed Orig'!E94</f>
        <v>0</v>
      </c>
      <c r="F94">
        <f>'Costing 100 Lmin Feed Orig'!F94</f>
        <v>0</v>
      </c>
      <c r="G94">
        <f>'Costing 100 Lmin Feed Orig'!G94</f>
        <v>0</v>
      </c>
      <c r="H94">
        <f>'Costing 100 Lmin Feed Orig'!H94</f>
        <v>1.7771599281349402E-5</v>
      </c>
      <c r="I94">
        <f>'Costing 100 Lmin Feed Orig'!I94</f>
        <v>6.3113732322488897E-11</v>
      </c>
      <c r="J94">
        <f>'Costing 100 Lmin Feed Orig'!J94</f>
        <v>3.37661562480901E-4</v>
      </c>
      <c r="K94">
        <f>'Costing 100 Lmin Feed Orig'!K94</f>
        <v>0.13911791568267901</v>
      </c>
      <c r="L94">
        <f>'Costing 100 Lmin Feed Orig'!L94</f>
        <v>0.140740543921716</v>
      </c>
      <c r="M94">
        <f>'Costing 100 Lmin Feed Orig'!M94</f>
        <v>4.45543656000266E-4</v>
      </c>
      <c r="N94">
        <f>'Costing 100 Lmin Feed Orig'!N94</f>
        <v>-4.7646348672047899E-15</v>
      </c>
      <c r="O94">
        <f>'Costing 100 Lmin Feed Orig'!O94</f>
        <v>-1.1300289697036E-11</v>
      </c>
      <c r="P94">
        <f>'Costing 100 Lmin Feed Orig'!P94</f>
        <v>-4.6756218688437302E-19</v>
      </c>
      <c r="Q94">
        <f>'Costing 100 Lmin Feed Orig'!Q94</f>
        <v>0.10952322309941399</v>
      </c>
      <c r="R94">
        <f>'Costing 100 Lmin Feed Orig'!R94</f>
        <v>98.575430839799395</v>
      </c>
      <c r="S94">
        <f>'Costing 100 Lmin Feed Orig'!S94</f>
        <v>500</v>
      </c>
      <c r="T94">
        <f>'Costing 100 Lmin Feed Orig'!T94</f>
        <v>95</v>
      </c>
      <c r="U94">
        <f>'Costing 100 Lmin Feed Orig'!U94</f>
        <v>1</v>
      </c>
      <c r="V94">
        <f>'Costing 100 Lmin Feed Orig'!V94</f>
        <v>0.1</v>
      </c>
      <c r="W94">
        <f>'Costing 100 Lmin Feed Orig'!W94</f>
        <v>91.304836700459305</v>
      </c>
      <c r="X94" t="str">
        <f>'Costing 100 Lmin Feed Orig'!X94</f>
        <v>ddFc</v>
      </c>
      <c r="Y94">
        <f>'Costing 100 Lmin Feed Orig'!Y94</f>
        <v>1</v>
      </c>
      <c r="Z94">
        <f>'Costing 100 Lmin Feed Orig'!Z94</f>
        <v>0.28318429382522198</v>
      </c>
      <c r="AA94">
        <f>'Costing 100 Lmin Feed Orig'!AA94</f>
        <v>0.56945642916197003</v>
      </c>
      <c r="AB94">
        <f>'Costing 100 Lmin Feed Orig'!AB94</f>
        <v>3.7698628972227502E-3</v>
      </c>
      <c r="AC94">
        <f>'Costing 100 Lmin Feed Orig'!AC94</f>
        <v>1822.2107908876901</v>
      </c>
      <c r="AD94">
        <f>'Costing 100 Lmin Feed Orig'!AD94</f>
        <v>2662.6059073104898</v>
      </c>
      <c r="AE94">
        <f>'Costing 100 Lmin Feed Orig'!AE94</f>
        <v>2401.5030938442701</v>
      </c>
      <c r="AF94">
        <f>'Costing 100 Lmin Feed Orig'!AF94</f>
        <v>6</v>
      </c>
      <c r="AG94">
        <f>'Costing 100 Lmin Feed Orig'!AG94</f>
        <v>1.6497575706444501E-3</v>
      </c>
      <c r="AH94">
        <f>'Costing 100 Lmin Feed Orig'!AH94</f>
        <v>1.66899983148883E-3</v>
      </c>
      <c r="AI94">
        <f>'Costing 100 Lmin Feed Orig'!AI94</f>
        <v>5.28356837386519E-6</v>
      </c>
      <c r="AJ94">
        <f>'Costing 100 Lmin Feed Orig'!AJ94</f>
        <v>0</v>
      </c>
      <c r="AK94">
        <f>'Costing 100 Lmin Feed Orig'!AK94</f>
        <v>0</v>
      </c>
      <c r="AL94">
        <f>'Costing 100 Lmin Feed Orig'!AL94</f>
        <v>0</v>
      </c>
      <c r="AM94">
        <f>'Costing 100 Lmin Feed Orig'!AM94</f>
        <v>1.6121282837362799E-3</v>
      </c>
      <c r="AN94">
        <f>'Costing 100 Lmin Feed Orig'!AN94</f>
        <v>7.9600650767137996E-5</v>
      </c>
      <c r="AO94">
        <f>'Costing 100 Lmin Feed Orig'!AO94</f>
        <v>5.2482064740735796E-6</v>
      </c>
      <c r="AP94">
        <f>'Costing 100 Lmin Feed Orig'!AP94</f>
        <v>1.7562196007610399E-3</v>
      </c>
      <c r="AQ94">
        <f>'Costing 100 Lmin Feed Orig'!AQ94</f>
        <v>7.4179827043465804E-2</v>
      </c>
      <c r="AR94">
        <f>'Costing 100 Lmin Feed Orig'!AR94</f>
        <v>1.6503969816312101E-6</v>
      </c>
      <c r="AS94">
        <f>'Costing 100 Lmin Feed Orig'!AS94</f>
        <v>-1.9447876468958701E-18</v>
      </c>
      <c r="AT94">
        <f>'Costing 100 Lmin Feed Orig'!AT94</f>
        <v>-1.4658413372004E-16</v>
      </c>
      <c r="AU94">
        <f>'Costing 100 Lmin Feed Orig'!AU94</f>
        <v>-2.85211875208283E-21</v>
      </c>
      <c r="AV94">
        <f>'Costing 100 Lmin Feed Orig'!AV94</f>
        <v>0.19788656806963401</v>
      </c>
      <c r="AW94">
        <f>'Costing 100 Lmin Feed Orig'!AW94</f>
        <v>99.330719368248694</v>
      </c>
      <c r="AX94">
        <f>'Costing 100 Lmin Feed Orig'!AX94</f>
        <v>500</v>
      </c>
      <c r="AY94">
        <f>'Costing 100 Lmin Feed Orig'!AY94</f>
        <v>95</v>
      </c>
      <c r="AZ94">
        <f>'Costing 100 Lmin Feed Orig'!AZ94</f>
        <v>0.92356857683566096</v>
      </c>
      <c r="BA94">
        <f>'Costing 100 Lmin Feed Orig'!BA94</f>
        <v>0.1</v>
      </c>
      <c r="BB94">
        <f>'Costing 100 Lmin Feed Orig'!BB94</f>
        <v>46.671615251352797</v>
      </c>
      <c r="BC94" t="str">
        <f>'Costing 100 Lmin Feed Orig'!BC94</f>
        <v>coeFc</v>
      </c>
      <c r="BD94">
        <f>'Costing 100 Lmin Feed Orig'!BD94</f>
        <v>1</v>
      </c>
      <c r="BE94">
        <f>'Costing 100 Lmin Feed Orig'!BE94</f>
        <v>1.8775014999999999E-2</v>
      </c>
      <c r="BF94">
        <f>'Costing 100 Lmin Feed Orig'!BF94</f>
        <v>0.10492961100000001</v>
      </c>
      <c r="BG94">
        <f>'Costing 100 Lmin Feed Orig'!BG94</f>
        <v>1.814625E-3</v>
      </c>
      <c r="BH94">
        <f>'Costing 100 Lmin Feed Orig'!BH94</f>
        <v>285.1951444</v>
      </c>
      <c r="BI94">
        <f>'Costing 100 Lmin Feed Orig'!BI94</f>
        <v>2169.8944889999998</v>
      </c>
      <c r="BJ94">
        <f>'Costing 100 Lmin Feed Orig'!BJ94</f>
        <v>866.49409060000005</v>
      </c>
      <c r="BK94">
        <f>'Costing 100 Lmin Feed Orig'!BK94</f>
        <v>100</v>
      </c>
      <c r="BL94">
        <f>'Costing 100 Lmin Feed Orig'!BL94</f>
        <v>10.952322309941399</v>
      </c>
      <c r="BM94">
        <f>'Costing 100 Lmin Feed Orig'!BM94</f>
        <v>92.356857683566091</v>
      </c>
      <c r="BN94">
        <f>'Costing 100 Lmin Feed Orig'!BN94</f>
        <v>19.788656806963402</v>
      </c>
      <c r="BO94">
        <f t="shared" si="20"/>
        <v>306.6650246783592</v>
      </c>
      <c r="BP94">
        <f t="shared" si="21"/>
        <v>316.61850891141444</v>
      </c>
      <c r="BQ94">
        <f t="shared" si="22"/>
        <v>30.666502467835922</v>
      </c>
      <c r="BR94">
        <f t="shared" si="23"/>
        <v>31.661850891141444</v>
      </c>
      <c r="BS94">
        <f>1.2*0.5*BL94*V94/'Oxidant Feed Composition'!$N$22</f>
        <v>6.5713933859648392</v>
      </c>
      <c r="BT94">
        <f>1.2*0.5*BN94*BA94/'Oxidant Feed Composition'!$N$22</f>
        <v>11.87319408417804</v>
      </c>
      <c r="BU94">
        <f t="shared" si="24"/>
        <v>5.4761611549706997</v>
      </c>
      <c r="BV94">
        <f t="shared" si="25"/>
        <v>9.8943284034817012</v>
      </c>
      <c r="BW94">
        <f t="shared" si="26"/>
        <v>86.880696528595394</v>
      </c>
      <c r="BX94">
        <f t="shared" si="19"/>
        <v>35.047431391812481</v>
      </c>
      <c r="BY94">
        <f t="shared" si="27"/>
        <v>206.61835998701497</v>
      </c>
      <c r="BZ94">
        <f t="shared" si="28"/>
        <v>63.323701782282882</v>
      </c>
      <c r="CA94">
        <f t="shared" si="29"/>
        <v>59.365970420890207</v>
      </c>
      <c r="CB94">
        <f>BO94*'Reagent cost'!$G$11*'Reagent cost'!$H$11</f>
        <v>4047.9783257543413</v>
      </c>
      <c r="CC94">
        <f>BP94*'Reagent cost'!$G$11*'Reagent cost'!$H$11</f>
        <v>4179.3643176306714</v>
      </c>
      <c r="CD94">
        <f>BQ94*'Reagent cost'!$C$18/1000*'Reagent cost'!$H$18</f>
        <v>4890.707695899031</v>
      </c>
      <c r="CE94">
        <f>BR94*'Ligand cost'!$B$56*'Ligand cost'!$J$56</f>
        <v>32235.808436686144</v>
      </c>
      <c r="CF94">
        <f t="shared" si="30"/>
        <v>10</v>
      </c>
      <c r="CG94">
        <f t="shared" si="31"/>
        <v>2.19046446198828</v>
      </c>
      <c r="CH94">
        <f t="shared" si="31"/>
        <v>3.9577313613926806</v>
      </c>
      <c r="CI94">
        <f>7963.6*(BX94/1000)^0.6*1.7*('CAPEX+OPEX'!$G$116/'CAPEX+OPEX'!$G$115)</f>
        <v>2138.1326451989207</v>
      </c>
      <c r="CJ94">
        <f>7963.6*(BY94/1000)^0.6*1.7*('CAPEX+OPEX'!$G$116/'CAPEX+OPEX'!$G$115)</f>
        <v>6199.2945816251477</v>
      </c>
      <c r="CK94">
        <f>7963.6*(BZ94/1000)^0.6*1.7*('CAPEX+OPEX'!$G$116/'CAPEX+OPEX'!$G$115)</f>
        <v>3049.1634468413222</v>
      </c>
      <c r="CL94">
        <f>7963.6*(CA94/1000)^0.6*1.7*('CAPEX+OPEX'!$G$116/'CAPEX+OPEX'!$G$115)</f>
        <v>2933.3472015061366</v>
      </c>
      <c r="CM94">
        <f>'Costing 100 Lmin Feed Orig'!DE94</f>
        <v>39625.826528698344</v>
      </c>
      <c r="CN94">
        <f>'Costing 100 Lmin Feed Orig'!DF94</f>
        <v>4586243.4239371875</v>
      </c>
      <c r="CO94">
        <f>'Costing 100 Lmin Feed Orig'!DG94</f>
        <v>11794834.586807497</v>
      </c>
      <c r="CP94">
        <f>'Costing 100 Lmin Feed Orig'!DH94</f>
        <v>2275209.1661185985</v>
      </c>
      <c r="CQ94">
        <f>'Costing 100 Lmin Feed Orig'!DI94</f>
        <v>14083914.336508472</v>
      </c>
      <c r="CR94">
        <f>'Costing 100 Lmin Feed Orig'!DJ94</f>
        <v>1662824.8986326549</v>
      </c>
      <c r="CS94">
        <f>CN94*(BK94/10000)^0.72*((A94+1)/3)^0.6*('CAPEX+OPEX'!$G$116/'CAPEX+OPEX'!$G$114)</f>
        <v>936765.86395108781</v>
      </c>
      <c r="CT94">
        <f>CO94*(BK94/10000)^0.72*((A94+1)/3)^0.6*('CAPEX+OPEX'!$G$116/'CAPEX+OPEX'!$G$114)</f>
        <v>2409160.916797909</v>
      </c>
      <c r="CU94">
        <f>CP94*(BK94/10000)^0.72*((A94+1)/3)^0.6*('CAPEX+OPEX'!$G$116/'CAPEX+OPEX'!$G$114)</f>
        <v>464724.19432521454</v>
      </c>
      <c r="CV94">
        <f>CQ94*(BK94/10000)^0.72*((A94+1)/3)^0.6*('CAPEX+OPEX'!$G$116/'CAPEX+OPEX'!$G$114)</f>
        <v>2876718.2553791031</v>
      </c>
      <c r="CW94">
        <f>CR94*(BK94/10000)^0.72*((A94+1)/3)^0.6*('CAPEX+OPEX'!$G$116/'CAPEX+OPEX'!$G$114)</f>
        <v>339641.28346021532</v>
      </c>
      <c r="CX94">
        <f t="shared" si="32"/>
        <v>7027010.5139135299</v>
      </c>
      <c r="CY94">
        <f>CN94*(BM94/10000)^0.72*((AF94+1)/3)^0.6*('CAPEX+OPEX'!$G$116/'CAPEX+OPEX'!$G$114)</f>
        <v>610185.18062781263</v>
      </c>
      <c r="CZ94">
        <f>CO94*(BM94/10000)^0.72*((AF94+1)/3)^0.6*('CAPEX+OPEX'!$G$116/'CAPEX+OPEX'!$G$114)</f>
        <v>1569265.4330693621</v>
      </c>
      <c r="DA94">
        <f>CP94*(BM94/10000)^0.72*((AF94+1)/3)^0.6*('CAPEX+OPEX'!$G$116/'CAPEX+OPEX'!$G$114)</f>
        <v>302709.38274844305</v>
      </c>
      <c r="DB94">
        <f>CQ94*(BM94/10000)^0.72*((AF94+1)/3)^0.6*('CAPEX+OPEX'!$G$116/'CAPEX+OPEX'!$G$114)</f>
        <v>1873820.2530888517</v>
      </c>
      <c r="DC94">
        <f>CR94*(BM94/10000)^0.72*((AF94+1)/3)^0.6*('CAPEX+OPEX'!$G$116/'CAPEX+OPEX'!$G$114)</f>
        <v>221233.59301621036</v>
      </c>
      <c r="DD94">
        <f t="shared" si="33"/>
        <v>4577213.84255068</v>
      </c>
      <c r="DE94">
        <f>CX94+DD94+1.15*(SUM(CI94:CL94)+SUM(CB94:CE94))</f>
        <v>11672849.222613024</v>
      </c>
      <c r="DF94">
        <f t="shared" si="34"/>
        <v>778189.94817420153</v>
      </c>
      <c r="DG94">
        <f>(BS94+BT94)*'Oxidant Feed Composition'!$N$28*60*7200</f>
        <v>20507337.195691876</v>
      </c>
      <c r="DH94">
        <f>((CG94+CH94)*'Reagent cost'!$C$17/1000*'Reagent cost'!$H$17+(CG94+CH94)*0.5*'Reagent cost'!$C$16/1000*'Reagent cost'!$H$16*1.5)*60*7200</f>
        <v>8724509.732860228</v>
      </c>
      <c r="DI94">
        <f>CF94*'Reagent cost'!$C$17/1000*'Reagent cost'!$H$17*60*7200</f>
        <v>504921.59999999998</v>
      </c>
      <c r="DJ94">
        <f t="shared" si="35"/>
        <v>82.273426433850133</v>
      </c>
      <c r="DK94">
        <f t="shared" si="36"/>
        <v>742.5303226517035</v>
      </c>
      <c r="DL94">
        <f t="shared" si="37"/>
        <v>35685111.99876143</v>
      </c>
      <c r="DM94">
        <f>BK94*(B94*(409.81+2)/1000+C94*(248.2+2*22.99)/1000+D94*(315.6+3*22.99)/1000+0.1*58.44/1000)</f>
        <v>0.70639694042110623</v>
      </c>
      <c r="DN94">
        <f>(BS94+BT94)/1000*('Oxidant Feed Composition'!$B$11*'Oxidant Feed Composition'!$O$20+'Oxidant Feed Composition'!$D$11*'Oxidant Feed Composition'!$O$21+'Oxidant Feed Composition'!$F$11*'Oxidant Feed Composition'!$O$27-'Oxidant Feed Composition'!$J$15*18.015)</f>
        <v>2.1540426631903995</v>
      </c>
      <c r="DO94">
        <f>(BU94+BV94)/1000*(0.2*368.34+0.4*58.44)</f>
        <v>1.4916137887104548</v>
      </c>
      <c r="DP94">
        <f>BK94/1000*(B94*195.08+C94*106.42+D94*102.91)</f>
        <v>4.999938342565946E-2</v>
      </c>
      <c r="DQ94">
        <f>SUM(DM94:DO94)-DP94</f>
        <v>4.3020540088963006</v>
      </c>
      <c r="DR94">
        <f>DQ94*60*7200*0.33</f>
        <v>613300.81950825662</v>
      </c>
      <c r="DS94">
        <v>1.2</v>
      </c>
      <c r="DT94">
        <f>BM94/60*(AM94*4+AN94*2+AO94*3)*96485/DV94</f>
        <v>1405.285337690628</v>
      </c>
      <c r="DU94">
        <f>BN94*BA94*(AP94*4+AQ94*2+AR94*3)*96485/DV94/60</f>
        <v>706.39635734745946</v>
      </c>
      <c r="DV94">
        <v>0.7</v>
      </c>
      <c r="DW94">
        <f>0.499*((BK94/3.78541*15)^(-0.146))*BK94/3.78541*15*300*(1+(A94-2)/9)</f>
        <v>52288.524762496963</v>
      </c>
      <c r="DX94">
        <f>0.248*((BK94/3.78541*15)^(-0.144))*BK94/3.78541*15*300*(1+(A94-2)/3)</f>
        <v>53983.928663982973</v>
      </c>
      <c r="DY94">
        <f>0.105*((BK94/3.78541*15)^(-0.144))*BK94/3.78541*15*300*(1+(A94-2)/3)</f>
        <v>22856.098829508919</v>
      </c>
      <c r="DZ94">
        <f>0.058*((BK94/3.78541*15)^(-0.151))*BK94/3.78541*15*300*(1+(A94-2)/3)</f>
        <v>12107.513206066582</v>
      </c>
      <c r="EA94">
        <f>0.056*((BK94/3.78541*15)^(-0.144))*BK94/3.78541*15*300*(1+(A94-2)/3)</f>
        <v>12189.919375738094</v>
      </c>
      <c r="EB94">
        <f>DS94*DT94/(3.6*10^6)*3600*7200*0.07</f>
        <v>849.91657223529182</v>
      </c>
      <c r="EC94">
        <f>0.499*((BM94/3.78541*15)^(-0.146))*BM94/3.78541*15*300*(1+(AF94-2)/9)</f>
        <v>33427.722868626144</v>
      </c>
      <c r="ED94">
        <f>0.248*((BM94/3.78541*15)^(-0.144))*BM94/3.78541*15*300*(1+(AF94-2)/3)</f>
        <v>27155.685205742509</v>
      </c>
      <c r="EE94">
        <f>0.105*((BM94/3.78541*15)^(-0.144))*BM94/3.78541*15*300*(1+(AF94-2)/3)</f>
        <v>11497.366720173237</v>
      </c>
      <c r="EF94">
        <f>0.058*((BM94/3.78541*15)^(-0.151))*BM94/3.78541*15*300*(1+(AF94-2)/3)</f>
        <v>6093.8666428355391</v>
      </c>
      <c r="EG94">
        <f>0.056*((BM94/3.78541*15)^(-0.144))*BM94/3.78541*15*300*(1+(AF94-2)/3)</f>
        <v>6131.9289174257283</v>
      </c>
      <c r="EH94">
        <f>DS94*DU94/(3.6*10^6)*3600*7200*0.07</f>
        <v>427.22851692374354</v>
      </c>
      <c r="EI94">
        <f>SUM(DW94:EH94)</f>
        <v>239009.70028175577</v>
      </c>
      <c r="EJ94">
        <f>EI94+DR94+DL94</f>
        <v>36537422.518551439</v>
      </c>
      <c r="EK94">
        <f>EJ94+DF94</f>
        <v>37315612.46672564</v>
      </c>
      <c r="EL94">
        <f>EK94/(BK94*60*7200)</f>
        <v>0.86378732561864913</v>
      </c>
      <c r="EM94">
        <f>EK94/(BM94*(AM94*195.084/1000+AN94*106.42/1000+AO94*102.911/1000)*60*7200)</f>
        <v>2890.99790218626</v>
      </c>
      <c r="EN94">
        <f>EK94/(BN94*BA94*(AP94*195.084/1000+AQ94*106.42/1000+AR94*102.911/1000)*60*7200)</f>
        <v>5299.3375405999805</v>
      </c>
    </row>
    <row r="95" spans="1:144">
      <c r="A95">
        <f>'Costing 100 Lmin Feed Orig'!A95</f>
        <v>12</v>
      </c>
      <c r="B95">
        <f>'Costing 100 Lmin Feed Orig'!B95</f>
        <v>1.54143585092054E-3</v>
      </c>
      <c r="C95">
        <f>'Costing 100 Lmin Feed Orig'!C95</f>
        <v>1.54143585092054E-3</v>
      </c>
      <c r="D95">
        <f>'Costing 100 Lmin Feed Orig'!D95</f>
        <v>3.4254130020456501E-4</v>
      </c>
      <c r="E95">
        <f>'Costing 100 Lmin Feed Orig'!E95</f>
        <v>0</v>
      </c>
      <c r="F95">
        <f>'Costing 100 Lmin Feed Orig'!F95</f>
        <v>0</v>
      </c>
      <c r="G95">
        <f>'Costing 100 Lmin Feed Orig'!G95</f>
        <v>0</v>
      </c>
      <c r="H95">
        <f>'Costing 100 Lmin Feed Orig'!H95</f>
        <v>1.7771599281349402E-5</v>
      </c>
      <c r="I95">
        <f>'Costing 100 Lmin Feed Orig'!I95</f>
        <v>6.3113732322488897E-11</v>
      </c>
      <c r="J95">
        <f>'Costing 100 Lmin Feed Orig'!J95</f>
        <v>3.37661562480901E-4</v>
      </c>
      <c r="K95">
        <f>'Costing 100 Lmin Feed Orig'!K95</f>
        <v>0.13911791568267901</v>
      </c>
      <c r="L95">
        <f>'Costing 100 Lmin Feed Orig'!L95</f>
        <v>0.140740543921716</v>
      </c>
      <c r="M95">
        <f>'Costing 100 Lmin Feed Orig'!M95</f>
        <v>4.45543656000266E-4</v>
      </c>
      <c r="N95">
        <f>'Costing 100 Lmin Feed Orig'!N95</f>
        <v>-4.7646348672047899E-15</v>
      </c>
      <c r="O95">
        <f>'Costing 100 Lmin Feed Orig'!O95</f>
        <v>-1.1300289697036E-11</v>
      </c>
      <c r="P95">
        <f>'Costing 100 Lmin Feed Orig'!P95</f>
        <v>-4.6756218688437302E-19</v>
      </c>
      <c r="Q95">
        <f>'Costing 100 Lmin Feed Orig'!Q95</f>
        <v>0.10952322309941399</v>
      </c>
      <c r="R95">
        <f>'Costing 100 Lmin Feed Orig'!R95</f>
        <v>98.575430839799395</v>
      </c>
      <c r="S95">
        <f>'Costing 100 Lmin Feed Orig'!S95</f>
        <v>500</v>
      </c>
      <c r="T95">
        <f>'Costing 100 Lmin Feed Orig'!T95</f>
        <v>95</v>
      </c>
      <c r="U95">
        <f>'Costing 100 Lmin Feed Orig'!U95</f>
        <v>1</v>
      </c>
      <c r="V95">
        <f>'Costing 100 Lmin Feed Orig'!V95</f>
        <v>0.1</v>
      </c>
      <c r="W95">
        <f>'Costing 100 Lmin Feed Orig'!W95</f>
        <v>91.304836700459305</v>
      </c>
      <c r="X95" t="str">
        <f>'Costing 100 Lmin Feed Orig'!X95</f>
        <v>ddFc</v>
      </c>
      <c r="Y95">
        <f>'Costing 100 Lmin Feed Orig'!Y95</f>
        <v>1</v>
      </c>
      <c r="Z95">
        <f>'Costing 100 Lmin Feed Orig'!Z95</f>
        <v>0.28318429382522198</v>
      </c>
      <c r="AA95">
        <f>'Costing 100 Lmin Feed Orig'!AA95</f>
        <v>0.56945642916197003</v>
      </c>
      <c r="AB95">
        <f>'Costing 100 Lmin Feed Orig'!AB95</f>
        <v>3.7698628972227502E-3</v>
      </c>
      <c r="AC95">
        <f>'Costing 100 Lmin Feed Orig'!AC95</f>
        <v>1822.2107908876901</v>
      </c>
      <c r="AD95">
        <f>'Costing 100 Lmin Feed Orig'!AD95</f>
        <v>2662.6059073104898</v>
      </c>
      <c r="AE95">
        <f>'Costing 100 Lmin Feed Orig'!AE95</f>
        <v>2401.5030938442701</v>
      </c>
      <c r="AF95">
        <f>'Costing 100 Lmin Feed Orig'!AF95</f>
        <v>7</v>
      </c>
      <c r="AG95">
        <f>'Costing 100 Lmin Feed Orig'!AG95</f>
        <v>1.6497575706444501E-3</v>
      </c>
      <c r="AH95">
        <f>'Costing 100 Lmin Feed Orig'!AH95</f>
        <v>1.66899983148883E-3</v>
      </c>
      <c r="AI95">
        <f>'Costing 100 Lmin Feed Orig'!AI95</f>
        <v>5.28356837386519E-6</v>
      </c>
      <c r="AJ95">
        <f>'Costing 100 Lmin Feed Orig'!AJ95</f>
        <v>0</v>
      </c>
      <c r="AK95">
        <f>'Costing 100 Lmin Feed Orig'!AK95</f>
        <v>0</v>
      </c>
      <c r="AL95">
        <f>'Costing 100 Lmin Feed Orig'!AL95</f>
        <v>0</v>
      </c>
      <c r="AM95">
        <f>'Costing 100 Lmin Feed Orig'!AM95</f>
        <v>1.61261707866804E-3</v>
      </c>
      <c r="AN95">
        <f>'Costing 100 Lmin Feed Orig'!AN95</f>
        <v>7.9625936031329294E-5</v>
      </c>
      <c r="AO95">
        <f>'Costing 100 Lmin Feed Orig'!AO95</f>
        <v>5.2486470564610397E-6</v>
      </c>
      <c r="AP95">
        <f>'Costing 100 Lmin Feed Orig'!AP95</f>
        <v>1.7397947866492501E-3</v>
      </c>
      <c r="AQ95">
        <f>'Costing 100 Lmin Feed Orig'!AQ95</f>
        <v>7.4452013697398206E-2</v>
      </c>
      <c r="AR95">
        <f>'Costing 100 Lmin Feed Orig'!AR95</f>
        <v>1.6358406345626599E-6</v>
      </c>
      <c r="AS95">
        <f>'Costing 100 Lmin Feed Orig'!AS95</f>
        <v>-4.2216122091154298E-18</v>
      </c>
      <c r="AT95">
        <f>'Costing 100 Lmin Feed Orig'!AT95</f>
        <v>-1.65666091955785E-15</v>
      </c>
      <c r="AU95">
        <f>'Costing 100 Lmin Feed Orig'!AU95</f>
        <v>-4.3344264097778598E-21</v>
      </c>
      <c r="AV95">
        <f>'Costing 100 Lmin Feed Orig'!AV95</f>
        <v>0.19715998450427299</v>
      </c>
      <c r="AW95">
        <f>'Costing 100 Lmin Feed Orig'!AW95</f>
        <v>99.339058096098597</v>
      </c>
      <c r="AX95">
        <f>'Costing 100 Lmin Feed Orig'!AX95</f>
        <v>500</v>
      </c>
      <c r="AY95">
        <f>'Costing 100 Lmin Feed Orig'!AY95</f>
        <v>95</v>
      </c>
      <c r="AZ95">
        <f>'Costing 100 Lmin Feed Orig'!AZ95</f>
        <v>0.92356857683566096</v>
      </c>
      <c r="BA95">
        <f>'Costing 100 Lmin Feed Orig'!BA95</f>
        <v>0.1</v>
      </c>
      <c r="BB95">
        <f>'Costing 100 Lmin Feed Orig'!BB95</f>
        <v>46.843611758127501</v>
      </c>
      <c r="BC95" t="str">
        <f>'Costing 100 Lmin Feed Orig'!BC95</f>
        <v>coeFc</v>
      </c>
      <c r="BD95">
        <f>'Costing 100 Lmin Feed Orig'!BD95</f>
        <v>1</v>
      </c>
      <c r="BE95">
        <f>'Costing 100 Lmin Feed Orig'!BE95</f>
        <v>1.8775014999999999E-2</v>
      </c>
      <c r="BF95">
        <f>'Costing 100 Lmin Feed Orig'!BF95</f>
        <v>0.10492961100000001</v>
      </c>
      <c r="BG95">
        <f>'Costing 100 Lmin Feed Orig'!BG95</f>
        <v>1.814625E-3</v>
      </c>
      <c r="BH95">
        <f>'Costing 100 Lmin Feed Orig'!BH95</f>
        <v>285.1951444</v>
      </c>
      <c r="BI95">
        <f>'Costing 100 Lmin Feed Orig'!BI95</f>
        <v>2169.8944889999998</v>
      </c>
      <c r="BJ95">
        <f>'Costing 100 Lmin Feed Orig'!BJ95</f>
        <v>866.49409060000005</v>
      </c>
      <c r="BK95">
        <f>'Costing 100 Lmin Feed Orig'!BK95</f>
        <v>100</v>
      </c>
      <c r="BL95">
        <f>'Costing 100 Lmin Feed Orig'!BL95</f>
        <v>10.952322309941399</v>
      </c>
      <c r="BM95">
        <f>'Costing 100 Lmin Feed Orig'!BM95</f>
        <v>92.356857683566091</v>
      </c>
      <c r="BN95">
        <f>'Costing 100 Lmin Feed Orig'!BN95</f>
        <v>19.7159984504273</v>
      </c>
      <c r="BO95">
        <f t="shared" si="20"/>
        <v>306.6650246783592</v>
      </c>
      <c r="BP95">
        <f t="shared" si="21"/>
        <v>354.88797210769138</v>
      </c>
      <c r="BQ95">
        <f t="shared" si="22"/>
        <v>30.666502467835922</v>
      </c>
      <c r="BR95">
        <f t="shared" si="23"/>
        <v>35.488797210769143</v>
      </c>
      <c r="BS95">
        <f>1.2*0.5*BL95*V95/'Oxidant Feed Composition'!$N$22</f>
        <v>6.5713933859648392</v>
      </c>
      <c r="BT95">
        <f>1.2*0.5*BN95*BA95/'Oxidant Feed Composition'!$N$22</f>
        <v>11.82959907025638</v>
      </c>
      <c r="BU95">
        <f t="shared" si="24"/>
        <v>5.4761611549706997</v>
      </c>
      <c r="BV95">
        <f t="shared" si="25"/>
        <v>9.8579992252136499</v>
      </c>
      <c r="BW95">
        <f t="shared" si="26"/>
        <v>86.880696528595394</v>
      </c>
      <c r="BX95">
        <f t="shared" si="19"/>
        <v>35.047431391812481</v>
      </c>
      <c r="BY95">
        <f t="shared" si="27"/>
        <v>206.61835998701497</v>
      </c>
      <c r="BZ95">
        <f t="shared" si="28"/>
        <v>63.091195041367357</v>
      </c>
      <c r="CA95">
        <f t="shared" si="29"/>
        <v>59.147995351281899</v>
      </c>
      <c r="CB95">
        <f>BO95*'Reagent cost'!$G$11*'Reagent cost'!$H$11</f>
        <v>4047.9783257543413</v>
      </c>
      <c r="CC95">
        <f>BP95*'Reagent cost'!$G$11*'Reagent cost'!$H$11</f>
        <v>4684.5212318215263</v>
      </c>
      <c r="CD95">
        <f>BQ95*'Reagent cost'!$C$18/1000*'Reagent cost'!$H$18</f>
        <v>4890.707695899031</v>
      </c>
      <c r="CE95">
        <f>BR95*'Ligand cost'!$B$56*'Ligand cost'!$J$56</f>
        <v>36132.128613328605</v>
      </c>
      <c r="CF95">
        <f t="shared" si="30"/>
        <v>10</v>
      </c>
      <c r="CG95">
        <f t="shared" si="31"/>
        <v>2.19046446198828</v>
      </c>
      <c r="CH95">
        <f t="shared" si="31"/>
        <v>3.9431996900854602</v>
      </c>
      <c r="CI95">
        <f>7963.6*(BX95/1000)^0.6*1.7*('CAPEX+OPEX'!$G$116/'CAPEX+OPEX'!$G$115)</f>
        <v>2138.1326451989207</v>
      </c>
      <c r="CJ95">
        <f>7963.6*(BY95/1000)^0.6*1.7*('CAPEX+OPEX'!$G$116/'CAPEX+OPEX'!$G$115)</f>
        <v>6199.2945816251477</v>
      </c>
      <c r="CK95">
        <f>7963.6*(BZ95/1000)^0.6*1.7*('CAPEX+OPEX'!$G$116/'CAPEX+OPEX'!$G$115)</f>
        <v>3042.441105507577</v>
      </c>
      <c r="CL95">
        <f>7963.6*(CA95/1000)^0.6*1.7*('CAPEX+OPEX'!$G$116/'CAPEX+OPEX'!$G$115)</f>
        <v>2926.880194576961</v>
      </c>
      <c r="CM95">
        <f>'Costing 100 Lmin Feed Orig'!DE95</f>
        <v>39625.826528698344</v>
      </c>
      <c r="CN95">
        <f>'Costing 100 Lmin Feed Orig'!DF95</f>
        <v>4586243.4239371875</v>
      </c>
      <c r="CO95">
        <f>'Costing 100 Lmin Feed Orig'!DG95</f>
        <v>11794834.586807497</v>
      </c>
      <c r="CP95">
        <f>'Costing 100 Lmin Feed Orig'!DH95</f>
        <v>2275209.1661185985</v>
      </c>
      <c r="CQ95">
        <f>'Costing 100 Lmin Feed Orig'!DI95</f>
        <v>14083914.336508472</v>
      </c>
      <c r="CR95">
        <f>'Costing 100 Lmin Feed Orig'!DJ95</f>
        <v>1662824.8986326549</v>
      </c>
      <c r="CS95">
        <f>CN95*(BK95/10000)^0.72*((A95+1)/3)^0.6*('CAPEX+OPEX'!$G$116/'CAPEX+OPEX'!$G$114)</f>
        <v>936765.86395108781</v>
      </c>
      <c r="CT95">
        <f>CO95*(BK95/10000)^0.72*((A95+1)/3)^0.6*('CAPEX+OPEX'!$G$116/'CAPEX+OPEX'!$G$114)</f>
        <v>2409160.916797909</v>
      </c>
      <c r="CU95">
        <f>CP95*(BK95/10000)^0.72*((A95+1)/3)^0.6*('CAPEX+OPEX'!$G$116/'CAPEX+OPEX'!$G$114)</f>
        <v>464724.19432521454</v>
      </c>
      <c r="CV95">
        <f>CQ95*(BK95/10000)^0.72*((A95+1)/3)^0.6*('CAPEX+OPEX'!$G$116/'CAPEX+OPEX'!$G$114)</f>
        <v>2876718.2553791031</v>
      </c>
      <c r="CW95">
        <f>CR95*(BK95/10000)^0.72*((A95+1)/3)^0.6*('CAPEX+OPEX'!$G$116/'CAPEX+OPEX'!$G$114)</f>
        <v>339641.28346021532</v>
      </c>
      <c r="CX95">
        <f t="shared" si="32"/>
        <v>7027010.5139135299</v>
      </c>
      <c r="CY95">
        <f>CN95*(BM95/10000)^0.72*((AF95+1)/3)^0.6*('CAPEX+OPEX'!$G$116/'CAPEX+OPEX'!$G$114)</f>
        <v>661084.27072256745</v>
      </c>
      <c r="CZ95">
        <f>CO95*(BM95/10000)^0.72*((AF95+1)/3)^0.6*('CAPEX+OPEX'!$G$116/'CAPEX+OPEX'!$G$114)</f>
        <v>1700166.9777089746</v>
      </c>
      <c r="DA95">
        <f>CP95*(BM95/10000)^0.72*((AF95+1)/3)^0.6*('CAPEX+OPEX'!$G$116/'CAPEX+OPEX'!$G$114)</f>
        <v>327960.13061024435</v>
      </c>
      <c r="DB95">
        <f>CQ95*(BM95/10000)^0.72*((AF95+1)/3)^0.6*('CAPEX+OPEX'!$G$116/'CAPEX+OPEX'!$G$114)</f>
        <v>2030126.4842320178</v>
      </c>
      <c r="DC95">
        <f>CR95*(BM95/10000)^0.72*((AF95+1)/3)^0.6*('CAPEX+OPEX'!$G$116/'CAPEX+OPEX'!$G$114)</f>
        <v>239687.97201527501</v>
      </c>
      <c r="DD95">
        <f t="shared" si="33"/>
        <v>4959025.8352890788</v>
      </c>
      <c r="DE95">
        <f>CX95+DD95+1.15*(SUM(CI95:CL95)+SUM(CB95:CE95))</f>
        <v>12059707.746255377</v>
      </c>
      <c r="DF95">
        <f t="shared" si="34"/>
        <v>803980.51641702512</v>
      </c>
      <c r="DG95">
        <f>(BS95+BT95)*'Oxidant Feed Composition'!$N$28*60*7200</f>
        <v>20458866.73507629</v>
      </c>
      <c r="DH95">
        <f>((CG95+CH95)*'Reagent cost'!$C$17/1000*'Reagent cost'!$H$17+(CG95+CH95)*0.5*'Reagent cost'!$C$16/1000*'Reagent cost'!$H$16*1.5)*60*7200</f>
        <v>8703888.7716227155</v>
      </c>
      <c r="DI95">
        <f>CF95*'Reagent cost'!$C$17/1000*'Reagent cost'!$H$17*60*7200</f>
        <v>504921.59999999998</v>
      </c>
      <c r="DJ95">
        <f t="shared" si="35"/>
        <v>87.324995575758678</v>
      </c>
      <c r="DK95">
        <f t="shared" si="36"/>
        <v>820.45672618455274</v>
      </c>
      <c r="DL95">
        <f t="shared" si="37"/>
        <v>35602301.866104923</v>
      </c>
      <c r="DM95">
        <f>BK95*(B95*(409.81+2)/1000+C95*(248.2+2*22.99)/1000+D95*(315.6+3*22.99)/1000+0.1*58.44/1000)</f>
        <v>0.70639694042110623</v>
      </c>
      <c r="DN95">
        <f>(BS95+BT95)/1000*('Oxidant Feed Composition'!$B$11*'Oxidant Feed Composition'!$O$20+'Oxidant Feed Composition'!$D$11*'Oxidant Feed Composition'!$O$21+'Oxidant Feed Composition'!$F$11*'Oxidant Feed Composition'!$O$27-'Oxidant Feed Composition'!$J$15*18.015)</f>
        <v>2.1489514395432647</v>
      </c>
      <c r="DO95">
        <f>(BU95+BV95)/1000*(0.2*368.34+0.4*58.44)</f>
        <v>1.4880882599346101</v>
      </c>
      <c r="DP95">
        <f>BK95/1000*(B95*195.08+C95*106.42+D95*102.91)</f>
        <v>4.999938342565946E-2</v>
      </c>
      <c r="DQ95">
        <f>SUM(DM95:DO95)-DP95</f>
        <v>4.2934372564733208</v>
      </c>
      <c r="DR95">
        <f>DQ95*60*7200*0.33</f>
        <v>612072.41528283653</v>
      </c>
      <c r="DS95">
        <v>1.2</v>
      </c>
      <c r="DT95">
        <f>BM95/60*(AM95*4+AN95*2+AO95*3)*96485/DV95</f>
        <v>1405.7111739241</v>
      </c>
      <c r="DU95">
        <f>BN95*BA95*(AP95*4+AQ95*2+AR95*3)*96485/DV95/60</f>
        <v>705.9705211146869</v>
      </c>
      <c r="DV95">
        <v>0.7</v>
      </c>
      <c r="DW95">
        <f>0.499*((BK95/3.78541*15)^(-0.146))*BK95/3.78541*15*300*(1+(A95-2)/9)</f>
        <v>52288.524762496963</v>
      </c>
      <c r="DX95">
        <f>0.248*((BK95/3.78541*15)^(-0.144))*BK95/3.78541*15*300*(1+(A95-2)/3)</f>
        <v>53983.928663982973</v>
      </c>
      <c r="DY95">
        <f>0.105*((BK95/3.78541*15)^(-0.144))*BK95/3.78541*15*300*(1+(A95-2)/3)</f>
        <v>22856.098829508919</v>
      </c>
      <c r="DZ95">
        <f>0.058*((BK95/3.78541*15)^(-0.151))*BK95/3.78541*15*300*(1+(A95-2)/3)</f>
        <v>12107.513206066582</v>
      </c>
      <c r="EA95">
        <f>0.056*((BK95/3.78541*15)^(-0.144))*BK95/3.78541*15*300*(1+(A95-2)/3)</f>
        <v>12189.919375738094</v>
      </c>
      <c r="EB95">
        <f>DS95*DT95/(3.6*10^6)*3600*7200*0.07</f>
        <v>850.17411798929584</v>
      </c>
      <c r="EC95">
        <f>0.499*((BM95/3.78541*15)^(-0.146))*BM95/3.78541*15*300*(1+(AF95-2)/9)</f>
        <v>35999.086166212779</v>
      </c>
      <c r="ED95">
        <f>0.248*((BM95/3.78541*15)^(-0.144))*BM95/3.78541*15*300*(1+(AF95-2)/3)</f>
        <v>31035.068806562878</v>
      </c>
      <c r="EE95">
        <f>0.105*((BM95/3.78541*15)^(-0.144))*BM95/3.78541*15*300*(1+(AF95-2)/3)</f>
        <v>13139.847680197989</v>
      </c>
      <c r="EF95">
        <f>0.058*((BM95/3.78541*15)^(-0.151))*BM95/3.78541*15*300*(1+(AF95-2)/3)</f>
        <v>6964.4190203834751</v>
      </c>
      <c r="EG95">
        <f>0.056*((BM95/3.78541*15)^(-0.144))*BM95/3.78541*15*300*(1+(AF95-2)/3)</f>
        <v>7007.9187627722622</v>
      </c>
      <c r="EH95">
        <f>DS95*DU95/(3.6*10^6)*3600*7200*0.07</f>
        <v>426.97097117016267</v>
      </c>
      <c r="EI95">
        <f>SUM(DW95:EH95)</f>
        <v>248849.47036308239</v>
      </c>
      <c r="EJ95">
        <f>EI95+DR95+DL95</f>
        <v>36463223.751750842</v>
      </c>
      <c r="EK95">
        <f>EJ95+DF95</f>
        <v>37267204.268167868</v>
      </c>
      <c r="EL95">
        <f>EK95/(BK95*60*7200)</f>
        <v>0.86266676546684884</v>
      </c>
      <c r="EM95">
        <f>EK95/(BM95*(AM95*195.084/1000+AN95*106.42/1000+AO95*102.911/1000)*60*7200)</f>
        <v>2886.3723351572526</v>
      </c>
      <c r="EN95">
        <f>EK95/(BN95*BA95*(AP95*195.084/1000+AQ95*106.42/1000+AR95*102.911/1000)*60*7200)</f>
        <v>5295.4060887478408</v>
      </c>
    </row>
    <row r="96" spans="1:144">
      <c r="A96">
        <f>'Costing 100 Lmin Feed Orig'!A96</f>
        <v>12</v>
      </c>
      <c r="B96">
        <f>'Costing 100 Lmin Feed Orig'!B96</f>
        <v>1.54143585092054E-3</v>
      </c>
      <c r="C96">
        <f>'Costing 100 Lmin Feed Orig'!C96</f>
        <v>1.54143585092054E-3</v>
      </c>
      <c r="D96">
        <f>'Costing 100 Lmin Feed Orig'!D96</f>
        <v>3.4254130020456501E-4</v>
      </c>
      <c r="E96">
        <f>'Costing 100 Lmin Feed Orig'!E96</f>
        <v>0</v>
      </c>
      <c r="F96">
        <f>'Costing 100 Lmin Feed Orig'!F96</f>
        <v>0</v>
      </c>
      <c r="G96">
        <f>'Costing 100 Lmin Feed Orig'!G96</f>
        <v>0</v>
      </c>
      <c r="H96">
        <f>'Costing 100 Lmin Feed Orig'!H96</f>
        <v>1.7771599281349402E-5</v>
      </c>
      <c r="I96">
        <f>'Costing 100 Lmin Feed Orig'!I96</f>
        <v>6.3113732322488897E-11</v>
      </c>
      <c r="J96">
        <f>'Costing 100 Lmin Feed Orig'!J96</f>
        <v>3.37661562480901E-4</v>
      </c>
      <c r="K96">
        <f>'Costing 100 Lmin Feed Orig'!K96</f>
        <v>0.13911791568267901</v>
      </c>
      <c r="L96">
        <f>'Costing 100 Lmin Feed Orig'!L96</f>
        <v>0.140740543921716</v>
      </c>
      <c r="M96">
        <f>'Costing 100 Lmin Feed Orig'!M96</f>
        <v>4.45543656000266E-4</v>
      </c>
      <c r="N96">
        <f>'Costing 100 Lmin Feed Orig'!N96</f>
        <v>-4.7646348672047899E-15</v>
      </c>
      <c r="O96">
        <f>'Costing 100 Lmin Feed Orig'!O96</f>
        <v>-1.1300289697036E-11</v>
      </c>
      <c r="P96">
        <f>'Costing 100 Lmin Feed Orig'!P96</f>
        <v>-4.6756218688437302E-19</v>
      </c>
      <c r="Q96">
        <f>'Costing 100 Lmin Feed Orig'!Q96</f>
        <v>0.10952322309941399</v>
      </c>
      <c r="R96">
        <f>'Costing 100 Lmin Feed Orig'!R96</f>
        <v>98.575430839799395</v>
      </c>
      <c r="S96">
        <f>'Costing 100 Lmin Feed Orig'!S96</f>
        <v>500</v>
      </c>
      <c r="T96">
        <f>'Costing 100 Lmin Feed Orig'!T96</f>
        <v>95</v>
      </c>
      <c r="U96">
        <f>'Costing 100 Lmin Feed Orig'!U96</f>
        <v>1</v>
      </c>
      <c r="V96">
        <f>'Costing 100 Lmin Feed Orig'!V96</f>
        <v>0.1</v>
      </c>
      <c r="W96">
        <f>'Costing 100 Lmin Feed Orig'!W96</f>
        <v>91.304836700459305</v>
      </c>
      <c r="X96" t="str">
        <f>'Costing 100 Lmin Feed Orig'!X96</f>
        <v>ddFc</v>
      </c>
      <c r="Y96">
        <f>'Costing 100 Lmin Feed Orig'!Y96</f>
        <v>1</v>
      </c>
      <c r="Z96">
        <f>'Costing 100 Lmin Feed Orig'!Z96</f>
        <v>0.28318429382522198</v>
      </c>
      <c r="AA96">
        <f>'Costing 100 Lmin Feed Orig'!AA96</f>
        <v>0.56945642916197003</v>
      </c>
      <c r="AB96">
        <f>'Costing 100 Lmin Feed Orig'!AB96</f>
        <v>3.7698628972227502E-3</v>
      </c>
      <c r="AC96">
        <f>'Costing 100 Lmin Feed Orig'!AC96</f>
        <v>1822.2107908876901</v>
      </c>
      <c r="AD96">
        <f>'Costing 100 Lmin Feed Orig'!AD96</f>
        <v>2662.6059073104898</v>
      </c>
      <c r="AE96">
        <f>'Costing 100 Lmin Feed Orig'!AE96</f>
        <v>2401.5030938442701</v>
      </c>
      <c r="AF96">
        <f>'Costing 100 Lmin Feed Orig'!AF96</f>
        <v>8</v>
      </c>
      <c r="AG96">
        <f>'Costing 100 Lmin Feed Orig'!AG96</f>
        <v>1.6497575706444501E-3</v>
      </c>
      <c r="AH96">
        <f>'Costing 100 Lmin Feed Orig'!AH96</f>
        <v>1.66899983148883E-3</v>
      </c>
      <c r="AI96">
        <f>'Costing 100 Lmin Feed Orig'!AI96</f>
        <v>5.28356837386519E-6</v>
      </c>
      <c r="AJ96">
        <f>'Costing 100 Lmin Feed Orig'!AJ96</f>
        <v>0</v>
      </c>
      <c r="AK96">
        <f>'Costing 100 Lmin Feed Orig'!AK96</f>
        <v>0</v>
      </c>
      <c r="AL96">
        <f>'Costing 100 Lmin Feed Orig'!AL96</f>
        <v>0</v>
      </c>
      <c r="AM96">
        <f>'Costing 100 Lmin Feed Orig'!AM96</f>
        <v>1.6127563603415801E-3</v>
      </c>
      <c r="AN96">
        <f>'Costing 100 Lmin Feed Orig'!AN96</f>
        <v>7.96331411021806E-5</v>
      </c>
      <c r="AO96">
        <f>'Costing 100 Lmin Feed Orig'!AO96</f>
        <v>5.2487726000077404E-6</v>
      </c>
      <c r="AP96">
        <f>'Costing 100 Lmin Feed Orig'!AP96</f>
        <v>1.73509236363433E-3</v>
      </c>
      <c r="AQ96">
        <f>'Costing 100 Lmin Feed Orig'!AQ96</f>
        <v>7.4529940711020898E-2</v>
      </c>
      <c r="AR96">
        <f>'Costing 100 Lmin Feed Orig'!AR96</f>
        <v>1.63167315397143E-6</v>
      </c>
      <c r="AS96">
        <f>'Costing 100 Lmin Feed Orig'!AS96</f>
        <v>5.0297494034318102E-15</v>
      </c>
      <c r="AT96">
        <f>'Costing 100 Lmin Feed Orig'!AT96</f>
        <v>-1.17018894574272E-12</v>
      </c>
      <c r="AU96">
        <f>'Costing 100 Lmin Feed Orig'!AU96</f>
        <v>2.31875269310864E-20</v>
      </c>
      <c r="AV96">
        <f>'Costing 100 Lmin Feed Orig'!AV96</f>
        <v>0.19695294528304</v>
      </c>
      <c r="AW96">
        <f>'Costing 100 Lmin Feed Orig'!AW96</f>
        <v>99.341434208941706</v>
      </c>
      <c r="AX96">
        <f>'Costing 100 Lmin Feed Orig'!AX96</f>
        <v>500</v>
      </c>
      <c r="AY96">
        <f>'Costing 100 Lmin Feed Orig'!AY96</f>
        <v>95</v>
      </c>
      <c r="AZ96">
        <f>'Costing 100 Lmin Feed Orig'!AZ96</f>
        <v>0.92356857683566096</v>
      </c>
      <c r="BA96">
        <f>'Costing 100 Lmin Feed Orig'!BA96</f>
        <v>0.1</v>
      </c>
      <c r="BB96">
        <f>'Costing 100 Lmin Feed Orig'!BB96</f>
        <v>46.892854306311698</v>
      </c>
      <c r="BC96" t="str">
        <f>'Costing 100 Lmin Feed Orig'!BC96</f>
        <v>coeFc</v>
      </c>
      <c r="BD96">
        <f>'Costing 100 Lmin Feed Orig'!BD96</f>
        <v>1</v>
      </c>
      <c r="BE96">
        <f>'Costing 100 Lmin Feed Orig'!BE96</f>
        <v>1.8775014999999999E-2</v>
      </c>
      <c r="BF96">
        <f>'Costing 100 Lmin Feed Orig'!BF96</f>
        <v>0.10492961100000001</v>
      </c>
      <c r="BG96">
        <f>'Costing 100 Lmin Feed Orig'!BG96</f>
        <v>1.814625E-3</v>
      </c>
      <c r="BH96">
        <f>'Costing 100 Lmin Feed Orig'!BH96</f>
        <v>285.1951444</v>
      </c>
      <c r="BI96">
        <f>'Costing 100 Lmin Feed Orig'!BI96</f>
        <v>2169.8944889999998</v>
      </c>
      <c r="BJ96">
        <f>'Costing 100 Lmin Feed Orig'!BJ96</f>
        <v>866.49409060000005</v>
      </c>
      <c r="BK96">
        <f>'Costing 100 Lmin Feed Orig'!BK96</f>
        <v>100</v>
      </c>
      <c r="BL96">
        <f>'Costing 100 Lmin Feed Orig'!BL96</f>
        <v>10.952322309941399</v>
      </c>
      <c r="BM96">
        <f>'Costing 100 Lmin Feed Orig'!BM96</f>
        <v>92.356857683566091</v>
      </c>
      <c r="BN96">
        <f>'Costing 100 Lmin Feed Orig'!BN96</f>
        <v>19.695294528304</v>
      </c>
      <c r="BO96">
        <f t="shared" si="20"/>
        <v>306.6650246783592</v>
      </c>
      <c r="BP96">
        <f t="shared" si="21"/>
        <v>393.90589056608002</v>
      </c>
      <c r="BQ96">
        <f t="shared" si="22"/>
        <v>30.666502467835922</v>
      </c>
      <c r="BR96">
        <f t="shared" si="23"/>
        <v>39.390589056608007</v>
      </c>
      <c r="BS96">
        <f>1.2*0.5*BL96*V96/'Oxidant Feed Composition'!$N$22</f>
        <v>6.5713933859648392</v>
      </c>
      <c r="BT96">
        <f>1.2*0.5*BN96*BA96/'Oxidant Feed Composition'!$N$22</f>
        <v>11.8171767169824</v>
      </c>
      <c r="BU96">
        <f t="shared" si="24"/>
        <v>5.4761611549706997</v>
      </c>
      <c r="BV96">
        <f t="shared" si="25"/>
        <v>9.8476472641520001</v>
      </c>
      <c r="BW96">
        <f t="shared" si="26"/>
        <v>86.880696528595394</v>
      </c>
      <c r="BX96">
        <f t="shared" si="19"/>
        <v>35.047431391812481</v>
      </c>
      <c r="BY96">
        <f t="shared" si="27"/>
        <v>206.61835998701497</v>
      </c>
      <c r="BZ96">
        <f t="shared" si="28"/>
        <v>63.024942490572798</v>
      </c>
      <c r="CA96">
        <f t="shared" si="29"/>
        <v>59.085883584911997</v>
      </c>
      <c r="CB96">
        <f>BO96*'Reagent cost'!$G$11*'Reagent cost'!$H$11</f>
        <v>4047.9783257543413</v>
      </c>
      <c r="CC96">
        <f>BP96*'Reagent cost'!$G$11*'Reagent cost'!$H$11</f>
        <v>5199.5577554722568</v>
      </c>
      <c r="CD96">
        <f>BQ96*'Reagent cost'!$C$18/1000*'Reagent cost'!$H$18</f>
        <v>4890.707695899031</v>
      </c>
      <c r="CE96">
        <f>BR96*'Ligand cost'!$B$56*'Ligand cost'!$J$56</f>
        <v>40104.651095817979</v>
      </c>
      <c r="CF96">
        <f t="shared" si="30"/>
        <v>10</v>
      </c>
      <c r="CG96">
        <f t="shared" si="31"/>
        <v>2.19046446198828</v>
      </c>
      <c r="CH96">
        <f t="shared" si="31"/>
        <v>3.9390589056608003</v>
      </c>
      <c r="CI96">
        <f>7963.6*(BX96/1000)^0.6*1.7*('CAPEX+OPEX'!$G$116/'CAPEX+OPEX'!$G$115)</f>
        <v>2138.1326451989207</v>
      </c>
      <c r="CJ96">
        <f>7963.6*(BY96/1000)^0.6*1.7*('CAPEX+OPEX'!$G$116/'CAPEX+OPEX'!$G$115)</f>
        <v>6199.2945816251477</v>
      </c>
      <c r="CK96">
        <f>7963.6*(BZ96/1000)^0.6*1.7*('CAPEX+OPEX'!$G$116/'CAPEX+OPEX'!$G$115)</f>
        <v>3040.5237681823655</v>
      </c>
      <c r="CL96">
        <f>7963.6*(CA96/1000)^0.6*1.7*('CAPEX+OPEX'!$G$116/'CAPEX+OPEX'!$G$115)</f>
        <v>2925.0356833937126</v>
      </c>
      <c r="CM96">
        <f>'Costing 100 Lmin Feed Orig'!DE96</f>
        <v>39625.826528698344</v>
      </c>
      <c r="CN96">
        <f>'Costing 100 Lmin Feed Orig'!DF96</f>
        <v>4586243.4239371875</v>
      </c>
      <c r="CO96">
        <f>'Costing 100 Lmin Feed Orig'!DG96</f>
        <v>11794834.586807497</v>
      </c>
      <c r="CP96">
        <f>'Costing 100 Lmin Feed Orig'!DH96</f>
        <v>2275209.1661185985</v>
      </c>
      <c r="CQ96">
        <f>'Costing 100 Lmin Feed Orig'!DI96</f>
        <v>14083914.336508472</v>
      </c>
      <c r="CR96">
        <f>'Costing 100 Lmin Feed Orig'!DJ96</f>
        <v>1662824.8986326549</v>
      </c>
      <c r="CS96">
        <f>CN96*(BK96/10000)^0.72*((A96+1)/3)^0.6*('CAPEX+OPEX'!$G$116/'CAPEX+OPEX'!$G$114)</f>
        <v>936765.86395108781</v>
      </c>
      <c r="CT96">
        <f>CO96*(BK96/10000)^0.72*((A96+1)/3)^0.6*('CAPEX+OPEX'!$G$116/'CAPEX+OPEX'!$G$114)</f>
        <v>2409160.916797909</v>
      </c>
      <c r="CU96">
        <f>CP96*(BK96/10000)^0.72*((A96+1)/3)^0.6*('CAPEX+OPEX'!$G$116/'CAPEX+OPEX'!$G$114)</f>
        <v>464724.19432521454</v>
      </c>
      <c r="CV96">
        <f>CQ96*(BK96/10000)^0.72*((A96+1)/3)^0.6*('CAPEX+OPEX'!$G$116/'CAPEX+OPEX'!$G$114)</f>
        <v>2876718.2553791031</v>
      </c>
      <c r="CW96">
        <f>CR96*(BK96/10000)^0.72*((A96+1)/3)^0.6*('CAPEX+OPEX'!$G$116/'CAPEX+OPEX'!$G$114)</f>
        <v>339641.28346021532</v>
      </c>
      <c r="CX96">
        <f t="shared" si="32"/>
        <v>7027010.5139135299</v>
      </c>
      <c r="CY96">
        <f>CN96*(BM96/10000)^0.72*((AF96+1)/3)^0.6*('CAPEX+OPEX'!$G$116/'CAPEX+OPEX'!$G$114)</f>
        <v>709493.36355675769</v>
      </c>
      <c r="CZ96">
        <f>CO96*(BM96/10000)^0.72*((AF96+1)/3)^0.6*('CAPEX+OPEX'!$G$116/'CAPEX+OPEX'!$G$114)</f>
        <v>1824664.7833632834</v>
      </c>
      <c r="DA96">
        <f>CP96*(BM96/10000)^0.72*((AF96+1)/3)^0.6*('CAPEX+OPEX'!$G$116/'CAPEX+OPEX'!$G$114)</f>
        <v>351975.60505387571</v>
      </c>
      <c r="DB96">
        <f>CQ96*(BM96/10000)^0.72*((AF96+1)/3)^0.6*('CAPEX+OPEX'!$G$116/'CAPEX+OPEX'!$G$114)</f>
        <v>2178786.1722517004</v>
      </c>
      <c r="DC96">
        <f>CR96*(BM96/10000)^0.72*((AF96+1)/3)^0.6*('CAPEX+OPEX'!$G$116/'CAPEX+OPEX'!$G$114)</f>
        <v>257239.55780001023</v>
      </c>
      <c r="DD96">
        <f t="shared" si="33"/>
        <v>5322159.482025627</v>
      </c>
      <c r="DE96">
        <f>CX96+DD96+1.15*(SUM(CI96:CL96)+SUM(CB96:CE96))</f>
        <v>12427997.759723203</v>
      </c>
      <c r="DF96">
        <f t="shared" si="34"/>
        <v>828533.1839815469</v>
      </c>
      <c r="DG96">
        <f>(BS96+BT96)*'Oxidant Feed Composition'!$N$28*60*7200</f>
        <v>20445055.128404908</v>
      </c>
      <c r="DH96">
        <f>((CG96+CH96)*'Reagent cost'!$C$17/1000*'Reagent cost'!$H$17+(CG96+CH96)*0.5*'Reagent cost'!$C$16/1000*'Reagent cost'!$H$16*1.5)*60*7200</f>
        <v>8698012.8504496701</v>
      </c>
      <c r="DI96">
        <f>CF96*'Reagent cost'!$C$17/1000*'Reagent cost'!$H$17*60*7200</f>
        <v>504921.59999999998</v>
      </c>
      <c r="DJ96">
        <f t="shared" si="35"/>
        <v>92.475360812265976</v>
      </c>
      <c r="DK96">
        <f t="shared" si="36"/>
        <v>899.90717583434014</v>
      </c>
      <c r="DL96">
        <f t="shared" si="37"/>
        <v>35578778.353669472</v>
      </c>
      <c r="DM96">
        <f>BK96*(B96*(409.81+2)/1000+C96*(248.2+2*22.99)/1000+D96*(315.6+3*22.99)/1000+0.1*58.44/1000)</f>
        <v>0.70639694042110623</v>
      </c>
      <c r="DN96">
        <f>(BS96+BT96)/1000*('Oxidant Feed Composition'!$B$11*'Oxidant Feed Composition'!$O$20+'Oxidant Feed Composition'!$D$11*'Oxidant Feed Composition'!$O$21+'Oxidant Feed Composition'!$F$11*'Oxidant Feed Composition'!$O$27-'Oxidant Feed Composition'!$J$15*18.015)</f>
        <v>2.1475007007304456</v>
      </c>
      <c r="DO96">
        <f>(BU96+BV96)/1000*(0.2*368.34+0.4*58.44)</f>
        <v>1.4870836642253431</v>
      </c>
      <c r="DP96">
        <f>BK96/1000*(B96*195.08+C96*106.42+D96*102.91)</f>
        <v>4.999938342565946E-2</v>
      </c>
      <c r="DQ96">
        <f>SUM(DM96:DO96)-DP96</f>
        <v>4.2909819219512348</v>
      </c>
      <c r="DR96">
        <f>DQ96*60*7200*0.33</f>
        <v>611722.38279336819</v>
      </c>
      <c r="DS96">
        <v>1.2</v>
      </c>
      <c r="DT96">
        <f>BM96/60*(AM96*4+AN96*2+AO96*3)*96485/DV96</f>
        <v>1405.8325155980081</v>
      </c>
      <c r="DU96">
        <f>BN96*BA96*(AP96*4+AQ96*2+AR96*3)*96485/DV96/60</f>
        <v>705.84917997303262</v>
      </c>
      <c r="DV96">
        <v>0.7</v>
      </c>
      <c r="DW96">
        <f>0.499*((BK96/3.78541*15)^(-0.146))*BK96/3.78541*15*300*(1+(A96-2)/9)</f>
        <v>52288.524762496963</v>
      </c>
      <c r="DX96">
        <f>0.248*((BK96/3.78541*15)^(-0.144))*BK96/3.78541*15*300*(1+(A96-2)/3)</f>
        <v>53983.928663982973</v>
      </c>
      <c r="DY96">
        <f>0.105*((BK96/3.78541*15)^(-0.144))*BK96/3.78541*15*300*(1+(A96-2)/3)</f>
        <v>22856.098829508919</v>
      </c>
      <c r="DZ96">
        <f>0.058*((BK96/3.78541*15)^(-0.151))*BK96/3.78541*15*300*(1+(A96-2)/3)</f>
        <v>12107.513206066582</v>
      </c>
      <c r="EA96">
        <f>0.056*((BK96/3.78541*15)^(-0.144))*BK96/3.78541*15*300*(1+(A96-2)/3)</f>
        <v>12189.919375738094</v>
      </c>
      <c r="EB96">
        <f>DS96*DT96/(3.6*10^6)*3600*7200*0.07</f>
        <v>850.24750543367531</v>
      </c>
      <c r="EC96">
        <f>0.499*((BM96/3.78541*15)^(-0.146))*BM96/3.78541*15*300*(1+(AF96-2)/9)</f>
        <v>38570.449463799399</v>
      </c>
      <c r="ED96">
        <f>0.248*((BM96/3.78541*15)^(-0.144))*BM96/3.78541*15*300*(1+(AF96-2)/3)</f>
        <v>34914.452407383229</v>
      </c>
      <c r="EE96">
        <f>0.105*((BM96/3.78541*15)^(-0.144))*BM96/3.78541*15*300*(1+(AF96-2)/3)</f>
        <v>14782.328640222735</v>
      </c>
      <c r="EF96">
        <f>0.058*((BM96/3.78541*15)^(-0.151))*BM96/3.78541*15*300*(1+(AF96-2)/3)</f>
        <v>7834.9713979314092</v>
      </c>
      <c r="EG96">
        <f>0.056*((BM96/3.78541*15)^(-0.144))*BM96/3.78541*15*300*(1+(AF96-2)/3)</f>
        <v>7883.9086081187943</v>
      </c>
      <c r="EH96">
        <f>DS96*DU96/(3.6*10^6)*3600*7200*0.07</f>
        <v>426.89758404769015</v>
      </c>
      <c r="EI96">
        <f>SUM(DW96:EH96)</f>
        <v>258689.24044473047</v>
      </c>
      <c r="EJ96">
        <f>EI96+DR96+DL96</f>
        <v>36449189.976907574</v>
      </c>
      <c r="EK96">
        <f>EJ96+DF96</f>
        <v>37277723.160889119</v>
      </c>
      <c r="EL96">
        <f>EK96/(BK96*60*7200)</f>
        <v>0.86291025835391477</v>
      </c>
      <c r="EM96">
        <f>EK96/(BM96*(AM96*195.084/1000+AN96*106.42/1000+AO96*102.911/1000)*60*7200)</f>
        <v>2886.9376761681301</v>
      </c>
      <c r="EN96">
        <f>EK96/(BN96*BA96*(AP96*195.084/1000+AQ96*106.42/1000+AR96*102.911/1000)*60*7200)</f>
        <v>5297.7402400869005</v>
      </c>
    </row>
    <row r="97" spans="1:144">
      <c r="A97">
        <f>'Costing 100 Lmin Feed Orig'!A97</f>
        <v>12</v>
      </c>
      <c r="B97">
        <f>'Costing 100 Lmin Feed Orig'!B97</f>
        <v>1.54143585092054E-3</v>
      </c>
      <c r="C97">
        <f>'Costing 100 Lmin Feed Orig'!C97</f>
        <v>1.54143585092054E-3</v>
      </c>
      <c r="D97">
        <f>'Costing 100 Lmin Feed Orig'!D97</f>
        <v>3.4254130020456501E-4</v>
      </c>
      <c r="E97">
        <f>'Costing 100 Lmin Feed Orig'!E97</f>
        <v>0</v>
      </c>
      <c r="F97">
        <f>'Costing 100 Lmin Feed Orig'!F97</f>
        <v>0</v>
      </c>
      <c r="G97">
        <f>'Costing 100 Lmin Feed Orig'!G97</f>
        <v>0</v>
      </c>
      <c r="H97">
        <f>'Costing 100 Lmin Feed Orig'!H97</f>
        <v>1.7771599281349402E-5</v>
      </c>
      <c r="I97">
        <f>'Costing 100 Lmin Feed Orig'!I97</f>
        <v>6.3113732322488897E-11</v>
      </c>
      <c r="J97">
        <f>'Costing 100 Lmin Feed Orig'!J97</f>
        <v>3.37661562480901E-4</v>
      </c>
      <c r="K97">
        <f>'Costing 100 Lmin Feed Orig'!K97</f>
        <v>0.13911791568267901</v>
      </c>
      <c r="L97">
        <f>'Costing 100 Lmin Feed Orig'!L97</f>
        <v>0.140740543921716</v>
      </c>
      <c r="M97">
        <f>'Costing 100 Lmin Feed Orig'!M97</f>
        <v>4.45543656000266E-4</v>
      </c>
      <c r="N97">
        <f>'Costing 100 Lmin Feed Orig'!N97</f>
        <v>-4.7646348672047899E-15</v>
      </c>
      <c r="O97">
        <f>'Costing 100 Lmin Feed Orig'!O97</f>
        <v>-1.1300289697036E-11</v>
      </c>
      <c r="P97">
        <f>'Costing 100 Lmin Feed Orig'!P97</f>
        <v>-4.6756218688437302E-19</v>
      </c>
      <c r="Q97">
        <f>'Costing 100 Lmin Feed Orig'!Q97</f>
        <v>0.10952322309941399</v>
      </c>
      <c r="R97">
        <f>'Costing 100 Lmin Feed Orig'!R97</f>
        <v>98.575430839799395</v>
      </c>
      <c r="S97">
        <f>'Costing 100 Lmin Feed Orig'!S97</f>
        <v>500</v>
      </c>
      <c r="T97">
        <f>'Costing 100 Lmin Feed Orig'!T97</f>
        <v>95</v>
      </c>
      <c r="U97">
        <f>'Costing 100 Lmin Feed Orig'!U97</f>
        <v>1</v>
      </c>
      <c r="V97">
        <f>'Costing 100 Lmin Feed Orig'!V97</f>
        <v>0.1</v>
      </c>
      <c r="W97">
        <f>'Costing 100 Lmin Feed Orig'!W97</f>
        <v>91.304836700459305</v>
      </c>
      <c r="X97" t="str">
        <f>'Costing 100 Lmin Feed Orig'!X97</f>
        <v>ddFc</v>
      </c>
      <c r="Y97">
        <f>'Costing 100 Lmin Feed Orig'!Y97</f>
        <v>1</v>
      </c>
      <c r="Z97">
        <f>'Costing 100 Lmin Feed Orig'!Z97</f>
        <v>0.28318429382522198</v>
      </c>
      <c r="AA97">
        <f>'Costing 100 Lmin Feed Orig'!AA97</f>
        <v>0.56945642916197003</v>
      </c>
      <c r="AB97">
        <f>'Costing 100 Lmin Feed Orig'!AB97</f>
        <v>3.7698628972227502E-3</v>
      </c>
      <c r="AC97">
        <f>'Costing 100 Lmin Feed Orig'!AC97</f>
        <v>1822.2107908876901</v>
      </c>
      <c r="AD97">
        <f>'Costing 100 Lmin Feed Orig'!AD97</f>
        <v>2662.6059073104898</v>
      </c>
      <c r="AE97">
        <f>'Costing 100 Lmin Feed Orig'!AE97</f>
        <v>2401.5030938442701</v>
      </c>
      <c r="AF97">
        <f>'Costing 100 Lmin Feed Orig'!AF97</f>
        <v>9</v>
      </c>
      <c r="AG97">
        <f>'Costing 100 Lmin Feed Orig'!AG97</f>
        <v>1.6497575706444501E-3</v>
      </c>
      <c r="AH97">
        <f>'Costing 100 Lmin Feed Orig'!AH97</f>
        <v>1.66899983148883E-3</v>
      </c>
      <c r="AI97">
        <f>'Costing 100 Lmin Feed Orig'!AI97</f>
        <v>5.28356837386519E-6</v>
      </c>
      <c r="AJ97">
        <f>'Costing 100 Lmin Feed Orig'!AJ97</f>
        <v>0</v>
      </c>
      <c r="AK97">
        <f>'Costing 100 Lmin Feed Orig'!AK97</f>
        <v>0</v>
      </c>
      <c r="AL97">
        <f>'Costing 100 Lmin Feed Orig'!AL97</f>
        <v>0</v>
      </c>
      <c r="AM97">
        <f>'Costing 100 Lmin Feed Orig'!AM97</f>
        <v>1.6127956996690499E-3</v>
      </c>
      <c r="AN97">
        <f>'Costing 100 Lmin Feed Orig'!AN97</f>
        <v>7.9635176101710897E-5</v>
      </c>
      <c r="AO97">
        <f>'Costing 100 Lmin Feed Orig'!AO97</f>
        <v>5.24880805907295E-6</v>
      </c>
      <c r="AP97">
        <f>'Costing 100 Lmin Feed Orig'!AP97</f>
        <v>1.7337624010389399E-3</v>
      </c>
      <c r="AQ97">
        <f>'Costing 100 Lmin Feed Orig'!AQ97</f>
        <v>7.4551980415071106E-2</v>
      </c>
      <c r="AR97">
        <f>'Costing 100 Lmin Feed Orig'!AR97</f>
        <v>1.6304944864730899E-6</v>
      </c>
      <c r="AS97">
        <f>'Costing 100 Lmin Feed Orig'!AS97</f>
        <v>3.6971294081755701E-17</v>
      </c>
      <c r="AT97">
        <f>'Costing 100 Lmin Feed Orig'!AT97</f>
        <v>-4.8275185932089499E-15</v>
      </c>
      <c r="AU97">
        <f>'Costing 100 Lmin Feed Orig'!AU97</f>
        <v>-1.13158307797254E-21</v>
      </c>
      <c r="AV97">
        <f>'Costing 100 Lmin Feed Orig'!AV97</f>
        <v>0.19689446808536701</v>
      </c>
      <c r="AW97">
        <f>'Costing 100 Lmin Feed Orig'!AW97</f>
        <v>99.342105328584793</v>
      </c>
      <c r="AX97">
        <f>'Costing 100 Lmin Feed Orig'!AX97</f>
        <v>500</v>
      </c>
      <c r="AY97">
        <f>'Costing 100 Lmin Feed Orig'!AY97</f>
        <v>95</v>
      </c>
      <c r="AZ97">
        <f>'Costing 100 Lmin Feed Orig'!AZ97</f>
        <v>0.92356857683566096</v>
      </c>
      <c r="BA97">
        <f>'Costing 100 Lmin Feed Orig'!BA97</f>
        <v>0.1</v>
      </c>
      <c r="BB97">
        <f>'Costing 100 Lmin Feed Orig'!BB97</f>
        <v>46.906781374641298</v>
      </c>
      <c r="BC97" t="str">
        <f>'Costing 100 Lmin Feed Orig'!BC97</f>
        <v>coeFc</v>
      </c>
      <c r="BD97">
        <f>'Costing 100 Lmin Feed Orig'!BD97</f>
        <v>1</v>
      </c>
      <c r="BE97">
        <f>'Costing 100 Lmin Feed Orig'!BE97</f>
        <v>1.8775014999999999E-2</v>
      </c>
      <c r="BF97">
        <f>'Costing 100 Lmin Feed Orig'!BF97</f>
        <v>0.10492961100000001</v>
      </c>
      <c r="BG97">
        <f>'Costing 100 Lmin Feed Orig'!BG97</f>
        <v>1.814625E-3</v>
      </c>
      <c r="BH97">
        <f>'Costing 100 Lmin Feed Orig'!BH97</f>
        <v>285.1951444</v>
      </c>
      <c r="BI97">
        <f>'Costing 100 Lmin Feed Orig'!BI97</f>
        <v>2169.8944889999998</v>
      </c>
      <c r="BJ97">
        <f>'Costing 100 Lmin Feed Orig'!BJ97</f>
        <v>866.49409060000005</v>
      </c>
      <c r="BK97">
        <f>'Costing 100 Lmin Feed Orig'!BK97</f>
        <v>100</v>
      </c>
      <c r="BL97">
        <f>'Costing 100 Lmin Feed Orig'!BL97</f>
        <v>10.952322309941399</v>
      </c>
      <c r="BM97">
        <f>'Costing 100 Lmin Feed Orig'!BM97</f>
        <v>92.356857683566091</v>
      </c>
      <c r="BN97">
        <f>'Costing 100 Lmin Feed Orig'!BN97</f>
        <v>19.689446808536701</v>
      </c>
      <c r="BO97">
        <f t="shared" si="20"/>
        <v>306.6650246783592</v>
      </c>
      <c r="BP97">
        <f t="shared" si="21"/>
        <v>433.16782978780742</v>
      </c>
      <c r="BQ97">
        <f t="shared" si="22"/>
        <v>30.666502467835922</v>
      </c>
      <c r="BR97">
        <f t="shared" si="23"/>
        <v>43.316782978780743</v>
      </c>
      <c r="BS97">
        <f>1.2*0.5*BL97*V97/'Oxidant Feed Composition'!$N$22</f>
        <v>6.5713933859648392</v>
      </c>
      <c r="BT97">
        <f>1.2*0.5*BN97*BA97/'Oxidant Feed Composition'!$N$22</f>
        <v>11.813668085122019</v>
      </c>
      <c r="BU97">
        <f t="shared" si="24"/>
        <v>5.4761611549706997</v>
      </c>
      <c r="BV97">
        <f t="shared" si="25"/>
        <v>9.8447234042683505</v>
      </c>
      <c r="BW97">
        <f t="shared" si="26"/>
        <v>86.880696528595394</v>
      </c>
      <c r="BX97">
        <f t="shared" si="19"/>
        <v>35.047431391812481</v>
      </c>
      <c r="BY97">
        <f t="shared" si="27"/>
        <v>206.61835998701497</v>
      </c>
      <c r="BZ97">
        <f t="shared" si="28"/>
        <v>63.006229787317437</v>
      </c>
      <c r="CA97">
        <f t="shared" si="29"/>
        <v>59.068340425610103</v>
      </c>
      <c r="CB97">
        <f>BO97*'Reagent cost'!$G$11*'Reagent cost'!$H$11</f>
        <v>4047.9783257543413</v>
      </c>
      <c r="CC97">
        <f>BP97*'Reagent cost'!$G$11*'Reagent cost'!$H$11</f>
        <v>5717.8153531990583</v>
      </c>
      <c r="CD97">
        <f>BQ97*'Reagent cost'!$C$18/1000*'Reagent cost'!$H$18</f>
        <v>4890.707695899031</v>
      </c>
      <c r="CE97">
        <f>BR97*'Ligand cost'!$B$56*'Ligand cost'!$J$56</f>
        <v>44102.018008939682</v>
      </c>
      <c r="CF97">
        <f t="shared" si="30"/>
        <v>10</v>
      </c>
      <c r="CG97">
        <f t="shared" si="31"/>
        <v>2.19046446198828</v>
      </c>
      <c r="CH97">
        <f t="shared" si="31"/>
        <v>3.9378893617073403</v>
      </c>
      <c r="CI97">
        <f>7963.6*(BX97/1000)^0.6*1.7*('CAPEX+OPEX'!$G$116/'CAPEX+OPEX'!$G$115)</f>
        <v>2138.1326451989207</v>
      </c>
      <c r="CJ97">
        <f>7963.6*(BY97/1000)^0.6*1.7*('CAPEX+OPEX'!$G$116/'CAPEX+OPEX'!$G$115)</f>
        <v>6199.2945816251477</v>
      </c>
      <c r="CK97">
        <f>7963.6*(BZ97/1000)^0.6*1.7*('CAPEX+OPEX'!$G$116/'CAPEX+OPEX'!$G$115)</f>
        <v>3039.9820798045407</v>
      </c>
      <c r="CL97">
        <f>7963.6*(CA97/1000)^0.6*1.7*('CAPEX+OPEX'!$G$116/'CAPEX+OPEX'!$G$115)</f>
        <v>2924.5145699424716</v>
      </c>
      <c r="CM97">
        <f>'Costing 100 Lmin Feed Orig'!DE97</f>
        <v>39625.826528698344</v>
      </c>
      <c r="CN97">
        <f>'Costing 100 Lmin Feed Orig'!DF97</f>
        <v>4586243.4239371875</v>
      </c>
      <c r="CO97">
        <f>'Costing 100 Lmin Feed Orig'!DG97</f>
        <v>11794834.586807497</v>
      </c>
      <c r="CP97">
        <f>'Costing 100 Lmin Feed Orig'!DH97</f>
        <v>2275209.1661185985</v>
      </c>
      <c r="CQ97">
        <f>'Costing 100 Lmin Feed Orig'!DI97</f>
        <v>14083914.336508472</v>
      </c>
      <c r="CR97">
        <f>'Costing 100 Lmin Feed Orig'!DJ97</f>
        <v>1662824.8986326549</v>
      </c>
      <c r="CS97">
        <f>CN97*(BK97/10000)^0.72*((A97+1)/3)^0.6*('CAPEX+OPEX'!$G$116/'CAPEX+OPEX'!$G$114)</f>
        <v>936765.86395108781</v>
      </c>
      <c r="CT97">
        <f>CO97*(BK97/10000)^0.72*((A97+1)/3)^0.6*('CAPEX+OPEX'!$G$116/'CAPEX+OPEX'!$G$114)</f>
        <v>2409160.916797909</v>
      </c>
      <c r="CU97">
        <f>CP97*(BK97/10000)^0.72*((A97+1)/3)^0.6*('CAPEX+OPEX'!$G$116/'CAPEX+OPEX'!$G$114)</f>
        <v>464724.19432521454</v>
      </c>
      <c r="CV97">
        <f>CQ97*(BK97/10000)^0.72*((A97+1)/3)^0.6*('CAPEX+OPEX'!$G$116/'CAPEX+OPEX'!$G$114)</f>
        <v>2876718.2553791031</v>
      </c>
      <c r="CW97">
        <f>CR97*(BK97/10000)^0.72*((A97+1)/3)^0.6*('CAPEX+OPEX'!$G$116/'CAPEX+OPEX'!$G$114)</f>
        <v>339641.28346021532</v>
      </c>
      <c r="CX97">
        <f t="shared" si="32"/>
        <v>7027010.5139135299</v>
      </c>
      <c r="CY97">
        <f>CN97*(BM97/10000)^0.72*((AF97+1)/3)^0.6*('CAPEX+OPEX'!$G$116/'CAPEX+OPEX'!$G$114)</f>
        <v>755792.94187780574</v>
      </c>
      <c r="CZ97">
        <f>CO97*(BM97/10000)^0.72*((AF97+1)/3)^0.6*('CAPEX+OPEX'!$G$116/'CAPEX+OPEX'!$G$114)</f>
        <v>1943737.3700658206</v>
      </c>
      <c r="DA97">
        <f>CP97*(BM97/10000)^0.72*((AF97+1)/3)^0.6*('CAPEX+OPEX'!$G$116/'CAPEX+OPEX'!$G$114)</f>
        <v>374944.56139702629</v>
      </c>
      <c r="DB97">
        <f>CQ97*(BM97/10000)^0.72*((AF97+1)/3)^0.6*('CAPEX+OPEX'!$G$116/'CAPEX+OPEX'!$G$114)</f>
        <v>2320967.7432269086</v>
      </c>
      <c r="DC97">
        <f>CR97*(BM97/10000)^0.72*((AF97+1)/3)^0.6*('CAPEX+OPEX'!$G$116/'CAPEX+OPEX'!$G$114)</f>
        <v>274026.30122200225</v>
      </c>
      <c r="DD97">
        <f t="shared" si="33"/>
        <v>5669468.9177895635</v>
      </c>
      <c r="DE97">
        <f>CX97+DD97+1.15*(SUM(CI97:CL97)+SUM(CB97:CE97))</f>
        <v>12780498.941452513</v>
      </c>
      <c r="DF97">
        <f t="shared" si="34"/>
        <v>852033.2627635008</v>
      </c>
      <c r="DG97">
        <f>(BS97+BT97)*'Oxidant Feed Composition'!$N$28*60*7200</f>
        <v>20441154.108836271</v>
      </c>
      <c r="DH97">
        <f>((CG97+CH97)*'Reagent cost'!$C$17/1000*'Reagent cost'!$H$17+(CG97+CH97)*0.5*'Reagent cost'!$C$16/1000*'Reagent cost'!$H$16*1.5)*60*7200</f>
        <v>8696353.2257568203</v>
      </c>
      <c r="DI97">
        <f>CF97*'Reagent cost'!$C$17/1000*'Reagent cost'!$H$17*60*7200</f>
        <v>504921.59999999998</v>
      </c>
      <c r="DJ97">
        <f t="shared" si="35"/>
        <v>97.657936789534006</v>
      </c>
      <c r="DK97">
        <f t="shared" si="36"/>
        <v>979.85451409677421</v>
      </c>
      <c r="DL97">
        <f t="shared" si="37"/>
        <v>35572207.736452773</v>
      </c>
      <c r="DM97">
        <f>BK97*(B97*(409.81+2)/1000+C97*(248.2+2*22.99)/1000+D97*(315.6+3*22.99)/1000+0.1*58.44/1000)</f>
        <v>0.70639694042110623</v>
      </c>
      <c r="DN97">
        <f>(BS97+BT97)/1000*('Oxidant Feed Composition'!$B$11*'Oxidant Feed Composition'!$O$20+'Oxidant Feed Composition'!$D$11*'Oxidant Feed Composition'!$O$21+'Oxidant Feed Composition'!$F$11*'Oxidant Feed Composition'!$O$27-'Oxidant Feed Composition'!$J$15*18.015)</f>
        <v>2.1470909467726016</v>
      </c>
      <c r="DO97">
        <f>(BU97+BV97)/1000*(0.2*368.34+0.4*58.44)</f>
        <v>1.4867999211667944</v>
      </c>
      <c r="DP97">
        <f>BK97/1000*(B97*195.08+C97*106.42+D97*102.91)</f>
        <v>4.999938342565946E-2</v>
      </c>
      <c r="DQ97">
        <f>SUM(DM97:DO97)-DP97</f>
        <v>4.2902884249348423</v>
      </c>
      <c r="DR97">
        <f>DQ97*60*7200*0.33</f>
        <v>611623.51785871107</v>
      </c>
      <c r="DS97">
        <v>1.2</v>
      </c>
      <c r="DT97">
        <f>BM97/60*(AM97*4+AN97*2+AO97*3)*96485/DV97</f>
        <v>1405.8667878594886</v>
      </c>
      <c r="DU97">
        <f>BN97*BA97*(AP97*4+AQ97*2+AR97*3)*96485/DV97/60</f>
        <v>705.81490718071291</v>
      </c>
      <c r="DV97">
        <v>0.7</v>
      </c>
      <c r="DW97">
        <f>0.499*((BK97/3.78541*15)^(-0.146))*BK97/3.78541*15*300*(1+(A97-2)/9)</f>
        <v>52288.524762496963</v>
      </c>
      <c r="DX97">
        <f>0.248*((BK97/3.78541*15)^(-0.144))*BK97/3.78541*15*300*(1+(A97-2)/3)</f>
        <v>53983.928663982973</v>
      </c>
      <c r="DY97">
        <f>0.105*((BK97/3.78541*15)^(-0.144))*BK97/3.78541*15*300*(1+(A97-2)/3)</f>
        <v>22856.098829508919</v>
      </c>
      <c r="DZ97">
        <f>0.058*((BK97/3.78541*15)^(-0.151))*BK97/3.78541*15*300*(1+(A97-2)/3)</f>
        <v>12107.513206066582</v>
      </c>
      <c r="EA97">
        <f>0.056*((BK97/3.78541*15)^(-0.144))*BK97/3.78541*15*300*(1+(A97-2)/3)</f>
        <v>12189.919375738094</v>
      </c>
      <c r="EB97">
        <f>DS97*DT97/(3.6*10^6)*3600*7200*0.07</f>
        <v>850.26823329741865</v>
      </c>
      <c r="EC97">
        <f>0.499*((BM97/3.78541*15)^(-0.146))*BM97/3.78541*15*300*(1+(AF97-2)/9)</f>
        <v>41141.812761386027</v>
      </c>
      <c r="ED97">
        <f>0.248*((BM97/3.78541*15)^(-0.144))*BM97/3.78541*15*300*(1+(AF97-2)/3)</f>
        <v>38793.836008203594</v>
      </c>
      <c r="EE97">
        <f>0.105*((BM97/3.78541*15)^(-0.144))*BM97/3.78541*15*300*(1+(AF97-2)/3)</f>
        <v>16424.809600247485</v>
      </c>
      <c r="EF97">
        <f>0.058*((BM97/3.78541*15)^(-0.151))*BM97/3.78541*15*300*(1+(AF97-2)/3)</f>
        <v>8705.5237754793434</v>
      </c>
      <c r="EG97">
        <f>0.056*((BM97/3.78541*15)^(-0.144))*BM97/3.78541*15*300*(1+(AF97-2)/3)</f>
        <v>8759.8984534653282</v>
      </c>
      <c r="EH97">
        <f>DS97*DU97/(3.6*10^6)*3600*7200*0.07</f>
        <v>426.87685586289518</v>
      </c>
      <c r="EI97">
        <f>SUM(DW97:EH97)</f>
        <v>268529.01052573568</v>
      </c>
      <c r="EJ97">
        <f>EI97+DR97+DL97</f>
        <v>36452360.26483722</v>
      </c>
      <c r="EK97">
        <f>EJ97+DF97</f>
        <v>37304393.527600721</v>
      </c>
      <c r="EL97">
        <f>EK97/(BK97*60*7200)</f>
        <v>0.8635276279537204</v>
      </c>
      <c r="EM97">
        <f>EK97/(BM97*(AM97*195.084/1000+AN97*106.42/1000+AO97*102.911/1000)*60*7200)</f>
        <v>2888.9326657925244</v>
      </c>
      <c r="EN97">
        <f>EK97/(BN97*BA97*(AP97*195.084/1000+AQ97*106.42/1000+AR97*102.911/1000)*60*7200)</f>
        <v>5301.7678435951775</v>
      </c>
    </row>
    <row r="98" spans="1:144">
      <c r="A98">
        <f>'Costing 100 Lmin Feed Orig'!A98</f>
        <v>12</v>
      </c>
      <c r="B98">
        <f>'Costing 100 Lmin Feed Orig'!B98</f>
        <v>1.54143585092054E-3</v>
      </c>
      <c r="C98">
        <f>'Costing 100 Lmin Feed Orig'!C98</f>
        <v>1.54143585092054E-3</v>
      </c>
      <c r="D98">
        <f>'Costing 100 Lmin Feed Orig'!D98</f>
        <v>3.4254130020456501E-4</v>
      </c>
      <c r="E98">
        <f>'Costing 100 Lmin Feed Orig'!E98</f>
        <v>0</v>
      </c>
      <c r="F98">
        <f>'Costing 100 Lmin Feed Orig'!F98</f>
        <v>0</v>
      </c>
      <c r="G98">
        <f>'Costing 100 Lmin Feed Orig'!G98</f>
        <v>0</v>
      </c>
      <c r="H98">
        <f>'Costing 100 Lmin Feed Orig'!H98</f>
        <v>1.7771599281349402E-5</v>
      </c>
      <c r="I98">
        <f>'Costing 100 Lmin Feed Orig'!I98</f>
        <v>6.3113732322488897E-11</v>
      </c>
      <c r="J98">
        <f>'Costing 100 Lmin Feed Orig'!J98</f>
        <v>3.37661562480901E-4</v>
      </c>
      <c r="K98">
        <f>'Costing 100 Lmin Feed Orig'!K98</f>
        <v>0.13911791568267901</v>
      </c>
      <c r="L98">
        <f>'Costing 100 Lmin Feed Orig'!L98</f>
        <v>0.140740543921716</v>
      </c>
      <c r="M98">
        <f>'Costing 100 Lmin Feed Orig'!M98</f>
        <v>4.45543656000266E-4</v>
      </c>
      <c r="N98">
        <f>'Costing 100 Lmin Feed Orig'!N98</f>
        <v>-4.7646348672047899E-15</v>
      </c>
      <c r="O98">
        <f>'Costing 100 Lmin Feed Orig'!O98</f>
        <v>-1.1300289697036E-11</v>
      </c>
      <c r="P98">
        <f>'Costing 100 Lmin Feed Orig'!P98</f>
        <v>-4.6756218688437302E-19</v>
      </c>
      <c r="Q98">
        <f>'Costing 100 Lmin Feed Orig'!Q98</f>
        <v>0.10952322309941399</v>
      </c>
      <c r="R98">
        <f>'Costing 100 Lmin Feed Orig'!R98</f>
        <v>98.575430839799395</v>
      </c>
      <c r="S98">
        <f>'Costing 100 Lmin Feed Orig'!S98</f>
        <v>500</v>
      </c>
      <c r="T98">
        <f>'Costing 100 Lmin Feed Orig'!T98</f>
        <v>95</v>
      </c>
      <c r="U98">
        <f>'Costing 100 Lmin Feed Orig'!U98</f>
        <v>1</v>
      </c>
      <c r="V98">
        <f>'Costing 100 Lmin Feed Orig'!V98</f>
        <v>0.1</v>
      </c>
      <c r="W98">
        <f>'Costing 100 Lmin Feed Orig'!W98</f>
        <v>91.304836700459305</v>
      </c>
      <c r="X98" t="str">
        <f>'Costing 100 Lmin Feed Orig'!X98</f>
        <v>ddFc</v>
      </c>
      <c r="Y98">
        <f>'Costing 100 Lmin Feed Orig'!Y98</f>
        <v>1</v>
      </c>
      <c r="Z98">
        <f>'Costing 100 Lmin Feed Orig'!Z98</f>
        <v>0.28318429382522198</v>
      </c>
      <c r="AA98">
        <f>'Costing 100 Lmin Feed Orig'!AA98</f>
        <v>0.56945642916197003</v>
      </c>
      <c r="AB98">
        <f>'Costing 100 Lmin Feed Orig'!AB98</f>
        <v>3.7698628972227502E-3</v>
      </c>
      <c r="AC98">
        <f>'Costing 100 Lmin Feed Orig'!AC98</f>
        <v>1822.2107908876901</v>
      </c>
      <c r="AD98">
        <f>'Costing 100 Lmin Feed Orig'!AD98</f>
        <v>2662.6059073104898</v>
      </c>
      <c r="AE98">
        <f>'Costing 100 Lmin Feed Orig'!AE98</f>
        <v>2401.5030938442701</v>
      </c>
      <c r="AF98">
        <f>'Costing 100 Lmin Feed Orig'!AF98</f>
        <v>10</v>
      </c>
      <c r="AG98">
        <f>'Costing 100 Lmin Feed Orig'!AG98</f>
        <v>1.6497575706444501E-3</v>
      </c>
      <c r="AH98">
        <f>'Costing 100 Lmin Feed Orig'!AH98</f>
        <v>1.66899983148883E-3</v>
      </c>
      <c r="AI98">
        <f>'Costing 100 Lmin Feed Orig'!AI98</f>
        <v>5.28356837386519E-6</v>
      </c>
      <c r="AJ98">
        <f>'Costing 100 Lmin Feed Orig'!AJ98</f>
        <v>0</v>
      </c>
      <c r="AK98">
        <f>'Costing 100 Lmin Feed Orig'!AK98</f>
        <v>0</v>
      </c>
      <c r="AL98">
        <f>'Costing 100 Lmin Feed Orig'!AL98</f>
        <v>0</v>
      </c>
      <c r="AM98">
        <f>'Costing 100 Lmin Feed Orig'!AM98</f>
        <v>1.61280677346842E-3</v>
      </c>
      <c r="AN98">
        <f>'Costing 100 Lmin Feed Orig'!AN98</f>
        <v>7.9635748983234095E-5</v>
      </c>
      <c r="AO98">
        <f>'Costing 100 Lmin Feed Orig'!AO98</f>
        <v>5.2488180406069303E-6</v>
      </c>
      <c r="AP98">
        <f>'Costing 100 Lmin Feed Orig'!AP98</f>
        <v>1.73338788049E-3</v>
      </c>
      <c r="AQ98">
        <f>'Costing 100 Lmin Feed Orig'!AQ98</f>
        <v>7.4558186846967897E-2</v>
      </c>
      <c r="AR98">
        <f>'Costing 100 Lmin Feed Orig'!AR98</f>
        <v>1.6301625709626699E-6</v>
      </c>
      <c r="AS98">
        <f>'Costing 100 Lmin Feed Orig'!AS98</f>
        <v>6.15638453844297E-15</v>
      </c>
      <c r="AT98">
        <f>'Costing 100 Lmin Feed Orig'!AT98</f>
        <v>-6.3767177302387295E-13</v>
      </c>
      <c r="AU98">
        <f>'Costing 100 Lmin Feed Orig'!AU98</f>
        <v>5.9788614675332804E-20</v>
      </c>
      <c r="AV98">
        <f>'Costing 100 Lmin Feed Orig'!AV98</f>
        <v>0.19687800716022599</v>
      </c>
      <c r="AW98">
        <f>'Costing 100 Lmin Feed Orig'!AW98</f>
        <v>99.342294245113806</v>
      </c>
      <c r="AX98">
        <f>'Costing 100 Lmin Feed Orig'!AX98</f>
        <v>500</v>
      </c>
      <c r="AY98">
        <f>'Costing 100 Lmin Feed Orig'!AY98</f>
        <v>95</v>
      </c>
      <c r="AZ98">
        <f>'Costing 100 Lmin Feed Orig'!AZ98</f>
        <v>0.92356857683566096</v>
      </c>
      <c r="BA98">
        <f>'Costing 100 Lmin Feed Orig'!BA98</f>
        <v>0.1</v>
      </c>
      <c r="BB98">
        <f>'Costing 100 Lmin Feed Orig'!BB98</f>
        <v>46.910703239901501</v>
      </c>
      <c r="BC98" t="str">
        <f>'Costing 100 Lmin Feed Orig'!BC98</f>
        <v>coeFc</v>
      </c>
      <c r="BD98">
        <f>'Costing 100 Lmin Feed Orig'!BD98</f>
        <v>1</v>
      </c>
      <c r="BE98">
        <f>'Costing 100 Lmin Feed Orig'!BE98</f>
        <v>1.8775014999999999E-2</v>
      </c>
      <c r="BF98">
        <f>'Costing 100 Lmin Feed Orig'!BF98</f>
        <v>0.10492961100000001</v>
      </c>
      <c r="BG98">
        <f>'Costing 100 Lmin Feed Orig'!BG98</f>
        <v>1.814625E-3</v>
      </c>
      <c r="BH98">
        <f>'Costing 100 Lmin Feed Orig'!BH98</f>
        <v>285.1951444</v>
      </c>
      <c r="BI98">
        <f>'Costing 100 Lmin Feed Orig'!BI98</f>
        <v>2169.8944889999998</v>
      </c>
      <c r="BJ98">
        <f>'Costing 100 Lmin Feed Orig'!BJ98</f>
        <v>866.49409060000005</v>
      </c>
      <c r="BK98">
        <f>'Costing 100 Lmin Feed Orig'!BK98</f>
        <v>100</v>
      </c>
      <c r="BL98">
        <f>'Costing 100 Lmin Feed Orig'!BL98</f>
        <v>10.952322309941399</v>
      </c>
      <c r="BM98">
        <f>'Costing 100 Lmin Feed Orig'!BM98</f>
        <v>92.356857683566091</v>
      </c>
      <c r="BN98">
        <f>'Costing 100 Lmin Feed Orig'!BN98</f>
        <v>19.687800716022601</v>
      </c>
      <c r="BO98">
        <f t="shared" si="20"/>
        <v>306.6650246783592</v>
      </c>
      <c r="BP98">
        <f t="shared" si="21"/>
        <v>472.50721718454241</v>
      </c>
      <c r="BQ98">
        <f t="shared" si="22"/>
        <v>30.666502467835922</v>
      </c>
      <c r="BR98">
        <f t="shared" si="23"/>
        <v>47.250721718454244</v>
      </c>
      <c r="BS98">
        <f>1.2*0.5*BL98*V98/'Oxidant Feed Composition'!$N$22</f>
        <v>6.5713933859648392</v>
      </c>
      <c r="BT98">
        <f>1.2*0.5*BN98*BA98/'Oxidant Feed Composition'!$N$22</f>
        <v>11.812680429613559</v>
      </c>
      <c r="BU98">
        <f t="shared" si="24"/>
        <v>5.4761611549706997</v>
      </c>
      <c r="BV98">
        <f t="shared" si="25"/>
        <v>9.8439003580113003</v>
      </c>
      <c r="BW98">
        <f t="shared" si="26"/>
        <v>86.880696528595394</v>
      </c>
      <c r="BX98">
        <f t="shared" si="19"/>
        <v>35.047431391812481</v>
      </c>
      <c r="BY98">
        <f t="shared" si="27"/>
        <v>206.61835998701497</v>
      </c>
      <c r="BZ98">
        <f t="shared" si="28"/>
        <v>63.000962291272316</v>
      </c>
      <c r="CA98">
        <f t="shared" si="29"/>
        <v>59.063402148067802</v>
      </c>
      <c r="CB98">
        <f>BO98*'Reagent cost'!$G$11*'Reagent cost'!$H$11</f>
        <v>4047.9783257543413</v>
      </c>
      <c r="CC98">
        <f>BP98*'Reagent cost'!$G$11*'Reagent cost'!$H$11</f>
        <v>6237.0952668359596</v>
      </c>
      <c r="CD98">
        <f>BQ98*'Reagent cost'!$C$18/1000*'Reagent cost'!$H$18</f>
        <v>4890.707695899031</v>
      </c>
      <c r="CE98">
        <f>BR98*'Ligand cost'!$B$56*'Ligand cost'!$J$56</f>
        <v>48107.270135537699</v>
      </c>
      <c r="CF98">
        <f t="shared" si="30"/>
        <v>10</v>
      </c>
      <c r="CG98">
        <f t="shared" si="31"/>
        <v>2.19046446198828</v>
      </c>
      <c r="CH98">
        <f t="shared" si="31"/>
        <v>3.9375601432045202</v>
      </c>
      <c r="CI98">
        <f>7963.6*(BX98/1000)^0.6*1.7*('CAPEX+OPEX'!$G$116/'CAPEX+OPEX'!$G$115)</f>
        <v>2138.1326451989207</v>
      </c>
      <c r="CJ98">
        <f>7963.6*(BY98/1000)^0.6*1.7*('CAPEX+OPEX'!$G$116/'CAPEX+OPEX'!$G$115)</f>
        <v>6199.2945816251477</v>
      </c>
      <c r="CK98">
        <f>7963.6*(BZ98/1000)^0.6*1.7*('CAPEX+OPEX'!$G$116/'CAPEX+OPEX'!$G$115)</f>
        <v>3039.8295866806543</v>
      </c>
      <c r="CL98">
        <f>7963.6*(CA98/1000)^0.6*1.7*('CAPEX+OPEX'!$G$116/'CAPEX+OPEX'!$G$115)</f>
        <v>2924.3678689584149</v>
      </c>
      <c r="CM98">
        <f>'Costing 100 Lmin Feed Orig'!DE98</f>
        <v>39625.826528698344</v>
      </c>
      <c r="CN98">
        <f>'Costing 100 Lmin Feed Orig'!DF98</f>
        <v>4586243.4239371875</v>
      </c>
      <c r="CO98">
        <f>'Costing 100 Lmin Feed Orig'!DG98</f>
        <v>11794834.586807497</v>
      </c>
      <c r="CP98">
        <f>'Costing 100 Lmin Feed Orig'!DH98</f>
        <v>2275209.1661185985</v>
      </c>
      <c r="CQ98">
        <f>'Costing 100 Lmin Feed Orig'!DI98</f>
        <v>14083914.336508472</v>
      </c>
      <c r="CR98">
        <f>'Costing 100 Lmin Feed Orig'!DJ98</f>
        <v>1662824.8986326549</v>
      </c>
      <c r="CS98">
        <f>CN98*(BK98/10000)^0.72*((A98+1)/3)^0.6*('CAPEX+OPEX'!$G$116/'CAPEX+OPEX'!$G$114)</f>
        <v>936765.86395108781</v>
      </c>
      <c r="CT98">
        <f>CO98*(BK98/10000)^0.72*((A98+1)/3)^0.6*('CAPEX+OPEX'!$G$116/'CAPEX+OPEX'!$G$114)</f>
        <v>2409160.916797909</v>
      </c>
      <c r="CU98">
        <f>CP98*(BK98/10000)^0.72*((A98+1)/3)^0.6*('CAPEX+OPEX'!$G$116/'CAPEX+OPEX'!$G$114)</f>
        <v>464724.19432521454</v>
      </c>
      <c r="CV98">
        <f>CQ98*(BK98/10000)^0.72*((A98+1)/3)^0.6*('CAPEX+OPEX'!$G$116/'CAPEX+OPEX'!$G$114)</f>
        <v>2876718.2553791031</v>
      </c>
      <c r="CW98">
        <f>CR98*(BK98/10000)^0.72*((A98+1)/3)^0.6*('CAPEX+OPEX'!$G$116/'CAPEX+OPEX'!$G$114)</f>
        <v>339641.28346021532</v>
      </c>
      <c r="CX98">
        <f t="shared" si="32"/>
        <v>7027010.5139135299</v>
      </c>
      <c r="CY98">
        <f>CN98*(BM98/10000)^0.72*((AF98+1)/3)^0.6*('CAPEX+OPEX'!$G$116/'CAPEX+OPEX'!$G$114)</f>
        <v>800273.51272546337</v>
      </c>
      <c r="CZ98">
        <f>CO98*(BM98/10000)^0.72*((AF98+1)/3)^0.6*('CAPEX+OPEX'!$G$116/'CAPEX+OPEX'!$G$114)</f>
        <v>2058131.8596248808</v>
      </c>
      <c r="DA98">
        <f>CP98*(BM98/10000)^0.72*((AF98+1)/3)^0.6*('CAPEX+OPEX'!$G$116/'CAPEX+OPEX'!$G$114)</f>
        <v>397011.11852274858</v>
      </c>
      <c r="DB98">
        <f>CQ98*(BM98/10000)^0.72*((AF98+1)/3)^0.6*('CAPEX+OPEX'!$G$116/'CAPEX+OPEX'!$G$114)</f>
        <v>2457563.3164552483</v>
      </c>
      <c r="DC98">
        <f>CR98*(BM98/10000)^0.72*((AF98+1)/3)^0.6*('CAPEX+OPEX'!$G$116/'CAPEX+OPEX'!$G$114)</f>
        <v>290153.53082452138</v>
      </c>
      <c r="DD98">
        <f t="shared" si="33"/>
        <v>6003133.3381528631</v>
      </c>
      <c r="DE98">
        <f>CX98+DD98+1.15*(SUM(CI98:CL98)+SUM(CB98:CE98))</f>
        <v>13119366.229588857</v>
      </c>
      <c r="DF98">
        <f t="shared" si="34"/>
        <v>874624.41530592379</v>
      </c>
      <c r="DG98">
        <f>(BS98+BT98)*'Oxidant Feed Composition'!$N$28*60*7200</f>
        <v>20440055.998912267</v>
      </c>
      <c r="DH98">
        <f>((CG98+CH98)*'Reagent cost'!$C$17/1000*'Reagent cost'!$H$17+(CG98+CH98)*0.5*'Reagent cost'!$C$16/1000*'Reagent cost'!$H$16*1.5)*60*7200</f>
        <v>8695886.0529284663</v>
      </c>
      <c r="DI98">
        <f>CF98*'Reagent cost'!$C$17/1000*'Reagent cost'!$H$17*60*7200</f>
        <v>504921.59999999998</v>
      </c>
      <c r="DJ98">
        <f t="shared" si="35"/>
        <v>102.85073592590301</v>
      </c>
      <c r="DK98">
        <f t="shared" si="36"/>
        <v>1059.9595566287346</v>
      </c>
      <c r="DL98">
        <f t="shared" si="37"/>
        <v>35570431.754559942</v>
      </c>
      <c r="DM98">
        <f>BK98*(B98*(409.81+2)/1000+C98*(248.2+2*22.99)/1000+D98*(315.6+3*22.99)/1000+0.1*58.44/1000)</f>
        <v>0.70639694042110623</v>
      </c>
      <c r="DN98">
        <f>(BS98+BT98)/1000*('Oxidant Feed Composition'!$B$11*'Oxidant Feed Composition'!$O$20+'Oxidant Feed Composition'!$D$11*'Oxidant Feed Composition'!$O$21+'Oxidant Feed Composition'!$F$11*'Oxidant Feed Composition'!$O$27-'Oxidant Feed Composition'!$J$15*18.015)</f>
        <v>2.1469756038783676</v>
      </c>
      <c r="DO98">
        <f>(BU98+BV98)/1000*(0.2*368.34+0.4*58.44)</f>
        <v>1.4867200494658253</v>
      </c>
      <c r="DP98">
        <f>BK98/1000*(B98*195.08+C98*106.42+D98*102.91)</f>
        <v>4.999938342565946E-2</v>
      </c>
      <c r="DQ98">
        <f>SUM(DM98:DO98)-DP98</f>
        <v>4.2900932103396388</v>
      </c>
      <c r="DR98">
        <f>DQ98*60*7200*0.33</f>
        <v>611595.68806601898</v>
      </c>
      <c r="DS98">
        <v>1.2</v>
      </c>
      <c r="DT98">
        <f>BM98/60*(AM98*4+AN98*2+AO98*3)*96485/DV98</f>
        <v>1405.8764353255226</v>
      </c>
      <c r="DU98">
        <f>BN98*BA98*(AP98*4+AQ98*2+AR98*3)*96485/DV98/60</f>
        <v>705.8052599998191</v>
      </c>
      <c r="DV98">
        <v>0.7</v>
      </c>
      <c r="DW98">
        <f>0.499*((BK98/3.78541*15)^(-0.146))*BK98/3.78541*15*300*(1+(A98-2)/9)</f>
        <v>52288.524762496963</v>
      </c>
      <c r="DX98">
        <f>0.248*((BK98/3.78541*15)^(-0.144))*BK98/3.78541*15*300*(1+(A98-2)/3)</f>
        <v>53983.928663982973</v>
      </c>
      <c r="DY98">
        <f>0.105*((BK98/3.78541*15)^(-0.144))*BK98/3.78541*15*300*(1+(A98-2)/3)</f>
        <v>22856.098829508919</v>
      </c>
      <c r="DZ98">
        <f>0.058*((BK98/3.78541*15)^(-0.151))*BK98/3.78541*15*300*(1+(A98-2)/3)</f>
        <v>12107.513206066582</v>
      </c>
      <c r="EA98">
        <f>0.056*((BK98/3.78541*15)^(-0.144))*BK98/3.78541*15*300*(1+(A98-2)/3)</f>
        <v>12189.919375738094</v>
      </c>
      <c r="EB98">
        <f>DS98*DT98/(3.6*10^6)*3600*7200*0.07</f>
        <v>850.27406808487626</v>
      </c>
      <c r="EC98">
        <f>0.499*((BM98/3.78541*15)^(-0.146))*BM98/3.78541*15*300*(1+(AF98-2)/9)</f>
        <v>43713.176058972655</v>
      </c>
      <c r="ED98">
        <f>0.248*((BM98/3.78541*15)^(-0.144))*BM98/3.78541*15*300*(1+(AF98-2)/3)</f>
        <v>42673.219609023952</v>
      </c>
      <c r="EE98">
        <f>0.105*((BM98/3.78541*15)^(-0.144))*BM98/3.78541*15*300*(1+(AF98-2)/3)</f>
        <v>18067.290560272231</v>
      </c>
      <c r="EF98">
        <f>0.058*((BM98/3.78541*15)^(-0.151))*BM98/3.78541*15*300*(1+(AF98-2)/3)</f>
        <v>9576.0761530272775</v>
      </c>
      <c r="EG98">
        <f>0.056*((BM98/3.78541*15)^(-0.144))*BM98/3.78541*15*300*(1+(AF98-2)/3)</f>
        <v>9635.8882988118585</v>
      </c>
      <c r="EH98">
        <f>DS98*DU98/(3.6*10^6)*3600*7200*0.07</f>
        <v>426.87102124789061</v>
      </c>
      <c r="EI98">
        <f>SUM(DW98:EH98)</f>
        <v>278368.78060723428</v>
      </c>
      <c r="EJ98">
        <f>EI98+DR98+DL98</f>
        <v>36460396.223233193</v>
      </c>
      <c r="EK98">
        <f>EJ98+DF98</f>
        <v>37335020.638539121</v>
      </c>
      <c r="EL98">
        <f>EK98/(BK98*60*7200)</f>
        <v>0.86423658885507226</v>
      </c>
      <c r="EM98">
        <f>EK98/(BM98*(AM98*195.084/1000+AN98*106.42/1000+AO98*102.911/1000)*60*7200)</f>
        <v>2891.2846422738648</v>
      </c>
      <c r="EN98">
        <f>EK98/(BN98*BA98*(AP98*195.084/1000+AQ98*106.42/1000+AR98*102.911/1000)*60*7200)</f>
        <v>5306.1874872499775</v>
      </c>
    </row>
    <row r="99" spans="1:144">
      <c r="A99">
        <f>'Costing 100 Lmin Feed Orig'!A99</f>
        <v>12</v>
      </c>
      <c r="B99">
        <f>'Costing 100 Lmin Feed Orig'!B99</f>
        <v>1.54143585092054E-3</v>
      </c>
      <c r="C99">
        <f>'Costing 100 Lmin Feed Orig'!C99</f>
        <v>1.54143585092054E-3</v>
      </c>
      <c r="D99">
        <f>'Costing 100 Lmin Feed Orig'!D99</f>
        <v>3.4254130020456501E-4</v>
      </c>
      <c r="E99">
        <f>'Costing 100 Lmin Feed Orig'!E99</f>
        <v>0</v>
      </c>
      <c r="F99">
        <f>'Costing 100 Lmin Feed Orig'!F99</f>
        <v>0</v>
      </c>
      <c r="G99">
        <f>'Costing 100 Lmin Feed Orig'!G99</f>
        <v>0</v>
      </c>
      <c r="H99">
        <f>'Costing 100 Lmin Feed Orig'!H99</f>
        <v>1.7771599281349402E-5</v>
      </c>
      <c r="I99">
        <f>'Costing 100 Lmin Feed Orig'!I99</f>
        <v>6.3113732322488897E-11</v>
      </c>
      <c r="J99">
        <f>'Costing 100 Lmin Feed Orig'!J99</f>
        <v>3.37661562480901E-4</v>
      </c>
      <c r="K99">
        <f>'Costing 100 Lmin Feed Orig'!K99</f>
        <v>0.13911791568267901</v>
      </c>
      <c r="L99">
        <f>'Costing 100 Lmin Feed Orig'!L99</f>
        <v>0.140740543921716</v>
      </c>
      <c r="M99">
        <f>'Costing 100 Lmin Feed Orig'!M99</f>
        <v>4.45543656000266E-4</v>
      </c>
      <c r="N99">
        <f>'Costing 100 Lmin Feed Orig'!N99</f>
        <v>-4.7646348672047899E-15</v>
      </c>
      <c r="O99">
        <f>'Costing 100 Lmin Feed Orig'!O99</f>
        <v>-1.1300289697036E-11</v>
      </c>
      <c r="P99">
        <f>'Costing 100 Lmin Feed Orig'!P99</f>
        <v>-4.6756218688437302E-19</v>
      </c>
      <c r="Q99">
        <f>'Costing 100 Lmin Feed Orig'!Q99</f>
        <v>0.10952322309941399</v>
      </c>
      <c r="R99">
        <f>'Costing 100 Lmin Feed Orig'!R99</f>
        <v>98.575430839799395</v>
      </c>
      <c r="S99">
        <f>'Costing 100 Lmin Feed Orig'!S99</f>
        <v>500</v>
      </c>
      <c r="T99">
        <f>'Costing 100 Lmin Feed Orig'!T99</f>
        <v>95</v>
      </c>
      <c r="U99">
        <f>'Costing 100 Lmin Feed Orig'!U99</f>
        <v>1</v>
      </c>
      <c r="V99">
        <f>'Costing 100 Lmin Feed Orig'!V99</f>
        <v>0.1</v>
      </c>
      <c r="W99">
        <f>'Costing 100 Lmin Feed Orig'!W99</f>
        <v>91.304836700459305</v>
      </c>
      <c r="X99" t="str">
        <f>'Costing 100 Lmin Feed Orig'!X99</f>
        <v>ddFc</v>
      </c>
      <c r="Y99">
        <f>'Costing 100 Lmin Feed Orig'!Y99</f>
        <v>1</v>
      </c>
      <c r="Z99">
        <f>'Costing 100 Lmin Feed Orig'!Z99</f>
        <v>0.28318429382522198</v>
      </c>
      <c r="AA99">
        <f>'Costing 100 Lmin Feed Orig'!AA99</f>
        <v>0.56945642916197003</v>
      </c>
      <c r="AB99">
        <f>'Costing 100 Lmin Feed Orig'!AB99</f>
        <v>3.7698628972227502E-3</v>
      </c>
      <c r="AC99">
        <f>'Costing 100 Lmin Feed Orig'!AC99</f>
        <v>1822.2107908876901</v>
      </c>
      <c r="AD99">
        <f>'Costing 100 Lmin Feed Orig'!AD99</f>
        <v>2662.6059073104898</v>
      </c>
      <c r="AE99">
        <f>'Costing 100 Lmin Feed Orig'!AE99</f>
        <v>2401.5030938442701</v>
      </c>
      <c r="AF99">
        <f>'Costing 100 Lmin Feed Orig'!AF99</f>
        <v>11</v>
      </c>
      <c r="AG99">
        <f>'Costing 100 Lmin Feed Orig'!AG99</f>
        <v>1.6497575706444501E-3</v>
      </c>
      <c r="AH99">
        <f>'Costing 100 Lmin Feed Orig'!AH99</f>
        <v>1.66899983148883E-3</v>
      </c>
      <c r="AI99">
        <f>'Costing 100 Lmin Feed Orig'!AI99</f>
        <v>5.28356837386519E-6</v>
      </c>
      <c r="AJ99">
        <f>'Costing 100 Lmin Feed Orig'!AJ99</f>
        <v>0</v>
      </c>
      <c r="AK99">
        <f>'Costing 100 Lmin Feed Orig'!AK99</f>
        <v>0</v>
      </c>
      <c r="AL99">
        <f>'Costing 100 Lmin Feed Orig'!AL99</f>
        <v>0</v>
      </c>
      <c r="AM99">
        <f>'Costing 100 Lmin Feed Orig'!AM99</f>
        <v>1.61280988700799E-3</v>
      </c>
      <c r="AN99">
        <f>'Costing 100 Lmin Feed Orig'!AN99</f>
        <v>7.9635910048100197E-5</v>
      </c>
      <c r="AO99">
        <f>'Costing 100 Lmin Feed Orig'!AO99</f>
        <v>5.2488208470369598E-6</v>
      </c>
      <c r="AP99">
        <f>'Costing 100 Lmin Feed Orig'!AP99</f>
        <v>1.73328256872752E-3</v>
      </c>
      <c r="AQ99">
        <f>'Costing 100 Lmin Feed Orig'!AQ99</f>
        <v>7.4559932038912993E-2</v>
      </c>
      <c r="AR99">
        <f>'Costing 100 Lmin Feed Orig'!AR99</f>
        <v>1.6300692393553599E-6</v>
      </c>
      <c r="AS99">
        <f>'Costing 100 Lmin Feed Orig'!AS99</f>
        <v>1.9909814357073302E-15</v>
      </c>
      <c r="AT99">
        <f>'Costing 100 Lmin Feed Orig'!AT99</f>
        <v>-1.9813924806433201E-13</v>
      </c>
      <c r="AU99">
        <f>'Costing 100 Lmin Feed Orig'!AU99</f>
        <v>1.5438498952689699E-20</v>
      </c>
      <c r="AV99">
        <f>'Costing 100 Lmin Feed Orig'!AV99</f>
        <v>0.19687337891228299</v>
      </c>
      <c r="AW99">
        <f>'Costing 100 Lmin Feed Orig'!AW99</f>
        <v>99.342347361300298</v>
      </c>
      <c r="AX99">
        <f>'Costing 100 Lmin Feed Orig'!AX99</f>
        <v>500</v>
      </c>
      <c r="AY99">
        <f>'Costing 100 Lmin Feed Orig'!AY99</f>
        <v>95</v>
      </c>
      <c r="AZ99">
        <f>'Costing 100 Lmin Feed Orig'!AZ99</f>
        <v>0.92356857683566096</v>
      </c>
      <c r="BA99">
        <f>'Costing 100 Lmin Feed Orig'!BA99</f>
        <v>0.1</v>
      </c>
      <c r="BB99">
        <f>'Costing 100 Lmin Feed Orig'!BB99</f>
        <v>46.911806052109903</v>
      </c>
      <c r="BC99" t="str">
        <f>'Costing 100 Lmin Feed Orig'!BC99</f>
        <v>coeFc</v>
      </c>
      <c r="BD99">
        <f>'Costing 100 Lmin Feed Orig'!BD99</f>
        <v>1</v>
      </c>
      <c r="BE99">
        <f>'Costing 100 Lmin Feed Orig'!BE99</f>
        <v>1.8775014999999999E-2</v>
      </c>
      <c r="BF99">
        <f>'Costing 100 Lmin Feed Orig'!BF99</f>
        <v>0.10492961100000001</v>
      </c>
      <c r="BG99">
        <f>'Costing 100 Lmin Feed Orig'!BG99</f>
        <v>1.814625E-3</v>
      </c>
      <c r="BH99">
        <f>'Costing 100 Lmin Feed Orig'!BH99</f>
        <v>285.1951444</v>
      </c>
      <c r="BI99">
        <f>'Costing 100 Lmin Feed Orig'!BI99</f>
        <v>2169.8944889999998</v>
      </c>
      <c r="BJ99">
        <f>'Costing 100 Lmin Feed Orig'!BJ99</f>
        <v>866.49409060000005</v>
      </c>
      <c r="BK99">
        <f>'Costing 100 Lmin Feed Orig'!BK99</f>
        <v>100</v>
      </c>
      <c r="BL99">
        <f>'Costing 100 Lmin Feed Orig'!BL99</f>
        <v>10.952322309941399</v>
      </c>
      <c r="BM99">
        <f>'Costing 100 Lmin Feed Orig'!BM99</f>
        <v>92.356857683566091</v>
      </c>
      <c r="BN99">
        <f>'Costing 100 Lmin Feed Orig'!BN99</f>
        <v>19.687337891228299</v>
      </c>
      <c r="BO99">
        <f t="shared" si="20"/>
        <v>306.6650246783592</v>
      </c>
      <c r="BP99">
        <f t="shared" si="21"/>
        <v>511.87078517193578</v>
      </c>
      <c r="BQ99">
        <f t="shared" si="22"/>
        <v>30.666502467835922</v>
      </c>
      <c r="BR99">
        <f t="shared" si="23"/>
        <v>51.187078517193584</v>
      </c>
      <c r="BS99">
        <f>1.2*0.5*BL99*V99/'Oxidant Feed Composition'!$N$22</f>
        <v>6.5713933859648392</v>
      </c>
      <c r="BT99">
        <f>1.2*0.5*BN99*BA99/'Oxidant Feed Composition'!$N$22</f>
        <v>11.812402734736979</v>
      </c>
      <c r="BU99">
        <f t="shared" si="24"/>
        <v>5.4761611549706997</v>
      </c>
      <c r="BV99">
        <f t="shared" si="25"/>
        <v>9.8436689456141497</v>
      </c>
      <c r="BW99">
        <f t="shared" si="26"/>
        <v>86.880696528595394</v>
      </c>
      <c r="BX99">
        <f t="shared" si="19"/>
        <v>35.047431391812481</v>
      </c>
      <c r="BY99">
        <f t="shared" si="27"/>
        <v>206.61835998701497</v>
      </c>
      <c r="BZ99">
        <f t="shared" si="28"/>
        <v>62.999481251930561</v>
      </c>
      <c r="CA99">
        <f t="shared" si="29"/>
        <v>59.062013673684902</v>
      </c>
      <c r="CB99">
        <f>BO99*'Reagent cost'!$G$11*'Reagent cost'!$H$11</f>
        <v>4047.9783257543413</v>
      </c>
      <c r="CC99">
        <f>BP99*'Reagent cost'!$G$11*'Reagent cost'!$H$11</f>
        <v>6756.6943642695524</v>
      </c>
      <c r="CD99">
        <f>BQ99*'Reagent cost'!$C$18/1000*'Reagent cost'!$H$18</f>
        <v>4890.707695899031</v>
      </c>
      <c r="CE99">
        <f>BR99*'Ligand cost'!$B$56*'Ligand cost'!$J$56</f>
        <v>52114.984155128099</v>
      </c>
      <c r="CF99">
        <f t="shared" si="30"/>
        <v>10</v>
      </c>
      <c r="CG99">
        <f t="shared" si="31"/>
        <v>2.19046446198828</v>
      </c>
      <c r="CH99">
        <f t="shared" si="31"/>
        <v>3.9374675782456601</v>
      </c>
      <c r="CI99">
        <f>7963.6*(BX99/1000)^0.6*1.7*('CAPEX+OPEX'!$G$116/'CAPEX+OPEX'!$G$115)</f>
        <v>2138.1326451989207</v>
      </c>
      <c r="CJ99">
        <f>7963.6*(BY99/1000)^0.6*1.7*('CAPEX+OPEX'!$G$116/'CAPEX+OPEX'!$G$115)</f>
        <v>6199.2945816251477</v>
      </c>
      <c r="CK99">
        <f>7963.6*(BZ99/1000)^0.6*1.7*('CAPEX+OPEX'!$G$116/'CAPEX+OPEX'!$G$115)</f>
        <v>3039.7867099224536</v>
      </c>
      <c r="CL99">
        <f>7963.6*(CA99/1000)^0.6*1.7*('CAPEX+OPEX'!$G$116/'CAPEX+OPEX'!$G$115)</f>
        <v>2924.3266207862953</v>
      </c>
      <c r="CM99">
        <f>'Costing 100 Lmin Feed Orig'!DE99</f>
        <v>39625.826528698344</v>
      </c>
      <c r="CN99">
        <f>'Costing 100 Lmin Feed Orig'!DF99</f>
        <v>4586243.4239371875</v>
      </c>
      <c r="CO99">
        <f>'Costing 100 Lmin Feed Orig'!DG99</f>
        <v>11794834.586807497</v>
      </c>
      <c r="CP99">
        <f>'Costing 100 Lmin Feed Orig'!DH99</f>
        <v>2275209.1661185985</v>
      </c>
      <c r="CQ99">
        <f>'Costing 100 Lmin Feed Orig'!DI99</f>
        <v>14083914.336508472</v>
      </c>
      <c r="CR99">
        <f>'Costing 100 Lmin Feed Orig'!DJ99</f>
        <v>1662824.8986326549</v>
      </c>
      <c r="CS99">
        <f>CN99*(BK99/10000)^0.72*((A99+1)/3)^0.6*('CAPEX+OPEX'!$G$116/'CAPEX+OPEX'!$G$114)</f>
        <v>936765.86395108781</v>
      </c>
      <c r="CT99">
        <f>CO99*(BK99/10000)^0.72*((A99+1)/3)^0.6*('CAPEX+OPEX'!$G$116/'CAPEX+OPEX'!$G$114)</f>
        <v>2409160.916797909</v>
      </c>
      <c r="CU99">
        <f>CP99*(BK99/10000)^0.72*((A99+1)/3)^0.6*('CAPEX+OPEX'!$G$116/'CAPEX+OPEX'!$G$114)</f>
        <v>464724.19432521454</v>
      </c>
      <c r="CV99">
        <f>CQ99*(BK99/10000)^0.72*((A99+1)/3)^0.6*('CAPEX+OPEX'!$G$116/'CAPEX+OPEX'!$G$114)</f>
        <v>2876718.2553791031</v>
      </c>
      <c r="CW99">
        <f>CR99*(BK99/10000)^0.72*((A99+1)/3)^0.6*('CAPEX+OPEX'!$G$116/'CAPEX+OPEX'!$G$114)</f>
        <v>339641.28346021532</v>
      </c>
      <c r="CX99">
        <f t="shared" si="32"/>
        <v>7027010.5139135299</v>
      </c>
      <c r="CY99">
        <f>CN99*(BM99/10000)^0.72*((AF99+1)/3)^0.6*('CAPEX+OPEX'!$G$116/'CAPEX+OPEX'!$G$114)</f>
        <v>843163.07585789578</v>
      </c>
      <c r="CZ99">
        <f>CO99*(BM99/10000)^0.72*((AF99+1)/3)^0.6*('CAPEX+OPEX'!$G$116/'CAPEX+OPEX'!$G$114)</f>
        <v>2168434.6185249295</v>
      </c>
      <c r="DA99">
        <f>CP99*(BM99/10000)^0.72*((AF99+1)/3)^0.6*('CAPEX+OPEX'!$G$116/'CAPEX+OPEX'!$G$114)</f>
        <v>418288.3858087401</v>
      </c>
      <c r="DB99">
        <f>CQ99*(BM99/10000)^0.72*((AF99+1)/3)^0.6*('CAPEX+OPEX'!$G$116/'CAPEX+OPEX'!$G$114)</f>
        <v>2589273.0573588139</v>
      </c>
      <c r="DC99">
        <f>CR99*(BM99/10000)^0.72*((AF99+1)/3)^0.6*('CAPEX+OPEX'!$G$116/'CAPEX+OPEX'!$G$114)</f>
        <v>305703.91201359074</v>
      </c>
      <c r="DD99">
        <f t="shared" si="33"/>
        <v>6324863.0495639704</v>
      </c>
      <c r="DE99">
        <f>CX99+DD99+1.15*(SUM(CI99:CL99)+SUM(CB99:CE99))</f>
        <v>13446302.254340872</v>
      </c>
      <c r="DF99">
        <f t="shared" si="34"/>
        <v>896420.15028939152</v>
      </c>
      <c r="DG99">
        <f>(BS99+BT99)*'Oxidant Feed Composition'!$N$28*60*7200</f>
        <v>20439747.248039916</v>
      </c>
      <c r="DH99">
        <f>((CG99+CH99)*'Reagent cost'!$C$17/1000*'Reagent cost'!$H$17+(CG99+CH99)*0.5*'Reagent cost'!$C$16/1000*'Reagent cost'!$H$16*1.5)*60*7200</f>
        <v>8695754.699941719</v>
      </c>
      <c r="DI99">
        <f>CF99*'Reagent cost'!$C$17/1000*'Reagent cost'!$H$17*60*7200</f>
        <v>504921.59999999998</v>
      </c>
      <c r="DJ99">
        <f t="shared" si="35"/>
        <v>108.04672690023894</v>
      </c>
      <c r="DK99">
        <f t="shared" si="36"/>
        <v>1140.1138370205426</v>
      </c>
      <c r="DL99">
        <f t="shared" si="37"/>
        <v>35570006.050254665</v>
      </c>
      <c r="DM99">
        <f>BK99*(B99*(409.81+2)/1000+C99*(248.2+2*22.99)/1000+D99*(315.6+3*22.99)/1000+0.1*58.44/1000)</f>
        <v>0.70639694042110623</v>
      </c>
      <c r="DN99">
        <f>(BS99+BT99)/1000*('Oxidant Feed Composition'!$B$11*'Oxidant Feed Composition'!$O$20+'Oxidant Feed Composition'!$D$11*'Oxidant Feed Composition'!$O$21+'Oxidant Feed Composition'!$F$11*'Oxidant Feed Composition'!$O$27-'Oxidant Feed Composition'!$J$15*18.015)</f>
        <v>2.1469431734099458</v>
      </c>
      <c r="DO99">
        <f>(BU99+BV99)/1000*(0.2*368.34+0.4*58.44)</f>
        <v>1.4866975922811561</v>
      </c>
      <c r="DP99">
        <f>BK99/1000*(B99*195.08+C99*106.42+D99*102.91)</f>
        <v>4.999938342565946E-2</v>
      </c>
      <c r="DQ99">
        <f>SUM(DM99:DO99)-DP99</f>
        <v>4.2900383226865477</v>
      </c>
      <c r="DR99">
        <f>DQ99*60*7200*0.33</f>
        <v>611587.86328219436</v>
      </c>
      <c r="DS99">
        <v>1.2</v>
      </c>
      <c r="DT99">
        <f>BM99/60*(AM99*4+AN99*2+AO99*3)*96485/DV99</f>
        <v>1405.8791478299054</v>
      </c>
      <c r="DU99">
        <f>BN99*BA99*(AP99*4+AQ99*2+AR99*3)*96485/DV99/60</f>
        <v>705.80254729732212</v>
      </c>
      <c r="DV99">
        <v>0.7</v>
      </c>
      <c r="DW99">
        <f>0.499*((BK99/3.78541*15)^(-0.146))*BK99/3.78541*15*300*(1+(A99-2)/9)</f>
        <v>52288.524762496963</v>
      </c>
      <c r="DX99">
        <f>0.248*((BK99/3.78541*15)^(-0.144))*BK99/3.78541*15*300*(1+(A99-2)/3)</f>
        <v>53983.928663982973</v>
      </c>
      <c r="DY99">
        <f>0.105*((BK99/3.78541*15)^(-0.144))*BK99/3.78541*15*300*(1+(A99-2)/3)</f>
        <v>22856.098829508919</v>
      </c>
      <c r="DZ99">
        <f>0.058*((BK99/3.78541*15)^(-0.151))*BK99/3.78541*15*300*(1+(A99-2)/3)</f>
        <v>12107.513206066582</v>
      </c>
      <c r="EA99">
        <f>0.056*((BK99/3.78541*15)^(-0.144))*BK99/3.78541*15*300*(1+(A99-2)/3)</f>
        <v>12189.919375738094</v>
      </c>
      <c r="EB99">
        <f>DS99*DT99/(3.6*10^6)*3600*7200*0.07</f>
        <v>850.27570860752689</v>
      </c>
      <c r="EC99">
        <f>0.499*((BM99/3.78541*15)^(-0.146))*BM99/3.78541*15*300*(1+(AF99-2)/9)</f>
        <v>46284.539356559282</v>
      </c>
      <c r="ED99">
        <f>0.248*((BM99/3.78541*15)^(-0.144))*BM99/3.78541*15*300*(1+(AF99-2)/3)</f>
        <v>46552.60320984431</v>
      </c>
      <c r="EE99">
        <f>0.105*((BM99/3.78541*15)^(-0.144))*BM99/3.78541*15*300*(1+(AF99-2)/3)</f>
        <v>19709.771520296981</v>
      </c>
      <c r="EF99">
        <f>0.058*((BM99/3.78541*15)^(-0.151))*BM99/3.78541*15*300*(1+(AF99-2)/3)</f>
        <v>10446.628530575212</v>
      </c>
      <c r="EG99">
        <f>0.056*((BM99/3.78541*15)^(-0.144))*BM99/3.78541*15*300*(1+(AF99-2)/3)</f>
        <v>10511.878144158392</v>
      </c>
      <c r="EH99">
        <f>DS99*DU99/(3.6*10^6)*3600*7200*0.07</f>
        <v>426.86938060542042</v>
      </c>
      <c r="EI99">
        <f>SUM(DW99:EH99)</f>
        <v>288208.55068844062</v>
      </c>
      <c r="EJ99">
        <f>EI99+DR99+DL99</f>
        <v>36469802.4642253</v>
      </c>
      <c r="EK99">
        <f>EJ99+DF99</f>
        <v>37366222.614514694</v>
      </c>
      <c r="EL99">
        <f>EK99/(BK99*60*7200)</f>
        <v>0.86495885681746976</v>
      </c>
      <c r="EM99">
        <f>EK99/(BM99*(AM99*195.084/1000+AN99*106.42/1000+AO99*102.911/1000)*60*7200)</f>
        <v>2893.6953874369788</v>
      </c>
      <c r="EN99">
        <f>EK99/(BN99*BA99*(AP99*195.084/1000+AQ99*106.42/1000+AR99*102.911/1000)*60*7200)</f>
        <v>5310.6408419163072</v>
      </c>
    </row>
    <row r="100" spans="1:144">
      <c r="A100">
        <f>'Costing 100 Lmin Feed Orig'!A100</f>
        <v>12</v>
      </c>
      <c r="B100">
        <f>'Costing 100 Lmin Feed Orig'!B100</f>
        <v>1.54143585092054E-3</v>
      </c>
      <c r="C100">
        <f>'Costing 100 Lmin Feed Orig'!C100</f>
        <v>1.54143585092054E-3</v>
      </c>
      <c r="D100">
        <f>'Costing 100 Lmin Feed Orig'!D100</f>
        <v>3.4254130020456501E-4</v>
      </c>
      <c r="E100">
        <f>'Costing 100 Lmin Feed Orig'!E100</f>
        <v>0</v>
      </c>
      <c r="F100">
        <f>'Costing 100 Lmin Feed Orig'!F100</f>
        <v>0</v>
      </c>
      <c r="G100">
        <f>'Costing 100 Lmin Feed Orig'!G100</f>
        <v>0</v>
      </c>
      <c r="H100">
        <f>'Costing 100 Lmin Feed Orig'!H100</f>
        <v>1.7771599281349402E-5</v>
      </c>
      <c r="I100">
        <f>'Costing 100 Lmin Feed Orig'!I100</f>
        <v>6.3113732322488897E-11</v>
      </c>
      <c r="J100">
        <f>'Costing 100 Lmin Feed Orig'!J100</f>
        <v>3.37661562480901E-4</v>
      </c>
      <c r="K100">
        <f>'Costing 100 Lmin Feed Orig'!K100</f>
        <v>0.13911791568267901</v>
      </c>
      <c r="L100">
        <f>'Costing 100 Lmin Feed Orig'!L100</f>
        <v>0.140740543921716</v>
      </c>
      <c r="M100">
        <f>'Costing 100 Lmin Feed Orig'!M100</f>
        <v>4.45543656000266E-4</v>
      </c>
      <c r="N100">
        <f>'Costing 100 Lmin Feed Orig'!N100</f>
        <v>-4.7646348672047899E-15</v>
      </c>
      <c r="O100">
        <f>'Costing 100 Lmin Feed Orig'!O100</f>
        <v>-1.1300289697036E-11</v>
      </c>
      <c r="P100">
        <f>'Costing 100 Lmin Feed Orig'!P100</f>
        <v>-4.6756218688437302E-19</v>
      </c>
      <c r="Q100">
        <f>'Costing 100 Lmin Feed Orig'!Q100</f>
        <v>0.10952322309941399</v>
      </c>
      <c r="R100">
        <f>'Costing 100 Lmin Feed Orig'!R100</f>
        <v>98.575430839799395</v>
      </c>
      <c r="S100">
        <f>'Costing 100 Lmin Feed Orig'!S100</f>
        <v>500</v>
      </c>
      <c r="T100">
        <f>'Costing 100 Lmin Feed Orig'!T100</f>
        <v>95</v>
      </c>
      <c r="U100">
        <f>'Costing 100 Lmin Feed Orig'!U100</f>
        <v>1</v>
      </c>
      <c r="V100">
        <f>'Costing 100 Lmin Feed Orig'!V100</f>
        <v>0.1</v>
      </c>
      <c r="W100">
        <f>'Costing 100 Lmin Feed Orig'!W100</f>
        <v>91.304836700459305</v>
      </c>
      <c r="X100" t="str">
        <f>'Costing 100 Lmin Feed Orig'!X100</f>
        <v>ddFc</v>
      </c>
      <c r="Y100">
        <f>'Costing 100 Lmin Feed Orig'!Y100</f>
        <v>1</v>
      </c>
      <c r="Z100">
        <f>'Costing 100 Lmin Feed Orig'!Z100</f>
        <v>0.28318429382522198</v>
      </c>
      <c r="AA100">
        <f>'Costing 100 Lmin Feed Orig'!AA100</f>
        <v>0.56945642916197003</v>
      </c>
      <c r="AB100">
        <f>'Costing 100 Lmin Feed Orig'!AB100</f>
        <v>3.7698628972227502E-3</v>
      </c>
      <c r="AC100">
        <f>'Costing 100 Lmin Feed Orig'!AC100</f>
        <v>1822.2107908876901</v>
      </c>
      <c r="AD100">
        <f>'Costing 100 Lmin Feed Orig'!AD100</f>
        <v>2662.6059073104898</v>
      </c>
      <c r="AE100">
        <f>'Costing 100 Lmin Feed Orig'!AE100</f>
        <v>2401.5030938442701</v>
      </c>
      <c r="AF100">
        <f>'Costing 100 Lmin Feed Orig'!AF100</f>
        <v>12</v>
      </c>
      <c r="AG100">
        <f>'Costing 100 Lmin Feed Orig'!AG100</f>
        <v>1.6497575706444501E-3</v>
      </c>
      <c r="AH100">
        <f>'Costing 100 Lmin Feed Orig'!AH100</f>
        <v>1.66899983148883E-3</v>
      </c>
      <c r="AI100">
        <f>'Costing 100 Lmin Feed Orig'!AI100</f>
        <v>5.28356837386519E-6</v>
      </c>
      <c r="AJ100">
        <f>'Costing 100 Lmin Feed Orig'!AJ100</f>
        <v>0</v>
      </c>
      <c r="AK100">
        <f>'Costing 100 Lmin Feed Orig'!AK100</f>
        <v>0</v>
      </c>
      <c r="AL100">
        <f>'Costing 100 Lmin Feed Orig'!AL100</f>
        <v>0</v>
      </c>
      <c r="AM100">
        <f>'Costing 100 Lmin Feed Orig'!AM100</f>
        <v>1.6128107620641699E-3</v>
      </c>
      <c r="AN100">
        <f>'Costing 100 Lmin Feed Orig'!AN100</f>
        <v>7.9635955314965296E-5</v>
      </c>
      <c r="AO100">
        <f>'Costing 100 Lmin Feed Orig'!AO100</f>
        <v>5.2488216357800397E-6</v>
      </c>
      <c r="AP100">
        <f>'Costing 100 Lmin Feed Orig'!AP100</f>
        <v>1.7332529701511801E-3</v>
      </c>
      <c r="AQ100">
        <f>'Costing 100 Lmin Feed Orig'!AQ100</f>
        <v>7.4560422536797497E-2</v>
      </c>
      <c r="AR100">
        <f>'Costing 100 Lmin Feed Orig'!AR100</f>
        <v>1.6300430078820901E-6</v>
      </c>
      <c r="AS100">
        <f>'Costing 100 Lmin Feed Orig'!AS100</f>
        <v>3.8848996719229E-16</v>
      </c>
      <c r="AT100">
        <f>'Costing 100 Lmin Feed Orig'!AT100</f>
        <v>-3.7900455343575703E-14</v>
      </c>
      <c r="AU100">
        <f>'Costing 100 Lmin Feed Orig'!AU100</f>
        <v>-2.53448139686247E-21</v>
      </c>
      <c r="AV100">
        <f>'Costing 100 Lmin Feed Orig'!AV100</f>
        <v>0.19687207814646801</v>
      </c>
      <c r="AW100">
        <f>'Costing 100 Lmin Feed Orig'!AW100</f>
        <v>99.342362289527202</v>
      </c>
      <c r="AX100">
        <f>'Costing 100 Lmin Feed Orig'!AX100</f>
        <v>500</v>
      </c>
      <c r="AY100">
        <f>'Costing 100 Lmin Feed Orig'!AY100</f>
        <v>95</v>
      </c>
      <c r="AZ100">
        <f>'Costing 100 Lmin Feed Orig'!AZ100</f>
        <v>0.92356857683566096</v>
      </c>
      <c r="BA100">
        <f>'Costing 100 Lmin Feed Orig'!BA100</f>
        <v>0.1</v>
      </c>
      <c r="BB100">
        <f>'Costing 100 Lmin Feed Orig'!BB100</f>
        <v>46.912116006036399</v>
      </c>
      <c r="BC100" t="str">
        <f>'Costing 100 Lmin Feed Orig'!BC100</f>
        <v>coeFc</v>
      </c>
      <c r="BD100">
        <f>'Costing 100 Lmin Feed Orig'!BD100</f>
        <v>1</v>
      </c>
      <c r="BE100">
        <f>'Costing 100 Lmin Feed Orig'!BE100</f>
        <v>1.8775014999999999E-2</v>
      </c>
      <c r="BF100">
        <f>'Costing 100 Lmin Feed Orig'!BF100</f>
        <v>0.10492961100000001</v>
      </c>
      <c r="BG100">
        <f>'Costing 100 Lmin Feed Orig'!BG100</f>
        <v>1.814625E-3</v>
      </c>
      <c r="BH100">
        <f>'Costing 100 Lmin Feed Orig'!BH100</f>
        <v>285.1951444</v>
      </c>
      <c r="BI100">
        <f>'Costing 100 Lmin Feed Orig'!BI100</f>
        <v>2169.8944889999998</v>
      </c>
      <c r="BJ100">
        <f>'Costing 100 Lmin Feed Orig'!BJ100</f>
        <v>866.49409060000005</v>
      </c>
      <c r="BK100">
        <f>'Costing 100 Lmin Feed Orig'!BK100</f>
        <v>100</v>
      </c>
      <c r="BL100">
        <f>'Costing 100 Lmin Feed Orig'!BL100</f>
        <v>10.952322309941399</v>
      </c>
      <c r="BM100">
        <f>'Costing 100 Lmin Feed Orig'!BM100</f>
        <v>92.356857683566091</v>
      </c>
      <c r="BN100">
        <f>'Costing 100 Lmin Feed Orig'!BN100</f>
        <v>19.687207814646801</v>
      </c>
      <c r="BO100">
        <f t="shared" si="20"/>
        <v>306.6650246783592</v>
      </c>
      <c r="BP100">
        <f t="shared" si="21"/>
        <v>551.24181881011043</v>
      </c>
      <c r="BQ100">
        <f t="shared" si="22"/>
        <v>30.666502467835922</v>
      </c>
      <c r="BR100">
        <f t="shared" si="23"/>
        <v>55.124181881011047</v>
      </c>
      <c r="BS100">
        <f>1.2*0.5*BL100*V100/'Oxidant Feed Composition'!$N$22</f>
        <v>6.5713933859648392</v>
      </c>
      <c r="BT100">
        <f>1.2*0.5*BN100*BA100/'Oxidant Feed Composition'!$N$22</f>
        <v>11.812324688788079</v>
      </c>
      <c r="BU100">
        <f t="shared" si="24"/>
        <v>5.4761611549706997</v>
      </c>
      <c r="BV100">
        <f t="shared" si="25"/>
        <v>9.8436039073234003</v>
      </c>
      <c r="BW100">
        <f t="shared" si="26"/>
        <v>86.880696528595394</v>
      </c>
      <c r="BX100">
        <f t="shared" si="19"/>
        <v>35.047431391812481</v>
      </c>
      <c r="BY100">
        <f t="shared" si="27"/>
        <v>206.61835998701497</v>
      </c>
      <c r="BZ100">
        <f t="shared" si="28"/>
        <v>62.999065006869756</v>
      </c>
      <c r="CA100">
        <f t="shared" si="29"/>
        <v>59.061623443940405</v>
      </c>
      <c r="CB100">
        <f>BO100*'Reagent cost'!$G$11*'Reagent cost'!$H$11</f>
        <v>4047.9783257543413</v>
      </c>
      <c r="CC100">
        <f>BP100*'Reagent cost'!$G$11*'Reagent cost'!$H$11</f>
        <v>7276.3920082934583</v>
      </c>
      <c r="CD100">
        <f>BQ100*'Reagent cost'!$C$18/1000*'Reagent cost'!$H$18</f>
        <v>4890.707695899031</v>
      </c>
      <c r="CE100">
        <f>BR100*'Ligand cost'!$B$56*'Ligand cost'!$J$56</f>
        <v>56123.458273328237</v>
      </c>
      <c r="CF100">
        <f t="shared" si="30"/>
        <v>10</v>
      </c>
      <c r="CG100">
        <f t="shared" si="31"/>
        <v>2.19046446198828</v>
      </c>
      <c r="CH100">
        <f t="shared" si="31"/>
        <v>3.9374415629293602</v>
      </c>
      <c r="CI100">
        <f>7963.6*(BX100/1000)^0.6*1.7*('CAPEX+OPEX'!$G$116/'CAPEX+OPEX'!$G$115)</f>
        <v>2138.1326451989207</v>
      </c>
      <c r="CJ100">
        <f>7963.6*(BY100/1000)^0.6*1.7*('CAPEX+OPEX'!$G$116/'CAPEX+OPEX'!$G$115)</f>
        <v>6199.2945816251477</v>
      </c>
      <c r="CK100">
        <f>7963.6*(BZ100/1000)^0.6*1.7*('CAPEX+OPEX'!$G$116/'CAPEX+OPEX'!$G$115)</f>
        <v>3039.7746593672682</v>
      </c>
      <c r="CL100">
        <f>7963.6*(CA100/1000)^0.6*1.7*('CAPEX+OPEX'!$G$116/'CAPEX+OPEX'!$G$115)</f>
        <v>2924.3150279468332</v>
      </c>
      <c r="CM100">
        <f>'Costing 100 Lmin Feed Orig'!DE100</f>
        <v>39625.826528698344</v>
      </c>
      <c r="CN100">
        <f>'Costing 100 Lmin Feed Orig'!DF100</f>
        <v>4586243.4239371875</v>
      </c>
      <c r="CO100">
        <f>'Costing 100 Lmin Feed Orig'!DG100</f>
        <v>11794834.586807497</v>
      </c>
      <c r="CP100">
        <f>'Costing 100 Lmin Feed Orig'!DH100</f>
        <v>2275209.1661185985</v>
      </c>
      <c r="CQ100">
        <f>'Costing 100 Lmin Feed Orig'!DI100</f>
        <v>14083914.336508472</v>
      </c>
      <c r="CR100">
        <f>'Costing 100 Lmin Feed Orig'!DJ100</f>
        <v>1662824.8986326549</v>
      </c>
      <c r="CS100">
        <f>CN100*(BK100/10000)^0.72*((A100+1)/3)^0.6*('CAPEX+OPEX'!$G$116/'CAPEX+OPEX'!$G$114)</f>
        <v>936765.86395108781</v>
      </c>
      <c r="CT100">
        <f>CO100*(BK100/10000)^0.72*((A100+1)/3)^0.6*('CAPEX+OPEX'!$G$116/'CAPEX+OPEX'!$G$114)</f>
        <v>2409160.916797909</v>
      </c>
      <c r="CU100">
        <f>CP100*(BK100/10000)^0.72*((A100+1)/3)^0.6*('CAPEX+OPEX'!$G$116/'CAPEX+OPEX'!$G$114)</f>
        <v>464724.19432521454</v>
      </c>
      <c r="CV100">
        <f>CQ100*(BK100/10000)^0.72*((A100+1)/3)^0.6*('CAPEX+OPEX'!$G$116/'CAPEX+OPEX'!$G$114)</f>
        <v>2876718.2553791031</v>
      </c>
      <c r="CW100">
        <f>CR100*(BK100/10000)^0.72*((A100+1)/3)^0.6*('CAPEX+OPEX'!$G$116/'CAPEX+OPEX'!$G$114)</f>
        <v>339641.28346021532</v>
      </c>
      <c r="CX100">
        <f t="shared" si="32"/>
        <v>7027010.5139135299</v>
      </c>
      <c r="CY100">
        <f>CN100*(BM100/10000)^0.72*((AF100+1)/3)^0.6*('CAPEX+OPEX'!$G$116/'CAPEX+OPEX'!$G$114)</f>
        <v>884644.62522109901</v>
      </c>
      <c r="CZ100">
        <f>CO100*(BM100/10000)^0.72*((AF100+1)/3)^0.6*('CAPEX+OPEX'!$G$116/'CAPEX+OPEX'!$G$114)</f>
        <v>2275116.2679528282</v>
      </c>
      <c r="DA100">
        <f>CP100*(BM100/10000)^0.72*((AF100+1)/3)^0.6*('CAPEX+OPEX'!$G$116/'CAPEX+OPEX'!$G$114)</f>
        <v>438867.14550635306</v>
      </c>
      <c r="DB100">
        <f>CQ100*(BM100/10000)^0.72*((AF100+1)/3)^0.6*('CAPEX+OPEX'!$G$116/'CAPEX+OPEX'!$G$114)</f>
        <v>2716658.9228206738</v>
      </c>
      <c r="DC100">
        <f>CR100*(BM100/10000)^0.72*((AF100+1)/3)^0.6*('CAPEX+OPEX'!$G$116/'CAPEX+OPEX'!$G$114)</f>
        <v>320743.79252995877</v>
      </c>
      <c r="DD100">
        <f t="shared" si="33"/>
        <v>6636030.7540309131</v>
      </c>
      <c r="DE100">
        <f>CX100+DD100+1.15*(SUM(CI100:CL100)+SUM(CB100:CE100))</f>
        <v>13762677.329144469</v>
      </c>
      <c r="DF100">
        <f t="shared" si="34"/>
        <v>917511.82194296457</v>
      </c>
      <c r="DG100">
        <f>(BS100+BT100)*'Oxidant Feed Composition'!$N$28*60*7200</f>
        <v>20439660.473825347</v>
      </c>
      <c r="DH100">
        <f>((CG100+CH100)*'Reagent cost'!$C$17/1000*'Reagent cost'!$H$17+(CG100+CH100)*0.5*'Reagent cost'!$C$16/1000*'Reagent cost'!$H$16*1.5)*60*7200</f>
        <v>8695717.7832775842</v>
      </c>
      <c r="DI100">
        <f>CF100*'Reagent cost'!$C$17/1000*'Reagent cost'!$H$17*60*7200</f>
        <v>504921.59999999998</v>
      </c>
      <c r="DJ100">
        <f t="shared" si="35"/>
        <v>113.24370334047799</v>
      </c>
      <c r="DK100">
        <f t="shared" si="36"/>
        <v>1220.2833193845454</v>
      </c>
      <c r="DL100">
        <f t="shared" si="37"/>
        <v>35569960.060950786</v>
      </c>
      <c r="DM100">
        <f>BK100*(B100*(409.81+2)/1000+C100*(248.2+2*22.99)/1000+D100*(315.6+3*22.99)/1000+0.1*58.44/1000)</f>
        <v>0.70639694042110623</v>
      </c>
      <c r="DN100">
        <f>(BS100+BT100)/1000*('Oxidant Feed Composition'!$B$11*'Oxidant Feed Composition'!$O$20+'Oxidant Feed Composition'!$D$11*'Oxidant Feed Composition'!$O$21+'Oxidant Feed Composition'!$F$11*'Oxidant Feed Composition'!$O$27-'Oxidant Feed Composition'!$J$15*18.015)</f>
        <v>2.146934058849705</v>
      </c>
      <c r="DO100">
        <f>(BU100+BV100)/1000*(0.2*368.34+0.4*58.44)</f>
        <v>1.4866912807052686</v>
      </c>
      <c r="DP100">
        <f>BK100/1000*(B100*195.08+C100*106.42+D100*102.91)</f>
        <v>4.999938342565946E-2</v>
      </c>
      <c r="DQ100">
        <f>SUM(DM100:DO100)-DP100</f>
        <v>4.2900228965504201</v>
      </c>
      <c r="DR100">
        <f>DQ100*60*7200*0.33</f>
        <v>611585.66413222789</v>
      </c>
      <c r="DS100">
        <v>1.2</v>
      </c>
      <c r="DT100">
        <f>BM100/60*(AM100*4+AN100*2+AO100*3)*96485/DV100</f>
        <v>1405.8799101755899</v>
      </c>
      <c r="DU100">
        <f>BN100*BA100*(AP100*4+AQ100*2+AR100*3)*96485/DV100/60</f>
        <v>705.80178487948251</v>
      </c>
      <c r="DV100">
        <v>0.7</v>
      </c>
      <c r="DW100">
        <f>0.499*((BK100/3.78541*15)^(-0.146))*BK100/3.78541*15*300*(1+(A100-2)/9)</f>
        <v>52288.524762496963</v>
      </c>
      <c r="DX100">
        <f>0.248*((BK100/3.78541*15)^(-0.144))*BK100/3.78541*15*300*(1+(A100-2)/3)</f>
        <v>53983.928663982973</v>
      </c>
      <c r="DY100">
        <f>0.105*((BK100/3.78541*15)^(-0.144))*BK100/3.78541*15*300*(1+(A100-2)/3)</f>
        <v>22856.098829508919</v>
      </c>
      <c r="DZ100">
        <f>0.058*((BK100/3.78541*15)^(-0.151))*BK100/3.78541*15*300*(1+(A100-2)/3)</f>
        <v>12107.513206066582</v>
      </c>
      <c r="EA100">
        <f>0.056*((BK100/3.78541*15)^(-0.144))*BK100/3.78541*15*300*(1+(A100-2)/3)</f>
        <v>12189.919375738094</v>
      </c>
      <c r="EB100">
        <f>DS100*DT100/(3.6*10^6)*3600*7200*0.07</f>
        <v>850.27616967419681</v>
      </c>
      <c r="EC100">
        <f>0.499*((BM100/3.78541*15)^(-0.146))*BM100/3.78541*15*300*(1+(AF100-2)/9)</f>
        <v>48855.90265414591</v>
      </c>
      <c r="ED100">
        <f>0.248*((BM100/3.78541*15)^(-0.144))*BM100/3.78541*15*300*(1+(AF100-2)/3)</f>
        <v>50431.986810664675</v>
      </c>
      <c r="EE100">
        <f>0.105*((BM100/3.78541*15)^(-0.144))*BM100/3.78541*15*300*(1+(AF100-2)/3)</f>
        <v>21352.252480321731</v>
      </c>
      <c r="EF100">
        <f>0.058*((BM100/3.78541*15)^(-0.151))*BM100/3.78541*15*300*(1+(AF100-2)/3)</f>
        <v>11317.180908123148</v>
      </c>
      <c r="EG100">
        <f>0.056*((BM100/3.78541*15)^(-0.144))*BM100/3.78541*15*300*(1+(AF100-2)/3)</f>
        <v>11387.867989504926</v>
      </c>
      <c r="EH100">
        <f>DS100*DU100/(3.6*10^6)*3600*7200*0.07</f>
        <v>426.86891949511096</v>
      </c>
      <c r="EI100">
        <f>SUM(DW100:EH100)</f>
        <v>298048.32076972321</v>
      </c>
      <c r="EJ100">
        <f>EI100+DR100+DL100</f>
        <v>36479594.045852736</v>
      </c>
      <c r="EK100">
        <f>EJ100+DF100</f>
        <v>37397105.867795698</v>
      </c>
      <c r="EL100">
        <f>EK100/(BK100*60*7200)</f>
        <v>0.86567374693971522</v>
      </c>
      <c r="EM100">
        <f>EK100/(BM100*(AM100*195.084/1000+AN100*106.42/1000+AO100*102.911/1000)*60*7200)</f>
        <v>2896.0854607352221</v>
      </c>
      <c r="EN100">
        <f>EK100/(BN100*BA100*(AP100*195.084/1000+AQ100*106.42/1000+AR100*102.911/1000)*60*7200)</f>
        <v>5315.0353897308169</v>
      </c>
    </row>
    <row r="101" spans="1:144">
      <c r="A101">
        <f>'Costing 100 Lmin Feed Orig'!A101</f>
        <v>12</v>
      </c>
      <c r="B101">
        <f>'Costing 100 Lmin Feed Orig'!B101</f>
        <v>1.54143585092054E-3</v>
      </c>
      <c r="C101">
        <f>'Costing 100 Lmin Feed Orig'!C101</f>
        <v>1.54143585092054E-3</v>
      </c>
      <c r="D101">
        <f>'Costing 100 Lmin Feed Orig'!D101</f>
        <v>3.4254130020456501E-4</v>
      </c>
      <c r="E101">
        <f>'Costing 100 Lmin Feed Orig'!E101</f>
        <v>0</v>
      </c>
      <c r="F101">
        <f>'Costing 100 Lmin Feed Orig'!F101</f>
        <v>0</v>
      </c>
      <c r="G101">
        <f>'Costing 100 Lmin Feed Orig'!G101</f>
        <v>0</v>
      </c>
      <c r="H101">
        <f>'Costing 100 Lmin Feed Orig'!H101</f>
        <v>1.7771599281349402E-5</v>
      </c>
      <c r="I101">
        <f>'Costing 100 Lmin Feed Orig'!I101</f>
        <v>6.3113732322488897E-11</v>
      </c>
      <c r="J101">
        <f>'Costing 100 Lmin Feed Orig'!J101</f>
        <v>3.37661562480901E-4</v>
      </c>
      <c r="K101">
        <f>'Costing 100 Lmin Feed Orig'!K101</f>
        <v>0.13911791568267901</v>
      </c>
      <c r="L101">
        <f>'Costing 100 Lmin Feed Orig'!L101</f>
        <v>0.140740543921716</v>
      </c>
      <c r="M101">
        <f>'Costing 100 Lmin Feed Orig'!M101</f>
        <v>4.45543656000266E-4</v>
      </c>
      <c r="N101">
        <f>'Costing 100 Lmin Feed Orig'!N101</f>
        <v>-4.7646348672047899E-15</v>
      </c>
      <c r="O101">
        <f>'Costing 100 Lmin Feed Orig'!O101</f>
        <v>-1.1300289697036E-11</v>
      </c>
      <c r="P101">
        <f>'Costing 100 Lmin Feed Orig'!P101</f>
        <v>-4.6756218688437302E-19</v>
      </c>
      <c r="Q101">
        <f>'Costing 100 Lmin Feed Orig'!Q101</f>
        <v>0.10952322309941399</v>
      </c>
      <c r="R101">
        <f>'Costing 100 Lmin Feed Orig'!R101</f>
        <v>98.575430839799395</v>
      </c>
      <c r="S101">
        <f>'Costing 100 Lmin Feed Orig'!S101</f>
        <v>500</v>
      </c>
      <c r="T101">
        <f>'Costing 100 Lmin Feed Orig'!T101</f>
        <v>95</v>
      </c>
      <c r="U101">
        <f>'Costing 100 Lmin Feed Orig'!U101</f>
        <v>1</v>
      </c>
      <c r="V101">
        <f>'Costing 100 Lmin Feed Orig'!V101</f>
        <v>0.1</v>
      </c>
      <c r="W101">
        <f>'Costing 100 Lmin Feed Orig'!W101</f>
        <v>91.304836700459305</v>
      </c>
      <c r="X101" t="str">
        <f>'Costing 100 Lmin Feed Orig'!X101</f>
        <v>ddFc</v>
      </c>
      <c r="Y101">
        <f>'Costing 100 Lmin Feed Orig'!Y101</f>
        <v>1</v>
      </c>
      <c r="Z101">
        <f>'Costing 100 Lmin Feed Orig'!Z101</f>
        <v>0.28318429382522198</v>
      </c>
      <c r="AA101">
        <f>'Costing 100 Lmin Feed Orig'!AA101</f>
        <v>0.56945642916197003</v>
      </c>
      <c r="AB101">
        <f>'Costing 100 Lmin Feed Orig'!AB101</f>
        <v>3.7698628972227502E-3</v>
      </c>
      <c r="AC101">
        <f>'Costing 100 Lmin Feed Orig'!AC101</f>
        <v>1822.2107908876901</v>
      </c>
      <c r="AD101">
        <f>'Costing 100 Lmin Feed Orig'!AD101</f>
        <v>2662.6059073104898</v>
      </c>
      <c r="AE101">
        <f>'Costing 100 Lmin Feed Orig'!AE101</f>
        <v>2401.5030938442701</v>
      </c>
      <c r="AF101">
        <f>'Costing 100 Lmin Feed Orig'!AF101</f>
        <v>13</v>
      </c>
      <c r="AG101">
        <f>'Costing 100 Lmin Feed Orig'!AG101</f>
        <v>1.6497575706444501E-3</v>
      </c>
      <c r="AH101">
        <f>'Costing 100 Lmin Feed Orig'!AH101</f>
        <v>1.66899983148883E-3</v>
      </c>
      <c r="AI101">
        <f>'Costing 100 Lmin Feed Orig'!AI101</f>
        <v>5.28356837386519E-6</v>
      </c>
      <c r="AJ101">
        <f>'Costing 100 Lmin Feed Orig'!AJ101</f>
        <v>0</v>
      </c>
      <c r="AK101">
        <f>'Costing 100 Lmin Feed Orig'!AK101</f>
        <v>0</v>
      </c>
      <c r="AL101">
        <f>'Costing 100 Lmin Feed Orig'!AL101</f>
        <v>0</v>
      </c>
      <c r="AM101">
        <f>'Costing 100 Lmin Feed Orig'!AM101</f>
        <v>1.61281100796467E-3</v>
      </c>
      <c r="AN101">
        <f>'Costing 100 Lmin Feed Orig'!AN101</f>
        <v>7.9635968035451799E-5</v>
      </c>
      <c r="AO101">
        <f>'Costing 100 Lmin Feed Orig'!AO101</f>
        <v>5.2488218574256396E-6</v>
      </c>
      <c r="AP101">
        <f>'Costing 100 Lmin Feed Orig'!AP101</f>
        <v>1.73324465254427E-3</v>
      </c>
      <c r="AQ101">
        <f>'Costing 100 Lmin Feed Orig'!AQ101</f>
        <v>7.4560560373448506E-2</v>
      </c>
      <c r="AR101">
        <f>'Costing 100 Lmin Feed Orig'!AR101</f>
        <v>1.6300356364773401E-6</v>
      </c>
      <c r="AS101">
        <f>'Costing 100 Lmin Feed Orig'!AS101</f>
        <v>-7.4538899358378406E-20</v>
      </c>
      <c r="AT101">
        <f>'Costing 100 Lmin Feed Orig'!AT101</f>
        <v>-1.34441069388202E-17</v>
      </c>
      <c r="AU101">
        <f>'Costing 100 Lmin Feed Orig'!AU101</f>
        <v>3.44107134822059E-22</v>
      </c>
      <c r="AV101">
        <f>'Costing 100 Lmin Feed Orig'!AV101</f>
        <v>0.19687171261743899</v>
      </c>
      <c r="AW101">
        <f>'Costing 100 Lmin Feed Orig'!AW101</f>
        <v>99.3423664845254</v>
      </c>
      <c r="AX101">
        <f>'Costing 100 Lmin Feed Orig'!AX101</f>
        <v>500</v>
      </c>
      <c r="AY101">
        <f>'Costing 100 Lmin Feed Orig'!AY101</f>
        <v>95</v>
      </c>
      <c r="AZ101">
        <f>'Costing 100 Lmin Feed Orig'!AZ101</f>
        <v>0.92356857683566096</v>
      </c>
      <c r="BA101">
        <f>'Costing 100 Lmin Feed Orig'!BA101</f>
        <v>0.1</v>
      </c>
      <c r="BB101">
        <f>'Costing 100 Lmin Feed Orig'!BB101</f>
        <v>46.912203107123602</v>
      </c>
      <c r="BC101" t="str">
        <f>'Costing 100 Lmin Feed Orig'!BC101</f>
        <v>coeFc</v>
      </c>
      <c r="BD101">
        <f>'Costing 100 Lmin Feed Orig'!BD101</f>
        <v>1</v>
      </c>
      <c r="BE101">
        <f>'Costing 100 Lmin Feed Orig'!BE101</f>
        <v>1.8775014999999999E-2</v>
      </c>
      <c r="BF101">
        <f>'Costing 100 Lmin Feed Orig'!BF101</f>
        <v>0.10492961100000001</v>
      </c>
      <c r="BG101">
        <f>'Costing 100 Lmin Feed Orig'!BG101</f>
        <v>1.814625E-3</v>
      </c>
      <c r="BH101">
        <f>'Costing 100 Lmin Feed Orig'!BH101</f>
        <v>285.1951444</v>
      </c>
      <c r="BI101">
        <f>'Costing 100 Lmin Feed Orig'!BI101</f>
        <v>2169.8944889999998</v>
      </c>
      <c r="BJ101">
        <f>'Costing 100 Lmin Feed Orig'!BJ101</f>
        <v>866.49409060000005</v>
      </c>
      <c r="BK101">
        <f>'Costing 100 Lmin Feed Orig'!BK101</f>
        <v>100</v>
      </c>
      <c r="BL101">
        <f>'Costing 100 Lmin Feed Orig'!BL101</f>
        <v>10.952322309941399</v>
      </c>
      <c r="BM101">
        <f>'Costing 100 Lmin Feed Orig'!BM101</f>
        <v>92.356857683566091</v>
      </c>
      <c r="BN101">
        <f>'Costing 100 Lmin Feed Orig'!BN101</f>
        <v>19.687171261743899</v>
      </c>
      <c r="BO101">
        <f t="shared" si="20"/>
        <v>306.6650246783592</v>
      </c>
      <c r="BP101">
        <f t="shared" si="21"/>
        <v>590.61513785231693</v>
      </c>
      <c r="BQ101">
        <f t="shared" si="22"/>
        <v>30.666502467835922</v>
      </c>
      <c r="BR101">
        <f t="shared" si="23"/>
        <v>59.061513785231696</v>
      </c>
      <c r="BS101">
        <f>1.2*0.5*BL101*V101/'Oxidant Feed Composition'!$N$22</f>
        <v>6.5713933859648392</v>
      </c>
      <c r="BT101">
        <f>1.2*0.5*BN101*BA101/'Oxidant Feed Composition'!$N$22</f>
        <v>11.812302757046339</v>
      </c>
      <c r="BU101">
        <f t="shared" si="24"/>
        <v>5.4761611549706997</v>
      </c>
      <c r="BV101">
        <f t="shared" si="25"/>
        <v>9.8435856308719494</v>
      </c>
      <c r="BW101">
        <f t="shared" si="26"/>
        <v>86.880696528595394</v>
      </c>
      <c r="BX101">
        <f t="shared" si="19"/>
        <v>35.047431391812481</v>
      </c>
      <c r="BY101">
        <f t="shared" si="27"/>
        <v>206.61835998701497</v>
      </c>
      <c r="BZ101">
        <f t="shared" si="28"/>
        <v>62.998948037580476</v>
      </c>
      <c r="CA101">
        <f t="shared" si="29"/>
        <v>59.061513785231696</v>
      </c>
      <c r="CB101">
        <f>BO101*'Reagent cost'!$G$11*'Reagent cost'!$H$11</f>
        <v>4047.9783257543413</v>
      </c>
      <c r="CC101">
        <f>BP101*'Reagent cost'!$G$11*'Reagent cost'!$H$11</f>
        <v>7796.1198196505838</v>
      </c>
      <c r="CD101">
        <f>BQ101*'Reagent cost'!$C$18/1000*'Reagent cost'!$H$18</f>
        <v>4890.707695899031</v>
      </c>
      <c r="CE101">
        <f>BR101*'Ligand cost'!$B$56*'Ligand cost'!$J$56</f>
        <v>60132.165074850724</v>
      </c>
      <c r="CF101">
        <f t="shared" si="30"/>
        <v>10</v>
      </c>
      <c r="CG101">
        <f t="shared" si="31"/>
        <v>2.19046446198828</v>
      </c>
      <c r="CH101">
        <f t="shared" si="31"/>
        <v>3.9374342523487798</v>
      </c>
      <c r="CI101">
        <f>7963.6*(BX101/1000)^0.6*1.7*('CAPEX+OPEX'!$G$116/'CAPEX+OPEX'!$G$115)</f>
        <v>2138.1326451989207</v>
      </c>
      <c r="CJ101">
        <f>7963.6*(BY101/1000)^0.6*1.7*('CAPEX+OPEX'!$G$116/'CAPEX+OPEX'!$G$115)</f>
        <v>6199.2945816251477</v>
      </c>
      <c r="CK101">
        <f>7963.6*(BZ101/1000)^0.6*1.7*('CAPEX+OPEX'!$G$116/'CAPEX+OPEX'!$G$115)</f>
        <v>3039.7712730273583</v>
      </c>
      <c r="CL101">
        <f>7963.6*(CA101/1000)^0.6*1.7*('CAPEX+OPEX'!$G$116/'CAPEX+OPEX'!$G$115)</f>
        <v>2924.3117702301279</v>
      </c>
      <c r="CM101">
        <f>'Costing 100 Lmin Feed Orig'!DE101</f>
        <v>39625.826528698344</v>
      </c>
      <c r="CN101">
        <f>'Costing 100 Lmin Feed Orig'!DF101</f>
        <v>4586243.4239371875</v>
      </c>
      <c r="CO101">
        <f>'Costing 100 Lmin Feed Orig'!DG101</f>
        <v>11794834.586807497</v>
      </c>
      <c r="CP101">
        <f>'Costing 100 Lmin Feed Orig'!DH101</f>
        <v>2275209.1661185985</v>
      </c>
      <c r="CQ101">
        <f>'Costing 100 Lmin Feed Orig'!DI101</f>
        <v>14083914.336508472</v>
      </c>
      <c r="CR101">
        <f>'Costing 100 Lmin Feed Orig'!DJ101</f>
        <v>1662824.8986326549</v>
      </c>
      <c r="CS101">
        <f>CN101*(BK101/10000)^0.72*((A101+1)/3)^0.6*('CAPEX+OPEX'!$G$116/'CAPEX+OPEX'!$G$114)</f>
        <v>936765.86395108781</v>
      </c>
      <c r="CT101">
        <f>CO101*(BK101/10000)^0.72*((A101+1)/3)^0.6*('CAPEX+OPEX'!$G$116/'CAPEX+OPEX'!$G$114)</f>
        <v>2409160.916797909</v>
      </c>
      <c r="CU101">
        <f>CP101*(BK101/10000)^0.72*((A101+1)/3)^0.6*('CAPEX+OPEX'!$G$116/'CAPEX+OPEX'!$G$114)</f>
        <v>464724.19432521454</v>
      </c>
      <c r="CV101">
        <f>CQ101*(BK101/10000)^0.72*((A101+1)/3)^0.6*('CAPEX+OPEX'!$G$116/'CAPEX+OPEX'!$G$114)</f>
        <v>2876718.2553791031</v>
      </c>
      <c r="CW101">
        <f>CR101*(BK101/10000)^0.72*((A101+1)/3)^0.6*('CAPEX+OPEX'!$G$116/'CAPEX+OPEX'!$G$114)</f>
        <v>339641.28346021532</v>
      </c>
      <c r="CX101">
        <f t="shared" si="32"/>
        <v>7027010.5139135299</v>
      </c>
      <c r="CY101">
        <f>CN101*(BM101/10000)^0.72*((AF101+1)/3)^0.6*('CAPEX+OPEX'!$G$116/'CAPEX+OPEX'!$G$114)</f>
        <v>924867.78691671521</v>
      </c>
      <c r="CZ101">
        <f>CO101*(BM101/10000)^0.72*((AF101+1)/3)^0.6*('CAPEX+OPEX'!$G$116/'CAPEX+OPEX'!$G$114)</f>
        <v>2378561.6141553461</v>
      </c>
      <c r="DA101">
        <f>CP101*(BM101/10000)^0.72*((AF101+1)/3)^0.6*('CAPEX+OPEX'!$G$116/'CAPEX+OPEX'!$G$114)</f>
        <v>458821.62626995199</v>
      </c>
      <c r="DB101">
        <f>CQ101*(BM101/10000)^0.72*((AF101+1)/3)^0.6*('CAPEX+OPEX'!$G$116/'CAPEX+OPEX'!$G$114)</f>
        <v>2840180.400269479</v>
      </c>
      <c r="DC101">
        <f>CR101*(BM101/10000)^0.72*((AF101+1)/3)^0.6*('CAPEX+OPEX'!$G$116/'CAPEX+OPEX'!$G$114)</f>
        <v>335327.4220032891</v>
      </c>
      <c r="DD101">
        <f t="shared" si="33"/>
        <v>6937758.8496147813</v>
      </c>
      <c r="DE101">
        <f>CX101+DD101+1.15*(SUM(CI101:CL101)+SUM(CB101:CE101))</f>
        <v>14069613.116892483</v>
      </c>
      <c r="DF101">
        <f t="shared" si="34"/>
        <v>937974.20779283217</v>
      </c>
      <c r="DG101">
        <f>(BS101+BT101)*'Oxidant Feed Composition'!$N$28*60*7200</f>
        <v>20439636.089348115</v>
      </c>
      <c r="DH101">
        <f>((CG101+CH101)*'Reagent cost'!$C$17/1000*'Reagent cost'!$H$17+(CG101+CH101)*0.5*'Reagent cost'!$C$16/1000*'Reagent cost'!$H$16*1.5)*60*7200</f>
        <v>8695707.4093023129</v>
      </c>
      <c r="DI101">
        <f>CF101*'Reagent cost'!$C$17/1000*'Reagent cost'!$H$17*60*7200</f>
        <v>504921.59999999998</v>
      </c>
      <c r="DJ101">
        <f t="shared" si="35"/>
        <v>118.44098145404925</v>
      </c>
      <c r="DK101">
        <f t="shared" si="36"/>
        <v>1300.4574554149951</v>
      </c>
      <c r="DL101">
        <f t="shared" si="37"/>
        <v>35570020.796504758</v>
      </c>
      <c r="DM101">
        <f>BK101*(B101*(409.81+2)/1000+C101*(248.2+2*22.99)/1000+D101*(315.6+3*22.99)/1000+0.1*58.44/1000)</f>
        <v>0.70639694042110623</v>
      </c>
      <c r="DN101">
        <f>(BS101+BT101)/1000*('Oxidant Feed Composition'!$B$11*'Oxidant Feed Composition'!$O$20+'Oxidant Feed Composition'!$D$11*'Oxidant Feed Composition'!$O$21+'Oxidant Feed Composition'!$F$11*'Oxidant Feed Composition'!$O$27-'Oxidant Feed Composition'!$J$15*18.015)</f>
        <v>2.1469314975613343</v>
      </c>
      <c r="DO101">
        <f>(BU101+BV101)/1000*(0.2*368.34+0.4*58.44)</f>
        <v>1.4866895070853141</v>
      </c>
      <c r="DP101">
        <f>BK101/1000*(B101*195.08+C101*106.42+D101*102.91)</f>
        <v>4.999938342565946E-2</v>
      </c>
      <c r="DQ101">
        <f>SUM(DM101:DO101)-DP101</f>
        <v>4.2900185616420945</v>
      </c>
      <c r="DR101">
        <f>DQ101*60*7200*0.33</f>
        <v>611585.04614769702</v>
      </c>
      <c r="DS101">
        <v>1.2</v>
      </c>
      <c r="DT101">
        <f>BM101/60*(AM101*4+AN101*2+AO101*3)*96485/DV101</f>
        <v>1405.8801244031877</v>
      </c>
      <c r="DU101">
        <f>BN101*BA101*(AP101*4+AQ101*2+AR101*3)*96485/DV101/60</f>
        <v>705.80157063484023</v>
      </c>
      <c r="DV101">
        <v>0.7</v>
      </c>
      <c r="DW101">
        <f>0.499*((BK101/3.78541*15)^(-0.146))*BK101/3.78541*15*300*(1+(A101-2)/9)</f>
        <v>52288.524762496963</v>
      </c>
      <c r="DX101">
        <f>0.248*((BK101/3.78541*15)^(-0.144))*BK101/3.78541*15*300*(1+(A101-2)/3)</f>
        <v>53983.928663982973</v>
      </c>
      <c r="DY101">
        <f>0.105*((BK101/3.78541*15)^(-0.144))*BK101/3.78541*15*300*(1+(A101-2)/3)</f>
        <v>22856.098829508919</v>
      </c>
      <c r="DZ101">
        <f>0.058*((BK101/3.78541*15)^(-0.151))*BK101/3.78541*15*300*(1+(A101-2)/3)</f>
        <v>12107.513206066582</v>
      </c>
      <c r="EA101">
        <f>0.056*((BK101/3.78541*15)^(-0.144))*BK101/3.78541*15*300*(1+(A101-2)/3)</f>
        <v>12189.919375738094</v>
      </c>
      <c r="EB101">
        <f>DS101*DT101/(3.6*10^6)*3600*7200*0.07</f>
        <v>850.27629923904806</v>
      </c>
      <c r="EC101">
        <f>0.499*((BM101/3.78541*15)^(-0.146))*BM101/3.78541*15*300*(1+(AF101-2)/9)</f>
        <v>51427.265951732537</v>
      </c>
      <c r="ED101">
        <f>0.248*((BM101/3.78541*15)^(-0.144))*BM101/3.78541*15*300*(1+(AF101-2)/3)</f>
        <v>54311.370411485019</v>
      </c>
      <c r="EE101">
        <f>0.105*((BM101/3.78541*15)^(-0.144))*BM101/3.78541*15*300*(1+(AF101-2)/3)</f>
        <v>22994.733440346474</v>
      </c>
      <c r="EF101">
        <f>0.058*((BM101/3.78541*15)^(-0.151))*BM101/3.78541*15*300*(1+(AF101-2)/3)</f>
        <v>12187.733285671078</v>
      </c>
      <c r="EG101">
        <f>0.056*((BM101/3.78541*15)^(-0.144))*BM101/3.78541*15*300*(1+(AF101-2)/3)</f>
        <v>12263.857834851457</v>
      </c>
      <c r="EH101">
        <f>DS101*DU101/(3.6*10^6)*3600*7200*0.07</f>
        <v>426.86878991995138</v>
      </c>
      <c r="EI101">
        <f>SUM(DW101:EH101)</f>
        <v>307888.0908510391</v>
      </c>
      <c r="EJ101">
        <f>EI101+DR101+DL101</f>
        <v>36489493.933503494</v>
      </c>
      <c r="EK101">
        <f>EJ101+DF101</f>
        <v>37427468.141296327</v>
      </c>
      <c r="EL101">
        <f>EK101/(BK101*60*7200)</f>
        <v>0.86637657734482243</v>
      </c>
      <c r="EM101">
        <f>EK101/(BM101*(AM101*195.084/1000+AN101*106.42/1000+AO101*102.911/1000)*60*7200)</f>
        <v>2898.4363167637616</v>
      </c>
      <c r="EN101">
        <f>EK101/(BN101*BA101*(AP101*195.084/1000+AQ101*106.42/1000+AR101*102.911/1000)*60*7200)</f>
        <v>5319.3520935147035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92CE-61D5-4C4E-99A1-1194CE30DC52}">
  <dimension ref="A1:EN101"/>
  <sheetViews>
    <sheetView topLeftCell="EC1" workbookViewId="0">
      <selection activeCell="EO7" sqref="EO7"/>
    </sheetView>
  </sheetViews>
  <sheetFormatPr defaultRowHeight="15"/>
  <cols>
    <col min="108" max="108" width="17.42578125" bestFit="1" customWidth="1"/>
    <col min="109" max="109" width="22" bestFit="1" customWidth="1"/>
    <col min="110" max="110" width="41.140625" bestFit="1" customWidth="1"/>
    <col min="139" max="139" width="12" bestFit="1" customWidth="1"/>
    <col min="141" max="141" width="12" bestFit="1" customWidth="1"/>
    <col min="142" max="142" width="21.5703125" bestFit="1" customWidth="1"/>
    <col min="143" max="143" width="18.85546875" bestFit="1" customWidth="1"/>
    <col min="144" max="144" width="19.28515625" bestFit="1" customWidth="1"/>
  </cols>
  <sheetData>
    <row r="1" spans="1:144">
      <c r="A1" t="str">
        <f>'Costing 100 Lmin Feed Orig'!A1</f>
        <v>S1 Stages</v>
      </c>
      <c r="B1" t="str">
        <f>'Costing 100 Lmin Feed Orig'!B1</f>
        <v>S1 C_Pt_in [M]</v>
      </c>
      <c r="C1" t="str">
        <f>'Costing 100 Lmin Feed Orig'!C1</f>
        <v>S1 C_Pd_in [M]</v>
      </c>
      <c r="D1" t="str">
        <f>'Costing 100 Lmin Feed Orig'!D1</f>
        <v>S1 C_Rh_in [M]</v>
      </c>
      <c r="E1" t="str">
        <f>'Costing 100 Lmin Feed Orig'!E1</f>
        <v>S1 q_Pt_in [mol PGM/mol ligand]</v>
      </c>
      <c r="F1" t="str">
        <f>'Costing 100 Lmin Feed Orig'!F1</f>
        <v>S1 q_Pd_in [mol PGM/mol ligand]</v>
      </c>
      <c r="G1" t="str">
        <f>'Costing 100 Lmin Feed Orig'!G1</f>
        <v>S1 q_Rh_in [mol PGM/mol ligand]</v>
      </c>
      <c r="H1" t="str">
        <f>'Costing 100 Lmin Feed Orig'!H1</f>
        <v>S1 C_Pt_out [M]</v>
      </c>
      <c r="I1" t="str">
        <f>'Costing 100 Lmin Feed Orig'!I1</f>
        <v>S1 C_Pd_out [M]</v>
      </c>
      <c r="J1" t="str">
        <f>'Costing 100 Lmin Feed Orig'!J1</f>
        <v>S1 C_Rh_out [M]</v>
      </c>
      <c r="K1" t="str">
        <f>'Costing 100 Lmin Feed Orig'!K1</f>
        <v>S1 q_Pt_out [mol PGM/mol ligand]</v>
      </c>
      <c r="L1" t="str">
        <f>'Costing 100 Lmin Feed Orig'!L1</f>
        <v>S1 q_Pd_out [mol PGM/mol ligand]</v>
      </c>
      <c r="M1" t="str">
        <f>'Costing 100 Lmin Feed Orig'!M1</f>
        <v>S1 q_Rh_out [mol PGM/mol ligand]</v>
      </c>
      <c r="N1" t="str">
        <f>'Costing 100 Lmin Feed Orig'!N1</f>
        <v>S1 Material Residual Pt [mol PGM/time]</v>
      </c>
      <c r="O1" t="str">
        <f>'Costing 100 Lmin Feed Orig'!O1</f>
        <v>S1 Material Residual Pd [mol PGM/time]</v>
      </c>
      <c r="P1" t="str">
        <f>'Costing 100 Lmin Feed Orig'!P1</f>
        <v>S1 Material Residual Rh [mol PGM/time]</v>
      </c>
      <c r="Q1" t="str">
        <f>'Costing 100 Lmin Feed Orig'!Q1</f>
        <v>S1 Q_org [L/time]</v>
      </c>
      <c r="R1" t="str">
        <f>'Costing 100 Lmin Feed Orig'!R1</f>
        <v>S1 PGM Recovery [%]</v>
      </c>
      <c r="S1" t="str">
        <f>'Costing 100 Lmin Feed Orig'!S1</f>
        <v>S1 PPM Mass Total Feed [mg/L]</v>
      </c>
      <c r="T1" t="str">
        <f>'Costing 100 Lmin Feed Orig'!T1</f>
        <v>S1 PGM Relative Purity [%]</v>
      </c>
      <c r="U1" t="str">
        <f>'Costing 100 Lmin Feed Orig'!U1</f>
        <v>S1 Q_aq [L/time]</v>
      </c>
      <c r="V1" t="str">
        <f>'Costing 100 Lmin Feed Orig'!V1</f>
        <v>S1 C_lig [L/time]</v>
      </c>
      <c r="W1" t="str">
        <f>'Costing 100 Lmin Feed Orig'!W1</f>
        <v>S1 Q_aq/(Q_org*C_lig) [1/M]</v>
      </c>
      <c r="X1" t="str">
        <f>'Costing 100 Lmin Feed Orig'!X1</f>
        <v>S1 Ligand</v>
      </c>
      <c r="Y1" t="str">
        <f>'Costing 100 Lmin Feed Orig'!Y1</f>
        <v>S1 ier</v>
      </c>
      <c r="Z1" t="str">
        <f>'Costing 100 Lmin Feed Orig'!Z1</f>
        <v>S1 q_max_Pt</v>
      </c>
      <c r="AA1" t="str">
        <f>'Costing 100 Lmin Feed Orig'!AA1</f>
        <v>S1 q_max_Pd</v>
      </c>
      <c r="AB1" t="str">
        <f>'Costing 100 Lmin Feed Orig'!AB1</f>
        <v>S1 q_max_Rh</v>
      </c>
      <c r="AC1" t="str">
        <f>'Costing 100 Lmin Feed Orig'!AC1</f>
        <v>S1 K_eq_Pt</v>
      </c>
      <c r="AD1" t="str">
        <f>'Costing 100 Lmin Feed Orig'!AD1</f>
        <v>S1 K_eq_Pd</v>
      </c>
      <c r="AE1" t="str">
        <f>'Costing 100 Lmin Feed Orig'!AE1</f>
        <v>S1 K_eq_Rh</v>
      </c>
      <c r="AF1" t="str">
        <f>'Costing 100 Lmin Feed Orig'!AF1</f>
        <v>S2 Stages</v>
      </c>
      <c r="AG1" t="str">
        <f>'Costing 100 Lmin Feed Orig'!AG1</f>
        <v>S2 C_Pt_in [M]</v>
      </c>
      <c r="AH1" t="str">
        <f>'Costing 100 Lmin Feed Orig'!AH1</f>
        <v>S2 C_Pd_in [M]</v>
      </c>
      <c r="AI1" t="str">
        <f>'Costing 100 Lmin Feed Orig'!AI1</f>
        <v>S2 C_Rh_in [M]</v>
      </c>
      <c r="AJ1" t="str">
        <f>'Costing 100 Lmin Feed Orig'!AJ1</f>
        <v>S2 q_Pt_in [mol PGM/mol ligand]</v>
      </c>
      <c r="AK1" t="str">
        <f>'Costing 100 Lmin Feed Orig'!AK1</f>
        <v>S2 q_Pd_in [mol PGM/mol ligand]</v>
      </c>
      <c r="AL1" t="str">
        <f>'Costing 100 Lmin Feed Orig'!AL1</f>
        <v>S2 q_Rh_in [mol PGM/mol ligand]</v>
      </c>
      <c r="AM1" t="str">
        <f>'Costing 100 Lmin Feed Orig'!AM1</f>
        <v>S2 C_Pt_out [M]</v>
      </c>
      <c r="AN1" t="str">
        <f>'Costing 100 Lmin Feed Orig'!AN1</f>
        <v>S2 C_Pd_out [M]</v>
      </c>
      <c r="AO1" t="str">
        <f>'Costing 100 Lmin Feed Orig'!AO1</f>
        <v>S2 C_Rh_out [M]</v>
      </c>
      <c r="AP1" t="str">
        <f>'Costing 100 Lmin Feed Orig'!AP1</f>
        <v>S2 q_Pt_out [mol PGM/mol ligand]</v>
      </c>
      <c r="AQ1" t="str">
        <f>'Costing 100 Lmin Feed Orig'!AQ1</f>
        <v>S2 q_Pd_out [mol PGM/mol ligand]</v>
      </c>
      <c r="AR1" t="str">
        <f>'Costing 100 Lmin Feed Orig'!AR1</f>
        <v>S2 q_Rh_out [mol PGM/mol ligand]</v>
      </c>
      <c r="AS1" t="str">
        <f>'Costing 100 Lmin Feed Orig'!AS1</f>
        <v>S2 Material Residual Pt [mol PGM/time]</v>
      </c>
      <c r="AT1" t="str">
        <f>'Costing 100 Lmin Feed Orig'!AT1</f>
        <v>S2 Material Residual Pd [mol PGM/time]</v>
      </c>
      <c r="AU1" t="str">
        <f>'Costing 100 Lmin Feed Orig'!AU1</f>
        <v>S2 Material Residual Rh [mol PGM/time]</v>
      </c>
      <c r="AV1" t="str">
        <f>'Costing 100 Lmin Feed Orig'!AV1</f>
        <v>S2 Q_org [L/time]</v>
      </c>
      <c r="AW1" t="str">
        <f>'Costing 100 Lmin Feed Orig'!AW1</f>
        <v>S2 PGM Recovery [%]</v>
      </c>
      <c r="AX1" t="str">
        <f>'Costing 100 Lmin Feed Orig'!AX1</f>
        <v>S2 PPM Mass Total Feed [mg/L]</v>
      </c>
      <c r="AY1" t="str">
        <f>'Costing 100 Lmin Feed Orig'!AY1</f>
        <v>S2 PGM Relative Purity [%]</v>
      </c>
      <c r="AZ1" t="str">
        <f>'Costing 100 Lmin Feed Orig'!AZ1</f>
        <v>S2 Q_aq [L/time]</v>
      </c>
      <c r="BA1" t="str">
        <f>'Costing 100 Lmin Feed Orig'!BA1</f>
        <v>S2 C_lig [L/time]</v>
      </c>
      <c r="BB1" t="str">
        <f>'Costing 100 Lmin Feed Orig'!BB1</f>
        <v>S2 Q_aq/(Q_org*C_lig) [1/M]</v>
      </c>
      <c r="BC1" t="str">
        <f>'Costing 100 Lmin Feed Orig'!BC1</f>
        <v>S2 Ligand</v>
      </c>
      <c r="BD1" t="str">
        <f>'Costing 100 Lmin Feed Orig'!BD1</f>
        <v>S2 ier</v>
      </c>
      <c r="BE1" t="str">
        <f>'Costing 100 Lmin Feed Orig'!BE1</f>
        <v>S2 q_max_Pt</v>
      </c>
      <c r="BF1" t="str">
        <f>'Costing 100 Lmin Feed Orig'!BF1</f>
        <v>S2 q_max_Pd</v>
      </c>
      <c r="BG1" t="str">
        <f>'Costing 100 Lmin Feed Orig'!BG1</f>
        <v>S2 q_max_Rh</v>
      </c>
      <c r="BH1" t="str">
        <f>'Costing 100 Lmin Feed Orig'!BH1</f>
        <v>S2 K_eq_Pt</v>
      </c>
      <c r="BI1" t="str">
        <f>'Costing 100 Lmin Feed Orig'!BI1</f>
        <v>S2 K_eq_Pd</v>
      </c>
      <c r="BJ1" t="str">
        <f>'Costing 100 Lmin Feed Orig'!BJ1</f>
        <v>S2 K_eq_Rh</v>
      </c>
      <c r="BK1" t="str">
        <f>'Costing 100 Lmin Feed Orig'!BK1</f>
        <v>S1 Q_aq Costing [L/min]</v>
      </c>
      <c r="BL1" t="str">
        <f>'Costing 100 Lmin Feed Orig'!BL1</f>
        <v>S1 Q_org Costing [L/min]</v>
      </c>
      <c r="BM1" t="str">
        <f>'Costing 100 Lmin Feed Orig'!BM1</f>
        <v>S2 Q_aq Costing [L/min]</v>
      </c>
      <c r="BN1" t="str">
        <f>'Costing 100 Lmin Feed Orig'!BN1</f>
        <v>S2 Q_org Costing [L/min]</v>
      </c>
      <c r="BO1" t="s">
        <v>438</v>
      </c>
      <c r="BP1" t="s">
        <v>439</v>
      </c>
      <c r="BQ1" t="s">
        <v>440</v>
      </c>
      <c r="BR1" t="s">
        <v>441</v>
      </c>
      <c r="BS1" t="s">
        <v>524</v>
      </c>
      <c r="BT1" t="s">
        <v>525</v>
      </c>
      <c r="BU1" t="s">
        <v>530</v>
      </c>
      <c r="BV1" t="s">
        <v>531</v>
      </c>
      <c r="BW1" t="s">
        <v>532</v>
      </c>
      <c r="BX1" t="s">
        <v>526</v>
      </c>
      <c r="BY1" t="s">
        <v>527</v>
      </c>
      <c r="BZ1" t="s">
        <v>528</v>
      </c>
      <c r="CA1" t="s">
        <v>529</v>
      </c>
      <c r="CB1" s="54" t="s">
        <v>533</v>
      </c>
      <c r="CC1" s="54" t="s">
        <v>534</v>
      </c>
      <c r="CD1" s="54" t="s">
        <v>535</v>
      </c>
      <c r="CE1" s="54" t="s">
        <v>536</v>
      </c>
      <c r="CF1" s="72" t="s">
        <v>537</v>
      </c>
      <c r="CG1" s="72" t="s">
        <v>538</v>
      </c>
      <c r="CH1" s="79" t="s">
        <v>553</v>
      </c>
      <c r="CI1" s="54" t="s">
        <v>539</v>
      </c>
      <c r="CJ1" s="54" t="s">
        <v>540</v>
      </c>
      <c r="CK1" s="54" t="s">
        <v>541</v>
      </c>
      <c r="CL1" s="54" t="s">
        <v>542</v>
      </c>
      <c r="CM1" t="str">
        <f>'Costing 100 Lmin Feed Orig'!DE1</f>
        <v>10000 L/min to ST [for costing]</v>
      </c>
      <c r="CN1" s="72" t="s">
        <v>543</v>
      </c>
      <c r="CO1" s="72" t="s">
        <v>544</v>
      </c>
      <c r="CP1" s="72" t="s">
        <v>545</v>
      </c>
      <c r="CQ1" s="72" t="s">
        <v>546</v>
      </c>
      <c r="CR1" s="72" t="s">
        <v>547</v>
      </c>
      <c r="CS1" s="79" t="s">
        <v>356</v>
      </c>
      <c r="CT1" s="55" t="s">
        <v>357</v>
      </c>
      <c r="CU1" s="55" t="s">
        <v>358</v>
      </c>
      <c r="CV1" s="55" t="s">
        <v>359</v>
      </c>
      <c r="CW1" s="55" t="s">
        <v>360</v>
      </c>
      <c r="CX1" s="54" t="s">
        <v>548</v>
      </c>
      <c r="CY1" s="79" t="s">
        <v>363</v>
      </c>
      <c r="CZ1" s="79" t="s">
        <v>364</v>
      </c>
      <c r="DA1" s="79" t="s">
        <v>365</v>
      </c>
      <c r="DB1" s="79" t="s">
        <v>366</v>
      </c>
      <c r="DC1" s="79" t="s">
        <v>367</v>
      </c>
      <c r="DD1" s="54" t="s">
        <v>549</v>
      </c>
      <c r="DE1" s="54" t="s">
        <v>550</v>
      </c>
      <c r="DF1" s="54" t="s">
        <v>374</v>
      </c>
      <c r="DG1" s="79" t="s">
        <v>551</v>
      </c>
      <c r="DH1" s="79" t="s">
        <v>552</v>
      </c>
      <c r="DI1" s="79" t="s">
        <v>554</v>
      </c>
      <c r="DJ1" s="79" t="s">
        <v>555</v>
      </c>
      <c r="DK1" s="79" t="s">
        <v>556</v>
      </c>
      <c r="DL1" s="54" t="s">
        <v>557</v>
      </c>
      <c r="DM1" s="79" t="s">
        <v>561</v>
      </c>
      <c r="DN1" s="79" t="s">
        <v>562</v>
      </c>
      <c r="DO1" t="s">
        <v>563</v>
      </c>
      <c r="DP1" s="79" t="s">
        <v>564</v>
      </c>
      <c r="DQ1" s="79" t="s">
        <v>565</v>
      </c>
      <c r="DR1" s="54" t="s">
        <v>566</v>
      </c>
      <c r="DS1" s="79" t="s">
        <v>569</v>
      </c>
      <c r="DT1" s="79" t="s">
        <v>571</v>
      </c>
      <c r="DU1" t="s">
        <v>572</v>
      </c>
      <c r="DV1" s="79" t="s">
        <v>570</v>
      </c>
      <c r="DW1" t="s">
        <v>405</v>
      </c>
      <c r="DX1" t="s">
        <v>407</v>
      </c>
      <c r="DY1" t="s">
        <v>406</v>
      </c>
      <c r="DZ1" t="s">
        <v>410</v>
      </c>
      <c r="EA1" t="s">
        <v>411</v>
      </c>
      <c r="EB1" t="s">
        <v>567</v>
      </c>
      <c r="EC1" t="s">
        <v>413</v>
      </c>
      <c r="ED1" t="s">
        <v>408</v>
      </c>
      <c r="EE1" t="s">
        <v>409</v>
      </c>
      <c r="EF1" t="s">
        <v>416</v>
      </c>
      <c r="EG1" t="s">
        <v>415</v>
      </c>
      <c r="EH1" t="s">
        <v>568</v>
      </c>
      <c r="EI1" s="56" t="s">
        <v>573</v>
      </c>
      <c r="EJ1" s="56" t="s">
        <v>574</v>
      </c>
      <c r="EK1" s="56" t="s">
        <v>419</v>
      </c>
      <c r="EL1" s="56" t="s">
        <v>428</v>
      </c>
      <c r="EM1" s="56" t="s">
        <v>425</v>
      </c>
      <c r="EN1" s="56" t="s">
        <v>426</v>
      </c>
    </row>
    <row r="2" spans="1:144">
      <c r="A2">
        <f>'Costing 100 Lmin Feed Orig'!A2</f>
        <v>3</v>
      </c>
      <c r="B2">
        <f>'Costing 100 Lmin Feed Orig'!B2</f>
        <v>1.54143585092054E-3</v>
      </c>
      <c r="C2">
        <f>'Costing 100 Lmin Feed Orig'!C2</f>
        <v>1.54143585092054E-3</v>
      </c>
      <c r="D2">
        <f>'Costing 100 Lmin Feed Orig'!D2</f>
        <v>3.4254130020456501E-4</v>
      </c>
      <c r="E2">
        <f>'Costing 100 Lmin Feed Orig'!E2</f>
        <v>0</v>
      </c>
      <c r="F2">
        <f>'Costing 100 Lmin Feed Orig'!F2</f>
        <v>0</v>
      </c>
      <c r="G2">
        <f>'Costing 100 Lmin Feed Orig'!G2</f>
        <v>0</v>
      </c>
      <c r="H2">
        <f>'Costing 100 Lmin Feed Orig'!H2</f>
        <v>1.6300358850230801E-5</v>
      </c>
      <c r="I2">
        <f>'Costing 100 Lmin Feed Orig'!I2</f>
        <v>7.4474859607128495E-7</v>
      </c>
      <c r="J2">
        <f>'Costing 100 Lmin Feed Orig'!J2</f>
        <v>3.2385704147932398E-4</v>
      </c>
      <c r="K2">
        <f>'Costing 100 Lmin Feed Orig'!K2</f>
        <v>8.07271092797512E-2</v>
      </c>
      <c r="L2">
        <f>'Costing 100 Lmin Feed Orig'!L2</f>
        <v>8.15504849440159E-2</v>
      </c>
      <c r="M2">
        <f>'Costing 100 Lmin Feed Orig'!M2</f>
        <v>9.8897848995466706E-4</v>
      </c>
      <c r="N2">
        <f>'Costing 100 Lmin Feed Orig'!N2</f>
        <v>-9.8011876392689601E-17</v>
      </c>
      <c r="O2">
        <f>'Costing 100 Lmin Feed Orig'!O2</f>
        <v>1.94289029309402E-16</v>
      </c>
      <c r="P2">
        <f>'Costing 100 Lmin Feed Orig'!P2</f>
        <v>-4.3537493488870999E-18</v>
      </c>
      <c r="Q2">
        <f>'Costing 100 Lmin Feed Orig'!Q2</f>
        <v>0.18892482409907799</v>
      </c>
      <c r="R2">
        <f>'Costing 100 Lmin Feed Orig'!R2</f>
        <v>94.545399718491396</v>
      </c>
      <c r="S2">
        <f>'Costing 100 Lmin Feed Orig'!S2</f>
        <v>500</v>
      </c>
      <c r="T2">
        <f>'Costing 100 Lmin Feed Orig'!T2</f>
        <v>95</v>
      </c>
      <c r="U2">
        <f>'Costing 100 Lmin Feed Orig'!U2</f>
        <v>1</v>
      </c>
      <c r="V2">
        <f>'Costing 100 Lmin Feed Orig'!V2</f>
        <v>0.1</v>
      </c>
      <c r="W2">
        <f>'Costing 100 Lmin Feed Orig'!W2</f>
        <v>52.931106580020597</v>
      </c>
      <c r="X2" t="str">
        <f>'Costing 100 Lmin Feed Orig'!X2</f>
        <v>ddFc</v>
      </c>
      <c r="Y2">
        <f>'Costing 100 Lmin Feed Orig'!Y2</f>
        <v>1</v>
      </c>
      <c r="Z2">
        <f>'Costing 100 Lmin Feed Orig'!Z2</f>
        <v>0.28318429382522198</v>
      </c>
      <c r="AA2">
        <f>'Costing 100 Lmin Feed Orig'!AA2</f>
        <v>0.56945642916197003</v>
      </c>
      <c r="AB2">
        <f>'Costing 100 Lmin Feed Orig'!AB2</f>
        <v>3.7698628972227502E-3</v>
      </c>
      <c r="AC2">
        <f>'Costing 100 Lmin Feed Orig'!AC2</f>
        <v>1822.2107908876901</v>
      </c>
      <c r="AD2">
        <f>'Costing 100 Lmin Feed Orig'!AD2</f>
        <v>2662.6059073104898</v>
      </c>
      <c r="AE2">
        <f>'Costing 100 Lmin Feed Orig'!AE2</f>
        <v>2401.5030938442701</v>
      </c>
      <c r="AF2">
        <f>'Costing 100 Lmin Feed Orig'!AF2</f>
        <v>4</v>
      </c>
      <c r="AG2">
        <f>'Costing 100 Lmin Feed Orig'!AG2</f>
        <v>1.6455478770638001E-3</v>
      </c>
      <c r="AH2">
        <f>'Costing 100 Lmin Feed Orig'!AH2</f>
        <v>1.66233163271225E-3</v>
      </c>
      <c r="AI2">
        <f>'Costing 100 Lmin Feed Orig'!AI2</f>
        <v>2.0159416943409301E-5</v>
      </c>
      <c r="AJ2">
        <f>'Costing 100 Lmin Feed Orig'!AJ2</f>
        <v>0</v>
      </c>
      <c r="AK2">
        <f>'Costing 100 Lmin Feed Orig'!AK2</f>
        <v>0</v>
      </c>
      <c r="AL2">
        <f>'Costing 100 Lmin Feed Orig'!AL2</f>
        <v>0</v>
      </c>
      <c r="AM2">
        <f>'Costing 100 Lmin Feed Orig'!AM2</f>
        <v>1.5983351284394301E-3</v>
      </c>
      <c r="AN2">
        <f>'Costing 100 Lmin Feed Orig'!AN2</f>
        <v>6.4131851460064998E-5</v>
      </c>
      <c r="AO2">
        <f>'Costing 100 Lmin Feed Orig'!AO2</f>
        <v>1.99910500367739E-5</v>
      </c>
      <c r="AP2">
        <f>'Costing 100 Lmin Feed Orig'!AP2</f>
        <v>2.04098585158686E-3</v>
      </c>
      <c r="AQ2">
        <f>'Costing 100 Lmin Feed Orig'!AQ2</f>
        <v>6.9089456483383896E-2</v>
      </c>
      <c r="AR2">
        <f>'Costing 100 Lmin Feed Orig'!AR2</f>
        <v>7.2784255170584696E-6</v>
      </c>
      <c r="AS2">
        <f>'Costing 100 Lmin Feed Orig'!AS2</f>
        <v>-1.4297916149652499E-18</v>
      </c>
      <c r="AT2">
        <f>'Costing 100 Lmin Feed Orig'!AT2</f>
        <v>2.4286128663675299E-17</v>
      </c>
      <c r="AU2">
        <f>'Costing 100 Lmin Feed Orig'!AU2</f>
        <v>-3.7851784830426501E-21</v>
      </c>
      <c r="AV2">
        <f>'Costing 100 Lmin Feed Orig'!AV2</f>
        <v>0.21439625549974001</v>
      </c>
      <c r="AW2">
        <f>'Costing 100 Lmin Feed Orig'!AW2</f>
        <v>99.164822538727407</v>
      </c>
      <c r="AX2">
        <f>'Costing 100 Lmin Feed Orig'!AX2</f>
        <v>500</v>
      </c>
      <c r="AY2">
        <f>'Costing 100 Lmin Feed Orig'!AY2</f>
        <v>95</v>
      </c>
      <c r="AZ2">
        <f>'Costing 100 Lmin Feed Orig'!AZ2</f>
        <v>0.92682535301965796</v>
      </c>
      <c r="BA2">
        <f>'Costing 100 Lmin Feed Orig'!BA2</f>
        <v>0.1</v>
      </c>
      <c r="BB2">
        <f>'Costing 100 Lmin Feed Orig'!BB2</f>
        <v>43.229549455483898</v>
      </c>
      <c r="BC2" t="str">
        <f>'Costing 100 Lmin Feed Orig'!BC2</f>
        <v>coeFc</v>
      </c>
      <c r="BD2">
        <f>'Costing 100 Lmin Feed Orig'!BD2</f>
        <v>1</v>
      </c>
      <c r="BE2">
        <f>'Costing 100 Lmin Feed Orig'!BE2</f>
        <v>1.8775014999999999E-2</v>
      </c>
      <c r="BF2">
        <f>'Costing 100 Lmin Feed Orig'!BF2</f>
        <v>0.10492961100000001</v>
      </c>
      <c r="BG2">
        <f>'Costing 100 Lmin Feed Orig'!BG2</f>
        <v>1.814625E-3</v>
      </c>
      <c r="BH2">
        <f>'Costing 100 Lmin Feed Orig'!BH2</f>
        <v>285.1951444</v>
      </c>
      <c r="BI2">
        <f>'Costing 100 Lmin Feed Orig'!BI2</f>
        <v>2169.8944889999998</v>
      </c>
      <c r="BJ2">
        <f>'Costing 100 Lmin Feed Orig'!BJ2</f>
        <v>866.49409060000005</v>
      </c>
      <c r="BK2">
        <f>'Costing 100 Lmin Feed Orig'!BK2</f>
        <v>100</v>
      </c>
      <c r="BL2">
        <f>'Costing 100 Lmin Feed Orig'!BL2</f>
        <v>18.892482409907799</v>
      </c>
      <c r="BM2">
        <f>'Costing 100 Lmin Feed Orig'!BM2</f>
        <v>92.6825353019658</v>
      </c>
      <c r="BN2">
        <f>'Costing 100 Lmin Feed Orig'!BN2</f>
        <v>21.439625549974</v>
      </c>
      <c r="BO2">
        <f>(A2+2)*2*BL2</f>
        <v>188.92482409907799</v>
      </c>
      <c r="BP2">
        <f>(AF2+2)*2*BN2</f>
        <v>257.27550659968801</v>
      </c>
      <c r="BQ2">
        <f>BO2*V2</f>
        <v>18.892482409907799</v>
      </c>
      <c r="BR2">
        <f>BP2*BA2</f>
        <v>25.727550659968802</v>
      </c>
      <c r="BS2">
        <f>1.2*0.5*BL2*V2/'Oxidant Feed Composition'!$N$22</f>
        <v>11.335489445944679</v>
      </c>
      <c r="BT2">
        <f>1.2*0.5*BN2*BA2/'Oxidant Feed Composition'!$N$22</f>
        <v>12.863775329984399</v>
      </c>
      <c r="BU2">
        <f>V2*BL2/0.2</f>
        <v>9.4462412049538997</v>
      </c>
      <c r="BV2">
        <f>BA2*BN2/0.2</f>
        <v>10.719812774987</v>
      </c>
      <c r="BW2">
        <f>BM2-BU2</f>
        <v>83.236294097011893</v>
      </c>
      <c r="BX2">
        <f t="shared" ref="BX2:BX65" si="0">(BS2+BL2)*2</f>
        <v>60.455943711704961</v>
      </c>
      <c r="BY2">
        <f>(BU2+BW2+BL2)*2</f>
        <v>223.1500354237472</v>
      </c>
      <c r="BZ2">
        <f>(BT2+BN2)*2</f>
        <v>68.606801759916806</v>
      </c>
      <c r="CA2">
        <f>(BV2+BN2)*2</f>
        <v>64.318876649922004</v>
      </c>
      <c r="CB2">
        <f>BO2*'Reagent cost'!$G$11*'Reagent cost'!$H$11</f>
        <v>2493.8076781078298</v>
      </c>
      <c r="CC2">
        <f>BP2*'Reagent cost'!$G$11*'Reagent cost'!$H$11</f>
        <v>3396.0366871158817</v>
      </c>
      <c r="CD2">
        <f>BQ2*'Reagent cost'!$C$18/1000*'Reagent cost'!$H$18</f>
        <v>3012.9816471142385</v>
      </c>
      <c r="CE2">
        <f>BR2*'Ligand cost'!$B$56*'Ligand cost'!$J$56</f>
        <v>26193.932801696468</v>
      </c>
      <c r="CF2">
        <f>BK2*0.1</f>
        <v>10</v>
      </c>
      <c r="CG2">
        <f>BU2*0.4</f>
        <v>3.7784964819815601</v>
      </c>
      <c r="CH2">
        <f>BV2*0.4</f>
        <v>4.2879251099948004</v>
      </c>
      <c r="CI2">
        <f>7963.6*(BX2/1000)^0.6*1.7*('CAPEX+OPEX'!$G$116/'CAPEX+OPEX'!$G$115)</f>
        <v>2965.5437179814326</v>
      </c>
      <c r="CJ2">
        <f>7963.6*(BY2/1000)^0.6*1.7*('CAPEX+OPEX'!$G$116/'CAPEX+OPEX'!$G$115)</f>
        <v>6492.3078360569407</v>
      </c>
      <c r="CK2">
        <f>7963.6*(BZ2/1000)^0.6*1.7*('CAPEX+OPEX'!$G$116/'CAPEX+OPEX'!$G$115)</f>
        <v>3199.3461630818579</v>
      </c>
      <c r="CL2">
        <f>7963.6*(CA2/1000)^0.6*1.7*('CAPEX+OPEX'!$G$116/'CAPEX+OPEX'!$G$115)</f>
        <v>3077.8255340321039</v>
      </c>
      <c r="CM2">
        <f>'Costing 100 Lmin Feed Orig'!DE2</f>
        <v>39625.826528698344</v>
      </c>
      <c r="CN2">
        <f>'Costing 100 Lmin Feed Orig'!DF2</f>
        <v>4586243.4239371875</v>
      </c>
      <c r="CO2">
        <f>'Costing 100 Lmin Feed Orig'!DG2</f>
        <v>11794834.586807497</v>
      </c>
      <c r="CP2">
        <f>'Costing 100 Lmin Feed Orig'!DH2</f>
        <v>2275209.1661185985</v>
      </c>
      <c r="CQ2">
        <f>'Costing 100 Lmin Feed Orig'!DI2</f>
        <v>14083914.336508472</v>
      </c>
      <c r="CR2">
        <f>'Costing 100 Lmin Feed Orig'!DJ2</f>
        <v>1662824.8986326549</v>
      </c>
      <c r="CS2">
        <f>CN2*(BK2/10000)^0.72*((A2+1)/3)^0.6*('CAPEX+OPEX'!$G$116/'CAPEX+OPEX'!$G$114)</f>
        <v>461850.0978118488</v>
      </c>
      <c r="CT2">
        <f>CO2*(BK2/10000)^0.72*((A2+1)/3)^0.6*('CAPEX+OPEX'!$G$116/'CAPEX+OPEX'!$G$114)</f>
        <v>1187779.4098672394</v>
      </c>
      <c r="CU2">
        <f>CP2*(BK2/10000)^0.72*((A2+1)/3)^0.6*('CAPEX+OPEX'!$G$116/'CAPEX+OPEX'!$G$114)</f>
        <v>229121.19544936769</v>
      </c>
      <c r="CV2">
        <f>CQ2*(BK2/10000)^0.72*((A2+1)/3)^0.6*('CAPEX+OPEX'!$G$116/'CAPEX+OPEX'!$G$114)</f>
        <v>1418297.4196136401</v>
      </c>
      <c r="CW2">
        <f>CR2*(BK2/10000)^0.72*((A2+1)/3)^0.6*('CAPEX+OPEX'!$G$116/'CAPEX+OPEX'!$G$114)</f>
        <v>167452.04540804314</v>
      </c>
      <c r="CX2">
        <f>SUM(CS2:CW2)</f>
        <v>3464500.168150139</v>
      </c>
      <c r="CY2">
        <f>CN2*(BM2/10000)^0.72*((AF2+1)/3)^0.6*('CAPEX+OPEX'!$G$116/'CAPEX+OPEX'!$G$114)</f>
        <v>499902.7657598143</v>
      </c>
      <c r="CZ2">
        <f>CO2*(BM2/10000)^0.72*((AF2+1)/3)^0.6*('CAPEX+OPEX'!$G$116/'CAPEX+OPEX'!$G$114)</f>
        <v>1285642.7116035565</v>
      </c>
      <c r="DA2">
        <f>CP2*(BM2/10000)^0.72*((AF2+1)/3)^0.6*('CAPEX+OPEX'!$G$116/'CAPEX+OPEX'!$G$114)</f>
        <v>247998.90666255786</v>
      </c>
      <c r="DB2">
        <f>CQ2*(BM2/10000)^0.72*((AF2+1)/3)^0.6*('CAPEX+OPEX'!$G$116/'CAPEX+OPEX'!$G$114)</f>
        <v>1535153.5186286946</v>
      </c>
      <c r="DC2">
        <f>CR2*(BM2/10000)^0.72*((AF2+1)/3)^0.6*('CAPEX+OPEX'!$G$116/'CAPEX+OPEX'!$G$114)</f>
        <v>181248.72340228659</v>
      </c>
      <c r="DD2">
        <f>SUM(CY2:DC2)</f>
        <v>3749946.6260569096</v>
      </c>
      <c r="DE2">
        <f>CX2+DD2+1.15*(SUM(CI2:CL2)+SUM(CB2:CE2))</f>
        <v>7272903.3435820136</v>
      </c>
      <c r="DF2">
        <f>DE2/15</f>
        <v>484860.22290546756</v>
      </c>
      <c r="DG2">
        <f>(BS2+BT2)*'Oxidant Feed Composition'!$N$29*60*7200</f>
        <v>12072322.065709019</v>
      </c>
      <c r="DH2">
        <f>((CG2+CH2)*'Reagent cost'!$C$17/1000*'Reagent cost'!$H$17+(CG2+CH2)*0.5*'Reagent cost'!$C$16/1000*'Reagent cost'!$H$16*0.5)*60*7200</f>
        <v>4087040.931183212</v>
      </c>
      <c r="DI2">
        <f>CF2*'Reagent cost'!$C$17/1000*'Reagent cost'!$H$17*60*7200</f>
        <v>504921.59999999998</v>
      </c>
      <c r="DJ2">
        <f>(CB2+CC2)*0.01</f>
        <v>58.898443652237113</v>
      </c>
      <c r="DK2">
        <f>(CD2+CE2)*0.02</f>
        <v>584.13828897621408</v>
      </c>
      <c r="DL2">
        <f>SUM(DG2:DK2)*1.2</f>
        <v>19997913.160349831</v>
      </c>
      <c r="DM2">
        <f>BK2*(B2*(409.81+2)/1000+C2*(248.2+2*22.99)/1000+D2*(315.6+3*22.99)/1000+0.1*58.44/1000)</f>
        <v>0.70639694042110623</v>
      </c>
      <c r="DN2">
        <f>(BS2+BT2)/1000*('Oxidant Feed Composition'!$B$11*'Oxidant Feed Composition'!$O$20+'Oxidant Feed Composition'!$D$11*'Oxidant Feed Composition'!$O$21+'Oxidant Feed Composition'!$F$11*'Oxidant Feed Composition'!$O$27-'Oxidant Feed Composition'!$J$15*18.015)</f>
        <v>2.8261000051950802</v>
      </c>
      <c r="DO2">
        <f>(BU2+BV2)/1000*(0.2*368.34+0.4*58.44)</f>
        <v>1.9569945424293846</v>
      </c>
      <c r="DP2">
        <f>BK2/1000*(B2*195.08+C2*106.42+D2*102.91)</f>
        <v>4.999938342565946E-2</v>
      </c>
      <c r="DQ2">
        <f>SUM(DM2:DO2)-DP2</f>
        <v>5.4394921046199114</v>
      </c>
      <c r="DR2">
        <f>DQ2*60*7200*0.33</f>
        <v>775453.99443461455</v>
      </c>
      <c r="DS2">
        <v>1.2</v>
      </c>
      <c r="DT2">
        <f>BM2/60*(AM2*4+AN2*2+AO2*3)*96485/DV2</f>
        <v>1401.3235056334981</v>
      </c>
      <c r="DU2">
        <f>BN2*BA2*(AP2*4+AQ2*2+AR2*3)*96485/DV2/60</f>
        <v>720.88174659145932</v>
      </c>
      <c r="DV2">
        <v>0.7</v>
      </c>
      <c r="DW2">
        <f>0.499*((BK2/3.78541*15)^(-0.146))*BK2/3.78541*15*300*(1+(A2-2)/9)</f>
        <v>27520.276190787874</v>
      </c>
      <c r="DX2">
        <f>0.248*((BK2/3.78541*15)^(-0.144))*BK2/3.78541*15*300*(1+(A2-2)/3)</f>
        <v>16610.439588917834</v>
      </c>
      <c r="DY2">
        <f>0.105*((BK2/3.78541*15)^(-0.144))*BK2/3.78541*15*300*(1+(A2-2)/3)</f>
        <v>7032.645793695051</v>
      </c>
      <c r="DZ2">
        <f>0.058*((BK2/3.78541*15)^(-0.151))*BK2/3.78541*15*300*(1+(A2-2)/3)</f>
        <v>3725.3886787897172</v>
      </c>
      <c r="EA2">
        <f>0.056*((BK2/3.78541*15)^(-0.144))*BK2/3.78541*15*300*(1+(A2-2)/3)</f>
        <v>3750.7444233040283</v>
      </c>
      <c r="EB2">
        <f>DS2*DT2/(3.6*10^6)*3600*7200*0.07</f>
        <v>847.52045620713966</v>
      </c>
      <c r="EC2">
        <f>0.499*((BM2/3.78541*15)^(-0.146))*BM2/3.78541*15*300*(1+(AF2-2)/9)</f>
        <v>28370.153420241466</v>
      </c>
      <c r="ED2">
        <f>0.248*((BM2/3.78541*15)^(-0.144))*BM2/3.78541*15*300*(1+(AF2-2)/3)</f>
        <v>19455.45293762091</v>
      </c>
      <c r="EE2">
        <f>0.105*((BM2/3.78541*15)^(-0.144))*BM2/3.78541*15*300*(1+(AF2-2)/3)</f>
        <v>8237.1877356862715</v>
      </c>
      <c r="EF2">
        <f>0.058*((BM2/3.78541*15)^(-0.151))*BM2/3.78541*15*300*(1+(AF2-2)/3)</f>
        <v>4365.7898317079243</v>
      </c>
      <c r="EG2">
        <f>0.056*((BM2/3.78541*15)^(-0.144))*BM2/3.78541*15*300*(1+(AF2-2)/3)</f>
        <v>4393.1667923660125</v>
      </c>
      <c r="EH2">
        <f>DS2*DU2/(3.6*10^6)*3600*7200*0.07</f>
        <v>435.98928033851462</v>
      </c>
      <c r="EI2">
        <f>SUM(DW2:EH2)</f>
        <v>124744.75512966275</v>
      </c>
      <c r="EJ2">
        <f>EI2+DR2+DL2</f>
        <v>20898111.90991411</v>
      </c>
      <c r="EK2">
        <f>EJ2+DF2</f>
        <v>21382972.132819578</v>
      </c>
      <c r="EL2">
        <f>EK2/(BK2*60*7200)</f>
        <v>0.49497620677823095</v>
      </c>
      <c r="EM2">
        <f>EK2/(BM2*(AM2*195.084/1000+AN2*106.42/1000+AO2*102.911/1000)*60*7200)</f>
        <v>1665.3232080782427</v>
      </c>
      <c r="EN2">
        <f>EK2/(BN2*BA2*(AP2*195.084/1000+AQ2*106.42/1000+AR2*102.911/1000)*60*7200)</f>
        <v>2978.4222563743247</v>
      </c>
    </row>
    <row r="3" spans="1:144">
      <c r="A3">
        <f>'Costing 100 Lmin Feed Orig'!A3</f>
        <v>3</v>
      </c>
      <c r="B3">
        <f>'Costing 100 Lmin Feed Orig'!B3</f>
        <v>1.54143585092054E-3</v>
      </c>
      <c r="C3">
        <f>'Costing 100 Lmin Feed Orig'!C3</f>
        <v>1.54143585092054E-3</v>
      </c>
      <c r="D3">
        <f>'Costing 100 Lmin Feed Orig'!D3</f>
        <v>3.4254130020456501E-4</v>
      </c>
      <c r="E3">
        <f>'Costing 100 Lmin Feed Orig'!E3</f>
        <v>0</v>
      </c>
      <c r="F3">
        <f>'Costing 100 Lmin Feed Orig'!F3</f>
        <v>0</v>
      </c>
      <c r="G3">
        <f>'Costing 100 Lmin Feed Orig'!G3</f>
        <v>0</v>
      </c>
      <c r="H3">
        <f>'Costing 100 Lmin Feed Orig'!H3</f>
        <v>1.6300358850230801E-5</v>
      </c>
      <c r="I3">
        <f>'Costing 100 Lmin Feed Orig'!I3</f>
        <v>7.4474859607128495E-7</v>
      </c>
      <c r="J3">
        <f>'Costing 100 Lmin Feed Orig'!J3</f>
        <v>3.2385704147932398E-4</v>
      </c>
      <c r="K3">
        <f>'Costing 100 Lmin Feed Orig'!K3</f>
        <v>8.07271092797512E-2</v>
      </c>
      <c r="L3">
        <f>'Costing 100 Lmin Feed Orig'!L3</f>
        <v>8.15504849440159E-2</v>
      </c>
      <c r="M3">
        <f>'Costing 100 Lmin Feed Orig'!M3</f>
        <v>9.8897848995466706E-4</v>
      </c>
      <c r="N3">
        <f>'Costing 100 Lmin Feed Orig'!N3</f>
        <v>-9.8011876392689601E-17</v>
      </c>
      <c r="O3">
        <f>'Costing 100 Lmin Feed Orig'!O3</f>
        <v>1.94289029309402E-16</v>
      </c>
      <c r="P3">
        <f>'Costing 100 Lmin Feed Orig'!P3</f>
        <v>-4.3537493488870999E-18</v>
      </c>
      <c r="Q3">
        <f>'Costing 100 Lmin Feed Orig'!Q3</f>
        <v>0.18892482409907799</v>
      </c>
      <c r="R3">
        <f>'Costing 100 Lmin Feed Orig'!R3</f>
        <v>94.545399718491396</v>
      </c>
      <c r="S3">
        <f>'Costing 100 Lmin Feed Orig'!S3</f>
        <v>500</v>
      </c>
      <c r="T3">
        <f>'Costing 100 Lmin Feed Orig'!T3</f>
        <v>95</v>
      </c>
      <c r="U3">
        <f>'Costing 100 Lmin Feed Orig'!U3</f>
        <v>1</v>
      </c>
      <c r="V3">
        <f>'Costing 100 Lmin Feed Orig'!V3</f>
        <v>0.1</v>
      </c>
      <c r="W3">
        <f>'Costing 100 Lmin Feed Orig'!W3</f>
        <v>52.931106580020597</v>
      </c>
      <c r="X3" t="str">
        <f>'Costing 100 Lmin Feed Orig'!X3</f>
        <v>ddFc</v>
      </c>
      <c r="Y3">
        <f>'Costing 100 Lmin Feed Orig'!Y3</f>
        <v>1</v>
      </c>
      <c r="Z3">
        <f>'Costing 100 Lmin Feed Orig'!Z3</f>
        <v>0.28318429382522198</v>
      </c>
      <c r="AA3">
        <f>'Costing 100 Lmin Feed Orig'!AA3</f>
        <v>0.56945642916197003</v>
      </c>
      <c r="AB3">
        <f>'Costing 100 Lmin Feed Orig'!AB3</f>
        <v>3.7698628972227502E-3</v>
      </c>
      <c r="AC3">
        <f>'Costing 100 Lmin Feed Orig'!AC3</f>
        <v>1822.2107908876901</v>
      </c>
      <c r="AD3">
        <f>'Costing 100 Lmin Feed Orig'!AD3</f>
        <v>2662.6059073104898</v>
      </c>
      <c r="AE3">
        <f>'Costing 100 Lmin Feed Orig'!AE3</f>
        <v>2401.5030938442701</v>
      </c>
      <c r="AF3">
        <f>'Costing 100 Lmin Feed Orig'!AF3</f>
        <v>5</v>
      </c>
      <c r="AG3">
        <f>'Costing 100 Lmin Feed Orig'!AG3</f>
        <v>1.6455478770638001E-3</v>
      </c>
      <c r="AH3">
        <f>'Costing 100 Lmin Feed Orig'!AH3</f>
        <v>1.66233163271225E-3</v>
      </c>
      <c r="AI3">
        <f>'Costing 100 Lmin Feed Orig'!AI3</f>
        <v>2.0159416943409301E-5</v>
      </c>
      <c r="AJ3">
        <f>'Costing 100 Lmin Feed Orig'!AJ3</f>
        <v>0</v>
      </c>
      <c r="AK3">
        <f>'Costing 100 Lmin Feed Orig'!AK3</f>
        <v>0</v>
      </c>
      <c r="AL3">
        <f>'Costing 100 Lmin Feed Orig'!AL3</f>
        <v>0</v>
      </c>
      <c r="AM3">
        <f>'Costing 100 Lmin Feed Orig'!AM3</f>
        <v>1.6052842060858799E-3</v>
      </c>
      <c r="AN3">
        <f>'Costing 100 Lmin Feed Orig'!AN3</f>
        <v>6.4473619347604606E-5</v>
      </c>
      <c r="AO3">
        <f>'Costing 100 Lmin Feed Orig'!AO3</f>
        <v>2.0015023078929502E-5</v>
      </c>
      <c r="AP3">
        <f>'Costing 100 Lmin Feed Orig'!AP3</f>
        <v>1.83001337116067E-3</v>
      </c>
      <c r="AQ3">
        <f>'Costing 100 Lmin Feed Orig'!AQ3</f>
        <v>7.2623818410792906E-2</v>
      </c>
      <c r="AR3">
        <f>'Costing 100 Lmin Feed Orig'!AR3</f>
        <v>6.5628070240175303E-6</v>
      </c>
      <c r="AS3">
        <f>'Costing 100 Lmin Feed Orig'!AS3</f>
        <v>-1.0199428649750001E-15</v>
      </c>
      <c r="AT3">
        <f>'Costing 100 Lmin Feed Orig'!AT3</f>
        <v>-2.9988815250514499E-14</v>
      </c>
      <c r="AU3">
        <f>'Costing 100 Lmin Feed Orig'!AU3</f>
        <v>-1.2040043949627799E-18</v>
      </c>
      <c r="AV3">
        <f>'Costing 100 Lmin Feed Orig'!AV3</f>
        <v>0.20391867981453801</v>
      </c>
      <c r="AW3">
        <f>'Costing 100 Lmin Feed Orig'!AW3</f>
        <v>99.283739877571406</v>
      </c>
      <c r="AX3">
        <f>'Costing 100 Lmin Feed Orig'!AX3</f>
        <v>500</v>
      </c>
      <c r="AY3">
        <f>'Costing 100 Lmin Feed Orig'!AY3</f>
        <v>95</v>
      </c>
      <c r="AZ3">
        <f>'Costing 100 Lmin Feed Orig'!AZ3</f>
        <v>0.92682535301965796</v>
      </c>
      <c r="BA3">
        <f>'Costing 100 Lmin Feed Orig'!BA3</f>
        <v>0.1</v>
      </c>
      <c r="BB3">
        <f>'Costing 100 Lmin Feed Orig'!BB3</f>
        <v>45.450733295379898</v>
      </c>
      <c r="BC3" t="str">
        <f>'Costing 100 Lmin Feed Orig'!BC3</f>
        <v>coeFc</v>
      </c>
      <c r="BD3">
        <f>'Costing 100 Lmin Feed Orig'!BD3</f>
        <v>1</v>
      </c>
      <c r="BE3">
        <f>'Costing 100 Lmin Feed Orig'!BE3</f>
        <v>1.8775014999999999E-2</v>
      </c>
      <c r="BF3">
        <f>'Costing 100 Lmin Feed Orig'!BF3</f>
        <v>0.10492961100000001</v>
      </c>
      <c r="BG3">
        <f>'Costing 100 Lmin Feed Orig'!BG3</f>
        <v>1.814625E-3</v>
      </c>
      <c r="BH3">
        <f>'Costing 100 Lmin Feed Orig'!BH3</f>
        <v>285.1951444</v>
      </c>
      <c r="BI3">
        <f>'Costing 100 Lmin Feed Orig'!BI3</f>
        <v>2169.8944889999998</v>
      </c>
      <c r="BJ3">
        <f>'Costing 100 Lmin Feed Orig'!BJ3</f>
        <v>866.49409060000005</v>
      </c>
      <c r="BK3">
        <f>'Costing 100 Lmin Feed Orig'!BK3</f>
        <v>100</v>
      </c>
      <c r="BL3">
        <f>'Costing 100 Lmin Feed Orig'!BL3</f>
        <v>18.892482409907799</v>
      </c>
      <c r="BM3">
        <f>'Costing 100 Lmin Feed Orig'!BM3</f>
        <v>92.6825353019658</v>
      </c>
      <c r="BN3">
        <f>'Costing 100 Lmin Feed Orig'!BN3</f>
        <v>20.3918679814538</v>
      </c>
      <c r="BO3">
        <f t="shared" ref="BO3:BO66" si="1">(A3+2)*2*BL3</f>
        <v>188.92482409907799</v>
      </c>
      <c r="BP3">
        <f t="shared" ref="BP3:BP66" si="2">(AF3+2)*2*BN3</f>
        <v>285.48615174035319</v>
      </c>
      <c r="BQ3">
        <f t="shared" ref="BQ3:BQ66" si="3">BO3*V3</f>
        <v>18.892482409907799</v>
      </c>
      <c r="BR3">
        <f t="shared" ref="BR3:BR66" si="4">BP3*BA3</f>
        <v>28.548615174035319</v>
      </c>
      <c r="BS3">
        <f>1.2*0.5*BL3*V3/'Oxidant Feed Composition'!$N$22</f>
        <v>11.335489445944679</v>
      </c>
      <c r="BT3">
        <f>1.2*0.5*BN3*BA3/'Oxidant Feed Composition'!$N$22</f>
        <v>12.23512078887228</v>
      </c>
      <c r="BU3">
        <f t="shared" ref="BU3:BU66" si="5">V3*BL3/0.2</f>
        <v>9.4462412049538997</v>
      </c>
      <c r="BV3">
        <f t="shared" ref="BV3:BV66" si="6">BA3*BN3/0.2</f>
        <v>10.1959339907269</v>
      </c>
      <c r="BW3">
        <f t="shared" ref="BW3:BW66" si="7">BM3-BU3</f>
        <v>83.236294097011893</v>
      </c>
      <c r="BX3">
        <f t="shared" si="0"/>
        <v>60.455943711704961</v>
      </c>
      <c r="BY3">
        <f t="shared" ref="BY3:BY66" si="8">(BU3+BW3+BL3)*2</f>
        <v>223.1500354237472</v>
      </c>
      <c r="BZ3">
        <f t="shared" ref="BZ3:BZ66" si="9">(BT3+BN3)*2</f>
        <v>65.253977540652158</v>
      </c>
      <c r="CA3">
        <f t="shared" ref="CA3:CA66" si="10">(BV3+BN3)*2</f>
        <v>61.175603944361399</v>
      </c>
      <c r="CB3">
        <f>BO3*'Reagent cost'!$G$11*'Reagent cost'!$H$11</f>
        <v>2493.8076781078298</v>
      </c>
      <c r="CC3">
        <f>BP3*'Reagent cost'!$G$11*'Reagent cost'!$H$11</f>
        <v>3768.4172029726624</v>
      </c>
      <c r="CD3">
        <f>BQ3*'Reagent cost'!$C$18/1000*'Reagent cost'!$H$18</f>
        <v>3012.9816471142385</v>
      </c>
      <c r="CE3">
        <f>BR3*'Ligand cost'!$B$56*'Ligand cost'!$J$56</f>
        <v>29066.136817047478</v>
      </c>
      <c r="CF3">
        <f t="shared" ref="CF3:CF66" si="11">BK3*0.1</f>
        <v>10</v>
      </c>
      <c r="CG3">
        <f t="shared" ref="CG3:CH66" si="12">BU3*0.4</f>
        <v>3.7784964819815601</v>
      </c>
      <c r="CH3">
        <f t="shared" si="12"/>
        <v>4.0783735962907599</v>
      </c>
      <c r="CI3">
        <f>7963.6*(BX3/1000)^0.6*1.7*('CAPEX+OPEX'!$G$116/'CAPEX+OPEX'!$G$115)</f>
        <v>2965.5437179814326</v>
      </c>
      <c r="CJ3">
        <f>7963.6*(BY3/1000)^0.6*1.7*('CAPEX+OPEX'!$G$116/'CAPEX+OPEX'!$G$115)</f>
        <v>6492.3078360569407</v>
      </c>
      <c r="CK3">
        <f>7963.6*(BZ3/1000)^0.6*1.7*('CAPEX+OPEX'!$G$116/'CAPEX+OPEX'!$G$115)</f>
        <v>3104.5961983371071</v>
      </c>
      <c r="CL3">
        <f>7963.6*(CA3/1000)^0.6*1.7*('CAPEX+OPEX'!$G$116/'CAPEX+OPEX'!$G$115)</f>
        <v>2986.6744531627796</v>
      </c>
      <c r="CM3">
        <f>'Costing 100 Lmin Feed Orig'!DE3</f>
        <v>39625.826528698344</v>
      </c>
      <c r="CN3">
        <f>'Costing 100 Lmin Feed Orig'!DF3</f>
        <v>4586243.4239371875</v>
      </c>
      <c r="CO3">
        <f>'Costing 100 Lmin Feed Orig'!DG3</f>
        <v>11794834.586807497</v>
      </c>
      <c r="CP3">
        <f>'Costing 100 Lmin Feed Orig'!DH3</f>
        <v>2275209.1661185985</v>
      </c>
      <c r="CQ3">
        <f>'Costing 100 Lmin Feed Orig'!DI3</f>
        <v>14083914.336508472</v>
      </c>
      <c r="CR3">
        <f>'Costing 100 Lmin Feed Orig'!DJ3</f>
        <v>1662824.8986326549</v>
      </c>
      <c r="CS3">
        <f>CN3*(BK3/10000)^0.72*((A3+1)/3)^0.6*('CAPEX+OPEX'!$G$116/'CAPEX+OPEX'!$G$114)</f>
        <v>461850.0978118488</v>
      </c>
      <c r="CT3">
        <f>CO3*(BK3/10000)^0.72*((A3+1)/3)^0.6*('CAPEX+OPEX'!$G$116/'CAPEX+OPEX'!$G$114)</f>
        <v>1187779.4098672394</v>
      </c>
      <c r="CU3">
        <f>CP3*(BK3/10000)^0.72*((A3+1)/3)^0.6*('CAPEX+OPEX'!$G$116/'CAPEX+OPEX'!$G$114)</f>
        <v>229121.19544936769</v>
      </c>
      <c r="CV3">
        <f>CQ3*(BK3/10000)^0.72*((A3+1)/3)^0.6*('CAPEX+OPEX'!$G$116/'CAPEX+OPEX'!$G$114)</f>
        <v>1418297.4196136401</v>
      </c>
      <c r="CW3">
        <f>CR3*(BK3/10000)^0.72*((A3+1)/3)^0.6*('CAPEX+OPEX'!$G$116/'CAPEX+OPEX'!$G$114)</f>
        <v>167452.04540804314</v>
      </c>
      <c r="CX3">
        <f t="shared" ref="CX3:CX66" si="13">SUM(CS3:CW3)</f>
        <v>3464500.168150139</v>
      </c>
      <c r="CY3">
        <f>CN3*(BM3/10000)^0.72*((AF3+1)/3)^0.6*('CAPEX+OPEX'!$G$116/'CAPEX+OPEX'!$G$114)</f>
        <v>557691.83628610906</v>
      </c>
      <c r="CZ3">
        <f>CO3*(BM3/10000)^0.72*((AF3+1)/3)^0.6*('CAPEX+OPEX'!$G$116/'CAPEX+OPEX'!$G$114)</f>
        <v>1434263.8083873487</v>
      </c>
      <c r="DA3">
        <f>CP3*(BM3/10000)^0.72*((AF3+1)/3)^0.6*('CAPEX+OPEX'!$G$116/'CAPEX+OPEX'!$G$114)</f>
        <v>276667.73446106695</v>
      </c>
      <c r="DB3">
        <f>CQ3*(BM3/10000)^0.72*((AF3+1)/3)^0.6*('CAPEX+OPEX'!$G$116/'CAPEX+OPEX'!$G$114)</f>
        <v>1712618.2198329037</v>
      </c>
      <c r="DC3">
        <f>CR3*(BM3/10000)^0.72*((AF3+1)/3)^0.6*('CAPEX+OPEX'!$G$116/'CAPEX+OPEX'!$G$114)</f>
        <v>202201.18851532842</v>
      </c>
      <c r="DD3">
        <f t="shared" ref="DD3:DD66" si="14">SUM(CY3:DC3)</f>
        <v>4183442.7874827567</v>
      </c>
      <c r="DE3">
        <f>CX3+DD3+1.15*(SUM(CI3:CL3)+SUM(CB3:CE3))</f>
        <v>7709916.9910162929</v>
      </c>
      <c r="DF3">
        <f t="shared" ref="DF3:DF66" si="15">DE3/15</f>
        <v>513994.46606775286</v>
      </c>
      <c r="DG3">
        <f>(BS3+BT3)*'Oxidant Feed Composition'!$N$29*60*7200</f>
        <v>11758704.269521877</v>
      </c>
      <c r="DH3">
        <f>((CG3+CH3)*'Reagent cost'!$C$17/1000*'Reagent cost'!$H$17+(CG3+CH3)*0.5*'Reagent cost'!$C$16/1000*'Reagent cost'!$H$16*0.5)*60*7200</f>
        <v>3980866.7616416989</v>
      </c>
      <c r="DI3">
        <f>CF3*'Reagent cost'!$C$17/1000*'Reagent cost'!$H$17*60*7200</f>
        <v>504921.59999999998</v>
      </c>
      <c r="DJ3">
        <f t="shared" ref="DJ3:DJ66" si="16">(CB3+CC3)*0.01</f>
        <v>62.622248810804926</v>
      </c>
      <c r="DK3">
        <f t="shared" ref="DK3:DK66" si="17">(CD3+CE3)*0.02</f>
        <v>641.58236928323436</v>
      </c>
      <c r="DL3">
        <f t="shared" ref="DL3:DL66" si="18">SUM(DG3:DK3)*1.2</f>
        <v>19494236.202938005</v>
      </c>
      <c r="DM3">
        <f>BK3*(B3*(409.81+2)/1000+C3*(248.2+2*22.99)/1000+D3*(315.6+3*22.99)/1000+0.1*58.44/1000)</f>
        <v>0.70639694042110623</v>
      </c>
      <c r="DN3">
        <f>(BS3+BT3)/1000*('Oxidant Feed Composition'!$B$11*'Oxidant Feed Composition'!$O$20+'Oxidant Feed Composition'!$D$11*'Oxidant Feed Composition'!$O$21+'Oxidant Feed Composition'!$F$11*'Oxidant Feed Composition'!$O$27-'Oxidant Feed Composition'!$J$15*18.015)</f>
        <v>2.7526828737923901</v>
      </c>
      <c r="DO3">
        <f>(BU3+BV3)/1000*(0.2*368.34+0.4*58.44)</f>
        <v>1.9061552496896474</v>
      </c>
      <c r="DP3">
        <f>BK3/1000*(B3*195.08+C3*106.42+D3*102.91)</f>
        <v>4.999938342565946E-2</v>
      </c>
      <c r="DQ3">
        <f>SUM(DM3:DO3)-DP3</f>
        <v>5.3152356804774836</v>
      </c>
      <c r="DR3">
        <f>DQ3*60*7200*0.33</f>
        <v>757739.99860887008</v>
      </c>
      <c r="DS3">
        <v>1.2</v>
      </c>
      <c r="DT3">
        <f>BM3/60*(AM3*4+AN3*2+AO3*3)*96485/DV3</f>
        <v>1407.4026349781827</v>
      </c>
      <c r="DU3">
        <f>BN3*BA3*(AP3*4+AQ3*2+AR3*3)*96485/DV3/60</f>
        <v>714.80261726149911</v>
      </c>
      <c r="DV3">
        <v>0.7</v>
      </c>
      <c r="DW3">
        <f>0.499*((BK3/3.78541*15)^(-0.146))*BK3/3.78541*15*300*(1+(A3-2)/9)</f>
        <v>27520.276190787874</v>
      </c>
      <c r="DX3">
        <f>0.248*((BK3/3.78541*15)^(-0.144))*BK3/3.78541*15*300*(1+(A3-2)/3)</f>
        <v>16610.439588917834</v>
      </c>
      <c r="DY3">
        <f>0.105*((BK3/3.78541*15)^(-0.144))*BK3/3.78541*15*300*(1+(A3-2)/3)</f>
        <v>7032.645793695051</v>
      </c>
      <c r="DZ3">
        <f>0.058*((BK3/3.78541*15)^(-0.151))*BK3/3.78541*15*300*(1+(A3-2)/3)</f>
        <v>3725.3886787897172</v>
      </c>
      <c r="EA3">
        <f>0.056*((BK3/3.78541*15)^(-0.144))*BK3/3.78541*15*300*(1+(A3-2)/3)</f>
        <v>3750.7444233040283</v>
      </c>
      <c r="EB3">
        <f>DS3*DT3/(3.6*10^6)*3600*7200*0.07</f>
        <v>851.19711363480485</v>
      </c>
      <c r="EC3">
        <f>0.499*((BM3/3.78541*15)^(-0.146))*BM3/3.78541*15*300*(1+(AF3-2)/9)</f>
        <v>30949.25827662705</v>
      </c>
      <c r="ED3">
        <f>0.248*((BM3/3.78541*15)^(-0.144))*BM3/3.78541*15*300*(1+(AF3-2)/3)</f>
        <v>23346.543525145094</v>
      </c>
      <c r="EE3">
        <f>0.105*((BM3/3.78541*15)^(-0.144))*BM3/3.78541*15*300*(1+(AF3-2)/3)</f>
        <v>9884.6252828235265</v>
      </c>
      <c r="EF3">
        <f>0.058*((BM3/3.78541*15)^(-0.151))*BM3/3.78541*15*300*(1+(AF3-2)/3)</f>
        <v>5238.9477980495094</v>
      </c>
      <c r="EG3">
        <f>0.056*((BM3/3.78541*15)^(-0.144))*BM3/3.78541*15*300*(1+(AF3-2)/3)</f>
        <v>5271.8001508392153</v>
      </c>
      <c r="EH3">
        <f>DS3*DU3/(3.6*10^6)*3600*7200*0.07</f>
        <v>432.31262291975469</v>
      </c>
      <c r="EI3">
        <f>SUM(DW3:EH3)</f>
        <v>134614.17944553349</v>
      </c>
      <c r="EJ3">
        <f>EI3+DR3+DL3</f>
        <v>20386590.380992409</v>
      </c>
      <c r="EK3">
        <f>EJ3+DF3</f>
        <v>20900584.847060163</v>
      </c>
      <c r="EL3">
        <f>EK3/(BK3*60*7200)</f>
        <v>0.48380983442268893</v>
      </c>
      <c r="EM3">
        <f>EK3/(BM3*(AM3*195.084/1000+AN3*106.42/1000+AO3*102.911/1000)*60*7200)</f>
        <v>1620.7070349944174</v>
      </c>
      <c r="EN3">
        <f>EK3/(BN3*BA3*(AP3*195.084/1000+AQ3*106.42/1000+AR3*102.911/1000)*60*7200)</f>
        <v>2934.0490970603641</v>
      </c>
    </row>
    <row r="4" spans="1:144">
      <c r="A4">
        <f>'Costing 100 Lmin Feed Orig'!A4</f>
        <v>3</v>
      </c>
      <c r="B4">
        <f>'Costing 100 Lmin Feed Orig'!B4</f>
        <v>1.54143585092054E-3</v>
      </c>
      <c r="C4">
        <f>'Costing 100 Lmin Feed Orig'!C4</f>
        <v>1.54143585092054E-3</v>
      </c>
      <c r="D4">
        <f>'Costing 100 Lmin Feed Orig'!D4</f>
        <v>3.4254130020456501E-4</v>
      </c>
      <c r="E4">
        <f>'Costing 100 Lmin Feed Orig'!E4</f>
        <v>0</v>
      </c>
      <c r="F4">
        <f>'Costing 100 Lmin Feed Orig'!F4</f>
        <v>0</v>
      </c>
      <c r="G4">
        <f>'Costing 100 Lmin Feed Orig'!G4</f>
        <v>0</v>
      </c>
      <c r="H4">
        <f>'Costing 100 Lmin Feed Orig'!H4</f>
        <v>1.6300358850230801E-5</v>
      </c>
      <c r="I4">
        <f>'Costing 100 Lmin Feed Orig'!I4</f>
        <v>7.4474859607128495E-7</v>
      </c>
      <c r="J4">
        <f>'Costing 100 Lmin Feed Orig'!J4</f>
        <v>3.2385704147932398E-4</v>
      </c>
      <c r="K4">
        <f>'Costing 100 Lmin Feed Orig'!K4</f>
        <v>8.07271092797512E-2</v>
      </c>
      <c r="L4">
        <f>'Costing 100 Lmin Feed Orig'!L4</f>
        <v>8.15504849440159E-2</v>
      </c>
      <c r="M4">
        <f>'Costing 100 Lmin Feed Orig'!M4</f>
        <v>9.8897848995466706E-4</v>
      </c>
      <c r="N4">
        <f>'Costing 100 Lmin Feed Orig'!N4</f>
        <v>-9.8011876392689601E-17</v>
      </c>
      <c r="O4">
        <f>'Costing 100 Lmin Feed Orig'!O4</f>
        <v>1.94289029309402E-16</v>
      </c>
      <c r="P4">
        <f>'Costing 100 Lmin Feed Orig'!P4</f>
        <v>-4.3537493488870999E-18</v>
      </c>
      <c r="Q4">
        <f>'Costing 100 Lmin Feed Orig'!Q4</f>
        <v>0.18892482409907799</v>
      </c>
      <c r="R4">
        <f>'Costing 100 Lmin Feed Orig'!R4</f>
        <v>94.545399718491396</v>
      </c>
      <c r="S4">
        <f>'Costing 100 Lmin Feed Orig'!S4</f>
        <v>500</v>
      </c>
      <c r="T4">
        <f>'Costing 100 Lmin Feed Orig'!T4</f>
        <v>95</v>
      </c>
      <c r="U4">
        <f>'Costing 100 Lmin Feed Orig'!U4</f>
        <v>1</v>
      </c>
      <c r="V4">
        <f>'Costing 100 Lmin Feed Orig'!V4</f>
        <v>0.1</v>
      </c>
      <c r="W4">
        <f>'Costing 100 Lmin Feed Orig'!W4</f>
        <v>52.931106580020597</v>
      </c>
      <c r="X4" t="str">
        <f>'Costing 100 Lmin Feed Orig'!X4</f>
        <v>ddFc</v>
      </c>
      <c r="Y4">
        <f>'Costing 100 Lmin Feed Orig'!Y4</f>
        <v>1</v>
      </c>
      <c r="Z4">
        <f>'Costing 100 Lmin Feed Orig'!Z4</f>
        <v>0.28318429382522198</v>
      </c>
      <c r="AA4">
        <f>'Costing 100 Lmin Feed Orig'!AA4</f>
        <v>0.56945642916197003</v>
      </c>
      <c r="AB4">
        <f>'Costing 100 Lmin Feed Orig'!AB4</f>
        <v>3.7698628972227502E-3</v>
      </c>
      <c r="AC4">
        <f>'Costing 100 Lmin Feed Orig'!AC4</f>
        <v>1822.2107908876901</v>
      </c>
      <c r="AD4">
        <f>'Costing 100 Lmin Feed Orig'!AD4</f>
        <v>2662.6059073104898</v>
      </c>
      <c r="AE4">
        <f>'Costing 100 Lmin Feed Orig'!AE4</f>
        <v>2401.5030938442701</v>
      </c>
      <c r="AF4">
        <f>'Costing 100 Lmin Feed Orig'!AF4</f>
        <v>6</v>
      </c>
      <c r="AG4">
        <f>'Costing 100 Lmin Feed Orig'!AG4</f>
        <v>1.6455478770638001E-3</v>
      </c>
      <c r="AH4">
        <f>'Costing 100 Lmin Feed Orig'!AH4</f>
        <v>1.66233163271225E-3</v>
      </c>
      <c r="AI4">
        <f>'Costing 100 Lmin Feed Orig'!AI4</f>
        <v>2.0159416943409301E-5</v>
      </c>
      <c r="AJ4">
        <f>'Costing 100 Lmin Feed Orig'!AJ4</f>
        <v>0</v>
      </c>
      <c r="AK4">
        <f>'Costing 100 Lmin Feed Orig'!AK4</f>
        <v>0</v>
      </c>
      <c r="AL4">
        <f>'Costing 100 Lmin Feed Orig'!AL4</f>
        <v>0</v>
      </c>
      <c r="AM4">
        <f>'Costing 100 Lmin Feed Orig'!AM4</f>
        <v>1.60744374164569E-3</v>
      </c>
      <c r="AN4">
        <f>'Costing 100 Lmin Feed Orig'!AN4</f>
        <v>6.4579829374686502E-5</v>
      </c>
      <c r="AO4">
        <f>'Costing 100 Lmin Feed Orig'!AO4</f>
        <v>2.0022472818809102E-5</v>
      </c>
      <c r="AP4">
        <f>'Costing 100 Lmin Feed Orig'!AP4</f>
        <v>1.75996255360512E-3</v>
      </c>
      <c r="AQ4">
        <f>'Costing 100 Lmin Feed Orig'!AQ4</f>
        <v>7.3797327061053505E-2</v>
      </c>
      <c r="AR4">
        <f>'Costing 100 Lmin Feed Orig'!AR4</f>
        <v>6.3252066629497999E-6</v>
      </c>
      <c r="AS4">
        <f>'Costing 100 Lmin Feed Orig'!AS4</f>
        <v>-1.5043305143236301E-18</v>
      </c>
      <c r="AT4">
        <f>'Costing 100 Lmin Feed Orig'!AT4</f>
        <v>1.5178830414797E-17</v>
      </c>
      <c r="AU4">
        <f>'Costing 100 Lmin Feed Orig'!AU4</f>
        <v>-9.2908926401955993E-21</v>
      </c>
      <c r="AV4">
        <f>'Costing 100 Lmin Feed Orig'!AV4</f>
        <v>0.20066267141911501</v>
      </c>
      <c r="AW4">
        <f>'Costing 100 Lmin Feed Orig'!AW4</f>
        <v>99.320694021138493</v>
      </c>
      <c r="AX4">
        <f>'Costing 100 Lmin Feed Orig'!AX4</f>
        <v>500</v>
      </c>
      <c r="AY4">
        <f>'Costing 100 Lmin Feed Orig'!AY4</f>
        <v>95</v>
      </c>
      <c r="AZ4">
        <f>'Costing 100 Lmin Feed Orig'!AZ4</f>
        <v>0.92682535301965796</v>
      </c>
      <c r="BA4">
        <f>'Costing 100 Lmin Feed Orig'!BA4</f>
        <v>0.1</v>
      </c>
      <c r="BB4">
        <f>'Costing 100 Lmin Feed Orig'!BB4</f>
        <v>46.188229552861699</v>
      </c>
      <c r="BC4" t="str">
        <f>'Costing 100 Lmin Feed Orig'!BC4</f>
        <v>coeFc</v>
      </c>
      <c r="BD4">
        <f>'Costing 100 Lmin Feed Orig'!BD4</f>
        <v>1</v>
      </c>
      <c r="BE4">
        <f>'Costing 100 Lmin Feed Orig'!BE4</f>
        <v>1.8775014999999999E-2</v>
      </c>
      <c r="BF4">
        <f>'Costing 100 Lmin Feed Orig'!BF4</f>
        <v>0.10492961100000001</v>
      </c>
      <c r="BG4">
        <f>'Costing 100 Lmin Feed Orig'!BG4</f>
        <v>1.814625E-3</v>
      </c>
      <c r="BH4">
        <f>'Costing 100 Lmin Feed Orig'!BH4</f>
        <v>285.1951444</v>
      </c>
      <c r="BI4">
        <f>'Costing 100 Lmin Feed Orig'!BI4</f>
        <v>2169.8944889999998</v>
      </c>
      <c r="BJ4">
        <f>'Costing 100 Lmin Feed Orig'!BJ4</f>
        <v>866.49409060000005</v>
      </c>
      <c r="BK4">
        <f>'Costing 100 Lmin Feed Orig'!BK4</f>
        <v>100</v>
      </c>
      <c r="BL4">
        <f>'Costing 100 Lmin Feed Orig'!BL4</f>
        <v>18.892482409907799</v>
      </c>
      <c r="BM4">
        <f>'Costing 100 Lmin Feed Orig'!BM4</f>
        <v>92.6825353019658</v>
      </c>
      <c r="BN4">
        <f>'Costing 100 Lmin Feed Orig'!BN4</f>
        <v>20.066267141911499</v>
      </c>
      <c r="BO4">
        <f t="shared" si="1"/>
        <v>188.92482409907799</v>
      </c>
      <c r="BP4">
        <f t="shared" si="2"/>
        <v>321.06027427058399</v>
      </c>
      <c r="BQ4">
        <f t="shared" si="3"/>
        <v>18.892482409907799</v>
      </c>
      <c r="BR4">
        <f t="shared" si="4"/>
        <v>32.1060274270584</v>
      </c>
      <c r="BS4">
        <f>1.2*0.5*BL4*V4/'Oxidant Feed Composition'!$N$22</f>
        <v>11.335489445944679</v>
      </c>
      <c r="BT4">
        <f>1.2*0.5*BN4*BA4/'Oxidant Feed Composition'!$N$22</f>
        <v>12.039760285146901</v>
      </c>
      <c r="BU4">
        <f t="shared" si="5"/>
        <v>9.4462412049538997</v>
      </c>
      <c r="BV4">
        <f t="shared" si="6"/>
        <v>10.03313357095575</v>
      </c>
      <c r="BW4">
        <f t="shared" si="7"/>
        <v>83.236294097011893</v>
      </c>
      <c r="BX4">
        <f t="shared" si="0"/>
        <v>60.455943711704961</v>
      </c>
      <c r="BY4">
        <f t="shared" si="8"/>
        <v>223.1500354237472</v>
      </c>
      <c r="BZ4">
        <f t="shared" si="9"/>
        <v>64.212054854116801</v>
      </c>
      <c r="CA4">
        <f t="shared" si="10"/>
        <v>60.198801425734501</v>
      </c>
      <c r="CB4">
        <f>BO4*'Reagent cost'!$G$11*'Reagent cost'!$H$11</f>
        <v>2493.8076781078298</v>
      </c>
      <c r="CC4">
        <f>BP4*'Reagent cost'!$G$11*'Reagent cost'!$H$11</f>
        <v>4237.9956203717084</v>
      </c>
      <c r="CD4">
        <f>BQ4*'Reagent cost'!$C$18/1000*'Reagent cost'!$H$18</f>
        <v>3012.9816471142385</v>
      </c>
      <c r="CE4">
        <f>BR4*'Ligand cost'!$B$56*'Ligand cost'!$J$56</f>
        <v>32688.036885778358</v>
      </c>
      <c r="CF4">
        <f t="shared" si="11"/>
        <v>10</v>
      </c>
      <c r="CG4">
        <f t="shared" si="12"/>
        <v>3.7784964819815601</v>
      </c>
      <c r="CH4">
        <f t="shared" si="12"/>
        <v>4.0132534283823</v>
      </c>
      <c r="CI4">
        <f>7963.6*(BX4/1000)^0.6*1.7*('CAPEX+OPEX'!$G$116/'CAPEX+OPEX'!$G$115)</f>
        <v>2965.5437179814326</v>
      </c>
      <c r="CJ4">
        <f>7963.6*(BY4/1000)^0.6*1.7*('CAPEX+OPEX'!$G$116/'CAPEX+OPEX'!$G$115)</f>
        <v>6492.3078360569407</v>
      </c>
      <c r="CK4">
        <f>7963.6*(BZ4/1000)^0.6*1.7*('CAPEX+OPEX'!$G$116/'CAPEX+OPEX'!$G$115)</f>
        <v>3074.7574940340096</v>
      </c>
      <c r="CL4">
        <f>7963.6*(CA4/1000)^0.6*1.7*('CAPEX+OPEX'!$G$116/'CAPEX+OPEX'!$G$115)</f>
        <v>2957.9691110943741</v>
      </c>
      <c r="CM4">
        <f>'Costing 100 Lmin Feed Orig'!DE4</f>
        <v>39625.826528698344</v>
      </c>
      <c r="CN4">
        <f>'Costing 100 Lmin Feed Orig'!DF4</f>
        <v>4586243.4239371875</v>
      </c>
      <c r="CO4">
        <f>'Costing 100 Lmin Feed Orig'!DG4</f>
        <v>11794834.586807497</v>
      </c>
      <c r="CP4">
        <f>'Costing 100 Lmin Feed Orig'!DH4</f>
        <v>2275209.1661185985</v>
      </c>
      <c r="CQ4">
        <f>'Costing 100 Lmin Feed Orig'!DI4</f>
        <v>14083914.336508472</v>
      </c>
      <c r="CR4">
        <f>'Costing 100 Lmin Feed Orig'!DJ4</f>
        <v>1662824.8986326549</v>
      </c>
      <c r="CS4">
        <f>CN4*(BK4/10000)^0.72*((A4+1)/3)^0.6*('CAPEX+OPEX'!$G$116/'CAPEX+OPEX'!$G$114)</f>
        <v>461850.0978118488</v>
      </c>
      <c r="CT4">
        <f>CO4*(BK4/10000)^0.72*((A4+1)/3)^0.6*('CAPEX+OPEX'!$G$116/'CAPEX+OPEX'!$G$114)</f>
        <v>1187779.4098672394</v>
      </c>
      <c r="CU4">
        <f>CP4*(BK4/10000)^0.72*((A4+1)/3)^0.6*('CAPEX+OPEX'!$G$116/'CAPEX+OPEX'!$G$114)</f>
        <v>229121.19544936769</v>
      </c>
      <c r="CV4">
        <f>CQ4*(BK4/10000)^0.72*((A4+1)/3)^0.6*('CAPEX+OPEX'!$G$116/'CAPEX+OPEX'!$G$114)</f>
        <v>1418297.4196136401</v>
      </c>
      <c r="CW4">
        <f>CR4*(BK4/10000)^0.72*((A4+1)/3)^0.6*('CAPEX+OPEX'!$G$116/'CAPEX+OPEX'!$G$114)</f>
        <v>167452.04540804314</v>
      </c>
      <c r="CX4">
        <f t="shared" si="13"/>
        <v>3464500.168150139</v>
      </c>
      <c r="CY4">
        <f>CN4*(BM4/10000)^0.72*((AF4+1)/3)^0.6*('CAPEX+OPEX'!$G$116/'CAPEX+OPEX'!$G$114)</f>
        <v>611733.63632254547</v>
      </c>
      <c r="CZ4">
        <f>CO4*(BM4/10000)^0.72*((AF4+1)/3)^0.6*('CAPEX+OPEX'!$G$116/'CAPEX+OPEX'!$G$114)</f>
        <v>1573247.7290567602</v>
      </c>
      <c r="DA4">
        <f>CP4*(BM4/10000)^0.72*((AF4+1)/3)^0.6*('CAPEX+OPEX'!$G$116/'CAPEX+OPEX'!$G$114)</f>
        <v>303477.56277386361</v>
      </c>
      <c r="DB4">
        <f>CQ4*(BM4/10000)^0.72*((AF4+1)/3)^0.6*('CAPEX+OPEX'!$G$116/'CAPEX+OPEX'!$G$114)</f>
        <v>1878575.4122338442</v>
      </c>
      <c r="DC4">
        <f>CR4*(BM4/10000)^0.72*((AF4+1)/3)^0.6*('CAPEX+OPEX'!$G$116/'CAPEX+OPEX'!$G$114)</f>
        <v>221795.01343061589</v>
      </c>
      <c r="DD4">
        <f t="shared" si="14"/>
        <v>4588829.3538176296</v>
      </c>
      <c r="DE4">
        <f>CX4+DD4+1.15*(SUM(CI4:CL4)+SUM(CB4:CE4))</f>
        <v>8119941.4319568882</v>
      </c>
      <c r="DF4">
        <f t="shared" si="15"/>
        <v>541329.42879712593</v>
      </c>
      <c r="DG4">
        <f>(BS4+BT4)*'Oxidant Feed Composition'!$N$29*60*7200</f>
        <v>11661244.493709268</v>
      </c>
      <c r="DH4">
        <f>((CG4+CH4)*'Reagent cost'!$C$17/1000*'Reagent cost'!$H$17+(CG4+CH4)*0.5*'Reagent cost'!$C$16/1000*'Reagent cost'!$H$16*0.5)*60*7200</f>
        <v>3947872.1073637558</v>
      </c>
      <c r="DI4">
        <f>CF4*'Reagent cost'!$C$17/1000*'Reagent cost'!$H$17*60*7200</f>
        <v>504921.59999999998</v>
      </c>
      <c r="DJ4">
        <f t="shared" si="16"/>
        <v>67.31803298479538</v>
      </c>
      <c r="DK4">
        <f t="shared" si="17"/>
        <v>714.02037065785191</v>
      </c>
      <c r="DL4">
        <f t="shared" si="18"/>
        <v>19337783.447372001</v>
      </c>
      <c r="DM4">
        <f>BK4*(B4*(409.81+2)/1000+C4*(248.2+2*22.99)/1000+D4*(315.6+3*22.99)/1000+0.1*58.44/1000)</f>
        <v>0.70639694042110623</v>
      </c>
      <c r="DN4">
        <f>(BS4+BT4)/1000*('Oxidant Feed Composition'!$B$11*'Oxidant Feed Composition'!$O$20+'Oxidant Feed Composition'!$D$11*'Oxidant Feed Composition'!$O$21+'Oxidant Feed Composition'!$F$11*'Oxidant Feed Composition'!$O$27-'Oxidant Feed Composition'!$J$15*18.015)</f>
        <v>2.7298677872306532</v>
      </c>
      <c r="DO4">
        <f>(BU4+BV4)/1000*(0.2*368.34+0.4*58.44)</f>
        <v>1.8903564457533757</v>
      </c>
      <c r="DP4">
        <f>BK4/1000*(B4*195.08+C4*106.42+D4*102.91)</f>
        <v>4.999938342565946E-2</v>
      </c>
      <c r="DQ4">
        <f>SUM(DM4:DO4)-DP4</f>
        <v>5.2766217899794752</v>
      </c>
      <c r="DR4">
        <f>DQ4*60*7200*0.33</f>
        <v>752235.20237947407</v>
      </c>
      <c r="DS4">
        <v>1.2</v>
      </c>
      <c r="DT4">
        <f>BM4/60*(AM4*4+AN4*2+AO4*3)*96485/DV4</f>
        <v>1409.2918203168488</v>
      </c>
      <c r="DU4">
        <f>BN4*BA4*(AP4*4+AQ4*2+AR4*3)*96485/DV4/60</f>
        <v>712.91343190810642</v>
      </c>
      <c r="DV4">
        <v>0.7</v>
      </c>
      <c r="DW4">
        <f>0.499*((BK4/3.78541*15)^(-0.146))*BK4/3.78541*15*300*(1+(A4-2)/9)</f>
        <v>27520.276190787874</v>
      </c>
      <c r="DX4">
        <f>0.248*((BK4/3.78541*15)^(-0.144))*BK4/3.78541*15*300*(1+(A4-2)/3)</f>
        <v>16610.439588917834</v>
      </c>
      <c r="DY4">
        <f>0.105*((BK4/3.78541*15)^(-0.144))*BK4/3.78541*15*300*(1+(A4-2)/3)</f>
        <v>7032.645793695051</v>
      </c>
      <c r="DZ4">
        <f>0.058*((BK4/3.78541*15)^(-0.151))*BK4/3.78541*15*300*(1+(A4-2)/3)</f>
        <v>3725.3886787897172</v>
      </c>
      <c r="EA4">
        <f>0.056*((BK4/3.78541*15)^(-0.144))*BK4/3.78541*15*300*(1+(A4-2)/3)</f>
        <v>3750.7444233040283</v>
      </c>
      <c r="EB4">
        <f>DS4*DT4/(3.6*10^6)*3600*7200*0.07</f>
        <v>852.33969292763015</v>
      </c>
      <c r="EC4">
        <f>0.499*((BM4/3.78541*15)^(-0.146))*BM4/3.78541*15*300*(1+(AF4-2)/9)</f>
        <v>33528.363133012637</v>
      </c>
      <c r="ED4">
        <f>0.248*((BM4/3.78541*15)^(-0.144))*BM4/3.78541*15*300*(1+(AF4-2)/3)</f>
        <v>27237.634112669275</v>
      </c>
      <c r="EE4">
        <f>0.105*((BM4/3.78541*15)^(-0.144))*BM4/3.78541*15*300*(1+(AF4-2)/3)</f>
        <v>11532.06282996078</v>
      </c>
      <c r="EF4">
        <f>0.058*((BM4/3.78541*15)^(-0.151))*BM4/3.78541*15*300*(1+(AF4-2)/3)</f>
        <v>6112.1057643910935</v>
      </c>
      <c r="EG4">
        <f>0.056*((BM4/3.78541*15)^(-0.144))*BM4/3.78541*15*300*(1+(AF4-2)/3)</f>
        <v>6150.4335093124173</v>
      </c>
      <c r="EH4">
        <f>DS4*DU4/(3.6*10^6)*3600*7200*0.07</f>
        <v>431.1700436180227</v>
      </c>
      <c r="EI4">
        <f>SUM(DW4:EH4)</f>
        <v>144483.60376138636</v>
      </c>
      <c r="EJ4">
        <f>EI4+DR4+DL4</f>
        <v>20234502.253512859</v>
      </c>
      <c r="EK4">
        <f>EJ4+DF4</f>
        <v>20775831.682309985</v>
      </c>
      <c r="EL4">
        <f>EK4/(BK4*60*7200)</f>
        <v>0.48092202968310149</v>
      </c>
      <c r="EM4">
        <f>EK4/(BM4*(AM4*195.084/1000+AN4*106.42/1000+AO4*102.911/1000)*60*7200)</f>
        <v>1608.8685240435082</v>
      </c>
      <c r="EN4">
        <f>EK4/(BN4*BA4*(AP4*195.084/1000+AQ4*106.42/1000+AR4*102.911/1000)*60*7200)</f>
        <v>2923.6575133498436</v>
      </c>
    </row>
    <row r="5" spans="1:144">
      <c r="A5">
        <f>'Costing 100 Lmin Feed Orig'!A5</f>
        <v>3</v>
      </c>
      <c r="B5">
        <f>'Costing 100 Lmin Feed Orig'!B5</f>
        <v>1.54143585092054E-3</v>
      </c>
      <c r="C5">
        <f>'Costing 100 Lmin Feed Orig'!C5</f>
        <v>1.54143585092054E-3</v>
      </c>
      <c r="D5">
        <f>'Costing 100 Lmin Feed Orig'!D5</f>
        <v>3.4254130020456501E-4</v>
      </c>
      <c r="E5">
        <f>'Costing 100 Lmin Feed Orig'!E5</f>
        <v>0</v>
      </c>
      <c r="F5">
        <f>'Costing 100 Lmin Feed Orig'!F5</f>
        <v>0</v>
      </c>
      <c r="G5">
        <f>'Costing 100 Lmin Feed Orig'!G5</f>
        <v>0</v>
      </c>
      <c r="H5">
        <f>'Costing 100 Lmin Feed Orig'!H5</f>
        <v>1.6300358850230801E-5</v>
      </c>
      <c r="I5">
        <f>'Costing 100 Lmin Feed Orig'!I5</f>
        <v>7.4474859607128495E-7</v>
      </c>
      <c r="J5">
        <f>'Costing 100 Lmin Feed Orig'!J5</f>
        <v>3.2385704147932398E-4</v>
      </c>
      <c r="K5">
        <f>'Costing 100 Lmin Feed Orig'!K5</f>
        <v>8.07271092797512E-2</v>
      </c>
      <c r="L5">
        <f>'Costing 100 Lmin Feed Orig'!L5</f>
        <v>8.15504849440159E-2</v>
      </c>
      <c r="M5">
        <f>'Costing 100 Lmin Feed Orig'!M5</f>
        <v>9.8897848995466706E-4</v>
      </c>
      <c r="N5">
        <f>'Costing 100 Lmin Feed Orig'!N5</f>
        <v>-9.8011876392689601E-17</v>
      </c>
      <c r="O5">
        <f>'Costing 100 Lmin Feed Orig'!O5</f>
        <v>1.94289029309402E-16</v>
      </c>
      <c r="P5">
        <f>'Costing 100 Lmin Feed Orig'!P5</f>
        <v>-4.3537493488870999E-18</v>
      </c>
      <c r="Q5">
        <f>'Costing 100 Lmin Feed Orig'!Q5</f>
        <v>0.18892482409907799</v>
      </c>
      <c r="R5">
        <f>'Costing 100 Lmin Feed Orig'!R5</f>
        <v>94.545399718491396</v>
      </c>
      <c r="S5">
        <f>'Costing 100 Lmin Feed Orig'!S5</f>
        <v>500</v>
      </c>
      <c r="T5">
        <f>'Costing 100 Lmin Feed Orig'!T5</f>
        <v>95</v>
      </c>
      <c r="U5">
        <f>'Costing 100 Lmin Feed Orig'!U5</f>
        <v>1</v>
      </c>
      <c r="V5">
        <f>'Costing 100 Lmin Feed Orig'!V5</f>
        <v>0.1</v>
      </c>
      <c r="W5">
        <f>'Costing 100 Lmin Feed Orig'!W5</f>
        <v>52.931106580020597</v>
      </c>
      <c r="X5" t="str">
        <f>'Costing 100 Lmin Feed Orig'!X5</f>
        <v>ddFc</v>
      </c>
      <c r="Y5">
        <f>'Costing 100 Lmin Feed Orig'!Y5</f>
        <v>1</v>
      </c>
      <c r="Z5">
        <f>'Costing 100 Lmin Feed Orig'!Z5</f>
        <v>0.28318429382522198</v>
      </c>
      <c r="AA5">
        <f>'Costing 100 Lmin Feed Orig'!AA5</f>
        <v>0.56945642916197003</v>
      </c>
      <c r="AB5">
        <f>'Costing 100 Lmin Feed Orig'!AB5</f>
        <v>3.7698628972227502E-3</v>
      </c>
      <c r="AC5">
        <f>'Costing 100 Lmin Feed Orig'!AC5</f>
        <v>1822.2107908876901</v>
      </c>
      <c r="AD5">
        <f>'Costing 100 Lmin Feed Orig'!AD5</f>
        <v>2662.6059073104898</v>
      </c>
      <c r="AE5">
        <f>'Costing 100 Lmin Feed Orig'!AE5</f>
        <v>2401.5030938442701</v>
      </c>
      <c r="AF5">
        <f>'Costing 100 Lmin Feed Orig'!AF5</f>
        <v>7</v>
      </c>
      <c r="AG5">
        <f>'Costing 100 Lmin Feed Orig'!AG5</f>
        <v>1.6455478770638001E-3</v>
      </c>
      <c r="AH5">
        <f>'Costing 100 Lmin Feed Orig'!AH5</f>
        <v>1.66233163271225E-3</v>
      </c>
      <c r="AI5">
        <f>'Costing 100 Lmin Feed Orig'!AI5</f>
        <v>2.0159416943409301E-5</v>
      </c>
      <c r="AJ5">
        <f>'Costing 100 Lmin Feed Orig'!AJ5</f>
        <v>0</v>
      </c>
      <c r="AK5">
        <f>'Costing 100 Lmin Feed Orig'!AK5</f>
        <v>0</v>
      </c>
      <c r="AL5">
        <f>'Costing 100 Lmin Feed Orig'!AL5</f>
        <v>0</v>
      </c>
      <c r="AM5">
        <f>'Costing 100 Lmin Feed Orig'!AM5</f>
        <v>1.60808949136668E-3</v>
      </c>
      <c r="AN5">
        <f>'Costing 100 Lmin Feed Orig'!AN5</f>
        <v>6.4611588564249294E-5</v>
      </c>
      <c r="AO5">
        <f>'Costing 100 Lmin Feed Orig'!AO5</f>
        <v>2.0024700455054798E-5</v>
      </c>
      <c r="AP5">
        <f>'Costing 100 Lmin Feed Orig'!AP5</f>
        <v>1.7385721005278799E-3</v>
      </c>
      <c r="AQ5">
        <f>'Costing 100 Lmin Feed Orig'!AQ5</f>
        <v>7.4155664786925493E-2</v>
      </c>
      <c r="AR5">
        <f>'Costing 100 Lmin Feed Orig'!AR5</f>
        <v>6.2526540793269999E-6</v>
      </c>
      <c r="AS5">
        <f>'Costing 100 Lmin Feed Orig'!AS5</f>
        <v>-2.20838430008141E-17</v>
      </c>
      <c r="AT5">
        <f>'Costing 100 Lmin Feed Orig'!AT5</f>
        <v>-3.7493879528893699E-15</v>
      </c>
      <c r="AU5">
        <f>'Costing 100 Lmin Feed Orig'!AU5</f>
        <v>-5.9159957409792503E-20</v>
      </c>
      <c r="AV5">
        <f>'Costing 100 Lmin Feed Orig'!AV5</f>
        <v>0.19968905250902499</v>
      </c>
      <c r="AW5">
        <f>'Costing 100 Lmin Feed Orig'!AW5</f>
        <v>99.331744123688495</v>
      </c>
      <c r="AX5">
        <f>'Costing 100 Lmin Feed Orig'!AX5</f>
        <v>500</v>
      </c>
      <c r="AY5">
        <f>'Costing 100 Lmin Feed Orig'!AY5</f>
        <v>95</v>
      </c>
      <c r="AZ5">
        <f>'Costing 100 Lmin Feed Orig'!AZ5</f>
        <v>0.92682535301965796</v>
      </c>
      <c r="BA5">
        <f>'Costing 100 Lmin Feed Orig'!BA5</f>
        <v>0.1</v>
      </c>
      <c r="BB5">
        <f>'Costing 100 Lmin Feed Orig'!BB5</f>
        <v>46.413428346442103</v>
      </c>
      <c r="BC5" t="str">
        <f>'Costing 100 Lmin Feed Orig'!BC5</f>
        <v>coeFc</v>
      </c>
      <c r="BD5">
        <f>'Costing 100 Lmin Feed Orig'!BD5</f>
        <v>1</v>
      </c>
      <c r="BE5">
        <f>'Costing 100 Lmin Feed Orig'!BE5</f>
        <v>1.8775014999999999E-2</v>
      </c>
      <c r="BF5">
        <f>'Costing 100 Lmin Feed Orig'!BF5</f>
        <v>0.10492961100000001</v>
      </c>
      <c r="BG5">
        <f>'Costing 100 Lmin Feed Orig'!BG5</f>
        <v>1.814625E-3</v>
      </c>
      <c r="BH5">
        <f>'Costing 100 Lmin Feed Orig'!BH5</f>
        <v>285.1951444</v>
      </c>
      <c r="BI5">
        <f>'Costing 100 Lmin Feed Orig'!BI5</f>
        <v>2169.8944889999998</v>
      </c>
      <c r="BJ5">
        <f>'Costing 100 Lmin Feed Orig'!BJ5</f>
        <v>866.49409060000005</v>
      </c>
      <c r="BK5">
        <f>'Costing 100 Lmin Feed Orig'!BK5</f>
        <v>100</v>
      </c>
      <c r="BL5">
        <f>'Costing 100 Lmin Feed Orig'!BL5</f>
        <v>18.892482409907799</v>
      </c>
      <c r="BM5">
        <f>'Costing 100 Lmin Feed Orig'!BM5</f>
        <v>92.6825353019658</v>
      </c>
      <c r="BN5">
        <f>'Costing 100 Lmin Feed Orig'!BN5</f>
        <v>19.968905250902498</v>
      </c>
      <c r="BO5">
        <f t="shared" si="1"/>
        <v>188.92482409907799</v>
      </c>
      <c r="BP5">
        <f t="shared" si="2"/>
        <v>359.44029451624499</v>
      </c>
      <c r="BQ5">
        <f t="shared" si="3"/>
        <v>18.892482409907799</v>
      </c>
      <c r="BR5">
        <f t="shared" si="4"/>
        <v>35.944029451624502</v>
      </c>
      <c r="BS5">
        <f>1.2*0.5*BL5*V5/'Oxidant Feed Composition'!$N$22</f>
        <v>11.335489445944679</v>
      </c>
      <c r="BT5">
        <f>1.2*0.5*BN5*BA5/'Oxidant Feed Composition'!$N$22</f>
        <v>11.981343150541498</v>
      </c>
      <c r="BU5">
        <f t="shared" si="5"/>
        <v>9.4462412049538997</v>
      </c>
      <c r="BV5">
        <f t="shared" si="6"/>
        <v>9.9844526254512491</v>
      </c>
      <c r="BW5">
        <f t="shared" si="7"/>
        <v>83.236294097011893</v>
      </c>
      <c r="BX5">
        <f t="shared" si="0"/>
        <v>60.455943711704961</v>
      </c>
      <c r="BY5">
        <f t="shared" si="8"/>
        <v>223.1500354237472</v>
      </c>
      <c r="BZ5">
        <f t="shared" si="9"/>
        <v>63.900496802887993</v>
      </c>
      <c r="CA5">
        <f t="shared" si="10"/>
        <v>59.906715752707498</v>
      </c>
      <c r="CB5">
        <f>BO5*'Reagent cost'!$G$11*'Reagent cost'!$H$11</f>
        <v>2493.8076781078298</v>
      </c>
      <c r="CC5">
        <f>BP5*'Reagent cost'!$G$11*'Reagent cost'!$H$11</f>
        <v>4744.6118876144337</v>
      </c>
      <c r="CD5">
        <f>BQ5*'Reagent cost'!$C$18/1000*'Reagent cost'!$H$18</f>
        <v>3012.9816471142385</v>
      </c>
      <c r="CE5">
        <f>BR5*'Ligand cost'!$B$56*'Ligand cost'!$J$56</f>
        <v>36595.613182214707</v>
      </c>
      <c r="CF5">
        <f t="shared" si="11"/>
        <v>10</v>
      </c>
      <c r="CG5">
        <f t="shared" si="12"/>
        <v>3.7784964819815601</v>
      </c>
      <c r="CH5">
        <f t="shared" si="12"/>
        <v>3.9937810501805</v>
      </c>
      <c r="CI5">
        <f>7963.6*(BX5/1000)^0.6*1.7*('CAPEX+OPEX'!$G$116/'CAPEX+OPEX'!$G$115)</f>
        <v>2965.5437179814326</v>
      </c>
      <c r="CJ5">
        <f>7963.6*(BY5/1000)^0.6*1.7*('CAPEX+OPEX'!$G$116/'CAPEX+OPEX'!$G$115)</f>
        <v>6492.3078360569407</v>
      </c>
      <c r="CK5">
        <f>7963.6*(BZ5/1000)^0.6*1.7*('CAPEX+OPEX'!$G$116/'CAPEX+OPEX'!$G$115)</f>
        <v>3065.7975205909352</v>
      </c>
      <c r="CL5">
        <f>7963.6*(CA5/1000)^0.6*1.7*('CAPEX+OPEX'!$G$116/'CAPEX+OPEX'!$G$115)</f>
        <v>2949.3494639409755</v>
      </c>
      <c r="CM5">
        <f>'Costing 100 Lmin Feed Orig'!DE5</f>
        <v>39625.826528698344</v>
      </c>
      <c r="CN5">
        <f>'Costing 100 Lmin Feed Orig'!DF5</f>
        <v>4586243.4239371875</v>
      </c>
      <c r="CO5">
        <f>'Costing 100 Lmin Feed Orig'!DG5</f>
        <v>11794834.586807497</v>
      </c>
      <c r="CP5">
        <f>'Costing 100 Lmin Feed Orig'!DH5</f>
        <v>2275209.1661185985</v>
      </c>
      <c r="CQ5">
        <f>'Costing 100 Lmin Feed Orig'!DI5</f>
        <v>14083914.336508472</v>
      </c>
      <c r="CR5">
        <f>'Costing 100 Lmin Feed Orig'!DJ5</f>
        <v>1662824.8986326549</v>
      </c>
      <c r="CS5">
        <f>CN5*(BK5/10000)^0.72*((A5+1)/3)^0.6*('CAPEX+OPEX'!$G$116/'CAPEX+OPEX'!$G$114)</f>
        <v>461850.0978118488</v>
      </c>
      <c r="CT5">
        <f>CO5*(BK5/10000)^0.72*((A5+1)/3)^0.6*('CAPEX+OPEX'!$G$116/'CAPEX+OPEX'!$G$114)</f>
        <v>1187779.4098672394</v>
      </c>
      <c r="CU5">
        <f>CP5*(BK5/10000)^0.72*((A5+1)/3)^0.6*('CAPEX+OPEX'!$G$116/'CAPEX+OPEX'!$G$114)</f>
        <v>229121.19544936769</v>
      </c>
      <c r="CV5">
        <f>CQ5*(BK5/10000)^0.72*((A5+1)/3)^0.6*('CAPEX+OPEX'!$G$116/'CAPEX+OPEX'!$G$114)</f>
        <v>1418297.4196136401</v>
      </c>
      <c r="CW5">
        <f>CR5*(BK5/10000)^0.72*((A5+1)/3)^0.6*('CAPEX+OPEX'!$G$116/'CAPEX+OPEX'!$G$114)</f>
        <v>167452.04540804314</v>
      </c>
      <c r="CX5">
        <f t="shared" si="13"/>
        <v>3464500.168150139</v>
      </c>
      <c r="CY5">
        <f>CN5*(BM5/10000)^0.72*((AF5+1)/3)^0.6*('CAPEX+OPEX'!$G$116/'CAPEX+OPEX'!$G$114)</f>
        <v>662761.89210079471</v>
      </c>
      <c r="CZ5">
        <f>CO5*(BM5/10000)^0.72*((AF5+1)/3)^0.6*('CAPEX+OPEX'!$G$116/'CAPEX+OPEX'!$G$114)</f>
        <v>1704481.4601353123</v>
      </c>
      <c r="DA5">
        <f>CP5*(BM5/10000)^0.72*((AF5+1)/3)^0.6*('CAPEX+OPEX'!$G$116/'CAPEX+OPEX'!$G$114)</f>
        <v>328792.38899345568</v>
      </c>
      <c r="DB5">
        <f>CQ5*(BM5/10000)^0.72*((AF5+1)/3)^0.6*('CAPEX+OPEX'!$G$116/'CAPEX+OPEX'!$G$114)</f>
        <v>2035278.2988209969</v>
      </c>
      <c r="DC5">
        <f>CR5*(BM5/10000)^0.72*((AF5+1)/3)^0.6*('CAPEX+OPEX'!$G$116/'CAPEX+OPEX'!$G$114)</f>
        <v>240296.22376738113</v>
      </c>
      <c r="DD5">
        <f t="shared" si="14"/>
        <v>4971610.2638179408</v>
      </c>
      <c r="DE5">
        <f>CX5+DD5+1.15*(SUM(CI5:CL5)+SUM(CB5:CE5))</f>
        <v>8507778.4468417447</v>
      </c>
      <c r="DF5">
        <f>DE5/15</f>
        <v>567185.2297894496</v>
      </c>
      <c r="DG5">
        <f>(BS5+BT5)*'Oxidant Feed Composition'!$N$29*60*7200</f>
        <v>11632101.853647999</v>
      </c>
      <c r="DH5">
        <f>((CG5+CH5)*'Reagent cost'!$C$17/1000*'Reagent cost'!$H$17+(CG5+CH5)*0.5*'Reagent cost'!$C$16/1000*'Reagent cost'!$H$16*0.5)*60*7200</f>
        <v>3938005.9720730586</v>
      </c>
      <c r="DI5">
        <f>CF5*'Reagent cost'!$C$17/1000*'Reagent cost'!$H$17*60*7200</f>
        <v>504921.59999999998</v>
      </c>
      <c r="DJ5">
        <f t="shared" si="16"/>
        <v>72.384195657222634</v>
      </c>
      <c r="DK5">
        <f t="shared" si="17"/>
        <v>792.17189658657901</v>
      </c>
      <c r="DL5">
        <f t="shared" si="18"/>
        <v>19291072.778175961</v>
      </c>
      <c r="DM5">
        <f>BK5*(B5*(409.81+2)/1000+C5*(248.2+2*22.99)/1000+D5*(315.6+3*22.99)/1000+0.1*58.44/1000)</f>
        <v>0.70639694042110623</v>
      </c>
      <c r="DN5">
        <f>(BS5+BT5)/1000*('Oxidant Feed Composition'!$B$11*'Oxidant Feed Composition'!$O$20+'Oxidant Feed Composition'!$D$11*'Oxidant Feed Composition'!$O$21+'Oxidant Feed Composition'!$F$11*'Oxidant Feed Composition'!$O$27-'Oxidant Feed Composition'!$J$15*18.015)</f>
        <v>2.7230455690376436</v>
      </c>
      <c r="DO5">
        <f>(BU5+BV5)/1000*(0.2*368.34+0.4*58.44)</f>
        <v>1.885632252077837</v>
      </c>
      <c r="DP5">
        <f>BK5/1000*(B5*195.08+C5*106.42+D5*102.91)</f>
        <v>4.999938342565946E-2</v>
      </c>
      <c r="DQ5">
        <f>SUM(DM5:DO5)-DP5</f>
        <v>5.265075378110927</v>
      </c>
      <c r="DR5">
        <f>DQ5*60*7200*0.33</f>
        <v>750589.14590349386</v>
      </c>
      <c r="DS5">
        <v>1.2</v>
      </c>
      <c r="DT5">
        <f>BM5/60*(AM5*4+AN5*2+AO5*3)*96485/DV5</f>
        <v>1409.8567292374196</v>
      </c>
      <c r="DU5">
        <f>BN5*BA5*(AP5*4+AQ5*2+AR5*3)*96485/DV5/60</f>
        <v>712.34852298928593</v>
      </c>
      <c r="DV5">
        <v>0.7</v>
      </c>
      <c r="DW5">
        <f>0.499*((BK5/3.78541*15)^(-0.146))*BK5/3.78541*15*300*(1+(A5-2)/9)</f>
        <v>27520.276190787874</v>
      </c>
      <c r="DX5">
        <f>0.248*((BK5/3.78541*15)^(-0.144))*BK5/3.78541*15*300*(1+(A5-2)/3)</f>
        <v>16610.439588917834</v>
      </c>
      <c r="DY5">
        <f>0.105*((BK5/3.78541*15)^(-0.144))*BK5/3.78541*15*300*(1+(A5-2)/3)</f>
        <v>7032.645793695051</v>
      </c>
      <c r="DZ5">
        <f>0.058*((BK5/3.78541*15)^(-0.151))*BK5/3.78541*15*300*(1+(A5-2)/3)</f>
        <v>3725.3886787897172</v>
      </c>
      <c r="EA5">
        <f>0.056*((BK5/3.78541*15)^(-0.144))*BK5/3.78541*15*300*(1+(A5-2)/3)</f>
        <v>3750.7444233040283</v>
      </c>
      <c r="EB5">
        <f>DS5*DT5/(3.6*10^6)*3600*7200*0.07</f>
        <v>852.68134984279141</v>
      </c>
      <c r="EC5">
        <f>0.499*((BM5/3.78541*15)^(-0.146))*BM5/3.78541*15*300*(1+(AF5-2)/9)</f>
        <v>36107.467989398225</v>
      </c>
      <c r="ED5">
        <f>0.248*((BM5/3.78541*15)^(-0.144))*BM5/3.78541*15*300*(1+(AF5-2)/3)</f>
        <v>31128.724700193463</v>
      </c>
      <c r="EE5">
        <f>0.105*((BM5/3.78541*15)^(-0.144))*BM5/3.78541*15*300*(1+(AF5-2)/3)</f>
        <v>13179.500377098037</v>
      </c>
      <c r="EF5">
        <f>0.058*((BM5/3.78541*15)^(-0.151))*BM5/3.78541*15*300*(1+(AF5-2)/3)</f>
        <v>6985.2637307326804</v>
      </c>
      <c r="EG5">
        <f>0.056*((BM5/3.78541*15)^(-0.144))*BM5/3.78541*15*300*(1+(AF5-2)/3)</f>
        <v>7029.0668677856211</v>
      </c>
      <c r="EH5">
        <f>DS5*DU5/(3.6*10^6)*3600*7200*0.07</f>
        <v>430.82838670392022</v>
      </c>
      <c r="EI5">
        <f>SUM(DW5:EH5)</f>
        <v>154353.02807724921</v>
      </c>
      <c r="EJ5">
        <f>EI5+DR5+DL5</f>
        <v>20196014.952156704</v>
      </c>
      <c r="EK5">
        <f>EJ5+DF5</f>
        <v>20763200.181946155</v>
      </c>
      <c r="EL5">
        <f>EK5/(BK5*60*7200)</f>
        <v>0.48062963384134616</v>
      </c>
      <c r="EM5">
        <f>EK5/(BM5*(AM5*195.084/1000+AN5*106.42/1000+AO5*102.911/1000)*60*7200)</f>
        <v>1607.2445764676331</v>
      </c>
      <c r="EN5">
        <f>EK5/(BN5*BA5*(AP5*195.084/1000+AQ5*106.42/1000+AR5*102.911/1000)*60*7200)</f>
        <v>2924.0148822019419</v>
      </c>
    </row>
    <row r="6" spans="1:144">
      <c r="A6">
        <f>'Costing 100 Lmin Feed Orig'!A6</f>
        <v>3</v>
      </c>
      <c r="B6">
        <f>'Costing 100 Lmin Feed Orig'!B6</f>
        <v>1.54143585092054E-3</v>
      </c>
      <c r="C6">
        <f>'Costing 100 Lmin Feed Orig'!C6</f>
        <v>1.54143585092054E-3</v>
      </c>
      <c r="D6">
        <f>'Costing 100 Lmin Feed Orig'!D6</f>
        <v>3.4254130020456501E-4</v>
      </c>
      <c r="E6">
        <f>'Costing 100 Lmin Feed Orig'!E6</f>
        <v>0</v>
      </c>
      <c r="F6">
        <f>'Costing 100 Lmin Feed Orig'!F6</f>
        <v>0</v>
      </c>
      <c r="G6">
        <f>'Costing 100 Lmin Feed Orig'!G6</f>
        <v>0</v>
      </c>
      <c r="H6">
        <f>'Costing 100 Lmin Feed Orig'!H6</f>
        <v>1.6300358850230801E-5</v>
      </c>
      <c r="I6">
        <f>'Costing 100 Lmin Feed Orig'!I6</f>
        <v>7.4474859607128495E-7</v>
      </c>
      <c r="J6">
        <f>'Costing 100 Lmin Feed Orig'!J6</f>
        <v>3.2385704147932398E-4</v>
      </c>
      <c r="K6">
        <f>'Costing 100 Lmin Feed Orig'!K6</f>
        <v>8.07271092797512E-2</v>
      </c>
      <c r="L6">
        <f>'Costing 100 Lmin Feed Orig'!L6</f>
        <v>8.15504849440159E-2</v>
      </c>
      <c r="M6">
        <f>'Costing 100 Lmin Feed Orig'!M6</f>
        <v>9.8897848995466706E-4</v>
      </c>
      <c r="N6">
        <f>'Costing 100 Lmin Feed Orig'!N6</f>
        <v>-9.8011876392689601E-17</v>
      </c>
      <c r="O6">
        <f>'Costing 100 Lmin Feed Orig'!O6</f>
        <v>1.94289029309402E-16</v>
      </c>
      <c r="P6">
        <f>'Costing 100 Lmin Feed Orig'!P6</f>
        <v>-4.3537493488870999E-18</v>
      </c>
      <c r="Q6">
        <f>'Costing 100 Lmin Feed Orig'!Q6</f>
        <v>0.18892482409907799</v>
      </c>
      <c r="R6">
        <f>'Costing 100 Lmin Feed Orig'!R6</f>
        <v>94.545399718491396</v>
      </c>
      <c r="S6">
        <f>'Costing 100 Lmin Feed Orig'!S6</f>
        <v>500</v>
      </c>
      <c r="T6">
        <f>'Costing 100 Lmin Feed Orig'!T6</f>
        <v>95</v>
      </c>
      <c r="U6">
        <f>'Costing 100 Lmin Feed Orig'!U6</f>
        <v>1</v>
      </c>
      <c r="V6">
        <f>'Costing 100 Lmin Feed Orig'!V6</f>
        <v>0.1</v>
      </c>
      <c r="W6">
        <f>'Costing 100 Lmin Feed Orig'!W6</f>
        <v>52.931106580020597</v>
      </c>
      <c r="X6" t="str">
        <f>'Costing 100 Lmin Feed Orig'!X6</f>
        <v>ddFc</v>
      </c>
      <c r="Y6">
        <f>'Costing 100 Lmin Feed Orig'!Y6</f>
        <v>1</v>
      </c>
      <c r="Z6">
        <f>'Costing 100 Lmin Feed Orig'!Z6</f>
        <v>0.28318429382522198</v>
      </c>
      <c r="AA6">
        <f>'Costing 100 Lmin Feed Orig'!AA6</f>
        <v>0.56945642916197003</v>
      </c>
      <c r="AB6">
        <f>'Costing 100 Lmin Feed Orig'!AB6</f>
        <v>3.7698628972227502E-3</v>
      </c>
      <c r="AC6">
        <f>'Costing 100 Lmin Feed Orig'!AC6</f>
        <v>1822.2107908876901</v>
      </c>
      <c r="AD6">
        <f>'Costing 100 Lmin Feed Orig'!AD6</f>
        <v>2662.6059073104898</v>
      </c>
      <c r="AE6">
        <f>'Costing 100 Lmin Feed Orig'!AE6</f>
        <v>2401.5030938442701</v>
      </c>
      <c r="AF6">
        <f>'Costing 100 Lmin Feed Orig'!AF6</f>
        <v>8</v>
      </c>
      <c r="AG6">
        <f>'Costing 100 Lmin Feed Orig'!AG6</f>
        <v>1.6455478770638001E-3</v>
      </c>
      <c r="AH6">
        <f>'Costing 100 Lmin Feed Orig'!AH6</f>
        <v>1.66233163271225E-3</v>
      </c>
      <c r="AI6">
        <f>'Costing 100 Lmin Feed Orig'!AI6</f>
        <v>2.0159416943409301E-5</v>
      </c>
      <c r="AJ6">
        <f>'Costing 100 Lmin Feed Orig'!AJ6</f>
        <v>0</v>
      </c>
      <c r="AK6">
        <f>'Costing 100 Lmin Feed Orig'!AK6</f>
        <v>0</v>
      </c>
      <c r="AL6">
        <f>'Costing 100 Lmin Feed Orig'!AL6</f>
        <v>0</v>
      </c>
      <c r="AM6">
        <f>'Costing 100 Lmin Feed Orig'!AM6</f>
        <v>1.60827767677345E-3</v>
      </c>
      <c r="AN6">
        <f>'Costing 100 Lmin Feed Orig'!AN6</f>
        <v>6.4620843878105105E-5</v>
      </c>
      <c r="AO6">
        <f>'Costing 100 Lmin Feed Orig'!AO6</f>
        <v>2.0025349636286901E-5</v>
      </c>
      <c r="AP6">
        <f>'Costing 100 Lmin Feed Orig'!AP6</f>
        <v>1.7322991543913E-3</v>
      </c>
      <c r="AQ6">
        <f>'Costing 100 Lmin Feed Orig'!AQ6</f>
        <v>7.4260750598247896E-2</v>
      </c>
      <c r="AR6">
        <f>'Costing 100 Lmin Feed Orig'!AR6</f>
        <v>6.23137737256415E-6</v>
      </c>
      <c r="AS6">
        <f>'Costing 100 Lmin Feed Orig'!AS6</f>
        <v>8.2236734783025499E-17</v>
      </c>
      <c r="AT6">
        <f>'Costing 100 Lmin Feed Orig'!AT6</f>
        <v>-2.2797735921287199E-14</v>
      </c>
      <c r="AU6">
        <f>'Costing 100 Lmin Feed Orig'!AU6</f>
        <v>-1.82906177047725E-20</v>
      </c>
      <c r="AV6">
        <f>'Costing 100 Lmin Feed Orig'!AV6</f>
        <v>0.19940531895758401</v>
      </c>
      <c r="AW6">
        <f>'Costing 100 Lmin Feed Orig'!AW6</f>
        <v>99.334964361822799</v>
      </c>
      <c r="AX6">
        <f>'Costing 100 Lmin Feed Orig'!AX6</f>
        <v>500</v>
      </c>
      <c r="AY6">
        <f>'Costing 100 Lmin Feed Orig'!AY6</f>
        <v>95</v>
      </c>
      <c r="AZ6">
        <f>'Costing 100 Lmin Feed Orig'!AZ6</f>
        <v>0.92682535301965796</v>
      </c>
      <c r="BA6">
        <f>'Costing 100 Lmin Feed Orig'!BA6</f>
        <v>0.1</v>
      </c>
      <c r="BB6">
        <f>'Costing 100 Lmin Feed Orig'!BB6</f>
        <v>46.479469949184399</v>
      </c>
      <c r="BC6" t="str">
        <f>'Costing 100 Lmin Feed Orig'!BC6</f>
        <v>coeFc</v>
      </c>
      <c r="BD6">
        <f>'Costing 100 Lmin Feed Orig'!BD6</f>
        <v>1</v>
      </c>
      <c r="BE6">
        <f>'Costing 100 Lmin Feed Orig'!BE6</f>
        <v>1.8775014999999999E-2</v>
      </c>
      <c r="BF6">
        <f>'Costing 100 Lmin Feed Orig'!BF6</f>
        <v>0.10492961100000001</v>
      </c>
      <c r="BG6">
        <f>'Costing 100 Lmin Feed Orig'!BG6</f>
        <v>1.814625E-3</v>
      </c>
      <c r="BH6">
        <f>'Costing 100 Lmin Feed Orig'!BH6</f>
        <v>285.1951444</v>
      </c>
      <c r="BI6">
        <f>'Costing 100 Lmin Feed Orig'!BI6</f>
        <v>2169.8944889999998</v>
      </c>
      <c r="BJ6">
        <f>'Costing 100 Lmin Feed Orig'!BJ6</f>
        <v>866.49409060000005</v>
      </c>
      <c r="BK6">
        <f>'Costing 100 Lmin Feed Orig'!BK6</f>
        <v>100</v>
      </c>
      <c r="BL6">
        <f>'Costing 100 Lmin Feed Orig'!BL6</f>
        <v>18.892482409907799</v>
      </c>
      <c r="BM6">
        <f>'Costing 100 Lmin Feed Orig'!BM6</f>
        <v>92.6825353019658</v>
      </c>
      <c r="BN6">
        <f>'Costing 100 Lmin Feed Orig'!BN6</f>
        <v>19.940531895758401</v>
      </c>
      <c r="BO6">
        <f t="shared" si="1"/>
        <v>188.92482409907799</v>
      </c>
      <c r="BP6">
        <f t="shared" si="2"/>
        <v>398.810637915168</v>
      </c>
      <c r="BQ6">
        <f t="shared" si="3"/>
        <v>18.892482409907799</v>
      </c>
      <c r="BR6">
        <f t="shared" si="4"/>
        <v>39.881063791516802</v>
      </c>
      <c r="BS6">
        <f>1.2*0.5*BL6*V6/'Oxidant Feed Composition'!$N$22</f>
        <v>11.335489445944679</v>
      </c>
      <c r="BT6">
        <f>1.2*0.5*BN6*BA6/'Oxidant Feed Composition'!$N$22</f>
        <v>11.964319137455041</v>
      </c>
      <c r="BU6">
        <f t="shared" si="5"/>
        <v>9.4462412049538997</v>
      </c>
      <c r="BV6">
        <f t="shared" si="6"/>
        <v>9.9702659478792004</v>
      </c>
      <c r="BW6">
        <f t="shared" si="7"/>
        <v>83.236294097011893</v>
      </c>
      <c r="BX6">
        <f t="shared" si="0"/>
        <v>60.455943711704961</v>
      </c>
      <c r="BY6">
        <f t="shared" si="8"/>
        <v>223.1500354237472</v>
      </c>
      <c r="BZ6">
        <f t="shared" si="9"/>
        <v>63.80970206642688</v>
      </c>
      <c r="CA6">
        <f t="shared" si="10"/>
        <v>59.821595687275206</v>
      </c>
      <c r="CB6">
        <f>BO6*'Reagent cost'!$G$11*'Reagent cost'!$H$11</f>
        <v>2493.8076781078298</v>
      </c>
      <c r="CC6">
        <f>BP6*'Reagent cost'!$G$11*'Reagent cost'!$H$11</f>
        <v>5264.3004204802173</v>
      </c>
      <c r="CD6">
        <f>BQ6*'Reagent cost'!$C$18/1000*'Reagent cost'!$H$18</f>
        <v>3012.9816471142385</v>
      </c>
      <c r="CE6">
        <f>BR6*'Ligand cost'!$B$56*'Ligand cost'!$J$56</f>
        <v>40604.017025242465</v>
      </c>
      <c r="CF6">
        <f t="shared" si="11"/>
        <v>10</v>
      </c>
      <c r="CG6">
        <f t="shared" si="12"/>
        <v>3.7784964819815601</v>
      </c>
      <c r="CH6">
        <f t="shared" si="12"/>
        <v>3.9881063791516804</v>
      </c>
      <c r="CI6">
        <f>7963.6*(BX6/1000)^0.6*1.7*('CAPEX+OPEX'!$G$116/'CAPEX+OPEX'!$G$115)</f>
        <v>2965.5437179814326</v>
      </c>
      <c r="CJ6">
        <f>7963.6*(BY6/1000)^0.6*1.7*('CAPEX+OPEX'!$G$116/'CAPEX+OPEX'!$G$115)</f>
        <v>6492.3078360569407</v>
      </c>
      <c r="CK6">
        <f>7963.6*(BZ6/1000)^0.6*1.7*('CAPEX+OPEX'!$G$116/'CAPEX+OPEX'!$G$115)</f>
        <v>3063.1831049267225</v>
      </c>
      <c r="CL6">
        <f>7963.6*(CA6/1000)^0.6*1.7*('CAPEX+OPEX'!$G$116/'CAPEX+OPEX'!$G$115)</f>
        <v>2946.8343515155875</v>
      </c>
      <c r="CM6">
        <f>'Costing 100 Lmin Feed Orig'!DE6</f>
        <v>39625.826528698344</v>
      </c>
      <c r="CN6">
        <f>'Costing 100 Lmin Feed Orig'!DF6</f>
        <v>4586243.4239371875</v>
      </c>
      <c r="CO6">
        <f>'Costing 100 Lmin Feed Orig'!DG6</f>
        <v>11794834.586807497</v>
      </c>
      <c r="CP6">
        <f>'Costing 100 Lmin Feed Orig'!DH6</f>
        <v>2275209.1661185985</v>
      </c>
      <c r="CQ6">
        <f>'Costing 100 Lmin Feed Orig'!DI6</f>
        <v>14083914.336508472</v>
      </c>
      <c r="CR6">
        <f>'Costing 100 Lmin Feed Orig'!DJ6</f>
        <v>1662824.8986326549</v>
      </c>
      <c r="CS6">
        <f>CN6*(BK6/10000)^0.72*((A6+1)/3)^0.6*('CAPEX+OPEX'!$G$116/'CAPEX+OPEX'!$G$114)</f>
        <v>461850.0978118488</v>
      </c>
      <c r="CT6">
        <f>CO6*(BK6/10000)^0.72*((A6+1)/3)^0.6*('CAPEX+OPEX'!$G$116/'CAPEX+OPEX'!$G$114)</f>
        <v>1187779.4098672394</v>
      </c>
      <c r="CU6">
        <f>CP6*(BK6/10000)^0.72*((A6+1)/3)^0.6*('CAPEX+OPEX'!$G$116/'CAPEX+OPEX'!$G$114)</f>
        <v>229121.19544936769</v>
      </c>
      <c r="CV6">
        <f>CQ6*(BK6/10000)^0.72*((A6+1)/3)^0.6*('CAPEX+OPEX'!$G$116/'CAPEX+OPEX'!$G$114)</f>
        <v>1418297.4196136401</v>
      </c>
      <c r="CW6">
        <f>CR6*(BK6/10000)^0.72*((A6+1)/3)^0.6*('CAPEX+OPEX'!$G$116/'CAPEX+OPEX'!$G$114)</f>
        <v>167452.04540804314</v>
      </c>
      <c r="CX6">
        <f t="shared" si="13"/>
        <v>3464500.168150139</v>
      </c>
      <c r="CY6">
        <f>CN6*(BM6/10000)^0.72*((AF6+1)/3)^0.6*('CAPEX+OPEX'!$G$116/'CAPEX+OPEX'!$G$114)</f>
        <v>711293.83179829107</v>
      </c>
      <c r="CZ6">
        <f>CO6*(BM6/10000)^0.72*((AF6+1)/3)^0.6*('CAPEX+OPEX'!$G$116/'CAPEX+OPEX'!$G$114)</f>
        <v>1829295.2015780793</v>
      </c>
      <c r="DA6">
        <f>CP6*(BM6/10000)^0.72*((AF6+1)/3)^0.6*('CAPEX+OPEX'!$G$116/'CAPEX+OPEX'!$G$114)</f>
        <v>352868.80706427526</v>
      </c>
      <c r="DB6">
        <f>CQ6*(BM6/10000)^0.72*((AF6+1)/3)^0.6*('CAPEX+OPEX'!$G$116/'CAPEX+OPEX'!$G$114)</f>
        <v>2184315.2377930121</v>
      </c>
      <c r="DC6">
        <f>CR6*(BM6/10000)^0.72*((AF6+1)/3)^0.6*('CAPEX+OPEX'!$G$116/'CAPEX+OPEX'!$G$114)</f>
        <v>257892.34988810416</v>
      </c>
      <c r="DD6">
        <f t="shared" si="14"/>
        <v>5335665.4281217614</v>
      </c>
      <c r="DE6">
        <f>CX6+DD6+1.15*(SUM(CI6:CL6)+SUM(CB6:CE6))</f>
        <v>8877035.0184205398</v>
      </c>
      <c r="DF6">
        <f t="shared" si="15"/>
        <v>591802.33456136927</v>
      </c>
      <c r="DG6">
        <f>(BS6+BT6)*'Oxidant Feed Composition'!$N$29*60*7200</f>
        <v>11623609.059724977</v>
      </c>
      <c r="DH6">
        <f>((CG6+CH6)*'Reagent cost'!$C$17/1000*'Reagent cost'!$H$17+(CG6+CH6)*0.5*'Reagent cost'!$C$16/1000*'Reagent cost'!$H$16*0.5)*60*7200</f>
        <v>3935130.7674359917</v>
      </c>
      <c r="DI6">
        <f>CF6*'Reagent cost'!$C$17/1000*'Reagent cost'!$H$17*60*7200</f>
        <v>504921.59999999998</v>
      </c>
      <c r="DJ6">
        <f t="shared" si="16"/>
        <v>77.581080985880476</v>
      </c>
      <c r="DK6">
        <f t="shared" si="17"/>
        <v>872.33997344713407</v>
      </c>
      <c r="DL6">
        <f t="shared" si="18"/>
        <v>19277533.617858484</v>
      </c>
      <c r="DM6">
        <f>BK6*(B6*(409.81+2)/1000+C6*(248.2+2*22.99)/1000+D6*(315.6+3*22.99)/1000+0.1*58.44/1000)</f>
        <v>0.70639694042110623</v>
      </c>
      <c r="DN6">
        <f>(BS6+BT6)/1000*('Oxidant Feed Composition'!$B$11*'Oxidant Feed Composition'!$O$20+'Oxidant Feed Composition'!$D$11*'Oxidant Feed Composition'!$O$21+'Oxidant Feed Composition'!$F$11*'Oxidant Feed Composition'!$O$27-'Oxidant Feed Composition'!$J$15*18.015)</f>
        <v>2.7210574275003871</v>
      </c>
      <c r="DO6">
        <f>(BU6+BV6)/1000*(0.2*368.34+0.4*58.44)</f>
        <v>1.8842555201395352</v>
      </c>
      <c r="DP6">
        <f>BK6/1000*(B6*195.08+C6*106.42+D6*102.91)</f>
        <v>4.999938342565946E-2</v>
      </c>
      <c r="DQ6">
        <f>SUM(DM6:DO6)-DP6</f>
        <v>5.2617105046353689</v>
      </c>
      <c r="DR6">
        <f>DQ6*60*7200*0.33</f>
        <v>750109.44954081823</v>
      </c>
      <c r="DS6">
        <v>1.2</v>
      </c>
      <c r="DT6">
        <f>BM6/60*(AM6*4+AN6*2+AO6*3)*96485/DV6</f>
        <v>1410.0213558902396</v>
      </c>
      <c r="DU6">
        <f>BN6*BA6*(AP6*4+AQ6*2+AR6*3)*96485/DV6/60</f>
        <v>712.18389634512152</v>
      </c>
      <c r="DV6">
        <v>0.7</v>
      </c>
      <c r="DW6">
        <f>0.499*((BK6/3.78541*15)^(-0.146))*BK6/3.78541*15*300*(1+(A6-2)/9)</f>
        <v>27520.276190787874</v>
      </c>
      <c r="DX6">
        <f>0.248*((BK6/3.78541*15)^(-0.144))*BK6/3.78541*15*300*(1+(A6-2)/3)</f>
        <v>16610.439588917834</v>
      </c>
      <c r="DY6">
        <f>0.105*((BK6/3.78541*15)^(-0.144))*BK6/3.78541*15*300*(1+(A6-2)/3)</f>
        <v>7032.645793695051</v>
      </c>
      <c r="DZ6">
        <f>0.058*((BK6/3.78541*15)^(-0.151))*BK6/3.78541*15*300*(1+(A6-2)/3)</f>
        <v>3725.3886787897172</v>
      </c>
      <c r="EA6">
        <f>0.056*((BK6/3.78541*15)^(-0.144))*BK6/3.78541*15*300*(1+(A6-2)/3)</f>
        <v>3750.7444233040283</v>
      </c>
      <c r="EB6">
        <f>DS6*DT6/(3.6*10^6)*3600*7200*0.07</f>
        <v>852.78091604241706</v>
      </c>
      <c r="EC6">
        <f>0.499*((BM6/3.78541*15)^(-0.146))*BM6/3.78541*15*300*(1+(AF6-2)/9)</f>
        <v>38686.572845783812</v>
      </c>
      <c r="ED6">
        <f>0.248*((BM6/3.78541*15)^(-0.144))*BM6/3.78541*15*300*(1+(AF6-2)/3)</f>
        <v>35019.81528771764</v>
      </c>
      <c r="EE6">
        <f>0.105*((BM6/3.78541*15)^(-0.144))*BM6/3.78541*15*300*(1+(AF6-2)/3)</f>
        <v>14826.93792423529</v>
      </c>
      <c r="EF6">
        <f>0.058*((BM6/3.78541*15)^(-0.151))*BM6/3.78541*15*300*(1+(AF6-2)/3)</f>
        <v>7858.4216970742636</v>
      </c>
      <c r="EG6">
        <f>0.056*((BM6/3.78541*15)^(-0.144))*BM6/3.78541*15*300*(1+(AF6-2)/3)</f>
        <v>7907.700226258823</v>
      </c>
      <c r="EH6">
        <f>DS6*DU6/(3.6*10^6)*3600*7200*0.07</f>
        <v>430.72882050952956</v>
      </c>
      <c r="EI6">
        <f>SUM(DW6:EH6)</f>
        <v>164222.45239311631</v>
      </c>
      <c r="EJ6">
        <f>EI6+DR6+DL6</f>
        <v>20191865.519792419</v>
      </c>
      <c r="EK6">
        <f>EJ6+DF6</f>
        <v>20783667.854353789</v>
      </c>
      <c r="EL6">
        <f>EK6/(BK6*60*7200)</f>
        <v>0.48110342255448585</v>
      </c>
      <c r="EM6">
        <f>EK6/(BM6*(AM6*195.084/1000+AN6*106.42/1000+AO6*102.911/1000)*60*7200)</f>
        <v>1608.6406651864761</v>
      </c>
      <c r="EN6">
        <f>EK6/(BN6*BA6*(AP6*195.084/1000+AQ6*106.42/1000+AR6*102.911/1000)*60*7200)</f>
        <v>2927.5206427628632</v>
      </c>
    </row>
    <row r="7" spans="1:144">
      <c r="A7">
        <f>'Costing 100 Lmin Feed Orig'!A7</f>
        <v>3</v>
      </c>
      <c r="B7">
        <f>'Costing 100 Lmin Feed Orig'!B7</f>
        <v>1.54143585092054E-3</v>
      </c>
      <c r="C7">
        <f>'Costing 100 Lmin Feed Orig'!C7</f>
        <v>1.54143585092054E-3</v>
      </c>
      <c r="D7">
        <f>'Costing 100 Lmin Feed Orig'!D7</f>
        <v>3.4254130020456501E-4</v>
      </c>
      <c r="E7">
        <f>'Costing 100 Lmin Feed Orig'!E7</f>
        <v>0</v>
      </c>
      <c r="F7">
        <f>'Costing 100 Lmin Feed Orig'!F7</f>
        <v>0</v>
      </c>
      <c r="G7">
        <f>'Costing 100 Lmin Feed Orig'!G7</f>
        <v>0</v>
      </c>
      <c r="H7">
        <f>'Costing 100 Lmin Feed Orig'!H7</f>
        <v>1.6300358850230801E-5</v>
      </c>
      <c r="I7">
        <f>'Costing 100 Lmin Feed Orig'!I7</f>
        <v>7.4474859607128495E-7</v>
      </c>
      <c r="J7">
        <f>'Costing 100 Lmin Feed Orig'!J7</f>
        <v>3.2385704147932398E-4</v>
      </c>
      <c r="K7">
        <f>'Costing 100 Lmin Feed Orig'!K7</f>
        <v>8.07271092797512E-2</v>
      </c>
      <c r="L7">
        <f>'Costing 100 Lmin Feed Orig'!L7</f>
        <v>8.15504849440159E-2</v>
      </c>
      <c r="M7">
        <f>'Costing 100 Lmin Feed Orig'!M7</f>
        <v>9.8897848995466706E-4</v>
      </c>
      <c r="N7">
        <f>'Costing 100 Lmin Feed Orig'!N7</f>
        <v>-9.8011876392689601E-17</v>
      </c>
      <c r="O7">
        <f>'Costing 100 Lmin Feed Orig'!O7</f>
        <v>1.94289029309402E-16</v>
      </c>
      <c r="P7">
        <f>'Costing 100 Lmin Feed Orig'!P7</f>
        <v>-4.3537493488870999E-18</v>
      </c>
      <c r="Q7">
        <f>'Costing 100 Lmin Feed Orig'!Q7</f>
        <v>0.18892482409907799</v>
      </c>
      <c r="R7">
        <f>'Costing 100 Lmin Feed Orig'!R7</f>
        <v>94.545399718491396</v>
      </c>
      <c r="S7">
        <f>'Costing 100 Lmin Feed Orig'!S7</f>
        <v>500</v>
      </c>
      <c r="T7">
        <f>'Costing 100 Lmin Feed Orig'!T7</f>
        <v>95</v>
      </c>
      <c r="U7">
        <f>'Costing 100 Lmin Feed Orig'!U7</f>
        <v>1</v>
      </c>
      <c r="V7">
        <f>'Costing 100 Lmin Feed Orig'!V7</f>
        <v>0.1</v>
      </c>
      <c r="W7">
        <f>'Costing 100 Lmin Feed Orig'!W7</f>
        <v>52.931106580020597</v>
      </c>
      <c r="X7" t="str">
        <f>'Costing 100 Lmin Feed Orig'!X7</f>
        <v>ddFc</v>
      </c>
      <c r="Y7">
        <f>'Costing 100 Lmin Feed Orig'!Y7</f>
        <v>1</v>
      </c>
      <c r="Z7">
        <f>'Costing 100 Lmin Feed Orig'!Z7</f>
        <v>0.28318429382522198</v>
      </c>
      <c r="AA7">
        <f>'Costing 100 Lmin Feed Orig'!AA7</f>
        <v>0.56945642916197003</v>
      </c>
      <c r="AB7">
        <f>'Costing 100 Lmin Feed Orig'!AB7</f>
        <v>3.7698628972227502E-3</v>
      </c>
      <c r="AC7">
        <f>'Costing 100 Lmin Feed Orig'!AC7</f>
        <v>1822.2107908876901</v>
      </c>
      <c r="AD7">
        <f>'Costing 100 Lmin Feed Orig'!AD7</f>
        <v>2662.6059073104898</v>
      </c>
      <c r="AE7">
        <f>'Costing 100 Lmin Feed Orig'!AE7</f>
        <v>2401.5030938442701</v>
      </c>
      <c r="AF7">
        <f>'Costing 100 Lmin Feed Orig'!AF7</f>
        <v>9</v>
      </c>
      <c r="AG7">
        <f>'Costing 100 Lmin Feed Orig'!AG7</f>
        <v>1.6455478770638001E-3</v>
      </c>
      <c r="AH7">
        <f>'Costing 100 Lmin Feed Orig'!AH7</f>
        <v>1.66233163271225E-3</v>
      </c>
      <c r="AI7">
        <f>'Costing 100 Lmin Feed Orig'!AI7</f>
        <v>2.0159416943409301E-5</v>
      </c>
      <c r="AJ7">
        <f>'Costing 100 Lmin Feed Orig'!AJ7</f>
        <v>0</v>
      </c>
      <c r="AK7">
        <f>'Costing 100 Lmin Feed Orig'!AK7</f>
        <v>0</v>
      </c>
      <c r="AL7">
        <f>'Costing 100 Lmin Feed Orig'!AL7</f>
        <v>0</v>
      </c>
      <c r="AM7">
        <f>'Costing 100 Lmin Feed Orig'!AM7</f>
        <v>1.6083318712016E-3</v>
      </c>
      <c r="AN7">
        <f>'Costing 100 Lmin Feed Orig'!AN7</f>
        <v>6.46235091896047E-5</v>
      </c>
      <c r="AO7">
        <f>'Costing 100 Lmin Feed Orig'!AO7</f>
        <v>2.0025536590245201E-5</v>
      </c>
      <c r="AP7">
        <f>'Costing 100 Lmin Feed Orig'!AP7</f>
        <v>1.7304893324093099E-3</v>
      </c>
      <c r="AQ7">
        <f>'Costing 100 Lmin Feed Orig'!AQ7</f>
        <v>7.4291069145050903E-2</v>
      </c>
      <c r="AR7">
        <f>'Costing 100 Lmin Feed Orig'!AR7</f>
        <v>6.2252387814425299E-6</v>
      </c>
      <c r="AS7">
        <f>'Costing 100 Lmin Feed Orig'!AS7</f>
        <v>2.10275590342701E-15</v>
      </c>
      <c r="AT7">
        <f>'Costing 100 Lmin Feed Orig'!AT7</f>
        <v>-3.1233609448788598E-13</v>
      </c>
      <c r="AU7">
        <f>'Costing 100 Lmin Feed Orig'!AU7</f>
        <v>8.7085574889582693E-21</v>
      </c>
      <c r="AV7">
        <f>'Costing 100 Lmin Feed Orig'!AV7</f>
        <v>0.19932360820213499</v>
      </c>
      <c r="AW7">
        <f>'Costing 100 Lmin Feed Orig'!AW7</f>
        <v>99.335891739627598</v>
      </c>
      <c r="AX7">
        <f>'Costing 100 Lmin Feed Orig'!AX7</f>
        <v>500</v>
      </c>
      <c r="AY7">
        <f>'Costing 100 Lmin Feed Orig'!AY7</f>
        <v>95</v>
      </c>
      <c r="AZ7">
        <f>'Costing 100 Lmin Feed Orig'!AZ7</f>
        <v>0.92682535301965796</v>
      </c>
      <c r="BA7">
        <f>'Costing 100 Lmin Feed Orig'!BA7</f>
        <v>0.1</v>
      </c>
      <c r="BB7">
        <f>'Costing 100 Lmin Feed Orig'!BB7</f>
        <v>46.498523751374002</v>
      </c>
      <c r="BC7" t="str">
        <f>'Costing 100 Lmin Feed Orig'!BC7</f>
        <v>coeFc</v>
      </c>
      <c r="BD7">
        <f>'Costing 100 Lmin Feed Orig'!BD7</f>
        <v>1</v>
      </c>
      <c r="BE7">
        <f>'Costing 100 Lmin Feed Orig'!BE7</f>
        <v>1.8775014999999999E-2</v>
      </c>
      <c r="BF7">
        <f>'Costing 100 Lmin Feed Orig'!BF7</f>
        <v>0.10492961100000001</v>
      </c>
      <c r="BG7">
        <f>'Costing 100 Lmin Feed Orig'!BG7</f>
        <v>1.814625E-3</v>
      </c>
      <c r="BH7">
        <f>'Costing 100 Lmin Feed Orig'!BH7</f>
        <v>285.1951444</v>
      </c>
      <c r="BI7">
        <f>'Costing 100 Lmin Feed Orig'!BI7</f>
        <v>2169.8944889999998</v>
      </c>
      <c r="BJ7">
        <f>'Costing 100 Lmin Feed Orig'!BJ7</f>
        <v>866.49409060000005</v>
      </c>
      <c r="BK7">
        <f>'Costing 100 Lmin Feed Orig'!BK7</f>
        <v>100</v>
      </c>
      <c r="BL7">
        <f>'Costing 100 Lmin Feed Orig'!BL7</f>
        <v>18.892482409907799</v>
      </c>
      <c r="BM7">
        <f>'Costing 100 Lmin Feed Orig'!BM7</f>
        <v>92.6825353019658</v>
      </c>
      <c r="BN7">
        <f>'Costing 100 Lmin Feed Orig'!BN7</f>
        <v>19.9323608202135</v>
      </c>
      <c r="BO7">
        <f t="shared" si="1"/>
        <v>188.92482409907799</v>
      </c>
      <c r="BP7">
        <f t="shared" si="2"/>
        <v>438.51193804469699</v>
      </c>
      <c r="BQ7">
        <f t="shared" si="3"/>
        <v>18.892482409907799</v>
      </c>
      <c r="BR7">
        <f t="shared" si="4"/>
        <v>43.851193804469702</v>
      </c>
      <c r="BS7">
        <f>1.2*0.5*BL7*V7/'Oxidant Feed Composition'!$N$22</f>
        <v>11.335489445944679</v>
      </c>
      <c r="BT7">
        <f>1.2*0.5*BN7*BA7/'Oxidant Feed Composition'!$N$22</f>
        <v>11.959416492128097</v>
      </c>
      <c r="BU7">
        <f t="shared" si="5"/>
        <v>9.4462412049538997</v>
      </c>
      <c r="BV7">
        <f t="shared" si="6"/>
        <v>9.9661804101067499</v>
      </c>
      <c r="BW7">
        <f t="shared" si="7"/>
        <v>83.236294097011893</v>
      </c>
      <c r="BX7">
        <f t="shared" si="0"/>
        <v>60.455943711704961</v>
      </c>
      <c r="BY7">
        <f t="shared" si="8"/>
        <v>223.1500354237472</v>
      </c>
      <c r="BZ7">
        <f t="shared" si="9"/>
        <v>63.783554624683191</v>
      </c>
      <c r="CA7">
        <f t="shared" si="10"/>
        <v>59.797082460640496</v>
      </c>
      <c r="CB7">
        <f>BO7*'Reagent cost'!$G$11*'Reagent cost'!$H$11</f>
        <v>2493.8076781078298</v>
      </c>
      <c r="CC7">
        <f>BP7*'Reagent cost'!$G$11*'Reagent cost'!$H$11</f>
        <v>5788.3575821900004</v>
      </c>
      <c r="CD7">
        <f>BQ7*'Reagent cost'!$C$18/1000*'Reagent cost'!$H$18</f>
        <v>3012.9816471142385</v>
      </c>
      <c r="CE7">
        <f>BR7*'Ligand cost'!$B$56*'Ligand cost'!$J$56</f>
        <v>44646.116490820306</v>
      </c>
      <c r="CF7">
        <f t="shared" si="11"/>
        <v>10</v>
      </c>
      <c r="CG7">
        <f t="shared" si="12"/>
        <v>3.7784964819815601</v>
      </c>
      <c r="CH7">
        <f t="shared" si="12"/>
        <v>3.9864721640427003</v>
      </c>
      <c r="CI7">
        <f>7963.6*(BX7/1000)^0.6*1.7*('CAPEX+OPEX'!$G$116/'CAPEX+OPEX'!$G$115)</f>
        <v>2965.5437179814326</v>
      </c>
      <c r="CJ7">
        <f>7963.6*(BY7/1000)^0.6*1.7*('CAPEX+OPEX'!$G$116/'CAPEX+OPEX'!$G$115)</f>
        <v>6492.3078360569407</v>
      </c>
      <c r="CK7">
        <f>7963.6*(BZ7/1000)^0.6*1.7*('CAPEX+OPEX'!$G$116/'CAPEX+OPEX'!$G$115)</f>
        <v>3062.4299188323866</v>
      </c>
      <c r="CL7">
        <f>7963.6*(CA7/1000)^0.6*1.7*('CAPEX+OPEX'!$G$116/'CAPEX+OPEX'!$G$115)</f>
        <v>2946.109773656593</v>
      </c>
      <c r="CM7">
        <f>'Costing 100 Lmin Feed Orig'!DE7</f>
        <v>39625.826528698344</v>
      </c>
      <c r="CN7">
        <f>'Costing 100 Lmin Feed Orig'!DF7</f>
        <v>4586243.4239371875</v>
      </c>
      <c r="CO7">
        <f>'Costing 100 Lmin Feed Orig'!DG7</f>
        <v>11794834.586807497</v>
      </c>
      <c r="CP7">
        <f>'Costing 100 Lmin Feed Orig'!DH7</f>
        <v>2275209.1661185985</v>
      </c>
      <c r="CQ7">
        <f>'Costing 100 Lmin Feed Orig'!DI7</f>
        <v>14083914.336508472</v>
      </c>
      <c r="CR7">
        <f>'Costing 100 Lmin Feed Orig'!DJ7</f>
        <v>1662824.8986326549</v>
      </c>
      <c r="CS7">
        <f>CN7*(BK7/10000)^0.72*((A7+1)/3)^0.6*('CAPEX+OPEX'!$G$116/'CAPEX+OPEX'!$G$114)</f>
        <v>461850.0978118488</v>
      </c>
      <c r="CT7">
        <f>CO7*(BK7/10000)^0.72*((A7+1)/3)^0.6*('CAPEX+OPEX'!$G$116/'CAPEX+OPEX'!$G$114)</f>
        <v>1187779.4098672394</v>
      </c>
      <c r="CU7">
        <f>CP7*(BK7/10000)^0.72*((A7+1)/3)^0.6*('CAPEX+OPEX'!$G$116/'CAPEX+OPEX'!$G$114)</f>
        <v>229121.19544936769</v>
      </c>
      <c r="CV7">
        <f>CQ7*(BK7/10000)^0.72*((A7+1)/3)^0.6*('CAPEX+OPEX'!$G$116/'CAPEX+OPEX'!$G$114)</f>
        <v>1418297.4196136401</v>
      </c>
      <c r="CW7">
        <f>CR7*(BK7/10000)^0.72*((A7+1)/3)^0.6*('CAPEX+OPEX'!$G$116/'CAPEX+OPEX'!$G$114)</f>
        <v>167452.04540804314</v>
      </c>
      <c r="CX7">
        <f t="shared" si="13"/>
        <v>3464500.168150139</v>
      </c>
      <c r="CY7">
        <f>CN7*(BM7/10000)^0.72*((AF7+1)/3)^0.6*('CAPEX+OPEX'!$G$116/'CAPEX+OPEX'!$G$114)</f>
        <v>757710.90370651742</v>
      </c>
      <c r="CZ7">
        <f>CO7*(BM7/10000)^0.72*((AF7+1)/3)^0.6*('CAPEX+OPEX'!$G$116/'CAPEX+OPEX'!$G$114)</f>
        <v>1948669.9565908599</v>
      </c>
      <c r="DA7">
        <f>CP7*(BM7/10000)^0.72*((AF7+1)/3)^0.6*('CAPEX+OPEX'!$G$116/'CAPEX+OPEX'!$G$114)</f>
        <v>375896.05130490486</v>
      </c>
      <c r="DB7">
        <f>CQ7*(BM7/10000)^0.72*((AF7+1)/3)^0.6*('CAPEX+OPEX'!$G$116/'CAPEX+OPEX'!$G$114)</f>
        <v>2326857.620322241</v>
      </c>
      <c r="DC7">
        <f>CR7*(BM7/10000)^0.72*((AF7+1)/3)^0.6*('CAPEX+OPEX'!$G$116/'CAPEX+OPEX'!$G$114)</f>
        <v>274721.69271970663</v>
      </c>
      <c r="DD7">
        <f t="shared" si="14"/>
        <v>5683856.2246442297</v>
      </c>
      <c r="DE7">
        <f>CX7+DD7+1.15*(SUM(CI7:CL7)+SUM(CB7:CE7))</f>
        <v>9230475.1956358422</v>
      </c>
      <c r="DF7">
        <f t="shared" si="15"/>
        <v>615365.01304238953</v>
      </c>
      <c r="DG7">
        <f>(BS7+BT7)*'Oxidant Feed Composition'!$N$29*60*7200</f>
        <v>11621163.269990917</v>
      </c>
      <c r="DH7">
        <f>((CG7+CH7)*'Reagent cost'!$C$17/1000*'Reagent cost'!$H$17+(CG7+CH7)*0.5*'Reagent cost'!$C$16/1000*'Reagent cost'!$H$16*0.5)*60*7200</f>
        <v>3934302.7541757622</v>
      </c>
      <c r="DI7">
        <f>CF7*'Reagent cost'!$C$17/1000*'Reagent cost'!$H$17*60*7200</f>
        <v>504921.59999999998</v>
      </c>
      <c r="DJ7">
        <f t="shared" si="16"/>
        <v>82.821652602978304</v>
      </c>
      <c r="DK7">
        <f t="shared" si="17"/>
        <v>953.18196275869093</v>
      </c>
      <c r="DL7">
        <f t="shared" si="18"/>
        <v>19273708.353338446</v>
      </c>
      <c r="DM7">
        <f>BK7*(B7*(409.81+2)/1000+C7*(248.2+2*22.99)/1000+D7*(315.6+3*22.99)/1000+0.1*58.44/1000)</f>
        <v>0.70639694042110623</v>
      </c>
      <c r="DN7">
        <f>(BS7+BT7)/1000*('Oxidant Feed Composition'!$B$11*'Oxidant Feed Composition'!$O$20+'Oxidant Feed Composition'!$D$11*'Oxidant Feed Composition'!$O$21+'Oxidant Feed Composition'!$F$11*'Oxidant Feed Composition'!$O$27-'Oxidant Feed Composition'!$J$15*18.015)</f>
        <v>2.7204848743210972</v>
      </c>
      <c r="DO7">
        <f>(BU7+BV7)/1000*(0.2*368.34+0.4*58.44)</f>
        <v>1.8838590432119457</v>
      </c>
      <c r="DP7">
        <f>BK7/1000*(B7*195.08+C7*106.42+D7*102.91)</f>
        <v>4.999938342565946E-2</v>
      </c>
      <c r="DQ7">
        <f>SUM(DM7:DO7)-DP7</f>
        <v>5.2607414745284897</v>
      </c>
      <c r="DR7">
        <f>DQ7*60*7200*0.33</f>
        <v>749971.30460878159</v>
      </c>
      <c r="DS7">
        <v>1.2</v>
      </c>
      <c r="DT7">
        <f>BM7/60*(AM7*4+AN7*2+AO7*3)*96485/DV7</f>
        <v>1410.0687657379119</v>
      </c>
      <c r="DU7">
        <f>BN7*BA7*(AP7*4+AQ7*2+AR7*3)*96485/DV7/60</f>
        <v>712.1364866286201</v>
      </c>
      <c r="DV7">
        <v>0.7</v>
      </c>
      <c r="DW7">
        <f>0.499*((BK7/3.78541*15)^(-0.146))*BK7/3.78541*15*300*(1+(A7-2)/9)</f>
        <v>27520.276190787874</v>
      </c>
      <c r="DX7">
        <f>0.248*((BK7/3.78541*15)^(-0.144))*BK7/3.78541*15*300*(1+(A7-2)/3)</f>
        <v>16610.439588917834</v>
      </c>
      <c r="DY7">
        <f>0.105*((BK7/3.78541*15)^(-0.144))*BK7/3.78541*15*300*(1+(A7-2)/3)</f>
        <v>7032.645793695051</v>
      </c>
      <c r="DZ7">
        <f>0.058*((BK7/3.78541*15)^(-0.151))*BK7/3.78541*15*300*(1+(A7-2)/3)</f>
        <v>3725.3886787897172</v>
      </c>
      <c r="EA7">
        <f>0.056*((BK7/3.78541*15)^(-0.144))*BK7/3.78541*15*300*(1+(A7-2)/3)</f>
        <v>3750.7444233040283</v>
      </c>
      <c r="EB7">
        <f>DS7*DT7/(3.6*10^6)*3600*7200*0.07</f>
        <v>852.80958951828916</v>
      </c>
      <c r="EC7">
        <f>0.499*((BM7/3.78541*15)^(-0.146))*BM7/3.78541*15*300*(1+(AF7-2)/9)</f>
        <v>41265.6777021694</v>
      </c>
      <c r="ED7">
        <f>0.248*((BM7/3.78541*15)^(-0.144))*BM7/3.78541*15*300*(1+(AF7-2)/3)</f>
        <v>38910.905875241828</v>
      </c>
      <c r="EE7">
        <f>0.105*((BM7/3.78541*15)^(-0.144))*BM7/3.78541*15*300*(1+(AF7-2)/3)</f>
        <v>16474.375471372547</v>
      </c>
      <c r="EF7">
        <f>0.058*((BM7/3.78541*15)^(-0.151))*BM7/3.78541*15*300*(1+(AF7-2)/3)</f>
        <v>8731.5796634158487</v>
      </c>
      <c r="EG7">
        <f>0.056*((BM7/3.78541*15)^(-0.144))*BM7/3.78541*15*300*(1+(AF7-2)/3)</f>
        <v>8786.3335847320268</v>
      </c>
      <c r="EH7">
        <f>DS7*DU7/(3.6*10^6)*3600*7200*0.07</f>
        <v>430.7001471129895</v>
      </c>
      <c r="EI7">
        <f>SUM(DW7:EH7)</f>
        <v>174091.87670905743</v>
      </c>
      <c r="EJ7">
        <f>EI7+DR7+DL7</f>
        <v>20197771.534656286</v>
      </c>
      <c r="EK7">
        <f>EJ7+DF7</f>
        <v>20813136.547698677</v>
      </c>
      <c r="EL7">
        <f>EK7/(BK7*60*7200)</f>
        <v>0.48178556823376567</v>
      </c>
      <c r="EM7">
        <f>EK7/(BM7*(AM7*195.084/1000+AN7*106.42/1000+AO7*102.911/1000)*60*7200)</f>
        <v>1610.86723026602</v>
      </c>
      <c r="EN7">
        <f>EK7/(BN7*BA7*(AP7*195.084/1000+AQ7*106.42/1000+AR7*102.911/1000)*60*7200)</f>
        <v>2931.8513303401346</v>
      </c>
    </row>
    <row r="8" spans="1:144">
      <c r="A8">
        <f>'Costing 100 Lmin Feed Orig'!A8</f>
        <v>3</v>
      </c>
      <c r="B8">
        <f>'Costing 100 Lmin Feed Orig'!B8</f>
        <v>1.54143585092054E-3</v>
      </c>
      <c r="C8">
        <f>'Costing 100 Lmin Feed Orig'!C8</f>
        <v>1.54143585092054E-3</v>
      </c>
      <c r="D8">
        <f>'Costing 100 Lmin Feed Orig'!D8</f>
        <v>3.4254130020456501E-4</v>
      </c>
      <c r="E8">
        <f>'Costing 100 Lmin Feed Orig'!E8</f>
        <v>0</v>
      </c>
      <c r="F8">
        <f>'Costing 100 Lmin Feed Orig'!F8</f>
        <v>0</v>
      </c>
      <c r="G8">
        <f>'Costing 100 Lmin Feed Orig'!G8</f>
        <v>0</v>
      </c>
      <c r="H8">
        <f>'Costing 100 Lmin Feed Orig'!H8</f>
        <v>1.6300358850230801E-5</v>
      </c>
      <c r="I8">
        <f>'Costing 100 Lmin Feed Orig'!I8</f>
        <v>7.4474859607128495E-7</v>
      </c>
      <c r="J8">
        <f>'Costing 100 Lmin Feed Orig'!J8</f>
        <v>3.2385704147932398E-4</v>
      </c>
      <c r="K8">
        <f>'Costing 100 Lmin Feed Orig'!K8</f>
        <v>8.07271092797512E-2</v>
      </c>
      <c r="L8">
        <f>'Costing 100 Lmin Feed Orig'!L8</f>
        <v>8.15504849440159E-2</v>
      </c>
      <c r="M8">
        <f>'Costing 100 Lmin Feed Orig'!M8</f>
        <v>9.8897848995466706E-4</v>
      </c>
      <c r="N8">
        <f>'Costing 100 Lmin Feed Orig'!N8</f>
        <v>-9.8011876392689601E-17</v>
      </c>
      <c r="O8">
        <f>'Costing 100 Lmin Feed Orig'!O8</f>
        <v>1.94289029309402E-16</v>
      </c>
      <c r="P8">
        <f>'Costing 100 Lmin Feed Orig'!P8</f>
        <v>-4.3537493488870999E-18</v>
      </c>
      <c r="Q8">
        <f>'Costing 100 Lmin Feed Orig'!Q8</f>
        <v>0.18892482409907799</v>
      </c>
      <c r="R8">
        <f>'Costing 100 Lmin Feed Orig'!R8</f>
        <v>94.545399718491396</v>
      </c>
      <c r="S8">
        <f>'Costing 100 Lmin Feed Orig'!S8</f>
        <v>500</v>
      </c>
      <c r="T8">
        <f>'Costing 100 Lmin Feed Orig'!T8</f>
        <v>95</v>
      </c>
      <c r="U8">
        <f>'Costing 100 Lmin Feed Orig'!U8</f>
        <v>1</v>
      </c>
      <c r="V8">
        <f>'Costing 100 Lmin Feed Orig'!V8</f>
        <v>0.1</v>
      </c>
      <c r="W8">
        <f>'Costing 100 Lmin Feed Orig'!W8</f>
        <v>52.931106580020597</v>
      </c>
      <c r="X8" t="str">
        <f>'Costing 100 Lmin Feed Orig'!X8</f>
        <v>ddFc</v>
      </c>
      <c r="Y8">
        <f>'Costing 100 Lmin Feed Orig'!Y8</f>
        <v>1</v>
      </c>
      <c r="Z8">
        <f>'Costing 100 Lmin Feed Orig'!Z8</f>
        <v>0.28318429382522198</v>
      </c>
      <c r="AA8">
        <f>'Costing 100 Lmin Feed Orig'!AA8</f>
        <v>0.56945642916197003</v>
      </c>
      <c r="AB8">
        <f>'Costing 100 Lmin Feed Orig'!AB8</f>
        <v>3.7698628972227502E-3</v>
      </c>
      <c r="AC8">
        <f>'Costing 100 Lmin Feed Orig'!AC8</f>
        <v>1822.2107908876901</v>
      </c>
      <c r="AD8">
        <f>'Costing 100 Lmin Feed Orig'!AD8</f>
        <v>2662.6059073104898</v>
      </c>
      <c r="AE8">
        <f>'Costing 100 Lmin Feed Orig'!AE8</f>
        <v>2401.5030938442701</v>
      </c>
      <c r="AF8">
        <f>'Costing 100 Lmin Feed Orig'!AF8</f>
        <v>10</v>
      </c>
      <c r="AG8">
        <f>'Costing 100 Lmin Feed Orig'!AG8</f>
        <v>1.6455478770638001E-3</v>
      </c>
      <c r="AH8">
        <f>'Costing 100 Lmin Feed Orig'!AH8</f>
        <v>1.66233163271225E-3</v>
      </c>
      <c r="AI8">
        <f>'Costing 100 Lmin Feed Orig'!AI8</f>
        <v>2.0159416943409301E-5</v>
      </c>
      <c r="AJ8">
        <f>'Costing 100 Lmin Feed Orig'!AJ8</f>
        <v>0</v>
      </c>
      <c r="AK8">
        <f>'Costing 100 Lmin Feed Orig'!AK8</f>
        <v>0</v>
      </c>
      <c r="AL8">
        <f>'Costing 100 Lmin Feed Orig'!AL8</f>
        <v>0</v>
      </c>
      <c r="AM8">
        <f>'Costing 100 Lmin Feed Orig'!AM8</f>
        <v>1.6083474060022401E-3</v>
      </c>
      <c r="AN8">
        <f>'Costing 100 Lmin Feed Orig'!AN8</f>
        <v>6.4624273291128494E-5</v>
      </c>
      <c r="AO8">
        <f>'Costing 100 Lmin Feed Orig'!AO8</f>
        <v>2.0025590180477699E-5</v>
      </c>
      <c r="AP8">
        <f>'Costing 100 Lmin Feed Orig'!AP8</f>
        <v>1.7299702748473499E-3</v>
      </c>
      <c r="AQ8">
        <f>'Costing 100 Lmin Feed Orig'!AQ8</f>
        <v>7.42997645145482E-2</v>
      </c>
      <c r="AR8">
        <f>'Costing 100 Lmin Feed Orig'!AR8</f>
        <v>6.2234782314335099E-6</v>
      </c>
      <c r="AS8">
        <f>'Costing 100 Lmin Feed Orig'!AS8</f>
        <v>1.84991995680339E-18</v>
      </c>
      <c r="AT8">
        <f>'Costing 100 Lmin Feed Orig'!AT8</f>
        <v>-4.37800837249646E-16</v>
      </c>
      <c r="AU8">
        <f>'Costing 100 Lmin Feed Orig'!AU8</f>
        <v>-4.9498487855173101E-21</v>
      </c>
      <c r="AV8">
        <f>'Costing 100 Lmin Feed Orig'!AV8</f>
        <v>0.19930018582065301</v>
      </c>
      <c r="AW8">
        <f>'Costing 100 Lmin Feed Orig'!AW8</f>
        <v>99.336157571881799</v>
      </c>
      <c r="AX8">
        <f>'Costing 100 Lmin Feed Orig'!AX8</f>
        <v>500</v>
      </c>
      <c r="AY8">
        <f>'Costing 100 Lmin Feed Orig'!AY8</f>
        <v>95</v>
      </c>
      <c r="AZ8">
        <f>'Costing 100 Lmin Feed Orig'!AZ8</f>
        <v>0.92682535301965796</v>
      </c>
      <c r="BA8">
        <f>'Costing 100 Lmin Feed Orig'!BA8</f>
        <v>0.1</v>
      </c>
      <c r="BB8">
        <f>'Costing 100 Lmin Feed Orig'!BB8</f>
        <v>46.503988403387098</v>
      </c>
      <c r="BC8" t="str">
        <f>'Costing 100 Lmin Feed Orig'!BC8</f>
        <v>coeFc</v>
      </c>
      <c r="BD8">
        <f>'Costing 100 Lmin Feed Orig'!BD8</f>
        <v>1</v>
      </c>
      <c r="BE8">
        <f>'Costing 100 Lmin Feed Orig'!BE8</f>
        <v>1.8775014999999999E-2</v>
      </c>
      <c r="BF8">
        <f>'Costing 100 Lmin Feed Orig'!BF8</f>
        <v>0.10492961100000001</v>
      </c>
      <c r="BG8">
        <f>'Costing 100 Lmin Feed Orig'!BG8</f>
        <v>1.814625E-3</v>
      </c>
      <c r="BH8">
        <f>'Costing 100 Lmin Feed Orig'!BH8</f>
        <v>285.1951444</v>
      </c>
      <c r="BI8">
        <f>'Costing 100 Lmin Feed Orig'!BI8</f>
        <v>2169.8944889999998</v>
      </c>
      <c r="BJ8">
        <f>'Costing 100 Lmin Feed Orig'!BJ8</f>
        <v>866.49409060000005</v>
      </c>
      <c r="BK8">
        <f>'Costing 100 Lmin Feed Orig'!BK8</f>
        <v>100</v>
      </c>
      <c r="BL8">
        <f>'Costing 100 Lmin Feed Orig'!BL8</f>
        <v>18.892482409907799</v>
      </c>
      <c r="BM8">
        <f>'Costing 100 Lmin Feed Orig'!BM8</f>
        <v>92.6825353019658</v>
      </c>
      <c r="BN8">
        <f>'Costing 100 Lmin Feed Orig'!BN8</f>
        <v>19.930018582065301</v>
      </c>
      <c r="BO8">
        <f t="shared" si="1"/>
        <v>188.92482409907799</v>
      </c>
      <c r="BP8">
        <f t="shared" si="2"/>
        <v>478.32044596956723</v>
      </c>
      <c r="BQ8">
        <f t="shared" si="3"/>
        <v>18.892482409907799</v>
      </c>
      <c r="BR8">
        <f t="shared" si="4"/>
        <v>47.832044596956727</v>
      </c>
      <c r="BS8">
        <f>1.2*0.5*BL8*V8/'Oxidant Feed Composition'!$N$22</f>
        <v>11.335489445944679</v>
      </c>
      <c r="BT8">
        <f>1.2*0.5*BN8*BA8/'Oxidant Feed Composition'!$N$22</f>
        <v>11.95801114923918</v>
      </c>
      <c r="BU8">
        <f t="shared" si="5"/>
        <v>9.4462412049538997</v>
      </c>
      <c r="BV8">
        <f t="shared" si="6"/>
        <v>9.9650092910326507</v>
      </c>
      <c r="BW8">
        <f t="shared" si="7"/>
        <v>83.236294097011893</v>
      </c>
      <c r="BX8">
        <f t="shared" si="0"/>
        <v>60.455943711704961</v>
      </c>
      <c r="BY8">
        <f t="shared" si="8"/>
        <v>223.1500354237472</v>
      </c>
      <c r="BZ8">
        <f t="shared" si="9"/>
        <v>63.776059462608963</v>
      </c>
      <c r="CA8">
        <f t="shared" si="10"/>
        <v>59.790055746195904</v>
      </c>
      <c r="CB8">
        <f>BO8*'Reagent cost'!$G$11*'Reagent cost'!$H$11</f>
        <v>2493.8076781078298</v>
      </c>
      <c r="CC8">
        <f>BP8*'Reagent cost'!$G$11*'Reagent cost'!$H$11</f>
        <v>6313.8298867982885</v>
      </c>
      <c r="CD8">
        <f>BQ8*'Reagent cost'!$C$18/1000*'Reagent cost'!$H$18</f>
        <v>3012.9816471142385</v>
      </c>
      <c r="CE8">
        <f>BR8*'Ligand cost'!$B$56*'Ligand cost'!$J$56</f>
        <v>48699.131079349805</v>
      </c>
      <c r="CF8">
        <f t="shared" si="11"/>
        <v>10</v>
      </c>
      <c r="CG8">
        <f t="shared" si="12"/>
        <v>3.7784964819815601</v>
      </c>
      <c r="CH8">
        <f t="shared" si="12"/>
        <v>3.9860037164130606</v>
      </c>
      <c r="CI8">
        <f>7963.6*(BX8/1000)^0.6*1.7*('CAPEX+OPEX'!$G$116/'CAPEX+OPEX'!$G$115)</f>
        <v>2965.5437179814326</v>
      </c>
      <c r="CJ8">
        <f>7963.6*(BY8/1000)^0.6*1.7*('CAPEX+OPEX'!$G$116/'CAPEX+OPEX'!$G$115)</f>
        <v>6492.3078360569407</v>
      </c>
      <c r="CK8">
        <f>7963.6*(BZ8/1000)^0.6*1.7*('CAPEX+OPEX'!$G$116/'CAPEX+OPEX'!$G$115)</f>
        <v>3062.2139953248757</v>
      </c>
      <c r="CL8">
        <f>7963.6*(CA8/1000)^0.6*1.7*('CAPEX+OPEX'!$G$116/'CAPEX+OPEX'!$G$115)</f>
        <v>2945.9020515624716</v>
      </c>
      <c r="CM8">
        <f>'Costing 100 Lmin Feed Orig'!DE8</f>
        <v>39625.826528698344</v>
      </c>
      <c r="CN8">
        <f>'Costing 100 Lmin Feed Orig'!DF8</f>
        <v>4586243.4239371875</v>
      </c>
      <c r="CO8">
        <f>'Costing 100 Lmin Feed Orig'!DG8</f>
        <v>11794834.586807497</v>
      </c>
      <c r="CP8">
        <f>'Costing 100 Lmin Feed Orig'!DH8</f>
        <v>2275209.1661185985</v>
      </c>
      <c r="CQ8">
        <f>'Costing 100 Lmin Feed Orig'!DI8</f>
        <v>14083914.336508472</v>
      </c>
      <c r="CR8">
        <f>'Costing 100 Lmin Feed Orig'!DJ8</f>
        <v>1662824.8986326549</v>
      </c>
      <c r="CS8">
        <f>CN8*(BK8/10000)^0.72*((A8+1)/3)^0.6*('CAPEX+OPEX'!$G$116/'CAPEX+OPEX'!$G$114)</f>
        <v>461850.0978118488</v>
      </c>
      <c r="CT8">
        <f>CO8*(BK8/10000)^0.72*((A8+1)/3)^0.6*('CAPEX+OPEX'!$G$116/'CAPEX+OPEX'!$G$114)</f>
        <v>1187779.4098672394</v>
      </c>
      <c r="CU8">
        <f>CP8*(BK8/10000)^0.72*((A8+1)/3)^0.6*('CAPEX+OPEX'!$G$116/'CAPEX+OPEX'!$G$114)</f>
        <v>229121.19544936769</v>
      </c>
      <c r="CV8">
        <f>CQ8*(BK8/10000)^0.72*((A8+1)/3)^0.6*('CAPEX+OPEX'!$G$116/'CAPEX+OPEX'!$G$114)</f>
        <v>1418297.4196136401</v>
      </c>
      <c r="CW8">
        <f>CR8*(BK8/10000)^0.72*((A8+1)/3)^0.6*('CAPEX+OPEX'!$G$116/'CAPEX+OPEX'!$G$114)</f>
        <v>167452.04540804314</v>
      </c>
      <c r="CX8">
        <f t="shared" si="13"/>
        <v>3464500.168150139</v>
      </c>
      <c r="CY8">
        <f>CN8*(BM8/10000)^0.72*((AF8+1)/3)^0.6*('CAPEX+OPEX'!$G$116/'CAPEX+OPEX'!$G$114)</f>
        <v>802304.35207958962</v>
      </c>
      <c r="CZ8">
        <f>CO8*(BM8/10000)^0.72*((AF8+1)/3)^0.6*('CAPEX+OPEX'!$G$116/'CAPEX+OPEX'!$G$114)</f>
        <v>2063354.7429392026</v>
      </c>
      <c r="DA8">
        <f>CP8*(BM8/10000)^0.72*((AF8+1)/3)^0.6*('CAPEX+OPEX'!$G$116/'CAPEX+OPEX'!$G$114)</f>
        <v>398018.60632623197</v>
      </c>
      <c r="DB8">
        <f>CQ8*(BM8/10000)^0.72*((AF8+1)/3)^0.6*('CAPEX+OPEX'!$G$116/'CAPEX+OPEX'!$G$114)</f>
        <v>2463799.8296209997</v>
      </c>
      <c r="DC8">
        <f>CR8*(BM8/10000)^0.72*((AF8+1)/3)^0.6*('CAPEX+OPEX'!$G$116/'CAPEX+OPEX'!$G$114)</f>
        <v>290889.84809576324</v>
      </c>
      <c r="DD8">
        <f t="shared" si="14"/>
        <v>6018367.3790617865</v>
      </c>
      <c r="DE8">
        <f>CX8+DD8+1.15*(SUM(CI8:CL8)+SUM(CB8:CE8))</f>
        <v>9570251.122788066</v>
      </c>
      <c r="DF8">
        <f t="shared" si="15"/>
        <v>638016.74151920446</v>
      </c>
      <c r="DG8">
        <f>(BS8+BT8)*'Oxidant Feed Composition'!$N$29*60*7200</f>
        <v>11620462.184560228</v>
      </c>
      <c r="DH8">
        <f>((CG8+CH8)*'Reagent cost'!$C$17/1000*'Reagent cost'!$H$17+(CG8+CH8)*0.5*'Reagent cost'!$C$16/1000*'Reagent cost'!$H$16*0.5)*60*7200</f>
        <v>3934065.404241269</v>
      </c>
      <c r="DI8">
        <f>CF8*'Reagent cost'!$C$17/1000*'Reagent cost'!$H$17*60*7200</f>
        <v>504921.59999999998</v>
      </c>
      <c r="DJ8">
        <f t="shared" si="16"/>
        <v>88.076375649061191</v>
      </c>
      <c r="DK8">
        <f t="shared" si="17"/>
        <v>1034.2422545292809</v>
      </c>
      <c r="DL8">
        <f t="shared" si="18"/>
        <v>19272685.80891801</v>
      </c>
      <c r="DM8">
        <f>BK8*(B8*(409.81+2)/1000+C8*(248.2+2*22.99)/1000+D8*(315.6+3*22.99)/1000+0.1*58.44/1000)</f>
        <v>0.70639694042110623</v>
      </c>
      <c r="DN8">
        <f>(BS8+BT8)/1000*('Oxidant Feed Composition'!$B$11*'Oxidant Feed Composition'!$O$20+'Oxidant Feed Composition'!$D$11*'Oxidant Feed Composition'!$O$21+'Oxidant Feed Composition'!$F$11*'Oxidant Feed Composition'!$O$27-'Oxidant Feed Composition'!$J$15*18.015)</f>
        <v>2.7203207519982726</v>
      </c>
      <c r="DO8">
        <f>(BU8+BV8)/1000*(0.2*368.34+0.4*58.44)</f>
        <v>1.883745393132519</v>
      </c>
      <c r="DP8">
        <f>BK8/1000*(B8*195.08+C8*106.42+D8*102.91)</f>
        <v>4.999938342565946E-2</v>
      </c>
      <c r="DQ8">
        <f>SUM(DM8:DO8)-DP8</f>
        <v>5.2604637021262377</v>
      </c>
      <c r="DR8">
        <f>DQ8*60*7200*0.33</f>
        <v>749931.70537511655</v>
      </c>
      <c r="DS8">
        <v>1.2</v>
      </c>
      <c r="DT8">
        <f>BM8/60*(AM8*4+AN8*2+AO8*3)*96485/DV8</f>
        <v>1410.0823557815738</v>
      </c>
      <c r="DU8">
        <f>BN8*BA8*(AP8*4+AQ8*2+AR8*3)*96485/DV8/60</f>
        <v>712.12289644358816</v>
      </c>
      <c r="DV8">
        <v>0.7</v>
      </c>
      <c r="DW8">
        <f>0.499*((BK8/3.78541*15)^(-0.146))*BK8/3.78541*15*300*(1+(A8-2)/9)</f>
        <v>27520.276190787874</v>
      </c>
      <c r="DX8">
        <f>0.248*((BK8/3.78541*15)^(-0.144))*BK8/3.78541*15*300*(1+(A8-2)/3)</f>
        <v>16610.439588917834</v>
      </c>
      <c r="DY8">
        <f>0.105*((BK8/3.78541*15)^(-0.144))*BK8/3.78541*15*300*(1+(A8-2)/3)</f>
        <v>7032.645793695051</v>
      </c>
      <c r="DZ8">
        <f>0.058*((BK8/3.78541*15)^(-0.151))*BK8/3.78541*15*300*(1+(A8-2)/3)</f>
        <v>3725.3886787897172</v>
      </c>
      <c r="EA8">
        <f>0.056*((BK8/3.78541*15)^(-0.144))*BK8/3.78541*15*300*(1+(A8-2)/3)</f>
        <v>3750.7444233040283</v>
      </c>
      <c r="EB8">
        <f>DS8*DT8/(3.6*10^6)*3600*7200*0.07</f>
        <v>852.81780877669598</v>
      </c>
      <c r="EC8">
        <f>0.499*((BM8/3.78541*15)^(-0.146))*BM8/3.78541*15*300*(1+(AF8-2)/9)</f>
        <v>43844.782558554987</v>
      </c>
      <c r="ED8">
        <f>0.248*((BM8/3.78541*15)^(-0.144))*BM8/3.78541*15*300*(1+(AF8-2)/3)</f>
        <v>42801.996462766008</v>
      </c>
      <c r="EE8">
        <f>0.105*((BM8/3.78541*15)^(-0.144))*BM8/3.78541*15*300*(1+(AF8-2)/3)</f>
        <v>18121.813018509798</v>
      </c>
      <c r="EF8">
        <f>0.058*((BM8/3.78541*15)^(-0.151))*BM8/3.78541*15*300*(1+(AF8-2)/3)</f>
        <v>9604.7376297574338</v>
      </c>
      <c r="EG8">
        <f>0.056*((BM8/3.78541*15)^(-0.144))*BM8/3.78541*15*300*(1+(AF8-2)/3)</f>
        <v>9664.9669432052269</v>
      </c>
      <c r="EH8">
        <f>DS8*DU8/(3.6*10^6)*3600*7200*0.07</f>
        <v>430.6919277690821</v>
      </c>
      <c r="EI8">
        <f>SUM(DW8:EH8)</f>
        <v>183961.30102483375</v>
      </c>
      <c r="EJ8">
        <f>EI8+DR8+DL8</f>
        <v>20206578.815317962</v>
      </c>
      <c r="EK8">
        <f>EJ8+DF8</f>
        <v>20844595.556837168</v>
      </c>
      <c r="EL8">
        <f>EK8/(BK8*60*7200)</f>
        <v>0.48251378603789741</v>
      </c>
      <c r="EM8">
        <f>EK8/(BM8*(AM8*195.084/1000+AN8*106.42/1000+AO8*102.911/1000)*60*7200)</f>
        <v>1613.2864673184631</v>
      </c>
      <c r="EN8">
        <f>EK8/(BN8*BA8*(AP8*195.084/1000+AQ8*106.42/1000+AR8*102.911/1000)*60*7200)</f>
        <v>2936.3344458449005</v>
      </c>
    </row>
    <row r="9" spans="1:144">
      <c r="A9">
        <f>'Costing 100 Lmin Feed Orig'!A9</f>
        <v>3</v>
      </c>
      <c r="B9">
        <f>'Costing 100 Lmin Feed Orig'!B9</f>
        <v>1.54143585092054E-3</v>
      </c>
      <c r="C9">
        <f>'Costing 100 Lmin Feed Orig'!C9</f>
        <v>1.54143585092054E-3</v>
      </c>
      <c r="D9">
        <f>'Costing 100 Lmin Feed Orig'!D9</f>
        <v>3.4254130020456501E-4</v>
      </c>
      <c r="E9">
        <f>'Costing 100 Lmin Feed Orig'!E9</f>
        <v>0</v>
      </c>
      <c r="F9">
        <f>'Costing 100 Lmin Feed Orig'!F9</f>
        <v>0</v>
      </c>
      <c r="G9">
        <f>'Costing 100 Lmin Feed Orig'!G9</f>
        <v>0</v>
      </c>
      <c r="H9">
        <f>'Costing 100 Lmin Feed Orig'!H9</f>
        <v>1.6300358850230801E-5</v>
      </c>
      <c r="I9">
        <f>'Costing 100 Lmin Feed Orig'!I9</f>
        <v>7.4474859607128495E-7</v>
      </c>
      <c r="J9">
        <f>'Costing 100 Lmin Feed Orig'!J9</f>
        <v>3.2385704147932398E-4</v>
      </c>
      <c r="K9">
        <f>'Costing 100 Lmin Feed Orig'!K9</f>
        <v>8.07271092797512E-2</v>
      </c>
      <c r="L9">
        <f>'Costing 100 Lmin Feed Orig'!L9</f>
        <v>8.15504849440159E-2</v>
      </c>
      <c r="M9">
        <f>'Costing 100 Lmin Feed Orig'!M9</f>
        <v>9.8897848995466706E-4</v>
      </c>
      <c r="N9">
        <f>'Costing 100 Lmin Feed Orig'!N9</f>
        <v>-9.8011876392689601E-17</v>
      </c>
      <c r="O9">
        <f>'Costing 100 Lmin Feed Orig'!O9</f>
        <v>1.94289029309402E-16</v>
      </c>
      <c r="P9">
        <f>'Costing 100 Lmin Feed Orig'!P9</f>
        <v>-4.3537493488870999E-18</v>
      </c>
      <c r="Q9">
        <f>'Costing 100 Lmin Feed Orig'!Q9</f>
        <v>0.18892482409907799</v>
      </c>
      <c r="R9">
        <f>'Costing 100 Lmin Feed Orig'!R9</f>
        <v>94.545399718491396</v>
      </c>
      <c r="S9">
        <f>'Costing 100 Lmin Feed Orig'!S9</f>
        <v>500</v>
      </c>
      <c r="T9">
        <f>'Costing 100 Lmin Feed Orig'!T9</f>
        <v>95</v>
      </c>
      <c r="U9">
        <f>'Costing 100 Lmin Feed Orig'!U9</f>
        <v>1</v>
      </c>
      <c r="V9">
        <f>'Costing 100 Lmin Feed Orig'!V9</f>
        <v>0.1</v>
      </c>
      <c r="W9">
        <f>'Costing 100 Lmin Feed Orig'!W9</f>
        <v>52.931106580020597</v>
      </c>
      <c r="X9" t="str">
        <f>'Costing 100 Lmin Feed Orig'!X9</f>
        <v>ddFc</v>
      </c>
      <c r="Y9">
        <f>'Costing 100 Lmin Feed Orig'!Y9</f>
        <v>1</v>
      </c>
      <c r="Z9">
        <f>'Costing 100 Lmin Feed Orig'!Z9</f>
        <v>0.28318429382522198</v>
      </c>
      <c r="AA9">
        <f>'Costing 100 Lmin Feed Orig'!AA9</f>
        <v>0.56945642916197003</v>
      </c>
      <c r="AB9">
        <f>'Costing 100 Lmin Feed Orig'!AB9</f>
        <v>3.7698628972227502E-3</v>
      </c>
      <c r="AC9">
        <f>'Costing 100 Lmin Feed Orig'!AC9</f>
        <v>1822.2107908876901</v>
      </c>
      <c r="AD9">
        <f>'Costing 100 Lmin Feed Orig'!AD9</f>
        <v>2662.6059073104898</v>
      </c>
      <c r="AE9">
        <f>'Costing 100 Lmin Feed Orig'!AE9</f>
        <v>2401.5030938442701</v>
      </c>
      <c r="AF9">
        <f>'Costing 100 Lmin Feed Orig'!AF9</f>
        <v>11</v>
      </c>
      <c r="AG9">
        <f>'Costing 100 Lmin Feed Orig'!AG9</f>
        <v>1.6455478770638001E-3</v>
      </c>
      <c r="AH9">
        <f>'Costing 100 Lmin Feed Orig'!AH9</f>
        <v>1.66233163271225E-3</v>
      </c>
      <c r="AI9">
        <f>'Costing 100 Lmin Feed Orig'!AI9</f>
        <v>2.0159416943409301E-5</v>
      </c>
      <c r="AJ9">
        <f>'Costing 100 Lmin Feed Orig'!AJ9</f>
        <v>0</v>
      </c>
      <c r="AK9">
        <f>'Costing 100 Lmin Feed Orig'!AK9</f>
        <v>0</v>
      </c>
      <c r="AL9">
        <f>'Costing 100 Lmin Feed Orig'!AL9</f>
        <v>0</v>
      </c>
      <c r="AM9">
        <f>'Costing 100 Lmin Feed Orig'!AM9</f>
        <v>1.60835185158262E-3</v>
      </c>
      <c r="AN9">
        <f>'Costing 100 Lmin Feed Orig'!AN9</f>
        <v>6.4624491935312605E-5</v>
      </c>
      <c r="AO9">
        <f>'Costing 100 Lmin Feed Orig'!AO9</f>
        <v>2.0025605516349801E-5</v>
      </c>
      <c r="AP9">
        <f>'Costing 100 Lmin Feed Orig'!AP9</f>
        <v>1.72982171403333E-3</v>
      </c>
      <c r="AQ9">
        <f>'Costing 100 Lmin Feed Orig'!AQ9</f>
        <v>7.4302253238869895E-2</v>
      </c>
      <c r="AR9">
        <f>'Costing 100 Lmin Feed Orig'!AR9</f>
        <v>6.2229743398349396E-6</v>
      </c>
      <c r="AS9">
        <f>'Costing 100 Lmin Feed Orig'!AS9</f>
        <v>1.3552527156068801E-19</v>
      </c>
      <c r="AT9">
        <f>'Costing 100 Lmin Feed Orig'!AT9</f>
        <v>-2.168404344971E-19</v>
      </c>
      <c r="AU9">
        <f>'Costing 100 Lmin Feed Orig'!AU9</f>
        <v>2.46168950295781E-21</v>
      </c>
      <c r="AV9">
        <f>'Costing 100 Lmin Feed Orig'!AV9</f>
        <v>0.19929348306734301</v>
      </c>
      <c r="AW9">
        <f>'Costing 100 Lmin Feed Orig'!AW9</f>
        <v>99.336233644876302</v>
      </c>
      <c r="AX9">
        <f>'Costing 100 Lmin Feed Orig'!AX9</f>
        <v>500</v>
      </c>
      <c r="AY9">
        <f>'Costing 100 Lmin Feed Orig'!AY9</f>
        <v>95</v>
      </c>
      <c r="AZ9">
        <f>'Costing 100 Lmin Feed Orig'!AZ9</f>
        <v>0.92682535301965796</v>
      </c>
      <c r="BA9">
        <f>'Costing 100 Lmin Feed Orig'!BA9</f>
        <v>0.1</v>
      </c>
      <c r="BB9">
        <f>'Costing 100 Lmin Feed Orig'!BB9</f>
        <v>46.505552452333497</v>
      </c>
      <c r="BC9" t="str">
        <f>'Costing 100 Lmin Feed Orig'!BC9</f>
        <v>coeFc</v>
      </c>
      <c r="BD9">
        <f>'Costing 100 Lmin Feed Orig'!BD9</f>
        <v>1</v>
      </c>
      <c r="BE9">
        <f>'Costing 100 Lmin Feed Orig'!BE9</f>
        <v>1.8775014999999999E-2</v>
      </c>
      <c r="BF9">
        <f>'Costing 100 Lmin Feed Orig'!BF9</f>
        <v>0.10492961100000001</v>
      </c>
      <c r="BG9">
        <f>'Costing 100 Lmin Feed Orig'!BG9</f>
        <v>1.814625E-3</v>
      </c>
      <c r="BH9">
        <f>'Costing 100 Lmin Feed Orig'!BH9</f>
        <v>285.1951444</v>
      </c>
      <c r="BI9">
        <f>'Costing 100 Lmin Feed Orig'!BI9</f>
        <v>2169.8944889999998</v>
      </c>
      <c r="BJ9">
        <f>'Costing 100 Lmin Feed Orig'!BJ9</f>
        <v>866.49409060000005</v>
      </c>
      <c r="BK9">
        <f>'Costing 100 Lmin Feed Orig'!BK9</f>
        <v>100</v>
      </c>
      <c r="BL9">
        <f>'Costing 100 Lmin Feed Orig'!BL9</f>
        <v>18.892482409907799</v>
      </c>
      <c r="BM9">
        <f>'Costing 100 Lmin Feed Orig'!BM9</f>
        <v>92.6825353019658</v>
      </c>
      <c r="BN9">
        <f>'Costing 100 Lmin Feed Orig'!BN9</f>
        <v>19.929348306734301</v>
      </c>
      <c r="BO9">
        <f t="shared" si="1"/>
        <v>188.92482409907799</v>
      </c>
      <c r="BP9">
        <f t="shared" si="2"/>
        <v>518.16305597509188</v>
      </c>
      <c r="BQ9">
        <f t="shared" si="3"/>
        <v>18.892482409907799</v>
      </c>
      <c r="BR9">
        <f t="shared" si="4"/>
        <v>51.816305597509192</v>
      </c>
      <c r="BS9">
        <f>1.2*0.5*BL9*V9/'Oxidant Feed Composition'!$N$22</f>
        <v>11.335489445944679</v>
      </c>
      <c r="BT9">
        <f>1.2*0.5*BN9*BA9/'Oxidant Feed Composition'!$N$22</f>
        <v>11.957608984040581</v>
      </c>
      <c r="BU9">
        <f t="shared" si="5"/>
        <v>9.4462412049538997</v>
      </c>
      <c r="BV9">
        <f t="shared" si="6"/>
        <v>9.9646741533671506</v>
      </c>
      <c r="BW9">
        <f t="shared" si="7"/>
        <v>83.236294097011893</v>
      </c>
      <c r="BX9">
        <f t="shared" si="0"/>
        <v>60.455943711704961</v>
      </c>
      <c r="BY9">
        <f t="shared" si="8"/>
        <v>223.1500354237472</v>
      </c>
      <c r="BZ9">
        <f t="shared" si="9"/>
        <v>63.773914581549761</v>
      </c>
      <c r="CA9">
        <f t="shared" si="10"/>
        <v>59.788044920202907</v>
      </c>
      <c r="CB9">
        <f>BO9*'Reagent cost'!$G$11*'Reagent cost'!$H$11</f>
        <v>2493.8076781078298</v>
      </c>
      <c r="CC9">
        <f>BP9*'Reagent cost'!$G$11*'Reagent cost'!$H$11</f>
        <v>6839.7523388712134</v>
      </c>
      <c r="CD9">
        <f>BQ9*'Reagent cost'!$C$18/1000*'Reagent cost'!$H$18</f>
        <v>3012.9816471142385</v>
      </c>
      <c r="CE9">
        <f>BR9*'Ligand cost'!$B$56*'Ligand cost'!$J$56</f>
        <v>52755.617695282395</v>
      </c>
      <c r="CF9">
        <f t="shared" si="11"/>
        <v>10</v>
      </c>
      <c r="CG9">
        <f t="shared" si="12"/>
        <v>3.7784964819815601</v>
      </c>
      <c r="CH9">
        <f t="shared" si="12"/>
        <v>3.9858696613468605</v>
      </c>
      <c r="CI9">
        <f>7963.6*(BX9/1000)^0.6*1.7*('CAPEX+OPEX'!$G$116/'CAPEX+OPEX'!$G$115)</f>
        <v>2965.5437179814326</v>
      </c>
      <c r="CJ9">
        <f>7963.6*(BY9/1000)^0.6*1.7*('CAPEX+OPEX'!$G$116/'CAPEX+OPEX'!$G$115)</f>
        <v>6492.3078360569407</v>
      </c>
      <c r="CK9">
        <f>7963.6*(BZ9/1000)^0.6*1.7*('CAPEX+OPEX'!$G$116/'CAPEX+OPEX'!$G$115)</f>
        <v>3062.152202899636</v>
      </c>
      <c r="CL9">
        <f>7963.6*(CA9/1000)^0.6*1.7*('CAPEX+OPEX'!$G$116/'CAPEX+OPEX'!$G$115)</f>
        <v>2945.8426061962891</v>
      </c>
      <c r="CM9">
        <f>'Costing 100 Lmin Feed Orig'!DE9</f>
        <v>39625.826528698344</v>
      </c>
      <c r="CN9">
        <f>'Costing 100 Lmin Feed Orig'!DF9</f>
        <v>4586243.4239371875</v>
      </c>
      <c r="CO9">
        <f>'Costing 100 Lmin Feed Orig'!DG9</f>
        <v>11794834.586807497</v>
      </c>
      <c r="CP9">
        <f>'Costing 100 Lmin Feed Orig'!DH9</f>
        <v>2275209.1661185985</v>
      </c>
      <c r="CQ9">
        <f>'Costing 100 Lmin Feed Orig'!DI9</f>
        <v>14083914.336508472</v>
      </c>
      <c r="CR9">
        <f>'Costing 100 Lmin Feed Orig'!DJ9</f>
        <v>1662824.8986326549</v>
      </c>
      <c r="CS9">
        <f>CN9*(BK9/10000)^0.72*((A9+1)/3)^0.6*('CAPEX+OPEX'!$G$116/'CAPEX+OPEX'!$G$114)</f>
        <v>461850.0978118488</v>
      </c>
      <c r="CT9">
        <f>CO9*(BK9/10000)^0.72*((A9+1)/3)^0.6*('CAPEX+OPEX'!$G$116/'CAPEX+OPEX'!$G$114)</f>
        <v>1187779.4098672394</v>
      </c>
      <c r="CU9">
        <f>CP9*(BK9/10000)^0.72*((A9+1)/3)^0.6*('CAPEX+OPEX'!$G$116/'CAPEX+OPEX'!$G$114)</f>
        <v>229121.19544936769</v>
      </c>
      <c r="CV9">
        <f>CQ9*(BK9/10000)^0.72*((A9+1)/3)^0.6*('CAPEX+OPEX'!$G$116/'CAPEX+OPEX'!$G$114)</f>
        <v>1418297.4196136401</v>
      </c>
      <c r="CW9">
        <f>CR9*(BK9/10000)^0.72*((A9+1)/3)^0.6*('CAPEX+OPEX'!$G$116/'CAPEX+OPEX'!$G$114)</f>
        <v>167452.04540804314</v>
      </c>
      <c r="CX9">
        <f t="shared" si="13"/>
        <v>3464500.168150139</v>
      </c>
      <c r="CY9">
        <f>CN9*(BM9/10000)^0.72*((AF9+1)/3)^0.6*('CAPEX+OPEX'!$G$116/'CAPEX+OPEX'!$G$114)</f>
        <v>845302.75526646047</v>
      </c>
      <c r="CZ9">
        <f>CO9*(BM9/10000)^0.72*((AF9+1)/3)^0.6*('CAPEX+OPEX'!$G$116/'CAPEX+OPEX'!$G$114)</f>
        <v>2173937.4151190002</v>
      </c>
      <c r="DA9">
        <f>CP9*(BM9/10000)^0.72*((AF9+1)/3)^0.6*('CAPEX+OPEX'!$G$116/'CAPEX+OPEX'!$G$114)</f>
        <v>419349.86854153901</v>
      </c>
      <c r="DB9">
        <f>CQ9*(BM9/10000)^0.72*((AF9+1)/3)^0.6*('CAPEX+OPEX'!$G$116/'CAPEX+OPEX'!$G$114)</f>
        <v>2595843.8079082798</v>
      </c>
      <c r="DC9">
        <f>CR9*(BM9/10000)^0.72*((AF9+1)/3)^0.6*('CAPEX+OPEX'!$G$116/'CAPEX+OPEX'!$G$114)</f>
        <v>306479.69120077539</v>
      </c>
      <c r="DD9">
        <f t="shared" si="14"/>
        <v>6340913.5380360549</v>
      </c>
      <c r="DE9">
        <f>CX9+DD9+1.15*(SUM(CI9:CL9)+SUM(CB9:CE9))</f>
        <v>9898066.9127670806</v>
      </c>
      <c r="DF9">
        <f t="shared" si="15"/>
        <v>659871.12751780532</v>
      </c>
      <c r="DG9">
        <f>(BS9+BT9)*'Oxidant Feed Composition'!$N$29*60*7200</f>
        <v>11620261.555828486</v>
      </c>
      <c r="DH9">
        <f>((CG9+CH9)*'Reagent cost'!$C$17/1000*'Reagent cost'!$H$17+(CG9+CH9)*0.5*'Reagent cost'!$C$16/1000*'Reagent cost'!$H$16*0.5)*60*7200</f>
        <v>3933997.4821104519</v>
      </c>
      <c r="DI9">
        <f>CF9*'Reagent cost'!$C$17/1000*'Reagent cost'!$H$17*60*7200</f>
        <v>504921.59999999998</v>
      </c>
      <c r="DJ9">
        <f t="shared" si="16"/>
        <v>93.335600169790439</v>
      </c>
      <c r="DK9">
        <f t="shared" si="17"/>
        <v>1115.3719868479327</v>
      </c>
      <c r="DL9">
        <f t="shared" si="18"/>
        <v>19272467.214631144</v>
      </c>
      <c r="DM9">
        <f>BK9*(B9*(409.81+2)/1000+C9*(248.2+2*22.99)/1000+D9*(315.6+3*22.99)/1000+0.1*58.44/1000)</f>
        <v>0.70639694042110623</v>
      </c>
      <c r="DN9">
        <f>(BS9+BT9)/1000*('Oxidant Feed Composition'!$B$11*'Oxidant Feed Composition'!$O$20+'Oxidant Feed Composition'!$D$11*'Oxidant Feed Composition'!$O$21+'Oxidant Feed Composition'!$F$11*'Oxidant Feed Composition'!$O$27-'Oxidant Feed Composition'!$J$15*18.015)</f>
        <v>2.7202737853205505</v>
      </c>
      <c r="DO9">
        <f>(BU9+BV9)/1000*(0.2*368.34+0.4*58.44)</f>
        <v>1.8837128700329075</v>
      </c>
      <c r="DP9">
        <f>BK9/1000*(B9*195.08+C9*106.42+D9*102.91)</f>
        <v>4.999938342565946E-2</v>
      </c>
      <c r="DQ9">
        <f>SUM(DM9:DO9)-DP9</f>
        <v>5.260384212348904</v>
      </c>
      <c r="DR9">
        <f>DQ9*60*7200*0.33</f>
        <v>749920.37331245968</v>
      </c>
      <c r="DS9">
        <v>1.2</v>
      </c>
      <c r="DT9">
        <f>BM9/60*(AM9*4+AN9*2+AO9*3)*96485/DV9</f>
        <v>1410.0862448248422</v>
      </c>
      <c r="DU9">
        <f>BN9*BA9*(AP9*4+AQ9*2+AR9*3)*96485/DV9/60</f>
        <v>712.11900740011947</v>
      </c>
      <c r="DV9">
        <v>0.7</v>
      </c>
      <c r="DW9">
        <f>0.499*((BK9/3.78541*15)^(-0.146))*BK9/3.78541*15*300*(1+(A9-2)/9)</f>
        <v>27520.276190787874</v>
      </c>
      <c r="DX9">
        <f>0.248*((BK9/3.78541*15)^(-0.144))*BK9/3.78541*15*300*(1+(A9-2)/3)</f>
        <v>16610.439588917834</v>
      </c>
      <c r="DY9">
        <f>0.105*((BK9/3.78541*15)^(-0.144))*BK9/3.78541*15*300*(1+(A9-2)/3)</f>
        <v>7032.645793695051</v>
      </c>
      <c r="DZ9">
        <f>0.058*((BK9/3.78541*15)^(-0.151))*BK9/3.78541*15*300*(1+(A9-2)/3)</f>
        <v>3725.3886787897172</v>
      </c>
      <c r="EA9">
        <f>0.056*((BK9/3.78541*15)^(-0.144))*BK9/3.78541*15*300*(1+(A9-2)/3)</f>
        <v>3750.7444233040283</v>
      </c>
      <c r="EB9">
        <f>DS9*DT9/(3.6*10^6)*3600*7200*0.07</f>
        <v>852.82016087006468</v>
      </c>
      <c r="EC9">
        <f>0.499*((BM9/3.78541*15)^(-0.146))*BM9/3.78541*15*300*(1+(AF9-2)/9)</f>
        <v>46423.887414940575</v>
      </c>
      <c r="ED9">
        <f>0.248*((BM9/3.78541*15)^(-0.144))*BM9/3.78541*15*300*(1+(AF9-2)/3)</f>
        <v>46693.087050290189</v>
      </c>
      <c r="EE9">
        <f>0.105*((BM9/3.78541*15)^(-0.144))*BM9/3.78541*15*300*(1+(AF9-2)/3)</f>
        <v>19769.250565647053</v>
      </c>
      <c r="EF9">
        <f>0.058*((BM9/3.78541*15)^(-0.151))*BM9/3.78541*15*300*(1+(AF9-2)/3)</f>
        <v>10477.895596099019</v>
      </c>
      <c r="EG9">
        <f>0.056*((BM9/3.78541*15)^(-0.144))*BM9/3.78541*15*300*(1+(AF9-2)/3)</f>
        <v>10543.600301678431</v>
      </c>
      <c r="EH9">
        <f>DS9*DU9/(3.6*10^6)*3600*7200*0.07</f>
        <v>430.68957567559227</v>
      </c>
      <c r="EI9">
        <f>SUM(DW9:EH9)</f>
        <v>193830.72534069544</v>
      </c>
      <c r="EJ9">
        <f>EI9+DR9+DL9</f>
        <v>20216218.3132843</v>
      </c>
      <c r="EK9">
        <f>EJ9+DF9</f>
        <v>20876089.440802105</v>
      </c>
      <c r="EL9">
        <f>EK9/(BK9*60*7200)</f>
        <v>0.48324281112967837</v>
      </c>
      <c r="EM9">
        <f>EK9/(BM9*(AM9*195.084/1000+AN9*106.42/1000+AO9*102.911/1000)*60*7200)</f>
        <v>1615.7194985045371</v>
      </c>
      <c r="EN9">
        <f>EK9/(BN9*BA9*(AP9*195.084/1000+AQ9*106.42/1000+AR9*102.911/1000)*60*7200)</f>
        <v>2940.7857202360265</v>
      </c>
    </row>
    <row r="10" spans="1:144">
      <c r="A10">
        <f>'Costing 100 Lmin Feed Orig'!A10</f>
        <v>3</v>
      </c>
      <c r="B10">
        <f>'Costing 100 Lmin Feed Orig'!B10</f>
        <v>1.54143585092054E-3</v>
      </c>
      <c r="C10">
        <f>'Costing 100 Lmin Feed Orig'!C10</f>
        <v>1.54143585092054E-3</v>
      </c>
      <c r="D10">
        <f>'Costing 100 Lmin Feed Orig'!D10</f>
        <v>3.4254130020456501E-4</v>
      </c>
      <c r="E10">
        <f>'Costing 100 Lmin Feed Orig'!E10</f>
        <v>0</v>
      </c>
      <c r="F10">
        <f>'Costing 100 Lmin Feed Orig'!F10</f>
        <v>0</v>
      </c>
      <c r="G10">
        <f>'Costing 100 Lmin Feed Orig'!G10</f>
        <v>0</v>
      </c>
      <c r="H10">
        <f>'Costing 100 Lmin Feed Orig'!H10</f>
        <v>1.6300358850230801E-5</v>
      </c>
      <c r="I10">
        <f>'Costing 100 Lmin Feed Orig'!I10</f>
        <v>7.4474859607128495E-7</v>
      </c>
      <c r="J10">
        <f>'Costing 100 Lmin Feed Orig'!J10</f>
        <v>3.2385704147932398E-4</v>
      </c>
      <c r="K10">
        <f>'Costing 100 Lmin Feed Orig'!K10</f>
        <v>8.07271092797512E-2</v>
      </c>
      <c r="L10">
        <f>'Costing 100 Lmin Feed Orig'!L10</f>
        <v>8.15504849440159E-2</v>
      </c>
      <c r="M10">
        <f>'Costing 100 Lmin Feed Orig'!M10</f>
        <v>9.8897848995466706E-4</v>
      </c>
      <c r="N10">
        <f>'Costing 100 Lmin Feed Orig'!N10</f>
        <v>-9.8011876392689601E-17</v>
      </c>
      <c r="O10">
        <f>'Costing 100 Lmin Feed Orig'!O10</f>
        <v>1.94289029309402E-16</v>
      </c>
      <c r="P10">
        <f>'Costing 100 Lmin Feed Orig'!P10</f>
        <v>-4.3537493488870999E-18</v>
      </c>
      <c r="Q10">
        <f>'Costing 100 Lmin Feed Orig'!Q10</f>
        <v>0.18892482409907799</v>
      </c>
      <c r="R10">
        <f>'Costing 100 Lmin Feed Orig'!R10</f>
        <v>94.545399718491396</v>
      </c>
      <c r="S10">
        <f>'Costing 100 Lmin Feed Orig'!S10</f>
        <v>500</v>
      </c>
      <c r="T10">
        <f>'Costing 100 Lmin Feed Orig'!T10</f>
        <v>95</v>
      </c>
      <c r="U10">
        <f>'Costing 100 Lmin Feed Orig'!U10</f>
        <v>1</v>
      </c>
      <c r="V10">
        <f>'Costing 100 Lmin Feed Orig'!V10</f>
        <v>0.1</v>
      </c>
      <c r="W10">
        <f>'Costing 100 Lmin Feed Orig'!W10</f>
        <v>52.931106580020597</v>
      </c>
      <c r="X10" t="str">
        <f>'Costing 100 Lmin Feed Orig'!X10</f>
        <v>ddFc</v>
      </c>
      <c r="Y10">
        <f>'Costing 100 Lmin Feed Orig'!Y10</f>
        <v>1</v>
      </c>
      <c r="Z10">
        <f>'Costing 100 Lmin Feed Orig'!Z10</f>
        <v>0.28318429382522198</v>
      </c>
      <c r="AA10">
        <f>'Costing 100 Lmin Feed Orig'!AA10</f>
        <v>0.56945642916197003</v>
      </c>
      <c r="AB10">
        <f>'Costing 100 Lmin Feed Orig'!AB10</f>
        <v>3.7698628972227502E-3</v>
      </c>
      <c r="AC10">
        <f>'Costing 100 Lmin Feed Orig'!AC10</f>
        <v>1822.2107908876901</v>
      </c>
      <c r="AD10">
        <f>'Costing 100 Lmin Feed Orig'!AD10</f>
        <v>2662.6059073104898</v>
      </c>
      <c r="AE10">
        <f>'Costing 100 Lmin Feed Orig'!AE10</f>
        <v>2401.5030938442701</v>
      </c>
      <c r="AF10">
        <f>'Costing 100 Lmin Feed Orig'!AF10</f>
        <v>12</v>
      </c>
      <c r="AG10">
        <f>'Costing 100 Lmin Feed Orig'!AG10</f>
        <v>1.6455478770638001E-3</v>
      </c>
      <c r="AH10">
        <f>'Costing 100 Lmin Feed Orig'!AH10</f>
        <v>1.66233163271225E-3</v>
      </c>
      <c r="AI10">
        <f>'Costing 100 Lmin Feed Orig'!AI10</f>
        <v>2.0159416943409301E-5</v>
      </c>
      <c r="AJ10">
        <f>'Costing 100 Lmin Feed Orig'!AJ10</f>
        <v>0</v>
      </c>
      <c r="AK10">
        <f>'Costing 100 Lmin Feed Orig'!AK10</f>
        <v>0</v>
      </c>
      <c r="AL10">
        <f>'Costing 100 Lmin Feed Orig'!AL10</f>
        <v>0</v>
      </c>
      <c r="AM10">
        <f>'Costing 100 Lmin Feed Orig'!AM10</f>
        <v>1.6083531230386601E-3</v>
      </c>
      <c r="AN10">
        <f>'Costing 100 Lmin Feed Orig'!AN10</f>
        <v>6.4624554467975802E-5</v>
      </c>
      <c r="AO10">
        <f>'Costing 100 Lmin Feed Orig'!AO10</f>
        <v>2.0025609902478401E-5</v>
      </c>
      <c r="AP10">
        <f>'Costing 100 Lmin Feed Orig'!AP10</f>
        <v>1.72977922313241E-3</v>
      </c>
      <c r="AQ10">
        <f>'Costing 100 Lmin Feed Orig'!AQ10</f>
        <v>7.4302965056042405E-2</v>
      </c>
      <c r="AR10">
        <f>'Costing 100 Lmin Feed Orig'!AR10</f>
        <v>6.2228302183306801E-6</v>
      </c>
      <c r="AS10">
        <f>'Costing 100 Lmin Feed Orig'!AS10</f>
        <v>6.7762635780344003E-20</v>
      </c>
      <c r="AT10">
        <f>'Costing 100 Lmin Feed Orig'!AT10</f>
        <v>2.168404344971E-19</v>
      </c>
      <c r="AU10">
        <f>'Costing 100 Lmin Feed Orig'!AU10</f>
        <v>3.8381180422460401E-21</v>
      </c>
      <c r="AV10">
        <f>'Costing 100 Lmin Feed Orig'!AV10</f>
        <v>0.199291566049737</v>
      </c>
      <c r="AW10">
        <f>'Costing 100 Lmin Feed Orig'!AW10</f>
        <v>99.336255402095702</v>
      </c>
      <c r="AX10">
        <f>'Costing 100 Lmin Feed Orig'!AX10</f>
        <v>500</v>
      </c>
      <c r="AY10">
        <f>'Costing 100 Lmin Feed Orig'!AY10</f>
        <v>95</v>
      </c>
      <c r="AZ10">
        <f>'Costing 100 Lmin Feed Orig'!AZ10</f>
        <v>0.92682535301965796</v>
      </c>
      <c r="BA10">
        <f>'Costing 100 Lmin Feed Orig'!BA10</f>
        <v>0.1</v>
      </c>
      <c r="BB10">
        <f>'Costing 100 Lmin Feed Orig'!BB10</f>
        <v>46.505999796717497</v>
      </c>
      <c r="BC10" t="str">
        <f>'Costing 100 Lmin Feed Orig'!BC10</f>
        <v>coeFc</v>
      </c>
      <c r="BD10">
        <f>'Costing 100 Lmin Feed Orig'!BD10</f>
        <v>1</v>
      </c>
      <c r="BE10">
        <f>'Costing 100 Lmin Feed Orig'!BE10</f>
        <v>1.8775014999999999E-2</v>
      </c>
      <c r="BF10">
        <f>'Costing 100 Lmin Feed Orig'!BF10</f>
        <v>0.10492961100000001</v>
      </c>
      <c r="BG10">
        <f>'Costing 100 Lmin Feed Orig'!BG10</f>
        <v>1.814625E-3</v>
      </c>
      <c r="BH10">
        <f>'Costing 100 Lmin Feed Orig'!BH10</f>
        <v>285.1951444</v>
      </c>
      <c r="BI10">
        <f>'Costing 100 Lmin Feed Orig'!BI10</f>
        <v>2169.8944889999998</v>
      </c>
      <c r="BJ10">
        <f>'Costing 100 Lmin Feed Orig'!BJ10</f>
        <v>866.49409060000005</v>
      </c>
      <c r="BK10">
        <f>'Costing 100 Lmin Feed Orig'!BK10</f>
        <v>100</v>
      </c>
      <c r="BL10">
        <f>'Costing 100 Lmin Feed Orig'!BL10</f>
        <v>18.892482409907799</v>
      </c>
      <c r="BM10">
        <f>'Costing 100 Lmin Feed Orig'!BM10</f>
        <v>92.6825353019658</v>
      </c>
      <c r="BN10">
        <f>'Costing 100 Lmin Feed Orig'!BN10</f>
        <v>19.929156604973699</v>
      </c>
      <c r="BO10">
        <f t="shared" si="1"/>
        <v>188.92482409907799</v>
      </c>
      <c r="BP10">
        <f>(AF10+2)*2*BN10</f>
        <v>558.01638493926362</v>
      </c>
      <c r="BQ10">
        <f t="shared" si="3"/>
        <v>18.892482409907799</v>
      </c>
      <c r="BR10">
        <f t="shared" si="4"/>
        <v>55.801638493926362</v>
      </c>
      <c r="BS10">
        <f>1.2*0.5*BL10*V10/'Oxidant Feed Composition'!$N$22</f>
        <v>11.335489445944679</v>
      </c>
      <c r="BT10">
        <f>1.2*0.5*BN10*BA10/'Oxidant Feed Composition'!$N$22</f>
        <v>11.957493962984218</v>
      </c>
      <c r="BU10">
        <f t="shared" si="5"/>
        <v>9.4462412049538997</v>
      </c>
      <c r="BV10">
        <f t="shared" si="6"/>
        <v>9.9645783024868493</v>
      </c>
      <c r="BW10">
        <f t="shared" si="7"/>
        <v>83.236294097011893</v>
      </c>
      <c r="BX10">
        <f t="shared" si="0"/>
        <v>60.455943711704961</v>
      </c>
      <c r="BY10">
        <f t="shared" si="8"/>
        <v>223.1500354237472</v>
      </c>
      <c r="BZ10">
        <f t="shared" si="9"/>
        <v>63.77330113591583</v>
      </c>
      <c r="CA10">
        <f t="shared" si="10"/>
        <v>59.787469814921096</v>
      </c>
      <c r="CB10">
        <f>BO10*'Reagent cost'!$G$11*'Reagent cost'!$H$11</f>
        <v>2493.8076781078298</v>
      </c>
      <c r="CC10">
        <f>BP10*'Reagent cost'!$G$11*'Reagent cost'!$H$11</f>
        <v>7365.8162811982802</v>
      </c>
      <c r="CD10">
        <f>BQ10*'Reagent cost'!$C$18/1000*'Reagent cost'!$H$18</f>
        <v>3012.9816471142385</v>
      </c>
      <c r="CE10">
        <f>BR10*'Ligand cost'!$B$56*'Ligand cost'!$J$56</f>
        <v>56813.195638120589</v>
      </c>
      <c r="CF10">
        <f t="shared" si="11"/>
        <v>10</v>
      </c>
      <c r="CG10">
        <f t="shared" si="12"/>
        <v>3.7784964819815601</v>
      </c>
      <c r="CH10">
        <f t="shared" si="12"/>
        <v>3.9858313209947398</v>
      </c>
      <c r="CI10">
        <f>7963.6*(BX10/1000)^0.6*1.7*('CAPEX+OPEX'!$G$116/'CAPEX+OPEX'!$G$115)</f>
        <v>2965.5437179814326</v>
      </c>
      <c r="CJ10">
        <f>7963.6*(BY10/1000)^0.6*1.7*('CAPEX+OPEX'!$G$116/'CAPEX+OPEX'!$G$115)</f>
        <v>6492.3078360569407</v>
      </c>
      <c r="CK10">
        <f>7963.6*(BZ10/1000)^0.6*1.7*('CAPEX+OPEX'!$G$116/'CAPEX+OPEX'!$G$115)</f>
        <v>3062.1345298351043</v>
      </c>
      <c r="CL10">
        <f>7963.6*(CA10/1000)^0.6*1.7*('CAPEX+OPEX'!$G$116/'CAPEX+OPEX'!$G$115)</f>
        <v>2945.825604407014</v>
      </c>
      <c r="CM10">
        <f>'Costing 100 Lmin Feed Orig'!DE10</f>
        <v>39625.826528698344</v>
      </c>
      <c r="CN10">
        <f>'Costing 100 Lmin Feed Orig'!DF10</f>
        <v>4586243.4239371875</v>
      </c>
      <c r="CO10">
        <f>'Costing 100 Lmin Feed Orig'!DG10</f>
        <v>11794834.586807497</v>
      </c>
      <c r="CP10">
        <f>'Costing 100 Lmin Feed Orig'!DH10</f>
        <v>2275209.1661185985</v>
      </c>
      <c r="CQ10">
        <f>'Costing 100 Lmin Feed Orig'!DI10</f>
        <v>14083914.336508472</v>
      </c>
      <c r="CR10">
        <f>'Costing 100 Lmin Feed Orig'!DJ10</f>
        <v>1662824.8986326549</v>
      </c>
      <c r="CS10">
        <f>CN10*(BK10/10000)^0.72*((A10+1)/3)^0.6*('CAPEX+OPEX'!$G$116/'CAPEX+OPEX'!$G$114)</f>
        <v>461850.0978118488</v>
      </c>
      <c r="CT10">
        <f>CO10*(BK10/10000)^0.72*((A10+1)/3)^0.6*('CAPEX+OPEX'!$G$116/'CAPEX+OPEX'!$G$114)</f>
        <v>1187779.4098672394</v>
      </c>
      <c r="CU10">
        <f>CP10*(BK10/10000)^0.72*((A10+1)/3)^0.6*('CAPEX+OPEX'!$G$116/'CAPEX+OPEX'!$G$114)</f>
        <v>229121.19544936769</v>
      </c>
      <c r="CV10">
        <f>CQ10*(BK10/10000)^0.72*((A10+1)/3)^0.6*('CAPEX+OPEX'!$G$116/'CAPEX+OPEX'!$G$114)</f>
        <v>1418297.4196136401</v>
      </c>
      <c r="CW10">
        <f>CR10*(BK10/10000)^0.72*((A10+1)/3)^0.6*('CAPEX+OPEX'!$G$116/'CAPEX+OPEX'!$G$114)</f>
        <v>167452.04540804314</v>
      </c>
      <c r="CX10">
        <f t="shared" si="13"/>
        <v>3464500.168150139</v>
      </c>
      <c r="CY10">
        <f>CN10*(BM10/10000)^0.72*((AF10+1)/3)^0.6*('CAPEX+OPEX'!$G$116/'CAPEX+OPEX'!$G$114)</f>
        <v>886889.57159349206</v>
      </c>
      <c r="CZ10">
        <f>CO10*(BM10/10000)^0.72*((AF10+1)/3)^0.6*('CAPEX+OPEX'!$G$116/'CAPEX+OPEX'!$G$114)</f>
        <v>2280889.7886038315</v>
      </c>
      <c r="DA10">
        <f>CP10*(BM10/10000)^0.72*((AF10+1)/3)^0.6*('CAPEX+OPEX'!$G$116/'CAPEX+OPEX'!$G$114)</f>
        <v>439980.85057862528</v>
      </c>
      <c r="DB10">
        <f>CQ10*(BM10/10000)^0.72*((AF10+1)/3)^0.6*('CAPEX+OPEX'!$G$116/'CAPEX+OPEX'!$G$114)</f>
        <v>2723552.9381347802</v>
      </c>
      <c r="DC10">
        <f>CR10*(BM10/10000)^0.72*((AF10+1)/3)^0.6*('CAPEX+OPEX'!$G$116/'CAPEX+OPEX'!$G$114)</f>
        <v>321557.73814493133</v>
      </c>
      <c r="DD10">
        <f t="shared" si="14"/>
        <v>6652870.8870556606</v>
      </c>
      <c r="DE10">
        <f>CX10+DD10+1.15*(SUM(CI10:CL10)+SUM(CB10:CE10))</f>
        <v>10215295.410078544</v>
      </c>
      <c r="DF10">
        <f t="shared" si="15"/>
        <v>681019.69400523626</v>
      </c>
      <c r="DG10">
        <f>(BS10+BT10)*'Oxidant Feed Composition'!$N$29*60*7200</f>
        <v>11620204.175108468</v>
      </c>
      <c r="DH10">
        <f>((CG10+CH10)*'Reagent cost'!$C$17/1000*'Reagent cost'!$H$17+(CG10+CH10)*0.5*'Reagent cost'!$C$16/1000*'Reagent cost'!$H$16*0.5)*60*7200</f>
        <v>3933978.0560754198</v>
      </c>
      <c r="DI10">
        <f>CF10*'Reagent cost'!$C$17/1000*'Reagent cost'!$H$17*60*7200</f>
        <v>504921.59999999998</v>
      </c>
      <c r="DJ10">
        <f t="shared" si="16"/>
        <v>98.596239593061114</v>
      </c>
      <c r="DK10">
        <f t="shared" si="17"/>
        <v>1196.5235457046965</v>
      </c>
      <c r="DL10">
        <f t="shared" si="18"/>
        <v>19272478.741163023</v>
      </c>
      <c r="DM10">
        <f>BK10*(B10*(409.81+2)/1000+C10*(248.2+2*22.99)/1000+D10*(315.6+3*22.99)/1000+0.1*58.44/1000)</f>
        <v>0.70639694042110623</v>
      </c>
      <c r="DN10">
        <f>(BS10+BT10)/1000*('Oxidant Feed Composition'!$B$11*'Oxidant Feed Composition'!$O$20+'Oxidant Feed Composition'!$D$11*'Oxidant Feed Composition'!$O$21+'Oxidant Feed Composition'!$F$11*'Oxidant Feed Composition'!$O$27-'Oxidant Feed Composition'!$J$15*18.015)</f>
        <v>2.7202603526393925</v>
      </c>
      <c r="DO10">
        <f>(BU10+BV10)/1000*(0.2*368.34+0.4*58.44)</f>
        <v>1.88370356828008</v>
      </c>
      <c r="DP10">
        <f>BK10/1000*(B10*195.08+C10*106.42+D10*102.91)</f>
        <v>4.999938342565946E-2</v>
      </c>
      <c r="DQ10">
        <f>SUM(DM10:DO10)-DP10</f>
        <v>5.2603614779149188</v>
      </c>
      <c r="DR10">
        <f>DQ10*60*7200*0.33</f>
        <v>749917.13229155098</v>
      </c>
      <c r="DS10">
        <v>1.2</v>
      </c>
      <c r="DT10">
        <f>BM10/60*(AM10*4+AN10*2+AO10*3)*96485/DV10</f>
        <v>1410.0873571085197</v>
      </c>
      <c r="DU10">
        <f>BN10*BA10*(AP10*4+AQ10*2+AR10*3)*96485/DV10/60</f>
        <v>712.11789511644781</v>
      </c>
      <c r="DV10">
        <v>0.7</v>
      </c>
      <c r="DW10">
        <f>0.499*((BK10/3.78541*15)^(-0.146))*BK10/3.78541*15*300*(1+(A10-2)/9)</f>
        <v>27520.276190787874</v>
      </c>
      <c r="DX10">
        <f>0.248*((BK10/3.78541*15)^(-0.144))*BK10/3.78541*15*300*(1+(A10-2)/3)</f>
        <v>16610.439588917834</v>
      </c>
      <c r="DY10">
        <f>0.105*((BK10/3.78541*15)^(-0.144))*BK10/3.78541*15*300*(1+(A10-2)/3)</f>
        <v>7032.645793695051</v>
      </c>
      <c r="DZ10">
        <f>0.058*((BK10/3.78541*15)^(-0.151))*BK10/3.78541*15*300*(1+(A10-2)/3)</f>
        <v>3725.3886787897172</v>
      </c>
      <c r="EA10">
        <f>0.056*((BK10/3.78541*15)^(-0.144))*BK10/3.78541*15*300*(1+(A10-2)/3)</f>
        <v>3750.7444233040283</v>
      </c>
      <c r="EB10">
        <f>DS10*DT10/(3.6*10^6)*3600*7200*0.07</f>
        <v>852.82083357923284</v>
      </c>
      <c r="EC10">
        <f>0.499*((BM10/3.78541*15)^(-0.146))*BM10/3.78541*15*300*(1+(AF10-2)/9)</f>
        <v>49002.992271326162</v>
      </c>
      <c r="ED10">
        <f>0.248*((BM10/3.78541*15)^(-0.144))*BM10/3.78541*15*300*(1+(AF10-2)/3)</f>
        <v>50584.177637814377</v>
      </c>
      <c r="EE10">
        <f>0.105*((BM10/3.78541*15)^(-0.144))*BM10/3.78541*15*300*(1+(AF10-2)/3)</f>
        <v>21416.688112784312</v>
      </c>
      <c r="EF10">
        <f>0.058*((BM10/3.78541*15)^(-0.151))*BM10/3.78541*15*300*(1+(AF10-2)/3)</f>
        <v>11351.053562440606</v>
      </c>
      <c r="EG10">
        <f>0.056*((BM10/3.78541*15)^(-0.144))*BM10/3.78541*15*300*(1+(AF10-2)/3)</f>
        <v>11422.233660151634</v>
      </c>
      <c r="EH10">
        <f>DS10*DU10/(3.6*10^6)*3600*7200*0.07</f>
        <v>430.68890296642769</v>
      </c>
      <c r="EI10">
        <f>SUM(DW10:EH10)</f>
        <v>203700.14965655727</v>
      </c>
      <c r="EJ10">
        <f>EI10+DR10+DL10</f>
        <v>20226096.023111131</v>
      </c>
      <c r="EK10">
        <f>EJ10+DF10</f>
        <v>20907115.717116367</v>
      </c>
      <c r="EL10">
        <f>EK10/(BK10*60*7200)</f>
        <v>0.48396101197028629</v>
      </c>
      <c r="EM10">
        <f>EK10/(BM10*(AM10*195.084/1000+AN10*106.42/1000+AO10*102.911/1000)*60*7200)</f>
        <v>1618.1195194144061</v>
      </c>
      <c r="EN10">
        <f>EK10/(BN10*BA10*(AP10*195.084/1000+AQ10*106.42/1000+AR10*102.911/1000)*60*7200)</f>
        <v>2945.1605870141066</v>
      </c>
    </row>
    <row r="11" spans="1:144">
      <c r="A11">
        <f>'Costing 100 Lmin Feed Orig'!A11</f>
        <v>3</v>
      </c>
      <c r="B11">
        <f>'Costing 100 Lmin Feed Orig'!B11</f>
        <v>1.54143585092054E-3</v>
      </c>
      <c r="C11">
        <f>'Costing 100 Lmin Feed Orig'!C11</f>
        <v>1.54143585092054E-3</v>
      </c>
      <c r="D11">
        <f>'Costing 100 Lmin Feed Orig'!D11</f>
        <v>3.4254130020456501E-4</v>
      </c>
      <c r="E11">
        <f>'Costing 100 Lmin Feed Orig'!E11</f>
        <v>0</v>
      </c>
      <c r="F11">
        <f>'Costing 100 Lmin Feed Orig'!F11</f>
        <v>0</v>
      </c>
      <c r="G11">
        <f>'Costing 100 Lmin Feed Orig'!G11</f>
        <v>0</v>
      </c>
      <c r="H11">
        <f>'Costing 100 Lmin Feed Orig'!H11</f>
        <v>1.6300358850230801E-5</v>
      </c>
      <c r="I11">
        <f>'Costing 100 Lmin Feed Orig'!I11</f>
        <v>7.4474859607128495E-7</v>
      </c>
      <c r="J11">
        <f>'Costing 100 Lmin Feed Orig'!J11</f>
        <v>3.2385704147932398E-4</v>
      </c>
      <c r="K11">
        <f>'Costing 100 Lmin Feed Orig'!K11</f>
        <v>8.07271092797512E-2</v>
      </c>
      <c r="L11">
        <f>'Costing 100 Lmin Feed Orig'!L11</f>
        <v>8.15504849440159E-2</v>
      </c>
      <c r="M11">
        <f>'Costing 100 Lmin Feed Orig'!M11</f>
        <v>9.8897848995466706E-4</v>
      </c>
      <c r="N11">
        <f>'Costing 100 Lmin Feed Orig'!N11</f>
        <v>-9.8011876392689601E-17</v>
      </c>
      <c r="O11">
        <f>'Costing 100 Lmin Feed Orig'!O11</f>
        <v>1.94289029309402E-16</v>
      </c>
      <c r="P11">
        <f>'Costing 100 Lmin Feed Orig'!P11</f>
        <v>-4.3537493488870999E-18</v>
      </c>
      <c r="Q11">
        <f>'Costing 100 Lmin Feed Orig'!Q11</f>
        <v>0.18892482409907799</v>
      </c>
      <c r="R11">
        <f>'Costing 100 Lmin Feed Orig'!R11</f>
        <v>94.545399718491396</v>
      </c>
      <c r="S11">
        <f>'Costing 100 Lmin Feed Orig'!S11</f>
        <v>500</v>
      </c>
      <c r="T11">
        <f>'Costing 100 Lmin Feed Orig'!T11</f>
        <v>95</v>
      </c>
      <c r="U11">
        <f>'Costing 100 Lmin Feed Orig'!U11</f>
        <v>1</v>
      </c>
      <c r="V11">
        <f>'Costing 100 Lmin Feed Orig'!V11</f>
        <v>0.1</v>
      </c>
      <c r="W11">
        <f>'Costing 100 Lmin Feed Orig'!W11</f>
        <v>52.931106580020597</v>
      </c>
      <c r="X11" t="str">
        <f>'Costing 100 Lmin Feed Orig'!X11</f>
        <v>ddFc</v>
      </c>
      <c r="Y11">
        <f>'Costing 100 Lmin Feed Orig'!Y11</f>
        <v>1</v>
      </c>
      <c r="Z11">
        <f>'Costing 100 Lmin Feed Orig'!Z11</f>
        <v>0.28318429382522198</v>
      </c>
      <c r="AA11">
        <f>'Costing 100 Lmin Feed Orig'!AA11</f>
        <v>0.56945642916197003</v>
      </c>
      <c r="AB11">
        <f>'Costing 100 Lmin Feed Orig'!AB11</f>
        <v>3.7698628972227502E-3</v>
      </c>
      <c r="AC11">
        <f>'Costing 100 Lmin Feed Orig'!AC11</f>
        <v>1822.2107908876901</v>
      </c>
      <c r="AD11">
        <f>'Costing 100 Lmin Feed Orig'!AD11</f>
        <v>2662.6059073104898</v>
      </c>
      <c r="AE11">
        <f>'Costing 100 Lmin Feed Orig'!AE11</f>
        <v>2401.5030938442701</v>
      </c>
      <c r="AF11">
        <f>'Costing 100 Lmin Feed Orig'!AF11</f>
        <v>13</v>
      </c>
      <c r="AG11">
        <f>'Costing 100 Lmin Feed Orig'!AG11</f>
        <v>1.6455478770638001E-3</v>
      </c>
      <c r="AH11">
        <f>'Costing 100 Lmin Feed Orig'!AH11</f>
        <v>1.66233163271225E-3</v>
      </c>
      <c r="AI11">
        <f>'Costing 100 Lmin Feed Orig'!AI11</f>
        <v>2.0159416943409301E-5</v>
      </c>
      <c r="AJ11">
        <f>'Costing 100 Lmin Feed Orig'!AJ11</f>
        <v>0</v>
      </c>
      <c r="AK11">
        <f>'Costing 100 Lmin Feed Orig'!AK11</f>
        <v>0</v>
      </c>
      <c r="AL11">
        <f>'Costing 100 Lmin Feed Orig'!AL11</f>
        <v>0</v>
      </c>
      <c r="AM11">
        <f>'Costing 100 Lmin Feed Orig'!AM11</f>
        <v>1.60835348661086E-3</v>
      </c>
      <c r="AN11">
        <f>'Costing 100 Lmin Feed Orig'!AN11</f>
        <v>6.4624572349144705E-5</v>
      </c>
      <c r="AO11">
        <f>'Costing 100 Lmin Feed Orig'!AO11</f>
        <v>2.0025611156689701E-5</v>
      </c>
      <c r="AP11">
        <f>'Costing 100 Lmin Feed Orig'!AP11</f>
        <v>1.72976707272807E-3</v>
      </c>
      <c r="AQ11">
        <f>'Costing 100 Lmin Feed Orig'!AQ11</f>
        <v>7.43031686023614E-2</v>
      </c>
      <c r="AR11">
        <f>'Costing 100 Lmin Feed Orig'!AR11</f>
        <v>6.2227890063413899E-6</v>
      </c>
      <c r="AS11">
        <f>'Costing 100 Lmin Feed Orig'!AS11</f>
        <v>2.6305455209929499E-17</v>
      </c>
      <c r="AT11">
        <f>'Costing 100 Lmin Feed Orig'!AT11</f>
        <v>-2.1278551837200498E-15</v>
      </c>
      <c r="AU11">
        <f>'Costing 100 Lmin Feed Orig'!AU11</f>
        <v>-5.2939559203393696E-22</v>
      </c>
      <c r="AV11">
        <f>'Costing 100 Lmin Feed Orig'!AV11</f>
        <v>0.19929101787970099</v>
      </c>
      <c r="AW11">
        <f>'Costing 100 Lmin Feed Orig'!AW11</f>
        <v>99.336261623561896</v>
      </c>
      <c r="AX11">
        <f>'Costing 100 Lmin Feed Orig'!AX11</f>
        <v>500</v>
      </c>
      <c r="AY11">
        <f>'Costing 100 Lmin Feed Orig'!AY11</f>
        <v>95</v>
      </c>
      <c r="AZ11">
        <f>'Costing 100 Lmin Feed Orig'!AZ11</f>
        <v>0.92682535301965796</v>
      </c>
      <c r="BA11">
        <f>'Costing 100 Lmin Feed Orig'!BA11</f>
        <v>0.1</v>
      </c>
      <c r="BB11">
        <f>'Costing 100 Lmin Feed Orig'!BB11</f>
        <v>46.506127716158304</v>
      </c>
      <c r="BC11" t="str">
        <f>'Costing 100 Lmin Feed Orig'!BC11</f>
        <v>coeFc</v>
      </c>
      <c r="BD11">
        <f>'Costing 100 Lmin Feed Orig'!BD11</f>
        <v>1</v>
      </c>
      <c r="BE11">
        <f>'Costing 100 Lmin Feed Orig'!BE11</f>
        <v>1.8775014999999999E-2</v>
      </c>
      <c r="BF11">
        <f>'Costing 100 Lmin Feed Orig'!BF11</f>
        <v>0.10492961100000001</v>
      </c>
      <c r="BG11">
        <f>'Costing 100 Lmin Feed Orig'!BG11</f>
        <v>1.814625E-3</v>
      </c>
      <c r="BH11">
        <f>'Costing 100 Lmin Feed Orig'!BH11</f>
        <v>285.1951444</v>
      </c>
      <c r="BI11">
        <f>'Costing 100 Lmin Feed Orig'!BI11</f>
        <v>2169.8944889999998</v>
      </c>
      <c r="BJ11">
        <f>'Costing 100 Lmin Feed Orig'!BJ11</f>
        <v>866.49409060000005</v>
      </c>
      <c r="BK11">
        <f>'Costing 100 Lmin Feed Orig'!BK11</f>
        <v>100</v>
      </c>
      <c r="BL11">
        <f>'Costing 100 Lmin Feed Orig'!BL11</f>
        <v>18.892482409907799</v>
      </c>
      <c r="BM11">
        <f>'Costing 100 Lmin Feed Orig'!BM11</f>
        <v>92.6825353019658</v>
      </c>
      <c r="BN11">
        <f>'Costing 100 Lmin Feed Orig'!BN11</f>
        <v>19.929101787970101</v>
      </c>
      <c r="BO11">
        <f t="shared" si="1"/>
        <v>188.92482409907799</v>
      </c>
      <c r="BP11">
        <f t="shared" si="2"/>
        <v>597.87305363910298</v>
      </c>
      <c r="BQ11">
        <f t="shared" si="3"/>
        <v>18.892482409907799</v>
      </c>
      <c r="BR11">
        <f t="shared" si="4"/>
        <v>59.787305363910299</v>
      </c>
      <c r="BS11">
        <f>1.2*0.5*BL11*V11/'Oxidant Feed Composition'!$N$22</f>
        <v>11.335489445944679</v>
      </c>
      <c r="BT11">
        <f>1.2*0.5*BN11*BA11/'Oxidant Feed Composition'!$N$22</f>
        <v>11.95746107278206</v>
      </c>
      <c r="BU11">
        <f t="shared" si="5"/>
        <v>9.4462412049538997</v>
      </c>
      <c r="BV11">
        <f t="shared" si="6"/>
        <v>9.9645508939850505</v>
      </c>
      <c r="BW11">
        <f t="shared" si="7"/>
        <v>83.236294097011893</v>
      </c>
      <c r="BX11">
        <f t="shared" si="0"/>
        <v>60.455943711704961</v>
      </c>
      <c r="BY11">
        <f t="shared" si="8"/>
        <v>223.1500354237472</v>
      </c>
      <c r="BZ11">
        <f t="shared" si="9"/>
        <v>63.773125721504321</v>
      </c>
      <c r="CA11">
        <f t="shared" si="10"/>
        <v>59.787305363910306</v>
      </c>
      <c r="CB11">
        <f>BO11*'Reagent cost'!$G$11*'Reagent cost'!$H$11</f>
        <v>2493.8076781078298</v>
      </c>
      <c r="CC11">
        <f>BP11*'Reagent cost'!$G$11*'Reagent cost'!$H$11</f>
        <v>7891.9243080361593</v>
      </c>
      <c r="CD11">
        <f>BQ11*'Reagent cost'!$C$18/1000*'Reagent cost'!$H$18</f>
        <v>3012.9816471142385</v>
      </c>
      <c r="CE11">
        <f>BR11*'Ligand cost'!$B$56*'Ligand cost'!$J$56</f>
        <v>60871.113608708845</v>
      </c>
      <c r="CF11">
        <f t="shared" si="11"/>
        <v>10</v>
      </c>
      <c r="CG11">
        <f t="shared" si="12"/>
        <v>3.7784964819815601</v>
      </c>
      <c r="CH11">
        <f t="shared" si="12"/>
        <v>3.9858203575940205</v>
      </c>
      <c r="CI11">
        <f>7963.6*(BX11/1000)^0.6*1.7*('CAPEX+OPEX'!$G$116/'CAPEX+OPEX'!$G$115)</f>
        <v>2965.5437179814326</v>
      </c>
      <c r="CJ11">
        <f>7963.6*(BY11/1000)^0.6*1.7*('CAPEX+OPEX'!$G$116/'CAPEX+OPEX'!$G$115)</f>
        <v>6492.3078360569407</v>
      </c>
      <c r="CK11">
        <f>7963.6*(BZ11/1000)^0.6*1.7*('CAPEX+OPEX'!$G$116/'CAPEX+OPEX'!$G$115)</f>
        <v>3062.1294762203861</v>
      </c>
      <c r="CL11">
        <f>7963.6*(CA11/1000)^0.6*1.7*('CAPEX+OPEX'!$G$116/'CAPEX+OPEX'!$G$115)</f>
        <v>2945.8207427435282</v>
      </c>
      <c r="CM11">
        <f>'Costing 100 Lmin Feed Orig'!DE11</f>
        <v>39625.826528698344</v>
      </c>
      <c r="CN11">
        <f>'Costing 100 Lmin Feed Orig'!DF11</f>
        <v>4586243.4239371875</v>
      </c>
      <c r="CO11">
        <f>'Costing 100 Lmin Feed Orig'!DG11</f>
        <v>11794834.586807497</v>
      </c>
      <c r="CP11">
        <f>'Costing 100 Lmin Feed Orig'!DH11</f>
        <v>2275209.1661185985</v>
      </c>
      <c r="CQ11">
        <f>'Costing 100 Lmin Feed Orig'!DI11</f>
        <v>14083914.336508472</v>
      </c>
      <c r="CR11">
        <f>'Costing 100 Lmin Feed Orig'!DJ11</f>
        <v>1662824.8986326549</v>
      </c>
      <c r="CS11">
        <f>CN11*(BK11/10000)^0.72*((A11+1)/3)^0.6*('CAPEX+OPEX'!$G$116/'CAPEX+OPEX'!$G$114)</f>
        <v>461850.0978118488</v>
      </c>
      <c r="CT11">
        <f>CO11*(BK11/10000)^0.72*((A11+1)/3)^0.6*('CAPEX+OPEX'!$G$116/'CAPEX+OPEX'!$G$114)</f>
        <v>1187779.4098672394</v>
      </c>
      <c r="CU11">
        <f>CP11*(BK11/10000)^0.72*((A11+1)/3)^0.6*('CAPEX+OPEX'!$G$116/'CAPEX+OPEX'!$G$114)</f>
        <v>229121.19544936769</v>
      </c>
      <c r="CV11">
        <f>CQ11*(BK11/10000)^0.72*((A11+1)/3)^0.6*('CAPEX+OPEX'!$G$116/'CAPEX+OPEX'!$G$114)</f>
        <v>1418297.4196136401</v>
      </c>
      <c r="CW11">
        <f>CR11*(BK11/10000)^0.72*((A11+1)/3)^0.6*('CAPEX+OPEX'!$G$116/'CAPEX+OPEX'!$G$114)</f>
        <v>167452.04540804314</v>
      </c>
      <c r="CX11">
        <f t="shared" si="13"/>
        <v>3464500.168150139</v>
      </c>
      <c r="CY11">
        <f>CN11*(BM11/10000)^0.72*((AF11+1)/3)^0.6*('CAPEX+OPEX'!$G$116/'CAPEX+OPEX'!$G$114)</f>
        <v>927214.80686572916</v>
      </c>
      <c r="CZ11">
        <f>CO11*(BM11/10000)^0.72*((AF11+1)/3)^0.6*('CAPEX+OPEX'!$G$116/'CAPEX+OPEX'!$G$114)</f>
        <v>2384597.6461561932</v>
      </c>
      <c r="DA11">
        <f>CP11*(BM11/10000)^0.72*((AF11+1)/3)^0.6*('CAPEX+OPEX'!$G$116/'CAPEX+OPEX'!$G$114)</f>
        <v>459985.96946054435</v>
      </c>
      <c r="DB11">
        <f>CQ11*(BM11/10000)^0.72*((AF11+1)/3)^0.6*('CAPEX+OPEX'!$G$116/'CAPEX+OPEX'!$G$114)</f>
        <v>2847387.873761938</v>
      </c>
      <c r="DC11">
        <f>CR11*(BM11/10000)^0.72*((AF11+1)/3)^0.6*('CAPEX+OPEX'!$G$116/'CAPEX+OPEX'!$G$114)</f>
        <v>336178.3762261807</v>
      </c>
      <c r="DD11">
        <f t="shared" si="14"/>
        <v>6955364.6724705845</v>
      </c>
      <c r="DE11">
        <f>CX11+DD11+1.15*(SUM(CI11:CL11)+SUM(CB11:CE11))</f>
        <v>10523060.813987937</v>
      </c>
      <c r="DF11">
        <f t="shared" si="15"/>
        <v>701537.38759919582</v>
      </c>
      <c r="DG11">
        <f>(BS11+BT11)*'Oxidant Feed Composition'!$N$29*60*7200</f>
        <v>11620187.767125955</v>
      </c>
      <c r="DH11">
        <f>((CG11+CH11)*'Reagent cost'!$C$17/1000*'Reagent cost'!$H$17+(CG11+CH11)*0.5*'Reagent cost'!$C$16/1000*'Reagent cost'!$H$16*0.5)*60*7200</f>
        <v>3933972.5012123398</v>
      </c>
      <c r="DI11">
        <f>CF11*'Reagent cost'!$C$17/1000*'Reagent cost'!$H$17*60*7200</f>
        <v>504921.59999999998</v>
      </c>
      <c r="DJ11">
        <f t="shared" si="16"/>
        <v>103.8573198614399</v>
      </c>
      <c r="DK11">
        <f t="shared" si="17"/>
        <v>1277.6819051164618</v>
      </c>
      <c r="DL11">
        <f t="shared" si="18"/>
        <v>19272556.089075927</v>
      </c>
      <c r="DM11">
        <f>BK11*(B11*(409.81+2)/1000+C11*(248.2+2*22.99)/1000+D11*(315.6+3*22.99)/1000+0.1*58.44/1000)</f>
        <v>0.70639694042110623</v>
      </c>
      <c r="DN11">
        <f>(BS11+BT11)/1000*('Oxidant Feed Composition'!$B$11*'Oxidant Feed Composition'!$O$20+'Oxidant Feed Composition'!$D$11*'Oxidant Feed Composition'!$O$21+'Oxidant Feed Composition'!$F$11*'Oxidant Feed Composition'!$O$27-'Oxidant Feed Composition'!$J$15*18.015)</f>
        <v>2.7202565115722632</v>
      </c>
      <c r="DO11">
        <f>(BU11+BV11)/1000*(0.2*368.34+0.4*58.44)</f>
        <v>1.8837009084494312</v>
      </c>
      <c r="DP11">
        <f>BK11/1000*(B11*195.08+C11*106.42+D11*102.91)</f>
        <v>4.999938342565946E-2</v>
      </c>
      <c r="DQ11">
        <f>SUM(DM11:DO11)-DP11</f>
        <v>5.2603549770171405</v>
      </c>
      <c r="DR11">
        <f>DQ11*60*7200*0.33</f>
        <v>749916.20552356355</v>
      </c>
      <c r="DS11">
        <v>1.2</v>
      </c>
      <c r="DT11">
        <f>BM11/60*(AM11*4+AN11*2+AO11*3)*96485/DV11</f>
        <v>1410.0876751654584</v>
      </c>
      <c r="DU11">
        <f>BN11*BA11*(AP11*4+AQ11*2+AR11*3)*96485/DV11/60</f>
        <v>712.11757706046228</v>
      </c>
      <c r="DV11">
        <v>0.7</v>
      </c>
      <c r="DW11">
        <f>0.499*((BK11/3.78541*15)^(-0.146))*BK11/3.78541*15*300*(1+(A11-2)/9)</f>
        <v>27520.276190787874</v>
      </c>
      <c r="DX11">
        <f>0.248*((BK11/3.78541*15)^(-0.144))*BK11/3.78541*15*300*(1+(A11-2)/3)</f>
        <v>16610.439588917834</v>
      </c>
      <c r="DY11">
        <f>0.105*((BK11/3.78541*15)^(-0.144))*BK11/3.78541*15*300*(1+(A11-2)/3)</f>
        <v>7032.645793695051</v>
      </c>
      <c r="DZ11">
        <f>0.058*((BK11/3.78541*15)^(-0.151))*BK11/3.78541*15*300*(1+(A11-2)/3)</f>
        <v>3725.3886787897172</v>
      </c>
      <c r="EA11">
        <f>0.056*((BK11/3.78541*15)^(-0.144))*BK11/3.78541*15*300*(1+(A11-2)/3)</f>
        <v>3750.7444233040283</v>
      </c>
      <c r="EB11">
        <f>DS11*DT11/(3.6*10^6)*3600*7200*0.07</f>
        <v>852.82102594006926</v>
      </c>
      <c r="EC11">
        <f>0.499*((BM11/3.78541*15)^(-0.146))*BM11/3.78541*15*300*(1+(AF11-2)/9)</f>
        <v>51582.09712771175</v>
      </c>
      <c r="ED11">
        <f>0.248*((BM11/3.78541*15)^(-0.144))*BM11/3.78541*15*300*(1+(AF11-2)/3)</f>
        <v>54475.26822533855</v>
      </c>
      <c r="EE11">
        <f>0.105*((BM11/3.78541*15)^(-0.144))*BM11/3.78541*15*300*(1+(AF11-2)/3)</f>
        <v>23064.125659921559</v>
      </c>
      <c r="EF11">
        <f>0.058*((BM11/3.78541*15)^(-0.151))*BM11/3.78541*15*300*(1+(AF11-2)/3)</f>
        <v>12224.211528782187</v>
      </c>
      <c r="EG11">
        <f>0.056*((BM11/3.78541*15)^(-0.144))*BM11/3.78541*15*300*(1+(AF11-2)/3)</f>
        <v>12300.867018624835</v>
      </c>
      <c r="EH11">
        <f>DS11*DU11/(3.6*10^6)*3600*7200*0.07</f>
        <v>430.6887106061676</v>
      </c>
      <c r="EI11">
        <f>SUM(DW11:EH11)</f>
        <v>213569.57397241963</v>
      </c>
      <c r="EJ11">
        <f>EI11+DR11+DL11</f>
        <v>20236041.868571911</v>
      </c>
      <c r="EK11">
        <f>EJ11+DF11</f>
        <v>20937579.256171107</v>
      </c>
      <c r="EL11">
        <f>EK11/(BK11*60*7200)</f>
        <v>0.4846661864854423</v>
      </c>
      <c r="EM11">
        <f>EK11/(BM11*(AM11*195.084/1000+AN11*106.42/1000+AO11*102.911/1000)*60*7200)</f>
        <v>1620.4768980261597</v>
      </c>
      <c r="EN11">
        <f>EK11/(BN11*BA11*(AP11*195.084/1000+AQ11*106.42/1000+AR11*102.911/1000)*60*7200)</f>
        <v>2949.4531633322604</v>
      </c>
    </row>
    <row r="12" spans="1:144">
      <c r="A12">
        <f>'Costing 100 Lmin Feed Orig'!A12</f>
        <v>4</v>
      </c>
      <c r="B12">
        <f>'Costing 100 Lmin Feed Orig'!B12</f>
        <v>1.54143585092054E-3</v>
      </c>
      <c r="C12">
        <f>'Costing 100 Lmin Feed Orig'!C12</f>
        <v>1.54143585092054E-3</v>
      </c>
      <c r="D12">
        <f>'Costing 100 Lmin Feed Orig'!D12</f>
        <v>3.4254130020456501E-4</v>
      </c>
      <c r="E12">
        <f>'Costing 100 Lmin Feed Orig'!E12</f>
        <v>0</v>
      </c>
      <c r="F12">
        <f>'Costing 100 Lmin Feed Orig'!F12</f>
        <v>0</v>
      </c>
      <c r="G12">
        <f>'Costing 100 Lmin Feed Orig'!G12</f>
        <v>0</v>
      </c>
      <c r="H12">
        <f>'Costing 100 Lmin Feed Orig'!H12</f>
        <v>1.7208960911287699E-5</v>
      </c>
      <c r="I12">
        <f>'Costing 100 Lmin Feed Orig'!I12</f>
        <v>2.8768784818324402E-7</v>
      </c>
      <c r="J12">
        <f>'Costing 100 Lmin Feed Orig'!J12</f>
        <v>3.3243632642994598E-4</v>
      </c>
      <c r="K12">
        <f>'Costing 100 Lmin Feed Orig'!K12</f>
        <v>0.10920586178936199</v>
      </c>
      <c r="L12">
        <f>'Costing 100 Lmin Feed Orig'!L12</f>
        <v>0.110418215553449</v>
      </c>
      <c r="M12">
        <f>'Costing 100 Lmin Feed Orig'!M12</f>
        <v>7.2398825703009801E-4</v>
      </c>
      <c r="N12">
        <f>'Costing 100 Lmin Feed Orig'!N12</f>
        <v>-2.168404344971E-18</v>
      </c>
      <c r="O12">
        <f>'Costing 100 Lmin Feed Orig'!O12</f>
        <v>2.3635607360183901E-17</v>
      </c>
      <c r="P12">
        <f>'Costing 100 Lmin Feed Orig'!P12</f>
        <v>-7.4538899358378406E-20</v>
      </c>
      <c r="Q12">
        <f>'Costing 100 Lmin Feed Orig'!Q12</f>
        <v>0.13957372480144001</v>
      </c>
      <c r="R12">
        <f>'Costing 100 Lmin Feed Orig'!R12</f>
        <v>97.0499984181222</v>
      </c>
      <c r="S12">
        <f>'Costing 100 Lmin Feed Orig'!S12</f>
        <v>500</v>
      </c>
      <c r="T12">
        <f>'Costing 100 Lmin Feed Orig'!T12</f>
        <v>95</v>
      </c>
      <c r="U12">
        <f>'Costing 100 Lmin Feed Orig'!U12</f>
        <v>1</v>
      </c>
      <c r="V12">
        <f>'Costing 100 Lmin Feed Orig'!V12</f>
        <v>0.1</v>
      </c>
      <c r="W12">
        <f>'Costing 100 Lmin Feed Orig'!W12</f>
        <v>71.646723007687299</v>
      </c>
      <c r="X12" t="str">
        <f>'Costing 100 Lmin Feed Orig'!X12</f>
        <v>ddFc</v>
      </c>
      <c r="Y12">
        <f>'Costing 100 Lmin Feed Orig'!Y12</f>
        <v>1</v>
      </c>
      <c r="Z12">
        <f>'Costing 100 Lmin Feed Orig'!Z12</f>
        <v>0.28318429382522198</v>
      </c>
      <c r="AA12">
        <f>'Costing 100 Lmin Feed Orig'!AA12</f>
        <v>0.56945642916197003</v>
      </c>
      <c r="AB12">
        <f>'Costing 100 Lmin Feed Orig'!AB12</f>
        <v>3.7698628972227502E-3</v>
      </c>
      <c r="AC12">
        <f>'Costing 100 Lmin Feed Orig'!AC12</f>
        <v>1822.2107908876901</v>
      </c>
      <c r="AD12">
        <f>'Costing 100 Lmin Feed Orig'!AD12</f>
        <v>2662.6059073104898</v>
      </c>
      <c r="AE12">
        <f>'Costing 100 Lmin Feed Orig'!AE12</f>
        <v>2401.5030938442701</v>
      </c>
      <c r="AF12">
        <f>'Costing 100 Lmin Feed Orig'!AF12</f>
        <v>4</v>
      </c>
      <c r="AG12">
        <f>'Costing 100 Lmin Feed Orig'!AG12</f>
        <v>1.6481650483119699E-3</v>
      </c>
      <c r="AH12">
        <f>'Costing 100 Lmin Feed Orig'!AH12</f>
        <v>1.6664622263884801E-3</v>
      </c>
      <c r="AI12">
        <f>'Costing 100 Lmin Feed Orig'!AI12</f>
        <v>1.0926630870116399E-5</v>
      </c>
      <c r="AJ12">
        <f>'Costing 100 Lmin Feed Orig'!AJ12</f>
        <v>0</v>
      </c>
      <c r="AK12">
        <f>'Costing 100 Lmin Feed Orig'!AK12</f>
        <v>0</v>
      </c>
      <c r="AL12">
        <f>'Costing 100 Lmin Feed Orig'!AL12</f>
        <v>0</v>
      </c>
      <c r="AM12">
        <f>'Costing 100 Lmin Feed Orig'!AM12</f>
        <v>1.6024673892141501E-3</v>
      </c>
      <c r="AN12">
        <f>'Costing 100 Lmin Feed Orig'!AN12</f>
        <v>7.3502024125801294E-5</v>
      </c>
      <c r="AO12">
        <f>'Costing 100 Lmin Feed Orig'!AO12</f>
        <v>1.0838364815948499E-5</v>
      </c>
      <c r="AP12">
        <f>'Costing 100 Lmin Feed Orig'!AP12</f>
        <v>2.0055299493415999E-3</v>
      </c>
      <c r="AQ12">
        <f>'Costing 100 Lmin Feed Orig'!AQ12</f>
        <v>6.9910132309146902E-2</v>
      </c>
      <c r="AR12">
        <f>'Costing 100 Lmin Feed Orig'!AR12</f>
        <v>3.8737261084868501E-6</v>
      </c>
      <c r="AS12">
        <f>'Costing 100 Lmin Feed Orig'!AS12</f>
        <v>-3.2526065174565099E-19</v>
      </c>
      <c r="AT12">
        <f>'Costing 100 Lmin Feed Orig'!AT12</f>
        <v>2.6020852139652099E-18</v>
      </c>
      <c r="AU12">
        <f>'Costing 100 Lmin Feed Orig'!AU12</f>
        <v>7.9409338805090598E-23</v>
      </c>
      <c r="AV12">
        <f>'Costing 100 Lmin Feed Orig'!AV12</f>
        <v>0.21072386371722801</v>
      </c>
      <c r="AW12">
        <f>'Costing 100 Lmin Feed Orig'!AW12</f>
        <v>99.192193319083202</v>
      </c>
      <c r="AX12">
        <f>'Costing 100 Lmin Feed Orig'!AX12</f>
        <v>500</v>
      </c>
      <c r="AY12">
        <f>'Costing 100 Lmin Feed Orig'!AY12</f>
        <v>95</v>
      </c>
      <c r="AZ12">
        <f>'Costing 100 Lmin Feed Orig'!AZ12</f>
        <v>0.92480233795174105</v>
      </c>
      <c r="BA12">
        <f>'Costing 100 Lmin Feed Orig'!BA12</f>
        <v>0.1</v>
      </c>
      <c r="BB12">
        <f>'Costing 100 Lmin Feed Orig'!BB12</f>
        <v>43.8869296356837</v>
      </c>
      <c r="BC12" t="str">
        <f>'Costing 100 Lmin Feed Orig'!BC12</f>
        <v>coeFc</v>
      </c>
      <c r="BD12">
        <f>'Costing 100 Lmin Feed Orig'!BD12</f>
        <v>1</v>
      </c>
      <c r="BE12">
        <f>'Costing 100 Lmin Feed Orig'!BE12</f>
        <v>1.8775014999999999E-2</v>
      </c>
      <c r="BF12">
        <f>'Costing 100 Lmin Feed Orig'!BF12</f>
        <v>0.10492961100000001</v>
      </c>
      <c r="BG12">
        <f>'Costing 100 Lmin Feed Orig'!BG12</f>
        <v>1.814625E-3</v>
      </c>
      <c r="BH12">
        <f>'Costing 100 Lmin Feed Orig'!BH12</f>
        <v>285.1951444</v>
      </c>
      <c r="BI12">
        <f>'Costing 100 Lmin Feed Orig'!BI12</f>
        <v>2169.8944889999998</v>
      </c>
      <c r="BJ12">
        <f>'Costing 100 Lmin Feed Orig'!BJ12</f>
        <v>866.49409060000005</v>
      </c>
      <c r="BK12">
        <f>'Costing 100 Lmin Feed Orig'!BK12</f>
        <v>100</v>
      </c>
      <c r="BL12">
        <f>'Costing 100 Lmin Feed Orig'!BL12</f>
        <v>13.957372480144</v>
      </c>
      <c r="BM12">
        <f>'Costing 100 Lmin Feed Orig'!BM12</f>
        <v>92.480233795174101</v>
      </c>
      <c r="BN12">
        <f>'Costing 100 Lmin Feed Orig'!BN12</f>
        <v>21.0723863717228</v>
      </c>
      <c r="BO12">
        <f t="shared" si="1"/>
        <v>167.488469761728</v>
      </c>
      <c r="BP12">
        <f t="shared" si="2"/>
        <v>252.8686364606736</v>
      </c>
      <c r="BQ12">
        <f t="shared" si="3"/>
        <v>16.7488469761728</v>
      </c>
      <c r="BR12">
        <f t="shared" si="4"/>
        <v>25.28686364606736</v>
      </c>
      <c r="BS12">
        <f>1.2*0.5*BL12*V12/'Oxidant Feed Composition'!$N$22</f>
        <v>8.3744234880863999</v>
      </c>
      <c r="BT12">
        <f>1.2*0.5*BN12*BA12/'Oxidant Feed Composition'!$N$22</f>
        <v>12.643431823033682</v>
      </c>
      <c r="BU12">
        <f t="shared" si="5"/>
        <v>6.9786862400720002</v>
      </c>
      <c r="BV12">
        <f t="shared" si="6"/>
        <v>10.5361931858614</v>
      </c>
      <c r="BW12">
        <f t="shared" si="7"/>
        <v>85.501547555102107</v>
      </c>
      <c r="BX12">
        <f t="shared" si="0"/>
        <v>44.663591936460804</v>
      </c>
      <c r="BY12">
        <f t="shared" si="8"/>
        <v>212.87521255063621</v>
      </c>
      <c r="BZ12">
        <f t="shared" si="9"/>
        <v>67.43163638951296</v>
      </c>
      <c r="CA12">
        <f t="shared" si="10"/>
        <v>63.2171591151684</v>
      </c>
      <c r="CB12">
        <f>BO12*'Reagent cost'!$G$11*'Reagent cost'!$H$11</f>
        <v>2210.8478008548095</v>
      </c>
      <c r="CC12">
        <f>BP12*'Reagent cost'!$G$11*'Reagent cost'!$H$11</f>
        <v>3337.8660012808914</v>
      </c>
      <c r="CD12">
        <f>BQ12*'Reagent cost'!$C$18/1000*'Reagent cost'!$H$18</f>
        <v>2671.1136977461792</v>
      </c>
      <c r="CE12">
        <f>BR12*'Ligand cost'!$B$56*'Ligand cost'!$J$56</f>
        <v>25745.25713173945</v>
      </c>
      <c r="CF12">
        <f t="shared" si="11"/>
        <v>10</v>
      </c>
      <c r="CG12">
        <f t="shared" si="12"/>
        <v>2.7914744960288003</v>
      </c>
      <c r="CH12">
        <f t="shared" si="12"/>
        <v>4.21447727434456</v>
      </c>
      <c r="CI12">
        <f>7963.6*(BX12/1000)^0.6*1.7*('CAPEX+OPEX'!$G$116/'CAPEX+OPEX'!$G$115)</f>
        <v>2472.9373618126128</v>
      </c>
      <c r="CJ12">
        <f>7963.6*(BY12/1000)^0.6*1.7*('CAPEX+OPEX'!$G$116/'CAPEX+OPEX'!$G$115)</f>
        <v>6311.2587327211604</v>
      </c>
      <c r="CK12">
        <f>7963.6*(BZ12/1000)^0.6*1.7*('CAPEX+OPEX'!$G$116/'CAPEX+OPEX'!$G$115)</f>
        <v>3166.3516645760283</v>
      </c>
      <c r="CL12">
        <f>7963.6*(CA12/1000)^0.6*1.7*('CAPEX+OPEX'!$G$116/'CAPEX+OPEX'!$G$115)</f>
        <v>3046.0842641577597</v>
      </c>
      <c r="CM12">
        <f>'Costing 100 Lmin Feed Orig'!DE12</f>
        <v>39625.826528698344</v>
      </c>
      <c r="CN12">
        <f>'Costing 100 Lmin Feed Orig'!DF12</f>
        <v>4586243.4239371875</v>
      </c>
      <c r="CO12">
        <f>'Costing 100 Lmin Feed Orig'!DG12</f>
        <v>11794834.586807497</v>
      </c>
      <c r="CP12">
        <f>'Costing 100 Lmin Feed Orig'!DH12</f>
        <v>2275209.1661185985</v>
      </c>
      <c r="CQ12">
        <f>'Costing 100 Lmin Feed Orig'!DI12</f>
        <v>14083914.336508472</v>
      </c>
      <c r="CR12">
        <f>'Costing 100 Lmin Feed Orig'!DJ12</f>
        <v>1662824.8986326549</v>
      </c>
      <c r="CS12">
        <f>CN12*(BK12/10000)^0.72*((A12+1)/3)^0.6*('CAPEX+OPEX'!$G$116/'CAPEX+OPEX'!$G$114)</f>
        <v>528015.95740622084</v>
      </c>
      <c r="CT12">
        <f>CO12*(BK12/10000)^0.72*((A12+1)/3)^0.6*('CAPEX+OPEX'!$G$116/'CAPEX+OPEX'!$G$114)</f>
        <v>1357943.8117688675</v>
      </c>
      <c r="CU12">
        <f>CP12*(BK12/10000)^0.72*((A12+1)/3)^0.6*('CAPEX+OPEX'!$G$116/'CAPEX+OPEX'!$G$114)</f>
        <v>261945.7004565605</v>
      </c>
      <c r="CV12">
        <f>CQ12*(BK12/10000)^0.72*((A12+1)/3)^0.6*('CAPEX+OPEX'!$G$116/'CAPEX+OPEX'!$G$114)</f>
        <v>1621486.4378120217</v>
      </c>
      <c r="CW12">
        <f>CR12*(BK12/10000)^0.72*((A12+1)/3)^0.6*('CAPEX+OPEX'!$G$116/'CAPEX+OPEX'!$G$114)</f>
        <v>191441.6658016555</v>
      </c>
      <c r="CX12">
        <f t="shared" si="13"/>
        <v>3960833.5732453261</v>
      </c>
      <c r="CY12">
        <f>CN12*(BM12/10000)^0.72*((AF12+1)/3)^0.6*('CAPEX+OPEX'!$G$116/'CAPEX+OPEX'!$G$114)</f>
        <v>499116.89330887963</v>
      </c>
      <c r="CZ12">
        <f>CO12*(BM12/10000)^0.72*((AF12+1)/3)^0.6*('CAPEX+OPEX'!$G$116/'CAPEX+OPEX'!$G$114)</f>
        <v>1283621.6161866134</v>
      </c>
      <c r="DA12">
        <f>CP12*(BM12/10000)^0.72*((AF12+1)/3)^0.6*('CAPEX+OPEX'!$G$116/'CAPEX+OPEX'!$G$114)</f>
        <v>247609.03982853101</v>
      </c>
      <c r="DB12">
        <f>CQ12*(BM12/10000)^0.72*((AF12+1)/3)^0.6*('CAPEX+OPEX'!$G$116/'CAPEX+OPEX'!$G$114)</f>
        <v>1532740.1795938283</v>
      </c>
      <c r="DC12">
        <f>CR12*(BM12/10000)^0.72*((AF12+1)/3)^0.6*('CAPEX+OPEX'!$G$116/'CAPEX+OPEX'!$G$114)</f>
        <v>180963.79123498313</v>
      </c>
      <c r="DD12">
        <f t="shared" si="14"/>
        <v>3744051.5201528352</v>
      </c>
      <c r="DE12">
        <f>CX12+DD12+1.15*(SUM(CI12:CL12)+SUM(CB12:CE12))</f>
        <v>7761191.0675512832</v>
      </c>
      <c r="DF12">
        <f t="shared" si="15"/>
        <v>517412.7378367522</v>
      </c>
      <c r="DG12">
        <f>(BS12+BT12)*'Oxidant Feed Composition'!$N$29*60*7200</f>
        <v>10485207.744770123</v>
      </c>
      <c r="DH12">
        <f>((CG12+CH12)*'Reagent cost'!$C$17/1000*'Reagent cost'!$H$17+(CG12+CH12)*0.5*'Reagent cost'!$C$16/1000*'Reagent cost'!$H$16*0.5)*60*7200</f>
        <v>3549729.1234930186</v>
      </c>
      <c r="DI12">
        <f>CF12*'Reagent cost'!$C$17/1000*'Reagent cost'!$H$17*60*7200</f>
        <v>504921.59999999998</v>
      </c>
      <c r="DJ12">
        <f t="shared" si="16"/>
        <v>55.487138021357005</v>
      </c>
      <c r="DK12">
        <f t="shared" si="17"/>
        <v>568.32741658971258</v>
      </c>
      <c r="DL12">
        <f t="shared" si="18"/>
        <v>17448578.739381302</v>
      </c>
      <c r="DM12">
        <f>BK12*(B12*(409.81+2)/1000+C12*(248.2+2*22.99)/1000+D12*(315.6+3*22.99)/1000+0.1*58.44/1000)</f>
        <v>0.70639694042110623</v>
      </c>
      <c r="DN12">
        <f>(BS12+BT12)/1000*('Oxidant Feed Composition'!$B$11*'Oxidant Feed Composition'!$O$20+'Oxidant Feed Composition'!$D$11*'Oxidant Feed Composition'!$O$21+'Oxidant Feed Composition'!$F$11*'Oxidant Feed Composition'!$O$27-'Oxidant Feed Composition'!$J$15*18.015)</f>
        <v>2.4545605642957149</v>
      </c>
      <c r="DO12">
        <f>(BU12+BV12)/1000*(0.2*368.34+0.4*58.44)</f>
        <v>1.6997139590102808</v>
      </c>
      <c r="DP12">
        <f>BK12/1000*(B12*195.08+C12*106.42+D12*102.91)</f>
        <v>4.999938342565946E-2</v>
      </c>
      <c r="DQ12">
        <f>SUM(DM12:DO12)-DP12</f>
        <v>4.8106720803014422</v>
      </c>
      <c r="DR12">
        <f>DQ12*60*7200*0.33</f>
        <v>685809.41176777356</v>
      </c>
      <c r="DS12">
        <v>1.2</v>
      </c>
      <c r="DT12">
        <f>BM12/60*(AM12*4+AN12*2+AO12*3)*96485/DV12</f>
        <v>1399.9243143059966</v>
      </c>
      <c r="DU12">
        <f>BN12*BA12*(AP12*4+AQ12*2+AR12*3)*96485/DV12/60</f>
        <v>715.74335746108125</v>
      </c>
      <c r="DV12">
        <v>0.7</v>
      </c>
      <c r="DW12">
        <f>0.499*((BK12/3.78541*15)^(-0.146))*BK12/3.78541*15*300*(1+(A12-2)/9)</f>
        <v>30272.303809866662</v>
      </c>
      <c r="DX12">
        <f>0.248*((BK12/3.78541*15)^(-0.144))*BK12/3.78541*15*300*(1+(A12-2)/3)</f>
        <v>20763.049486147294</v>
      </c>
      <c r="DY12">
        <f>0.105*((BK12/3.78541*15)^(-0.144))*BK12/3.78541*15*300*(1+(A12-2)/3)</f>
        <v>8790.8072421188135</v>
      </c>
      <c r="DZ12">
        <f>0.058*((BK12/3.78541*15)^(-0.151))*BK12/3.78541*15*300*(1+(A12-2)/3)</f>
        <v>4656.7358484871465</v>
      </c>
      <c r="EA12">
        <f>0.056*((BK12/3.78541*15)^(-0.144))*BK12/3.78541*15*300*(1+(A12-2)/3)</f>
        <v>4688.4305291300352</v>
      </c>
      <c r="EB12">
        <f>DS12*DT12/(3.6*10^6)*3600*7200*0.07</f>
        <v>846.6742252922669</v>
      </c>
      <c r="EC12">
        <f>0.499*((BM12/3.78541*15)^(-0.146))*BM12/3.78541*15*300*(1+(AF12-2)/9)</f>
        <v>28317.261416507248</v>
      </c>
      <c r="ED12">
        <f>0.248*((BM12/3.78541*15)^(-0.144))*BM12/3.78541*15*300*(1+(AF12-2)/3)</f>
        <v>19419.096223372169</v>
      </c>
      <c r="EE12">
        <f>0.105*((BM12/3.78541*15)^(-0.144))*BM12/3.78541*15*300*(1+(AF12-2)/3)</f>
        <v>8221.7947719922486</v>
      </c>
      <c r="EF12">
        <f>0.058*((BM12/3.78541*15)^(-0.151))*BM12/3.78541*15*300*(1+(AF12-2)/3)</f>
        <v>4357.6980650255673</v>
      </c>
      <c r="EG12">
        <f>0.056*((BM12/3.78541*15)^(-0.144))*BM12/3.78541*15*300*(1+(AF12-2)/3)</f>
        <v>4384.9572117292009</v>
      </c>
      <c r="EH12">
        <f>DS12*DU12/(3.6*10^6)*3600*7200*0.07</f>
        <v>432.88158259246194</v>
      </c>
      <c r="EI12">
        <f>SUM(DW12:EH12)</f>
        <v>135151.69041226112</v>
      </c>
      <c r="EJ12">
        <f>EI12+DR12+DL12</f>
        <v>18269539.841561336</v>
      </c>
      <c r="EK12">
        <f>EJ12+DF12</f>
        <v>18786952.579398088</v>
      </c>
      <c r="EL12">
        <f>EK12/(BK12*60*7200)</f>
        <v>0.43488316156014095</v>
      </c>
      <c r="EM12">
        <f>EK12/(BM12*(AM12*195.084/1000+AN12*106.42/1000+AO12*102.911/1000)*60*7200)</f>
        <v>1462.4155951472856</v>
      </c>
      <c r="EN12">
        <f>EK12/(BN12*BA12*(AP12*195.084/1000+AQ12*106.42/1000+AR12*102.911/1000)*60*7200)</f>
        <v>2635.2081946295752</v>
      </c>
    </row>
    <row r="13" spans="1:144">
      <c r="A13">
        <f>'Costing 100 Lmin Feed Orig'!A13</f>
        <v>4</v>
      </c>
      <c r="B13">
        <f>'Costing 100 Lmin Feed Orig'!B13</f>
        <v>1.54143585092054E-3</v>
      </c>
      <c r="C13">
        <f>'Costing 100 Lmin Feed Orig'!C13</f>
        <v>1.54143585092054E-3</v>
      </c>
      <c r="D13">
        <f>'Costing 100 Lmin Feed Orig'!D13</f>
        <v>3.4254130020456501E-4</v>
      </c>
      <c r="E13">
        <f>'Costing 100 Lmin Feed Orig'!E13</f>
        <v>0</v>
      </c>
      <c r="F13">
        <f>'Costing 100 Lmin Feed Orig'!F13</f>
        <v>0</v>
      </c>
      <c r="G13">
        <f>'Costing 100 Lmin Feed Orig'!G13</f>
        <v>0</v>
      </c>
      <c r="H13">
        <f>'Costing 100 Lmin Feed Orig'!H13</f>
        <v>1.7208960911287699E-5</v>
      </c>
      <c r="I13">
        <f>'Costing 100 Lmin Feed Orig'!I13</f>
        <v>2.8768784818324402E-7</v>
      </c>
      <c r="J13">
        <f>'Costing 100 Lmin Feed Orig'!J13</f>
        <v>3.3243632642994598E-4</v>
      </c>
      <c r="K13">
        <f>'Costing 100 Lmin Feed Orig'!K13</f>
        <v>0.10920586178936199</v>
      </c>
      <c r="L13">
        <f>'Costing 100 Lmin Feed Orig'!L13</f>
        <v>0.110418215553449</v>
      </c>
      <c r="M13">
        <f>'Costing 100 Lmin Feed Orig'!M13</f>
        <v>7.2398825703009801E-4</v>
      </c>
      <c r="N13">
        <f>'Costing 100 Lmin Feed Orig'!N13</f>
        <v>-2.168404344971E-18</v>
      </c>
      <c r="O13">
        <f>'Costing 100 Lmin Feed Orig'!O13</f>
        <v>2.3635607360183901E-17</v>
      </c>
      <c r="P13">
        <f>'Costing 100 Lmin Feed Orig'!P13</f>
        <v>-7.4538899358378406E-20</v>
      </c>
      <c r="Q13">
        <f>'Costing 100 Lmin Feed Orig'!Q13</f>
        <v>0.13957372480144001</v>
      </c>
      <c r="R13">
        <f>'Costing 100 Lmin Feed Orig'!R13</f>
        <v>97.0499984181222</v>
      </c>
      <c r="S13">
        <f>'Costing 100 Lmin Feed Orig'!S13</f>
        <v>500</v>
      </c>
      <c r="T13">
        <f>'Costing 100 Lmin Feed Orig'!T13</f>
        <v>95</v>
      </c>
      <c r="U13">
        <f>'Costing 100 Lmin Feed Orig'!U13</f>
        <v>1</v>
      </c>
      <c r="V13">
        <f>'Costing 100 Lmin Feed Orig'!V13</f>
        <v>0.1</v>
      </c>
      <c r="W13">
        <f>'Costing 100 Lmin Feed Orig'!W13</f>
        <v>71.646723007687299</v>
      </c>
      <c r="X13" t="str">
        <f>'Costing 100 Lmin Feed Orig'!X13</f>
        <v>ddFc</v>
      </c>
      <c r="Y13">
        <f>'Costing 100 Lmin Feed Orig'!Y13</f>
        <v>1</v>
      </c>
      <c r="Z13">
        <f>'Costing 100 Lmin Feed Orig'!Z13</f>
        <v>0.28318429382522198</v>
      </c>
      <c r="AA13">
        <f>'Costing 100 Lmin Feed Orig'!AA13</f>
        <v>0.56945642916197003</v>
      </c>
      <c r="AB13">
        <f>'Costing 100 Lmin Feed Orig'!AB13</f>
        <v>3.7698628972227502E-3</v>
      </c>
      <c r="AC13">
        <f>'Costing 100 Lmin Feed Orig'!AC13</f>
        <v>1822.2107908876901</v>
      </c>
      <c r="AD13">
        <f>'Costing 100 Lmin Feed Orig'!AD13</f>
        <v>2662.6059073104898</v>
      </c>
      <c r="AE13">
        <f>'Costing 100 Lmin Feed Orig'!AE13</f>
        <v>2401.5030938442701</v>
      </c>
      <c r="AF13">
        <f>'Costing 100 Lmin Feed Orig'!AF13</f>
        <v>5</v>
      </c>
      <c r="AG13">
        <f>'Costing 100 Lmin Feed Orig'!AG13</f>
        <v>1.6481650483119699E-3</v>
      </c>
      <c r="AH13">
        <f>'Costing 100 Lmin Feed Orig'!AH13</f>
        <v>1.6664622263884801E-3</v>
      </c>
      <c r="AI13">
        <f>'Costing 100 Lmin Feed Orig'!AI13</f>
        <v>1.0926630870116399E-5</v>
      </c>
      <c r="AJ13">
        <f>'Costing 100 Lmin Feed Orig'!AJ13</f>
        <v>0</v>
      </c>
      <c r="AK13">
        <f>'Costing 100 Lmin Feed Orig'!AK13</f>
        <v>0</v>
      </c>
      <c r="AL13">
        <f>'Costing 100 Lmin Feed Orig'!AL13</f>
        <v>0</v>
      </c>
      <c r="AM13">
        <f>'Costing 100 Lmin Feed Orig'!AM13</f>
        <v>1.6085253260061899E-3</v>
      </c>
      <c r="AN13">
        <f>'Costing 100 Lmin Feed Orig'!AN13</f>
        <v>7.3809557032336595E-5</v>
      </c>
      <c r="AO13">
        <f>'Costing 100 Lmin Feed Orig'!AO13</f>
        <v>1.08496706522018E-5</v>
      </c>
      <c r="AP13">
        <f>'Costing 100 Lmin Feed Orig'!AP13</f>
        <v>1.817766908322E-3</v>
      </c>
      <c r="AQ13">
        <f>'Costing 100 Lmin Feed Orig'!AQ13</f>
        <v>7.3034601414750294E-2</v>
      </c>
      <c r="AR13">
        <f>'Costing 100 Lmin Feed Orig'!AR13</f>
        <v>3.5291805604209299E-6</v>
      </c>
      <c r="AS13">
        <f>'Costing 100 Lmin Feed Orig'!AS13</f>
        <v>-2.4283418158244002E-16</v>
      </c>
      <c r="AT13">
        <f>'Costing 100 Lmin Feed Orig'!AT13</f>
        <v>-3.67848113080881E-15</v>
      </c>
      <c r="AU13">
        <f>'Costing 100 Lmin Feed Orig'!AU13</f>
        <v>-2.6574335231123502E-19</v>
      </c>
      <c r="AV13">
        <f>'Costing 100 Lmin Feed Orig'!AV13</f>
        <v>0.201670014436726</v>
      </c>
      <c r="AW13">
        <f>'Costing 100 Lmin Feed Orig'!AW13</f>
        <v>99.295663788504896</v>
      </c>
      <c r="AX13">
        <f>'Costing 100 Lmin Feed Orig'!AX13</f>
        <v>500</v>
      </c>
      <c r="AY13">
        <f>'Costing 100 Lmin Feed Orig'!AY13</f>
        <v>95</v>
      </c>
      <c r="AZ13">
        <f>'Costing 100 Lmin Feed Orig'!AZ13</f>
        <v>0.92480233795174105</v>
      </c>
      <c r="BA13">
        <f>'Costing 100 Lmin Feed Orig'!BA13</f>
        <v>0.1</v>
      </c>
      <c r="BB13">
        <f>'Costing 100 Lmin Feed Orig'!BB13</f>
        <v>45.857205918031703</v>
      </c>
      <c r="BC13" t="str">
        <f>'Costing 100 Lmin Feed Orig'!BC13</f>
        <v>coeFc</v>
      </c>
      <c r="BD13">
        <f>'Costing 100 Lmin Feed Orig'!BD13</f>
        <v>1</v>
      </c>
      <c r="BE13">
        <f>'Costing 100 Lmin Feed Orig'!BE13</f>
        <v>1.8775014999999999E-2</v>
      </c>
      <c r="BF13">
        <f>'Costing 100 Lmin Feed Orig'!BF13</f>
        <v>0.10492961100000001</v>
      </c>
      <c r="BG13">
        <f>'Costing 100 Lmin Feed Orig'!BG13</f>
        <v>1.814625E-3</v>
      </c>
      <c r="BH13">
        <f>'Costing 100 Lmin Feed Orig'!BH13</f>
        <v>285.1951444</v>
      </c>
      <c r="BI13">
        <f>'Costing 100 Lmin Feed Orig'!BI13</f>
        <v>2169.8944889999998</v>
      </c>
      <c r="BJ13">
        <f>'Costing 100 Lmin Feed Orig'!BJ13</f>
        <v>866.49409060000005</v>
      </c>
      <c r="BK13">
        <f>'Costing 100 Lmin Feed Orig'!BK13</f>
        <v>100</v>
      </c>
      <c r="BL13">
        <f>'Costing 100 Lmin Feed Orig'!BL13</f>
        <v>13.957372480144</v>
      </c>
      <c r="BM13">
        <f>'Costing 100 Lmin Feed Orig'!BM13</f>
        <v>92.480233795174101</v>
      </c>
      <c r="BN13">
        <f>'Costing 100 Lmin Feed Orig'!BN13</f>
        <v>20.1670014436726</v>
      </c>
      <c r="BO13">
        <f t="shared" si="1"/>
        <v>167.488469761728</v>
      </c>
      <c r="BP13">
        <f t="shared" si="2"/>
        <v>282.33802021141639</v>
      </c>
      <c r="BQ13">
        <f t="shared" si="3"/>
        <v>16.7488469761728</v>
      </c>
      <c r="BR13">
        <f t="shared" si="4"/>
        <v>28.233802021141642</v>
      </c>
      <c r="BS13">
        <f>1.2*0.5*BL13*V13/'Oxidant Feed Composition'!$N$22</f>
        <v>8.3744234880863999</v>
      </c>
      <c r="BT13">
        <f>1.2*0.5*BN13*BA13/'Oxidant Feed Composition'!$N$22</f>
        <v>12.10020086620356</v>
      </c>
      <c r="BU13">
        <f t="shared" si="5"/>
        <v>6.9786862400720002</v>
      </c>
      <c r="BV13">
        <f t="shared" si="6"/>
        <v>10.0835007218363</v>
      </c>
      <c r="BW13">
        <f t="shared" si="7"/>
        <v>85.501547555102107</v>
      </c>
      <c r="BX13">
        <f t="shared" si="0"/>
        <v>44.663591936460804</v>
      </c>
      <c r="BY13">
        <f t="shared" si="8"/>
        <v>212.87521255063621</v>
      </c>
      <c r="BZ13">
        <f t="shared" si="9"/>
        <v>64.534404619752323</v>
      </c>
      <c r="CA13">
        <f t="shared" si="10"/>
        <v>60.501004331017796</v>
      </c>
      <c r="CB13">
        <f>BO13*'Reagent cost'!$G$11*'Reagent cost'!$H$11</f>
        <v>2210.8478008548095</v>
      </c>
      <c r="CC13">
        <f>BP13*'Reagent cost'!$G$11*'Reagent cost'!$H$11</f>
        <v>3726.8618667906962</v>
      </c>
      <c r="CD13">
        <f>BQ13*'Reagent cost'!$C$18/1000*'Reagent cost'!$H$18</f>
        <v>2671.1136977461792</v>
      </c>
      <c r="CE13">
        <f>BR13*'Ligand cost'!$B$56*'Ligand cost'!$J$56</f>
        <v>28745.61681570829</v>
      </c>
      <c r="CF13">
        <f t="shared" si="11"/>
        <v>10</v>
      </c>
      <c r="CG13">
        <f t="shared" si="12"/>
        <v>2.7914744960288003</v>
      </c>
      <c r="CH13">
        <f t="shared" si="12"/>
        <v>4.0334002887345202</v>
      </c>
      <c r="CI13">
        <f>7963.6*(BX13/1000)^0.6*1.7*('CAPEX+OPEX'!$G$116/'CAPEX+OPEX'!$G$115)</f>
        <v>2472.9373618126128</v>
      </c>
      <c r="CJ13">
        <f>7963.6*(BY13/1000)^0.6*1.7*('CAPEX+OPEX'!$G$116/'CAPEX+OPEX'!$G$115)</f>
        <v>6311.2587327211604</v>
      </c>
      <c r="CK13">
        <f>7963.6*(BZ13/1000)^0.6*1.7*('CAPEX+OPEX'!$G$116/'CAPEX+OPEX'!$G$115)</f>
        <v>3084.0095376508261</v>
      </c>
      <c r="CL13">
        <f>7963.6*(CA13/1000)^0.6*1.7*('CAPEX+OPEX'!$G$116/'CAPEX+OPEX'!$G$115)</f>
        <v>2966.8697347325451</v>
      </c>
      <c r="CM13">
        <f>'Costing 100 Lmin Feed Orig'!DE13</f>
        <v>39625.826528698344</v>
      </c>
      <c r="CN13">
        <f>'Costing 100 Lmin Feed Orig'!DF13</f>
        <v>4586243.4239371875</v>
      </c>
      <c r="CO13">
        <f>'Costing 100 Lmin Feed Orig'!DG13</f>
        <v>11794834.586807497</v>
      </c>
      <c r="CP13">
        <f>'Costing 100 Lmin Feed Orig'!DH13</f>
        <v>2275209.1661185985</v>
      </c>
      <c r="CQ13">
        <f>'Costing 100 Lmin Feed Orig'!DI13</f>
        <v>14083914.336508472</v>
      </c>
      <c r="CR13">
        <f>'Costing 100 Lmin Feed Orig'!DJ13</f>
        <v>1662824.8986326549</v>
      </c>
      <c r="CS13">
        <f>CN13*(BK13/10000)^0.72*((A13+1)/3)^0.6*('CAPEX+OPEX'!$G$116/'CAPEX+OPEX'!$G$114)</f>
        <v>528015.95740622084</v>
      </c>
      <c r="CT13">
        <f>CO13*(BK13/10000)^0.72*((A13+1)/3)^0.6*('CAPEX+OPEX'!$G$116/'CAPEX+OPEX'!$G$114)</f>
        <v>1357943.8117688675</v>
      </c>
      <c r="CU13">
        <f>CP13*(BK13/10000)^0.72*((A13+1)/3)^0.6*('CAPEX+OPEX'!$G$116/'CAPEX+OPEX'!$G$114)</f>
        <v>261945.7004565605</v>
      </c>
      <c r="CV13">
        <f>CQ13*(BK13/10000)^0.72*((A13+1)/3)^0.6*('CAPEX+OPEX'!$G$116/'CAPEX+OPEX'!$G$114)</f>
        <v>1621486.4378120217</v>
      </c>
      <c r="CW13">
        <f>CR13*(BK13/10000)^0.72*((A13+1)/3)^0.6*('CAPEX+OPEX'!$G$116/'CAPEX+OPEX'!$G$114)</f>
        <v>191441.6658016555</v>
      </c>
      <c r="CX13">
        <f t="shared" si="13"/>
        <v>3960833.5732453261</v>
      </c>
      <c r="CY13">
        <f>CN13*(BM13/10000)^0.72*((AF13+1)/3)^0.6*('CAPEX+OPEX'!$G$116/'CAPEX+OPEX'!$G$114)</f>
        <v>556815.11649124604</v>
      </c>
      <c r="CZ13">
        <f>CO13*(BM13/10000)^0.72*((AF13+1)/3)^0.6*('CAPEX+OPEX'!$G$116/'CAPEX+OPEX'!$G$114)</f>
        <v>1432009.0730836319</v>
      </c>
      <c r="DA13">
        <f>CP13*(BM13/10000)^0.72*((AF13+1)/3)^0.6*('CAPEX+OPEX'!$G$116/'CAPEX+OPEX'!$G$114)</f>
        <v>276232.79877863475</v>
      </c>
      <c r="DB13">
        <f>CQ13*(BM13/10000)^0.72*((AF13+1)/3)^0.6*('CAPEX+OPEX'!$G$116/'CAPEX+OPEX'!$G$114)</f>
        <v>1709925.8973051622</v>
      </c>
      <c r="DC13">
        <f>CR13*(BM13/10000)^0.72*((AF13+1)/3)^0.6*('CAPEX+OPEX'!$G$116/'CAPEX+OPEX'!$G$114)</f>
        <v>201883.31801233388</v>
      </c>
      <c r="DD13">
        <f t="shared" si="14"/>
        <v>4176866.2036710088</v>
      </c>
      <c r="DE13">
        <f>CX13+DD13+1.15*(SUM(CI13:CL13)+SUM(CB13:CE13))</f>
        <v>8197717.7197965542</v>
      </c>
      <c r="DF13">
        <f t="shared" si="15"/>
        <v>546514.51465310366</v>
      </c>
      <c r="DG13">
        <f>(BS13+BT13)*'Oxidant Feed Composition'!$N$29*60*7200</f>
        <v>10214205.335083703</v>
      </c>
      <c r="DH13">
        <f>((CG13+CH13)*'Reagent cost'!$C$17/1000*'Reagent cost'!$H$17+(CG13+CH13)*0.5*'Reagent cost'!$C$16/1000*'Reagent cost'!$H$16*0.5)*60*7200</f>
        <v>3457982.2387753078</v>
      </c>
      <c r="DI13">
        <f>CF13*'Reagent cost'!$C$17/1000*'Reagent cost'!$H$17*60*7200</f>
        <v>504921.59999999998</v>
      </c>
      <c r="DJ13">
        <f t="shared" si="16"/>
        <v>59.377096676455061</v>
      </c>
      <c r="DK13">
        <f t="shared" si="17"/>
        <v>628.33461026908935</v>
      </c>
      <c r="DL13">
        <f t="shared" si="18"/>
        <v>17013356.262679145</v>
      </c>
      <c r="DM13">
        <f>BK13*(B13*(409.81+2)/1000+C13*(248.2+2*22.99)/1000+D13*(315.6+3*22.99)/1000+0.1*58.44/1000)</f>
        <v>0.70639694042110623</v>
      </c>
      <c r="DN13">
        <f>(BS13+BT13)/1000*('Oxidant Feed Composition'!$B$11*'Oxidant Feed Composition'!$O$20+'Oxidant Feed Composition'!$D$11*'Oxidant Feed Composition'!$O$21+'Oxidant Feed Composition'!$F$11*'Oxidant Feed Composition'!$O$27-'Oxidant Feed Composition'!$J$15*18.015)</f>
        <v>2.3911195868885495</v>
      </c>
      <c r="DO13">
        <f>(BU13+BV13)/1000*(0.2*368.34+0.4*58.44)</f>
        <v>1.6557828715314289</v>
      </c>
      <c r="DP13">
        <f>BK13/1000*(B13*195.08+C13*106.42+D13*102.91)</f>
        <v>4.999938342565946E-2</v>
      </c>
      <c r="DQ13">
        <f>SUM(DM13:DO13)-DP13</f>
        <v>4.703300015415425</v>
      </c>
      <c r="DR13">
        <f>DQ13*60*7200*0.33</f>
        <v>670502.45019762299</v>
      </c>
      <c r="DS13">
        <v>1.2</v>
      </c>
      <c r="DT13">
        <f>BM13/60*(AM13*4+AN13*2+AO13*3)*96485/DV13</f>
        <v>1405.210258292421</v>
      </c>
      <c r="DU13">
        <f>BN13*BA13*(AP13*4+AQ13*2+AR13*3)*96485/DV13/60</f>
        <v>710.45741347657167</v>
      </c>
      <c r="DV13">
        <v>0.7</v>
      </c>
      <c r="DW13">
        <f>0.499*((BK13/3.78541*15)^(-0.146))*BK13/3.78541*15*300*(1+(A13-2)/9)</f>
        <v>30272.303809866662</v>
      </c>
      <c r="DX13">
        <f>0.248*((BK13/3.78541*15)^(-0.144))*BK13/3.78541*15*300*(1+(A13-2)/3)</f>
        <v>20763.049486147294</v>
      </c>
      <c r="DY13">
        <f>0.105*((BK13/3.78541*15)^(-0.144))*BK13/3.78541*15*300*(1+(A13-2)/3)</f>
        <v>8790.8072421188135</v>
      </c>
      <c r="DZ13">
        <f>0.058*((BK13/3.78541*15)^(-0.151))*BK13/3.78541*15*300*(1+(A13-2)/3)</f>
        <v>4656.7358484871465</v>
      </c>
      <c r="EA13">
        <f>0.056*((BK13/3.78541*15)^(-0.144))*BK13/3.78541*15*300*(1+(A13-2)/3)</f>
        <v>4688.4305291300352</v>
      </c>
      <c r="EB13">
        <f>DS13*DT13/(3.6*10^6)*3600*7200*0.07</f>
        <v>849.87116421525627</v>
      </c>
      <c r="EC13">
        <f>0.499*((BM13/3.78541*15)^(-0.146))*BM13/3.78541*15*300*(1+(AF13-2)/9)</f>
        <v>30891.557908916995</v>
      </c>
      <c r="ED13">
        <f>0.248*((BM13/3.78541*15)^(-0.144))*BM13/3.78541*15*300*(1+(AF13-2)/3)</f>
        <v>23302.915468046605</v>
      </c>
      <c r="EE13">
        <f>0.105*((BM13/3.78541*15)^(-0.144))*BM13/3.78541*15*300*(1+(AF13-2)/3)</f>
        <v>9866.1537263906994</v>
      </c>
      <c r="EF13">
        <f>0.058*((BM13/3.78541*15)^(-0.151))*BM13/3.78541*15*300*(1+(AF13-2)/3)</f>
        <v>5229.2376780306813</v>
      </c>
      <c r="EG13">
        <f>0.056*((BM13/3.78541*15)^(-0.144))*BM13/3.78541*15*300*(1+(AF13-2)/3)</f>
        <v>5261.9486540750413</v>
      </c>
      <c r="EH13">
        <f>DS13*DU13/(3.6*10^6)*3600*7200*0.07</f>
        <v>429.68464367063052</v>
      </c>
      <c r="EI13">
        <f>SUM(DW13:EH13)</f>
        <v>145002.69615909585</v>
      </c>
      <c r="EJ13">
        <f>EI13+DR13+DL13</f>
        <v>17828861.409035865</v>
      </c>
      <c r="EK13">
        <f>EJ13+DF13</f>
        <v>18375375.923688971</v>
      </c>
      <c r="EL13">
        <f>EK13/(BK13*60*7200)</f>
        <v>0.42535592415946694</v>
      </c>
      <c r="EM13">
        <f>EK13/(BM13*(AM13*195.084/1000+AN13*106.42/1000+AO13*102.911/1000)*60*7200)</f>
        <v>1424.9901427930215</v>
      </c>
      <c r="EN13">
        <f>EK13/(BN13*BA13*(AP13*195.084/1000+AQ13*106.42/1000+AR13*102.911/1000)*60*7200)</f>
        <v>2595.1570901913442</v>
      </c>
    </row>
    <row r="14" spans="1:144">
      <c r="A14">
        <f>'Costing 100 Lmin Feed Orig'!A14</f>
        <v>4</v>
      </c>
      <c r="B14">
        <f>'Costing 100 Lmin Feed Orig'!B14</f>
        <v>1.54143585092054E-3</v>
      </c>
      <c r="C14">
        <f>'Costing 100 Lmin Feed Orig'!C14</f>
        <v>1.54143585092054E-3</v>
      </c>
      <c r="D14">
        <f>'Costing 100 Lmin Feed Orig'!D14</f>
        <v>3.4254130020456501E-4</v>
      </c>
      <c r="E14">
        <f>'Costing 100 Lmin Feed Orig'!E14</f>
        <v>0</v>
      </c>
      <c r="F14">
        <f>'Costing 100 Lmin Feed Orig'!F14</f>
        <v>0</v>
      </c>
      <c r="G14">
        <f>'Costing 100 Lmin Feed Orig'!G14</f>
        <v>0</v>
      </c>
      <c r="H14">
        <f>'Costing 100 Lmin Feed Orig'!H14</f>
        <v>1.7208960911287699E-5</v>
      </c>
      <c r="I14">
        <f>'Costing 100 Lmin Feed Orig'!I14</f>
        <v>2.8768784818324402E-7</v>
      </c>
      <c r="J14">
        <f>'Costing 100 Lmin Feed Orig'!J14</f>
        <v>3.3243632642994598E-4</v>
      </c>
      <c r="K14">
        <f>'Costing 100 Lmin Feed Orig'!K14</f>
        <v>0.10920586178936199</v>
      </c>
      <c r="L14">
        <f>'Costing 100 Lmin Feed Orig'!L14</f>
        <v>0.110418215553449</v>
      </c>
      <c r="M14">
        <f>'Costing 100 Lmin Feed Orig'!M14</f>
        <v>7.2398825703009801E-4</v>
      </c>
      <c r="N14">
        <f>'Costing 100 Lmin Feed Orig'!N14</f>
        <v>-2.168404344971E-18</v>
      </c>
      <c r="O14">
        <f>'Costing 100 Lmin Feed Orig'!O14</f>
        <v>2.3635607360183901E-17</v>
      </c>
      <c r="P14">
        <f>'Costing 100 Lmin Feed Orig'!P14</f>
        <v>-7.4538899358378406E-20</v>
      </c>
      <c r="Q14">
        <f>'Costing 100 Lmin Feed Orig'!Q14</f>
        <v>0.13957372480144001</v>
      </c>
      <c r="R14">
        <f>'Costing 100 Lmin Feed Orig'!R14</f>
        <v>97.0499984181222</v>
      </c>
      <c r="S14">
        <f>'Costing 100 Lmin Feed Orig'!S14</f>
        <v>500</v>
      </c>
      <c r="T14">
        <f>'Costing 100 Lmin Feed Orig'!T14</f>
        <v>95</v>
      </c>
      <c r="U14">
        <f>'Costing 100 Lmin Feed Orig'!U14</f>
        <v>1</v>
      </c>
      <c r="V14">
        <f>'Costing 100 Lmin Feed Orig'!V14</f>
        <v>0.1</v>
      </c>
      <c r="W14">
        <f>'Costing 100 Lmin Feed Orig'!W14</f>
        <v>71.646723007687299</v>
      </c>
      <c r="X14" t="str">
        <f>'Costing 100 Lmin Feed Orig'!X14</f>
        <v>ddFc</v>
      </c>
      <c r="Y14">
        <f>'Costing 100 Lmin Feed Orig'!Y14</f>
        <v>1</v>
      </c>
      <c r="Z14">
        <f>'Costing 100 Lmin Feed Orig'!Z14</f>
        <v>0.28318429382522198</v>
      </c>
      <c r="AA14">
        <f>'Costing 100 Lmin Feed Orig'!AA14</f>
        <v>0.56945642916197003</v>
      </c>
      <c r="AB14">
        <f>'Costing 100 Lmin Feed Orig'!AB14</f>
        <v>3.7698628972227502E-3</v>
      </c>
      <c r="AC14">
        <f>'Costing 100 Lmin Feed Orig'!AC14</f>
        <v>1822.2107908876901</v>
      </c>
      <c r="AD14">
        <f>'Costing 100 Lmin Feed Orig'!AD14</f>
        <v>2662.6059073104898</v>
      </c>
      <c r="AE14">
        <f>'Costing 100 Lmin Feed Orig'!AE14</f>
        <v>2401.5030938442701</v>
      </c>
      <c r="AF14">
        <f>'Costing 100 Lmin Feed Orig'!AF14</f>
        <v>6</v>
      </c>
      <c r="AG14">
        <f>'Costing 100 Lmin Feed Orig'!AG14</f>
        <v>1.6481650483119699E-3</v>
      </c>
      <c r="AH14">
        <f>'Costing 100 Lmin Feed Orig'!AH14</f>
        <v>1.6664622263884801E-3</v>
      </c>
      <c r="AI14">
        <f>'Costing 100 Lmin Feed Orig'!AI14</f>
        <v>1.0926630870116399E-5</v>
      </c>
      <c r="AJ14">
        <f>'Costing 100 Lmin Feed Orig'!AJ14</f>
        <v>0</v>
      </c>
      <c r="AK14">
        <f>'Costing 100 Lmin Feed Orig'!AK14</f>
        <v>0</v>
      </c>
      <c r="AL14">
        <f>'Costing 100 Lmin Feed Orig'!AL14</f>
        <v>0</v>
      </c>
      <c r="AM14">
        <f>'Costing 100 Lmin Feed Orig'!AM14</f>
        <v>1.61036674463848E-3</v>
      </c>
      <c r="AN14">
        <f>'Costing 100 Lmin Feed Orig'!AN14</f>
        <v>7.3903037307057197E-5</v>
      </c>
      <c r="AO14">
        <f>'Costing 100 Lmin Feed Orig'!AO14</f>
        <v>1.0853107147603801E-5</v>
      </c>
      <c r="AP14">
        <f>'Costing 100 Lmin Feed Orig'!AP14</f>
        <v>1.75730512408255E-3</v>
      </c>
      <c r="AQ14">
        <f>'Costing 100 Lmin Feed Orig'!AQ14</f>
        <v>7.4040688374865299E-2</v>
      </c>
      <c r="AR14">
        <f>'Costing 100 Lmin Feed Orig'!AR14</f>
        <v>3.41823843284434E-6</v>
      </c>
      <c r="AS14">
        <f>'Costing 100 Lmin Feed Orig'!AS14</f>
        <v>-3.20923843055709E-17</v>
      </c>
      <c r="AT14">
        <f>'Costing 100 Lmin Feed Orig'!AT14</f>
        <v>-6.4501355645507598E-15</v>
      </c>
      <c r="AU14">
        <f>'Costing 100 Lmin Feed Orig'!AU14</f>
        <v>-2.57948002218536E-20</v>
      </c>
      <c r="AV14">
        <f>'Costing 100 Lmin Feed Orig'!AV14</f>
        <v>0.19891798600503799</v>
      </c>
      <c r="AW14">
        <f>'Costing 100 Lmin Feed Orig'!AW14</f>
        <v>99.327114429080396</v>
      </c>
      <c r="AX14">
        <f>'Costing 100 Lmin Feed Orig'!AX14</f>
        <v>500</v>
      </c>
      <c r="AY14">
        <f>'Costing 100 Lmin Feed Orig'!AY14</f>
        <v>95</v>
      </c>
      <c r="AZ14">
        <f>'Costing 100 Lmin Feed Orig'!AZ14</f>
        <v>0.92480233795174105</v>
      </c>
      <c r="BA14">
        <f>'Costing 100 Lmin Feed Orig'!BA14</f>
        <v>0.1</v>
      </c>
      <c r="BB14">
        <f>'Costing 100 Lmin Feed Orig'!BB14</f>
        <v>46.491639922813</v>
      </c>
      <c r="BC14" t="str">
        <f>'Costing 100 Lmin Feed Orig'!BC14</f>
        <v>coeFc</v>
      </c>
      <c r="BD14">
        <f>'Costing 100 Lmin Feed Orig'!BD14</f>
        <v>1</v>
      </c>
      <c r="BE14">
        <f>'Costing 100 Lmin Feed Orig'!BE14</f>
        <v>1.8775014999999999E-2</v>
      </c>
      <c r="BF14">
        <f>'Costing 100 Lmin Feed Orig'!BF14</f>
        <v>0.10492961100000001</v>
      </c>
      <c r="BG14">
        <f>'Costing 100 Lmin Feed Orig'!BG14</f>
        <v>1.814625E-3</v>
      </c>
      <c r="BH14">
        <f>'Costing 100 Lmin Feed Orig'!BH14</f>
        <v>285.1951444</v>
      </c>
      <c r="BI14">
        <f>'Costing 100 Lmin Feed Orig'!BI14</f>
        <v>2169.8944889999998</v>
      </c>
      <c r="BJ14">
        <f>'Costing 100 Lmin Feed Orig'!BJ14</f>
        <v>866.49409060000005</v>
      </c>
      <c r="BK14">
        <f>'Costing 100 Lmin Feed Orig'!BK14</f>
        <v>100</v>
      </c>
      <c r="BL14">
        <f>'Costing 100 Lmin Feed Orig'!BL14</f>
        <v>13.957372480144</v>
      </c>
      <c r="BM14">
        <f>'Costing 100 Lmin Feed Orig'!BM14</f>
        <v>92.480233795174101</v>
      </c>
      <c r="BN14">
        <f>'Costing 100 Lmin Feed Orig'!BN14</f>
        <v>19.891798600503797</v>
      </c>
      <c r="BO14">
        <f t="shared" si="1"/>
        <v>167.488469761728</v>
      </c>
      <c r="BP14">
        <f t="shared" si="2"/>
        <v>318.26877760806076</v>
      </c>
      <c r="BQ14">
        <f t="shared" si="3"/>
        <v>16.7488469761728</v>
      </c>
      <c r="BR14">
        <f t="shared" si="4"/>
        <v>31.826877760806077</v>
      </c>
      <c r="BS14">
        <f>1.2*0.5*BL14*V14/'Oxidant Feed Composition'!$N$22</f>
        <v>8.3744234880863999</v>
      </c>
      <c r="BT14">
        <f>1.2*0.5*BN14*BA14/'Oxidant Feed Composition'!$N$22</f>
        <v>11.935079160302276</v>
      </c>
      <c r="BU14">
        <f t="shared" si="5"/>
        <v>6.9786862400720002</v>
      </c>
      <c r="BV14">
        <f t="shared" si="6"/>
        <v>9.9458993002518987</v>
      </c>
      <c r="BW14">
        <f t="shared" si="7"/>
        <v>85.501547555102107</v>
      </c>
      <c r="BX14">
        <f t="shared" si="0"/>
        <v>44.663591936460804</v>
      </c>
      <c r="BY14">
        <f t="shared" si="8"/>
        <v>212.87521255063621</v>
      </c>
      <c r="BZ14">
        <f t="shared" si="9"/>
        <v>63.653755521612148</v>
      </c>
      <c r="CA14">
        <f t="shared" si="10"/>
        <v>59.675395801511392</v>
      </c>
      <c r="CB14">
        <f>BO14*'Reagent cost'!$G$11*'Reagent cost'!$H$11</f>
        <v>2210.8478008548095</v>
      </c>
      <c r="CC14">
        <f>BP14*'Reagent cost'!$G$11*'Reagent cost'!$H$11</f>
        <v>4201.1478644264016</v>
      </c>
      <c r="CD14">
        <f>BQ14*'Reagent cost'!$C$18/1000*'Reagent cost'!$H$18</f>
        <v>2671.1136977461792</v>
      </c>
      <c r="CE14">
        <f>BR14*'Ligand cost'!$B$56*'Ligand cost'!$J$56</f>
        <v>32403.826869206256</v>
      </c>
      <c r="CF14">
        <f t="shared" si="11"/>
        <v>10</v>
      </c>
      <c r="CG14">
        <f t="shared" si="12"/>
        <v>2.7914744960288003</v>
      </c>
      <c r="CH14">
        <f t="shared" si="12"/>
        <v>3.9783597201007597</v>
      </c>
      <c r="CI14">
        <f>7963.6*(BX14/1000)^0.6*1.7*('CAPEX+OPEX'!$G$116/'CAPEX+OPEX'!$G$115)</f>
        <v>2472.9373618126128</v>
      </c>
      <c r="CJ14">
        <f>7963.6*(BY14/1000)^0.6*1.7*('CAPEX+OPEX'!$G$116/'CAPEX+OPEX'!$G$115)</f>
        <v>6311.2587327211604</v>
      </c>
      <c r="CK14">
        <f>7963.6*(BZ14/1000)^0.6*1.7*('CAPEX+OPEX'!$G$116/'CAPEX+OPEX'!$G$115)</f>
        <v>3058.6891810035263</v>
      </c>
      <c r="CL14">
        <f>7963.6*(CA14/1000)^0.6*1.7*('CAPEX+OPEX'!$G$116/'CAPEX+OPEX'!$G$115)</f>
        <v>2942.5111201133659</v>
      </c>
      <c r="CM14">
        <f>'Costing 100 Lmin Feed Orig'!DE14</f>
        <v>39625.826528698344</v>
      </c>
      <c r="CN14">
        <f>'Costing 100 Lmin Feed Orig'!DF14</f>
        <v>4586243.4239371875</v>
      </c>
      <c r="CO14">
        <f>'Costing 100 Lmin Feed Orig'!DG14</f>
        <v>11794834.586807497</v>
      </c>
      <c r="CP14">
        <f>'Costing 100 Lmin Feed Orig'!DH14</f>
        <v>2275209.1661185985</v>
      </c>
      <c r="CQ14">
        <f>'Costing 100 Lmin Feed Orig'!DI14</f>
        <v>14083914.336508472</v>
      </c>
      <c r="CR14">
        <f>'Costing 100 Lmin Feed Orig'!DJ14</f>
        <v>1662824.8986326549</v>
      </c>
      <c r="CS14">
        <f>CN14*(BK14/10000)^0.72*((A14+1)/3)^0.6*('CAPEX+OPEX'!$G$116/'CAPEX+OPEX'!$G$114)</f>
        <v>528015.95740622084</v>
      </c>
      <c r="CT14">
        <f>CO14*(BK14/10000)^0.72*((A14+1)/3)^0.6*('CAPEX+OPEX'!$G$116/'CAPEX+OPEX'!$G$114)</f>
        <v>1357943.8117688675</v>
      </c>
      <c r="CU14">
        <f>CP14*(BK14/10000)^0.72*((A14+1)/3)^0.6*('CAPEX+OPEX'!$G$116/'CAPEX+OPEX'!$G$114)</f>
        <v>261945.7004565605</v>
      </c>
      <c r="CV14">
        <f>CQ14*(BK14/10000)^0.72*((A14+1)/3)^0.6*('CAPEX+OPEX'!$G$116/'CAPEX+OPEX'!$G$114)</f>
        <v>1621486.4378120217</v>
      </c>
      <c r="CW14">
        <f>CR14*(BK14/10000)^0.72*((A14+1)/3)^0.6*('CAPEX+OPEX'!$G$116/'CAPEX+OPEX'!$G$114)</f>
        <v>191441.6658016555</v>
      </c>
      <c r="CX14">
        <f t="shared" si="13"/>
        <v>3960833.5732453261</v>
      </c>
      <c r="CY14">
        <f>CN14*(BM14/10000)^0.72*((AF14+1)/3)^0.6*('CAPEX+OPEX'!$G$116/'CAPEX+OPEX'!$G$114)</f>
        <v>610771.96008263668</v>
      </c>
      <c r="CZ14">
        <f>CO14*(BM14/10000)^0.72*((AF14+1)/3)^0.6*('CAPEX+OPEX'!$G$116/'CAPEX+OPEX'!$G$114)</f>
        <v>1570774.5039949177</v>
      </c>
      <c r="DA14">
        <f>CP14*(BM14/10000)^0.72*((AF14+1)/3)^0.6*('CAPEX+OPEX'!$G$116/'CAPEX+OPEX'!$G$114)</f>
        <v>303000.48068431305</v>
      </c>
      <c r="DB14">
        <f>CQ14*(BM14/10000)^0.72*((AF14+1)/3)^0.6*('CAPEX+OPEX'!$G$116/'CAPEX+OPEX'!$G$114)</f>
        <v>1875622.1965995319</v>
      </c>
      <c r="DC14">
        <f>CR14*(BM14/10000)^0.72*((AF14+1)/3)^0.6*('CAPEX+OPEX'!$G$116/'CAPEX+OPEX'!$G$114)</f>
        <v>221446.34044309024</v>
      </c>
      <c r="DD14">
        <f t="shared" si="14"/>
        <v>4581615.4818044901</v>
      </c>
      <c r="DE14">
        <f>CX14+DD14+1.15*(SUM(CI14:CL14)+SUM(CB14:CE14))</f>
        <v>8607162.2375718839</v>
      </c>
      <c r="DF14">
        <f t="shared" si="15"/>
        <v>573810.81583812565</v>
      </c>
      <c r="DG14">
        <f>(BS14+BT14)*'Oxidant Feed Composition'!$N$29*60*7200</f>
        <v>10131830.831885474</v>
      </c>
      <c r="DH14">
        <f>((CG14+CH14)*'Reagent cost'!$C$17/1000*'Reagent cost'!$H$17+(CG14+CH14)*0.5*'Reagent cost'!$C$16/1000*'Reagent cost'!$H$16*0.5)*60*7200</f>
        <v>3430094.6489293305</v>
      </c>
      <c r="DI14">
        <f>CF14*'Reagent cost'!$C$17/1000*'Reagent cost'!$H$17*60*7200</f>
        <v>504921.59999999998</v>
      </c>
      <c r="DJ14">
        <f t="shared" si="16"/>
        <v>64.119956652812107</v>
      </c>
      <c r="DK14">
        <f t="shared" si="17"/>
        <v>701.49881133904876</v>
      </c>
      <c r="DL14">
        <f t="shared" si="18"/>
        <v>16881135.239499357</v>
      </c>
      <c r="DM14">
        <f>BK14*(B14*(409.81+2)/1000+C14*(248.2+2*22.99)/1000+D14*(315.6+3*22.99)/1000+0.1*58.44/1000)</f>
        <v>0.70639694042110623</v>
      </c>
      <c r="DN14">
        <f>(BS14+BT14)/1000*('Oxidant Feed Composition'!$B$11*'Oxidant Feed Composition'!$O$20+'Oxidant Feed Composition'!$D$11*'Oxidant Feed Composition'!$O$21+'Oxidant Feed Composition'!$F$11*'Oxidant Feed Composition'!$O$27-'Oxidant Feed Composition'!$J$15*18.015)</f>
        <v>2.3718359244208527</v>
      </c>
      <c r="DO14">
        <f>(BU14+BV14)/1000*(0.2*368.34+0.4*58.44)</f>
        <v>1.6424294791751923</v>
      </c>
      <c r="DP14">
        <f>BK14/1000*(B14*195.08+C14*106.42+D14*102.91)</f>
        <v>4.999938342565946E-2</v>
      </c>
      <c r="DQ14">
        <f>SUM(DM14:DO14)-DP14</f>
        <v>4.6706629605914918</v>
      </c>
      <c r="DR14">
        <f>DQ14*60*7200*0.33</f>
        <v>665849.71166192309</v>
      </c>
      <c r="DS14">
        <v>1.2</v>
      </c>
      <c r="DT14">
        <f>BM14/60*(AM14*4+AN14*2+AO14*3)*96485/DV14</f>
        <v>1406.8170158334865</v>
      </c>
      <c r="DU14">
        <f>BN14*BA14*(AP14*4+AQ14*2+AR14*3)*96485/DV14/60</f>
        <v>708.85065593658192</v>
      </c>
      <c r="DV14">
        <v>0.7</v>
      </c>
      <c r="DW14">
        <f>0.499*((BK14/3.78541*15)^(-0.146))*BK14/3.78541*15*300*(1+(A14-2)/9)</f>
        <v>30272.303809866662</v>
      </c>
      <c r="DX14">
        <f>0.248*((BK14/3.78541*15)^(-0.144))*BK14/3.78541*15*300*(1+(A14-2)/3)</f>
        <v>20763.049486147294</v>
      </c>
      <c r="DY14">
        <f>0.105*((BK14/3.78541*15)^(-0.144))*BK14/3.78541*15*300*(1+(A14-2)/3)</f>
        <v>8790.8072421188135</v>
      </c>
      <c r="DZ14">
        <f>0.058*((BK14/3.78541*15)^(-0.151))*BK14/3.78541*15*300*(1+(A14-2)/3)</f>
        <v>4656.7358484871465</v>
      </c>
      <c r="EA14">
        <f>0.056*((BK14/3.78541*15)^(-0.144))*BK14/3.78541*15*300*(1+(A14-2)/3)</f>
        <v>4688.4305291300352</v>
      </c>
      <c r="EB14">
        <f>DS14*DT14/(3.6*10^6)*3600*7200*0.07</f>
        <v>850.84293117609263</v>
      </c>
      <c r="EC14">
        <f>0.499*((BM14/3.78541*15)^(-0.146))*BM14/3.78541*15*300*(1+(AF14-2)/9)</f>
        <v>33465.854401326746</v>
      </c>
      <c r="ED14">
        <f>0.248*((BM14/3.78541*15)^(-0.144))*BM14/3.78541*15*300*(1+(AF14-2)/3)</f>
        <v>27186.734712721038</v>
      </c>
      <c r="EE14">
        <f>0.105*((BM14/3.78541*15)^(-0.144))*BM14/3.78541*15*300*(1+(AF14-2)/3)</f>
        <v>11510.512680789148</v>
      </c>
      <c r="EF14">
        <f>0.058*((BM14/3.78541*15)^(-0.151))*BM14/3.78541*15*300*(1+(AF14-2)/3)</f>
        <v>6100.7772910357944</v>
      </c>
      <c r="EG14">
        <f>0.056*((BM14/3.78541*15)^(-0.144))*BM14/3.78541*15*300*(1+(AF14-2)/3)</f>
        <v>6138.9400964208808</v>
      </c>
      <c r="EH14">
        <f>DS14*DU14/(3.6*10^6)*3600*7200*0.07</f>
        <v>428.71287671044473</v>
      </c>
      <c r="EI14">
        <f>SUM(DW14:EH14)</f>
        <v>154853.70190593012</v>
      </c>
      <c r="EJ14">
        <f>EI14+DR14+DL14</f>
        <v>17701838.653067209</v>
      </c>
      <c r="EK14">
        <f>EJ14+DF14</f>
        <v>18275649.468905333</v>
      </c>
      <c r="EL14">
        <f>EK14/(BK14*60*7200)</f>
        <v>0.42304744140984568</v>
      </c>
      <c r="EM14">
        <f>EK14/(BM14*(AM14*195.084/1000+AN14*106.42/1000+AO14*102.911/1000)*60*7200)</f>
        <v>1415.6357267568467</v>
      </c>
      <c r="EN14">
        <f>EK14/(BN14*BA14*(AP14*195.084/1000+AQ14*106.42/1000+AR14*102.911/1000)*60*7200)</f>
        <v>2586.4655808576363</v>
      </c>
    </row>
    <row r="15" spans="1:144">
      <c r="A15">
        <f>'Costing 100 Lmin Feed Orig'!A15</f>
        <v>4</v>
      </c>
      <c r="B15">
        <f>'Costing 100 Lmin Feed Orig'!B15</f>
        <v>1.54143585092054E-3</v>
      </c>
      <c r="C15">
        <f>'Costing 100 Lmin Feed Orig'!C15</f>
        <v>1.54143585092054E-3</v>
      </c>
      <c r="D15">
        <f>'Costing 100 Lmin Feed Orig'!D15</f>
        <v>3.4254130020456501E-4</v>
      </c>
      <c r="E15">
        <f>'Costing 100 Lmin Feed Orig'!E15</f>
        <v>0</v>
      </c>
      <c r="F15">
        <f>'Costing 100 Lmin Feed Orig'!F15</f>
        <v>0</v>
      </c>
      <c r="G15">
        <f>'Costing 100 Lmin Feed Orig'!G15</f>
        <v>0</v>
      </c>
      <c r="H15">
        <f>'Costing 100 Lmin Feed Orig'!H15</f>
        <v>1.7208960911287699E-5</v>
      </c>
      <c r="I15">
        <f>'Costing 100 Lmin Feed Orig'!I15</f>
        <v>2.8768784818324402E-7</v>
      </c>
      <c r="J15">
        <f>'Costing 100 Lmin Feed Orig'!J15</f>
        <v>3.3243632642994598E-4</v>
      </c>
      <c r="K15">
        <f>'Costing 100 Lmin Feed Orig'!K15</f>
        <v>0.10920586178936199</v>
      </c>
      <c r="L15">
        <f>'Costing 100 Lmin Feed Orig'!L15</f>
        <v>0.110418215553449</v>
      </c>
      <c r="M15">
        <f>'Costing 100 Lmin Feed Orig'!M15</f>
        <v>7.2398825703009801E-4</v>
      </c>
      <c r="N15">
        <f>'Costing 100 Lmin Feed Orig'!N15</f>
        <v>-2.168404344971E-18</v>
      </c>
      <c r="O15">
        <f>'Costing 100 Lmin Feed Orig'!O15</f>
        <v>2.3635607360183901E-17</v>
      </c>
      <c r="P15">
        <f>'Costing 100 Lmin Feed Orig'!P15</f>
        <v>-7.4538899358378406E-20</v>
      </c>
      <c r="Q15">
        <f>'Costing 100 Lmin Feed Orig'!Q15</f>
        <v>0.13957372480144001</v>
      </c>
      <c r="R15">
        <f>'Costing 100 Lmin Feed Orig'!R15</f>
        <v>97.0499984181222</v>
      </c>
      <c r="S15">
        <f>'Costing 100 Lmin Feed Orig'!S15</f>
        <v>500</v>
      </c>
      <c r="T15">
        <f>'Costing 100 Lmin Feed Orig'!T15</f>
        <v>95</v>
      </c>
      <c r="U15">
        <f>'Costing 100 Lmin Feed Orig'!U15</f>
        <v>1</v>
      </c>
      <c r="V15">
        <f>'Costing 100 Lmin Feed Orig'!V15</f>
        <v>0.1</v>
      </c>
      <c r="W15">
        <f>'Costing 100 Lmin Feed Orig'!W15</f>
        <v>71.646723007687299</v>
      </c>
      <c r="X15" t="str">
        <f>'Costing 100 Lmin Feed Orig'!X15</f>
        <v>ddFc</v>
      </c>
      <c r="Y15">
        <f>'Costing 100 Lmin Feed Orig'!Y15</f>
        <v>1</v>
      </c>
      <c r="Z15">
        <f>'Costing 100 Lmin Feed Orig'!Z15</f>
        <v>0.28318429382522198</v>
      </c>
      <c r="AA15">
        <f>'Costing 100 Lmin Feed Orig'!AA15</f>
        <v>0.56945642916197003</v>
      </c>
      <c r="AB15">
        <f>'Costing 100 Lmin Feed Orig'!AB15</f>
        <v>3.7698628972227502E-3</v>
      </c>
      <c r="AC15">
        <f>'Costing 100 Lmin Feed Orig'!AC15</f>
        <v>1822.2107908876901</v>
      </c>
      <c r="AD15">
        <f>'Costing 100 Lmin Feed Orig'!AD15</f>
        <v>2662.6059073104898</v>
      </c>
      <c r="AE15">
        <f>'Costing 100 Lmin Feed Orig'!AE15</f>
        <v>2401.5030938442701</v>
      </c>
      <c r="AF15">
        <f>'Costing 100 Lmin Feed Orig'!AF15</f>
        <v>7</v>
      </c>
      <c r="AG15">
        <f>'Costing 100 Lmin Feed Orig'!AG15</f>
        <v>1.6481650483119699E-3</v>
      </c>
      <c r="AH15">
        <f>'Costing 100 Lmin Feed Orig'!AH15</f>
        <v>1.6664622263884801E-3</v>
      </c>
      <c r="AI15">
        <f>'Costing 100 Lmin Feed Orig'!AI15</f>
        <v>1.0926630870116399E-5</v>
      </c>
      <c r="AJ15">
        <f>'Costing 100 Lmin Feed Orig'!AJ15</f>
        <v>0</v>
      </c>
      <c r="AK15">
        <f>'Costing 100 Lmin Feed Orig'!AK15</f>
        <v>0</v>
      </c>
      <c r="AL15">
        <f>'Costing 100 Lmin Feed Orig'!AL15</f>
        <v>0</v>
      </c>
      <c r="AM15">
        <f>'Costing 100 Lmin Feed Orig'!AM15</f>
        <v>1.61090754837377E-3</v>
      </c>
      <c r="AN15">
        <f>'Costing 100 Lmin Feed Orig'!AN15</f>
        <v>7.3930491403475195E-5</v>
      </c>
      <c r="AO15">
        <f>'Costing 100 Lmin Feed Orig'!AO15</f>
        <v>1.08541164056693E-5</v>
      </c>
      <c r="AP15">
        <f>'Costing 100 Lmin Feed Orig'!AP15</f>
        <v>1.73922906321953E-3</v>
      </c>
      <c r="AQ15">
        <f>'Costing 100 Lmin Feed Orig'!AQ15</f>
        <v>7.4341474522921697E-2</v>
      </c>
      <c r="AR15">
        <f>'Costing 100 Lmin Feed Orig'!AR15</f>
        <v>3.3850705039854299E-6</v>
      </c>
      <c r="AS15">
        <f>'Costing 100 Lmin Feed Orig'!AS15</f>
        <v>6.2377335826972699E-15</v>
      </c>
      <c r="AT15">
        <f>'Costing 100 Lmin Feed Orig'!AT15</f>
        <v>-2.31652956365902E-12</v>
      </c>
      <c r="AU15">
        <f>'Costing 100 Lmin Feed Orig'!AU15</f>
        <v>-1.8555315500789499E-20</v>
      </c>
      <c r="AV15">
        <f>'Costing 100 Lmin Feed Orig'!AV15</f>
        <v>0.19810974742489201</v>
      </c>
      <c r="AW15">
        <f>'Costing 100 Lmin Feed Orig'!AW15</f>
        <v>99.336351110337105</v>
      </c>
      <c r="AX15">
        <f>'Costing 100 Lmin Feed Orig'!AX15</f>
        <v>500</v>
      </c>
      <c r="AY15">
        <f>'Costing 100 Lmin Feed Orig'!AY15</f>
        <v>95</v>
      </c>
      <c r="AZ15">
        <f>'Costing 100 Lmin Feed Orig'!AZ15</f>
        <v>0.92480233795174105</v>
      </c>
      <c r="BA15">
        <f>'Costing 100 Lmin Feed Orig'!BA15</f>
        <v>0.1</v>
      </c>
      <c r="BB15">
        <f>'Costing 100 Lmin Feed Orig'!BB15</f>
        <v>46.681314270129498</v>
      </c>
      <c r="BC15" t="str">
        <f>'Costing 100 Lmin Feed Orig'!BC15</f>
        <v>coeFc</v>
      </c>
      <c r="BD15">
        <f>'Costing 100 Lmin Feed Orig'!BD15</f>
        <v>1</v>
      </c>
      <c r="BE15">
        <f>'Costing 100 Lmin Feed Orig'!BE15</f>
        <v>1.8775014999999999E-2</v>
      </c>
      <c r="BF15">
        <f>'Costing 100 Lmin Feed Orig'!BF15</f>
        <v>0.10492961100000001</v>
      </c>
      <c r="BG15">
        <f>'Costing 100 Lmin Feed Orig'!BG15</f>
        <v>1.814625E-3</v>
      </c>
      <c r="BH15">
        <f>'Costing 100 Lmin Feed Orig'!BH15</f>
        <v>285.1951444</v>
      </c>
      <c r="BI15">
        <f>'Costing 100 Lmin Feed Orig'!BI15</f>
        <v>2169.8944889999998</v>
      </c>
      <c r="BJ15">
        <f>'Costing 100 Lmin Feed Orig'!BJ15</f>
        <v>866.49409060000005</v>
      </c>
      <c r="BK15">
        <f>'Costing 100 Lmin Feed Orig'!BK15</f>
        <v>100</v>
      </c>
      <c r="BL15">
        <f>'Costing 100 Lmin Feed Orig'!BL15</f>
        <v>13.957372480144</v>
      </c>
      <c r="BM15">
        <f>'Costing 100 Lmin Feed Orig'!BM15</f>
        <v>92.480233795174101</v>
      </c>
      <c r="BN15">
        <f>'Costing 100 Lmin Feed Orig'!BN15</f>
        <v>19.810974742489201</v>
      </c>
      <c r="BO15">
        <f t="shared" si="1"/>
        <v>167.488469761728</v>
      </c>
      <c r="BP15">
        <f t="shared" si="2"/>
        <v>356.59754536480563</v>
      </c>
      <c r="BQ15">
        <f t="shared" si="3"/>
        <v>16.7488469761728</v>
      </c>
      <c r="BR15">
        <f t="shared" si="4"/>
        <v>35.659754536480563</v>
      </c>
      <c r="BS15">
        <f>1.2*0.5*BL15*V15/'Oxidant Feed Composition'!$N$22</f>
        <v>8.3744234880863999</v>
      </c>
      <c r="BT15">
        <f>1.2*0.5*BN15*BA15/'Oxidant Feed Composition'!$N$22</f>
        <v>11.88658484549352</v>
      </c>
      <c r="BU15">
        <f t="shared" si="5"/>
        <v>6.9786862400720002</v>
      </c>
      <c r="BV15">
        <f t="shared" si="6"/>
        <v>9.9054873712446003</v>
      </c>
      <c r="BW15">
        <f t="shared" si="7"/>
        <v>85.501547555102107</v>
      </c>
      <c r="BX15">
        <f t="shared" si="0"/>
        <v>44.663591936460804</v>
      </c>
      <c r="BY15">
        <f t="shared" si="8"/>
        <v>212.87521255063621</v>
      </c>
      <c r="BZ15">
        <f t="shared" si="9"/>
        <v>63.395119175965441</v>
      </c>
      <c r="CA15">
        <f t="shared" si="10"/>
        <v>59.432924227467602</v>
      </c>
      <c r="CB15">
        <f>BO15*'Reagent cost'!$G$11*'Reagent cost'!$H$11</f>
        <v>2210.8478008548095</v>
      </c>
      <c r="CC15">
        <f>BP15*'Reagent cost'!$G$11*'Reagent cost'!$H$11</f>
        <v>4707.0875988154348</v>
      </c>
      <c r="CD15">
        <f>BQ15*'Reagent cost'!$C$18/1000*'Reagent cost'!$H$18</f>
        <v>2671.1136977461792</v>
      </c>
      <c r="CE15">
        <f>BR15*'Ligand cost'!$B$56*'Ligand cost'!$J$56</f>
        <v>36306.185007612978</v>
      </c>
      <c r="CF15">
        <f t="shared" si="11"/>
        <v>10</v>
      </c>
      <c r="CG15">
        <f t="shared" si="12"/>
        <v>2.7914744960288003</v>
      </c>
      <c r="CH15">
        <f t="shared" si="12"/>
        <v>3.9621949484978405</v>
      </c>
      <c r="CI15">
        <f>7963.6*(BX15/1000)^0.6*1.7*('CAPEX+OPEX'!$G$116/'CAPEX+OPEX'!$G$115)</f>
        <v>2472.9373618126128</v>
      </c>
      <c r="CJ15">
        <f>7963.6*(BY15/1000)^0.6*1.7*('CAPEX+OPEX'!$G$116/'CAPEX+OPEX'!$G$115)</f>
        <v>6311.2587327211604</v>
      </c>
      <c r="CK15">
        <f>7963.6*(BZ15/1000)^0.6*1.7*('CAPEX+OPEX'!$G$116/'CAPEX+OPEX'!$G$115)</f>
        <v>3051.226316256721</v>
      </c>
      <c r="CL15">
        <f>7963.6*(CA15/1000)^0.6*1.7*('CAPEX+OPEX'!$G$116/'CAPEX+OPEX'!$G$115)</f>
        <v>2935.3317170403893</v>
      </c>
      <c r="CM15">
        <f>'Costing 100 Lmin Feed Orig'!DE15</f>
        <v>39625.826528698344</v>
      </c>
      <c r="CN15">
        <f>'Costing 100 Lmin Feed Orig'!DF15</f>
        <v>4586243.4239371875</v>
      </c>
      <c r="CO15">
        <f>'Costing 100 Lmin Feed Orig'!DG15</f>
        <v>11794834.586807497</v>
      </c>
      <c r="CP15">
        <f>'Costing 100 Lmin Feed Orig'!DH15</f>
        <v>2275209.1661185985</v>
      </c>
      <c r="CQ15">
        <f>'Costing 100 Lmin Feed Orig'!DI15</f>
        <v>14083914.336508472</v>
      </c>
      <c r="CR15">
        <f>'Costing 100 Lmin Feed Orig'!DJ15</f>
        <v>1662824.8986326549</v>
      </c>
      <c r="CS15">
        <f>CN15*(BK15/10000)^0.72*((A15+1)/3)^0.6*('CAPEX+OPEX'!$G$116/'CAPEX+OPEX'!$G$114)</f>
        <v>528015.95740622084</v>
      </c>
      <c r="CT15">
        <f>CO15*(BK15/10000)^0.72*((A15+1)/3)^0.6*('CAPEX+OPEX'!$G$116/'CAPEX+OPEX'!$G$114)</f>
        <v>1357943.8117688675</v>
      </c>
      <c r="CU15">
        <f>CP15*(BK15/10000)^0.72*((A15+1)/3)^0.6*('CAPEX+OPEX'!$G$116/'CAPEX+OPEX'!$G$114)</f>
        <v>261945.7004565605</v>
      </c>
      <c r="CV15">
        <f>CQ15*(BK15/10000)^0.72*((A15+1)/3)^0.6*('CAPEX+OPEX'!$G$116/'CAPEX+OPEX'!$G$114)</f>
        <v>1621486.4378120217</v>
      </c>
      <c r="CW15">
        <f>CR15*(BK15/10000)^0.72*((A15+1)/3)^0.6*('CAPEX+OPEX'!$G$116/'CAPEX+OPEX'!$G$114)</f>
        <v>191441.6658016555</v>
      </c>
      <c r="CX15">
        <f t="shared" si="13"/>
        <v>3960833.5732453261</v>
      </c>
      <c r="CY15">
        <f>CN15*(BM15/10000)^0.72*((AF15+1)/3)^0.6*('CAPEX+OPEX'!$G$116/'CAPEX+OPEX'!$G$114)</f>
        <v>661719.9968599478</v>
      </c>
      <c r="CZ15">
        <f>CO15*(BM15/10000)^0.72*((AF15+1)/3)^0.6*('CAPEX+OPEX'!$G$116/'CAPEX+OPEX'!$G$114)</f>
        <v>1701801.9290056669</v>
      </c>
      <c r="DA15">
        <f>CP15*(BM15/10000)^0.72*((AF15+1)/3)^0.6*('CAPEX+OPEX'!$G$116/'CAPEX+OPEX'!$G$114)</f>
        <v>328275.51071574847</v>
      </c>
      <c r="DB15">
        <f>CQ15*(BM15/10000)^0.72*((AF15+1)/3)^0.6*('CAPEX+OPEX'!$G$116/'CAPEX+OPEX'!$G$114)</f>
        <v>2032078.7383172708</v>
      </c>
      <c r="DC15">
        <f>CR15*(BM15/10000)^0.72*((AF15+1)/3)^0.6*('CAPEX+OPEX'!$G$116/'CAPEX+OPEX'!$G$114)</f>
        <v>239918.46594074578</v>
      </c>
      <c r="DD15">
        <f t="shared" si="14"/>
        <v>4963794.6408393793</v>
      </c>
      <c r="DE15">
        <f>CX15+DD15+1.15*(SUM(CI15:CL15)+SUM(CB15:CE15))</f>
        <v>8994394.1005524956</v>
      </c>
      <c r="DF15">
        <f t="shared" si="15"/>
        <v>599626.27337016643</v>
      </c>
      <c r="DG15">
        <f>(BS15+BT15)*'Oxidant Feed Composition'!$N$29*60*7200</f>
        <v>10107638.403225016</v>
      </c>
      <c r="DH15">
        <f>((CG15+CH15)*'Reagent cost'!$C$17/1000*'Reagent cost'!$H$17+(CG15+CH15)*0.5*'Reagent cost'!$C$16/1000*'Reagent cost'!$H$16*0.5)*60*7200</f>
        <v>3421904.3897876469</v>
      </c>
      <c r="DI15">
        <f>CF15*'Reagent cost'!$C$17/1000*'Reagent cost'!$H$17*60*7200</f>
        <v>504921.59999999998</v>
      </c>
      <c r="DJ15">
        <f t="shared" si="16"/>
        <v>69.179353996702446</v>
      </c>
      <c r="DK15">
        <f t="shared" si="17"/>
        <v>779.54597410718316</v>
      </c>
      <c r="DL15">
        <f t="shared" si="18"/>
        <v>16842375.742008921</v>
      </c>
      <c r="DM15">
        <f>BK15*(B15*(409.81+2)/1000+C15*(248.2+2*22.99)/1000+D15*(315.6+3*22.99)/1000+0.1*58.44/1000)</f>
        <v>0.70639694042110623</v>
      </c>
      <c r="DN15">
        <f>(BS15+BT15)/1000*('Oxidant Feed Composition'!$B$11*'Oxidant Feed Composition'!$O$20+'Oxidant Feed Composition'!$D$11*'Oxidant Feed Composition'!$O$21+'Oxidant Feed Composition'!$F$11*'Oxidant Feed Composition'!$O$27-'Oxidant Feed Composition'!$J$15*18.015)</f>
        <v>2.3661725381732972</v>
      </c>
      <c r="DO15">
        <f>(BU15+BV15)/1000*(0.2*368.34+0.4*58.44)</f>
        <v>1.638507743936608</v>
      </c>
      <c r="DP15">
        <f>BK15/1000*(B15*195.08+C15*106.42+D15*102.91)</f>
        <v>4.999938342565946E-2</v>
      </c>
      <c r="DQ15">
        <f>SUM(DM15:DO15)-DP15</f>
        <v>4.661077839105352</v>
      </c>
      <c r="DR15">
        <f>DQ15*60*7200*0.33</f>
        <v>664483.25674285903</v>
      </c>
      <c r="DS15">
        <v>1.2</v>
      </c>
      <c r="DT15">
        <f>BM15/60*(AM15*4+AN15*2+AO15*3)*96485/DV15</f>
        <v>1407.2889022715001</v>
      </c>
      <c r="DU15">
        <f>BN15*BA15*(AP15*4+AQ15*2+AR15*3)*96485/DV15/60</f>
        <v>708.37877055417789</v>
      </c>
      <c r="DV15">
        <v>0.7</v>
      </c>
      <c r="DW15">
        <f>0.499*((BK15/3.78541*15)^(-0.146))*BK15/3.78541*15*300*(1+(A15-2)/9)</f>
        <v>30272.303809866662</v>
      </c>
      <c r="DX15">
        <f>0.248*((BK15/3.78541*15)^(-0.144))*BK15/3.78541*15*300*(1+(A15-2)/3)</f>
        <v>20763.049486147294</v>
      </c>
      <c r="DY15">
        <f>0.105*((BK15/3.78541*15)^(-0.144))*BK15/3.78541*15*300*(1+(A15-2)/3)</f>
        <v>8790.8072421188135</v>
      </c>
      <c r="DZ15">
        <f>0.058*((BK15/3.78541*15)^(-0.151))*BK15/3.78541*15*300*(1+(A15-2)/3)</f>
        <v>4656.7358484871465</v>
      </c>
      <c r="EA15">
        <f>0.056*((BK15/3.78541*15)^(-0.144))*BK15/3.78541*15*300*(1+(A15-2)/3)</f>
        <v>4688.4305291300352</v>
      </c>
      <c r="EB15">
        <f>DS15*DT15/(3.6*10^6)*3600*7200*0.07</f>
        <v>851.12832809380325</v>
      </c>
      <c r="EC15">
        <f>0.499*((BM15/3.78541*15)^(-0.146))*BM15/3.78541*15*300*(1+(AF15-2)/9)</f>
        <v>36040.1508937365</v>
      </c>
      <c r="ED15">
        <f>0.248*((BM15/3.78541*15)^(-0.144))*BM15/3.78541*15*300*(1+(AF15-2)/3)</f>
        <v>31070.553957395477</v>
      </c>
      <c r="EE15">
        <f>0.105*((BM15/3.78541*15)^(-0.144))*BM15/3.78541*15*300*(1+(AF15-2)/3)</f>
        <v>13154.871635187601</v>
      </c>
      <c r="EF15">
        <f>0.058*((BM15/3.78541*15)^(-0.151))*BM15/3.78541*15*300*(1+(AF15-2)/3)</f>
        <v>6972.3169040409093</v>
      </c>
      <c r="EG15">
        <f>0.056*((BM15/3.78541*15)^(-0.144))*BM15/3.78541*15*300*(1+(AF15-2)/3)</f>
        <v>7015.931538766723</v>
      </c>
      <c r="EH15">
        <f>DS15*DU15/(3.6*10^6)*3600*7200*0.07</f>
        <v>428.42748043116683</v>
      </c>
      <c r="EI15">
        <f>SUM(DW15:EH15)</f>
        <v>164704.70765340209</v>
      </c>
      <c r="EJ15">
        <f>EI15+DR15+DL15</f>
        <v>17671563.706405181</v>
      </c>
      <c r="EK15">
        <f>EJ15+DF15</f>
        <v>18271189.979775347</v>
      </c>
      <c r="EL15">
        <f>EK15/(BK15*60*7200)</f>
        <v>0.42294421249479969</v>
      </c>
      <c r="EM15">
        <f>EK15/(BM15*(AM15*195.084/1000+AN15*106.42/1000+AO15*102.911/1000)*60*7200)</f>
        <v>1414.8151209525006</v>
      </c>
      <c r="EN15">
        <f>EK15/(BN15*BA15*(AP15*195.084/1000+AQ15*106.42/1000+AR15*102.911/1000)*60*7200)</f>
        <v>2587.4221684476215</v>
      </c>
    </row>
    <row r="16" spans="1:144">
      <c r="A16">
        <f>'Costing 100 Lmin Feed Orig'!A16</f>
        <v>4</v>
      </c>
      <c r="B16">
        <f>'Costing 100 Lmin Feed Orig'!B16</f>
        <v>1.54143585092054E-3</v>
      </c>
      <c r="C16">
        <f>'Costing 100 Lmin Feed Orig'!C16</f>
        <v>1.54143585092054E-3</v>
      </c>
      <c r="D16">
        <f>'Costing 100 Lmin Feed Orig'!D16</f>
        <v>3.4254130020456501E-4</v>
      </c>
      <c r="E16">
        <f>'Costing 100 Lmin Feed Orig'!E16</f>
        <v>0</v>
      </c>
      <c r="F16">
        <f>'Costing 100 Lmin Feed Orig'!F16</f>
        <v>0</v>
      </c>
      <c r="G16">
        <f>'Costing 100 Lmin Feed Orig'!G16</f>
        <v>0</v>
      </c>
      <c r="H16">
        <f>'Costing 100 Lmin Feed Orig'!H16</f>
        <v>1.7208960911287699E-5</v>
      </c>
      <c r="I16">
        <f>'Costing 100 Lmin Feed Orig'!I16</f>
        <v>2.8768784818324402E-7</v>
      </c>
      <c r="J16">
        <f>'Costing 100 Lmin Feed Orig'!J16</f>
        <v>3.3243632642994598E-4</v>
      </c>
      <c r="K16">
        <f>'Costing 100 Lmin Feed Orig'!K16</f>
        <v>0.10920586178936199</v>
      </c>
      <c r="L16">
        <f>'Costing 100 Lmin Feed Orig'!L16</f>
        <v>0.110418215553449</v>
      </c>
      <c r="M16">
        <f>'Costing 100 Lmin Feed Orig'!M16</f>
        <v>7.2398825703009801E-4</v>
      </c>
      <c r="N16">
        <f>'Costing 100 Lmin Feed Orig'!N16</f>
        <v>-2.168404344971E-18</v>
      </c>
      <c r="O16">
        <f>'Costing 100 Lmin Feed Orig'!O16</f>
        <v>2.3635607360183901E-17</v>
      </c>
      <c r="P16">
        <f>'Costing 100 Lmin Feed Orig'!P16</f>
        <v>-7.4538899358378406E-20</v>
      </c>
      <c r="Q16">
        <f>'Costing 100 Lmin Feed Orig'!Q16</f>
        <v>0.13957372480144001</v>
      </c>
      <c r="R16">
        <f>'Costing 100 Lmin Feed Orig'!R16</f>
        <v>97.0499984181222</v>
      </c>
      <c r="S16">
        <f>'Costing 100 Lmin Feed Orig'!S16</f>
        <v>500</v>
      </c>
      <c r="T16">
        <f>'Costing 100 Lmin Feed Orig'!T16</f>
        <v>95</v>
      </c>
      <c r="U16">
        <f>'Costing 100 Lmin Feed Orig'!U16</f>
        <v>1</v>
      </c>
      <c r="V16">
        <f>'Costing 100 Lmin Feed Orig'!V16</f>
        <v>0.1</v>
      </c>
      <c r="W16">
        <f>'Costing 100 Lmin Feed Orig'!W16</f>
        <v>71.646723007687299</v>
      </c>
      <c r="X16" t="str">
        <f>'Costing 100 Lmin Feed Orig'!X16</f>
        <v>ddFc</v>
      </c>
      <c r="Y16">
        <f>'Costing 100 Lmin Feed Orig'!Y16</f>
        <v>1</v>
      </c>
      <c r="Z16">
        <f>'Costing 100 Lmin Feed Orig'!Z16</f>
        <v>0.28318429382522198</v>
      </c>
      <c r="AA16">
        <f>'Costing 100 Lmin Feed Orig'!AA16</f>
        <v>0.56945642916197003</v>
      </c>
      <c r="AB16">
        <f>'Costing 100 Lmin Feed Orig'!AB16</f>
        <v>3.7698628972227502E-3</v>
      </c>
      <c r="AC16">
        <f>'Costing 100 Lmin Feed Orig'!AC16</f>
        <v>1822.2107908876901</v>
      </c>
      <c r="AD16">
        <f>'Costing 100 Lmin Feed Orig'!AD16</f>
        <v>2662.6059073104898</v>
      </c>
      <c r="AE16">
        <f>'Costing 100 Lmin Feed Orig'!AE16</f>
        <v>2401.5030938442701</v>
      </c>
      <c r="AF16">
        <f>'Costing 100 Lmin Feed Orig'!AF16</f>
        <v>8</v>
      </c>
      <c r="AG16">
        <f>'Costing 100 Lmin Feed Orig'!AG16</f>
        <v>1.6481650483119699E-3</v>
      </c>
      <c r="AH16">
        <f>'Costing 100 Lmin Feed Orig'!AH16</f>
        <v>1.6664622263884801E-3</v>
      </c>
      <c r="AI16">
        <f>'Costing 100 Lmin Feed Orig'!AI16</f>
        <v>1.0926630870116399E-5</v>
      </c>
      <c r="AJ16">
        <f>'Costing 100 Lmin Feed Orig'!AJ16</f>
        <v>0</v>
      </c>
      <c r="AK16">
        <f>'Costing 100 Lmin Feed Orig'!AK16</f>
        <v>0</v>
      </c>
      <c r="AL16">
        <f>'Costing 100 Lmin Feed Orig'!AL16</f>
        <v>0</v>
      </c>
      <c r="AM16">
        <f>'Costing 100 Lmin Feed Orig'!AM16</f>
        <v>1.6110629319685101E-3</v>
      </c>
      <c r="AN16">
        <f>'Costing 100 Lmin Feed Orig'!AN16</f>
        <v>7.3938379507668505E-5</v>
      </c>
      <c r="AO16">
        <f>'Costing 100 Lmin Feed Orig'!AO16</f>
        <v>1.085440638541E-5</v>
      </c>
      <c r="AP16">
        <f>'Costing 100 Lmin Feed Orig'!AP16</f>
        <v>1.73400814806823E-3</v>
      </c>
      <c r="AQ16">
        <f>'Costing 100 Lmin Feed Orig'!AQ16</f>
        <v>7.4428350688171094E-2</v>
      </c>
      <c r="AR16">
        <f>'Costing 100 Lmin Feed Orig'!AR16</f>
        <v>3.37549060036281E-6</v>
      </c>
      <c r="AS16">
        <f>'Costing 100 Lmin Feed Orig'!AS16</f>
        <v>-2.23616698075135E-19</v>
      </c>
      <c r="AT16">
        <f>'Costing 100 Lmin Feed Orig'!AT16</f>
        <v>-1.3010426069825999E-18</v>
      </c>
      <c r="AU16">
        <f>'Costing 100 Lmin Feed Orig'!AU16</f>
        <v>-9.26442286059391E-23</v>
      </c>
      <c r="AV16">
        <f>'Costing 100 Lmin Feed Orig'!AV16</f>
        <v>0.19787752425277699</v>
      </c>
      <c r="AW16">
        <f>'Costing 100 Lmin Feed Orig'!AW16</f>
        <v>99.339004990971901</v>
      </c>
      <c r="AX16">
        <f>'Costing 100 Lmin Feed Orig'!AX16</f>
        <v>500</v>
      </c>
      <c r="AY16">
        <f>'Costing 100 Lmin Feed Orig'!AY16</f>
        <v>95</v>
      </c>
      <c r="AZ16">
        <f>'Costing 100 Lmin Feed Orig'!AZ16</f>
        <v>0.92480233795174105</v>
      </c>
      <c r="BA16">
        <f>'Costing 100 Lmin Feed Orig'!BA16</f>
        <v>0.1</v>
      </c>
      <c r="BB16">
        <f>'Costing 100 Lmin Feed Orig'!BB16</f>
        <v>46.736098070964097</v>
      </c>
      <c r="BC16" t="str">
        <f>'Costing 100 Lmin Feed Orig'!BC16</f>
        <v>coeFc</v>
      </c>
      <c r="BD16">
        <f>'Costing 100 Lmin Feed Orig'!BD16</f>
        <v>1</v>
      </c>
      <c r="BE16">
        <f>'Costing 100 Lmin Feed Orig'!BE16</f>
        <v>1.8775014999999999E-2</v>
      </c>
      <c r="BF16">
        <f>'Costing 100 Lmin Feed Orig'!BF16</f>
        <v>0.10492961100000001</v>
      </c>
      <c r="BG16">
        <f>'Costing 100 Lmin Feed Orig'!BG16</f>
        <v>1.814625E-3</v>
      </c>
      <c r="BH16">
        <f>'Costing 100 Lmin Feed Orig'!BH16</f>
        <v>285.1951444</v>
      </c>
      <c r="BI16">
        <f>'Costing 100 Lmin Feed Orig'!BI16</f>
        <v>2169.8944889999998</v>
      </c>
      <c r="BJ16">
        <f>'Costing 100 Lmin Feed Orig'!BJ16</f>
        <v>866.49409060000005</v>
      </c>
      <c r="BK16">
        <f>'Costing 100 Lmin Feed Orig'!BK16</f>
        <v>100</v>
      </c>
      <c r="BL16">
        <f>'Costing 100 Lmin Feed Orig'!BL16</f>
        <v>13.957372480144</v>
      </c>
      <c r="BM16">
        <f>'Costing 100 Lmin Feed Orig'!BM16</f>
        <v>92.480233795174101</v>
      </c>
      <c r="BN16">
        <f>'Costing 100 Lmin Feed Orig'!BN16</f>
        <v>19.787752425277699</v>
      </c>
      <c r="BO16">
        <f t="shared" si="1"/>
        <v>167.488469761728</v>
      </c>
      <c r="BP16">
        <f t="shared" si="2"/>
        <v>395.75504850555399</v>
      </c>
      <c r="BQ16">
        <f t="shared" si="3"/>
        <v>16.7488469761728</v>
      </c>
      <c r="BR16">
        <f t="shared" si="4"/>
        <v>39.575504850555404</v>
      </c>
      <c r="BS16">
        <f>1.2*0.5*BL16*V16/'Oxidant Feed Composition'!$N$22</f>
        <v>8.3744234880863999</v>
      </c>
      <c r="BT16">
        <f>1.2*0.5*BN16*BA16/'Oxidant Feed Composition'!$N$22</f>
        <v>11.872651455166618</v>
      </c>
      <c r="BU16">
        <f t="shared" si="5"/>
        <v>6.9786862400720002</v>
      </c>
      <c r="BV16">
        <f t="shared" si="6"/>
        <v>9.8938762126388493</v>
      </c>
      <c r="BW16">
        <f t="shared" si="7"/>
        <v>85.501547555102107</v>
      </c>
      <c r="BX16">
        <f t="shared" si="0"/>
        <v>44.663591936460804</v>
      </c>
      <c r="BY16">
        <f t="shared" si="8"/>
        <v>212.87521255063621</v>
      </c>
      <c r="BZ16">
        <f t="shared" si="9"/>
        <v>63.320807760888634</v>
      </c>
      <c r="CA16">
        <f t="shared" si="10"/>
        <v>59.363257275833092</v>
      </c>
      <c r="CB16">
        <f>BO16*'Reagent cost'!$G$11*'Reagent cost'!$H$11</f>
        <v>2210.8478008548095</v>
      </c>
      <c r="CC16">
        <f>BP16*'Reagent cost'!$G$11*'Reagent cost'!$H$11</f>
        <v>5223.9666402733128</v>
      </c>
      <c r="CD16">
        <f>BQ16*'Reagent cost'!$C$18/1000*'Reagent cost'!$H$18</f>
        <v>2671.1136977461792</v>
      </c>
      <c r="CE16">
        <f>BR16*'Ligand cost'!$B$56*'Ligand cost'!$J$56</f>
        <v>40292.918993708743</v>
      </c>
      <c r="CF16">
        <f t="shared" si="11"/>
        <v>10</v>
      </c>
      <c r="CG16">
        <f t="shared" si="12"/>
        <v>2.7914744960288003</v>
      </c>
      <c r="CH16">
        <f t="shared" si="12"/>
        <v>3.9575504850555401</v>
      </c>
      <c r="CI16">
        <f>7963.6*(BX16/1000)^0.6*1.7*('CAPEX+OPEX'!$G$116/'CAPEX+OPEX'!$G$115)</f>
        <v>2472.9373618126128</v>
      </c>
      <c r="CJ16">
        <f>7963.6*(BY16/1000)^0.6*1.7*('CAPEX+OPEX'!$G$116/'CAPEX+OPEX'!$G$115)</f>
        <v>6311.2587327211604</v>
      </c>
      <c r="CK16">
        <f>7963.6*(BZ16/1000)^0.6*1.7*('CAPEX+OPEX'!$G$116/'CAPEX+OPEX'!$G$115)</f>
        <v>3049.0798343108368</v>
      </c>
      <c r="CL16">
        <f>7963.6*(CA16/1000)^0.6*1.7*('CAPEX+OPEX'!$G$116/'CAPEX+OPEX'!$G$115)</f>
        <v>2933.2667648268352</v>
      </c>
      <c r="CM16">
        <f>'Costing 100 Lmin Feed Orig'!DE16</f>
        <v>39625.826528698344</v>
      </c>
      <c r="CN16">
        <f>'Costing 100 Lmin Feed Orig'!DF16</f>
        <v>4586243.4239371875</v>
      </c>
      <c r="CO16">
        <f>'Costing 100 Lmin Feed Orig'!DG16</f>
        <v>11794834.586807497</v>
      </c>
      <c r="CP16">
        <f>'Costing 100 Lmin Feed Orig'!DH16</f>
        <v>2275209.1661185985</v>
      </c>
      <c r="CQ16">
        <f>'Costing 100 Lmin Feed Orig'!DI16</f>
        <v>14083914.336508472</v>
      </c>
      <c r="CR16">
        <f>'Costing 100 Lmin Feed Orig'!DJ16</f>
        <v>1662824.8986326549</v>
      </c>
      <c r="CS16">
        <f>CN16*(BK16/10000)^0.72*((A16+1)/3)^0.6*('CAPEX+OPEX'!$G$116/'CAPEX+OPEX'!$G$114)</f>
        <v>528015.95740622084</v>
      </c>
      <c r="CT16">
        <f>CO16*(BK16/10000)^0.72*((A16+1)/3)^0.6*('CAPEX+OPEX'!$G$116/'CAPEX+OPEX'!$G$114)</f>
        <v>1357943.8117688675</v>
      </c>
      <c r="CU16">
        <f>CP16*(BK16/10000)^0.72*((A16+1)/3)^0.6*('CAPEX+OPEX'!$G$116/'CAPEX+OPEX'!$G$114)</f>
        <v>261945.7004565605</v>
      </c>
      <c r="CV16">
        <f>CQ16*(BK16/10000)^0.72*((A16+1)/3)^0.6*('CAPEX+OPEX'!$G$116/'CAPEX+OPEX'!$G$114)</f>
        <v>1621486.4378120217</v>
      </c>
      <c r="CW16">
        <f>CR16*(BK16/10000)^0.72*((A16+1)/3)^0.6*('CAPEX+OPEX'!$G$116/'CAPEX+OPEX'!$G$114)</f>
        <v>191441.6658016555</v>
      </c>
      <c r="CX16">
        <f t="shared" si="13"/>
        <v>3960833.5732453261</v>
      </c>
      <c r="CY16">
        <f>CN16*(BM16/10000)^0.72*((AF16+1)/3)^0.6*('CAPEX+OPEX'!$G$116/'CAPEX+OPEX'!$G$114)</f>
        <v>710175.64189173898</v>
      </c>
      <c r="CZ16">
        <f>CO16*(BM16/10000)^0.72*((AF16+1)/3)^0.6*('CAPEX+OPEX'!$G$116/'CAPEX+OPEX'!$G$114)</f>
        <v>1826419.4569292928</v>
      </c>
      <c r="DA16">
        <f>CP16*(BM16/10000)^0.72*((AF16+1)/3)^0.6*('CAPEX+OPEX'!$G$116/'CAPEX+OPEX'!$G$114)</f>
        <v>352314.07943870482</v>
      </c>
      <c r="DB16">
        <f>CQ16*(BM16/10000)^0.72*((AF16+1)/3)^0.6*('CAPEX+OPEX'!$G$116/'CAPEX+OPEX'!$G$114)</f>
        <v>2180881.3836775436</v>
      </c>
      <c r="DC16">
        <f>CR16*(BM16/10000)^0.72*((AF16+1)/3)^0.6*('CAPEX+OPEX'!$G$116/'CAPEX+OPEX'!$G$114)</f>
        <v>257486.93006055866</v>
      </c>
      <c r="DD16">
        <f t="shared" si="14"/>
        <v>5327277.491997839</v>
      </c>
      <c r="DE16">
        <f>CX16+DD16+1.15*(SUM(CI16:CL16)+SUM(CB16:CE16))</f>
        <v>9363051.2635433581</v>
      </c>
      <c r="DF16">
        <f t="shared" si="15"/>
        <v>624203.4175695572</v>
      </c>
      <c r="DG16">
        <f>(BS16+BT16)*'Oxidant Feed Composition'!$N$29*60*7200</f>
        <v>10100687.432728551</v>
      </c>
      <c r="DH16">
        <f>((CG16+CH16)*'Reagent cost'!$C$17/1000*'Reagent cost'!$H$17+(CG16+CH16)*0.5*'Reagent cost'!$C$16/1000*'Reagent cost'!$H$16*0.5)*60*7200</f>
        <v>3419551.163889939</v>
      </c>
      <c r="DI16">
        <f>CF16*'Reagent cost'!$C$17/1000*'Reagent cost'!$H$17*60*7200</f>
        <v>504921.59999999998</v>
      </c>
      <c r="DJ16">
        <f t="shared" si="16"/>
        <v>74.348144411281226</v>
      </c>
      <c r="DK16">
        <f t="shared" si="17"/>
        <v>859.28065382909847</v>
      </c>
      <c r="DL16">
        <f t="shared" si="18"/>
        <v>16831312.590500075</v>
      </c>
      <c r="DM16">
        <f>BK16*(B16*(409.81+2)/1000+C16*(248.2+2*22.99)/1000+D16*(315.6+3*22.99)/1000+0.1*58.44/1000)</f>
        <v>0.70639694042110623</v>
      </c>
      <c r="DN16">
        <f>(BS16+BT16)/1000*('Oxidant Feed Composition'!$B$11*'Oxidant Feed Composition'!$O$20+'Oxidant Feed Composition'!$D$11*'Oxidant Feed Composition'!$O$21+'Oxidant Feed Composition'!$F$11*'Oxidant Feed Composition'!$O$27-'Oxidant Feed Composition'!$J$15*18.015)</f>
        <v>2.3645453335933295</v>
      </c>
      <c r="DO16">
        <f>(BU16+BV16)/1000*(0.2*368.34+0.4*58.44)</f>
        <v>1.6373809506608716</v>
      </c>
      <c r="DP16">
        <f>BK16/1000*(B16*195.08+C16*106.42+D16*102.91)</f>
        <v>4.999938342565946E-2</v>
      </c>
      <c r="DQ16">
        <f>SUM(DM16:DO16)-DP16</f>
        <v>4.6583238412496479</v>
      </c>
      <c r="DR16">
        <f>DQ16*60*7200*0.33</f>
        <v>664090.64680854976</v>
      </c>
      <c r="DS16">
        <v>1.2</v>
      </c>
      <c r="DT16">
        <f>BM16/60*(AM16*4+AN16*2+AO16*3)*96485/DV16</f>
        <v>1407.4244845655176</v>
      </c>
      <c r="DU16">
        <f>BN16*BA16*(AP16*4+AQ16*2+AR16*3)*96485/DV16/60</f>
        <v>708.24318720155725</v>
      </c>
      <c r="DV16">
        <v>0.7</v>
      </c>
      <c r="DW16">
        <f>0.499*((BK16/3.78541*15)^(-0.146))*BK16/3.78541*15*300*(1+(A16-2)/9)</f>
        <v>30272.303809866662</v>
      </c>
      <c r="DX16">
        <f>0.248*((BK16/3.78541*15)^(-0.144))*BK16/3.78541*15*300*(1+(A16-2)/3)</f>
        <v>20763.049486147294</v>
      </c>
      <c r="DY16">
        <f>0.105*((BK16/3.78541*15)^(-0.144))*BK16/3.78541*15*300*(1+(A16-2)/3)</f>
        <v>8790.8072421188135</v>
      </c>
      <c r="DZ16">
        <f>0.058*((BK16/3.78541*15)^(-0.151))*BK16/3.78541*15*300*(1+(A16-2)/3)</f>
        <v>4656.7358484871465</v>
      </c>
      <c r="EA16">
        <f>0.056*((BK16/3.78541*15)^(-0.144))*BK16/3.78541*15*300*(1+(A16-2)/3)</f>
        <v>4688.4305291300352</v>
      </c>
      <c r="EB16">
        <f>DS16*DT16/(3.6*10^6)*3600*7200*0.07</f>
        <v>851.21032826522514</v>
      </c>
      <c r="EC16">
        <f>0.499*((BM16/3.78541*15)^(-0.146))*BM16/3.78541*15*300*(1+(AF16-2)/9)</f>
        <v>38614.447386146239</v>
      </c>
      <c r="ED16">
        <f>0.248*((BM16/3.78541*15)^(-0.144))*BM16/3.78541*15*300*(1+(AF16-2)/3)</f>
        <v>34954.37320206991</v>
      </c>
      <c r="EE16">
        <f>0.105*((BM16/3.78541*15)^(-0.144))*BM16/3.78541*15*300*(1+(AF16-2)/3)</f>
        <v>14799.230589586048</v>
      </c>
      <c r="EF16">
        <f>0.058*((BM16/3.78541*15)^(-0.151))*BM16/3.78541*15*300*(1+(AF16-2)/3)</f>
        <v>7843.8565170460224</v>
      </c>
      <c r="EG16">
        <f>0.056*((BM16/3.78541*15)^(-0.144))*BM16/3.78541*15*300*(1+(AF16-2)/3)</f>
        <v>7892.9229811125624</v>
      </c>
      <c r="EH16">
        <f>DS16*DU16/(3.6*10^6)*3600*7200*0.07</f>
        <v>428.34547961950182</v>
      </c>
      <c r="EI16">
        <f>SUM(DW16:EH16)</f>
        <v>174555.71339959546</v>
      </c>
      <c r="EJ16">
        <f>EI16+DR16+DL16</f>
        <v>17669958.950708222</v>
      </c>
      <c r="EK16">
        <f>EJ16+DF16</f>
        <v>18294162.368277781</v>
      </c>
      <c r="EL16">
        <f>EK16/(BK16*60*7200)</f>
        <v>0.42347598074717085</v>
      </c>
      <c r="EM16">
        <f>EK16/(BM16*(AM16*195.084/1000+AN16*106.42/1000+AO16*102.911/1000)*60*7200)</f>
        <v>1416.4573305414212</v>
      </c>
      <c r="EN16">
        <f>EK16/(BN16*BA16*(AP16*195.084/1000+AQ16*106.42/1000+AR16*102.911/1000)*60*7200)</f>
        <v>2591.1324597123739</v>
      </c>
    </row>
    <row r="17" spans="1:144">
      <c r="A17">
        <f>'Costing 100 Lmin Feed Orig'!A17</f>
        <v>4</v>
      </c>
      <c r="B17">
        <f>'Costing 100 Lmin Feed Orig'!B17</f>
        <v>1.54143585092054E-3</v>
      </c>
      <c r="C17">
        <f>'Costing 100 Lmin Feed Orig'!C17</f>
        <v>1.54143585092054E-3</v>
      </c>
      <c r="D17">
        <f>'Costing 100 Lmin Feed Orig'!D17</f>
        <v>3.4254130020456501E-4</v>
      </c>
      <c r="E17">
        <f>'Costing 100 Lmin Feed Orig'!E17</f>
        <v>0</v>
      </c>
      <c r="F17">
        <f>'Costing 100 Lmin Feed Orig'!F17</f>
        <v>0</v>
      </c>
      <c r="G17">
        <f>'Costing 100 Lmin Feed Orig'!G17</f>
        <v>0</v>
      </c>
      <c r="H17">
        <f>'Costing 100 Lmin Feed Orig'!H17</f>
        <v>1.7208960911287699E-5</v>
      </c>
      <c r="I17">
        <f>'Costing 100 Lmin Feed Orig'!I17</f>
        <v>2.8768784818324402E-7</v>
      </c>
      <c r="J17">
        <f>'Costing 100 Lmin Feed Orig'!J17</f>
        <v>3.3243632642994598E-4</v>
      </c>
      <c r="K17">
        <f>'Costing 100 Lmin Feed Orig'!K17</f>
        <v>0.10920586178936199</v>
      </c>
      <c r="L17">
        <f>'Costing 100 Lmin Feed Orig'!L17</f>
        <v>0.110418215553449</v>
      </c>
      <c r="M17">
        <f>'Costing 100 Lmin Feed Orig'!M17</f>
        <v>7.2398825703009801E-4</v>
      </c>
      <c r="N17">
        <f>'Costing 100 Lmin Feed Orig'!N17</f>
        <v>-2.168404344971E-18</v>
      </c>
      <c r="O17">
        <f>'Costing 100 Lmin Feed Orig'!O17</f>
        <v>2.3635607360183901E-17</v>
      </c>
      <c r="P17">
        <f>'Costing 100 Lmin Feed Orig'!P17</f>
        <v>-7.4538899358378406E-20</v>
      </c>
      <c r="Q17">
        <f>'Costing 100 Lmin Feed Orig'!Q17</f>
        <v>0.13957372480144001</v>
      </c>
      <c r="R17">
        <f>'Costing 100 Lmin Feed Orig'!R17</f>
        <v>97.0499984181222</v>
      </c>
      <c r="S17">
        <f>'Costing 100 Lmin Feed Orig'!S17</f>
        <v>500</v>
      </c>
      <c r="T17">
        <f>'Costing 100 Lmin Feed Orig'!T17</f>
        <v>95</v>
      </c>
      <c r="U17">
        <f>'Costing 100 Lmin Feed Orig'!U17</f>
        <v>1</v>
      </c>
      <c r="V17">
        <f>'Costing 100 Lmin Feed Orig'!V17</f>
        <v>0.1</v>
      </c>
      <c r="W17">
        <f>'Costing 100 Lmin Feed Orig'!W17</f>
        <v>71.646723007687299</v>
      </c>
      <c r="X17" t="str">
        <f>'Costing 100 Lmin Feed Orig'!X17</f>
        <v>ddFc</v>
      </c>
      <c r="Y17">
        <f>'Costing 100 Lmin Feed Orig'!Y17</f>
        <v>1</v>
      </c>
      <c r="Z17">
        <f>'Costing 100 Lmin Feed Orig'!Z17</f>
        <v>0.28318429382522198</v>
      </c>
      <c r="AA17">
        <f>'Costing 100 Lmin Feed Orig'!AA17</f>
        <v>0.56945642916197003</v>
      </c>
      <c r="AB17">
        <f>'Costing 100 Lmin Feed Orig'!AB17</f>
        <v>3.7698628972227502E-3</v>
      </c>
      <c r="AC17">
        <f>'Costing 100 Lmin Feed Orig'!AC17</f>
        <v>1822.2107908876901</v>
      </c>
      <c r="AD17">
        <f>'Costing 100 Lmin Feed Orig'!AD17</f>
        <v>2662.6059073104898</v>
      </c>
      <c r="AE17">
        <f>'Costing 100 Lmin Feed Orig'!AE17</f>
        <v>2401.5030938442701</v>
      </c>
      <c r="AF17">
        <f>'Costing 100 Lmin Feed Orig'!AF17</f>
        <v>9</v>
      </c>
      <c r="AG17">
        <f>'Costing 100 Lmin Feed Orig'!AG17</f>
        <v>1.6481650483119699E-3</v>
      </c>
      <c r="AH17">
        <f>'Costing 100 Lmin Feed Orig'!AH17</f>
        <v>1.6664622263884801E-3</v>
      </c>
      <c r="AI17">
        <f>'Costing 100 Lmin Feed Orig'!AI17</f>
        <v>1.0926630870116399E-5</v>
      </c>
      <c r="AJ17">
        <f>'Costing 100 Lmin Feed Orig'!AJ17</f>
        <v>0</v>
      </c>
      <c r="AK17">
        <f>'Costing 100 Lmin Feed Orig'!AK17</f>
        <v>0</v>
      </c>
      <c r="AL17">
        <f>'Costing 100 Lmin Feed Orig'!AL17</f>
        <v>0</v>
      </c>
      <c r="AM17">
        <f>'Costing 100 Lmin Feed Orig'!AM17</f>
        <v>1.6111071396005901E-3</v>
      </c>
      <c r="AN17">
        <f>'Costing 100 Lmin Feed Orig'!AN17</f>
        <v>7.3940623679874496E-5</v>
      </c>
      <c r="AO17">
        <f>'Costing 100 Lmin Feed Orig'!AO17</f>
        <v>1.0854488886514799E-5</v>
      </c>
      <c r="AP17">
        <f>'Costing 100 Lmin Feed Orig'!AP17</f>
        <v>1.73252052347845E-3</v>
      </c>
      <c r="AQ17">
        <f>'Costing 100 Lmin Feed Orig'!AQ17</f>
        <v>7.4453104800508499E-2</v>
      </c>
      <c r="AR17">
        <f>'Costing 100 Lmin Feed Orig'!AR17</f>
        <v>3.37276094477029E-6</v>
      </c>
      <c r="AS17">
        <f>'Costing 100 Lmin Feed Orig'!AS17</f>
        <v>6.3475293814521601E-16</v>
      </c>
      <c r="AT17">
        <f>'Costing 100 Lmin Feed Orig'!AT17</f>
        <v>-7.9814627129692894E-14</v>
      </c>
      <c r="AU17">
        <f>'Costing 100 Lmin Feed Orig'!AU17</f>
        <v>-9.9261673506363302E-22</v>
      </c>
      <c r="AV17">
        <f>'Costing 100 Lmin Feed Orig'!AV17</f>
        <v>0.19781145533817099</v>
      </c>
      <c r="AW17">
        <f>'Costing 100 Lmin Feed Orig'!AW17</f>
        <v>99.339760037113095</v>
      </c>
      <c r="AX17">
        <f>'Costing 100 Lmin Feed Orig'!AX17</f>
        <v>500</v>
      </c>
      <c r="AY17">
        <f>'Costing 100 Lmin Feed Orig'!AY17</f>
        <v>95</v>
      </c>
      <c r="AZ17">
        <f>'Costing 100 Lmin Feed Orig'!AZ17</f>
        <v>0.92480233795174105</v>
      </c>
      <c r="BA17">
        <f>'Costing 100 Lmin Feed Orig'!BA17</f>
        <v>0.1</v>
      </c>
      <c r="BB17">
        <f>'Costing 100 Lmin Feed Orig'!BB17</f>
        <v>46.751707901381799</v>
      </c>
      <c r="BC17" t="str">
        <f>'Costing 100 Lmin Feed Orig'!BC17</f>
        <v>coeFc</v>
      </c>
      <c r="BD17">
        <f>'Costing 100 Lmin Feed Orig'!BD17</f>
        <v>1</v>
      </c>
      <c r="BE17">
        <f>'Costing 100 Lmin Feed Orig'!BE17</f>
        <v>1.8775014999999999E-2</v>
      </c>
      <c r="BF17">
        <f>'Costing 100 Lmin Feed Orig'!BF17</f>
        <v>0.10492961100000001</v>
      </c>
      <c r="BG17">
        <f>'Costing 100 Lmin Feed Orig'!BG17</f>
        <v>1.814625E-3</v>
      </c>
      <c r="BH17">
        <f>'Costing 100 Lmin Feed Orig'!BH17</f>
        <v>285.1951444</v>
      </c>
      <c r="BI17">
        <f>'Costing 100 Lmin Feed Orig'!BI17</f>
        <v>2169.8944889999998</v>
      </c>
      <c r="BJ17">
        <f>'Costing 100 Lmin Feed Orig'!BJ17</f>
        <v>866.49409060000005</v>
      </c>
      <c r="BK17">
        <f>'Costing 100 Lmin Feed Orig'!BK17</f>
        <v>100</v>
      </c>
      <c r="BL17">
        <f>'Costing 100 Lmin Feed Orig'!BL17</f>
        <v>13.957372480144</v>
      </c>
      <c r="BM17">
        <f>'Costing 100 Lmin Feed Orig'!BM17</f>
        <v>92.480233795174101</v>
      </c>
      <c r="BN17">
        <f>'Costing 100 Lmin Feed Orig'!BN17</f>
        <v>19.781145533817099</v>
      </c>
      <c r="BO17">
        <f t="shared" si="1"/>
        <v>167.488469761728</v>
      </c>
      <c r="BP17">
        <f t="shared" si="2"/>
        <v>435.18520174397617</v>
      </c>
      <c r="BQ17">
        <f t="shared" si="3"/>
        <v>16.7488469761728</v>
      </c>
      <c r="BR17">
        <f t="shared" si="4"/>
        <v>43.518520174397622</v>
      </c>
      <c r="BS17">
        <f>1.2*0.5*BL17*V17/'Oxidant Feed Composition'!$N$22</f>
        <v>8.3744234880863999</v>
      </c>
      <c r="BT17">
        <f>1.2*0.5*BN17*BA17/'Oxidant Feed Composition'!$N$22</f>
        <v>11.86868732029026</v>
      </c>
      <c r="BU17">
        <f t="shared" si="5"/>
        <v>6.9786862400720002</v>
      </c>
      <c r="BV17">
        <f t="shared" si="6"/>
        <v>9.8905727669085497</v>
      </c>
      <c r="BW17">
        <f t="shared" si="7"/>
        <v>85.501547555102107</v>
      </c>
      <c r="BX17">
        <f t="shared" si="0"/>
        <v>44.663591936460804</v>
      </c>
      <c r="BY17">
        <f t="shared" si="8"/>
        <v>212.87521255063621</v>
      </c>
      <c r="BZ17">
        <f t="shared" si="9"/>
        <v>63.299665708214718</v>
      </c>
      <c r="CA17">
        <f t="shared" si="10"/>
        <v>59.343436601451302</v>
      </c>
      <c r="CB17">
        <f>BO17*'Reagent cost'!$G$11*'Reagent cost'!$H$11</f>
        <v>2210.8478008548095</v>
      </c>
      <c r="CC17">
        <f>BP17*'Reagent cost'!$G$11*'Reagent cost'!$H$11</f>
        <v>5744.4446630204857</v>
      </c>
      <c r="CD17">
        <f>BQ17*'Reagent cost'!$C$18/1000*'Reagent cost'!$H$18</f>
        <v>2671.1136977461792</v>
      </c>
      <c r="CE17">
        <f>BR17*'Ligand cost'!$B$56*'Ligand cost'!$J$56</f>
        <v>44307.41224236018</v>
      </c>
      <c r="CF17">
        <f t="shared" si="11"/>
        <v>10</v>
      </c>
      <c r="CG17">
        <f t="shared" si="12"/>
        <v>2.7914744960288003</v>
      </c>
      <c r="CH17">
        <f t="shared" si="12"/>
        <v>3.9562291067634199</v>
      </c>
      <c r="CI17">
        <f>7963.6*(BX17/1000)^0.6*1.7*('CAPEX+OPEX'!$G$116/'CAPEX+OPEX'!$G$115)</f>
        <v>2472.9373618126128</v>
      </c>
      <c r="CJ17">
        <f>7963.6*(BY17/1000)^0.6*1.7*('CAPEX+OPEX'!$G$116/'CAPEX+OPEX'!$G$115)</f>
        <v>6311.2587327211604</v>
      </c>
      <c r="CK17">
        <f>7963.6*(BZ17/1000)^0.6*1.7*('CAPEX+OPEX'!$G$116/'CAPEX+OPEX'!$G$115)</f>
        <v>3048.4689629639438</v>
      </c>
      <c r="CL17">
        <f>7963.6*(CA17/1000)^0.6*1.7*('CAPEX+OPEX'!$G$116/'CAPEX+OPEX'!$G$115)</f>
        <v>2932.679096180294</v>
      </c>
      <c r="CM17">
        <f>'Costing 100 Lmin Feed Orig'!DE17</f>
        <v>39625.826528698344</v>
      </c>
      <c r="CN17">
        <f>'Costing 100 Lmin Feed Orig'!DF17</f>
        <v>4586243.4239371875</v>
      </c>
      <c r="CO17">
        <f>'Costing 100 Lmin Feed Orig'!DG17</f>
        <v>11794834.586807497</v>
      </c>
      <c r="CP17">
        <f>'Costing 100 Lmin Feed Orig'!DH17</f>
        <v>2275209.1661185985</v>
      </c>
      <c r="CQ17">
        <f>'Costing 100 Lmin Feed Orig'!DI17</f>
        <v>14083914.336508472</v>
      </c>
      <c r="CR17">
        <f>'Costing 100 Lmin Feed Orig'!DJ17</f>
        <v>1662824.8986326549</v>
      </c>
      <c r="CS17">
        <f>CN17*(BK17/10000)^0.72*((A17+1)/3)^0.6*('CAPEX+OPEX'!$G$116/'CAPEX+OPEX'!$G$114)</f>
        <v>528015.95740622084</v>
      </c>
      <c r="CT17">
        <f>CO17*(BK17/10000)^0.72*((A17+1)/3)^0.6*('CAPEX+OPEX'!$G$116/'CAPEX+OPEX'!$G$114)</f>
        <v>1357943.8117688675</v>
      </c>
      <c r="CU17">
        <f>CP17*(BK17/10000)^0.72*((A17+1)/3)^0.6*('CAPEX+OPEX'!$G$116/'CAPEX+OPEX'!$G$114)</f>
        <v>261945.7004565605</v>
      </c>
      <c r="CV17">
        <f>CQ17*(BK17/10000)^0.72*((A17+1)/3)^0.6*('CAPEX+OPEX'!$G$116/'CAPEX+OPEX'!$G$114)</f>
        <v>1621486.4378120217</v>
      </c>
      <c r="CW17">
        <f>CR17*(BK17/10000)^0.72*((A17+1)/3)^0.6*('CAPEX+OPEX'!$G$116/'CAPEX+OPEX'!$G$114)</f>
        <v>191441.6658016555</v>
      </c>
      <c r="CX17">
        <f t="shared" si="13"/>
        <v>3960833.5732453261</v>
      </c>
      <c r="CY17">
        <f>CN17*(BM17/10000)^0.72*((AF17+1)/3)^0.6*('CAPEX+OPEX'!$G$116/'CAPEX+OPEX'!$G$114)</f>
        <v>756519.74381347164</v>
      </c>
      <c r="CZ17">
        <f>CO17*(BM17/10000)^0.72*((AF17+1)/3)^0.6*('CAPEX+OPEX'!$G$116/'CAPEX+OPEX'!$G$114)</f>
        <v>1945606.5487849014</v>
      </c>
      <c r="DA17">
        <f>CP17*(BM17/10000)^0.72*((AF17+1)/3)^0.6*('CAPEX+OPEX'!$G$116/'CAPEX+OPEX'!$G$114)</f>
        <v>375305.12368583737</v>
      </c>
      <c r="DB17">
        <f>CQ17*(BM17/10000)^0.72*((AF17+1)/3)^0.6*('CAPEX+OPEX'!$G$116/'CAPEX+OPEX'!$G$114)</f>
        <v>2323199.682366488</v>
      </c>
      <c r="DC17">
        <f>CR17*(BM17/10000)^0.72*((AF17+1)/3)^0.6*('CAPEX+OPEX'!$G$116/'CAPEX+OPEX'!$G$114)</f>
        <v>274289.81631339306</v>
      </c>
      <c r="DD17">
        <f t="shared" si="14"/>
        <v>5674920.914964092</v>
      </c>
      <c r="DE17">
        <f>CX17+DD17+1.15*(SUM(CI17:CL17)+SUM(CB17:CE17))</f>
        <v>9715908.5251507275</v>
      </c>
      <c r="DF17">
        <f t="shared" si="15"/>
        <v>647727.23501004849</v>
      </c>
      <c r="DG17">
        <f>(BS17+BT17)*'Oxidant Feed Composition'!$N$29*60*7200</f>
        <v>10098709.839054428</v>
      </c>
      <c r="DH17">
        <f>((CG17+CH17)*'Reagent cost'!$C$17/1000*'Reagent cost'!$H$17+(CG17+CH17)*0.5*'Reagent cost'!$C$16/1000*'Reagent cost'!$H$16*0.5)*60*7200</f>
        <v>3418881.6567108394</v>
      </c>
      <c r="DI17">
        <f>CF17*'Reagent cost'!$C$17/1000*'Reagent cost'!$H$17*60*7200</f>
        <v>504921.59999999998</v>
      </c>
      <c r="DJ17">
        <f t="shared" si="16"/>
        <v>79.552924638752955</v>
      </c>
      <c r="DK17">
        <f t="shared" si="17"/>
        <v>939.57051880212725</v>
      </c>
      <c r="DL17">
        <f t="shared" si="18"/>
        <v>16828238.66305045</v>
      </c>
      <c r="DM17">
        <f>BK17*(B17*(409.81+2)/1000+C17*(248.2+2*22.99)/1000+D17*(315.6+3*22.99)/1000+0.1*58.44/1000)</f>
        <v>0.70639694042110623</v>
      </c>
      <c r="DN17">
        <f>(BS17+BT17)/1000*('Oxidant Feed Composition'!$B$11*'Oxidant Feed Composition'!$O$20+'Oxidant Feed Composition'!$D$11*'Oxidant Feed Composition'!$O$21+'Oxidant Feed Composition'!$F$11*'Oxidant Feed Composition'!$O$27-'Oxidant Feed Composition'!$J$15*18.015)</f>
        <v>2.3640823839252958</v>
      </c>
      <c r="DO17">
        <f>(BU17+BV17)/1000*(0.2*368.34+0.4*58.44)</f>
        <v>1.6370603710734204</v>
      </c>
      <c r="DP17">
        <f>BK17/1000*(B17*195.08+C17*106.42+D17*102.91)</f>
        <v>4.999938342565946E-2</v>
      </c>
      <c r="DQ17">
        <f>SUM(DM17:DO17)-DP17</f>
        <v>4.6575403119941621</v>
      </c>
      <c r="DR17">
        <f>DQ17*60*7200*0.33</f>
        <v>663978.94687788771</v>
      </c>
      <c r="DS17">
        <v>1.2</v>
      </c>
      <c r="DT17">
        <f>BM17/60*(AM17*4+AN17*2+AO17*3)*96485/DV17</f>
        <v>1407.4630585814209</v>
      </c>
      <c r="DU17">
        <f>BN17*BA17*(AP17*4+AQ17*2+AR17*3)*96485/DV17/60</f>
        <v>708.2046132217464</v>
      </c>
      <c r="DV17">
        <v>0.7</v>
      </c>
      <c r="DW17">
        <f>0.499*((BK17/3.78541*15)^(-0.146))*BK17/3.78541*15*300*(1+(A17-2)/9)</f>
        <v>30272.303809866662</v>
      </c>
      <c r="DX17">
        <f>0.248*((BK17/3.78541*15)^(-0.144))*BK17/3.78541*15*300*(1+(A17-2)/3)</f>
        <v>20763.049486147294</v>
      </c>
      <c r="DY17">
        <f>0.105*((BK17/3.78541*15)^(-0.144))*BK17/3.78541*15*300*(1+(A17-2)/3)</f>
        <v>8790.8072421188135</v>
      </c>
      <c r="DZ17">
        <f>0.058*((BK17/3.78541*15)^(-0.151))*BK17/3.78541*15*300*(1+(A17-2)/3)</f>
        <v>4656.7358484871465</v>
      </c>
      <c r="EA17">
        <f>0.056*((BK17/3.78541*15)^(-0.144))*BK17/3.78541*15*300*(1+(A17-2)/3)</f>
        <v>4688.4305291300352</v>
      </c>
      <c r="EB17">
        <f>DS17*DT17/(3.6*10^6)*3600*7200*0.07</f>
        <v>851.2336578300434</v>
      </c>
      <c r="EC17">
        <f>0.499*((BM17/3.78541*15)^(-0.146))*BM17/3.78541*15*300*(1+(AF17-2)/9)</f>
        <v>41188.743878555993</v>
      </c>
      <c r="ED17">
        <f>0.248*((BM17/3.78541*15)^(-0.144))*BM17/3.78541*15*300*(1+(AF17-2)/3)</f>
        <v>38838.192446744346</v>
      </c>
      <c r="EE17">
        <f>0.105*((BM17/3.78541*15)^(-0.144))*BM17/3.78541*15*300*(1+(AF17-2)/3)</f>
        <v>16443.589543984501</v>
      </c>
      <c r="EF17">
        <f>0.058*((BM17/3.78541*15)^(-0.151))*BM17/3.78541*15*300*(1+(AF17-2)/3)</f>
        <v>8715.3961300511364</v>
      </c>
      <c r="EG17">
        <f>0.056*((BM17/3.78541*15)^(-0.144))*BM17/3.78541*15*300*(1+(AF17-2)/3)</f>
        <v>8769.9144234584019</v>
      </c>
      <c r="EH17">
        <f>DS17*DU17/(3.6*10^6)*3600*7200*0.07</f>
        <v>428.32215007651229</v>
      </c>
      <c r="EI17">
        <f>SUM(DW17:EH17)</f>
        <v>184406.71914645089</v>
      </c>
      <c r="EJ17">
        <f>EI17+DR17+DL17</f>
        <v>17676624.329074789</v>
      </c>
      <c r="EK17">
        <f>EJ17+DF17</f>
        <v>18324351.564084839</v>
      </c>
      <c r="EL17">
        <f>EK17/(BK17*60*7200)</f>
        <v>0.42417480472418612</v>
      </c>
      <c r="EM17">
        <f>EK17/(BM17*(AM17*195.084/1000+AN17*106.42/1000+AO17*102.911/1000)*60*7200)</f>
        <v>1418.7558475050575</v>
      </c>
      <c r="EN17">
        <f>EK17/(BN17*BA17*(AP17*195.084/1000+AQ17*106.42/1000+AR17*102.911/1000)*60*7200)</f>
        <v>2595.5386675254608</v>
      </c>
    </row>
    <row r="18" spans="1:144">
      <c r="A18">
        <f>'Costing 100 Lmin Feed Orig'!A18</f>
        <v>4</v>
      </c>
      <c r="B18">
        <f>'Costing 100 Lmin Feed Orig'!B18</f>
        <v>1.54143585092054E-3</v>
      </c>
      <c r="C18">
        <f>'Costing 100 Lmin Feed Orig'!C18</f>
        <v>1.54143585092054E-3</v>
      </c>
      <c r="D18">
        <f>'Costing 100 Lmin Feed Orig'!D18</f>
        <v>3.4254130020456501E-4</v>
      </c>
      <c r="E18">
        <f>'Costing 100 Lmin Feed Orig'!E18</f>
        <v>0</v>
      </c>
      <c r="F18">
        <f>'Costing 100 Lmin Feed Orig'!F18</f>
        <v>0</v>
      </c>
      <c r="G18">
        <f>'Costing 100 Lmin Feed Orig'!G18</f>
        <v>0</v>
      </c>
      <c r="H18">
        <f>'Costing 100 Lmin Feed Orig'!H18</f>
        <v>1.7208960911287699E-5</v>
      </c>
      <c r="I18">
        <f>'Costing 100 Lmin Feed Orig'!I18</f>
        <v>2.8768784818324402E-7</v>
      </c>
      <c r="J18">
        <f>'Costing 100 Lmin Feed Orig'!J18</f>
        <v>3.3243632642994598E-4</v>
      </c>
      <c r="K18">
        <f>'Costing 100 Lmin Feed Orig'!K18</f>
        <v>0.10920586178936199</v>
      </c>
      <c r="L18">
        <f>'Costing 100 Lmin Feed Orig'!L18</f>
        <v>0.110418215553449</v>
      </c>
      <c r="M18">
        <f>'Costing 100 Lmin Feed Orig'!M18</f>
        <v>7.2398825703009801E-4</v>
      </c>
      <c r="N18">
        <f>'Costing 100 Lmin Feed Orig'!N18</f>
        <v>-2.168404344971E-18</v>
      </c>
      <c r="O18">
        <f>'Costing 100 Lmin Feed Orig'!O18</f>
        <v>2.3635607360183901E-17</v>
      </c>
      <c r="P18">
        <f>'Costing 100 Lmin Feed Orig'!P18</f>
        <v>-7.4538899358378406E-20</v>
      </c>
      <c r="Q18">
        <f>'Costing 100 Lmin Feed Orig'!Q18</f>
        <v>0.13957372480144001</v>
      </c>
      <c r="R18">
        <f>'Costing 100 Lmin Feed Orig'!R18</f>
        <v>97.0499984181222</v>
      </c>
      <c r="S18">
        <f>'Costing 100 Lmin Feed Orig'!S18</f>
        <v>500</v>
      </c>
      <c r="T18">
        <f>'Costing 100 Lmin Feed Orig'!T18</f>
        <v>95</v>
      </c>
      <c r="U18">
        <f>'Costing 100 Lmin Feed Orig'!U18</f>
        <v>1</v>
      </c>
      <c r="V18">
        <f>'Costing 100 Lmin Feed Orig'!V18</f>
        <v>0.1</v>
      </c>
      <c r="W18">
        <f>'Costing 100 Lmin Feed Orig'!W18</f>
        <v>71.646723007687299</v>
      </c>
      <c r="X18" t="str">
        <f>'Costing 100 Lmin Feed Orig'!X18</f>
        <v>ddFc</v>
      </c>
      <c r="Y18">
        <f>'Costing 100 Lmin Feed Orig'!Y18</f>
        <v>1</v>
      </c>
      <c r="Z18">
        <f>'Costing 100 Lmin Feed Orig'!Z18</f>
        <v>0.28318429382522198</v>
      </c>
      <c r="AA18">
        <f>'Costing 100 Lmin Feed Orig'!AA18</f>
        <v>0.56945642916197003</v>
      </c>
      <c r="AB18">
        <f>'Costing 100 Lmin Feed Orig'!AB18</f>
        <v>3.7698628972227502E-3</v>
      </c>
      <c r="AC18">
        <f>'Costing 100 Lmin Feed Orig'!AC18</f>
        <v>1822.2107908876901</v>
      </c>
      <c r="AD18">
        <f>'Costing 100 Lmin Feed Orig'!AD18</f>
        <v>2662.6059073104898</v>
      </c>
      <c r="AE18">
        <f>'Costing 100 Lmin Feed Orig'!AE18</f>
        <v>2401.5030938442701</v>
      </c>
      <c r="AF18">
        <f>'Costing 100 Lmin Feed Orig'!AF18</f>
        <v>10</v>
      </c>
      <c r="AG18">
        <f>'Costing 100 Lmin Feed Orig'!AG18</f>
        <v>1.6481650483119699E-3</v>
      </c>
      <c r="AH18">
        <f>'Costing 100 Lmin Feed Orig'!AH18</f>
        <v>1.6664622263884801E-3</v>
      </c>
      <c r="AI18">
        <f>'Costing 100 Lmin Feed Orig'!AI18</f>
        <v>1.0926630870116399E-5</v>
      </c>
      <c r="AJ18">
        <f>'Costing 100 Lmin Feed Orig'!AJ18</f>
        <v>0</v>
      </c>
      <c r="AK18">
        <f>'Costing 100 Lmin Feed Orig'!AK18</f>
        <v>0</v>
      </c>
      <c r="AL18">
        <f>'Costing 100 Lmin Feed Orig'!AL18</f>
        <v>0</v>
      </c>
      <c r="AM18">
        <f>'Costing 100 Lmin Feed Orig'!AM18</f>
        <v>1.6111196692703601E-3</v>
      </c>
      <c r="AN18">
        <f>'Costing 100 Lmin Feed Orig'!AN18</f>
        <v>7.3941259795984898E-5</v>
      </c>
      <c r="AO18">
        <f>'Costing 100 Lmin Feed Orig'!AO18</f>
        <v>1.08545122697032E-5</v>
      </c>
      <c r="AP18">
        <f>'Costing 100 Lmin Feed Orig'!AP18</f>
        <v>1.73209870318316E-3</v>
      </c>
      <c r="AQ18">
        <f>'Costing 100 Lmin Feed Orig'!AQ18</f>
        <v>7.4460123902013106E-2</v>
      </c>
      <c r="AR18">
        <f>'Costing 100 Lmin Feed Orig'!AR18</f>
        <v>3.3719869428578601E-6</v>
      </c>
      <c r="AS18">
        <f>'Costing 100 Lmin Feed Orig'!AS18</f>
        <v>4.70535543579779E-14</v>
      </c>
      <c r="AT18">
        <f>'Costing 100 Lmin Feed Orig'!AT18</f>
        <v>-4.6022981432802804E-12</v>
      </c>
      <c r="AU18">
        <f>'Costing 100 Lmin Feed Orig'!AU18</f>
        <v>6.0744173718954098E-19</v>
      </c>
      <c r="AV18">
        <f>'Costing 100 Lmin Feed Orig'!AV18</f>
        <v>0.19779272992915201</v>
      </c>
      <c r="AW18">
        <f>'Costing 100 Lmin Feed Orig'!AW18</f>
        <v>99.339974038928602</v>
      </c>
      <c r="AX18">
        <f>'Costing 100 Lmin Feed Orig'!AX18</f>
        <v>500</v>
      </c>
      <c r="AY18">
        <f>'Costing 100 Lmin Feed Orig'!AY18</f>
        <v>95</v>
      </c>
      <c r="AZ18">
        <f>'Costing 100 Lmin Feed Orig'!AZ18</f>
        <v>0.92480233795174105</v>
      </c>
      <c r="BA18">
        <f>'Costing 100 Lmin Feed Orig'!BA18</f>
        <v>0.1</v>
      </c>
      <c r="BB18">
        <f>'Costing 100 Lmin Feed Orig'!BB18</f>
        <v>46.7561339733263</v>
      </c>
      <c r="BC18" t="str">
        <f>'Costing 100 Lmin Feed Orig'!BC18</f>
        <v>coeFc</v>
      </c>
      <c r="BD18">
        <f>'Costing 100 Lmin Feed Orig'!BD18</f>
        <v>1</v>
      </c>
      <c r="BE18">
        <f>'Costing 100 Lmin Feed Orig'!BE18</f>
        <v>1.8775014999999999E-2</v>
      </c>
      <c r="BF18">
        <f>'Costing 100 Lmin Feed Orig'!BF18</f>
        <v>0.10492961100000001</v>
      </c>
      <c r="BG18">
        <f>'Costing 100 Lmin Feed Orig'!BG18</f>
        <v>1.814625E-3</v>
      </c>
      <c r="BH18">
        <f>'Costing 100 Lmin Feed Orig'!BH18</f>
        <v>285.1951444</v>
      </c>
      <c r="BI18">
        <f>'Costing 100 Lmin Feed Orig'!BI18</f>
        <v>2169.8944889999998</v>
      </c>
      <c r="BJ18">
        <f>'Costing 100 Lmin Feed Orig'!BJ18</f>
        <v>866.49409060000005</v>
      </c>
      <c r="BK18">
        <f>'Costing 100 Lmin Feed Orig'!BK18</f>
        <v>100</v>
      </c>
      <c r="BL18">
        <f>'Costing 100 Lmin Feed Orig'!BL18</f>
        <v>13.957372480144</v>
      </c>
      <c r="BM18">
        <f>'Costing 100 Lmin Feed Orig'!BM18</f>
        <v>92.480233795174101</v>
      </c>
      <c r="BN18">
        <f>'Costing 100 Lmin Feed Orig'!BN18</f>
        <v>19.7792729929152</v>
      </c>
      <c r="BO18">
        <f t="shared" si="1"/>
        <v>167.488469761728</v>
      </c>
      <c r="BP18">
        <f t="shared" si="2"/>
        <v>474.70255182996482</v>
      </c>
      <c r="BQ18">
        <f t="shared" si="3"/>
        <v>16.7488469761728</v>
      </c>
      <c r="BR18">
        <f t="shared" si="4"/>
        <v>47.470255182996482</v>
      </c>
      <c r="BS18">
        <f>1.2*0.5*BL18*V18/'Oxidant Feed Composition'!$N$22</f>
        <v>8.3744234880863999</v>
      </c>
      <c r="BT18">
        <f>1.2*0.5*BN18*BA18/'Oxidant Feed Composition'!$N$22</f>
        <v>11.867563795749119</v>
      </c>
      <c r="BU18">
        <f t="shared" si="5"/>
        <v>6.9786862400720002</v>
      </c>
      <c r="BV18">
        <f t="shared" si="6"/>
        <v>9.8896364964575998</v>
      </c>
      <c r="BW18">
        <f t="shared" si="7"/>
        <v>85.501547555102107</v>
      </c>
      <c r="BX18">
        <f t="shared" si="0"/>
        <v>44.663591936460804</v>
      </c>
      <c r="BY18">
        <f t="shared" si="8"/>
        <v>212.87521255063621</v>
      </c>
      <c r="BZ18">
        <f t="shared" si="9"/>
        <v>63.293673577328633</v>
      </c>
      <c r="CA18">
        <f t="shared" si="10"/>
        <v>59.337818978745602</v>
      </c>
      <c r="CB18">
        <f>BO18*'Reagent cost'!$G$11*'Reagent cost'!$H$11</f>
        <v>2210.8478008548095</v>
      </c>
      <c r="CC18">
        <f>BP18*'Reagent cost'!$G$11*'Reagent cost'!$H$11</f>
        <v>6266.0736841555354</v>
      </c>
      <c r="CD18">
        <f>BQ18*'Reagent cost'!$C$18/1000*'Reagent cost'!$H$18</f>
        <v>2671.1136977461792</v>
      </c>
      <c r="CE18">
        <f>BR18*'Ligand cost'!$B$56*'Ligand cost'!$J$56</f>
        <v>48330.783243876089</v>
      </c>
      <c r="CF18">
        <f t="shared" si="11"/>
        <v>10</v>
      </c>
      <c r="CG18">
        <f t="shared" si="12"/>
        <v>2.7914744960288003</v>
      </c>
      <c r="CH18">
        <f t="shared" si="12"/>
        <v>3.95585459858304</v>
      </c>
      <c r="CI18">
        <f>7963.6*(BX18/1000)^0.6*1.7*('CAPEX+OPEX'!$G$116/'CAPEX+OPEX'!$G$115)</f>
        <v>2472.9373618126128</v>
      </c>
      <c r="CJ18">
        <f>7963.6*(BY18/1000)^0.6*1.7*('CAPEX+OPEX'!$G$116/'CAPEX+OPEX'!$G$115)</f>
        <v>6311.2587327211604</v>
      </c>
      <c r="CK18">
        <f>7963.6*(BZ18/1000)^0.6*1.7*('CAPEX+OPEX'!$G$116/'CAPEX+OPEX'!$G$115)</f>
        <v>3048.2958135103663</v>
      </c>
      <c r="CL18">
        <f>7963.6*(CA18/1000)^0.6*1.7*('CAPEX+OPEX'!$G$116/'CAPEX+OPEX'!$G$115)</f>
        <v>2932.5125234550369</v>
      </c>
      <c r="CM18">
        <f>'Costing 100 Lmin Feed Orig'!DE18</f>
        <v>39625.826528698344</v>
      </c>
      <c r="CN18">
        <f>'Costing 100 Lmin Feed Orig'!DF18</f>
        <v>4586243.4239371875</v>
      </c>
      <c r="CO18">
        <f>'Costing 100 Lmin Feed Orig'!DG18</f>
        <v>11794834.586807497</v>
      </c>
      <c r="CP18">
        <f>'Costing 100 Lmin Feed Orig'!DH18</f>
        <v>2275209.1661185985</v>
      </c>
      <c r="CQ18">
        <f>'Costing 100 Lmin Feed Orig'!DI18</f>
        <v>14083914.336508472</v>
      </c>
      <c r="CR18">
        <f>'Costing 100 Lmin Feed Orig'!DJ18</f>
        <v>1662824.8986326549</v>
      </c>
      <c r="CS18">
        <f>CN18*(BK18/10000)^0.72*((A18+1)/3)^0.6*('CAPEX+OPEX'!$G$116/'CAPEX+OPEX'!$G$114)</f>
        <v>528015.95740622084</v>
      </c>
      <c r="CT18">
        <f>CO18*(BK18/10000)^0.72*((A18+1)/3)^0.6*('CAPEX+OPEX'!$G$116/'CAPEX+OPEX'!$G$114)</f>
        <v>1357943.8117688675</v>
      </c>
      <c r="CU18">
        <f>CP18*(BK18/10000)^0.72*((A18+1)/3)^0.6*('CAPEX+OPEX'!$G$116/'CAPEX+OPEX'!$G$114)</f>
        <v>261945.7004565605</v>
      </c>
      <c r="CV18">
        <f>CQ18*(BK18/10000)^0.72*((A18+1)/3)^0.6*('CAPEX+OPEX'!$G$116/'CAPEX+OPEX'!$G$114)</f>
        <v>1621486.4378120217</v>
      </c>
      <c r="CW18">
        <f>CR18*(BK18/10000)^0.72*((A18+1)/3)^0.6*('CAPEX+OPEX'!$G$116/'CAPEX+OPEX'!$G$114)</f>
        <v>191441.6658016555</v>
      </c>
      <c r="CX18">
        <f t="shared" si="13"/>
        <v>3960833.5732453261</v>
      </c>
      <c r="CY18">
        <f>CN18*(BM18/10000)^0.72*((AF18+1)/3)^0.6*('CAPEX+OPEX'!$G$116/'CAPEX+OPEX'!$G$114)</f>
        <v>801043.08902855217</v>
      </c>
      <c r="CZ18">
        <f>CO18*(BM18/10000)^0.72*((AF18+1)/3)^0.6*('CAPEX+OPEX'!$G$116/'CAPEX+OPEX'!$G$114)</f>
        <v>2060111.0448442006</v>
      </c>
      <c r="DA18">
        <f>CP18*(BM18/10000)^0.72*((AF18+1)/3)^0.6*('CAPEX+OPEX'!$G$116/'CAPEX+OPEX'!$G$114)</f>
        <v>397392.90093091218</v>
      </c>
      <c r="DB18">
        <f>CQ18*(BM18/10000)^0.72*((AF18+1)/3)^0.6*('CAPEX+OPEX'!$G$116/'CAPEX+OPEX'!$G$114)</f>
        <v>2459926.6115807402</v>
      </c>
      <c r="DC18">
        <f>CR18*(BM18/10000)^0.72*((AF18+1)/3)^0.6*('CAPEX+OPEX'!$G$116/'CAPEX+OPEX'!$G$114)</f>
        <v>290432.55453082855</v>
      </c>
      <c r="DD18">
        <f t="shared" si="14"/>
        <v>6008906.2009152332</v>
      </c>
      <c r="DE18">
        <f>CX18+DD18+1.15*(SUM(CI18:CL18)+SUM(CB18:CE18))</f>
        <v>10055120.170447411</v>
      </c>
      <c r="DF18">
        <f t="shared" si="15"/>
        <v>670341.34469649405</v>
      </c>
      <c r="DG18">
        <f>(BS18+BT18)*'Oxidant Feed Composition'!$N$29*60*7200</f>
        <v>10098149.344748715</v>
      </c>
      <c r="DH18">
        <f>((CG18+CH18)*'Reagent cost'!$C$17/1000*'Reagent cost'!$H$17+(CG18+CH18)*0.5*'Reagent cost'!$C$16/1000*'Reagent cost'!$H$16*0.5)*60*7200</f>
        <v>3418691.9033927391</v>
      </c>
      <c r="DI18">
        <f>CF18*'Reagent cost'!$C$17/1000*'Reagent cost'!$H$17*60*7200</f>
        <v>504921.59999999998</v>
      </c>
      <c r="DJ18">
        <f t="shared" si="16"/>
        <v>84.769214850103452</v>
      </c>
      <c r="DK18">
        <f t="shared" si="17"/>
        <v>1020.0379388324454</v>
      </c>
      <c r="DL18">
        <f t="shared" si="18"/>
        <v>16827441.186354164</v>
      </c>
      <c r="DM18">
        <f>BK18*(B18*(409.81+2)/1000+C18*(248.2+2*22.99)/1000+D18*(315.6+3*22.99)/1000+0.1*58.44/1000)</f>
        <v>0.70639694042110623</v>
      </c>
      <c r="DN18">
        <f>(BS18+BT18)/1000*('Oxidant Feed Composition'!$B$11*'Oxidant Feed Composition'!$O$20+'Oxidant Feed Composition'!$D$11*'Oxidant Feed Composition'!$O$21+'Oxidant Feed Composition'!$F$11*'Oxidant Feed Composition'!$O$27-'Oxidant Feed Composition'!$J$15*18.015)</f>
        <v>2.3639511736285801</v>
      </c>
      <c r="DO18">
        <f>(BU18+BV18)/1000*(0.2*368.34+0.4*58.44)</f>
        <v>1.6369695116437784</v>
      </c>
      <c r="DP18">
        <f>BK18/1000*(B18*195.08+C18*106.42+D18*102.91)</f>
        <v>4.999938342565946E-2</v>
      </c>
      <c r="DQ18">
        <f>SUM(DM18:DO18)-DP18</f>
        <v>4.657318242267805</v>
      </c>
      <c r="DR18">
        <f>DQ18*60*7200*0.33</f>
        <v>663947.28861769824</v>
      </c>
      <c r="DS18">
        <v>1.2</v>
      </c>
      <c r="DT18">
        <f>BM18/60*(AM18*4+AN18*2+AO18*3)*96485/DV18</f>
        <v>1407.4739915516295</v>
      </c>
      <c r="DU18">
        <f>BN18*BA18*(AP18*4+AQ18*2+AR18*3)*96485/DV18/60</f>
        <v>708.19368228674409</v>
      </c>
      <c r="DV18">
        <v>0.7</v>
      </c>
      <c r="DW18">
        <f>0.499*((BK18/3.78541*15)^(-0.146))*BK18/3.78541*15*300*(1+(A18-2)/9)</f>
        <v>30272.303809866662</v>
      </c>
      <c r="DX18">
        <f>0.248*((BK18/3.78541*15)^(-0.144))*BK18/3.78541*15*300*(1+(A18-2)/3)</f>
        <v>20763.049486147294</v>
      </c>
      <c r="DY18">
        <f>0.105*((BK18/3.78541*15)^(-0.144))*BK18/3.78541*15*300*(1+(A18-2)/3)</f>
        <v>8790.8072421188135</v>
      </c>
      <c r="DZ18">
        <f>0.058*((BK18/3.78541*15)^(-0.151))*BK18/3.78541*15*300*(1+(A18-2)/3)</f>
        <v>4656.7358484871465</v>
      </c>
      <c r="EA18">
        <f>0.056*((BK18/3.78541*15)^(-0.144))*BK18/3.78541*15*300*(1+(A18-2)/3)</f>
        <v>4688.4305291300352</v>
      </c>
      <c r="EB18">
        <f>DS18*DT18/(3.6*10^6)*3600*7200*0.07</f>
        <v>851.24027009042561</v>
      </c>
      <c r="EC18">
        <f>0.499*((BM18/3.78541*15)^(-0.146))*BM18/3.78541*15*300*(1+(AF18-2)/9)</f>
        <v>43763.04037096574</v>
      </c>
      <c r="ED18">
        <f>0.248*((BM18/3.78541*15)^(-0.144))*BM18/3.78541*15*300*(1+(AF18-2)/3)</f>
        <v>42722.011691418775</v>
      </c>
      <c r="EE18">
        <f>0.105*((BM18/3.78541*15)^(-0.144))*BM18/3.78541*15*300*(1+(AF18-2)/3)</f>
        <v>18087.94849838295</v>
      </c>
      <c r="EF18">
        <f>0.058*((BM18/3.78541*15)^(-0.151))*BM18/3.78541*15*300*(1+(AF18-2)/3)</f>
        <v>9586.9357430562486</v>
      </c>
      <c r="EG18">
        <f>0.056*((BM18/3.78541*15)^(-0.144))*BM18/3.78541*15*300*(1+(AF18-2)/3)</f>
        <v>9646.9058658042413</v>
      </c>
      <c r="EH18">
        <f>DS18*DU18/(3.6*10^6)*3600*7200*0.07</f>
        <v>428.31553904702292</v>
      </c>
      <c r="EI18">
        <f>SUM(DW18:EH18)</f>
        <v>194257.72489451536</v>
      </c>
      <c r="EJ18">
        <f>EI18+DR18+DL18</f>
        <v>17685646.199866377</v>
      </c>
      <c r="EK18">
        <f>EJ18+DF18</f>
        <v>18355987.544562872</v>
      </c>
      <c r="EL18">
        <f>EK18/(BK18*60*7200)</f>
        <v>0.42490711908710355</v>
      </c>
      <c r="EM18">
        <f>EK18/(BM18*(AM18*195.084/1000+AN18*106.42/1000+AO18*102.911/1000)*60*7200)</f>
        <v>1421.1941974156989</v>
      </c>
      <c r="EN18">
        <f>EK18/(BN18*BA18*(AP18*195.084/1000+AQ18*106.42/1000+AR18*102.911/1000)*60*7200)</f>
        <v>2600.0567101819174</v>
      </c>
    </row>
    <row r="19" spans="1:144">
      <c r="A19">
        <f>'Costing 100 Lmin Feed Orig'!A19</f>
        <v>4</v>
      </c>
      <c r="B19">
        <f>'Costing 100 Lmin Feed Orig'!B19</f>
        <v>1.54143585092054E-3</v>
      </c>
      <c r="C19">
        <f>'Costing 100 Lmin Feed Orig'!C19</f>
        <v>1.54143585092054E-3</v>
      </c>
      <c r="D19">
        <f>'Costing 100 Lmin Feed Orig'!D19</f>
        <v>3.4254130020456501E-4</v>
      </c>
      <c r="E19">
        <f>'Costing 100 Lmin Feed Orig'!E19</f>
        <v>0</v>
      </c>
      <c r="F19">
        <f>'Costing 100 Lmin Feed Orig'!F19</f>
        <v>0</v>
      </c>
      <c r="G19">
        <f>'Costing 100 Lmin Feed Orig'!G19</f>
        <v>0</v>
      </c>
      <c r="H19">
        <f>'Costing 100 Lmin Feed Orig'!H19</f>
        <v>1.7208960911287699E-5</v>
      </c>
      <c r="I19">
        <f>'Costing 100 Lmin Feed Orig'!I19</f>
        <v>2.8768784818324402E-7</v>
      </c>
      <c r="J19">
        <f>'Costing 100 Lmin Feed Orig'!J19</f>
        <v>3.3243632642994598E-4</v>
      </c>
      <c r="K19">
        <f>'Costing 100 Lmin Feed Orig'!K19</f>
        <v>0.10920586178936199</v>
      </c>
      <c r="L19">
        <f>'Costing 100 Lmin Feed Orig'!L19</f>
        <v>0.110418215553449</v>
      </c>
      <c r="M19">
        <f>'Costing 100 Lmin Feed Orig'!M19</f>
        <v>7.2398825703009801E-4</v>
      </c>
      <c r="N19">
        <f>'Costing 100 Lmin Feed Orig'!N19</f>
        <v>-2.168404344971E-18</v>
      </c>
      <c r="O19">
        <f>'Costing 100 Lmin Feed Orig'!O19</f>
        <v>2.3635607360183901E-17</v>
      </c>
      <c r="P19">
        <f>'Costing 100 Lmin Feed Orig'!P19</f>
        <v>-7.4538899358378406E-20</v>
      </c>
      <c r="Q19">
        <f>'Costing 100 Lmin Feed Orig'!Q19</f>
        <v>0.13957372480144001</v>
      </c>
      <c r="R19">
        <f>'Costing 100 Lmin Feed Orig'!R19</f>
        <v>97.0499984181222</v>
      </c>
      <c r="S19">
        <f>'Costing 100 Lmin Feed Orig'!S19</f>
        <v>500</v>
      </c>
      <c r="T19">
        <f>'Costing 100 Lmin Feed Orig'!T19</f>
        <v>95</v>
      </c>
      <c r="U19">
        <f>'Costing 100 Lmin Feed Orig'!U19</f>
        <v>1</v>
      </c>
      <c r="V19">
        <f>'Costing 100 Lmin Feed Orig'!V19</f>
        <v>0.1</v>
      </c>
      <c r="W19">
        <f>'Costing 100 Lmin Feed Orig'!W19</f>
        <v>71.646723007687299</v>
      </c>
      <c r="X19" t="str">
        <f>'Costing 100 Lmin Feed Orig'!X19</f>
        <v>ddFc</v>
      </c>
      <c r="Y19">
        <f>'Costing 100 Lmin Feed Orig'!Y19</f>
        <v>1</v>
      </c>
      <c r="Z19">
        <f>'Costing 100 Lmin Feed Orig'!Z19</f>
        <v>0.28318429382522198</v>
      </c>
      <c r="AA19">
        <f>'Costing 100 Lmin Feed Orig'!AA19</f>
        <v>0.56945642916197003</v>
      </c>
      <c r="AB19">
        <f>'Costing 100 Lmin Feed Orig'!AB19</f>
        <v>3.7698628972227502E-3</v>
      </c>
      <c r="AC19">
        <f>'Costing 100 Lmin Feed Orig'!AC19</f>
        <v>1822.2107908876901</v>
      </c>
      <c r="AD19">
        <f>'Costing 100 Lmin Feed Orig'!AD19</f>
        <v>2662.6059073104898</v>
      </c>
      <c r="AE19">
        <f>'Costing 100 Lmin Feed Orig'!AE19</f>
        <v>2401.5030938442701</v>
      </c>
      <c r="AF19">
        <f>'Costing 100 Lmin Feed Orig'!AF19</f>
        <v>11</v>
      </c>
      <c r="AG19">
        <f>'Costing 100 Lmin Feed Orig'!AG19</f>
        <v>1.6481650483119699E-3</v>
      </c>
      <c r="AH19">
        <f>'Costing 100 Lmin Feed Orig'!AH19</f>
        <v>1.6664622263884801E-3</v>
      </c>
      <c r="AI19">
        <f>'Costing 100 Lmin Feed Orig'!AI19</f>
        <v>1.0926630870116399E-5</v>
      </c>
      <c r="AJ19">
        <f>'Costing 100 Lmin Feed Orig'!AJ19</f>
        <v>0</v>
      </c>
      <c r="AK19">
        <f>'Costing 100 Lmin Feed Orig'!AK19</f>
        <v>0</v>
      </c>
      <c r="AL19">
        <f>'Costing 100 Lmin Feed Orig'!AL19</f>
        <v>0</v>
      </c>
      <c r="AM19">
        <f>'Costing 100 Lmin Feed Orig'!AM19</f>
        <v>1.61112321598457E-3</v>
      </c>
      <c r="AN19">
        <f>'Costing 100 Lmin Feed Orig'!AN19</f>
        <v>7.3941439847443504E-5</v>
      </c>
      <c r="AO19">
        <f>'Costing 100 Lmin Feed Orig'!AO19</f>
        <v>1.08545188885599E-5</v>
      </c>
      <c r="AP19">
        <f>'Costing 100 Lmin Feed Orig'!AP19</f>
        <v>1.7319792931660401E-3</v>
      </c>
      <c r="AQ19">
        <f>'Costing 100 Lmin Feed Orig'!AQ19</f>
        <v>7.4462110887135197E-2</v>
      </c>
      <c r="AR19">
        <f>'Costing 100 Lmin Feed Orig'!AR19</f>
        <v>3.3717678364587601E-6</v>
      </c>
      <c r="AS19">
        <f>'Costing 100 Lmin Feed Orig'!AS19</f>
        <v>6.0986372202309596E-19</v>
      </c>
      <c r="AT19">
        <f>'Costing 100 Lmin Feed Orig'!AT19</f>
        <v>-1.1882855810441099E-16</v>
      </c>
      <c r="AU19">
        <f>'Costing 100 Lmin Feed Orig'!AU19</f>
        <v>-2.6999175193730801E-21</v>
      </c>
      <c r="AV19">
        <f>'Costing 100 Lmin Feed Orig'!AV19</f>
        <v>0.19778742894656101</v>
      </c>
      <c r="AW19">
        <f>'Costing 100 Lmin Feed Orig'!AW19</f>
        <v>99.340034614386695</v>
      </c>
      <c r="AX19">
        <f>'Costing 100 Lmin Feed Orig'!AX19</f>
        <v>500</v>
      </c>
      <c r="AY19">
        <f>'Costing 100 Lmin Feed Orig'!AY19</f>
        <v>95</v>
      </c>
      <c r="AZ19">
        <f>'Costing 100 Lmin Feed Orig'!AZ19</f>
        <v>0.92480233795174105</v>
      </c>
      <c r="BA19">
        <f>'Costing 100 Lmin Feed Orig'!BA19</f>
        <v>0.1</v>
      </c>
      <c r="BB19">
        <f>'Costing 100 Lmin Feed Orig'!BB19</f>
        <v>46.757387103788297</v>
      </c>
      <c r="BC19" t="str">
        <f>'Costing 100 Lmin Feed Orig'!BC19</f>
        <v>coeFc</v>
      </c>
      <c r="BD19">
        <f>'Costing 100 Lmin Feed Orig'!BD19</f>
        <v>1</v>
      </c>
      <c r="BE19">
        <f>'Costing 100 Lmin Feed Orig'!BE19</f>
        <v>1.8775014999999999E-2</v>
      </c>
      <c r="BF19">
        <f>'Costing 100 Lmin Feed Orig'!BF19</f>
        <v>0.10492961100000001</v>
      </c>
      <c r="BG19">
        <f>'Costing 100 Lmin Feed Orig'!BG19</f>
        <v>1.814625E-3</v>
      </c>
      <c r="BH19">
        <f>'Costing 100 Lmin Feed Orig'!BH19</f>
        <v>285.1951444</v>
      </c>
      <c r="BI19">
        <f>'Costing 100 Lmin Feed Orig'!BI19</f>
        <v>2169.8944889999998</v>
      </c>
      <c r="BJ19">
        <f>'Costing 100 Lmin Feed Orig'!BJ19</f>
        <v>866.49409060000005</v>
      </c>
      <c r="BK19">
        <f>'Costing 100 Lmin Feed Orig'!BK19</f>
        <v>100</v>
      </c>
      <c r="BL19">
        <f>'Costing 100 Lmin Feed Orig'!BL19</f>
        <v>13.957372480144</v>
      </c>
      <c r="BM19">
        <f>'Costing 100 Lmin Feed Orig'!BM19</f>
        <v>92.480233795174101</v>
      </c>
      <c r="BN19">
        <f>'Costing 100 Lmin Feed Orig'!BN19</f>
        <v>19.778742894656101</v>
      </c>
      <c r="BO19">
        <f t="shared" si="1"/>
        <v>167.488469761728</v>
      </c>
      <c r="BP19">
        <f t="shared" si="2"/>
        <v>514.24731526105859</v>
      </c>
      <c r="BQ19">
        <f t="shared" si="3"/>
        <v>16.7488469761728</v>
      </c>
      <c r="BR19">
        <f t="shared" si="4"/>
        <v>51.424731526105859</v>
      </c>
      <c r="BS19">
        <f>1.2*0.5*BL19*V19/'Oxidant Feed Composition'!$N$22</f>
        <v>8.3744234880863999</v>
      </c>
      <c r="BT19">
        <f>1.2*0.5*BN19*BA19/'Oxidant Feed Composition'!$N$22</f>
        <v>11.867245736793661</v>
      </c>
      <c r="BU19">
        <f t="shared" si="5"/>
        <v>6.9786862400720002</v>
      </c>
      <c r="BV19">
        <f t="shared" si="6"/>
        <v>9.8893714473280507</v>
      </c>
      <c r="BW19">
        <f t="shared" si="7"/>
        <v>85.501547555102107</v>
      </c>
      <c r="BX19">
        <f t="shared" si="0"/>
        <v>44.663591936460804</v>
      </c>
      <c r="BY19">
        <f t="shared" si="8"/>
        <v>212.87521255063621</v>
      </c>
      <c r="BZ19">
        <f t="shared" si="9"/>
        <v>63.291977262899522</v>
      </c>
      <c r="CA19">
        <f t="shared" si="10"/>
        <v>59.336228683968301</v>
      </c>
      <c r="CB19">
        <f>BO19*'Reagent cost'!$G$11*'Reagent cost'!$H$11</f>
        <v>2210.8478008548095</v>
      </c>
      <c r="CC19">
        <f>BP19*'Reagent cost'!$G$11*'Reagent cost'!$H$11</f>
        <v>6788.0645614459736</v>
      </c>
      <c r="CD19">
        <f>BQ19*'Reagent cost'!$C$18/1000*'Reagent cost'!$H$18</f>
        <v>2671.1136977461792</v>
      </c>
      <c r="CE19">
        <f>BR19*'Ligand cost'!$B$56*'Ligand cost'!$J$56</f>
        <v>52356.945274079662</v>
      </c>
      <c r="CF19">
        <f t="shared" si="11"/>
        <v>10</v>
      </c>
      <c r="CG19">
        <f t="shared" si="12"/>
        <v>2.7914744960288003</v>
      </c>
      <c r="CH19">
        <f t="shared" si="12"/>
        <v>3.9557485789312206</v>
      </c>
      <c r="CI19">
        <f>7963.6*(BX19/1000)^0.6*1.7*('CAPEX+OPEX'!$G$116/'CAPEX+OPEX'!$G$115)</f>
        <v>2472.9373618126128</v>
      </c>
      <c r="CJ19">
        <f>7963.6*(BY19/1000)^0.6*1.7*('CAPEX+OPEX'!$G$116/'CAPEX+OPEX'!$G$115)</f>
        <v>6311.2587327211604</v>
      </c>
      <c r="CK19">
        <f>7963.6*(BZ19/1000)^0.6*1.7*('CAPEX+OPEX'!$G$116/'CAPEX+OPEX'!$G$115)</f>
        <v>3048.2467953801424</v>
      </c>
      <c r="CL19">
        <f>7963.6*(CA19/1000)^0.6*1.7*('CAPEX+OPEX'!$G$116/'CAPEX+OPEX'!$G$115)</f>
        <v>2932.4653671783653</v>
      </c>
      <c r="CM19">
        <f>'Costing 100 Lmin Feed Orig'!DE19</f>
        <v>39625.826528698344</v>
      </c>
      <c r="CN19">
        <f>'Costing 100 Lmin Feed Orig'!DF19</f>
        <v>4586243.4239371875</v>
      </c>
      <c r="CO19">
        <f>'Costing 100 Lmin Feed Orig'!DG19</f>
        <v>11794834.586807497</v>
      </c>
      <c r="CP19">
        <f>'Costing 100 Lmin Feed Orig'!DH19</f>
        <v>2275209.1661185985</v>
      </c>
      <c r="CQ19">
        <f>'Costing 100 Lmin Feed Orig'!DI19</f>
        <v>14083914.336508472</v>
      </c>
      <c r="CR19">
        <f>'Costing 100 Lmin Feed Orig'!DJ19</f>
        <v>1662824.8986326549</v>
      </c>
      <c r="CS19">
        <f>CN19*(BK19/10000)^0.72*((A19+1)/3)^0.6*('CAPEX+OPEX'!$G$116/'CAPEX+OPEX'!$G$114)</f>
        <v>528015.95740622084</v>
      </c>
      <c r="CT19">
        <f>CO19*(BK19/10000)^0.72*((A19+1)/3)^0.6*('CAPEX+OPEX'!$G$116/'CAPEX+OPEX'!$G$114)</f>
        <v>1357943.8117688675</v>
      </c>
      <c r="CU19">
        <f>CP19*(BK19/10000)^0.72*((A19+1)/3)^0.6*('CAPEX+OPEX'!$G$116/'CAPEX+OPEX'!$G$114)</f>
        <v>261945.7004565605</v>
      </c>
      <c r="CV19">
        <f>CQ19*(BK19/10000)^0.72*((A19+1)/3)^0.6*('CAPEX+OPEX'!$G$116/'CAPEX+OPEX'!$G$114)</f>
        <v>1621486.4378120217</v>
      </c>
      <c r="CW19">
        <f>CR19*(BK19/10000)^0.72*((A19+1)/3)^0.6*('CAPEX+OPEX'!$G$116/'CAPEX+OPEX'!$G$114)</f>
        <v>191441.6658016555</v>
      </c>
      <c r="CX19">
        <f t="shared" si="13"/>
        <v>3960833.5732453261</v>
      </c>
      <c r="CY19">
        <f>CN19*(BM19/10000)^0.72*((AF19+1)/3)^0.6*('CAPEX+OPEX'!$G$116/'CAPEX+OPEX'!$G$114)</f>
        <v>843973.89654919889</v>
      </c>
      <c r="CZ19">
        <f>CO19*(BM19/10000)^0.72*((AF19+1)/3)^0.6*('CAPEX+OPEX'!$G$116/'CAPEX+OPEX'!$G$114)</f>
        <v>2170519.8754660604</v>
      </c>
      <c r="DA19">
        <f>CP19*(BM19/10000)^0.72*((AF19+1)/3)^0.6*('CAPEX+OPEX'!$G$116/'CAPEX+OPEX'!$G$114)</f>
        <v>418690.62932231004</v>
      </c>
      <c r="DB19">
        <f>CQ19*(BM19/10000)^0.72*((AF19+1)/3)^0.6*('CAPEX+OPEX'!$G$116/'CAPEX+OPEX'!$G$114)</f>
        <v>2591763.010050592</v>
      </c>
      <c r="DC19">
        <f>CR19*(BM19/10000)^0.72*((AF19+1)/3)^0.6*('CAPEX+OPEX'!$G$116/'CAPEX+OPEX'!$G$114)</f>
        <v>305997.88961338153</v>
      </c>
      <c r="DD19">
        <f t="shared" si="14"/>
        <v>6330945.3010015422</v>
      </c>
      <c r="DE19">
        <f>CX19+DD19+1.15*(SUM(CI19:CL19)+SUM(CB19:CE19))</f>
        <v>10382389.535776772</v>
      </c>
      <c r="DF19">
        <f t="shared" si="15"/>
        <v>692159.30238511809</v>
      </c>
      <c r="DG19">
        <f>(BS19+BT19)*'Oxidant Feed Composition'!$N$29*60*7200</f>
        <v>10097990.674219601</v>
      </c>
      <c r="DH19">
        <f>((CG19+CH19)*'Reagent cost'!$C$17/1000*'Reagent cost'!$H$17+(CG19+CH19)*0.5*'Reagent cost'!$C$16/1000*'Reagent cost'!$H$16*0.5)*60*7200</f>
        <v>3418638.1860595252</v>
      </c>
      <c r="DI19">
        <f>CF19*'Reagent cost'!$C$17/1000*'Reagent cost'!$H$17*60*7200</f>
        <v>504921.59999999998</v>
      </c>
      <c r="DJ19">
        <f t="shared" si="16"/>
        <v>89.989123623007842</v>
      </c>
      <c r="DK19">
        <f t="shared" si="17"/>
        <v>1100.5611794365168</v>
      </c>
      <c r="DL19">
        <f t="shared" si="18"/>
        <v>16827289.212698624</v>
      </c>
      <c r="DM19">
        <f>BK19*(B19*(409.81+2)/1000+C19*(248.2+2*22.99)/1000+D19*(315.6+3*22.99)/1000+0.1*58.44/1000)</f>
        <v>0.70639694042110623</v>
      </c>
      <c r="DN19">
        <f>(BS19+BT19)/1000*('Oxidant Feed Composition'!$B$11*'Oxidant Feed Composition'!$O$20+'Oxidant Feed Composition'!$D$11*'Oxidant Feed Composition'!$O$21+'Oxidant Feed Composition'!$F$11*'Oxidant Feed Composition'!$O$27-'Oxidant Feed Composition'!$J$15*18.015)</f>
        <v>2.3639140292597745</v>
      </c>
      <c r="DO19">
        <f>(BU19+BV19)/1000*(0.2*368.34+0.4*58.44)</f>
        <v>1.6369437902160502</v>
      </c>
      <c r="DP19">
        <f>BK19/1000*(B19*195.08+C19*106.42+D19*102.91)</f>
        <v>4.999938342565946E-2</v>
      </c>
      <c r="DQ19">
        <f>SUM(DM19:DO19)-DP19</f>
        <v>4.6572553764712712</v>
      </c>
      <c r="DR19">
        <f>DQ19*60*7200*0.33</f>
        <v>663938.32646974444</v>
      </c>
      <c r="DS19">
        <v>1.2</v>
      </c>
      <c r="DT19">
        <f>BM19/60*(AM19*4+AN19*2+AO19*3)*96485/DV19</f>
        <v>1407.4770862909579</v>
      </c>
      <c r="DU19">
        <f>BN19*BA19*(AP19*4+AQ19*2+AR19*3)*96485/DV19/60</f>
        <v>708.19058547617715</v>
      </c>
      <c r="DV19">
        <v>0.7</v>
      </c>
      <c r="DW19">
        <f>0.499*((BK19/3.78541*15)^(-0.146))*BK19/3.78541*15*300*(1+(A19-2)/9)</f>
        <v>30272.303809866662</v>
      </c>
      <c r="DX19">
        <f>0.248*((BK19/3.78541*15)^(-0.144))*BK19/3.78541*15*300*(1+(A19-2)/3)</f>
        <v>20763.049486147294</v>
      </c>
      <c r="DY19">
        <f>0.105*((BK19/3.78541*15)^(-0.144))*BK19/3.78541*15*300*(1+(A19-2)/3)</f>
        <v>8790.8072421188135</v>
      </c>
      <c r="DZ19">
        <f>0.058*((BK19/3.78541*15)^(-0.151))*BK19/3.78541*15*300*(1+(A19-2)/3)</f>
        <v>4656.7358484871465</v>
      </c>
      <c r="EA19">
        <f>0.056*((BK19/3.78541*15)^(-0.144))*BK19/3.78541*15*300*(1+(A19-2)/3)</f>
        <v>4688.4305291300352</v>
      </c>
      <c r="EB19">
        <f>DS19*DT19/(3.6*10^6)*3600*7200*0.07</f>
        <v>851.24214178877139</v>
      </c>
      <c r="EC19">
        <f>0.499*((BM19/3.78541*15)^(-0.146))*BM19/3.78541*15*300*(1+(AF19-2)/9)</f>
        <v>46337.336863375494</v>
      </c>
      <c r="ED19">
        <f>0.248*((BM19/3.78541*15)^(-0.144))*BM19/3.78541*15*300*(1+(AF19-2)/3)</f>
        <v>46605.830936093211</v>
      </c>
      <c r="EE19">
        <f>0.105*((BM19/3.78541*15)^(-0.144))*BM19/3.78541*15*300*(1+(AF19-2)/3)</f>
        <v>19732.307452781399</v>
      </c>
      <c r="EF19">
        <f>0.058*((BM19/3.78541*15)^(-0.151))*BM19/3.78541*15*300*(1+(AF19-2)/3)</f>
        <v>10458.475356061363</v>
      </c>
      <c r="EG19">
        <f>0.056*((BM19/3.78541*15)^(-0.144))*BM19/3.78541*15*300*(1+(AF19-2)/3)</f>
        <v>10523.897308150083</v>
      </c>
      <c r="EH19">
        <f>DS19*DU19/(3.6*10^6)*3600*7200*0.07</f>
        <v>428.31366609599201</v>
      </c>
      <c r="EI19">
        <f>SUM(DW19:EH19)</f>
        <v>204108.73064009621</v>
      </c>
      <c r="EJ19">
        <f>EI19+DR19+DL19</f>
        <v>17695336.269808464</v>
      </c>
      <c r="EK19">
        <f>EJ19+DF19</f>
        <v>18387495.572193582</v>
      </c>
      <c r="EL19">
        <f>EK19/(BK19*60*7200)</f>
        <v>0.42563647157855511</v>
      </c>
      <c r="EM19">
        <f>EK19/(BM19*(AM19*195.084/1000+AN19*106.42/1000+AO19*102.911/1000)*60*7200)</f>
        <v>1423.6305410770992</v>
      </c>
      <c r="EN19">
        <f>EK19/(BN19*BA19*(AP19*195.084/1000+AQ19*106.42/1000+AR19*102.911/1000)*60*7200)</f>
        <v>2604.5302020978238</v>
      </c>
    </row>
    <row r="20" spans="1:144">
      <c r="A20">
        <f>'Costing 100 Lmin Feed Orig'!A20</f>
        <v>4</v>
      </c>
      <c r="B20">
        <f>'Costing 100 Lmin Feed Orig'!B20</f>
        <v>1.54143585092054E-3</v>
      </c>
      <c r="C20">
        <f>'Costing 100 Lmin Feed Orig'!C20</f>
        <v>1.54143585092054E-3</v>
      </c>
      <c r="D20">
        <f>'Costing 100 Lmin Feed Orig'!D20</f>
        <v>3.4254130020456501E-4</v>
      </c>
      <c r="E20">
        <f>'Costing 100 Lmin Feed Orig'!E20</f>
        <v>0</v>
      </c>
      <c r="F20">
        <f>'Costing 100 Lmin Feed Orig'!F20</f>
        <v>0</v>
      </c>
      <c r="G20">
        <f>'Costing 100 Lmin Feed Orig'!G20</f>
        <v>0</v>
      </c>
      <c r="H20">
        <f>'Costing 100 Lmin Feed Orig'!H20</f>
        <v>1.7208960911287699E-5</v>
      </c>
      <c r="I20">
        <f>'Costing 100 Lmin Feed Orig'!I20</f>
        <v>2.8768784818324402E-7</v>
      </c>
      <c r="J20">
        <f>'Costing 100 Lmin Feed Orig'!J20</f>
        <v>3.3243632642994598E-4</v>
      </c>
      <c r="K20">
        <f>'Costing 100 Lmin Feed Orig'!K20</f>
        <v>0.10920586178936199</v>
      </c>
      <c r="L20">
        <f>'Costing 100 Lmin Feed Orig'!L20</f>
        <v>0.110418215553449</v>
      </c>
      <c r="M20">
        <f>'Costing 100 Lmin Feed Orig'!M20</f>
        <v>7.2398825703009801E-4</v>
      </c>
      <c r="N20">
        <f>'Costing 100 Lmin Feed Orig'!N20</f>
        <v>-2.168404344971E-18</v>
      </c>
      <c r="O20">
        <f>'Costing 100 Lmin Feed Orig'!O20</f>
        <v>2.3635607360183901E-17</v>
      </c>
      <c r="P20">
        <f>'Costing 100 Lmin Feed Orig'!P20</f>
        <v>-7.4538899358378406E-20</v>
      </c>
      <c r="Q20">
        <f>'Costing 100 Lmin Feed Orig'!Q20</f>
        <v>0.13957372480144001</v>
      </c>
      <c r="R20">
        <f>'Costing 100 Lmin Feed Orig'!R20</f>
        <v>97.0499984181222</v>
      </c>
      <c r="S20">
        <f>'Costing 100 Lmin Feed Orig'!S20</f>
        <v>500</v>
      </c>
      <c r="T20">
        <f>'Costing 100 Lmin Feed Orig'!T20</f>
        <v>95</v>
      </c>
      <c r="U20">
        <f>'Costing 100 Lmin Feed Orig'!U20</f>
        <v>1</v>
      </c>
      <c r="V20">
        <f>'Costing 100 Lmin Feed Orig'!V20</f>
        <v>0.1</v>
      </c>
      <c r="W20">
        <f>'Costing 100 Lmin Feed Orig'!W20</f>
        <v>71.646723007687299</v>
      </c>
      <c r="X20" t="str">
        <f>'Costing 100 Lmin Feed Orig'!X20</f>
        <v>ddFc</v>
      </c>
      <c r="Y20">
        <f>'Costing 100 Lmin Feed Orig'!Y20</f>
        <v>1</v>
      </c>
      <c r="Z20">
        <f>'Costing 100 Lmin Feed Orig'!Z20</f>
        <v>0.28318429382522198</v>
      </c>
      <c r="AA20">
        <f>'Costing 100 Lmin Feed Orig'!AA20</f>
        <v>0.56945642916197003</v>
      </c>
      <c r="AB20">
        <f>'Costing 100 Lmin Feed Orig'!AB20</f>
        <v>3.7698628972227502E-3</v>
      </c>
      <c r="AC20">
        <f>'Costing 100 Lmin Feed Orig'!AC20</f>
        <v>1822.2107908876901</v>
      </c>
      <c r="AD20">
        <f>'Costing 100 Lmin Feed Orig'!AD20</f>
        <v>2662.6059073104898</v>
      </c>
      <c r="AE20">
        <f>'Costing 100 Lmin Feed Orig'!AE20</f>
        <v>2401.5030938442701</v>
      </c>
      <c r="AF20">
        <f>'Costing 100 Lmin Feed Orig'!AF20</f>
        <v>12</v>
      </c>
      <c r="AG20">
        <f>'Costing 100 Lmin Feed Orig'!AG20</f>
        <v>1.6481650483119699E-3</v>
      </c>
      <c r="AH20">
        <f>'Costing 100 Lmin Feed Orig'!AH20</f>
        <v>1.6664622263884801E-3</v>
      </c>
      <c r="AI20">
        <f>'Costing 100 Lmin Feed Orig'!AI20</f>
        <v>1.0926630870116399E-5</v>
      </c>
      <c r="AJ20">
        <f>'Costing 100 Lmin Feed Orig'!AJ20</f>
        <v>0</v>
      </c>
      <c r="AK20">
        <f>'Costing 100 Lmin Feed Orig'!AK20</f>
        <v>0</v>
      </c>
      <c r="AL20">
        <f>'Costing 100 Lmin Feed Orig'!AL20</f>
        <v>0</v>
      </c>
      <c r="AM20">
        <f>'Costing 100 Lmin Feed Orig'!AM20</f>
        <v>1.6111242193774301E-3</v>
      </c>
      <c r="AN20">
        <f>'Costing 100 Lmin Feed Orig'!AN20</f>
        <v>7.3941490785069596E-5</v>
      </c>
      <c r="AO20">
        <f>'Costing 100 Lmin Feed Orig'!AO20</f>
        <v>1.08545207611103E-5</v>
      </c>
      <c r="AP20">
        <f>'Costing 100 Lmin Feed Orig'!AP20</f>
        <v>1.7319455084018099E-3</v>
      </c>
      <c r="AQ20">
        <f>'Costing 100 Lmin Feed Orig'!AQ20</f>
        <v>7.4462673066500798E-2</v>
      </c>
      <c r="AR20">
        <f>'Costing 100 Lmin Feed Orig'!AR20</f>
        <v>3.3717058444944401E-6</v>
      </c>
      <c r="AS20">
        <f>'Costing 100 Lmin Feed Orig'!AS20</f>
        <v>6.09863722023096E-20</v>
      </c>
      <c r="AT20">
        <f>'Costing 100 Lmin Feed Orig'!AT20</f>
        <v>-2.3852447794681001E-18</v>
      </c>
      <c r="AU20">
        <f>'Costing 100 Lmin Feed Orig'!AU20</f>
        <v>1.9719985803264101E-21</v>
      </c>
      <c r="AV20">
        <f>'Costing 100 Lmin Feed Orig'!AV20</f>
        <v>0.19778592936186601</v>
      </c>
      <c r="AW20">
        <f>'Costing 100 Lmin Feed Orig'!AW20</f>
        <v>99.340051751877695</v>
      </c>
      <c r="AX20">
        <f>'Costing 100 Lmin Feed Orig'!AX20</f>
        <v>500</v>
      </c>
      <c r="AY20">
        <f>'Costing 100 Lmin Feed Orig'!AY20</f>
        <v>95</v>
      </c>
      <c r="AZ20">
        <f>'Costing 100 Lmin Feed Orig'!AZ20</f>
        <v>0.92480233795174105</v>
      </c>
      <c r="BA20">
        <f>'Costing 100 Lmin Feed Orig'!BA20</f>
        <v>0.1</v>
      </c>
      <c r="BB20">
        <f>'Costing 100 Lmin Feed Orig'!BB20</f>
        <v>46.757741611625697</v>
      </c>
      <c r="BC20" t="str">
        <f>'Costing 100 Lmin Feed Orig'!BC20</f>
        <v>coeFc</v>
      </c>
      <c r="BD20">
        <f>'Costing 100 Lmin Feed Orig'!BD20</f>
        <v>1</v>
      </c>
      <c r="BE20">
        <f>'Costing 100 Lmin Feed Orig'!BE20</f>
        <v>1.8775014999999999E-2</v>
      </c>
      <c r="BF20">
        <f>'Costing 100 Lmin Feed Orig'!BF20</f>
        <v>0.10492961100000001</v>
      </c>
      <c r="BG20">
        <f>'Costing 100 Lmin Feed Orig'!BG20</f>
        <v>1.814625E-3</v>
      </c>
      <c r="BH20">
        <f>'Costing 100 Lmin Feed Orig'!BH20</f>
        <v>285.1951444</v>
      </c>
      <c r="BI20">
        <f>'Costing 100 Lmin Feed Orig'!BI20</f>
        <v>2169.8944889999998</v>
      </c>
      <c r="BJ20">
        <f>'Costing 100 Lmin Feed Orig'!BJ20</f>
        <v>866.49409060000005</v>
      </c>
      <c r="BK20">
        <f>'Costing 100 Lmin Feed Orig'!BK20</f>
        <v>100</v>
      </c>
      <c r="BL20">
        <f>'Costing 100 Lmin Feed Orig'!BL20</f>
        <v>13.957372480144</v>
      </c>
      <c r="BM20">
        <f>'Costing 100 Lmin Feed Orig'!BM20</f>
        <v>92.480233795174101</v>
      </c>
      <c r="BN20">
        <f>'Costing 100 Lmin Feed Orig'!BN20</f>
        <v>19.778592936186602</v>
      </c>
      <c r="BO20">
        <f t="shared" si="1"/>
        <v>167.488469761728</v>
      </c>
      <c r="BP20">
        <f t="shared" si="2"/>
        <v>553.80060221322481</v>
      </c>
      <c r="BQ20">
        <f t="shared" si="3"/>
        <v>16.7488469761728</v>
      </c>
      <c r="BR20">
        <f t="shared" si="4"/>
        <v>55.380060221322481</v>
      </c>
      <c r="BS20">
        <f>1.2*0.5*BL20*V20/'Oxidant Feed Composition'!$N$22</f>
        <v>8.3744234880863999</v>
      </c>
      <c r="BT20">
        <f>1.2*0.5*BN20*BA20/'Oxidant Feed Composition'!$N$22</f>
        <v>11.867155761711961</v>
      </c>
      <c r="BU20">
        <f t="shared" si="5"/>
        <v>6.9786862400720002</v>
      </c>
      <c r="BV20">
        <f t="shared" si="6"/>
        <v>9.8892964680933009</v>
      </c>
      <c r="BW20">
        <f t="shared" si="7"/>
        <v>85.501547555102107</v>
      </c>
      <c r="BX20">
        <f t="shared" si="0"/>
        <v>44.663591936460804</v>
      </c>
      <c r="BY20">
        <f t="shared" si="8"/>
        <v>212.87521255063621</v>
      </c>
      <c r="BZ20">
        <f t="shared" si="9"/>
        <v>63.291497395797123</v>
      </c>
      <c r="CA20">
        <f t="shared" si="10"/>
        <v>59.335778808559809</v>
      </c>
      <c r="CB20">
        <f>BO20*'Reagent cost'!$G$11*'Reagent cost'!$H$11</f>
        <v>2210.8478008548095</v>
      </c>
      <c r="CC20">
        <f>BP20*'Reagent cost'!$G$11*'Reagent cost'!$H$11</f>
        <v>7310.1679492145686</v>
      </c>
      <c r="CD20">
        <f>BQ20*'Reagent cost'!$C$18/1000*'Reagent cost'!$H$18</f>
        <v>2671.1136977461792</v>
      </c>
      <c r="CE20">
        <f>BR20*'Ligand cost'!$B$56*'Ligand cost'!$J$56</f>
        <v>56383.975107601007</v>
      </c>
      <c r="CF20">
        <f t="shared" si="11"/>
        <v>10</v>
      </c>
      <c r="CG20">
        <f t="shared" si="12"/>
        <v>2.7914744960288003</v>
      </c>
      <c r="CH20">
        <f t="shared" si="12"/>
        <v>3.9557185872373206</v>
      </c>
      <c r="CI20">
        <f>7963.6*(BX20/1000)^0.6*1.7*('CAPEX+OPEX'!$G$116/'CAPEX+OPEX'!$G$115)</f>
        <v>2472.9373618126128</v>
      </c>
      <c r="CJ20">
        <f>7963.6*(BY20/1000)^0.6*1.7*('CAPEX+OPEX'!$G$116/'CAPEX+OPEX'!$G$115)</f>
        <v>6311.2587327211604</v>
      </c>
      <c r="CK20">
        <f>7963.6*(BZ20/1000)^0.6*1.7*('CAPEX+OPEX'!$G$116/'CAPEX+OPEX'!$G$115)</f>
        <v>3048.2329286408958</v>
      </c>
      <c r="CL20">
        <f>7963.6*(CA20/1000)^0.6*1.7*('CAPEX+OPEX'!$G$116/'CAPEX+OPEX'!$G$115)</f>
        <v>2932.452027138886</v>
      </c>
      <c r="CM20">
        <f>'Costing 100 Lmin Feed Orig'!DE20</f>
        <v>39625.826528698344</v>
      </c>
      <c r="CN20">
        <f>'Costing 100 Lmin Feed Orig'!DF20</f>
        <v>4586243.4239371875</v>
      </c>
      <c r="CO20">
        <f>'Costing 100 Lmin Feed Orig'!DG20</f>
        <v>11794834.586807497</v>
      </c>
      <c r="CP20">
        <f>'Costing 100 Lmin Feed Orig'!DH20</f>
        <v>2275209.1661185985</v>
      </c>
      <c r="CQ20">
        <f>'Costing 100 Lmin Feed Orig'!DI20</f>
        <v>14083914.336508472</v>
      </c>
      <c r="CR20">
        <f>'Costing 100 Lmin Feed Orig'!DJ20</f>
        <v>1662824.8986326549</v>
      </c>
      <c r="CS20">
        <f>CN20*(BK20/10000)^0.72*((A20+1)/3)^0.6*('CAPEX+OPEX'!$G$116/'CAPEX+OPEX'!$G$114)</f>
        <v>528015.95740622084</v>
      </c>
      <c r="CT20">
        <f>CO20*(BK20/10000)^0.72*((A20+1)/3)^0.6*('CAPEX+OPEX'!$G$116/'CAPEX+OPEX'!$G$114)</f>
        <v>1357943.8117688675</v>
      </c>
      <c r="CU20">
        <f>CP20*(BK20/10000)^0.72*((A20+1)/3)^0.6*('CAPEX+OPEX'!$G$116/'CAPEX+OPEX'!$G$114)</f>
        <v>261945.7004565605</v>
      </c>
      <c r="CV20">
        <f>CQ20*(BK20/10000)^0.72*((A20+1)/3)^0.6*('CAPEX+OPEX'!$G$116/'CAPEX+OPEX'!$G$114)</f>
        <v>1621486.4378120217</v>
      </c>
      <c r="CW20">
        <f>CR20*(BK20/10000)^0.72*((A20+1)/3)^0.6*('CAPEX+OPEX'!$G$116/'CAPEX+OPEX'!$G$114)</f>
        <v>191441.6658016555</v>
      </c>
      <c r="CX20">
        <f t="shared" si="13"/>
        <v>3960833.5732453261</v>
      </c>
      <c r="CY20">
        <f>CN20*(BM20/10000)^0.72*((AF20+1)/3)^0.6*('CAPEX+OPEX'!$G$116/'CAPEX+OPEX'!$G$114)</f>
        <v>885495.33629599935</v>
      </c>
      <c r="CZ20">
        <f>CO20*(BM20/10000)^0.72*((AF20+1)/3)^0.6*('CAPEX+OPEX'!$G$116/'CAPEX+OPEX'!$G$114)</f>
        <v>2277304.1144062551</v>
      </c>
      <c r="DA20">
        <f>CP20*(BM20/10000)^0.72*((AF20+1)/3)^0.6*('CAPEX+OPEX'!$G$116/'CAPEX+OPEX'!$G$114)</f>
        <v>439289.17841137282</v>
      </c>
      <c r="DB20">
        <f>CQ20*(BM20/10000)^0.72*((AF20+1)/3)^0.6*('CAPEX+OPEX'!$G$116/'CAPEX+OPEX'!$G$114)</f>
        <v>2719271.3750602305</v>
      </c>
      <c r="DC20">
        <f>CR20*(BM20/10000)^0.72*((AF20+1)/3)^0.6*('CAPEX+OPEX'!$G$116/'CAPEX+OPEX'!$G$114)</f>
        <v>321052.23310454836</v>
      </c>
      <c r="DD20">
        <f t="shared" si="14"/>
        <v>6642412.2372784065</v>
      </c>
      <c r="DE20">
        <f>CX20+DD20+1.15*(SUM(CI20:CL20)+SUM(CB20:CE20))</f>
        <v>10699087.943970323</v>
      </c>
      <c r="DF20">
        <f t="shared" si="15"/>
        <v>713272.52959802153</v>
      </c>
      <c r="DG20">
        <f>(BS20+BT20)*'Oxidant Feed Composition'!$N$29*60*7200</f>
        <v>10097945.78822103</v>
      </c>
      <c r="DH20">
        <f>((CG20+CH20)*'Reagent cost'!$C$17/1000*'Reagent cost'!$H$17+(CG20+CH20)*0.5*'Reagent cost'!$C$16/1000*'Reagent cost'!$H$16*0.5)*60*7200</f>
        <v>3418622.9900672049</v>
      </c>
      <c r="DI20">
        <f>CF20*'Reagent cost'!$C$17/1000*'Reagent cost'!$H$17*60*7200</f>
        <v>504921.59999999998</v>
      </c>
      <c r="DJ20">
        <f t="shared" si="16"/>
        <v>95.210157500693782</v>
      </c>
      <c r="DK20">
        <f t="shared" si="17"/>
        <v>1181.1017761069438</v>
      </c>
      <c r="DL20">
        <f t="shared" si="18"/>
        <v>16827320.028266206</v>
      </c>
      <c r="DM20">
        <f>BK20*(B20*(409.81+2)/1000+C20*(248.2+2*22.99)/1000+D20*(315.6+3*22.99)/1000+0.1*58.44/1000)</f>
        <v>0.70639694042110623</v>
      </c>
      <c r="DN20">
        <f>(BS20+BT20)/1000*('Oxidant Feed Composition'!$B$11*'Oxidant Feed Composition'!$O$20+'Oxidant Feed Composition'!$D$11*'Oxidant Feed Composition'!$O$21+'Oxidant Feed Composition'!$F$11*'Oxidant Feed Composition'!$O$27-'Oxidant Feed Composition'!$J$15*18.015)</f>
        <v>2.3639035215612463</v>
      </c>
      <c r="DO20">
        <f>(BU20+BV20)/1000*(0.2*368.34+0.4*58.44)</f>
        <v>1.6369365139311933</v>
      </c>
      <c r="DP20">
        <f>BK20/1000*(B20*195.08+C20*106.42+D20*102.91)</f>
        <v>4.999938342565946E-2</v>
      </c>
      <c r="DQ20">
        <f>SUM(DM20:DO20)-DP20</f>
        <v>4.6572375924878857</v>
      </c>
      <c r="DR20">
        <f>DQ20*60*7200*0.33</f>
        <v>663935.79118507297</v>
      </c>
      <c r="DS20">
        <v>1.2</v>
      </c>
      <c r="DT20">
        <f>BM20/60*(AM20*4+AN20*2+AO20*3)*96485/DV20</f>
        <v>1407.4779618165098</v>
      </c>
      <c r="DU20">
        <f>BN20*BA20*(AP20*4+AQ20*2+AR20*3)*96485/DV20/60</f>
        <v>708.18970995057066</v>
      </c>
      <c r="DV20">
        <v>0.7</v>
      </c>
      <c r="DW20">
        <f>0.499*((BK20/3.78541*15)^(-0.146))*BK20/3.78541*15*300*(1+(A20-2)/9)</f>
        <v>30272.303809866662</v>
      </c>
      <c r="DX20">
        <f>0.248*((BK20/3.78541*15)^(-0.144))*BK20/3.78541*15*300*(1+(A20-2)/3)</f>
        <v>20763.049486147294</v>
      </c>
      <c r="DY20">
        <f>0.105*((BK20/3.78541*15)^(-0.144))*BK20/3.78541*15*300*(1+(A20-2)/3)</f>
        <v>8790.8072421188135</v>
      </c>
      <c r="DZ20">
        <f>0.058*((BK20/3.78541*15)^(-0.151))*BK20/3.78541*15*300*(1+(A20-2)/3)</f>
        <v>4656.7358484871465</v>
      </c>
      <c r="EA20">
        <f>0.056*((BK20/3.78541*15)^(-0.144))*BK20/3.78541*15*300*(1+(A20-2)/3)</f>
        <v>4688.4305291300352</v>
      </c>
      <c r="EB20">
        <f>DS20*DT20/(3.6*10^6)*3600*7200*0.07</f>
        <v>851.24267130662531</v>
      </c>
      <c r="EC20">
        <f>0.499*((BM20/3.78541*15)^(-0.146))*BM20/3.78541*15*300*(1+(AF20-2)/9)</f>
        <v>48911.633355785249</v>
      </c>
      <c r="ED20">
        <f>0.248*((BM20/3.78541*15)^(-0.144))*BM20/3.78541*15*300*(1+(AF20-2)/3)</f>
        <v>50489.650180767654</v>
      </c>
      <c r="EE20">
        <f>0.105*((BM20/3.78541*15)^(-0.144))*BM20/3.78541*15*300*(1+(AF20-2)/3)</f>
        <v>21376.666407179851</v>
      </c>
      <c r="EF20">
        <f>0.058*((BM20/3.78541*15)^(-0.151))*BM20/3.78541*15*300*(1+(AF20-2)/3)</f>
        <v>11330.014969066478</v>
      </c>
      <c r="EG20">
        <f>0.056*((BM20/3.78541*15)^(-0.144))*BM20/3.78541*15*300*(1+(AF20-2)/3)</f>
        <v>11400.888750495924</v>
      </c>
      <c r="EH20">
        <f>DS20*DU20/(3.6*10^6)*3600*7200*0.07</f>
        <v>428.31313657810517</v>
      </c>
      <c r="EI20">
        <f>SUM(DW20:EH20)</f>
        <v>213959.73638692981</v>
      </c>
      <c r="EJ20">
        <f>EI20+DR20+DL20</f>
        <v>17705215.555838209</v>
      </c>
      <c r="EK20">
        <f>EJ20+DF20</f>
        <v>18418488.085436229</v>
      </c>
      <c r="EL20">
        <f>EK20/(BK20*60*7200)</f>
        <v>0.42635389086657938</v>
      </c>
      <c r="EM20">
        <f>EK20/(BM20*(AM20*195.084/1000+AN20*106.42/1000+AO20*102.911/1000)*60*7200)</f>
        <v>1426.0292123135787</v>
      </c>
      <c r="EN20">
        <f>EK20/(BN20*BA20*(AP20*195.084/1000+AQ20*106.42/1000+AR20*102.911/1000)*60*7200)</f>
        <v>2608.9231657663763</v>
      </c>
    </row>
    <row r="21" spans="1:144">
      <c r="A21">
        <f>'Costing 100 Lmin Feed Orig'!A21</f>
        <v>4</v>
      </c>
      <c r="B21">
        <f>'Costing 100 Lmin Feed Orig'!B21</f>
        <v>1.54143585092054E-3</v>
      </c>
      <c r="C21">
        <f>'Costing 100 Lmin Feed Orig'!C21</f>
        <v>1.54143585092054E-3</v>
      </c>
      <c r="D21">
        <f>'Costing 100 Lmin Feed Orig'!D21</f>
        <v>3.4254130020456501E-4</v>
      </c>
      <c r="E21">
        <f>'Costing 100 Lmin Feed Orig'!E21</f>
        <v>0</v>
      </c>
      <c r="F21">
        <f>'Costing 100 Lmin Feed Orig'!F21</f>
        <v>0</v>
      </c>
      <c r="G21">
        <f>'Costing 100 Lmin Feed Orig'!G21</f>
        <v>0</v>
      </c>
      <c r="H21">
        <f>'Costing 100 Lmin Feed Orig'!H21</f>
        <v>1.7208960911287699E-5</v>
      </c>
      <c r="I21">
        <f>'Costing 100 Lmin Feed Orig'!I21</f>
        <v>2.8768784818324402E-7</v>
      </c>
      <c r="J21">
        <f>'Costing 100 Lmin Feed Orig'!J21</f>
        <v>3.3243632642994598E-4</v>
      </c>
      <c r="K21">
        <f>'Costing 100 Lmin Feed Orig'!K21</f>
        <v>0.10920586178936199</v>
      </c>
      <c r="L21">
        <f>'Costing 100 Lmin Feed Orig'!L21</f>
        <v>0.110418215553449</v>
      </c>
      <c r="M21">
        <f>'Costing 100 Lmin Feed Orig'!M21</f>
        <v>7.2398825703009801E-4</v>
      </c>
      <c r="N21">
        <f>'Costing 100 Lmin Feed Orig'!N21</f>
        <v>-2.168404344971E-18</v>
      </c>
      <c r="O21">
        <f>'Costing 100 Lmin Feed Orig'!O21</f>
        <v>2.3635607360183901E-17</v>
      </c>
      <c r="P21">
        <f>'Costing 100 Lmin Feed Orig'!P21</f>
        <v>-7.4538899358378406E-20</v>
      </c>
      <c r="Q21">
        <f>'Costing 100 Lmin Feed Orig'!Q21</f>
        <v>0.13957372480144001</v>
      </c>
      <c r="R21">
        <f>'Costing 100 Lmin Feed Orig'!R21</f>
        <v>97.0499984181222</v>
      </c>
      <c r="S21">
        <f>'Costing 100 Lmin Feed Orig'!S21</f>
        <v>500</v>
      </c>
      <c r="T21">
        <f>'Costing 100 Lmin Feed Orig'!T21</f>
        <v>95</v>
      </c>
      <c r="U21">
        <f>'Costing 100 Lmin Feed Orig'!U21</f>
        <v>1</v>
      </c>
      <c r="V21">
        <f>'Costing 100 Lmin Feed Orig'!V21</f>
        <v>0.1</v>
      </c>
      <c r="W21">
        <f>'Costing 100 Lmin Feed Orig'!W21</f>
        <v>71.646723007687299</v>
      </c>
      <c r="X21" t="str">
        <f>'Costing 100 Lmin Feed Orig'!X21</f>
        <v>ddFc</v>
      </c>
      <c r="Y21">
        <f>'Costing 100 Lmin Feed Orig'!Y21</f>
        <v>1</v>
      </c>
      <c r="Z21">
        <f>'Costing 100 Lmin Feed Orig'!Z21</f>
        <v>0.28318429382522198</v>
      </c>
      <c r="AA21">
        <f>'Costing 100 Lmin Feed Orig'!AA21</f>
        <v>0.56945642916197003</v>
      </c>
      <c r="AB21">
        <f>'Costing 100 Lmin Feed Orig'!AB21</f>
        <v>3.7698628972227502E-3</v>
      </c>
      <c r="AC21">
        <f>'Costing 100 Lmin Feed Orig'!AC21</f>
        <v>1822.2107908876901</v>
      </c>
      <c r="AD21">
        <f>'Costing 100 Lmin Feed Orig'!AD21</f>
        <v>2662.6059073104898</v>
      </c>
      <c r="AE21">
        <f>'Costing 100 Lmin Feed Orig'!AE21</f>
        <v>2401.5030938442701</v>
      </c>
      <c r="AF21">
        <f>'Costing 100 Lmin Feed Orig'!AF21</f>
        <v>13</v>
      </c>
      <c r="AG21">
        <f>'Costing 100 Lmin Feed Orig'!AG21</f>
        <v>1.6481650483119699E-3</v>
      </c>
      <c r="AH21">
        <f>'Costing 100 Lmin Feed Orig'!AH21</f>
        <v>1.6664622263884801E-3</v>
      </c>
      <c r="AI21">
        <f>'Costing 100 Lmin Feed Orig'!AI21</f>
        <v>1.0926630870116399E-5</v>
      </c>
      <c r="AJ21">
        <f>'Costing 100 Lmin Feed Orig'!AJ21</f>
        <v>0</v>
      </c>
      <c r="AK21">
        <f>'Costing 100 Lmin Feed Orig'!AK21</f>
        <v>0</v>
      </c>
      <c r="AL21">
        <f>'Costing 100 Lmin Feed Orig'!AL21</f>
        <v>0</v>
      </c>
      <c r="AM21">
        <f>'Costing 100 Lmin Feed Orig'!AM21</f>
        <v>1.6111245032140399E-3</v>
      </c>
      <c r="AN21">
        <f>'Costing 100 Lmin Feed Orig'!AN21</f>
        <v>7.3941505194138695E-5</v>
      </c>
      <c r="AO21">
        <f>'Costing 100 Lmin Feed Orig'!AO21</f>
        <v>1.08545212908117E-5</v>
      </c>
      <c r="AP21">
        <f>'Costing 100 Lmin Feed Orig'!AP21</f>
        <v>1.73193595136525E-3</v>
      </c>
      <c r="AQ21">
        <f>'Costing 100 Lmin Feed Orig'!AQ21</f>
        <v>7.4462832095842299E-2</v>
      </c>
      <c r="AR21">
        <f>'Costing 100 Lmin Feed Orig'!AR21</f>
        <v>3.3716883082028299E-6</v>
      </c>
      <c r="AS21">
        <f>'Costing 100 Lmin Feed Orig'!AS21</f>
        <v>1.3839163105419599E-16</v>
      </c>
      <c r="AT21">
        <f>'Costing 100 Lmin Feed Orig'!AT21</f>
        <v>-1.25862861799497E-14</v>
      </c>
      <c r="AU21">
        <f>'Costing 100 Lmin Feed Orig'!AU21</f>
        <v>-9.5423555464117197E-21</v>
      </c>
      <c r="AV21">
        <f>'Costing 100 Lmin Feed Orig'!AV21</f>
        <v>0.19778550516505899</v>
      </c>
      <c r="AW21">
        <f>'Costing 100 Lmin Feed Orig'!AW21</f>
        <v>99.340056599679698</v>
      </c>
      <c r="AX21">
        <f>'Costing 100 Lmin Feed Orig'!AX21</f>
        <v>500</v>
      </c>
      <c r="AY21">
        <f>'Costing 100 Lmin Feed Orig'!AY21</f>
        <v>95</v>
      </c>
      <c r="AZ21">
        <f>'Costing 100 Lmin Feed Orig'!AZ21</f>
        <v>0.92480233795174105</v>
      </c>
      <c r="BA21">
        <f>'Costing 100 Lmin Feed Orig'!BA21</f>
        <v>0.1</v>
      </c>
      <c r="BB21">
        <f>'Costing 100 Lmin Feed Orig'!BB21</f>
        <v>46.757841894427997</v>
      </c>
      <c r="BC21" t="str">
        <f>'Costing 100 Lmin Feed Orig'!BC21</f>
        <v>coeFc</v>
      </c>
      <c r="BD21">
        <f>'Costing 100 Lmin Feed Orig'!BD21</f>
        <v>1</v>
      </c>
      <c r="BE21">
        <f>'Costing 100 Lmin Feed Orig'!BE21</f>
        <v>1.8775014999999999E-2</v>
      </c>
      <c r="BF21">
        <f>'Costing 100 Lmin Feed Orig'!BF21</f>
        <v>0.10492961100000001</v>
      </c>
      <c r="BG21">
        <f>'Costing 100 Lmin Feed Orig'!BG21</f>
        <v>1.814625E-3</v>
      </c>
      <c r="BH21">
        <f>'Costing 100 Lmin Feed Orig'!BH21</f>
        <v>285.1951444</v>
      </c>
      <c r="BI21">
        <f>'Costing 100 Lmin Feed Orig'!BI21</f>
        <v>2169.8944889999998</v>
      </c>
      <c r="BJ21">
        <f>'Costing 100 Lmin Feed Orig'!BJ21</f>
        <v>866.49409060000005</v>
      </c>
      <c r="BK21">
        <f>'Costing 100 Lmin Feed Orig'!BK21</f>
        <v>100</v>
      </c>
      <c r="BL21">
        <f>'Costing 100 Lmin Feed Orig'!BL21</f>
        <v>13.957372480144</v>
      </c>
      <c r="BM21">
        <f>'Costing 100 Lmin Feed Orig'!BM21</f>
        <v>92.480233795174101</v>
      </c>
      <c r="BN21">
        <f>'Costing 100 Lmin Feed Orig'!BN21</f>
        <v>19.778550516505899</v>
      </c>
      <c r="BO21">
        <f t="shared" si="1"/>
        <v>167.488469761728</v>
      </c>
      <c r="BP21">
        <f t="shared" si="2"/>
        <v>593.35651549517695</v>
      </c>
      <c r="BQ21">
        <f t="shared" si="3"/>
        <v>16.7488469761728</v>
      </c>
      <c r="BR21">
        <f t="shared" si="4"/>
        <v>59.335651549517699</v>
      </c>
      <c r="BS21">
        <f>1.2*0.5*BL21*V21/'Oxidant Feed Composition'!$N$22</f>
        <v>8.3744234880863999</v>
      </c>
      <c r="BT21">
        <f>1.2*0.5*BN21*BA21/'Oxidant Feed Composition'!$N$22</f>
        <v>11.867130309903539</v>
      </c>
      <c r="BU21">
        <f t="shared" si="5"/>
        <v>6.9786862400720002</v>
      </c>
      <c r="BV21">
        <f t="shared" si="6"/>
        <v>9.8892752582529493</v>
      </c>
      <c r="BW21">
        <f t="shared" si="7"/>
        <v>85.501547555102107</v>
      </c>
      <c r="BX21">
        <f t="shared" si="0"/>
        <v>44.663591936460804</v>
      </c>
      <c r="BY21">
        <f t="shared" si="8"/>
        <v>212.87521255063621</v>
      </c>
      <c r="BZ21">
        <f t="shared" si="9"/>
        <v>63.291361652818878</v>
      </c>
      <c r="CA21">
        <f t="shared" si="10"/>
        <v>59.335651549517692</v>
      </c>
      <c r="CB21">
        <f>BO21*'Reagent cost'!$G$11*'Reagent cost'!$H$11</f>
        <v>2210.8478008548095</v>
      </c>
      <c r="CC21">
        <f>BP21*'Reagent cost'!$G$11*'Reagent cost'!$H$11</f>
        <v>7832.3060045363363</v>
      </c>
      <c r="CD21">
        <f>BQ21*'Reagent cost'!$C$18/1000*'Reagent cost'!$H$18</f>
        <v>2671.1136977461792</v>
      </c>
      <c r="CE21">
        <f>BR21*'Ligand cost'!$B$56*'Ligand cost'!$J$56</f>
        <v>60411.272335041176</v>
      </c>
      <c r="CF21">
        <f t="shared" si="11"/>
        <v>10</v>
      </c>
      <c r="CG21">
        <f t="shared" si="12"/>
        <v>2.7914744960288003</v>
      </c>
      <c r="CH21">
        <f t="shared" si="12"/>
        <v>3.9557101033011799</v>
      </c>
      <c r="CI21">
        <f>7963.6*(BX21/1000)^0.6*1.7*('CAPEX+OPEX'!$G$116/'CAPEX+OPEX'!$G$115)</f>
        <v>2472.9373618126128</v>
      </c>
      <c r="CJ21">
        <f>7963.6*(BY21/1000)^0.6*1.7*('CAPEX+OPEX'!$G$116/'CAPEX+OPEX'!$G$115)</f>
        <v>6311.2587327211604</v>
      </c>
      <c r="CK21">
        <f>7963.6*(BZ21/1000)^0.6*1.7*('CAPEX+OPEX'!$G$116/'CAPEX+OPEX'!$G$115)</f>
        <v>3048.2290060628816</v>
      </c>
      <c r="CL21">
        <f>7963.6*(CA21/1000)^0.6*1.7*('CAPEX+OPEX'!$G$116/'CAPEX+OPEX'!$G$115)</f>
        <v>2932.4482535519846</v>
      </c>
      <c r="CM21">
        <f>'Costing 100 Lmin Feed Orig'!DE21</f>
        <v>39625.826528698344</v>
      </c>
      <c r="CN21">
        <f>'Costing 100 Lmin Feed Orig'!DF21</f>
        <v>4586243.4239371875</v>
      </c>
      <c r="CO21">
        <f>'Costing 100 Lmin Feed Orig'!DG21</f>
        <v>11794834.586807497</v>
      </c>
      <c r="CP21">
        <f>'Costing 100 Lmin Feed Orig'!DH21</f>
        <v>2275209.1661185985</v>
      </c>
      <c r="CQ21">
        <f>'Costing 100 Lmin Feed Orig'!DI21</f>
        <v>14083914.336508472</v>
      </c>
      <c r="CR21">
        <f>'Costing 100 Lmin Feed Orig'!DJ21</f>
        <v>1662824.8986326549</v>
      </c>
      <c r="CS21">
        <f>CN21*(BK21/10000)^0.72*((A21+1)/3)^0.6*('CAPEX+OPEX'!$G$116/'CAPEX+OPEX'!$G$114)</f>
        <v>528015.95740622084</v>
      </c>
      <c r="CT21">
        <f>CO21*(BK21/10000)^0.72*((A21+1)/3)^0.6*('CAPEX+OPEX'!$G$116/'CAPEX+OPEX'!$G$114)</f>
        <v>1357943.8117688675</v>
      </c>
      <c r="CU21">
        <f>CP21*(BK21/10000)^0.72*((A21+1)/3)^0.6*('CAPEX+OPEX'!$G$116/'CAPEX+OPEX'!$G$114)</f>
        <v>261945.7004565605</v>
      </c>
      <c r="CV21">
        <f>CQ21*(BK21/10000)^0.72*((A21+1)/3)^0.6*('CAPEX+OPEX'!$G$116/'CAPEX+OPEX'!$G$114)</f>
        <v>1621486.4378120217</v>
      </c>
      <c r="CW21">
        <f>CR21*(BK21/10000)^0.72*((A21+1)/3)^0.6*('CAPEX+OPEX'!$G$116/'CAPEX+OPEX'!$G$114)</f>
        <v>191441.6658016555</v>
      </c>
      <c r="CX21">
        <f t="shared" si="13"/>
        <v>3960833.5732453261</v>
      </c>
      <c r="CY21">
        <f>CN21*(BM21/10000)^0.72*((AF21+1)/3)^0.6*('CAPEX+OPEX'!$G$116/'CAPEX+OPEX'!$G$114)</f>
        <v>925757.1782572798</v>
      </c>
      <c r="CZ21">
        <f>CO21*(BM21/10000)^0.72*((AF21+1)/3)^0.6*('CAPEX+OPEX'!$G$116/'CAPEX+OPEX'!$G$114)</f>
        <v>2380848.93795725</v>
      </c>
      <c r="DA21">
        <f>CP21*(BM21/10000)^0.72*((AF21+1)/3)^0.6*('CAPEX+OPEX'!$G$116/'CAPEX+OPEX'!$G$114)</f>
        <v>459262.8482338271</v>
      </c>
      <c r="DB21">
        <f>CQ21*(BM21/10000)^0.72*((AF21+1)/3)^0.6*('CAPEX+OPEX'!$G$116/'CAPEX+OPEX'!$G$114)</f>
        <v>2842911.6359005328</v>
      </c>
      <c r="DC21">
        <f>CR21*(BM21/10000)^0.72*((AF21+1)/3)^0.6*('CAPEX+OPEX'!$G$116/'CAPEX+OPEX'!$G$114)</f>
        <v>335649.88680269336</v>
      </c>
      <c r="DD21">
        <f t="shared" si="14"/>
        <v>6944430.4871515837</v>
      </c>
      <c r="DE21">
        <f>CX21+DD21+1.15*(SUM(CI21:CL21)+SUM(CB21:CE21))</f>
        <v>11006338.035568086</v>
      </c>
      <c r="DF21">
        <f t="shared" si="15"/>
        <v>733755.86903787241</v>
      </c>
      <c r="DG21">
        <f>(BS21+BT21)*'Oxidant Feed Composition'!$N$29*60*7200</f>
        <v>10097933.09104071</v>
      </c>
      <c r="DH21">
        <f>((CG21+CH21)*'Reagent cost'!$C$17/1000*'Reagent cost'!$H$17+(CG21+CH21)*0.5*'Reagent cost'!$C$16/1000*'Reagent cost'!$H$16*0.5)*60*7200</f>
        <v>3418618.6914827744</v>
      </c>
      <c r="DI21">
        <f>CF21*'Reagent cost'!$C$17/1000*'Reagent cost'!$H$17*60*7200</f>
        <v>504921.59999999998</v>
      </c>
      <c r="DJ21">
        <f t="shared" si="16"/>
        <v>100.43153805391147</v>
      </c>
      <c r="DK21">
        <f t="shared" si="17"/>
        <v>1261.6477206557472</v>
      </c>
      <c r="DL21">
        <f t="shared" si="18"/>
        <v>16827402.554138634</v>
      </c>
      <c r="DM21">
        <f>BK21*(B21*(409.81+2)/1000+C21*(248.2+2*22.99)/1000+D21*(315.6+3*22.99)/1000+0.1*58.44/1000)</f>
        <v>0.70639694042110623</v>
      </c>
      <c r="DN21">
        <f>(BS21+BT21)/1000*('Oxidant Feed Composition'!$B$11*'Oxidant Feed Composition'!$O$20+'Oxidant Feed Composition'!$D$11*'Oxidant Feed Composition'!$O$21+'Oxidant Feed Composition'!$F$11*'Oxidant Feed Composition'!$O$27-'Oxidant Feed Composition'!$J$15*18.015)</f>
        <v>2.3639005491835072</v>
      </c>
      <c r="DO21">
        <f>(BU21+BV21)/1000*(0.2*368.34+0.4*58.44)</f>
        <v>1.6369344556434462</v>
      </c>
      <c r="DP21">
        <f>BK21/1000*(B21*195.08+C21*106.42+D21*102.91)</f>
        <v>4.999938342565946E-2</v>
      </c>
      <c r="DQ21">
        <f>SUM(DM21:DO21)-DP21</f>
        <v>4.6572325618223998</v>
      </c>
      <c r="DR21">
        <f>DQ21*60*7200*0.33</f>
        <v>663935.0740134014</v>
      </c>
      <c r="DS21">
        <v>1.2</v>
      </c>
      <c r="DT21">
        <f>BM21/60*(AM21*4+AN21*2+AO21*3)*96485/DV21</f>
        <v>1407.4782094824159</v>
      </c>
      <c r="DU21">
        <f>BN21*BA21*(AP21*4+AQ21*2+AR21*3)*96485/DV21/60</f>
        <v>708.18946229031474</v>
      </c>
      <c r="DV21">
        <v>0.7</v>
      </c>
      <c r="DW21">
        <f>0.499*((BK21/3.78541*15)^(-0.146))*BK21/3.78541*15*300*(1+(A21-2)/9)</f>
        <v>30272.303809866662</v>
      </c>
      <c r="DX21">
        <f>0.248*((BK21/3.78541*15)^(-0.144))*BK21/3.78541*15*300*(1+(A21-2)/3)</f>
        <v>20763.049486147294</v>
      </c>
      <c r="DY21">
        <f>0.105*((BK21/3.78541*15)^(-0.144))*BK21/3.78541*15*300*(1+(A21-2)/3)</f>
        <v>8790.8072421188135</v>
      </c>
      <c r="DZ21">
        <f>0.058*((BK21/3.78541*15)^(-0.151))*BK21/3.78541*15*300*(1+(A21-2)/3)</f>
        <v>4656.7358484871465</v>
      </c>
      <c r="EA21">
        <f>0.056*((BK21/3.78541*15)^(-0.144))*BK21/3.78541*15*300*(1+(A21-2)/3)</f>
        <v>4688.4305291300352</v>
      </c>
      <c r="EB21">
        <f>DS21*DT21/(3.6*10^6)*3600*7200*0.07</f>
        <v>851.24282109496528</v>
      </c>
      <c r="EC21">
        <f>0.499*((BM21/3.78541*15)^(-0.146))*BM21/3.78541*15*300*(1+(AF21-2)/9)</f>
        <v>51485.929848194995</v>
      </c>
      <c r="ED21">
        <f>0.248*((BM21/3.78541*15)^(-0.144))*BM21/3.78541*15*300*(1+(AF21-2)/3)</f>
        <v>54373.469425442076</v>
      </c>
      <c r="EE21">
        <f>0.105*((BM21/3.78541*15)^(-0.144))*BM21/3.78541*15*300*(1+(AF21-2)/3)</f>
        <v>23021.025361578297</v>
      </c>
      <c r="EF21">
        <f>0.058*((BM21/3.78541*15)^(-0.151))*BM21/3.78541*15*300*(1+(AF21-2)/3)</f>
        <v>12201.554582071589</v>
      </c>
      <c r="EG21">
        <f>0.056*((BM21/3.78541*15)^(-0.144))*BM21/3.78541*15*300*(1+(AF21-2)/3)</f>
        <v>12277.880192841762</v>
      </c>
      <c r="EH21">
        <f>DS21*DU21/(3.6*10^6)*3600*7200*0.07</f>
        <v>428.3129867931824</v>
      </c>
      <c r="EI21">
        <f>SUM(DW21:EH21)</f>
        <v>223810.74213376676</v>
      </c>
      <c r="EJ21">
        <f>EI21+DR21+DL21</f>
        <v>17715148.370285802</v>
      </c>
      <c r="EK21">
        <f>EJ21+DF21</f>
        <v>18448904.239323676</v>
      </c>
      <c r="EL21">
        <f>EK21/(BK21*60*7200)</f>
        <v>0.42705796850286287</v>
      </c>
      <c r="EM21">
        <f>EK21/(BM21*(AM21*195.084/1000+AN21*106.42/1000+AO21*102.911/1000)*60*7200)</f>
        <v>1428.3838946575227</v>
      </c>
      <c r="EN21">
        <f>EK21/(BN21*BA21*(AP21*195.084/1000+AQ21*106.42/1000+AR21*102.911/1000)*60*7200)</f>
        <v>2613.2323643477093</v>
      </c>
    </row>
    <row r="22" spans="1:144">
      <c r="A22">
        <f>'Costing 100 Lmin Feed Orig'!A22</f>
        <v>5</v>
      </c>
      <c r="B22">
        <f>'Costing 100 Lmin Feed Orig'!B22</f>
        <v>1.54143585092054E-3</v>
      </c>
      <c r="C22">
        <f>'Costing 100 Lmin Feed Orig'!C22</f>
        <v>1.54143585092054E-3</v>
      </c>
      <c r="D22">
        <f>'Costing 100 Lmin Feed Orig'!D22</f>
        <v>3.4254130020456501E-4</v>
      </c>
      <c r="E22">
        <f>'Costing 100 Lmin Feed Orig'!E22</f>
        <v>0</v>
      </c>
      <c r="F22">
        <f>'Costing 100 Lmin Feed Orig'!F22</f>
        <v>0</v>
      </c>
      <c r="G22">
        <f>'Costing 100 Lmin Feed Orig'!G22</f>
        <v>0</v>
      </c>
      <c r="H22">
        <f>'Costing 100 Lmin Feed Orig'!H22</f>
        <v>1.7558377832426001E-5</v>
      </c>
      <c r="I22">
        <f>'Costing 100 Lmin Feed Orig'!I22</f>
        <v>1.05063644964669E-7</v>
      </c>
      <c r="J22">
        <f>'Costing 100 Lmin Feed Orig'!J22</f>
        <v>3.35605387572801E-4</v>
      </c>
      <c r="K22">
        <f>'Costing 100 Lmin Feed Orig'!K22</f>
        <v>0.12557893497872399</v>
      </c>
      <c r="L22">
        <f>'Costing 100 Lmin Feed Orig'!L22</f>
        <v>0.12701721899235199</v>
      </c>
      <c r="M22">
        <f>'Costing 100 Lmin Feed Orig'!M22</f>
        <v>5.7157122982957897E-4</v>
      </c>
      <c r="N22">
        <f>'Costing 100 Lmin Feed Orig'!N22</f>
        <v>-1.88000656708986E-16</v>
      </c>
      <c r="O22">
        <f>'Costing 100 Lmin Feed Orig'!O22</f>
        <v>-6.2354635343986299E-15</v>
      </c>
      <c r="P22">
        <f>'Costing 100 Lmin Feed Orig'!P22</f>
        <v>-1.51703600853245E-18</v>
      </c>
      <c r="Q22">
        <f>'Costing 100 Lmin Feed Orig'!Q22</f>
        <v>0.121348176216534</v>
      </c>
      <c r="R22">
        <f>'Costing 100 Lmin Feed Orig'!R22</f>
        <v>97.975160184298204</v>
      </c>
      <c r="S22">
        <f>'Costing 100 Lmin Feed Orig'!S22</f>
        <v>500</v>
      </c>
      <c r="T22">
        <f>'Costing 100 Lmin Feed Orig'!T22</f>
        <v>95</v>
      </c>
      <c r="U22">
        <f>'Costing 100 Lmin Feed Orig'!U22</f>
        <v>1</v>
      </c>
      <c r="V22">
        <f>'Costing 100 Lmin Feed Orig'!V22</f>
        <v>0.1</v>
      </c>
      <c r="W22">
        <f>'Costing 100 Lmin Feed Orig'!W22</f>
        <v>82.407501388038199</v>
      </c>
      <c r="X22" t="str">
        <f>'Costing 100 Lmin Feed Orig'!X22</f>
        <v>ddFc</v>
      </c>
      <c r="Y22">
        <f>'Costing 100 Lmin Feed Orig'!Y22</f>
        <v>1</v>
      </c>
      <c r="Z22">
        <f>'Costing 100 Lmin Feed Orig'!Z22</f>
        <v>0.28318429382522198</v>
      </c>
      <c r="AA22">
        <f>'Costing 100 Lmin Feed Orig'!AA22</f>
        <v>0.56945642916197003</v>
      </c>
      <c r="AB22">
        <f>'Costing 100 Lmin Feed Orig'!AB22</f>
        <v>3.7698628972227502E-3</v>
      </c>
      <c r="AC22">
        <f>'Costing 100 Lmin Feed Orig'!AC22</f>
        <v>1822.2107908876901</v>
      </c>
      <c r="AD22">
        <f>'Costing 100 Lmin Feed Orig'!AD22</f>
        <v>2662.6059073104898</v>
      </c>
      <c r="AE22">
        <f>'Costing 100 Lmin Feed Orig'!AE22</f>
        <v>2401.5030938442701</v>
      </c>
      <c r="AF22">
        <f>'Costing 100 Lmin Feed Orig'!AF22</f>
        <v>4</v>
      </c>
      <c r="AG22">
        <f>'Costing 100 Lmin Feed Orig'!AG22</f>
        <v>1.64912412966352E-3</v>
      </c>
      <c r="AH22">
        <f>'Costing 100 Lmin Feed Orig'!AH22</f>
        <v>1.66801192221077E-3</v>
      </c>
      <c r="AI22">
        <f>'Costing 100 Lmin Feed Orig'!AI22</f>
        <v>7.5059714998626504E-6</v>
      </c>
      <c r="AJ22">
        <f>'Costing 100 Lmin Feed Orig'!AJ22</f>
        <v>0</v>
      </c>
      <c r="AK22">
        <f>'Costing 100 Lmin Feed Orig'!AK22</f>
        <v>0</v>
      </c>
      <c r="AL22">
        <f>'Costing 100 Lmin Feed Orig'!AL22</f>
        <v>0</v>
      </c>
      <c r="AM22">
        <f>'Costing 100 Lmin Feed Orig'!AM22</f>
        <v>1.6039135383284699E-3</v>
      </c>
      <c r="AN22">
        <f>'Costing 100 Lmin Feed Orig'!AN22</f>
        <v>7.6970500542168304E-5</v>
      </c>
      <c r="AO22">
        <f>'Costing 100 Lmin Feed Orig'!AO22</f>
        <v>7.4460014818516096E-6</v>
      </c>
      <c r="AP22">
        <f>'Costing 100 Lmin Feed Orig'!AP22</f>
        <v>1.9942467256961298E-3</v>
      </c>
      <c r="AQ22">
        <f>'Costing 100 Lmin Feed Orig'!AQ22</f>
        <v>7.0181102522975894E-2</v>
      </c>
      <c r="AR22">
        <f>'Costing 100 Lmin Feed Orig'!AR22</f>
        <v>2.6452874985014601E-6</v>
      </c>
      <c r="AS22">
        <f>'Costing 100 Lmin Feed Orig'!AS22</f>
        <v>2.23616698075135E-19</v>
      </c>
      <c r="AT22">
        <f>'Costing 100 Lmin Feed Orig'!AT22</f>
        <v>8.6736173798840297E-19</v>
      </c>
      <c r="AU22">
        <f>'Costing 100 Lmin Feed Orig'!AU22</f>
        <v>-4.6983858793011897E-22</v>
      </c>
      <c r="AV22">
        <f>'Costing 100 Lmin Feed Orig'!AV22</f>
        <v>0.20948744629576599</v>
      </c>
      <c r="AW22">
        <f>'Costing 100 Lmin Feed Orig'!AW22</f>
        <v>99.201035895058396</v>
      </c>
      <c r="AX22">
        <f>'Costing 100 Lmin Feed Orig'!AX22</f>
        <v>500</v>
      </c>
      <c r="AY22">
        <f>'Costing 100 Lmin Feed Orig'!AY22</f>
        <v>95</v>
      </c>
      <c r="AZ22">
        <f>'Costing 100 Lmin Feed Orig'!AZ22</f>
        <v>0.92405262022284995</v>
      </c>
      <c r="BA22">
        <f>'Costing 100 Lmin Feed Orig'!BA22</f>
        <v>0.1</v>
      </c>
      <c r="BB22">
        <f>'Costing 100 Lmin Feed Orig'!BB22</f>
        <v>44.110166817262098</v>
      </c>
      <c r="BC22" t="str">
        <f>'Costing 100 Lmin Feed Orig'!BC22</f>
        <v>coeFc</v>
      </c>
      <c r="BD22">
        <f>'Costing 100 Lmin Feed Orig'!BD22</f>
        <v>1</v>
      </c>
      <c r="BE22">
        <f>'Costing 100 Lmin Feed Orig'!BE22</f>
        <v>1.8775014999999999E-2</v>
      </c>
      <c r="BF22">
        <f>'Costing 100 Lmin Feed Orig'!BF22</f>
        <v>0.10492961100000001</v>
      </c>
      <c r="BG22">
        <f>'Costing 100 Lmin Feed Orig'!BG22</f>
        <v>1.814625E-3</v>
      </c>
      <c r="BH22">
        <f>'Costing 100 Lmin Feed Orig'!BH22</f>
        <v>285.1951444</v>
      </c>
      <c r="BI22">
        <f>'Costing 100 Lmin Feed Orig'!BI22</f>
        <v>2169.8944889999998</v>
      </c>
      <c r="BJ22">
        <f>'Costing 100 Lmin Feed Orig'!BJ22</f>
        <v>866.49409060000005</v>
      </c>
      <c r="BK22">
        <f>'Costing 100 Lmin Feed Orig'!BK22</f>
        <v>100</v>
      </c>
      <c r="BL22">
        <f>'Costing 100 Lmin Feed Orig'!BL22</f>
        <v>12.134817621653401</v>
      </c>
      <c r="BM22">
        <f>'Costing 100 Lmin Feed Orig'!BM22</f>
        <v>92.405262022285001</v>
      </c>
      <c r="BN22">
        <f>'Costing 100 Lmin Feed Orig'!BN22</f>
        <v>20.948744629576598</v>
      </c>
      <c r="BO22">
        <f t="shared" si="1"/>
        <v>169.88744670314762</v>
      </c>
      <c r="BP22">
        <f t="shared" si="2"/>
        <v>251.3849355549192</v>
      </c>
      <c r="BQ22">
        <f t="shared" si="3"/>
        <v>16.988744670314762</v>
      </c>
      <c r="BR22">
        <f t="shared" si="4"/>
        <v>25.13849355549192</v>
      </c>
      <c r="BS22">
        <f>1.2*0.5*BL22*V22/'Oxidant Feed Composition'!$N$22</f>
        <v>7.2808905729920399</v>
      </c>
      <c r="BT22">
        <f>1.2*0.5*BN22*BA22/'Oxidant Feed Composition'!$N$22</f>
        <v>12.569246777745958</v>
      </c>
      <c r="BU22">
        <f t="shared" si="5"/>
        <v>6.0674088108267004</v>
      </c>
      <c r="BV22">
        <f t="shared" si="6"/>
        <v>10.474372314788299</v>
      </c>
      <c r="BW22">
        <f t="shared" si="7"/>
        <v>86.337853211458295</v>
      </c>
      <c r="BX22">
        <f t="shared" si="0"/>
        <v>38.831416389290879</v>
      </c>
      <c r="BY22">
        <f t="shared" si="8"/>
        <v>209.0801592878768</v>
      </c>
      <c r="BZ22">
        <f t="shared" si="9"/>
        <v>67.035982814645109</v>
      </c>
      <c r="CA22">
        <f t="shared" si="10"/>
        <v>62.846233888729799</v>
      </c>
      <c r="CB22">
        <f>BO22*'Reagent cost'!$G$11*'Reagent cost'!$H$11</f>
        <v>2242.5142964815486</v>
      </c>
      <c r="CC22">
        <f>BP22*'Reagent cost'!$G$11*'Reagent cost'!$H$11</f>
        <v>3318.2811493249337</v>
      </c>
      <c r="CD22">
        <f>BQ22*'Reagent cost'!$C$18/1000*'Reagent cost'!$H$18</f>
        <v>2709.3726906065185</v>
      </c>
      <c r="CE22">
        <f>BR22*'Ligand cost'!$B$56*'Ligand cost'!$J$56</f>
        <v>25594.197427934774</v>
      </c>
      <c r="CF22">
        <f t="shared" si="11"/>
        <v>10</v>
      </c>
      <c r="CG22">
        <f t="shared" si="12"/>
        <v>2.4269635243306804</v>
      </c>
      <c r="CH22">
        <f t="shared" si="12"/>
        <v>4.1897489259153202</v>
      </c>
      <c r="CI22">
        <f>7963.6*(BX22/1000)^0.6*1.7*('CAPEX+OPEX'!$G$116/'CAPEX+OPEX'!$G$115)</f>
        <v>2273.7926954959794</v>
      </c>
      <c r="CJ22">
        <f>7963.6*(BY22/1000)^0.6*1.7*('CAPEX+OPEX'!$G$116/'CAPEX+OPEX'!$G$115)</f>
        <v>6243.5072626595684</v>
      </c>
      <c r="CK22">
        <f>7963.6*(BZ22/1000)^0.6*1.7*('CAPEX+OPEX'!$G$116/'CAPEX+OPEX'!$G$115)</f>
        <v>3155.191450244818</v>
      </c>
      <c r="CL22">
        <f>7963.6*(CA22/1000)^0.6*1.7*('CAPEX+OPEX'!$G$116/'CAPEX+OPEX'!$G$115)</f>
        <v>3035.3479477721703</v>
      </c>
      <c r="CM22">
        <f>'Costing 100 Lmin Feed Orig'!DE22</f>
        <v>39625.826528698344</v>
      </c>
      <c r="CN22">
        <f>'Costing 100 Lmin Feed Orig'!DF22</f>
        <v>4586243.4239371875</v>
      </c>
      <c r="CO22">
        <f>'Costing 100 Lmin Feed Orig'!DG22</f>
        <v>11794834.586807497</v>
      </c>
      <c r="CP22">
        <f>'Costing 100 Lmin Feed Orig'!DH22</f>
        <v>2275209.1661185985</v>
      </c>
      <c r="CQ22">
        <f>'Costing 100 Lmin Feed Orig'!DI22</f>
        <v>14083914.336508472</v>
      </c>
      <c r="CR22">
        <f>'Costing 100 Lmin Feed Orig'!DJ22</f>
        <v>1662824.8986326549</v>
      </c>
      <c r="CS22">
        <f>CN22*(BK22/10000)^0.72*((A22+1)/3)^0.6*('CAPEX+OPEX'!$G$116/'CAPEX+OPEX'!$G$114)</f>
        <v>589054.93036564998</v>
      </c>
      <c r="CT22">
        <f>CO22*(BK22/10000)^0.72*((A22+1)/3)^0.6*('CAPEX+OPEX'!$G$116/'CAPEX+OPEX'!$G$114)</f>
        <v>1514922.9606835202</v>
      </c>
      <c r="CU22">
        <f>CP22*(BK22/10000)^0.72*((A22+1)/3)^0.6*('CAPEX+OPEX'!$G$116/'CAPEX+OPEX'!$G$114)</f>
        <v>292226.78628879401</v>
      </c>
      <c r="CV22">
        <f>CQ22*(BK22/10000)^0.72*((A22+1)/3)^0.6*('CAPEX+OPEX'!$G$116/'CAPEX+OPEX'!$G$114)</f>
        <v>1808931.2781495745</v>
      </c>
      <c r="CW22">
        <f>CR22*(BK22/10000)^0.72*((A22+1)/3)^0.6*('CAPEX+OPEX'!$G$116/'CAPEX+OPEX'!$G$114)</f>
        <v>213572.44139332071</v>
      </c>
      <c r="CX22">
        <f t="shared" si="13"/>
        <v>4418708.3968808586</v>
      </c>
      <c r="CY22">
        <f>CN22*(BM22/10000)^0.72*((AF22+1)/3)^0.6*('CAPEX+OPEX'!$G$116/'CAPEX+OPEX'!$G$114)</f>
        <v>498825.5312936515</v>
      </c>
      <c r="CZ22">
        <f>CO22*(BM22/10000)^0.72*((AF22+1)/3)^0.6*('CAPEX+OPEX'!$G$116/'CAPEX+OPEX'!$G$114)</f>
        <v>1282872.2955647383</v>
      </c>
      <c r="DA22">
        <f>CP22*(BM22/10000)^0.72*((AF22+1)/3)^0.6*('CAPEX+OPEX'!$G$116/'CAPEX+OPEX'!$G$114)</f>
        <v>247464.49679702814</v>
      </c>
      <c r="DB22">
        <f>CQ22*(BM22/10000)^0.72*((AF22+1)/3)^0.6*('CAPEX+OPEX'!$G$116/'CAPEX+OPEX'!$G$114)</f>
        <v>1531845.4347484135</v>
      </c>
      <c r="DC22">
        <f>CR22*(BM22/10000)^0.72*((AF22+1)/3)^0.6*('CAPEX+OPEX'!$G$116/'CAPEX+OPEX'!$G$114)</f>
        <v>180858.15270500266</v>
      </c>
      <c r="DD22">
        <f t="shared" si="14"/>
        <v>3741865.9111088342</v>
      </c>
      <c r="DE22">
        <f>CX22+DD22+1.15*(SUM(CI22:CL22)+SUM(CB22:CE22))</f>
        <v>8216432.3436482903</v>
      </c>
      <c r="DF22">
        <f t="shared" si="15"/>
        <v>547762.15624321939</v>
      </c>
      <c r="DG22">
        <f>(BS22+BT22)*'Oxidant Feed Composition'!$N$29*60*7200</f>
        <v>9902666.6043604519</v>
      </c>
      <c r="DH22">
        <f>((CG22+CH22)*'Reagent cost'!$C$17/1000*'Reagent cost'!$H$17+(CG22+CH22)*0.5*'Reagent cost'!$C$16/1000*'Reagent cost'!$H$16*0.5)*60*7200</f>
        <v>3352511.9293199745</v>
      </c>
      <c r="DI22">
        <f>CF22*'Reagent cost'!$C$17/1000*'Reagent cost'!$H$17*60*7200</f>
        <v>504921.59999999998</v>
      </c>
      <c r="DJ22">
        <f t="shared" si="16"/>
        <v>55.607954458064825</v>
      </c>
      <c r="DK22">
        <f t="shared" si="17"/>
        <v>566.07140237082581</v>
      </c>
      <c r="DL22">
        <f t="shared" si="18"/>
        <v>16512866.175644703</v>
      </c>
      <c r="DM22">
        <f>BK22*(B22*(409.81+2)/1000+C22*(248.2+2*22.99)/1000+D22*(315.6+3*22.99)/1000+0.1*58.44/1000)</f>
        <v>0.70639694042110623</v>
      </c>
      <c r="DN22">
        <f>(BS22+BT22)/1000*('Oxidant Feed Composition'!$B$11*'Oxidant Feed Composition'!$O$20+'Oxidant Feed Composition'!$D$11*'Oxidant Feed Composition'!$O$21+'Oxidant Feed Composition'!$F$11*'Oxidant Feed Composition'!$O$27-'Oxidant Feed Composition'!$J$15*18.015)</f>
        <v>2.3181891594427553</v>
      </c>
      <c r="DO22">
        <f>(BU22+BV22)/1000*(0.2*368.34+0.4*58.44)</f>
        <v>1.6052806075541819</v>
      </c>
      <c r="DP22">
        <f>BK22/1000*(B22*195.08+C22*106.42+D22*102.91)</f>
        <v>4.999938342565946E-2</v>
      </c>
      <c r="DQ22">
        <f>SUM(DM22:DO22)-DP22</f>
        <v>4.5798673239923833</v>
      </c>
      <c r="DR22">
        <f>DQ22*60*7200*0.33</f>
        <v>652905.88570835418</v>
      </c>
      <c r="DS22">
        <v>1.2</v>
      </c>
      <c r="DT22">
        <f>BM22/60*(AM22*4+AN22*2+AO22*3)*96485/DV22</f>
        <v>1399.3295607203786</v>
      </c>
      <c r="DU22">
        <f>BN22*BA22*(AP22*4+AQ22*2+AR22*3)*96485/DV22/60</f>
        <v>713.9168882708085</v>
      </c>
      <c r="DV22">
        <v>0.7</v>
      </c>
      <c r="DW22">
        <f>0.499*((BK22/3.78541*15)^(-0.146))*BK22/3.78541*15*300*(1+(A22-2)/9)</f>
        <v>33024.331428945443</v>
      </c>
      <c r="DX22">
        <f>0.248*((BK22/3.78541*15)^(-0.144))*BK22/3.78541*15*300*(1+(A22-2)/3)</f>
        <v>24915.659383376755</v>
      </c>
      <c r="DY22">
        <f>0.105*((BK22/3.78541*15)^(-0.144))*BK22/3.78541*15*300*(1+(A22-2)/3)</f>
        <v>10548.968690542577</v>
      </c>
      <c r="DZ22">
        <f>0.058*((BK22/3.78541*15)^(-0.151))*BK22/3.78541*15*300*(1+(A22-2)/3)</f>
        <v>5588.0830181845758</v>
      </c>
      <c r="EA22">
        <f>0.056*((BK22/3.78541*15)^(-0.144))*BK22/3.78541*15*300*(1+(A22-2)/3)</f>
        <v>5626.1166349560426</v>
      </c>
      <c r="EB22">
        <f>DS22*DT22/(3.6*10^6)*3600*7200*0.07</f>
        <v>846.31451832368498</v>
      </c>
      <c r="EC22">
        <f>0.499*((BM22/3.78541*15)^(-0.146))*BM22/3.78541*15*300*(1+(AF22-2)/9)</f>
        <v>28297.65565608922</v>
      </c>
      <c r="ED22">
        <f>0.248*((BM22/3.78541*15)^(-0.144))*BM22/3.78541*15*300*(1+(AF22-2)/3)</f>
        <v>19405.619727063386</v>
      </c>
      <c r="EE22">
        <f>0.105*((BM22/3.78541*15)^(-0.144))*BM22/3.78541*15*300*(1+(AF22-2)/3)</f>
        <v>8216.0889973453832</v>
      </c>
      <c r="EF22">
        <f>0.058*((BM22/3.78541*15)^(-0.151))*BM22/3.78541*15*300*(1+(AF22-2)/3)</f>
        <v>4354.6986243488573</v>
      </c>
      <c r="EG22">
        <f>0.056*((BM22/3.78541*15)^(-0.144))*BM22/3.78541*15*300*(1+(AF22-2)/3)</f>
        <v>4381.9141319175396</v>
      </c>
      <c r="EH22">
        <f>DS22*DU22/(3.6*10^6)*3600*7200*0.07</f>
        <v>431.77693402618496</v>
      </c>
      <c r="EI22">
        <f>SUM(DW22:EH22)</f>
        <v>145637.22774511963</v>
      </c>
      <c r="EJ22">
        <f>EI22+DR22+DL22</f>
        <v>17311409.289098177</v>
      </c>
      <c r="EK22">
        <f>EJ22+DF22</f>
        <v>17859171.445341397</v>
      </c>
      <c r="EL22">
        <f>EK22/(BK22*60*7200)</f>
        <v>0.41340674641993974</v>
      </c>
      <c r="EM22">
        <f>EK22/(BM22*(AM22*195.084/1000+AN22*106.42/1000+AO22*102.911/1000)*60*7200)</f>
        <v>1390.0170623845211</v>
      </c>
      <c r="EN22">
        <f>EK22/(BN22*BA22*(AP22*195.084/1000+AQ22*106.42/1000+AR22*102.911/1000)*60*7200)</f>
        <v>2511.3546161988656</v>
      </c>
    </row>
    <row r="23" spans="1:144">
      <c r="A23">
        <f>'Costing 100 Lmin Feed Orig'!A23</f>
        <v>5</v>
      </c>
      <c r="B23">
        <f>'Costing 100 Lmin Feed Orig'!B23</f>
        <v>1.54143585092054E-3</v>
      </c>
      <c r="C23">
        <f>'Costing 100 Lmin Feed Orig'!C23</f>
        <v>1.54143585092054E-3</v>
      </c>
      <c r="D23">
        <f>'Costing 100 Lmin Feed Orig'!D23</f>
        <v>3.4254130020456501E-4</v>
      </c>
      <c r="E23">
        <f>'Costing 100 Lmin Feed Orig'!E23</f>
        <v>0</v>
      </c>
      <c r="F23">
        <f>'Costing 100 Lmin Feed Orig'!F23</f>
        <v>0</v>
      </c>
      <c r="G23">
        <f>'Costing 100 Lmin Feed Orig'!G23</f>
        <v>0</v>
      </c>
      <c r="H23">
        <f>'Costing 100 Lmin Feed Orig'!H23</f>
        <v>1.7558377832426001E-5</v>
      </c>
      <c r="I23">
        <f>'Costing 100 Lmin Feed Orig'!I23</f>
        <v>1.05063644964669E-7</v>
      </c>
      <c r="J23">
        <f>'Costing 100 Lmin Feed Orig'!J23</f>
        <v>3.35605387572801E-4</v>
      </c>
      <c r="K23">
        <f>'Costing 100 Lmin Feed Orig'!K23</f>
        <v>0.12557893497872399</v>
      </c>
      <c r="L23">
        <f>'Costing 100 Lmin Feed Orig'!L23</f>
        <v>0.12701721899235199</v>
      </c>
      <c r="M23">
        <f>'Costing 100 Lmin Feed Orig'!M23</f>
        <v>5.7157122982957897E-4</v>
      </c>
      <c r="N23">
        <f>'Costing 100 Lmin Feed Orig'!N23</f>
        <v>-1.88000656708986E-16</v>
      </c>
      <c r="O23">
        <f>'Costing 100 Lmin Feed Orig'!O23</f>
        <v>-6.2354635343986299E-15</v>
      </c>
      <c r="P23">
        <f>'Costing 100 Lmin Feed Orig'!P23</f>
        <v>-1.51703600853245E-18</v>
      </c>
      <c r="Q23">
        <f>'Costing 100 Lmin Feed Orig'!Q23</f>
        <v>0.121348176216534</v>
      </c>
      <c r="R23">
        <f>'Costing 100 Lmin Feed Orig'!R23</f>
        <v>97.975160184298204</v>
      </c>
      <c r="S23">
        <f>'Costing 100 Lmin Feed Orig'!S23</f>
        <v>500</v>
      </c>
      <c r="T23">
        <f>'Costing 100 Lmin Feed Orig'!T23</f>
        <v>95</v>
      </c>
      <c r="U23">
        <f>'Costing 100 Lmin Feed Orig'!U23</f>
        <v>1</v>
      </c>
      <c r="V23">
        <f>'Costing 100 Lmin Feed Orig'!V23</f>
        <v>0.1</v>
      </c>
      <c r="W23">
        <f>'Costing 100 Lmin Feed Orig'!W23</f>
        <v>82.407501388038199</v>
      </c>
      <c r="X23" t="str">
        <f>'Costing 100 Lmin Feed Orig'!X23</f>
        <v>ddFc</v>
      </c>
      <c r="Y23">
        <f>'Costing 100 Lmin Feed Orig'!Y23</f>
        <v>1</v>
      </c>
      <c r="Z23">
        <f>'Costing 100 Lmin Feed Orig'!Z23</f>
        <v>0.28318429382522198</v>
      </c>
      <c r="AA23">
        <f>'Costing 100 Lmin Feed Orig'!AA23</f>
        <v>0.56945642916197003</v>
      </c>
      <c r="AB23">
        <f>'Costing 100 Lmin Feed Orig'!AB23</f>
        <v>3.7698628972227502E-3</v>
      </c>
      <c r="AC23">
        <f>'Costing 100 Lmin Feed Orig'!AC23</f>
        <v>1822.2107908876901</v>
      </c>
      <c r="AD23">
        <f>'Costing 100 Lmin Feed Orig'!AD23</f>
        <v>2662.6059073104898</v>
      </c>
      <c r="AE23">
        <f>'Costing 100 Lmin Feed Orig'!AE23</f>
        <v>2401.5030938442701</v>
      </c>
      <c r="AF23">
        <f>'Costing 100 Lmin Feed Orig'!AF23</f>
        <v>5</v>
      </c>
      <c r="AG23">
        <f>'Costing 100 Lmin Feed Orig'!AG23</f>
        <v>1.64912412966352E-3</v>
      </c>
      <c r="AH23">
        <f>'Costing 100 Lmin Feed Orig'!AH23</f>
        <v>1.66801192221077E-3</v>
      </c>
      <c r="AI23">
        <f>'Costing 100 Lmin Feed Orig'!AI23</f>
        <v>7.5059714998626504E-6</v>
      </c>
      <c r="AJ23">
        <f>'Costing 100 Lmin Feed Orig'!AJ23</f>
        <v>0</v>
      </c>
      <c r="AK23">
        <f>'Costing 100 Lmin Feed Orig'!AK23</f>
        <v>0</v>
      </c>
      <c r="AL23">
        <f>'Costing 100 Lmin Feed Orig'!AL23</f>
        <v>0</v>
      </c>
      <c r="AM23">
        <f>'Costing 100 Lmin Feed Orig'!AM23</f>
        <v>1.6096879788713E-3</v>
      </c>
      <c r="AN23">
        <f>'Costing 100 Lmin Feed Orig'!AN23</f>
        <v>7.7267020721356303E-5</v>
      </c>
      <c r="AO23">
        <f>'Costing 100 Lmin Feed Orig'!AO23</f>
        <v>7.45339932047821E-6</v>
      </c>
      <c r="AP23">
        <f>'Costing 100 Lmin Feed Orig'!AP23</f>
        <v>1.8140228936544E-3</v>
      </c>
      <c r="AQ23">
        <f>'Costing 100 Lmin Feed Orig'!AQ23</f>
        <v>7.3172650253414503E-2</v>
      </c>
      <c r="AR23">
        <f>'Costing 100 Lmin Feed Orig'!AR23</f>
        <v>2.4182668707984701E-6</v>
      </c>
      <c r="AS23">
        <f>'Costing 100 Lmin Feed Orig'!AS23</f>
        <v>-8.2860151032204602E-17</v>
      </c>
      <c r="AT23">
        <f>'Costing 100 Lmin Feed Orig'!AT23</f>
        <v>-2.00577401909818E-16</v>
      </c>
      <c r="AU23">
        <f>'Costing 100 Lmin Feed Orig'!AU23</f>
        <v>-8.2771000814506101E-20</v>
      </c>
      <c r="AV23">
        <f>'Costing 100 Lmin Feed Orig'!AV23</f>
        <v>0.200885438649126</v>
      </c>
      <c r="AW23">
        <f>'Costing 100 Lmin Feed Orig'!AW23</f>
        <v>99.299595270440307</v>
      </c>
      <c r="AX23">
        <f>'Costing 100 Lmin Feed Orig'!AX23</f>
        <v>500</v>
      </c>
      <c r="AY23">
        <f>'Costing 100 Lmin Feed Orig'!AY23</f>
        <v>95</v>
      </c>
      <c r="AZ23">
        <f>'Costing 100 Lmin Feed Orig'!AZ23</f>
        <v>0.92405262022284995</v>
      </c>
      <c r="BA23">
        <f>'Costing 100 Lmin Feed Orig'!BA23</f>
        <v>0.1</v>
      </c>
      <c r="BB23">
        <f>'Costing 100 Lmin Feed Orig'!BB23</f>
        <v>45.998984617139399</v>
      </c>
      <c r="BC23" t="str">
        <f>'Costing 100 Lmin Feed Orig'!BC23</f>
        <v>coeFc</v>
      </c>
      <c r="BD23">
        <f>'Costing 100 Lmin Feed Orig'!BD23</f>
        <v>1</v>
      </c>
      <c r="BE23">
        <f>'Costing 100 Lmin Feed Orig'!BE23</f>
        <v>1.8775014999999999E-2</v>
      </c>
      <c r="BF23">
        <f>'Costing 100 Lmin Feed Orig'!BF23</f>
        <v>0.10492961100000001</v>
      </c>
      <c r="BG23">
        <f>'Costing 100 Lmin Feed Orig'!BG23</f>
        <v>1.814625E-3</v>
      </c>
      <c r="BH23">
        <f>'Costing 100 Lmin Feed Orig'!BH23</f>
        <v>285.1951444</v>
      </c>
      <c r="BI23">
        <f>'Costing 100 Lmin Feed Orig'!BI23</f>
        <v>2169.8944889999998</v>
      </c>
      <c r="BJ23">
        <f>'Costing 100 Lmin Feed Orig'!BJ23</f>
        <v>866.49409060000005</v>
      </c>
      <c r="BK23">
        <f>'Costing 100 Lmin Feed Orig'!BK23</f>
        <v>100</v>
      </c>
      <c r="BL23">
        <f>'Costing 100 Lmin Feed Orig'!BL23</f>
        <v>12.134817621653401</v>
      </c>
      <c r="BM23">
        <f>'Costing 100 Lmin Feed Orig'!BM23</f>
        <v>92.405262022285001</v>
      </c>
      <c r="BN23">
        <f>'Costing 100 Lmin Feed Orig'!BN23</f>
        <v>20.088543864912602</v>
      </c>
      <c r="BO23">
        <f t="shared" si="1"/>
        <v>169.88744670314762</v>
      </c>
      <c r="BP23">
        <f t="shared" si="2"/>
        <v>281.23961410877644</v>
      </c>
      <c r="BQ23">
        <f t="shared" si="3"/>
        <v>16.988744670314762</v>
      </c>
      <c r="BR23">
        <f t="shared" si="4"/>
        <v>28.123961410877644</v>
      </c>
      <c r="BS23">
        <f>1.2*0.5*BL23*V23/'Oxidant Feed Composition'!$N$22</f>
        <v>7.2808905729920399</v>
      </c>
      <c r="BT23">
        <f>1.2*0.5*BN23*BA23/'Oxidant Feed Composition'!$N$22</f>
        <v>12.053126318947562</v>
      </c>
      <c r="BU23">
        <f t="shared" si="5"/>
        <v>6.0674088108267004</v>
      </c>
      <c r="BV23">
        <f t="shared" si="6"/>
        <v>10.044271932456301</v>
      </c>
      <c r="BW23">
        <f t="shared" si="7"/>
        <v>86.337853211458295</v>
      </c>
      <c r="BX23">
        <f t="shared" si="0"/>
        <v>38.831416389290879</v>
      </c>
      <c r="BY23">
        <f t="shared" si="8"/>
        <v>209.0801592878768</v>
      </c>
      <c r="BZ23">
        <f t="shared" si="9"/>
        <v>64.283340367720328</v>
      </c>
      <c r="CA23">
        <f t="shared" si="10"/>
        <v>60.265631594737805</v>
      </c>
      <c r="CB23">
        <f>BO23*'Reagent cost'!$G$11*'Reagent cost'!$H$11</f>
        <v>2242.5142964815486</v>
      </c>
      <c r="CC23">
        <f>BP23*'Reagent cost'!$G$11*'Reagent cost'!$H$11</f>
        <v>3712.3629062358491</v>
      </c>
      <c r="CD23">
        <f>BQ23*'Reagent cost'!$C$18/1000*'Reagent cost'!$H$18</f>
        <v>2709.3726906065185</v>
      </c>
      <c r="CE23">
        <f>BR23*'Ligand cost'!$B$56*'Ligand cost'!$J$56</f>
        <v>28633.785044305765</v>
      </c>
      <c r="CF23">
        <f t="shared" si="11"/>
        <v>10</v>
      </c>
      <c r="CG23">
        <f t="shared" si="12"/>
        <v>2.4269635243306804</v>
      </c>
      <c r="CH23">
        <f t="shared" si="12"/>
        <v>4.0177087729825205</v>
      </c>
      <c r="CI23">
        <f>7963.6*(BX23/1000)^0.6*1.7*('CAPEX+OPEX'!$G$116/'CAPEX+OPEX'!$G$115)</f>
        <v>2273.7926954959794</v>
      </c>
      <c r="CJ23">
        <f>7963.6*(BY23/1000)^0.6*1.7*('CAPEX+OPEX'!$G$116/'CAPEX+OPEX'!$G$115)</f>
        <v>6243.5072626595684</v>
      </c>
      <c r="CK23">
        <f>7963.6*(BZ23/1000)^0.6*1.7*('CAPEX+OPEX'!$G$116/'CAPEX+OPEX'!$G$115)</f>
        <v>3076.8051191417244</v>
      </c>
      <c r="CL23">
        <f>7963.6*(CA23/1000)^0.6*1.7*('CAPEX+OPEX'!$G$116/'CAPEX+OPEX'!$G$115)</f>
        <v>2959.9389613448329</v>
      </c>
      <c r="CM23">
        <f>'Costing 100 Lmin Feed Orig'!DE23</f>
        <v>39625.826528698344</v>
      </c>
      <c r="CN23">
        <f>'Costing 100 Lmin Feed Orig'!DF23</f>
        <v>4586243.4239371875</v>
      </c>
      <c r="CO23">
        <f>'Costing 100 Lmin Feed Orig'!DG23</f>
        <v>11794834.586807497</v>
      </c>
      <c r="CP23">
        <f>'Costing 100 Lmin Feed Orig'!DH23</f>
        <v>2275209.1661185985</v>
      </c>
      <c r="CQ23">
        <f>'Costing 100 Lmin Feed Orig'!DI23</f>
        <v>14083914.336508472</v>
      </c>
      <c r="CR23">
        <f>'Costing 100 Lmin Feed Orig'!DJ23</f>
        <v>1662824.8986326549</v>
      </c>
      <c r="CS23">
        <f>CN23*(BK23/10000)^0.72*((A23+1)/3)^0.6*('CAPEX+OPEX'!$G$116/'CAPEX+OPEX'!$G$114)</f>
        <v>589054.93036564998</v>
      </c>
      <c r="CT23">
        <f>CO23*(BK23/10000)^0.72*((A23+1)/3)^0.6*('CAPEX+OPEX'!$G$116/'CAPEX+OPEX'!$G$114)</f>
        <v>1514922.9606835202</v>
      </c>
      <c r="CU23">
        <f>CP23*(BK23/10000)^0.72*((A23+1)/3)^0.6*('CAPEX+OPEX'!$G$116/'CAPEX+OPEX'!$G$114)</f>
        <v>292226.78628879401</v>
      </c>
      <c r="CV23">
        <f>CQ23*(BK23/10000)^0.72*((A23+1)/3)^0.6*('CAPEX+OPEX'!$G$116/'CAPEX+OPEX'!$G$114)</f>
        <v>1808931.2781495745</v>
      </c>
      <c r="CW23">
        <f>CR23*(BK23/10000)^0.72*((A23+1)/3)^0.6*('CAPEX+OPEX'!$G$116/'CAPEX+OPEX'!$G$114)</f>
        <v>213572.44139332071</v>
      </c>
      <c r="CX23">
        <f t="shared" si="13"/>
        <v>4418708.3968808586</v>
      </c>
      <c r="CY23">
        <f>CN23*(BM23/10000)^0.72*((AF23+1)/3)^0.6*('CAPEX+OPEX'!$G$116/'CAPEX+OPEX'!$G$114)</f>
        <v>556490.07284590905</v>
      </c>
      <c r="CZ23">
        <f>CO23*(BM23/10000)^0.72*((AF23+1)/3)^0.6*('CAPEX+OPEX'!$G$116/'CAPEX+OPEX'!$G$114)</f>
        <v>1431173.130531993</v>
      </c>
      <c r="DA23">
        <f>CP23*(BM23/10000)^0.72*((AF23+1)/3)^0.6*('CAPEX+OPEX'!$G$116/'CAPEX+OPEX'!$G$114)</f>
        <v>276071.5464828235</v>
      </c>
      <c r="DB23">
        <f>CQ23*(BM23/10000)^0.72*((AF23+1)/3)^0.6*('CAPEX+OPEX'!$G$116/'CAPEX+OPEX'!$G$114)</f>
        <v>1708927.7193993276</v>
      </c>
      <c r="DC23">
        <f>CR23*(BM23/10000)^0.72*((AF23+1)/3)^0.6*('CAPEX+OPEX'!$G$116/'CAPEX+OPEX'!$G$114)</f>
        <v>201765.46760260907</v>
      </c>
      <c r="DD23">
        <f t="shared" si="14"/>
        <v>4174427.936862662</v>
      </c>
      <c r="DE23">
        <f>CX23+DD23+1.15*(SUM(CI23:CL23)+SUM(CB23:CE23))</f>
        <v>8652766.2245662324</v>
      </c>
      <c r="DF23">
        <f t="shared" si="15"/>
        <v>576851.08163774887</v>
      </c>
      <c r="DG23">
        <f>(BS23+BT23)*'Oxidant Feed Composition'!$N$29*60*7200</f>
        <v>9645188.8478662353</v>
      </c>
      <c r="DH23">
        <f>((CG23+CH23)*'Reagent cost'!$C$17/1000*'Reagent cost'!$H$17+(CG23+CH23)*0.5*'Reagent cost'!$C$16/1000*'Reagent cost'!$H$16*0.5)*60*7200</f>
        <v>3265343.7669785987</v>
      </c>
      <c r="DI23">
        <f>CF23*'Reagent cost'!$C$17/1000*'Reagent cost'!$H$17*60*7200</f>
        <v>504921.59999999998</v>
      </c>
      <c r="DJ23">
        <f t="shared" si="16"/>
        <v>59.548772027173982</v>
      </c>
      <c r="DK23">
        <f t="shared" si="17"/>
        <v>626.86315469824569</v>
      </c>
      <c r="DL23">
        <f t="shared" si="18"/>
        <v>16099368.75212587</v>
      </c>
      <c r="DM23">
        <f>BK23*(B23*(409.81+2)/1000+C23*(248.2+2*22.99)/1000+D23*(315.6+3*22.99)/1000+0.1*58.44/1000)</f>
        <v>0.70639694042110623</v>
      </c>
      <c r="DN23">
        <f>(BS23+BT23)/1000*('Oxidant Feed Composition'!$B$11*'Oxidant Feed Composition'!$O$20+'Oxidant Feed Composition'!$D$11*'Oxidant Feed Composition'!$O$21+'Oxidant Feed Composition'!$F$11*'Oxidant Feed Composition'!$O$27-'Oxidant Feed Composition'!$J$15*18.015)</f>
        <v>2.2579142690773955</v>
      </c>
      <c r="DO23">
        <f>(BU23+BV23)/1000*(0.2*368.34+0.4*58.44)</f>
        <v>1.5635419460511559</v>
      </c>
      <c r="DP23">
        <f>BK23/1000*(B23*195.08+C23*106.42+D23*102.91)</f>
        <v>4.999938342565946E-2</v>
      </c>
      <c r="DQ23">
        <f>SUM(DM23:DO23)-DP23</f>
        <v>4.4778537721239973</v>
      </c>
      <c r="DR23">
        <f>DQ23*60*7200*0.33</f>
        <v>638362.83375399711</v>
      </c>
      <c r="DS23">
        <v>1.2</v>
      </c>
      <c r="DT23">
        <f>BM23/60*(AM23*4+AN23*2+AO23*3)*96485/DV23</f>
        <v>1404.3633339004512</v>
      </c>
      <c r="DU23">
        <f>BN23*BA23*(AP23*4+AQ23*2+AR23*3)*96485/DV23/60</f>
        <v>708.88311509089783</v>
      </c>
      <c r="DV23">
        <v>0.7</v>
      </c>
      <c r="DW23">
        <f>0.499*((BK23/3.78541*15)^(-0.146))*BK23/3.78541*15*300*(1+(A23-2)/9)</f>
        <v>33024.331428945443</v>
      </c>
      <c r="DX23">
        <f>0.248*((BK23/3.78541*15)^(-0.144))*BK23/3.78541*15*300*(1+(A23-2)/3)</f>
        <v>24915.659383376755</v>
      </c>
      <c r="DY23">
        <f>0.105*((BK23/3.78541*15)^(-0.144))*BK23/3.78541*15*300*(1+(A23-2)/3)</f>
        <v>10548.968690542577</v>
      </c>
      <c r="DZ23">
        <f>0.058*((BK23/3.78541*15)^(-0.151))*BK23/3.78541*15*300*(1+(A23-2)/3)</f>
        <v>5588.0830181845758</v>
      </c>
      <c r="EA23">
        <f>0.056*((BK23/3.78541*15)^(-0.144))*BK23/3.78541*15*300*(1+(A23-2)/3)</f>
        <v>5626.1166349560426</v>
      </c>
      <c r="EB23">
        <f>DS23*DT23/(3.6*10^6)*3600*7200*0.07</f>
        <v>849.35894434299291</v>
      </c>
      <c r="EC23">
        <f>0.499*((BM23/3.78541*15)^(-0.146))*BM23/3.78541*15*300*(1+(AF23-2)/9)</f>
        <v>30870.169806642782</v>
      </c>
      <c r="ED23">
        <f>0.248*((BM23/3.78541*15)^(-0.144))*BM23/3.78541*15*300*(1+(AF23-2)/3)</f>
        <v>23286.743672476066</v>
      </c>
      <c r="EE23">
        <f>0.105*((BM23/3.78541*15)^(-0.144))*BM23/3.78541*15*300*(1+(AF23-2)/3)</f>
        <v>9859.3067968144605</v>
      </c>
      <c r="EF23">
        <f>0.058*((BM23/3.78541*15)^(-0.151))*BM23/3.78541*15*300*(1+(AF23-2)/3)</f>
        <v>5225.6383492186287</v>
      </c>
      <c r="EG23">
        <f>0.056*((BM23/3.78541*15)^(-0.144))*BM23/3.78541*15*300*(1+(AF23-2)/3)</f>
        <v>5258.2969583010481</v>
      </c>
      <c r="EH23">
        <f>DS23*DU23/(3.6*10^6)*3600*7200*0.07</f>
        <v>428.73250800697502</v>
      </c>
      <c r="EI23">
        <f>SUM(DW23:EH23)</f>
        <v>155481.40619180835</v>
      </c>
      <c r="EJ23">
        <f>EI23+DR23+DL23</f>
        <v>16893212.992071677</v>
      </c>
      <c r="EK23">
        <f>EJ23+DF23</f>
        <v>17470064.073709425</v>
      </c>
      <c r="EL23">
        <f>EK23/(BK23*60*7200)</f>
        <v>0.40439963133586632</v>
      </c>
      <c r="EM23">
        <f>EK23/(BM23*(AM23*195.084/1000+AN23*106.42/1000+AO23*102.911/1000)*60*7200)</f>
        <v>1354.8539550412299</v>
      </c>
      <c r="EN23">
        <f>EK23/(BN23*BA23*(AP23*195.084/1000+AQ23*106.42/1000+AR23*102.911/1000)*60*7200)</f>
        <v>2472.7232661073963</v>
      </c>
    </row>
    <row r="24" spans="1:144">
      <c r="A24">
        <f>'Costing 100 Lmin Feed Orig'!A24</f>
        <v>5</v>
      </c>
      <c r="B24">
        <f>'Costing 100 Lmin Feed Orig'!B24</f>
        <v>1.54143585092054E-3</v>
      </c>
      <c r="C24">
        <f>'Costing 100 Lmin Feed Orig'!C24</f>
        <v>1.54143585092054E-3</v>
      </c>
      <c r="D24">
        <f>'Costing 100 Lmin Feed Orig'!D24</f>
        <v>3.4254130020456501E-4</v>
      </c>
      <c r="E24">
        <f>'Costing 100 Lmin Feed Orig'!E24</f>
        <v>0</v>
      </c>
      <c r="F24">
        <f>'Costing 100 Lmin Feed Orig'!F24</f>
        <v>0</v>
      </c>
      <c r="G24">
        <f>'Costing 100 Lmin Feed Orig'!G24</f>
        <v>0</v>
      </c>
      <c r="H24">
        <f>'Costing 100 Lmin Feed Orig'!H24</f>
        <v>1.7558377832426001E-5</v>
      </c>
      <c r="I24">
        <f>'Costing 100 Lmin Feed Orig'!I24</f>
        <v>1.05063644964669E-7</v>
      </c>
      <c r="J24">
        <f>'Costing 100 Lmin Feed Orig'!J24</f>
        <v>3.35605387572801E-4</v>
      </c>
      <c r="K24">
        <f>'Costing 100 Lmin Feed Orig'!K24</f>
        <v>0.12557893497872399</v>
      </c>
      <c r="L24">
        <f>'Costing 100 Lmin Feed Orig'!L24</f>
        <v>0.12701721899235199</v>
      </c>
      <c r="M24">
        <f>'Costing 100 Lmin Feed Orig'!M24</f>
        <v>5.7157122982957897E-4</v>
      </c>
      <c r="N24">
        <f>'Costing 100 Lmin Feed Orig'!N24</f>
        <v>-1.88000656708986E-16</v>
      </c>
      <c r="O24">
        <f>'Costing 100 Lmin Feed Orig'!O24</f>
        <v>-6.2354635343986299E-15</v>
      </c>
      <c r="P24">
        <f>'Costing 100 Lmin Feed Orig'!P24</f>
        <v>-1.51703600853245E-18</v>
      </c>
      <c r="Q24">
        <f>'Costing 100 Lmin Feed Orig'!Q24</f>
        <v>0.121348176216534</v>
      </c>
      <c r="R24">
        <f>'Costing 100 Lmin Feed Orig'!R24</f>
        <v>97.975160184298204</v>
      </c>
      <c r="S24">
        <f>'Costing 100 Lmin Feed Orig'!S24</f>
        <v>500</v>
      </c>
      <c r="T24">
        <f>'Costing 100 Lmin Feed Orig'!T24</f>
        <v>95</v>
      </c>
      <c r="U24">
        <f>'Costing 100 Lmin Feed Orig'!U24</f>
        <v>1</v>
      </c>
      <c r="V24">
        <f>'Costing 100 Lmin Feed Orig'!V24</f>
        <v>0.1</v>
      </c>
      <c r="W24">
        <f>'Costing 100 Lmin Feed Orig'!W24</f>
        <v>82.407501388038199</v>
      </c>
      <c r="X24" t="str">
        <f>'Costing 100 Lmin Feed Orig'!X24</f>
        <v>ddFc</v>
      </c>
      <c r="Y24">
        <f>'Costing 100 Lmin Feed Orig'!Y24</f>
        <v>1</v>
      </c>
      <c r="Z24">
        <f>'Costing 100 Lmin Feed Orig'!Z24</f>
        <v>0.28318429382522198</v>
      </c>
      <c r="AA24">
        <f>'Costing 100 Lmin Feed Orig'!AA24</f>
        <v>0.56945642916197003</v>
      </c>
      <c r="AB24">
        <f>'Costing 100 Lmin Feed Orig'!AB24</f>
        <v>3.7698628972227502E-3</v>
      </c>
      <c r="AC24">
        <f>'Costing 100 Lmin Feed Orig'!AC24</f>
        <v>1822.2107908876901</v>
      </c>
      <c r="AD24">
        <f>'Costing 100 Lmin Feed Orig'!AD24</f>
        <v>2662.6059073104898</v>
      </c>
      <c r="AE24">
        <f>'Costing 100 Lmin Feed Orig'!AE24</f>
        <v>2401.5030938442701</v>
      </c>
      <c r="AF24">
        <f>'Costing 100 Lmin Feed Orig'!AF24</f>
        <v>6</v>
      </c>
      <c r="AG24">
        <f>'Costing 100 Lmin Feed Orig'!AG24</f>
        <v>1.64912412966352E-3</v>
      </c>
      <c r="AH24">
        <f>'Costing 100 Lmin Feed Orig'!AH24</f>
        <v>1.66801192221077E-3</v>
      </c>
      <c r="AI24">
        <f>'Costing 100 Lmin Feed Orig'!AI24</f>
        <v>7.5059714998626504E-6</v>
      </c>
      <c r="AJ24">
        <f>'Costing 100 Lmin Feed Orig'!AJ24</f>
        <v>0</v>
      </c>
      <c r="AK24">
        <f>'Costing 100 Lmin Feed Orig'!AK24</f>
        <v>0</v>
      </c>
      <c r="AL24">
        <f>'Costing 100 Lmin Feed Orig'!AL24</f>
        <v>0</v>
      </c>
      <c r="AM24">
        <f>'Costing 100 Lmin Feed Orig'!AM24</f>
        <v>1.6114297833378999E-3</v>
      </c>
      <c r="AN24">
        <f>'Costing 100 Lmin Feed Orig'!AN24</f>
        <v>7.7356463127358006E-5</v>
      </c>
      <c r="AO24">
        <f>'Costing 100 Lmin Feed Orig'!AO24</f>
        <v>7.4556307325320903E-6</v>
      </c>
      <c r="AP24">
        <f>'Costing 100 Lmin Feed Orig'!AP24</f>
        <v>1.7565900233430501E-3</v>
      </c>
      <c r="AQ24">
        <f>'Costing 100 Lmin Feed Orig'!AQ24</f>
        <v>7.4125957401307799E-2</v>
      </c>
      <c r="AR24">
        <f>'Costing 100 Lmin Feed Orig'!AR24</f>
        <v>2.3459244762174398E-6</v>
      </c>
      <c r="AS24">
        <f>'Costing 100 Lmin Feed Orig'!AS24</f>
        <v>-5.3532482266471697E-18</v>
      </c>
      <c r="AT24">
        <f>'Costing 100 Lmin Feed Orig'!AT24</f>
        <v>-7.2164496600635096E-16</v>
      </c>
      <c r="AU24">
        <f>'Costing 100 Lmin Feed Orig'!AU24</f>
        <v>-4.9035266712143398E-21</v>
      </c>
      <c r="AV24">
        <f>'Costing 100 Lmin Feed Orig'!AV24</f>
        <v>0.198290773754322</v>
      </c>
      <c r="AW24">
        <f>'Costing 100 Lmin Feed Orig'!AW24</f>
        <v>99.329323761334805</v>
      </c>
      <c r="AX24">
        <f>'Costing 100 Lmin Feed Orig'!AX24</f>
        <v>500</v>
      </c>
      <c r="AY24">
        <f>'Costing 100 Lmin Feed Orig'!AY24</f>
        <v>95</v>
      </c>
      <c r="AZ24">
        <f>'Costing 100 Lmin Feed Orig'!AZ24</f>
        <v>0.92405262022284995</v>
      </c>
      <c r="BA24">
        <f>'Costing 100 Lmin Feed Orig'!BA24</f>
        <v>0.1</v>
      </c>
      <c r="BB24">
        <f>'Costing 100 Lmin Feed Orig'!BB24</f>
        <v>46.600888318068002</v>
      </c>
      <c r="BC24" t="str">
        <f>'Costing 100 Lmin Feed Orig'!BC24</f>
        <v>coeFc</v>
      </c>
      <c r="BD24">
        <f>'Costing 100 Lmin Feed Orig'!BD24</f>
        <v>1</v>
      </c>
      <c r="BE24">
        <f>'Costing 100 Lmin Feed Orig'!BE24</f>
        <v>1.8775014999999999E-2</v>
      </c>
      <c r="BF24">
        <f>'Costing 100 Lmin Feed Orig'!BF24</f>
        <v>0.10492961100000001</v>
      </c>
      <c r="BG24">
        <f>'Costing 100 Lmin Feed Orig'!BG24</f>
        <v>1.814625E-3</v>
      </c>
      <c r="BH24">
        <f>'Costing 100 Lmin Feed Orig'!BH24</f>
        <v>285.1951444</v>
      </c>
      <c r="BI24">
        <f>'Costing 100 Lmin Feed Orig'!BI24</f>
        <v>2169.8944889999998</v>
      </c>
      <c r="BJ24">
        <f>'Costing 100 Lmin Feed Orig'!BJ24</f>
        <v>866.49409060000005</v>
      </c>
      <c r="BK24">
        <f>'Costing 100 Lmin Feed Orig'!BK24</f>
        <v>100</v>
      </c>
      <c r="BL24">
        <f>'Costing 100 Lmin Feed Orig'!BL24</f>
        <v>12.134817621653401</v>
      </c>
      <c r="BM24">
        <f>'Costing 100 Lmin Feed Orig'!BM24</f>
        <v>92.405262022285001</v>
      </c>
      <c r="BN24">
        <f>'Costing 100 Lmin Feed Orig'!BN24</f>
        <v>19.829077375432199</v>
      </c>
      <c r="BO24">
        <f t="shared" si="1"/>
        <v>169.88744670314762</v>
      </c>
      <c r="BP24">
        <f t="shared" si="2"/>
        <v>317.26523800691518</v>
      </c>
      <c r="BQ24">
        <f t="shared" si="3"/>
        <v>16.988744670314762</v>
      </c>
      <c r="BR24">
        <f t="shared" si="4"/>
        <v>31.72652380069152</v>
      </c>
      <c r="BS24">
        <f>1.2*0.5*BL24*V24/'Oxidant Feed Composition'!$N$22</f>
        <v>7.2808905729920399</v>
      </c>
      <c r="BT24">
        <f>1.2*0.5*BN24*BA24/'Oxidant Feed Composition'!$N$22</f>
        <v>11.897446425259318</v>
      </c>
      <c r="BU24">
        <f t="shared" si="5"/>
        <v>6.0674088108267004</v>
      </c>
      <c r="BV24">
        <f t="shared" si="6"/>
        <v>9.9145386877160995</v>
      </c>
      <c r="BW24">
        <f t="shared" si="7"/>
        <v>86.337853211458295</v>
      </c>
      <c r="BX24">
        <f t="shared" si="0"/>
        <v>38.831416389290879</v>
      </c>
      <c r="BY24">
        <f t="shared" si="8"/>
        <v>209.0801592878768</v>
      </c>
      <c r="BZ24">
        <f t="shared" si="9"/>
        <v>63.453047601383034</v>
      </c>
      <c r="CA24">
        <f t="shared" si="10"/>
        <v>59.487232126296597</v>
      </c>
      <c r="CB24">
        <f>BO24*'Reagent cost'!$G$11*'Reagent cost'!$H$11</f>
        <v>2242.5142964815486</v>
      </c>
      <c r="CC24">
        <f>BP24*'Reagent cost'!$G$11*'Reagent cost'!$H$11</f>
        <v>4187.9011416912808</v>
      </c>
      <c r="CD24">
        <f>BQ24*'Reagent cost'!$C$18/1000*'Reagent cost'!$H$18</f>
        <v>2709.3726906065185</v>
      </c>
      <c r="CE24">
        <f>BR24*'Ligand cost'!$B$56*'Ligand cost'!$J$56</f>
        <v>32301.65371940405</v>
      </c>
      <c r="CF24">
        <f t="shared" si="11"/>
        <v>10</v>
      </c>
      <c r="CG24">
        <f t="shared" si="12"/>
        <v>2.4269635243306804</v>
      </c>
      <c r="CH24">
        <f t="shared" si="12"/>
        <v>3.9658154750864401</v>
      </c>
      <c r="CI24">
        <f>7963.6*(BX24/1000)^0.6*1.7*('CAPEX+OPEX'!$G$116/'CAPEX+OPEX'!$G$115)</f>
        <v>2273.7926954959794</v>
      </c>
      <c r="CJ24">
        <f>7963.6*(BY24/1000)^0.6*1.7*('CAPEX+OPEX'!$G$116/'CAPEX+OPEX'!$G$115)</f>
        <v>6243.5072626595684</v>
      </c>
      <c r="CK24">
        <f>7963.6*(BZ24/1000)^0.6*1.7*('CAPEX+OPEX'!$G$116/'CAPEX+OPEX'!$G$115)</f>
        <v>3052.8988782769065</v>
      </c>
      <c r="CL24">
        <f>7963.6*(CA24/1000)^0.6*1.7*('CAPEX+OPEX'!$G$116/'CAPEX+OPEX'!$G$115)</f>
        <v>2936.9407502085974</v>
      </c>
      <c r="CM24">
        <f>'Costing 100 Lmin Feed Orig'!DE24</f>
        <v>39625.826528698344</v>
      </c>
      <c r="CN24">
        <f>'Costing 100 Lmin Feed Orig'!DF24</f>
        <v>4586243.4239371875</v>
      </c>
      <c r="CO24">
        <f>'Costing 100 Lmin Feed Orig'!DG24</f>
        <v>11794834.586807497</v>
      </c>
      <c r="CP24">
        <f>'Costing 100 Lmin Feed Orig'!DH24</f>
        <v>2275209.1661185985</v>
      </c>
      <c r="CQ24">
        <f>'Costing 100 Lmin Feed Orig'!DI24</f>
        <v>14083914.336508472</v>
      </c>
      <c r="CR24">
        <f>'Costing 100 Lmin Feed Orig'!DJ24</f>
        <v>1662824.8986326549</v>
      </c>
      <c r="CS24">
        <f>CN24*(BK24/10000)^0.72*((A24+1)/3)^0.6*('CAPEX+OPEX'!$G$116/'CAPEX+OPEX'!$G$114)</f>
        <v>589054.93036564998</v>
      </c>
      <c r="CT24">
        <f>CO24*(BK24/10000)^0.72*((A24+1)/3)^0.6*('CAPEX+OPEX'!$G$116/'CAPEX+OPEX'!$G$114)</f>
        <v>1514922.9606835202</v>
      </c>
      <c r="CU24">
        <f>CP24*(BK24/10000)^0.72*((A24+1)/3)^0.6*('CAPEX+OPEX'!$G$116/'CAPEX+OPEX'!$G$114)</f>
        <v>292226.78628879401</v>
      </c>
      <c r="CV24">
        <f>CQ24*(BK24/10000)^0.72*((A24+1)/3)^0.6*('CAPEX+OPEX'!$G$116/'CAPEX+OPEX'!$G$114)</f>
        <v>1808931.2781495745</v>
      </c>
      <c r="CW24">
        <f>CR24*(BK24/10000)^0.72*((A24+1)/3)^0.6*('CAPEX+OPEX'!$G$116/'CAPEX+OPEX'!$G$114)</f>
        <v>213572.44139332071</v>
      </c>
      <c r="CX24">
        <f t="shared" si="13"/>
        <v>4418708.3968808586</v>
      </c>
      <c r="CY24">
        <f>CN24*(BM24/10000)^0.72*((AF24+1)/3)^0.6*('CAPEX+OPEX'!$G$116/'CAPEX+OPEX'!$G$114)</f>
        <v>610415.4188564826</v>
      </c>
      <c r="CZ24">
        <f>CO24*(BM24/10000)^0.72*((AF24+1)/3)^0.6*('CAPEX+OPEX'!$G$116/'CAPEX+OPEX'!$G$114)</f>
        <v>1569857.5564199341</v>
      </c>
      <c r="DA24">
        <f>CP24*(BM24/10000)^0.72*((AF24+1)/3)^0.6*('CAPEX+OPEX'!$G$116/'CAPEX+OPEX'!$G$114)</f>
        <v>302823.60261857172</v>
      </c>
      <c r="DB24">
        <f>CQ24*(BM24/10000)^0.72*((AF24+1)/3)^0.6*('CAPEX+OPEX'!$G$116/'CAPEX+OPEX'!$G$114)</f>
        <v>1874527.2926394895</v>
      </c>
      <c r="DC24">
        <f>CR24*(BM24/10000)^0.72*((AF24+1)/3)^0.6*('CAPEX+OPEX'!$G$116/'CAPEX+OPEX'!$G$114)</f>
        <v>221317.07001990607</v>
      </c>
      <c r="DD24">
        <f t="shared" si="14"/>
        <v>4578940.9405543841</v>
      </c>
      <c r="DE24">
        <f>CX24+DD24+1.15*(SUM(CI24:CL24)+SUM(CB24:CE24))</f>
        <v>9061990.2060852908</v>
      </c>
      <c r="DF24">
        <f t="shared" si="15"/>
        <v>604132.68040568603</v>
      </c>
      <c r="DG24">
        <f>(BS24+BT24)*'Oxidant Feed Composition'!$N$29*60*7200</f>
        <v>9567524.5951229334</v>
      </c>
      <c r="DH24">
        <f>((CG24+CH24)*'Reagent cost'!$C$17/1000*'Reagent cost'!$H$17+(CG24+CH24)*0.5*'Reagent cost'!$C$16/1000*'Reagent cost'!$H$16*0.5)*60*7200</f>
        <v>3239050.8153721108</v>
      </c>
      <c r="DI24">
        <f>CF24*'Reagent cost'!$C$17/1000*'Reagent cost'!$H$17*60*7200</f>
        <v>504921.59999999998</v>
      </c>
      <c r="DJ24">
        <f t="shared" si="16"/>
        <v>64.304154381728296</v>
      </c>
      <c r="DK24">
        <f t="shared" si="17"/>
        <v>700.22052820021145</v>
      </c>
      <c r="DL24">
        <f t="shared" si="18"/>
        <v>15974713.84221315</v>
      </c>
      <c r="DM24">
        <f>BK24*(B24*(409.81+2)/1000+C24*(248.2+2*22.99)/1000+D24*(315.6+3*22.99)/1000+0.1*58.44/1000)</f>
        <v>0.70639694042110623</v>
      </c>
      <c r="DN24">
        <f>(BS24+BT24)/1000*('Oxidant Feed Composition'!$B$11*'Oxidant Feed Composition'!$O$20+'Oxidant Feed Composition'!$D$11*'Oxidant Feed Composition'!$O$21+'Oxidant Feed Composition'!$F$11*'Oxidant Feed Composition'!$O$27-'Oxidant Feed Composition'!$J$15*18.015)</f>
        <v>2.239733264305765</v>
      </c>
      <c r="DO24">
        <f>(BU24+BV24)/1000*(0.2*368.34+0.4*58.44)</f>
        <v>1.5509521130485875</v>
      </c>
      <c r="DP24">
        <f>BK24/1000*(B24*195.08+C24*106.42+D24*102.91)</f>
        <v>4.999938342565946E-2</v>
      </c>
      <c r="DQ24">
        <f>SUM(DM24:DO24)-DP24</f>
        <v>4.4470829343497984</v>
      </c>
      <c r="DR24">
        <f>DQ24*60*7200*0.33</f>
        <v>633976.14312090725</v>
      </c>
      <c r="DS24">
        <v>1.2</v>
      </c>
      <c r="DT24">
        <f>BM24/60*(AM24*4+AN24*2+AO24*3)*96485/DV24</f>
        <v>1405.8817231078647</v>
      </c>
      <c r="DU24">
        <f>BN24*BA24*(AP24*4+AQ24*2+AR24*3)*96485/DV24/60</f>
        <v>707.36472588365746</v>
      </c>
      <c r="DV24">
        <v>0.7</v>
      </c>
      <c r="DW24">
        <f>0.499*((BK24/3.78541*15)^(-0.146))*BK24/3.78541*15*300*(1+(A24-2)/9)</f>
        <v>33024.331428945443</v>
      </c>
      <c r="DX24">
        <f>0.248*((BK24/3.78541*15)^(-0.144))*BK24/3.78541*15*300*(1+(A24-2)/3)</f>
        <v>24915.659383376755</v>
      </c>
      <c r="DY24">
        <f>0.105*((BK24/3.78541*15)^(-0.144))*BK24/3.78541*15*300*(1+(A24-2)/3)</f>
        <v>10548.968690542577</v>
      </c>
      <c r="DZ24">
        <f>0.058*((BK24/3.78541*15)^(-0.151))*BK24/3.78541*15*300*(1+(A24-2)/3)</f>
        <v>5588.0830181845758</v>
      </c>
      <c r="EA24">
        <f>0.056*((BK24/3.78541*15)^(-0.144))*BK24/3.78541*15*300*(1+(A24-2)/3)</f>
        <v>5626.1166349560426</v>
      </c>
      <c r="EB24">
        <f>DS24*DT24/(3.6*10^6)*3600*7200*0.07</f>
        <v>850.27726613563675</v>
      </c>
      <c r="EC24">
        <f>0.499*((BM24/3.78541*15)^(-0.146))*BM24/3.78541*15*300*(1+(AF24-2)/9)</f>
        <v>33442.68395719635</v>
      </c>
      <c r="ED24">
        <f>0.248*((BM24/3.78541*15)^(-0.144))*BM24/3.78541*15*300*(1+(AF24-2)/3)</f>
        <v>27167.86761788874</v>
      </c>
      <c r="EE24">
        <f>0.105*((BM24/3.78541*15)^(-0.144))*BM24/3.78541*15*300*(1+(AF24-2)/3)</f>
        <v>11502.524596283536</v>
      </c>
      <c r="EF24">
        <f>0.058*((BM24/3.78541*15)^(-0.151))*BM24/3.78541*15*300*(1+(AF24-2)/3)</f>
        <v>6096.5780740883993</v>
      </c>
      <c r="EG24">
        <f>0.056*((BM24/3.78541*15)^(-0.144))*BM24/3.78541*15*300*(1+(AF24-2)/3)</f>
        <v>6134.6797846845557</v>
      </c>
      <c r="EH24">
        <f>DS24*DU24/(3.6*10^6)*3600*7200*0.07</f>
        <v>427.81418621443606</v>
      </c>
      <c r="EI24">
        <f>SUM(DW24:EH24)</f>
        <v>165325.58463849706</v>
      </c>
      <c r="EJ24">
        <f>EI24+DR24+DL24</f>
        <v>16774015.569972554</v>
      </c>
      <c r="EK24">
        <f>EJ24+DF24</f>
        <v>17378148.25037824</v>
      </c>
      <c r="EL24">
        <f>EK24/(BK24*60*7200)</f>
        <v>0.40227195024023704</v>
      </c>
      <c r="EM24">
        <f>EK24/(BM24*(AM24*195.084/1000+AN24*106.42/1000+AO24*102.911/1000)*60*7200)</f>
        <v>1346.2687671420101</v>
      </c>
      <c r="EN24">
        <f>EK24/(BN24*BA24*(AP24*195.084/1000+AQ24*106.42/1000+AR24*102.911/1000)*60*7200)</f>
        <v>2464.5809825846463</v>
      </c>
    </row>
    <row r="25" spans="1:144">
      <c r="A25">
        <f>'Costing 100 Lmin Feed Orig'!A25</f>
        <v>5</v>
      </c>
      <c r="B25">
        <f>'Costing 100 Lmin Feed Orig'!B25</f>
        <v>1.54143585092054E-3</v>
      </c>
      <c r="C25">
        <f>'Costing 100 Lmin Feed Orig'!C25</f>
        <v>1.54143585092054E-3</v>
      </c>
      <c r="D25">
        <f>'Costing 100 Lmin Feed Orig'!D25</f>
        <v>3.4254130020456501E-4</v>
      </c>
      <c r="E25">
        <f>'Costing 100 Lmin Feed Orig'!E25</f>
        <v>0</v>
      </c>
      <c r="F25">
        <f>'Costing 100 Lmin Feed Orig'!F25</f>
        <v>0</v>
      </c>
      <c r="G25">
        <f>'Costing 100 Lmin Feed Orig'!G25</f>
        <v>0</v>
      </c>
      <c r="H25">
        <f>'Costing 100 Lmin Feed Orig'!H25</f>
        <v>1.7558377832426001E-5</v>
      </c>
      <c r="I25">
        <f>'Costing 100 Lmin Feed Orig'!I25</f>
        <v>1.05063644964669E-7</v>
      </c>
      <c r="J25">
        <f>'Costing 100 Lmin Feed Orig'!J25</f>
        <v>3.35605387572801E-4</v>
      </c>
      <c r="K25">
        <f>'Costing 100 Lmin Feed Orig'!K25</f>
        <v>0.12557893497872399</v>
      </c>
      <c r="L25">
        <f>'Costing 100 Lmin Feed Orig'!L25</f>
        <v>0.12701721899235199</v>
      </c>
      <c r="M25">
        <f>'Costing 100 Lmin Feed Orig'!M25</f>
        <v>5.7157122982957897E-4</v>
      </c>
      <c r="N25">
        <f>'Costing 100 Lmin Feed Orig'!N25</f>
        <v>-1.88000656708986E-16</v>
      </c>
      <c r="O25">
        <f>'Costing 100 Lmin Feed Orig'!O25</f>
        <v>-6.2354635343986299E-15</v>
      </c>
      <c r="P25">
        <f>'Costing 100 Lmin Feed Orig'!P25</f>
        <v>-1.51703600853245E-18</v>
      </c>
      <c r="Q25">
        <f>'Costing 100 Lmin Feed Orig'!Q25</f>
        <v>0.121348176216534</v>
      </c>
      <c r="R25">
        <f>'Costing 100 Lmin Feed Orig'!R25</f>
        <v>97.975160184298204</v>
      </c>
      <c r="S25">
        <f>'Costing 100 Lmin Feed Orig'!S25</f>
        <v>500</v>
      </c>
      <c r="T25">
        <f>'Costing 100 Lmin Feed Orig'!T25</f>
        <v>95</v>
      </c>
      <c r="U25">
        <f>'Costing 100 Lmin Feed Orig'!U25</f>
        <v>1</v>
      </c>
      <c r="V25">
        <f>'Costing 100 Lmin Feed Orig'!V25</f>
        <v>0.1</v>
      </c>
      <c r="W25">
        <f>'Costing 100 Lmin Feed Orig'!W25</f>
        <v>82.407501388038199</v>
      </c>
      <c r="X25" t="str">
        <f>'Costing 100 Lmin Feed Orig'!X25</f>
        <v>ddFc</v>
      </c>
      <c r="Y25">
        <f>'Costing 100 Lmin Feed Orig'!Y25</f>
        <v>1</v>
      </c>
      <c r="Z25">
        <f>'Costing 100 Lmin Feed Orig'!Z25</f>
        <v>0.28318429382522198</v>
      </c>
      <c r="AA25">
        <f>'Costing 100 Lmin Feed Orig'!AA25</f>
        <v>0.56945642916197003</v>
      </c>
      <c r="AB25">
        <f>'Costing 100 Lmin Feed Orig'!AB25</f>
        <v>3.7698628972227502E-3</v>
      </c>
      <c r="AC25">
        <f>'Costing 100 Lmin Feed Orig'!AC25</f>
        <v>1822.2107908876901</v>
      </c>
      <c r="AD25">
        <f>'Costing 100 Lmin Feed Orig'!AD25</f>
        <v>2662.6059073104898</v>
      </c>
      <c r="AE25">
        <f>'Costing 100 Lmin Feed Orig'!AE25</f>
        <v>2401.5030938442701</v>
      </c>
      <c r="AF25">
        <f>'Costing 100 Lmin Feed Orig'!AF25</f>
        <v>7</v>
      </c>
      <c r="AG25">
        <f>'Costing 100 Lmin Feed Orig'!AG25</f>
        <v>1.64912412966352E-3</v>
      </c>
      <c r="AH25">
        <f>'Costing 100 Lmin Feed Orig'!AH25</f>
        <v>1.66801192221077E-3</v>
      </c>
      <c r="AI25">
        <f>'Costing 100 Lmin Feed Orig'!AI25</f>
        <v>7.5059714998626504E-6</v>
      </c>
      <c r="AJ25">
        <f>'Costing 100 Lmin Feed Orig'!AJ25</f>
        <v>0</v>
      </c>
      <c r="AK25">
        <f>'Costing 100 Lmin Feed Orig'!AK25</f>
        <v>0</v>
      </c>
      <c r="AL25">
        <f>'Costing 100 Lmin Feed Orig'!AL25</f>
        <v>0</v>
      </c>
      <c r="AM25">
        <f>'Costing 100 Lmin Feed Orig'!AM25</f>
        <v>1.6119381310433301E-3</v>
      </c>
      <c r="AN25">
        <f>'Costing 100 Lmin Feed Orig'!AN25</f>
        <v>7.7382567030457797E-5</v>
      </c>
      <c r="AO25">
        <f>'Costing 100 Lmin Feed Orig'!AO25</f>
        <v>7.4562819717611701E-6</v>
      </c>
      <c r="AP25">
        <f>'Costing 100 Lmin Feed Orig'!AP25</f>
        <v>1.73954373622606E-3</v>
      </c>
      <c r="AQ25">
        <f>'Costing 100 Lmin Feed Orig'!AQ25</f>
        <v>7.4408902129409704E-2</v>
      </c>
      <c r="AR25">
        <f>'Costing 100 Lmin Feed Orig'!AR25</f>
        <v>2.32445303539035E-6</v>
      </c>
      <c r="AS25">
        <f>'Costing 100 Lmin Feed Orig'!AS25</f>
        <v>6.9016244542280303E-16</v>
      </c>
      <c r="AT25">
        <f>'Costing 100 Lmin Feed Orig'!AT25</f>
        <v>-2.1108657356772001E-13</v>
      </c>
      <c r="AU25">
        <f>'Costing 100 Lmin Feed Orig'!AU25</f>
        <v>-1.7602403435128399E-20</v>
      </c>
      <c r="AV25">
        <f>'Costing 100 Lmin Feed Orig'!AV25</f>
        <v>0.19753351838366801</v>
      </c>
      <c r="AW25">
        <f>'Costing 100 Lmin Feed Orig'!AW25</f>
        <v>99.338000043000505</v>
      </c>
      <c r="AX25">
        <f>'Costing 100 Lmin Feed Orig'!AX25</f>
        <v>500</v>
      </c>
      <c r="AY25">
        <f>'Costing 100 Lmin Feed Orig'!AY25</f>
        <v>95</v>
      </c>
      <c r="AZ25">
        <f>'Costing 100 Lmin Feed Orig'!AZ25</f>
        <v>0.92405262022284995</v>
      </c>
      <c r="BA25">
        <f>'Costing 100 Lmin Feed Orig'!BA25</f>
        <v>0.1</v>
      </c>
      <c r="BB25">
        <f>'Costing 100 Lmin Feed Orig'!BB25</f>
        <v>46.779535330711099</v>
      </c>
      <c r="BC25" t="str">
        <f>'Costing 100 Lmin Feed Orig'!BC25</f>
        <v>coeFc</v>
      </c>
      <c r="BD25">
        <f>'Costing 100 Lmin Feed Orig'!BD25</f>
        <v>1</v>
      </c>
      <c r="BE25">
        <f>'Costing 100 Lmin Feed Orig'!BE25</f>
        <v>1.8775014999999999E-2</v>
      </c>
      <c r="BF25">
        <f>'Costing 100 Lmin Feed Orig'!BF25</f>
        <v>0.10492961100000001</v>
      </c>
      <c r="BG25">
        <f>'Costing 100 Lmin Feed Orig'!BG25</f>
        <v>1.814625E-3</v>
      </c>
      <c r="BH25">
        <f>'Costing 100 Lmin Feed Orig'!BH25</f>
        <v>285.1951444</v>
      </c>
      <c r="BI25">
        <f>'Costing 100 Lmin Feed Orig'!BI25</f>
        <v>2169.8944889999998</v>
      </c>
      <c r="BJ25">
        <f>'Costing 100 Lmin Feed Orig'!BJ25</f>
        <v>866.49409060000005</v>
      </c>
      <c r="BK25">
        <f>'Costing 100 Lmin Feed Orig'!BK25</f>
        <v>100</v>
      </c>
      <c r="BL25">
        <f>'Costing 100 Lmin Feed Orig'!BL25</f>
        <v>12.134817621653401</v>
      </c>
      <c r="BM25">
        <f>'Costing 100 Lmin Feed Orig'!BM25</f>
        <v>92.405262022285001</v>
      </c>
      <c r="BN25">
        <f>'Costing 100 Lmin Feed Orig'!BN25</f>
        <v>19.7533518383668</v>
      </c>
      <c r="BO25">
        <f t="shared" si="1"/>
        <v>169.88744670314762</v>
      </c>
      <c r="BP25">
        <f t="shared" si="2"/>
        <v>355.5603330906024</v>
      </c>
      <c r="BQ25">
        <f t="shared" si="3"/>
        <v>16.988744670314762</v>
      </c>
      <c r="BR25">
        <f t="shared" si="4"/>
        <v>35.55603330906024</v>
      </c>
      <c r="BS25">
        <f>1.2*0.5*BL25*V25/'Oxidant Feed Composition'!$N$22</f>
        <v>7.2808905729920399</v>
      </c>
      <c r="BT25">
        <f>1.2*0.5*BN25*BA25/'Oxidant Feed Composition'!$N$22</f>
        <v>11.852011103020081</v>
      </c>
      <c r="BU25">
        <f t="shared" si="5"/>
        <v>6.0674088108267004</v>
      </c>
      <c r="BV25">
        <f t="shared" si="6"/>
        <v>9.8766759191834002</v>
      </c>
      <c r="BW25">
        <f t="shared" si="7"/>
        <v>86.337853211458295</v>
      </c>
      <c r="BX25">
        <f t="shared" si="0"/>
        <v>38.831416389290879</v>
      </c>
      <c r="BY25">
        <f t="shared" si="8"/>
        <v>209.0801592878768</v>
      </c>
      <c r="BZ25">
        <f t="shared" si="9"/>
        <v>63.210725882773758</v>
      </c>
      <c r="CA25">
        <f t="shared" si="10"/>
        <v>59.260055515100404</v>
      </c>
      <c r="CB25">
        <f>BO25*'Reagent cost'!$G$11*'Reagent cost'!$H$11</f>
        <v>2242.5142964815486</v>
      </c>
      <c r="CC25">
        <f>BP25*'Reagent cost'!$G$11*'Reagent cost'!$H$11</f>
        <v>4693.3963967959517</v>
      </c>
      <c r="CD25">
        <f>BQ25*'Reagent cost'!$C$18/1000*'Reagent cost'!$H$18</f>
        <v>2709.3726906065185</v>
      </c>
      <c r="CE25">
        <f>BR25*'Ligand cost'!$B$56*'Ligand cost'!$J$56</f>
        <v>36200.583549585928</v>
      </c>
      <c r="CF25">
        <f t="shared" si="11"/>
        <v>10</v>
      </c>
      <c r="CG25">
        <f t="shared" si="12"/>
        <v>2.4269635243306804</v>
      </c>
      <c r="CH25">
        <f t="shared" si="12"/>
        <v>3.9506703676733603</v>
      </c>
      <c r="CI25">
        <f>7963.6*(BX25/1000)^0.6*1.7*('CAPEX+OPEX'!$G$116/'CAPEX+OPEX'!$G$115)</f>
        <v>2273.7926954959794</v>
      </c>
      <c r="CJ25">
        <f>7963.6*(BY25/1000)^0.6*1.7*('CAPEX+OPEX'!$G$116/'CAPEX+OPEX'!$G$115)</f>
        <v>6243.5072626595684</v>
      </c>
      <c r="CK25">
        <f>7963.6*(BZ25/1000)^0.6*1.7*('CAPEX+OPEX'!$G$116/'CAPEX+OPEX'!$G$115)</f>
        <v>3045.8982712998541</v>
      </c>
      <c r="CL25">
        <f>7963.6*(CA25/1000)^0.6*1.7*('CAPEX+OPEX'!$G$116/'CAPEX+OPEX'!$G$115)</f>
        <v>2930.206046988194</v>
      </c>
      <c r="CM25">
        <f>'Costing 100 Lmin Feed Orig'!DE25</f>
        <v>39625.826528698344</v>
      </c>
      <c r="CN25">
        <f>'Costing 100 Lmin Feed Orig'!DF25</f>
        <v>4586243.4239371875</v>
      </c>
      <c r="CO25">
        <f>'Costing 100 Lmin Feed Orig'!DG25</f>
        <v>11794834.586807497</v>
      </c>
      <c r="CP25">
        <f>'Costing 100 Lmin Feed Orig'!DH25</f>
        <v>2275209.1661185985</v>
      </c>
      <c r="CQ25">
        <f>'Costing 100 Lmin Feed Orig'!DI25</f>
        <v>14083914.336508472</v>
      </c>
      <c r="CR25">
        <f>'Costing 100 Lmin Feed Orig'!DJ25</f>
        <v>1662824.8986326549</v>
      </c>
      <c r="CS25">
        <f>CN25*(BK25/10000)^0.72*((A25+1)/3)^0.6*('CAPEX+OPEX'!$G$116/'CAPEX+OPEX'!$G$114)</f>
        <v>589054.93036564998</v>
      </c>
      <c r="CT25">
        <f>CO25*(BK25/10000)^0.72*((A25+1)/3)^0.6*('CAPEX+OPEX'!$G$116/'CAPEX+OPEX'!$G$114)</f>
        <v>1514922.9606835202</v>
      </c>
      <c r="CU25">
        <f>CP25*(BK25/10000)^0.72*((A25+1)/3)^0.6*('CAPEX+OPEX'!$G$116/'CAPEX+OPEX'!$G$114)</f>
        <v>292226.78628879401</v>
      </c>
      <c r="CV25">
        <f>CQ25*(BK25/10000)^0.72*((A25+1)/3)^0.6*('CAPEX+OPEX'!$G$116/'CAPEX+OPEX'!$G$114)</f>
        <v>1808931.2781495745</v>
      </c>
      <c r="CW25">
        <f>CR25*(BK25/10000)^0.72*((A25+1)/3)^0.6*('CAPEX+OPEX'!$G$116/'CAPEX+OPEX'!$G$114)</f>
        <v>213572.44139332071</v>
      </c>
      <c r="CX25">
        <f t="shared" si="13"/>
        <v>4418708.3968808586</v>
      </c>
      <c r="CY25">
        <f>CN25*(BM25/10000)^0.72*((AF25+1)/3)^0.6*('CAPEX+OPEX'!$G$116/'CAPEX+OPEX'!$G$114)</f>
        <v>661333.71445919841</v>
      </c>
      <c r="CZ25">
        <f>CO25*(BM25/10000)^0.72*((AF25+1)/3)^0.6*('CAPEX+OPEX'!$G$116/'CAPEX+OPEX'!$G$114)</f>
        <v>1700808.493507487</v>
      </c>
      <c r="DA25">
        <f>CP25*(BM25/10000)^0.72*((AF25+1)/3)^0.6*('CAPEX+OPEX'!$G$116/'CAPEX+OPEX'!$G$114)</f>
        <v>328083.87822317128</v>
      </c>
      <c r="DB25">
        <f>CQ25*(BM25/10000)^0.72*((AF25+1)/3)^0.6*('CAPEX+OPEX'!$G$116/'CAPEX+OPEX'!$G$114)</f>
        <v>2030892.5020583186</v>
      </c>
      <c r="DC25">
        <f>CR25*(BM25/10000)^0.72*((AF25+1)/3)^0.6*('CAPEX+OPEX'!$G$116/'CAPEX+OPEX'!$G$114)</f>
        <v>239778.41232071392</v>
      </c>
      <c r="DD25">
        <f t="shared" si="14"/>
        <v>4960897.0005688891</v>
      </c>
      <c r="DE25">
        <f>CX25+DD25+1.15*(SUM(CI25:CL25)+SUM(CB25:CE25))</f>
        <v>9448995.5593411475</v>
      </c>
      <c r="DF25">
        <f t="shared" si="15"/>
        <v>629933.03728940978</v>
      </c>
      <c r="DG25">
        <f>(BS25+BT25)*'Oxidant Feed Composition'!$N$29*60*7200</f>
        <v>9544858.2104905806</v>
      </c>
      <c r="DH25">
        <f>((CG25+CH25)*'Reagent cost'!$C$17/1000*'Reagent cost'!$H$17+(CG25+CH25)*0.5*'Reagent cost'!$C$16/1000*'Reagent cost'!$H$16*0.5)*60*7200</f>
        <v>3231377.1929115644</v>
      </c>
      <c r="DI25">
        <f>CF25*'Reagent cost'!$C$17/1000*'Reagent cost'!$H$17*60*7200</f>
        <v>504921.59999999998</v>
      </c>
      <c r="DJ25">
        <f t="shared" si="16"/>
        <v>69.359106932775006</v>
      </c>
      <c r="DK25">
        <f t="shared" si="17"/>
        <v>778.19912480384903</v>
      </c>
      <c r="DL25">
        <f t="shared" si="18"/>
        <v>15938405.473960659</v>
      </c>
      <c r="DM25">
        <f>BK25*(B25*(409.81+2)/1000+C25*(248.2+2*22.99)/1000+D25*(315.6+3*22.99)/1000+0.1*58.44/1000)</f>
        <v>0.70639694042110623</v>
      </c>
      <c r="DN25">
        <f>(BS25+BT25)/1000*('Oxidant Feed Composition'!$B$11*'Oxidant Feed Composition'!$O$20+'Oxidant Feed Composition'!$D$11*'Oxidant Feed Composition'!$O$21+'Oxidant Feed Composition'!$F$11*'Oxidant Feed Composition'!$O$27-'Oxidant Feed Composition'!$J$15*18.015)</f>
        <v>2.2344271210983044</v>
      </c>
      <c r="DO25">
        <f>(BU25+BV25)/1000*(0.2*368.34+0.4*58.44)</f>
        <v>1.5472777585391002</v>
      </c>
      <c r="DP25">
        <f>BK25/1000*(B25*195.08+C25*106.42+D25*102.91)</f>
        <v>4.999938342565946E-2</v>
      </c>
      <c r="DQ25">
        <f>SUM(DM25:DO25)-DP25</f>
        <v>4.4381024366328505</v>
      </c>
      <c r="DR25">
        <f>DQ25*60*7200*0.33</f>
        <v>632695.8833663793</v>
      </c>
      <c r="DS25">
        <v>1.2</v>
      </c>
      <c r="DT25">
        <f>BM25/60*(AM25*4+AN25*2+AO25*3)*96485/DV25</f>
        <v>1406.3248668164506</v>
      </c>
      <c r="DU25">
        <f>BN25*BA25*(AP25*4+AQ25*2+AR25*3)*96485/DV25/60</f>
        <v>706.92158227108644</v>
      </c>
      <c r="DV25">
        <v>0.7</v>
      </c>
      <c r="DW25">
        <f>0.499*((BK25/3.78541*15)^(-0.146))*BK25/3.78541*15*300*(1+(A25-2)/9)</f>
        <v>33024.331428945443</v>
      </c>
      <c r="DX25">
        <f>0.248*((BK25/3.78541*15)^(-0.144))*BK25/3.78541*15*300*(1+(A25-2)/3)</f>
        <v>24915.659383376755</v>
      </c>
      <c r="DY25">
        <f>0.105*((BK25/3.78541*15)^(-0.144))*BK25/3.78541*15*300*(1+(A25-2)/3)</f>
        <v>10548.968690542577</v>
      </c>
      <c r="DZ25">
        <f>0.058*((BK25/3.78541*15)^(-0.151))*BK25/3.78541*15*300*(1+(A25-2)/3)</f>
        <v>5588.0830181845758</v>
      </c>
      <c r="EA25">
        <f>0.056*((BK25/3.78541*15)^(-0.144))*BK25/3.78541*15*300*(1+(A25-2)/3)</f>
        <v>5626.1166349560426</v>
      </c>
      <c r="EB25">
        <f>DS25*DT25/(3.6*10^6)*3600*7200*0.07</f>
        <v>850.54527945058942</v>
      </c>
      <c r="EC25">
        <f>0.499*((BM25/3.78541*15)^(-0.146))*BM25/3.78541*15*300*(1+(AF25-2)/9)</f>
        <v>36015.198107749915</v>
      </c>
      <c r="ED25">
        <f>0.248*((BM25/3.78541*15)^(-0.144))*BM25/3.78541*15*300*(1+(AF25-2)/3)</f>
        <v>31048.991563301424</v>
      </c>
      <c r="EE25">
        <f>0.105*((BM25/3.78541*15)^(-0.144))*BM25/3.78541*15*300*(1+(AF25-2)/3)</f>
        <v>13145.742395752615</v>
      </c>
      <c r="EF25">
        <f>0.058*((BM25/3.78541*15)^(-0.151))*BM25/3.78541*15*300*(1+(AF25-2)/3)</f>
        <v>6967.5177989581725</v>
      </c>
      <c r="EG25">
        <f>0.056*((BM25/3.78541*15)^(-0.144))*BM25/3.78541*15*300*(1+(AF25-2)/3)</f>
        <v>7011.0626110680651</v>
      </c>
      <c r="EH25">
        <f>DS25*DU25/(3.6*10^6)*3600*7200*0.07</f>
        <v>427.5461729575531</v>
      </c>
      <c r="EI25">
        <f>SUM(DW25:EH25)</f>
        <v>175169.7630852437</v>
      </c>
      <c r="EJ25">
        <f>EI25+DR25+DL25</f>
        <v>16746271.120412281</v>
      </c>
      <c r="EK25">
        <f>EJ25+DF25</f>
        <v>17376204.15770169</v>
      </c>
      <c r="EL25">
        <f>EK25/(BK25*60*7200)</f>
        <v>0.40222694809494652</v>
      </c>
      <c r="EM25">
        <f>EK25/(BM25*(AM25*195.084/1000+AN25*106.42/1000+AO25*102.911/1000)*60*7200)</f>
        <v>1345.6936177045545</v>
      </c>
      <c r="EN25">
        <f>EK25/(BN25*BA25*(AP25*195.084/1000+AQ25*106.42/1000+AR25*102.911/1000)*60*7200)</f>
        <v>2465.7293405889864</v>
      </c>
    </row>
    <row r="26" spans="1:144">
      <c r="A26">
        <f>'Costing 100 Lmin Feed Orig'!A26</f>
        <v>5</v>
      </c>
      <c r="B26">
        <f>'Costing 100 Lmin Feed Orig'!B26</f>
        <v>1.54143585092054E-3</v>
      </c>
      <c r="C26">
        <f>'Costing 100 Lmin Feed Orig'!C26</f>
        <v>1.54143585092054E-3</v>
      </c>
      <c r="D26">
        <f>'Costing 100 Lmin Feed Orig'!D26</f>
        <v>3.4254130020456501E-4</v>
      </c>
      <c r="E26">
        <f>'Costing 100 Lmin Feed Orig'!E26</f>
        <v>0</v>
      </c>
      <c r="F26">
        <f>'Costing 100 Lmin Feed Orig'!F26</f>
        <v>0</v>
      </c>
      <c r="G26">
        <f>'Costing 100 Lmin Feed Orig'!G26</f>
        <v>0</v>
      </c>
      <c r="H26">
        <f>'Costing 100 Lmin Feed Orig'!H26</f>
        <v>1.7558377832426001E-5</v>
      </c>
      <c r="I26">
        <f>'Costing 100 Lmin Feed Orig'!I26</f>
        <v>1.05063644964669E-7</v>
      </c>
      <c r="J26">
        <f>'Costing 100 Lmin Feed Orig'!J26</f>
        <v>3.35605387572801E-4</v>
      </c>
      <c r="K26">
        <f>'Costing 100 Lmin Feed Orig'!K26</f>
        <v>0.12557893497872399</v>
      </c>
      <c r="L26">
        <f>'Costing 100 Lmin Feed Orig'!L26</f>
        <v>0.12701721899235199</v>
      </c>
      <c r="M26">
        <f>'Costing 100 Lmin Feed Orig'!M26</f>
        <v>5.7157122982957897E-4</v>
      </c>
      <c r="N26">
        <f>'Costing 100 Lmin Feed Orig'!N26</f>
        <v>-1.88000656708986E-16</v>
      </c>
      <c r="O26">
        <f>'Costing 100 Lmin Feed Orig'!O26</f>
        <v>-6.2354635343986299E-15</v>
      </c>
      <c r="P26">
        <f>'Costing 100 Lmin Feed Orig'!P26</f>
        <v>-1.51703600853245E-18</v>
      </c>
      <c r="Q26">
        <f>'Costing 100 Lmin Feed Orig'!Q26</f>
        <v>0.121348176216534</v>
      </c>
      <c r="R26">
        <f>'Costing 100 Lmin Feed Orig'!R26</f>
        <v>97.975160184298204</v>
      </c>
      <c r="S26">
        <f>'Costing 100 Lmin Feed Orig'!S26</f>
        <v>500</v>
      </c>
      <c r="T26">
        <f>'Costing 100 Lmin Feed Orig'!T26</f>
        <v>95</v>
      </c>
      <c r="U26">
        <f>'Costing 100 Lmin Feed Orig'!U26</f>
        <v>1</v>
      </c>
      <c r="V26">
        <f>'Costing 100 Lmin Feed Orig'!V26</f>
        <v>0.1</v>
      </c>
      <c r="W26">
        <f>'Costing 100 Lmin Feed Orig'!W26</f>
        <v>82.407501388038199</v>
      </c>
      <c r="X26" t="str">
        <f>'Costing 100 Lmin Feed Orig'!X26</f>
        <v>ddFc</v>
      </c>
      <c r="Y26">
        <f>'Costing 100 Lmin Feed Orig'!Y26</f>
        <v>1</v>
      </c>
      <c r="Z26">
        <f>'Costing 100 Lmin Feed Orig'!Z26</f>
        <v>0.28318429382522198</v>
      </c>
      <c r="AA26">
        <f>'Costing 100 Lmin Feed Orig'!AA26</f>
        <v>0.56945642916197003</v>
      </c>
      <c r="AB26">
        <f>'Costing 100 Lmin Feed Orig'!AB26</f>
        <v>3.7698628972227502E-3</v>
      </c>
      <c r="AC26">
        <f>'Costing 100 Lmin Feed Orig'!AC26</f>
        <v>1822.2107908876901</v>
      </c>
      <c r="AD26">
        <f>'Costing 100 Lmin Feed Orig'!AD26</f>
        <v>2662.6059073104898</v>
      </c>
      <c r="AE26">
        <f>'Costing 100 Lmin Feed Orig'!AE26</f>
        <v>2401.5030938442701</v>
      </c>
      <c r="AF26">
        <f>'Costing 100 Lmin Feed Orig'!AF26</f>
        <v>8</v>
      </c>
      <c r="AG26">
        <f>'Costing 100 Lmin Feed Orig'!AG26</f>
        <v>1.64912412966352E-3</v>
      </c>
      <c r="AH26">
        <f>'Costing 100 Lmin Feed Orig'!AH26</f>
        <v>1.66801192221077E-3</v>
      </c>
      <c r="AI26">
        <f>'Costing 100 Lmin Feed Orig'!AI26</f>
        <v>7.5059714998626504E-6</v>
      </c>
      <c r="AJ26">
        <f>'Costing 100 Lmin Feed Orig'!AJ26</f>
        <v>0</v>
      </c>
      <c r="AK26">
        <f>'Costing 100 Lmin Feed Orig'!AK26</f>
        <v>0</v>
      </c>
      <c r="AL26">
        <f>'Costing 100 Lmin Feed Orig'!AL26</f>
        <v>0</v>
      </c>
      <c r="AM26">
        <f>'Costing 100 Lmin Feed Orig'!AM26</f>
        <v>1.6120834525789199E-3</v>
      </c>
      <c r="AN26">
        <f>'Costing 100 Lmin Feed Orig'!AN26</f>
        <v>7.7390029362408002E-5</v>
      </c>
      <c r="AO26">
        <f>'Costing 100 Lmin Feed Orig'!AO26</f>
        <v>7.4564681417452103E-6</v>
      </c>
      <c r="AP26">
        <f>'Costing 100 Lmin Feed Orig'!AP26</f>
        <v>1.73464665743558E-3</v>
      </c>
      <c r="AQ26">
        <f>'Costing 100 Lmin Feed Orig'!AQ26</f>
        <v>7.4490186842272293E-2</v>
      </c>
      <c r="AR26">
        <f>'Costing 100 Lmin Feed Orig'!AR26</f>
        <v>2.3182846935160901E-6</v>
      </c>
      <c r="AS26">
        <f>'Costing 100 Lmin Feed Orig'!AS26</f>
        <v>1.3007864642193499E-14</v>
      </c>
      <c r="AT26">
        <f>'Costing 100 Lmin Feed Orig'!AT26</f>
        <v>-3.2357883733569101E-12</v>
      </c>
      <c r="AU26">
        <f>'Costing 100 Lmin Feed Orig'!AU26</f>
        <v>1.045225422022E-19</v>
      </c>
      <c r="AV26">
        <f>'Costing 100 Lmin Feed Orig'!AV26</f>
        <v>0.19731704180288601</v>
      </c>
      <c r="AW26">
        <f>'Costing 100 Lmin Feed Orig'!AW26</f>
        <v>99.340480334646202</v>
      </c>
      <c r="AX26">
        <f>'Costing 100 Lmin Feed Orig'!AX26</f>
        <v>500</v>
      </c>
      <c r="AY26">
        <f>'Costing 100 Lmin Feed Orig'!AY26</f>
        <v>95</v>
      </c>
      <c r="AZ26">
        <f>'Costing 100 Lmin Feed Orig'!AZ26</f>
        <v>0.92405262022284995</v>
      </c>
      <c r="BA26">
        <f>'Costing 100 Lmin Feed Orig'!BA26</f>
        <v>0.1</v>
      </c>
      <c r="BB26">
        <f>'Costing 100 Lmin Feed Orig'!BB26</f>
        <v>46.830857171776799</v>
      </c>
      <c r="BC26" t="str">
        <f>'Costing 100 Lmin Feed Orig'!BC26</f>
        <v>coeFc</v>
      </c>
      <c r="BD26">
        <f>'Costing 100 Lmin Feed Orig'!BD26</f>
        <v>1</v>
      </c>
      <c r="BE26">
        <f>'Costing 100 Lmin Feed Orig'!BE26</f>
        <v>1.8775014999999999E-2</v>
      </c>
      <c r="BF26">
        <f>'Costing 100 Lmin Feed Orig'!BF26</f>
        <v>0.10492961100000001</v>
      </c>
      <c r="BG26">
        <f>'Costing 100 Lmin Feed Orig'!BG26</f>
        <v>1.814625E-3</v>
      </c>
      <c r="BH26">
        <f>'Costing 100 Lmin Feed Orig'!BH26</f>
        <v>285.1951444</v>
      </c>
      <c r="BI26">
        <f>'Costing 100 Lmin Feed Orig'!BI26</f>
        <v>2169.8944889999998</v>
      </c>
      <c r="BJ26">
        <f>'Costing 100 Lmin Feed Orig'!BJ26</f>
        <v>866.49409060000005</v>
      </c>
      <c r="BK26">
        <f>'Costing 100 Lmin Feed Orig'!BK26</f>
        <v>100</v>
      </c>
      <c r="BL26">
        <f>'Costing 100 Lmin Feed Orig'!BL26</f>
        <v>12.134817621653401</v>
      </c>
      <c r="BM26">
        <f>'Costing 100 Lmin Feed Orig'!BM26</f>
        <v>92.405262022285001</v>
      </c>
      <c r="BN26">
        <f>'Costing 100 Lmin Feed Orig'!BN26</f>
        <v>19.731704180288602</v>
      </c>
      <c r="BO26">
        <f t="shared" si="1"/>
        <v>169.88744670314762</v>
      </c>
      <c r="BP26">
        <f t="shared" si="2"/>
        <v>394.63408360577205</v>
      </c>
      <c r="BQ26">
        <f t="shared" si="3"/>
        <v>16.988744670314762</v>
      </c>
      <c r="BR26">
        <f t="shared" si="4"/>
        <v>39.463408360577205</v>
      </c>
      <c r="BS26">
        <f>1.2*0.5*BL26*V26/'Oxidant Feed Composition'!$N$22</f>
        <v>7.2808905729920399</v>
      </c>
      <c r="BT26">
        <f>1.2*0.5*BN26*BA26/'Oxidant Feed Composition'!$N$22</f>
        <v>11.83902250817316</v>
      </c>
      <c r="BU26">
        <f t="shared" si="5"/>
        <v>6.0674088108267004</v>
      </c>
      <c r="BV26">
        <f t="shared" si="6"/>
        <v>9.8658520901443012</v>
      </c>
      <c r="BW26">
        <f t="shared" si="7"/>
        <v>86.337853211458295</v>
      </c>
      <c r="BX26">
        <f t="shared" si="0"/>
        <v>38.831416389290879</v>
      </c>
      <c r="BY26">
        <f t="shared" si="8"/>
        <v>209.0801592878768</v>
      </c>
      <c r="BZ26">
        <f t="shared" si="9"/>
        <v>63.141453376923522</v>
      </c>
      <c r="CA26">
        <f t="shared" si="10"/>
        <v>59.195112540865807</v>
      </c>
      <c r="CB26">
        <f>BO26*'Reagent cost'!$G$11*'Reagent cost'!$H$11</f>
        <v>2242.5142964815486</v>
      </c>
      <c r="CC26">
        <f>BP26*'Reagent cost'!$G$11*'Reagent cost'!$H$11</f>
        <v>5209.1699035961919</v>
      </c>
      <c r="CD26">
        <f>BQ26*'Reagent cost'!$C$18/1000*'Reagent cost'!$H$18</f>
        <v>2709.3726906065185</v>
      </c>
      <c r="CE26">
        <f>BR26*'Ligand cost'!$B$56*'Ligand cost'!$J$56</f>
        <v>40178.790448609281</v>
      </c>
      <c r="CF26">
        <f t="shared" si="11"/>
        <v>10</v>
      </c>
      <c r="CG26">
        <f t="shared" si="12"/>
        <v>2.4269635243306804</v>
      </c>
      <c r="CH26">
        <f t="shared" si="12"/>
        <v>3.9463408360577206</v>
      </c>
      <c r="CI26">
        <f>7963.6*(BX26/1000)^0.6*1.7*('CAPEX+OPEX'!$G$116/'CAPEX+OPEX'!$G$115)</f>
        <v>2273.7926954959794</v>
      </c>
      <c r="CJ26">
        <f>7963.6*(BY26/1000)^0.6*1.7*('CAPEX+OPEX'!$G$116/'CAPEX+OPEX'!$G$115)</f>
        <v>6243.5072626595684</v>
      </c>
      <c r="CK26">
        <f>7963.6*(BZ26/1000)^0.6*1.7*('CAPEX+OPEX'!$G$116/'CAPEX+OPEX'!$G$115)</f>
        <v>3043.8950358731904</v>
      </c>
      <c r="CL26">
        <f>7963.6*(CA26/1000)^0.6*1.7*('CAPEX+OPEX'!$G$116/'CAPEX+OPEX'!$G$115)</f>
        <v>2928.2789003674211</v>
      </c>
      <c r="CM26">
        <f>'Costing 100 Lmin Feed Orig'!DE26</f>
        <v>39625.826528698344</v>
      </c>
      <c r="CN26">
        <f>'Costing 100 Lmin Feed Orig'!DF26</f>
        <v>4586243.4239371875</v>
      </c>
      <c r="CO26">
        <f>'Costing 100 Lmin Feed Orig'!DG26</f>
        <v>11794834.586807497</v>
      </c>
      <c r="CP26">
        <f>'Costing 100 Lmin Feed Orig'!DH26</f>
        <v>2275209.1661185985</v>
      </c>
      <c r="CQ26">
        <f>'Costing 100 Lmin Feed Orig'!DI26</f>
        <v>14083914.336508472</v>
      </c>
      <c r="CR26">
        <f>'Costing 100 Lmin Feed Orig'!DJ26</f>
        <v>1662824.8986326549</v>
      </c>
      <c r="CS26">
        <f>CN26*(BK26/10000)^0.72*((A26+1)/3)^0.6*('CAPEX+OPEX'!$G$116/'CAPEX+OPEX'!$G$114)</f>
        <v>589054.93036564998</v>
      </c>
      <c r="CT26">
        <f>CO26*(BK26/10000)^0.72*((A26+1)/3)^0.6*('CAPEX+OPEX'!$G$116/'CAPEX+OPEX'!$G$114)</f>
        <v>1514922.9606835202</v>
      </c>
      <c r="CU26">
        <f>CP26*(BK26/10000)^0.72*((A26+1)/3)^0.6*('CAPEX+OPEX'!$G$116/'CAPEX+OPEX'!$G$114)</f>
        <v>292226.78628879401</v>
      </c>
      <c r="CV26">
        <f>CQ26*(BK26/10000)^0.72*((A26+1)/3)^0.6*('CAPEX+OPEX'!$G$116/'CAPEX+OPEX'!$G$114)</f>
        <v>1808931.2781495745</v>
      </c>
      <c r="CW26">
        <f>CR26*(BK26/10000)^0.72*((A26+1)/3)^0.6*('CAPEX+OPEX'!$G$116/'CAPEX+OPEX'!$G$114)</f>
        <v>213572.44139332071</v>
      </c>
      <c r="CX26">
        <f t="shared" si="13"/>
        <v>4418708.3968808586</v>
      </c>
      <c r="CY26">
        <f>CN26*(BM26/10000)^0.72*((AF26+1)/3)^0.6*('CAPEX+OPEX'!$G$116/'CAPEX+OPEX'!$G$114)</f>
        <v>709761.0732627036</v>
      </c>
      <c r="CZ26">
        <f>CO26*(BM26/10000)^0.72*((AF26+1)/3)^0.6*('CAPEX+OPEX'!$G$116/'CAPEX+OPEX'!$G$114)</f>
        <v>1825353.2753178168</v>
      </c>
      <c r="DA26">
        <f>CP26*(BM26/10000)^0.72*((AF26+1)/3)^0.6*('CAPEX+OPEX'!$G$116/'CAPEX+OPEX'!$G$114)</f>
        <v>352108.41430984496</v>
      </c>
      <c r="DB26">
        <f>CQ26*(BM26/10000)^0.72*((AF26+1)/3)^0.6*('CAPEX+OPEX'!$G$116/'CAPEX+OPEX'!$G$114)</f>
        <v>2179608.2831204594</v>
      </c>
      <c r="DC26">
        <f>CR26*(BM26/10000)^0.72*((AF26+1)/3)^0.6*('CAPEX+OPEX'!$G$116/'CAPEX+OPEX'!$G$114)</f>
        <v>257336.62076058687</v>
      </c>
      <c r="DD26">
        <f t="shared" si="14"/>
        <v>5324167.6667714119</v>
      </c>
      <c r="DE26">
        <f>CX26+DD26+1.15*(SUM(CI26:CL26)+SUM(CB26:CE26))</f>
        <v>9817429.7830710132</v>
      </c>
      <c r="DF26">
        <f t="shared" si="15"/>
        <v>654495.3188714009</v>
      </c>
      <c r="DG26">
        <f>(BS26+BT26)*'Oxidant Feed Composition'!$N$29*60*7200</f>
        <v>9538378.5714757219</v>
      </c>
      <c r="DH26">
        <f>((CG26+CH26)*'Reagent cost'!$C$17/1000*'Reagent cost'!$H$17+(CG26+CH26)*0.5*'Reagent cost'!$C$16/1000*'Reagent cost'!$H$16*0.5)*60*7200</f>
        <v>3229183.5345806424</v>
      </c>
      <c r="DI26">
        <f>CF26*'Reagent cost'!$C$17/1000*'Reagent cost'!$H$17*60*7200</f>
        <v>504921.59999999998</v>
      </c>
      <c r="DJ26">
        <f t="shared" si="16"/>
        <v>74.516842000777402</v>
      </c>
      <c r="DK26">
        <f t="shared" si="17"/>
        <v>857.763262784316</v>
      </c>
      <c r="DL26">
        <f t="shared" si="18"/>
        <v>15928099.183393378</v>
      </c>
      <c r="DM26">
        <f>BK26*(B26*(409.81+2)/1000+C26*(248.2+2*22.99)/1000+D26*(315.6+3*22.99)/1000+0.1*58.44/1000)</f>
        <v>0.70639694042110623</v>
      </c>
      <c r="DN26">
        <f>(BS26+BT26)/1000*('Oxidant Feed Composition'!$B$11*'Oxidant Feed Composition'!$O$20+'Oxidant Feed Composition'!$D$11*'Oxidant Feed Composition'!$O$21+'Oxidant Feed Composition'!$F$11*'Oxidant Feed Composition'!$O$27-'Oxidant Feed Composition'!$J$15*18.015)</f>
        <v>2.2329102540238606</v>
      </c>
      <c r="DO26">
        <f>(BU26+BV26)/1000*(0.2*368.34+0.4*58.44)</f>
        <v>1.5462273708738297</v>
      </c>
      <c r="DP26">
        <f>BK26/1000*(B26*195.08+C26*106.42+D26*102.91)</f>
        <v>4.999938342565946E-2</v>
      </c>
      <c r="DQ26">
        <f>SUM(DM26:DO26)-DP26</f>
        <v>4.4355351818931368</v>
      </c>
      <c r="DR26">
        <f>DQ26*60*7200*0.33</f>
        <v>632329.89553068567</v>
      </c>
      <c r="DS26">
        <v>1.2</v>
      </c>
      <c r="DT26">
        <f>BM26/60*(AM26*4+AN26*2+AO26*3)*96485/DV26</f>
        <v>1406.4515484627877</v>
      </c>
      <c r="DU26">
        <f>BN26*BA26*(AP26*4+AQ26*2+AR26*3)*96485/DV26/60</f>
        <v>706.79490200313717</v>
      </c>
      <c r="DV26">
        <v>0.7</v>
      </c>
      <c r="DW26">
        <f>0.499*((BK26/3.78541*15)^(-0.146))*BK26/3.78541*15*300*(1+(A26-2)/9)</f>
        <v>33024.331428945443</v>
      </c>
      <c r="DX26">
        <f>0.248*((BK26/3.78541*15)^(-0.144))*BK26/3.78541*15*300*(1+(A26-2)/3)</f>
        <v>24915.659383376755</v>
      </c>
      <c r="DY26">
        <f>0.105*((BK26/3.78541*15)^(-0.144))*BK26/3.78541*15*300*(1+(A26-2)/3)</f>
        <v>10548.968690542577</v>
      </c>
      <c r="DZ26">
        <f>0.058*((BK26/3.78541*15)^(-0.151))*BK26/3.78541*15*300*(1+(A26-2)/3)</f>
        <v>5588.0830181845758</v>
      </c>
      <c r="EA26">
        <f>0.056*((BK26/3.78541*15)^(-0.144))*BK26/3.78541*15*300*(1+(A26-2)/3)</f>
        <v>5626.1166349560426</v>
      </c>
      <c r="EB26">
        <f>DS26*DT26/(3.6*10^6)*3600*7200*0.07</f>
        <v>850.62189651029416</v>
      </c>
      <c r="EC26">
        <f>0.499*((BM26/3.78541*15)^(-0.146))*BM26/3.78541*15*300*(1+(AF26-2)/9)</f>
        <v>38587.712258303472</v>
      </c>
      <c r="ED26">
        <f>0.248*((BM26/3.78541*15)^(-0.144))*BM26/3.78541*15*300*(1+(AF26-2)/3)</f>
        <v>34930.115508714101</v>
      </c>
      <c r="EE26">
        <f>0.105*((BM26/3.78541*15)^(-0.144))*BM26/3.78541*15*300*(1+(AF26-2)/3)</f>
        <v>14788.960195221691</v>
      </c>
      <c r="EF26">
        <f>0.058*((BM26/3.78541*15)^(-0.151))*BM26/3.78541*15*300*(1+(AF26-2)/3)</f>
        <v>7838.4575238279431</v>
      </c>
      <c r="EG26">
        <f>0.056*((BM26/3.78541*15)^(-0.144))*BM26/3.78541*15*300*(1+(AF26-2)/3)</f>
        <v>7887.4454374515717</v>
      </c>
      <c r="EH26">
        <f>DS26*DU26/(3.6*10^6)*3600*7200*0.07</f>
        <v>427.46955673149739</v>
      </c>
      <c r="EI26">
        <f>SUM(DW26:EH26)</f>
        <v>185013.94153276595</v>
      </c>
      <c r="EJ26">
        <f>EI26+DR26+DL26</f>
        <v>16745443.02045683</v>
      </c>
      <c r="EK26">
        <f>EJ26+DF26</f>
        <v>17399938.339328229</v>
      </c>
      <c r="EL26">
        <f>EK26/(BK26*60*7200)</f>
        <v>0.40277635044741272</v>
      </c>
      <c r="EM26">
        <f>EK26/(BM26*(AM26*195.084/1000+AN26*106.42/1000+AO26*102.911/1000)*60*7200)</f>
        <v>1347.4102219270376</v>
      </c>
      <c r="EN26">
        <f>EK26/(BN26*BA26*(AP26*195.084/1000+AQ26*106.42/1000+AR26*102.911/1000)*60*7200)</f>
        <v>2469.5052375896248</v>
      </c>
    </row>
    <row r="27" spans="1:144">
      <c r="A27">
        <f>'Costing 100 Lmin Feed Orig'!A27</f>
        <v>5</v>
      </c>
      <c r="B27">
        <f>'Costing 100 Lmin Feed Orig'!B27</f>
        <v>1.54143585092054E-3</v>
      </c>
      <c r="C27">
        <f>'Costing 100 Lmin Feed Orig'!C27</f>
        <v>1.54143585092054E-3</v>
      </c>
      <c r="D27">
        <f>'Costing 100 Lmin Feed Orig'!D27</f>
        <v>3.4254130020456501E-4</v>
      </c>
      <c r="E27">
        <f>'Costing 100 Lmin Feed Orig'!E27</f>
        <v>0</v>
      </c>
      <c r="F27">
        <f>'Costing 100 Lmin Feed Orig'!F27</f>
        <v>0</v>
      </c>
      <c r="G27">
        <f>'Costing 100 Lmin Feed Orig'!G27</f>
        <v>0</v>
      </c>
      <c r="H27">
        <f>'Costing 100 Lmin Feed Orig'!H27</f>
        <v>1.7558377832426001E-5</v>
      </c>
      <c r="I27">
        <f>'Costing 100 Lmin Feed Orig'!I27</f>
        <v>1.05063644964669E-7</v>
      </c>
      <c r="J27">
        <f>'Costing 100 Lmin Feed Orig'!J27</f>
        <v>3.35605387572801E-4</v>
      </c>
      <c r="K27">
        <f>'Costing 100 Lmin Feed Orig'!K27</f>
        <v>0.12557893497872399</v>
      </c>
      <c r="L27">
        <f>'Costing 100 Lmin Feed Orig'!L27</f>
        <v>0.12701721899235199</v>
      </c>
      <c r="M27">
        <f>'Costing 100 Lmin Feed Orig'!M27</f>
        <v>5.7157122982957897E-4</v>
      </c>
      <c r="N27">
        <f>'Costing 100 Lmin Feed Orig'!N27</f>
        <v>-1.88000656708986E-16</v>
      </c>
      <c r="O27">
        <f>'Costing 100 Lmin Feed Orig'!O27</f>
        <v>-6.2354635343986299E-15</v>
      </c>
      <c r="P27">
        <f>'Costing 100 Lmin Feed Orig'!P27</f>
        <v>-1.51703600853245E-18</v>
      </c>
      <c r="Q27">
        <f>'Costing 100 Lmin Feed Orig'!Q27</f>
        <v>0.121348176216534</v>
      </c>
      <c r="R27">
        <f>'Costing 100 Lmin Feed Orig'!R27</f>
        <v>97.975160184298204</v>
      </c>
      <c r="S27">
        <f>'Costing 100 Lmin Feed Orig'!S27</f>
        <v>500</v>
      </c>
      <c r="T27">
        <f>'Costing 100 Lmin Feed Orig'!T27</f>
        <v>95</v>
      </c>
      <c r="U27">
        <f>'Costing 100 Lmin Feed Orig'!U27</f>
        <v>1</v>
      </c>
      <c r="V27">
        <f>'Costing 100 Lmin Feed Orig'!V27</f>
        <v>0.1</v>
      </c>
      <c r="W27">
        <f>'Costing 100 Lmin Feed Orig'!W27</f>
        <v>82.407501388038199</v>
      </c>
      <c r="X27" t="str">
        <f>'Costing 100 Lmin Feed Orig'!X27</f>
        <v>ddFc</v>
      </c>
      <c r="Y27">
        <f>'Costing 100 Lmin Feed Orig'!Y27</f>
        <v>1</v>
      </c>
      <c r="Z27">
        <f>'Costing 100 Lmin Feed Orig'!Z27</f>
        <v>0.28318429382522198</v>
      </c>
      <c r="AA27">
        <f>'Costing 100 Lmin Feed Orig'!AA27</f>
        <v>0.56945642916197003</v>
      </c>
      <c r="AB27">
        <f>'Costing 100 Lmin Feed Orig'!AB27</f>
        <v>3.7698628972227502E-3</v>
      </c>
      <c r="AC27">
        <f>'Costing 100 Lmin Feed Orig'!AC27</f>
        <v>1822.2107908876901</v>
      </c>
      <c r="AD27">
        <f>'Costing 100 Lmin Feed Orig'!AD27</f>
        <v>2662.6059073104898</v>
      </c>
      <c r="AE27">
        <f>'Costing 100 Lmin Feed Orig'!AE27</f>
        <v>2401.5030938442701</v>
      </c>
      <c r="AF27">
        <f>'Costing 100 Lmin Feed Orig'!AF27</f>
        <v>9</v>
      </c>
      <c r="AG27">
        <f>'Costing 100 Lmin Feed Orig'!AG27</f>
        <v>1.64912412966352E-3</v>
      </c>
      <c r="AH27">
        <f>'Costing 100 Lmin Feed Orig'!AH27</f>
        <v>1.66801192221077E-3</v>
      </c>
      <c r="AI27">
        <f>'Costing 100 Lmin Feed Orig'!AI27</f>
        <v>7.5059714998626504E-6</v>
      </c>
      <c r="AJ27">
        <f>'Costing 100 Lmin Feed Orig'!AJ27</f>
        <v>0</v>
      </c>
      <c r="AK27">
        <f>'Costing 100 Lmin Feed Orig'!AK27</f>
        <v>0</v>
      </c>
      <c r="AL27">
        <f>'Costing 100 Lmin Feed Orig'!AL27</f>
        <v>0</v>
      </c>
      <c r="AM27">
        <f>'Costing 100 Lmin Feed Orig'!AM27</f>
        <v>1.6121246149811801E-3</v>
      </c>
      <c r="AN27">
        <f>'Costing 100 Lmin Feed Orig'!AN27</f>
        <v>7.7392143035352694E-5</v>
      </c>
      <c r="AO27">
        <f>'Costing 100 Lmin Feed Orig'!AO27</f>
        <v>7.4565208744733498E-6</v>
      </c>
      <c r="AP27">
        <f>'Costing 100 Lmin Feed Orig'!AP27</f>
        <v>1.73325760784225E-3</v>
      </c>
      <c r="AQ27">
        <f>'Costing 100 Lmin Feed Orig'!AQ27</f>
        <v>7.4513243137229707E-2</v>
      </c>
      <c r="AR27">
        <f>'Costing 100 Lmin Feed Orig'!AR27</f>
        <v>2.3165350520080302E-6</v>
      </c>
      <c r="AS27">
        <f>'Costing 100 Lmin Feed Orig'!AS27</f>
        <v>1.36270660554271E-16</v>
      </c>
      <c r="AT27">
        <f>'Costing 100 Lmin Feed Orig'!AT27</f>
        <v>-1.76959141784394E-14</v>
      </c>
      <c r="AU27">
        <f>'Costing 100 Lmin Feed Orig'!AU27</f>
        <v>-3.3351922298138001E-21</v>
      </c>
      <c r="AV27">
        <f>'Costing 100 Lmin Feed Orig'!AV27</f>
        <v>0.19725572433293401</v>
      </c>
      <c r="AW27">
        <f>'Costing 100 Lmin Feed Orig'!AW27</f>
        <v>99.341182878322797</v>
      </c>
      <c r="AX27">
        <f>'Costing 100 Lmin Feed Orig'!AX27</f>
        <v>500</v>
      </c>
      <c r="AY27">
        <f>'Costing 100 Lmin Feed Orig'!AY27</f>
        <v>95</v>
      </c>
      <c r="AZ27">
        <f>'Costing 100 Lmin Feed Orig'!AZ27</f>
        <v>0.92405262022284995</v>
      </c>
      <c r="BA27">
        <f>'Costing 100 Lmin Feed Orig'!BA27</f>
        <v>0.1</v>
      </c>
      <c r="BB27">
        <f>'Costing 100 Lmin Feed Orig'!BB27</f>
        <v>46.8454146690923</v>
      </c>
      <c r="BC27" t="str">
        <f>'Costing 100 Lmin Feed Orig'!BC27</f>
        <v>coeFc</v>
      </c>
      <c r="BD27">
        <f>'Costing 100 Lmin Feed Orig'!BD27</f>
        <v>1</v>
      </c>
      <c r="BE27">
        <f>'Costing 100 Lmin Feed Orig'!BE27</f>
        <v>1.8775014999999999E-2</v>
      </c>
      <c r="BF27">
        <f>'Costing 100 Lmin Feed Orig'!BF27</f>
        <v>0.10492961100000001</v>
      </c>
      <c r="BG27">
        <f>'Costing 100 Lmin Feed Orig'!BG27</f>
        <v>1.814625E-3</v>
      </c>
      <c r="BH27">
        <f>'Costing 100 Lmin Feed Orig'!BH27</f>
        <v>285.1951444</v>
      </c>
      <c r="BI27">
        <f>'Costing 100 Lmin Feed Orig'!BI27</f>
        <v>2169.8944889999998</v>
      </c>
      <c r="BJ27">
        <f>'Costing 100 Lmin Feed Orig'!BJ27</f>
        <v>866.49409060000005</v>
      </c>
      <c r="BK27">
        <f>'Costing 100 Lmin Feed Orig'!BK27</f>
        <v>100</v>
      </c>
      <c r="BL27">
        <f>'Costing 100 Lmin Feed Orig'!BL27</f>
        <v>12.134817621653401</v>
      </c>
      <c r="BM27">
        <f>'Costing 100 Lmin Feed Orig'!BM27</f>
        <v>92.405262022285001</v>
      </c>
      <c r="BN27">
        <f>'Costing 100 Lmin Feed Orig'!BN27</f>
        <v>19.725572433293401</v>
      </c>
      <c r="BO27">
        <f t="shared" si="1"/>
        <v>169.88744670314762</v>
      </c>
      <c r="BP27">
        <f t="shared" si="2"/>
        <v>433.96259353245483</v>
      </c>
      <c r="BQ27">
        <f t="shared" si="3"/>
        <v>16.988744670314762</v>
      </c>
      <c r="BR27">
        <f t="shared" si="4"/>
        <v>43.396259353245483</v>
      </c>
      <c r="BS27">
        <f>1.2*0.5*BL27*V27/'Oxidant Feed Composition'!$N$22</f>
        <v>7.2808905729920399</v>
      </c>
      <c r="BT27">
        <f>1.2*0.5*BN27*BA27/'Oxidant Feed Composition'!$N$22</f>
        <v>11.835343459976039</v>
      </c>
      <c r="BU27">
        <f t="shared" si="5"/>
        <v>6.0674088108267004</v>
      </c>
      <c r="BV27">
        <f t="shared" si="6"/>
        <v>9.8627862166467004</v>
      </c>
      <c r="BW27">
        <f t="shared" si="7"/>
        <v>86.337853211458295</v>
      </c>
      <c r="BX27">
        <f t="shared" si="0"/>
        <v>38.831416389290879</v>
      </c>
      <c r="BY27">
        <f t="shared" si="8"/>
        <v>209.0801592878768</v>
      </c>
      <c r="BZ27">
        <f t="shared" si="9"/>
        <v>63.121831786538877</v>
      </c>
      <c r="CA27">
        <f t="shared" si="10"/>
        <v>59.176717299880202</v>
      </c>
      <c r="CB27">
        <f>BO27*'Reagent cost'!$G$11*'Reagent cost'!$H$11</f>
        <v>2242.5142964815486</v>
      </c>
      <c r="CC27">
        <f>BP27*'Reagent cost'!$G$11*'Reagent cost'!$H$11</f>
        <v>5728.3062346284041</v>
      </c>
      <c r="CD27">
        <f>BQ27*'Reagent cost'!$C$18/1000*'Reagent cost'!$H$18</f>
        <v>2709.3726906065185</v>
      </c>
      <c r="CE27">
        <f>BR27*'Ligand cost'!$B$56*'Ligand cost'!$J$56</f>
        <v>44182.935109815946</v>
      </c>
      <c r="CF27">
        <f t="shared" si="11"/>
        <v>10</v>
      </c>
      <c r="CG27">
        <f t="shared" si="12"/>
        <v>2.4269635243306804</v>
      </c>
      <c r="CH27">
        <f t="shared" si="12"/>
        <v>3.9451144866586803</v>
      </c>
      <c r="CI27">
        <f>7963.6*(BX27/1000)^0.6*1.7*('CAPEX+OPEX'!$G$116/'CAPEX+OPEX'!$G$115)</f>
        <v>2273.7926954959794</v>
      </c>
      <c r="CJ27">
        <f>7963.6*(BY27/1000)^0.6*1.7*('CAPEX+OPEX'!$G$116/'CAPEX+OPEX'!$G$115)</f>
        <v>6243.5072626595684</v>
      </c>
      <c r="CK27">
        <f>7963.6*(BZ27/1000)^0.6*1.7*('CAPEX+OPEX'!$G$116/'CAPEX+OPEX'!$G$115)</f>
        <v>3043.3274552652783</v>
      </c>
      <c r="CL27">
        <f>7963.6*(CA27/1000)^0.6*1.7*('CAPEX+OPEX'!$G$116/'CAPEX+OPEX'!$G$115)</f>
        <v>2927.7328781495667</v>
      </c>
      <c r="CM27">
        <f>'Costing 100 Lmin Feed Orig'!DE27</f>
        <v>39625.826528698344</v>
      </c>
      <c r="CN27">
        <f>'Costing 100 Lmin Feed Orig'!DF27</f>
        <v>4586243.4239371875</v>
      </c>
      <c r="CO27">
        <f>'Costing 100 Lmin Feed Orig'!DG27</f>
        <v>11794834.586807497</v>
      </c>
      <c r="CP27">
        <f>'Costing 100 Lmin Feed Orig'!DH27</f>
        <v>2275209.1661185985</v>
      </c>
      <c r="CQ27">
        <f>'Costing 100 Lmin Feed Orig'!DI27</f>
        <v>14083914.336508472</v>
      </c>
      <c r="CR27">
        <f>'Costing 100 Lmin Feed Orig'!DJ27</f>
        <v>1662824.8986326549</v>
      </c>
      <c r="CS27">
        <f>CN27*(BK27/10000)^0.72*((A27+1)/3)^0.6*('CAPEX+OPEX'!$G$116/'CAPEX+OPEX'!$G$114)</f>
        <v>589054.93036564998</v>
      </c>
      <c r="CT27">
        <f>CO27*(BK27/10000)^0.72*((A27+1)/3)^0.6*('CAPEX+OPEX'!$G$116/'CAPEX+OPEX'!$G$114)</f>
        <v>1514922.9606835202</v>
      </c>
      <c r="CU27">
        <f>CP27*(BK27/10000)^0.72*((A27+1)/3)^0.6*('CAPEX+OPEX'!$G$116/'CAPEX+OPEX'!$G$114)</f>
        <v>292226.78628879401</v>
      </c>
      <c r="CV27">
        <f>CQ27*(BK27/10000)^0.72*((A27+1)/3)^0.6*('CAPEX+OPEX'!$G$116/'CAPEX+OPEX'!$G$114)</f>
        <v>1808931.2781495745</v>
      </c>
      <c r="CW27">
        <f>CR27*(BK27/10000)^0.72*((A27+1)/3)^0.6*('CAPEX+OPEX'!$G$116/'CAPEX+OPEX'!$G$114)</f>
        <v>213572.44139332071</v>
      </c>
      <c r="CX27">
        <f t="shared" si="13"/>
        <v>4418708.3968808586</v>
      </c>
      <c r="CY27">
        <f>CN27*(BM27/10000)^0.72*((AF27+1)/3)^0.6*('CAPEX+OPEX'!$G$116/'CAPEX+OPEX'!$G$114)</f>
        <v>756078.12158013834</v>
      </c>
      <c r="CZ27">
        <f>CO27*(BM27/10000)^0.72*((AF27+1)/3)^0.6*('CAPEX+OPEX'!$G$116/'CAPEX+OPEX'!$G$114)</f>
        <v>1944470.7911046974</v>
      </c>
      <c r="DA27">
        <f>CP27*(BM27/10000)^0.72*((AF27+1)/3)^0.6*('CAPEX+OPEX'!$G$116/'CAPEX+OPEX'!$G$114)</f>
        <v>375086.03741841484</v>
      </c>
      <c r="DB27">
        <f>CQ27*(BM27/10000)^0.72*((AF27+1)/3)^0.6*('CAPEX+OPEX'!$G$116/'CAPEX+OPEX'!$G$114)</f>
        <v>2321843.5027814927</v>
      </c>
      <c r="DC27">
        <f>CR27*(BM27/10000)^0.72*((AF27+1)/3)^0.6*('CAPEX+OPEX'!$G$116/'CAPEX+OPEX'!$G$114)</f>
        <v>274129.6982434399</v>
      </c>
      <c r="DD27">
        <f t="shared" si="14"/>
        <v>5671608.1511281831</v>
      </c>
      <c r="DE27">
        <f>CX27+DD27+1.15*(SUM(CI27:CL27)+SUM(CB27:CE27))</f>
        <v>10170070.759925609</v>
      </c>
      <c r="DF27">
        <f t="shared" si="15"/>
        <v>678004.71732837392</v>
      </c>
      <c r="DG27">
        <f>(BS27+BT27)*'Oxidant Feed Composition'!$N$29*60*7200</f>
        <v>9536543.1994037945</v>
      </c>
      <c r="DH27">
        <f>((CG27+CH27)*'Reagent cost'!$C$17/1000*'Reagent cost'!$H$17+(CG27+CH27)*0.5*'Reagent cost'!$C$16/1000*'Reagent cost'!$H$16*0.5)*60*7200</f>
        <v>3228562.1760100964</v>
      </c>
      <c r="DI27">
        <f>CF27*'Reagent cost'!$C$17/1000*'Reagent cost'!$H$17*60*7200</f>
        <v>504921.59999999998</v>
      </c>
      <c r="DJ27">
        <f t="shared" si="16"/>
        <v>79.708205311099533</v>
      </c>
      <c r="DK27">
        <f t="shared" si="17"/>
        <v>937.84615600844938</v>
      </c>
      <c r="DL27">
        <f t="shared" si="18"/>
        <v>15925253.435730251</v>
      </c>
      <c r="DM27">
        <f>BK27*(B27*(409.81+2)/1000+C27*(248.2+2*22.99)/1000+D27*(315.6+3*22.99)/1000+0.1*58.44/1000)</f>
        <v>0.70639694042110623</v>
      </c>
      <c r="DN27">
        <f>(BS27+BT27)/1000*('Oxidant Feed Composition'!$B$11*'Oxidant Feed Composition'!$O$20+'Oxidant Feed Composition'!$D$11*'Oxidant Feed Composition'!$O$21+'Oxidant Feed Composition'!$F$11*'Oxidant Feed Composition'!$O$27-'Oxidant Feed Composition'!$J$15*18.015)</f>
        <v>2.2324805980725215</v>
      </c>
      <c r="DO27">
        <f>(BU27+BV27)/1000*(0.2*368.34+0.4*58.44)</f>
        <v>1.5459298462461286</v>
      </c>
      <c r="DP27">
        <f>BK27/1000*(B27*195.08+C27*106.42+D27*102.91)</f>
        <v>4.999938342565946E-2</v>
      </c>
      <c r="DQ27">
        <f>SUM(DM27:DO27)-DP27</f>
        <v>4.4348080013140967</v>
      </c>
      <c r="DR27">
        <f>DQ27*60*7200*0.33</f>
        <v>632226.22866733768</v>
      </c>
      <c r="DS27">
        <v>1.2</v>
      </c>
      <c r="DT27">
        <f>BM27/60*(AM27*4+AN27*2+AO27*3)*96485/DV27</f>
        <v>1406.4874310909718</v>
      </c>
      <c r="DU27">
        <f>BN27*BA27*(AP27*4+AQ27*2+AR27*3)*96485/DV27/60</f>
        <v>706.75901790821581</v>
      </c>
      <c r="DV27">
        <v>0.7</v>
      </c>
      <c r="DW27">
        <f>0.499*((BK27/3.78541*15)^(-0.146))*BK27/3.78541*15*300*(1+(A27-2)/9)</f>
        <v>33024.331428945443</v>
      </c>
      <c r="DX27">
        <f>0.248*((BK27/3.78541*15)^(-0.144))*BK27/3.78541*15*300*(1+(A27-2)/3)</f>
        <v>24915.659383376755</v>
      </c>
      <c r="DY27">
        <f>0.105*((BK27/3.78541*15)^(-0.144))*BK27/3.78541*15*300*(1+(A27-2)/3)</f>
        <v>10548.968690542577</v>
      </c>
      <c r="DZ27">
        <f>0.058*((BK27/3.78541*15)^(-0.151))*BK27/3.78541*15*300*(1+(A27-2)/3)</f>
        <v>5588.0830181845758</v>
      </c>
      <c r="EA27">
        <f>0.056*((BK27/3.78541*15)^(-0.144))*BK27/3.78541*15*300*(1+(A27-2)/3)</f>
        <v>5626.1166349560426</v>
      </c>
      <c r="EB27">
        <f>DS27*DT27/(3.6*10^6)*3600*7200*0.07</f>
        <v>850.64359832381979</v>
      </c>
      <c r="EC27">
        <f>0.499*((BM27/3.78541*15)^(-0.146))*BM27/3.78541*15*300*(1+(AF27-2)/9)</f>
        <v>41160.226408857045</v>
      </c>
      <c r="ED27">
        <f>0.248*((BM27/3.78541*15)^(-0.144))*BM27/3.78541*15*300*(1+(AF27-2)/3)</f>
        <v>38811.239454126779</v>
      </c>
      <c r="EE27">
        <f>0.105*((BM27/3.78541*15)^(-0.144))*BM27/3.78541*15*300*(1+(AF27-2)/3)</f>
        <v>16432.17799469077</v>
      </c>
      <c r="EF27">
        <f>0.058*((BM27/3.78541*15)^(-0.151))*BM27/3.78541*15*300*(1+(AF27-2)/3)</f>
        <v>8709.3972486977145</v>
      </c>
      <c r="EG27">
        <f>0.056*((BM27/3.78541*15)^(-0.144))*BM27/3.78541*15*300*(1+(AF27-2)/3)</f>
        <v>8763.8282638350811</v>
      </c>
      <c r="EH27">
        <f>DS27*DU27/(3.6*10^6)*3600*7200*0.07</f>
        <v>427.44785403088895</v>
      </c>
      <c r="EI27">
        <f>SUM(DW27:EH27)</f>
        <v>194858.1199785675</v>
      </c>
      <c r="EJ27">
        <f>EI27+DR27+DL27</f>
        <v>16752337.784376156</v>
      </c>
      <c r="EK27">
        <f>EJ27+DF27</f>
        <v>17430342.501704529</v>
      </c>
      <c r="EL27">
        <f>EK27/(BK27*60*7200)</f>
        <v>0.40348015050241964</v>
      </c>
      <c r="EM27">
        <f>EK27/(BM27*(AM27*195.084/1000+AN27*106.42/1000+AO27*102.911/1000)*60*7200)</f>
        <v>1349.730183053452</v>
      </c>
      <c r="EN27">
        <f>EK27/(BN27*BA27*(AP27*195.084/1000+AQ27*106.42/1000+AR27*102.911/1000)*60*7200)</f>
        <v>2473.9361675897831</v>
      </c>
    </row>
    <row r="28" spans="1:144">
      <c r="A28">
        <f>'Costing 100 Lmin Feed Orig'!A28</f>
        <v>5</v>
      </c>
      <c r="B28">
        <f>'Costing 100 Lmin Feed Orig'!B28</f>
        <v>1.54143585092054E-3</v>
      </c>
      <c r="C28">
        <f>'Costing 100 Lmin Feed Orig'!C28</f>
        <v>1.54143585092054E-3</v>
      </c>
      <c r="D28">
        <f>'Costing 100 Lmin Feed Orig'!D28</f>
        <v>3.4254130020456501E-4</v>
      </c>
      <c r="E28">
        <f>'Costing 100 Lmin Feed Orig'!E28</f>
        <v>0</v>
      </c>
      <c r="F28">
        <f>'Costing 100 Lmin Feed Orig'!F28</f>
        <v>0</v>
      </c>
      <c r="G28">
        <f>'Costing 100 Lmin Feed Orig'!G28</f>
        <v>0</v>
      </c>
      <c r="H28">
        <f>'Costing 100 Lmin Feed Orig'!H28</f>
        <v>1.7558377832426001E-5</v>
      </c>
      <c r="I28">
        <f>'Costing 100 Lmin Feed Orig'!I28</f>
        <v>1.05063644964669E-7</v>
      </c>
      <c r="J28">
        <f>'Costing 100 Lmin Feed Orig'!J28</f>
        <v>3.35605387572801E-4</v>
      </c>
      <c r="K28">
        <f>'Costing 100 Lmin Feed Orig'!K28</f>
        <v>0.12557893497872399</v>
      </c>
      <c r="L28">
        <f>'Costing 100 Lmin Feed Orig'!L28</f>
        <v>0.12701721899235199</v>
      </c>
      <c r="M28">
        <f>'Costing 100 Lmin Feed Orig'!M28</f>
        <v>5.7157122982957897E-4</v>
      </c>
      <c r="N28">
        <f>'Costing 100 Lmin Feed Orig'!N28</f>
        <v>-1.88000656708986E-16</v>
      </c>
      <c r="O28">
        <f>'Costing 100 Lmin Feed Orig'!O28</f>
        <v>-6.2354635343986299E-15</v>
      </c>
      <c r="P28">
        <f>'Costing 100 Lmin Feed Orig'!P28</f>
        <v>-1.51703600853245E-18</v>
      </c>
      <c r="Q28">
        <f>'Costing 100 Lmin Feed Orig'!Q28</f>
        <v>0.121348176216534</v>
      </c>
      <c r="R28">
        <f>'Costing 100 Lmin Feed Orig'!R28</f>
        <v>97.975160184298204</v>
      </c>
      <c r="S28">
        <f>'Costing 100 Lmin Feed Orig'!S28</f>
        <v>500</v>
      </c>
      <c r="T28">
        <f>'Costing 100 Lmin Feed Orig'!T28</f>
        <v>95</v>
      </c>
      <c r="U28">
        <f>'Costing 100 Lmin Feed Orig'!U28</f>
        <v>1</v>
      </c>
      <c r="V28">
        <f>'Costing 100 Lmin Feed Orig'!V28</f>
        <v>0.1</v>
      </c>
      <c r="W28">
        <f>'Costing 100 Lmin Feed Orig'!W28</f>
        <v>82.407501388038199</v>
      </c>
      <c r="X28" t="str">
        <f>'Costing 100 Lmin Feed Orig'!X28</f>
        <v>ddFc</v>
      </c>
      <c r="Y28">
        <f>'Costing 100 Lmin Feed Orig'!Y28</f>
        <v>1</v>
      </c>
      <c r="Z28">
        <f>'Costing 100 Lmin Feed Orig'!Z28</f>
        <v>0.28318429382522198</v>
      </c>
      <c r="AA28">
        <f>'Costing 100 Lmin Feed Orig'!AA28</f>
        <v>0.56945642916197003</v>
      </c>
      <c r="AB28">
        <f>'Costing 100 Lmin Feed Orig'!AB28</f>
        <v>3.7698628972227502E-3</v>
      </c>
      <c r="AC28">
        <f>'Costing 100 Lmin Feed Orig'!AC28</f>
        <v>1822.2107908876901</v>
      </c>
      <c r="AD28">
        <f>'Costing 100 Lmin Feed Orig'!AD28</f>
        <v>2662.6059073104898</v>
      </c>
      <c r="AE28">
        <f>'Costing 100 Lmin Feed Orig'!AE28</f>
        <v>2401.5030938442701</v>
      </c>
      <c r="AF28">
        <f>'Costing 100 Lmin Feed Orig'!AF28</f>
        <v>10</v>
      </c>
      <c r="AG28">
        <f>'Costing 100 Lmin Feed Orig'!AG28</f>
        <v>1.64912412966352E-3</v>
      </c>
      <c r="AH28">
        <f>'Costing 100 Lmin Feed Orig'!AH28</f>
        <v>1.66801192221077E-3</v>
      </c>
      <c r="AI28">
        <f>'Costing 100 Lmin Feed Orig'!AI28</f>
        <v>7.5059714998626504E-6</v>
      </c>
      <c r="AJ28">
        <f>'Costing 100 Lmin Feed Orig'!AJ28</f>
        <v>0</v>
      </c>
      <c r="AK28">
        <f>'Costing 100 Lmin Feed Orig'!AK28</f>
        <v>0</v>
      </c>
      <c r="AL28">
        <f>'Costing 100 Lmin Feed Orig'!AL28</f>
        <v>0</v>
      </c>
      <c r="AM28">
        <f>'Costing 100 Lmin Feed Orig'!AM28</f>
        <v>1.6121362331363101E-3</v>
      </c>
      <c r="AN28">
        <f>'Costing 100 Lmin Feed Orig'!AN28</f>
        <v>7.7392739668893999E-5</v>
      </c>
      <c r="AO28">
        <f>'Costing 100 Lmin Feed Orig'!AO28</f>
        <v>7.4565357583961302E-6</v>
      </c>
      <c r="AP28">
        <f>'Costing 100 Lmin Feed Orig'!AP28</f>
        <v>1.73286538721668E-3</v>
      </c>
      <c r="AQ28">
        <f>'Costing 100 Lmin Feed Orig'!AQ28</f>
        <v>7.4519753455558904E-2</v>
      </c>
      <c r="AR28">
        <f>'Costing 100 Lmin Feed Orig'!AR28</f>
        <v>2.3160410123781799E-6</v>
      </c>
      <c r="AS28">
        <f>'Costing 100 Lmin Feed Orig'!AS28</f>
        <v>1.6048882329425901E-14</v>
      </c>
      <c r="AT28">
        <f>'Costing 100 Lmin Feed Orig'!AT28</f>
        <v>-1.6442669708433E-12</v>
      </c>
      <c r="AU28">
        <f>'Costing 100 Lmin Feed Orig'!AU28</f>
        <v>1.7745340244977501E-19</v>
      </c>
      <c r="AV28">
        <f>'Costing 100 Lmin Feed Orig'!AV28</f>
        <v>0.19723841758619901</v>
      </c>
      <c r="AW28">
        <f>'Costing 100 Lmin Feed Orig'!AW28</f>
        <v>99.341381172744505</v>
      </c>
      <c r="AX28">
        <f>'Costing 100 Lmin Feed Orig'!AX28</f>
        <v>500</v>
      </c>
      <c r="AY28">
        <f>'Costing 100 Lmin Feed Orig'!AY28</f>
        <v>95</v>
      </c>
      <c r="AZ28">
        <f>'Costing 100 Lmin Feed Orig'!AZ28</f>
        <v>0.92405262022284995</v>
      </c>
      <c r="BA28">
        <f>'Costing 100 Lmin Feed Orig'!BA28</f>
        <v>0.1</v>
      </c>
      <c r="BB28">
        <f>'Costing 100 Lmin Feed Orig'!BB28</f>
        <v>46.849525134676597</v>
      </c>
      <c r="BC28" t="str">
        <f>'Costing 100 Lmin Feed Orig'!BC28</f>
        <v>coeFc</v>
      </c>
      <c r="BD28">
        <f>'Costing 100 Lmin Feed Orig'!BD28</f>
        <v>1</v>
      </c>
      <c r="BE28">
        <f>'Costing 100 Lmin Feed Orig'!BE28</f>
        <v>1.8775014999999999E-2</v>
      </c>
      <c r="BF28">
        <f>'Costing 100 Lmin Feed Orig'!BF28</f>
        <v>0.10492961100000001</v>
      </c>
      <c r="BG28">
        <f>'Costing 100 Lmin Feed Orig'!BG28</f>
        <v>1.814625E-3</v>
      </c>
      <c r="BH28">
        <f>'Costing 100 Lmin Feed Orig'!BH28</f>
        <v>285.1951444</v>
      </c>
      <c r="BI28">
        <f>'Costing 100 Lmin Feed Orig'!BI28</f>
        <v>2169.8944889999998</v>
      </c>
      <c r="BJ28">
        <f>'Costing 100 Lmin Feed Orig'!BJ28</f>
        <v>866.49409060000005</v>
      </c>
      <c r="BK28">
        <f>'Costing 100 Lmin Feed Orig'!BK28</f>
        <v>100</v>
      </c>
      <c r="BL28">
        <f>'Costing 100 Lmin Feed Orig'!BL28</f>
        <v>12.134817621653401</v>
      </c>
      <c r="BM28">
        <f>'Costing 100 Lmin Feed Orig'!BM28</f>
        <v>92.405262022285001</v>
      </c>
      <c r="BN28">
        <f>'Costing 100 Lmin Feed Orig'!BN28</f>
        <v>19.723841758619901</v>
      </c>
      <c r="BO28">
        <f t="shared" si="1"/>
        <v>169.88744670314762</v>
      </c>
      <c r="BP28">
        <f t="shared" si="2"/>
        <v>473.37220220687766</v>
      </c>
      <c r="BQ28">
        <f t="shared" si="3"/>
        <v>16.988744670314762</v>
      </c>
      <c r="BR28">
        <f t="shared" si="4"/>
        <v>47.337220220687769</v>
      </c>
      <c r="BS28">
        <f>1.2*0.5*BL28*V28/'Oxidant Feed Composition'!$N$22</f>
        <v>7.2808905729920399</v>
      </c>
      <c r="BT28">
        <f>1.2*0.5*BN28*BA28/'Oxidant Feed Composition'!$N$22</f>
        <v>11.83430505517194</v>
      </c>
      <c r="BU28">
        <f t="shared" si="5"/>
        <v>6.0674088108267004</v>
      </c>
      <c r="BV28">
        <f t="shared" si="6"/>
        <v>9.8619208793099506</v>
      </c>
      <c r="BW28">
        <f t="shared" si="7"/>
        <v>86.337853211458295</v>
      </c>
      <c r="BX28">
        <f t="shared" si="0"/>
        <v>38.831416389290879</v>
      </c>
      <c r="BY28">
        <f t="shared" si="8"/>
        <v>209.0801592878768</v>
      </c>
      <c r="BZ28">
        <f t="shared" si="9"/>
        <v>63.116293627583687</v>
      </c>
      <c r="CA28">
        <f t="shared" si="10"/>
        <v>59.171525275859707</v>
      </c>
      <c r="CB28">
        <f>BO28*'Reagent cost'!$G$11*'Reagent cost'!$H$11</f>
        <v>2242.5142964815486</v>
      </c>
      <c r="CC28">
        <f>BP28*'Reagent cost'!$G$11*'Reagent cost'!$H$11</f>
        <v>6248.5130691307859</v>
      </c>
      <c r="CD28">
        <f>BQ28*'Reagent cost'!$C$18/1000*'Reagent cost'!$H$18</f>
        <v>2709.3726906065185</v>
      </c>
      <c r="CE28">
        <f>BR28*'Ligand cost'!$B$56*'Ligand cost'!$J$56</f>
        <v>48195.336659432556</v>
      </c>
      <c r="CF28">
        <f t="shared" si="11"/>
        <v>10</v>
      </c>
      <c r="CG28">
        <f t="shared" si="12"/>
        <v>2.4269635243306804</v>
      </c>
      <c r="CH28">
        <f t="shared" si="12"/>
        <v>3.9447683517239804</v>
      </c>
      <c r="CI28">
        <f>7963.6*(BX28/1000)^0.6*1.7*('CAPEX+OPEX'!$G$116/'CAPEX+OPEX'!$G$115)</f>
        <v>2273.7926954959794</v>
      </c>
      <c r="CJ28">
        <f>7963.6*(BY28/1000)^0.6*1.7*('CAPEX+OPEX'!$G$116/'CAPEX+OPEX'!$G$115)</f>
        <v>6243.5072626595684</v>
      </c>
      <c r="CK28">
        <f>7963.6*(BZ28/1000)^0.6*1.7*('CAPEX+OPEX'!$G$116/'CAPEX+OPEX'!$G$115)</f>
        <v>3043.167243878931</v>
      </c>
      <c r="CL28">
        <f>7963.6*(CA28/1000)^0.6*1.7*('CAPEX+OPEX'!$G$116/'CAPEX+OPEX'!$G$115)</f>
        <v>2927.5787520654831</v>
      </c>
      <c r="CM28">
        <f>'Costing 100 Lmin Feed Orig'!DE28</f>
        <v>39625.826528698344</v>
      </c>
      <c r="CN28">
        <f>'Costing 100 Lmin Feed Orig'!DF28</f>
        <v>4586243.4239371875</v>
      </c>
      <c r="CO28">
        <f>'Costing 100 Lmin Feed Orig'!DG28</f>
        <v>11794834.586807497</v>
      </c>
      <c r="CP28">
        <f>'Costing 100 Lmin Feed Orig'!DH28</f>
        <v>2275209.1661185985</v>
      </c>
      <c r="CQ28">
        <f>'Costing 100 Lmin Feed Orig'!DI28</f>
        <v>14083914.336508472</v>
      </c>
      <c r="CR28">
        <f>'Costing 100 Lmin Feed Orig'!DJ28</f>
        <v>1662824.8986326549</v>
      </c>
      <c r="CS28">
        <f>CN28*(BK28/10000)^0.72*((A28+1)/3)^0.6*('CAPEX+OPEX'!$G$116/'CAPEX+OPEX'!$G$114)</f>
        <v>589054.93036564998</v>
      </c>
      <c r="CT28">
        <f>CO28*(BK28/10000)^0.72*((A28+1)/3)^0.6*('CAPEX+OPEX'!$G$116/'CAPEX+OPEX'!$G$114)</f>
        <v>1514922.9606835202</v>
      </c>
      <c r="CU28">
        <f>CP28*(BK28/10000)^0.72*((A28+1)/3)^0.6*('CAPEX+OPEX'!$G$116/'CAPEX+OPEX'!$G$114)</f>
        <v>292226.78628879401</v>
      </c>
      <c r="CV28">
        <f>CQ28*(BK28/10000)^0.72*((A28+1)/3)^0.6*('CAPEX+OPEX'!$G$116/'CAPEX+OPEX'!$G$114)</f>
        <v>1808931.2781495745</v>
      </c>
      <c r="CW28">
        <f>CR28*(BK28/10000)^0.72*((A28+1)/3)^0.6*('CAPEX+OPEX'!$G$116/'CAPEX+OPEX'!$G$114)</f>
        <v>213572.44139332071</v>
      </c>
      <c r="CX28">
        <f t="shared" si="13"/>
        <v>4418708.3968808586</v>
      </c>
      <c r="CY28">
        <f>CN28*(BM28/10000)^0.72*((AF28+1)/3)^0.6*('CAPEX+OPEX'!$G$116/'CAPEX+OPEX'!$G$114)</f>
        <v>800575.47606687353</v>
      </c>
      <c r="CZ28">
        <f>CO28*(BM28/10000)^0.72*((AF28+1)/3)^0.6*('CAPEX+OPEX'!$G$116/'CAPEX+OPEX'!$G$114)</f>
        <v>2058908.4445842884</v>
      </c>
      <c r="DA28">
        <f>CP28*(BM28/10000)^0.72*((AF28+1)/3)^0.6*('CAPEX+OPEX'!$G$116/'CAPEX+OPEX'!$G$114)</f>
        <v>397160.92081161588</v>
      </c>
      <c r="DB28">
        <f>CQ28*(BM28/10000)^0.72*((AF28+1)/3)^0.6*('CAPEX+OPEX'!$G$116/'CAPEX+OPEX'!$G$114)</f>
        <v>2458490.6169580934</v>
      </c>
      <c r="DC28">
        <f>CR28*(BM28/10000)^0.72*((AF28+1)/3)^0.6*('CAPEX+OPEX'!$G$116/'CAPEX+OPEX'!$G$114)</f>
        <v>290263.0130556543</v>
      </c>
      <c r="DD28">
        <f t="shared" si="14"/>
        <v>6005398.4714765251</v>
      </c>
      <c r="DE28">
        <f>CX28+DD28+1.15*(SUM(CI28:CL28)+SUM(CB28:CE28))</f>
        <v>10509073.218427597</v>
      </c>
      <c r="DF28">
        <f t="shared" si="15"/>
        <v>700604.88122850645</v>
      </c>
      <c r="DG28">
        <f>(BS28+BT28)*'Oxidant Feed Composition'!$N$29*60*7200</f>
        <v>9536025.1689038686</v>
      </c>
      <c r="DH28">
        <f>((CG28+CH28)*'Reagent cost'!$C$17/1000*'Reagent cost'!$H$17+(CG28+CH28)*0.5*'Reagent cost'!$C$16/1000*'Reagent cost'!$H$16*0.5)*60*7200</f>
        <v>3228386.7986597186</v>
      </c>
      <c r="DI28">
        <f>CF28*'Reagent cost'!$C$17/1000*'Reagent cost'!$H$17*60*7200</f>
        <v>504921.59999999998</v>
      </c>
      <c r="DJ28">
        <f t="shared" si="16"/>
        <v>84.910273656123351</v>
      </c>
      <c r="DK28">
        <f t="shared" si="17"/>
        <v>1018.0941870007815</v>
      </c>
      <c r="DL28">
        <f t="shared" si="18"/>
        <v>15924523.886429094</v>
      </c>
      <c r="DM28">
        <f>BK28*(B28*(409.81+2)/1000+C28*(248.2+2*22.99)/1000+D28*(315.6+3*22.99)/1000+0.1*58.44/1000)</f>
        <v>0.70639694042110623</v>
      </c>
      <c r="DN28">
        <f>(BS28+BT28)/1000*('Oxidant Feed Composition'!$B$11*'Oxidant Feed Composition'!$O$20+'Oxidant Feed Composition'!$D$11*'Oxidant Feed Composition'!$O$21+'Oxidant Feed Composition'!$F$11*'Oxidant Feed Composition'!$O$27-'Oxidant Feed Composition'!$J$15*18.015)</f>
        <v>2.2323593284451411</v>
      </c>
      <c r="DO28">
        <f>(BU28+BV28)/1000*(0.2*368.34+0.4*58.44)</f>
        <v>1.5458458704496212</v>
      </c>
      <c r="DP28">
        <f>BK28/1000*(B28*195.08+C28*106.42+D28*102.91)</f>
        <v>4.999938342565946E-2</v>
      </c>
      <c r="DQ28">
        <f>SUM(DM28:DO28)-DP28</f>
        <v>4.4346027558902081</v>
      </c>
      <c r="DR28">
        <f>DQ28*60*7200*0.33</f>
        <v>632196.96887970809</v>
      </c>
      <c r="DS28">
        <v>1.2</v>
      </c>
      <c r="DT28">
        <f>BM28/60*(AM28*4+AN28*2+AO28*3)*96485/DV28</f>
        <v>1406.4975590407691</v>
      </c>
      <c r="DU28">
        <f>BN28*BA28*(AP28*4+AQ28*2+AR28*3)*96485/DV28/60</f>
        <v>706.74889069113362</v>
      </c>
      <c r="DV28">
        <v>0.7</v>
      </c>
      <c r="DW28">
        <f>0.499*((BK28/3.78541*15)^(-0.146))*BK28/3.78541*15*300*(1+(A28-2)/9)</f>
        <v>33024.331428945443</v>
      </c>
      <c r="DX28">
        <f>0.248*((BK28/3.78541*15)^(-0.144))*BK28/3.78541*15*300*(1+(A28-2)/3)</f>
        <v>24915.659383376755</v>
      </c>
      <c r="DY28">
        <f>0.105*((BK28/3.78541*15)^(-0.144))*BK28/3.78541*15*300*(1+(A28-2)/3)</f>
        <v>10548.968690542577</v>
      </c>
      <c r="DZ28">
        <f>0.058*((BK28/3.78541*15)^(-0.151))*BK28/3.78541*15*300*(1+(A28-2)/3)</f>
        <v>5588.0830181845758</v>
      </c>
      <c r="EA28">
        <f>0.056*((BK28/3.78541*15)^(-0.144))*BK28/3.78541*15*300*(1+(A28-2)/3)</f>
        <v>5626.1166349560426</v>
      </c>
      <c r="EB28">
        <f>DS28*DT28/(3.6*10^6)*3600*7200*0.07</f>
        <v>850.64972370785733</v>
      </c>
      <c r="EC28">
        <f>0.499*((BM28/3.78541*15)^(-0.146))*BM28/3.78541*15*300*(1+(AF28-2)/9)</f>
        <v>43732.740559410609</v>
      </c>
      <c r="ED28">
        <f>0.248*((BM28/3.78541*15)^(-0.144))*BM28/3.78541*15*300*(1+(AF28-2)/3)</f>
        <v>42692.363399539456</v>
      </c>
      <c r="EE28">
        <f>0.105*((BM28/3.78541*15)^(-0.144))*BM28/3.78541*15*300*(1+(AF28-2)/3)</f>
        <v>18075.395794159842</v>
      </c>
      <c r="EF28">
        <f>0.058*((BM28/3.78541*15)^(-0.151))*BM28/3.78541*15*300*(1+(AF28-2)/3)</f>
        <v>9580.336973567486</v>
      </c>
      <c r="EG28">
        <f>0.056*((BM28/3.78541*15)^(-0.144))*BM28/3.78541*15*300*(1+(AF28-2)/3)</f>
        <v>9640.2110902185887</v>
      </c>
      <c r="EH28">
        <f>DS28*DU28/(3.6*10^6)*3600*7200*0.07</f>
        <v>427.44172908999764</v>
      </c>
      <c r="EI28">
        <f>SUM(DW28:EH28)</f>
        <v>204702.29842569926</v>
      </c>
      <c r="EJ28">
        <f>EI28+DR28+DL28</f>
        <v>16761423.153734501</v>
      </c>
      <c r="EK28">
        <f>EJ28+DF28</f>
        <v>17462028.034963008</v>
      </c>
      <c r="EL28">
        <f>EK28/(BK28*60*7200)</f>
        <v>0.40421361192043997</v>
      </c>
      <c r="EM28">
        <f>EK28/(BM28*(AM28*195.084/1000+AN28*106.42/1000+AO28*102.911/1000)*60*7200)</f>
        <v>1352.1740280832291</v>
      </c>
      <c r="EN28">
        <f>EK28/(BN28*BA28*(AP28*195.084/1000+AQ28*106.42/1000+AR28*102.911/1000)*60*7200)</f>
        <v>2478.4661201652098</v>
      </c>
    </row>
    <row r="29" spans="1:144">
      <c r="A29">
        <f>'Costing 100 Lmin Feed Orig'!A29</f>
        <v>5</v>
      </c>
      <c r="B29">
        <f>'Costing 100 Lmin Feed Orig'!B29</f>
        <v>1.54143585092054E-3</v>
      </c>
      <c r="C29">
        <f>'Costing 100 Lmin Feed Orig'!C29</f>
        <v>1.54143585092054E-3</v>
      </c>
      <c r="D29">
        <f>'Costing 100 Lmin Feed Orig'!D29</f>
        <v>3.4254130020456501E-4</v>
      </c>
      <c r="E29">
        <f>'Costing 100 Lmin Feed Orig'!E29</f>
        <v>0</v>
      </c>
      <c r="F29">
        <f>'Costing 100 Lmin Feed Orig'!F29</f>
        <v>0</v>
      </c>
      <c r="G29">
        <f>'Costing 100 Lmin Feed Orig'!G29</f>
        <v>0</v>
      </c>
      <c r="H29">
        <f>'Costing 100 Lmin Feed Orig'!H29</f>
        <v>1.7558377832426001E-5</v>
      </c>
      <c r="I29">
        <f>'Costing 100 Lmin Feed Orig'!I29</f>
        <v>1.05063644964669E-7</v>
      </c>
      <c r="J29">
        <f>'Costing 100 Lmin Feed Orig'!J29</f>
        <v>3.35605387572801E-4</v>
      </c>
      <c r="K29">
        <f>'Costing 100 Lmin Feed Orig'!K29</f>
        <v>0.12557893497872399</v>
      </c>
      <c r="L29">
        <f>'Costing 100 Lmin Feed Orig'!L29</f>
        <v>0.12701721899235199</v>
      </c>
      <c r="M29">
        <f>'Costing 100 Lmin Feed Orig'!M29</f>
        <v>5.7157122982957897E-4</v>
      </c>
      <c r="N29">
        <f>'Costing 100 Lmin Feed Orig'!N29</f>
        <v>-1.88000656708986E-16</v>
      </c>
      <c r="O29">
        <f>'Costing 100 Lmin Feed Orig'!O29</f>
        <v>-6.2354635343986299E-15</v>
      </c>
      <c r="P29">
        <f>'Costing 100 Lmin Feed Orig'!P29</f>
        <v>-1.51703600853245E-18</v>
      </c>
      <c r="Q29">
        <f>'Costing 100 Lmin Feed Orig'!Q29</f>
        <v>0.121348176216534</v>
      </c>
      <c r="R29">
        <f>'Costing 100 Lmin Feed Orig'!R29</f>
        <v>97.975160184298204</v>
      </c>
      <c r="S29">
        <f>'Costing 100 Lmin Feed Orig'!S29</f>
        <v>500</v>
      </c>
      <c r="T29">
        <f>'Costing 100 Lmin Feed Orig'!T29</f>
        <v>95</v>
      </c>
      <c r="U29">
        <f>'Costing 100 Lmin Feed Orig'!U29</f>
        <v>1</v>
      </c>
      <c r="V29">
        <f>'Costing 100 Lmin Feed Orig'!V29</f>
        <v>0.1</v>
      </c>
      <c r="W29">
        <f>'Costing 100 Lmin Feed Orig'!W29</f>
        <v>82.407501388038199</v>
      </c>
      <c r="X29" t="str">
        <f>'Costing 100 Lmin Feed Orig'!X29</f>
        <v>ddFc</v>
      </c>
      <c r="Y29">
        <f>'Costing 100 Lmin Feed Orig'!Y29</f>
        <v>1</v>
      </c>
      <c r="Z29">
        <f>'Costing 100 Lmin Feed Orig'!Z29</f>
        <v>0.28318429382522198</v>
      </c>
      <c r="AA29">
        <f>'Costing 100 Lmin Feed Orig'!AA29</f>
        <v>0.56945642916197003</v>
      </c>
      <c r="AB29">
        <f>'Costing 100 Lmin Feed Orig'!AB29</f>
        <v>3.7698628972227502E-3</v>
      </c>
      <c r="AC29">
        <f>'Costing 100 Lmin Feed Orig'!AC29</f>
        <v>1822.2107908876901</v>
      </c>
      <c r="AD29">
        <f>'Costing 100 Lmin Feed Orig'!AD29</f>
        <v>2662.6059073104898</v>
      </c>
      <c r="AE29">
        <f>'Costing 100 Lmin Feed Orig'!AE29</f>
        <v>2401.5030938442701</v>
      </c>
      <c r="AF29">
        <f>'Costing 100 Lmin Feed Orig'!AF29</f>
        <v>11</v>
      </c>
      <c r="AG29">
        <f>'Costing 100 Lmin Feed Orig'!AG29</f>
        <v>1.64912412966352E-3</v>
      </c>
      <c r="AH29">
        <f>'Costing 100 Lmin Feed Orig'!AH29</f>
        <v>1.66801192221077E-3</v>
      </c>
      <c r="AI29">
        <f>'Costing 100 Lmin Feed Orig'!AI29</f>
        <v>7.5059714998626504E-6</v>
      </c>
      <c r="AJ29">
        <f>'Costing 100 Lmin Feed Orig'!AJ29</f>
        <v>0</v>
      </c>
      <c r="AK29">
        <f>'Costing 100 Lmin Feed Orig'!AK29</f>
        <v>0</v>
      </c>
      <c r="AL29">
        <f>'Costing 100 Lmin Feed Orig'!AL29</f>
        <v>0</v>
      </c>
      <c r="AM29">
        <f>'Costing 100 Lmin Feed Orig'!AM29</f>
        <v>1.6121395083820099E-3</v>
      </c>
      <c r="AN29">
        <f>'Costing 100 Lmin Feed Orig'!AN29</f>
        <v>7.7392907855296494E-5</v>
      </c>
      <c r="AO29">
        <f>'Costing 100 Lmin Feed Orig'!AO29</f>
        <v>7.4565399542604097E-6</v>
      </c>
      <c r="AP29">
        <f>'Costing 100 Lmin Feed Orig'!AP29</f>
        <v>1.73275480734907E-3</v>
      </c>
      <c r="AQ29">
        <f>'Costing 100 Lmin Feed Orig'!AQ29</f>
        <v>7.4521588927651899E-2</v>
      </c>
      <c r="AR29">
        <f>'Costing 100 Lmin Feed Orig'!AR29</f>
        <v>2.3159017264239102E-6</v>
      </c>
      <c r="AS29">
        <f>'Costing 100 Lmin Feed Orig'!AS29</f>
        <v>3.11708124589582E-19</v>
      </c>
      <c r="AT29">
        <f>'Costing 100 Lmin Feed Orig'!AT29</f>
        <v>-5.4210108624275199E-18</v>
      </c>
      <c r="AU29">
        <f>'Costing 100 Lmin Feed Orig'!AU29</f>
        <v>1.34334131478611E-21</v>
      </c>
      <c r="AV29">
        <f>'Costing 100 Lmin Feed Orig'!AV29</f>
        <v>0.197233538514378</v>
      </c>
      <c r="AW29">
        <f>'Costing 100 Lmin Feed Orig'!AW29</f>
        <v>99.3414370730938</v>
      </c>
      <c r="AX29">
        <f>'Costing 100 Lmin Feed Orig'!AX29</f>
        <v>500</v>
      </c>
      <c r="AY29">
        <f>'Costing 100 Lmin Feed Orig'!AY29</f>
        <v>95</v>
      </c>
      <c r="AZ29">
        <f>'Costing 100 Lmin Feed Orig'!AZ29</f>
        <v>0.92405262022284995</v>
      </c>
      <c r="BA29">
        <f>'Costing 100 Lmin Feed Orig'!BA29</f>
        <v>0.1</v>
      </c>
      <c r="BB29">
        <f>'Costing 100 Lmin Feed Orig'!BB29</f>
        <v>46.850684076505999</v>
      </c>
      <c r="BC29" t="str">
        <f>'Costing 100 Lmin Feed Orig'!BC29</f>
        <v>coeFc</v>
      </c>
      <c r="BD29">
        <f>'Costing 100 Lmin Feed Orig'!BD29</f>
        <v>1</v>
      </c>
      <c r="BE29">
        <f>'Costing 100 Lmin Feed Orig'!BE29</f>
        <v>1.8775014999999999E-2</v>
      </c>
      <c r="BF29">
        <f>'Costing 100 Lmin Feed Orig'!BF29</f>
        <v>0.10492961100000001</v>
      </c>
      <c r="BG29">
        <f>'Costing 100 Lmin Feed Orig'!BG29</f>
        <v>1.814625E-3</v>
      </c>
      <c r="BH29">
        <f>'Costing 100 Lmin Feed Orig'!BH29</f>
        <v>285.1951444</v>
      </c>
      <c r="BI29">
        <f>'Costing 100 Lmin Feed Orig'!BI29</f>
        <v>2169.8944889999998</v>
      </c>
      <c r="BJ29">
        <f>'Costing 100 Lmin Feed Orig'!BJ29</f>
        <v>866.49409060000005</v>
      </c>
      <c r="BK29">
        <f>'Costing 100 Lmin Feed Orig'!BK29</f>
        <v>100</v>
      </c>
      <c r="BL29">
        <f>'Costing 100 Lmin Feed Orig'!BL29</f>
        <v>12.134817621653401</v>
      </c>
      <c r="BM29">
        <f>'Costing 100 Lmin Feed Orig'!BM29</f>
        <v>92.405262022285001</v>
      </c>
      <c r="BN29">
        <f>'Costing 100 Lmin Feed Orig'!BN29</f>
        <v>19.7233538514378</v>
      </c>
      <c r="BO29">
        <f t="shared" si="1"/>
        <v>169.88744670314762</v>
      </c>
      <c r="BP29">
        <f t="shared" si="2"/>
        <v>512.80720013738278</v>
      </c>
      <c r="BQ29">
        <f t="shared" si="3"/>
        <v>16.988744670314762</v>
      </c>
      <c r="BR29">
        <f t="shared" si="4"/>
        <v>51.280720013738282</v>
      </c>
      <c r="BS29">
        <f>1.2*0.5*BL29*V29/'Oxidant Feed Composition'!$N$22</f>
        <v>7.2808905729920399</v>
      </c>
      <c r="BT29">
        <f>1.2*0.5*BN29*BA29/'Oxidant Feed Composition'!$N$22</f>
        <v>11.834012310862679</v>
      </c>
      <c r="BU29">
        <f t="shared" si="5"/>
        <v>6.0674088108267004</v>
      </c>
      <c r="BV29">
        <f t="shared" si="6"/>
        <v>9.8616769257188999</v>
      </c>
      <c r="BW29">
        <f t="shared" si="7"/>
        <v>86.337853211458295</v>
      </c>
      <c r="BX29">
        <f t="shared" si="0"/>
        <v>38.831416389290879</v>
      </c>
      <c r="BY29">
        <f t="shared" si="8"/>
        <v>209.0801592878768</v>
      </c>
      <c r="BZ29">
        <f t="shared" si="9"/>
        <v>63.114732324600958</v>
      </c>
      <c r="CA29">
        <f t="shared" si="10"/>
        <v>59.170061554313399</v>
      </c>
      <c r="CB29">
        <f>BO29*'Reagent cost'!$G$11*'Reagent cost'!$H$11</f>
        <v>2242.5142964815486</v>
      </c>
      <c r="CC29">
        <f>BP29*'Reagent cost'!$G$11*'Reagent cost'!$H$11</f>
        <v>6769.0550418134535</v>
      </c>
      <c r="CD29">
        <f>BQ29*'Reagent cost'!$C$18/1000*'Reagent cost'!$H$18</f>
        <v>2709.3726906065185</v>
      </c>
      <c r="CE29">
        <f>BR29*'Ligand cost'!$B$56*'Ligand cost'!$J$56</f>
        <v>52210.323159620224</v>
      </c>
      <c r="CF29">
        <f t="shared" si="11"/>
        <v>10</v>
      </c>
      <c r="CG29">
        <f t="shared" si="12"/>
        <v>2.4269635243306804</v>
      </c>
      <c r="CH29">
        <f t="shared" si="12"/>
        <v>3.9446707702875603</v>
      </c>
      <c r="CI29">
        <f>7963.6*(BX29/1000)^0.6*1.7*('CAPEX+OPEX'!$G$116/'CAPEX+OPEX'!$G$115)</f>
        <v>2273.7926954959794</v>
      </c>
      <c r="CJ29">
        <f>7963.6*(BY29/1000)^0.6*1.7*('CAPEX+OPEX'!$G$116/'CAPEX+OPEX'!$G$115)</f>
        <v>6243.5072626595684</v>
      </c>
      <c r="CK29">
        <f>7963.6*(BZ29/1000)^0.6*1.7*('CAPEX+OPEX'!$G$116/'CAPEX+OPEX'!$G$115)</f>
        <v>3043.1220764966729</v>
      </c>
      <c r="CL29">
        <f>7963.6*(CA29/1000)^0.6*1.7*('CAPEX+OPEX'!$G$116/'CAPEX+OPEX'!$G$115)</f>
        <v>2927.5353002739821</v>
      </c>
      <c r="CM29">
        <f>'Costing 100 Lmin Feed Orig'!DE29</f>
        <v>39625.826528698344</v>
      </c>
      <c r="CN29">
        <f>'Costing 100 Lmin Feed Orig'!DF29</f>
        <v>4586243.4239371875</v>
      </c>
      <c r="CO29">
        <f>'Costing 100 Lmin Feed Orig'!DG29</f>
        <v>11794834.586807497</v>
      </c>
      <c r="CP29">
        <f>'Costing 100 Lmin Feed Orig'!DH29</f>
        <v>2275209.1661185985</v>
      </c>
      <c r="CQ29">
        <f>'Costing 100 Lmin Feed Orig'!DI29</f>
        <v>14083914.336508472</v>
      </c>
      <c r="CR29">
        <f>'Costing 100 Lmin Feed Orig'!DJ29</f>
        <v>1662824.8986326549</v>
      </c>
      <c r="CS29">
        <f>CN29*(BK29/10000)^0.72*((A29+1)/3)^0.6*('CAPEX+OPEX'!$G$116/'CAPEX+OPEX'!$G$114)</f>
        <v>589054.93036564998</v>
      </c>
      <c r="CT29">
        <f>CO29*(BK29/10000)^0.72*((A29+1)/3)^0.6*('CAPEX+OPEX'!$G$116/'CAPEX+OPEX'!$G$114)</f>
        <v>1514922.9606835202</v>
      </c>
      <c r="CU29">
        <f>CP29*(BK29/10000)^0.72*((A29+1)/3)^0.6*('CAPEX+OPEX'!$G$116/'CAPEX+OPEX'!$G$114)</f>
        <v>292226.78628879401</v>
      </c>
      <c r="CV29">
        <f>CQ29*(BK29/10000)^0.72*((A29+1)/3)^0.6*('CAPEX+OPEX'!$G$116/'CAPEX+OPEX'!$G$114)</f>
        <v>1808931.2781495745</v>
      </c>
      <c r="CW29">
        <f>CR29*(BK29/10000)^0.72*((A29+1)/3)^0.6*('CAPEX+OPEX'!$G$116/'CAPEX+OPEX'!$G$114)</f>
        <v>213572.44139332071</v>
      </c>
      <c r="CX29">
        <f t="shared" si="13"/>
        <v>4418708.3968808586</v>
      </c>
      <c r="CY29">
        <f>CN29*(BM29/10000)^0.72*((AF29+1)/3)^0.6*('CAPEX+OPEX'!$G$116/'CAPEX+OPEX'!$G$114)</f>
        <v>843481.2225111227</v>
      </c>
      <c r="CZ29">
        <f>CO29*(BM29/10000)^0.72*((AF29+1)/3)^0.6*('CAPEX+OPEX'!$G$116/'CAPEX+OPEX'!$G$114)</f>
        <v>2169252.8234918904</v>
      </c>
      <c r="DA29">
        <f>CP29*(BM29/10000)^0.72*((AF29+1)/3)^0.6*('CAPEX+OPEX'!$G$116/'CAPEX+OPEX'!$G$114)</f>
        <v>418446.21654616104</v>
      </c>
      <c r="DB29">
        <f>CQ29*(BM29/10000)^0.72*((AF29+1)/3)^0.6*('CAPEX+OPEX'!$G$116/'CAPEX+OPEX'!$G$114)</f>
        <v>2590250.0552623947</v>
      </c>
      <c r="DC29">
        <f>CR29*(BM29/10000)^0.72*((AF29+1)/3)^0.6*('CAPEX+OPEX'!$G$116/'CAPEX+OPEX'!$G$114)</f>
        <v>305819.26179499162</v>
      </c>
      <c r="DD29">
        <f t="shared" si="14"/>
        <v>6327249.579606561</v>
      </c>
      <c r="DE29">
        <f>CX29+DD29+1.15*(SUM(CI29:CL29)+SUM(CB29:CE29))</f>
        <v>10836140.082389386</v>
      </c>
      <c r="DF29">
        <f t="shared" si="15"/>
        <v>722409.33882595913</v>
      </c>
      <c r="DG29">
        <f>(BS29+BT29)*'Oxidant Feed Composition'!$N$29*60*7200</f>
        <v>9535879.1271287557</v>
      </c>
      <c r="DH29">
        <f>((CG29+CH29)*'Reagent cost'!$C$17/1000*'Reagent cost'!$H$17+(CG29+CH29)*0.5*'Reagent cost'!$C$16/1000*'Reagent cost'!$H$16*0.5)*60*7200</f>
        <v>3228337.356745454</v>
      </c>
      <c r="DI29">
        <f>CF29*'Reagent cost'!$C$17/1000*'Reagent cost'!$H$17*60*7200</f>
        <v>504921.59999999998</v>
      </c>
      <c r="DJ29">
        <f t="shared" si="16"/>
        <v>90.115693382950013</v>
      </c>
      <c r="DK29">
        <f t="shared" si="17"/>
        <v>1098.3939170045348</v>
      </c>
      <c r="DL29">
        <f t="shared" si="18"/>
        <v>15924391.912181513</v>
      </c>
      <c r="DM29">
        <f>BK29*(B29*(409.81+2)/1000+C29*(248.2+2*22.99)/1000+D29*(315.6+3*22.99)/1000+0.1*58.44/1000)</f>
        <v>0.70639694042110623</v>
      </c>
      <c r="DN29">
        <f>(BS29+BT29)/1000*('Oxidant Feed Composition'!$B$11*'Oxidant Feed Composition'!$O$20+'Oxidant Feed Composition'!$D$11*'Oxidant Feed Composition'!$O$21+'Oxidant Feed Composition'!$F$11*'Oxidant Feed Composition'!$O$27-'Oxidant Feed Composition'!$J$15*18.015)</f>
        <v>2.2323251404356461</v>
      </c>
      <c r="DO29">
        <f>(BU29+BV29)/1000*(0.2*368.34+0.4*58.44)</f>
        <v>1.5458221962173313</v>
      </c>
      <c r="DP29">
        <f>BK29/1000*(B29*195.08+C29*106.42+D29*102.91)</f>
        <v>4.999938342565946E-2</v>
      </c>
      <c r="DQ29">
        <f>SUM(DM29:DO29)-DP29</f>
        <v>4.4345448936484235</v>
      </c>
      <c r="DR29">
        <f>DQ29*60*7200*0.33</f>
        <v>632188.72003851936</v>
      </c>
      <c r="DS29">
        <v>1.2</v>
      </c>
      <c r="DT29">
        <f>BM29/60*(AM29*4+AN29*2+AO29*3)*96485/DV29</f>
        <v>1406.5004141824479</v>
      </c>
      <c r="DU29">
        <f>BN29*BA29*(AP29*4+AQ29*2+AR29*3)*96485/DV29/60</f>
        <v>706.74603480874009</v>
      </c>
      <c r="DV29">
        <v>0.7</v>
      </c>
      <c r="DW29">
        <f>0.499*((BK29/3.78541*15)^(-0.146))*BK29/3.78541*15*300*(1+(A29-2)/9)</f>
        <v>33024.331428945443</v>
      </c>
      <c r="DX29">
        <f>0.248*((BK29/3.78541*15)^(-0.144))*BK29/3.78541*15*300*(1+(A29-2)/3)</f>
        <v>24915.659383376755</v>
      </c>
      <c r="DY29">
        <f>0.105*((BK29/3.78541*15)^(-0.144))*BK29/3.78541*15*300*(1+(A29-2)/3)</f>
        <v>10548.968690542577</v>
      </c>
      <c r="DZ29">
        <f>0.058*((BK29/3.78541*15)^(-0.151))*BK29/3.78541*15*300*(1+(A29-2)/3)</f>
        <v>5588.0830181845758</v>
      </c>
      <c r="EA29">
        <f>0.056*((BK29/3.78541*15)^(-0.144))*BK29/3.78541*15*300*(1+(A29-2)/3)</f>
        <v>5626.1166349560426</v>
      </c>
      <c r="EB29">
        <f>DS29*DT29/(3.6*10^6)*3600*7200*0.07</f>
        <v>850.6514504975446</v>
      </c>
      <c r="EC29">
        <f>0.499*((BM29/3.78541*15)^(-0.146))*BM29/3.78541*15*300*(1+(AF29-2)/9)</f>
        <v>46305.254709964174</v>
      </c>
      <c r="ED29">
        <f>0.248*((BM29/3.78541*15)^(-0.144))*BM29/3.78541*15*300*(1+(AF29-2)/3)</f>
        <v>46573.487344952133</v>
      </c>
      <c r="EE29">
        <f>0.105*((BM29/3.78541*15)^(-0.144))*BM29/3.78541*15*300*(1+(AF29-2)/3)</f>
        <v>19718.613593628921</v>
      </c>
      <c r="EF29">
        <f>0.058*((BM29/3.78541*15)^(-0.151))*BM29/3.78541*15*300*(1+(AF29-2)/3)</f>
        <v>10451.276698437257</v>
      </c>
      <c r="EG29">
        <f>0.056*((BM29/3.78541*15)^(-0.144))*BM29/3.78541*15*300*(1+(AF29-2)/3)</f>
        <v>10516.593916602096</v>
      </c>
      <c r="EH29">
        <f>DS29*DU29/(3.6*10^6)*3600*7200*0.07</f>
        <v>427.44000185232608</v>
      </c>
      <c r="EI29">
        <f>SUM(DW29:EH29)</f>
        <v>214546.47687193981</v>
      </c>
      <c r="EJ29">
        <f>EI29+DR29+DL29</f>
        <v>16771127.109091973</v>
      </c>
      <c r="EK29">
        <f>EJ29+DF29</f>
        <v>17493536.447917931</v>
      </c>
      <c r="EL29">
        <f>EK29/(BK29*60*7200)</f>
        <v>0.40494297333143359</v>
      </c>
      <c r="EM29">
        <f>EK29/(BM29*(AM29*195.084/1000+AN29*106.42/1000+AO29*102.911/1000)*60*7200)</f>
        <v>1354.6111332313424</v>
      </c>
      <c r="EN29">
        <f>EK29/(BN29*BA29*(AP29*195.084/1000+AQ29*106.42/1000+AR29*102.911/1000)*60*7200)</f>
        <v>2482.9475037259986</v>
      </c>
    </row>
    <row r="30" spans="1:144">
      <c r="A30">
        <f>'Costing 100 Lmin Feed Orig'!A30</f>
        <v>5</v>
      </c>
      <c r="B30">
        <f>'Costing 100 Lmin Feed Orig'!B30</f>
        <v>1.54143585092054E-3</v>
      </c>
      <c r="C30">
        <f>'Costing 100 Lmin Feed Orig'!C30</f>
        <v>1.54143585092054E-3</v>
      </c>
      <c r="D30">
        <f>'Costing 100 Lmin Feed Orig'!D30</f>
        <v>3.4254130020456501E-4</v>
      </c>
      <c r="E30">
        <f>'Costing 100 Lmin Feed Orig'!E30</f>
        <v>0</v>
      </c>
      <c r="F30">
        <f>'Costing 100 Lmin Feed Orig'!F30</f>
        <v>0</v>
      </c>
      <c r="G30">
        <f>'Costing 100 Lmin Feed Orig'!G30</f>
        <v>0</v>
      </c>
      <c r="H30">
        <f>'Costing 100 Lmin Feed Orig'!H30</f>
        <v>1.7558377832426001E-5</v>
      </c>
      <c r="I30">
        <f>'Costing 100 Lmin Feed Orig'!I30</f>
        <v>1.05063644964669E-7</v>
      </c>
      <c r="J30">
        <f>'Costing 100 Lmin Feed Orig'!J30</f>
        <v>3.35605387572801E-4</v>
      </c>
      <c r="K30">
        <f>'Costing 100 Lmin Feed Orig'!K30</f>
        <v>0.12557893497872399</v>
      </c>
      <c r="L30">
        <f>'Costing 100 Lmin Feed Orig'!L30</f>
        <v>0.12701721899235199</v>
      </c>
      <c r="M30">
        <f>'Costing 100 Lmin Feed Orig'!M30</f>
        <v>5.7157122982957897E-4</v>
      </c>
      <c r="N30">
        <f>'Costing 100 Lmin Feed Orig'!N30</f>
        <v>-1.88000656708986E-16</v>
      </c>
      <c r="O30">
        <f>'Costing 100 Lmin Feed Orig'!O30</f>
        <v>-6.2354635343986299E-15</v>
      </c>
      <c r="P30">
        <f>'Costing 100 Lmin Feed Orig'!P30</f>
        <v>-1.51703600853245E-18</v>
      </c>
      <c r="Q30">
        <f>'Costing 100 Lmin Feed Orig'!Q30</f>
        <v>0.121348176216534</v>
      </c>
      <c r="R30">
        <f>'Costing 100 Lmin Feed Orig'!R30</f>
        <v>97.975160184298204</v>
      </c>
      <c r="S30">
        <f>'Costing 100 Lmin Feed Orig'!S30</f>
        <v>500</v>
      </c>
      <c r="T30">
        <f>'Costing 100 Lmin Feed Orig'!T30</f>
        <v>95</v>
      </c>
      <c r="U30">
        <f>'Costing 100 Lmin Feed Orig'!U30</f>
        <v>1</v>
      </c>
      <c r="V30">
        <f>'Costing 100 Lmin Feed Orig'!V30</f>
        <v>0.1</v>
      </c>
      <c r="W30">
        <f>'Costing 100 Lmin Feed Orig'!W30</f>
        <v>82.407501388038199</v>
      </c>
      <c r="X30" t="str">
        <f>'Costing 100 Lmin Feed Orig'!X30</f>
        <v>ddFc</v>
      </c>
      <c r="Y30">
        <f>'Costing 100 Lmin Feed Orig'!Y30</f>
        <v>1</v>
      </c>
      <c r="Z30">
        <f>'Costing 100 Lmin Feed Orig'!Z30</f>
        <v>0.28318429382522198</v>
      </c>
      <c r="AA30">
        <f>'Costing 100 Lmin Feed Orig'!AA30</f>
        <v>0.56945642916197003</v>
      </c>
      <c r="AB30">
        <f>'Costing 100 Lmin Feed Orig'!AB30</f>
        <v>3.7698628972227502E-3</v>
      </c>
      <c r="AC30">
        <f>'Costing 100 Lmin Feed Orig'!AC30</f>
        <v>1822.2107908876901</v>
      </c>
      <c r="AD30">
        <f>'Costing 100 Lmin Feed Orig'!AD30</f>
        <v>2662.6059073104898</v>
      </c>
      <c r="AE30">
        <f>'Costing 100 Lmin Feed Orig'!AE30</f>
        <v>2401.5030938442701</v>
      </c>
      <c r="AF30">
        <f>'Costing 100 Lmin Feed Orig'!AF30</f>
        <v>12</v>
      </c>
      <c r="AG30">
        <f>'Costing 100 Lmin Feed Orig'!AG30</f>
        <v>1.64912412966352E-3</v>
      </c>
      <c r="AH30">
        <f>'Costing 100 Lmin Feed Orig'!AH30</f>
        <v>1.66801192221077E-3</v>
      </c>
      <c r="AI30">
        <f>'Costing 100 Lmin Feed Orig'!AI30</f>
        <v>7.5059714998626504E-6</v>
      </c>
      <c r="AJ30">
        <f>'Costing 100 Lmin Feed Orig'!AJ30</f>
        <v>0</v>
      </c>
      <c r="AK30">
        <f>'Costing 100 Lmin Feed Orig'!AK30</f>
        <v>0</v>
      </c>
      <c r="AL30">
        <f>'Costing 100 Lmin Feed Orig'!AL30</f>
        <v>0</v>
      </c>
      <c r="AM30">
        <f>'Costing 100 Lmin Feed Orig'!AM30</f>
        <v>1.6121404312672901E-3</v>
      </c>
      <c r="AN30">
        <f>'Costing 100 Lmin Feed Orig'!AN30</f>
        <v>7.73929552459276E-5</v>
      </c>
      <c r="AO30">
        <f>'Costing 100 Lmin Feed Orig'!AO30</f>
        <v>7.4565411365620697E-6</v>
      </c>
      <c r="AP30">
        <f>'Costing 100 Lmin Feed Orig'!AP30</f>
        <v>1.73272364681595E-3</v>
      </c>
      <c r="AQ30">
        <f>'Costing 100 Lmin Feed Orig'!AQ30</f>
        <v>7.4522106149284603E-2</v>
      </c>
      <c r="AR30">
        <f>'Costing 100 Lmin Feed Orig'!AR30</f>
        <v>2.3158624767325598E-6</v>
      </c>
      <c r="AS30">
        <f>'Costing 100 Lmin Feed Orig'!AS30</f>
        <v>1.9933395754324901E-15</v>
      </c>
      <c r="AT30">
        <f>'Costing 100 Lmin Feed Orig'!AT30</f>
        <v>-2.0379531395775499E-13</v>
      </c>
      <c r="AU30">
        <f>'Costing 100 Lmin Feed Orig'!AU30</f>
        <v>-4.3741310791804103E-21</v>
      </c>
      <c r="AV30">
        <f>'Costing 100 Lmin Feed Orig'!AV30</f>
        <v>0.19723216376352101</v>
      </c>
      <c r="AW30">
        <f>'Costing 100 Lmin Feed Orig'!AW30</f>
        <v>99.341452824574603</v>
      </c>
      <c r="AX30">
        <f>'Costing 100 Lmin Feed Orig'!AX30</f>
        <v>500</v>
      </c>
      <c r="AY30">
        <f>'Costing 100 Lmin Feed Orig'!AY30</f>
        <v>95</v>
      </c>
      <c r="AZ30">
        <f>'Costing 100 Lmin Feed Orig'!AZ30</f>
        <v>0.92405262022284995</v>
      </c>
      <c r="BA30">
        <f>'Costing 100 Lmin Feed Orig'!BA30</f>
        <v>0.1</v>
      </c>
      <c r="BB30">
        <f>'Costing 100 Lmin Feed Orig'!BB30</f>
        <v>46.851010635911102</v>
      </c>
      <c r="BC30" t="str">
        <f>'Costing 100 Lmin Feed Orig'!BC30</f>
        <v>coeFc</v>
      </c>
      <c r="BD30">
        <f>'Costing 100 Lmin Feed Orig'!BD30</f>
        <v>1</v>
      </c>
      <c r="BE30">
        <f>'Costing 100 Lmin Feed Orig'!BE30</f>
        <v>1.8775014999999999E-2</v>
      </c>
      <c r="BF30">
        <f>'Costing 100 Lmin Feed Orig'!BF30</f>
        <v>0.10492961100000001</v>
      </c>
      <c r="BG30">
        <f>'Costing 100 Lmin Feed Orig'!BG30</f>
        <v>1.814625E-3</v>
      </c>
      <c r="BH30">
        <f>'Costing 100 Lmin Feed Orig'!BH30</f>
        <v>285.1951444</v>
      </c>
      <c r="BI30">
        <f>'Costing 100 Lmin Feed Orig'!BI30</f>
        <v>2169.8944889999998</v>
      </c>
      <c r="BJ30">
        <f>'Costing 100 Lmin Feed Orig'!BJ30</f>
        <v>866.49409060000005</v>
      </c>
      <c r="BK30">
        <f>'Costing 100 Lmin Feed Orig'!BK30</f>
        <v>100</v>
      </c>
      <c r="BL30">
        <f>'Costing 100 Lmin Feed Orig'!BL30</f>
        <v>12.134817621653401</v>
      </c>
      <c r="BM30">
        <f>'Costing 100 Lmin Feed Orig'!BM30</f>
        <v>92.405262022285001</v>
      </c>
      <c r="BN30">
        <f>'Costing 100 Lmin Feed Orig'!BN30</f>
        <v>19.723216376352102</v>
      </c>
      <c r="BO30">
        <f t="shared" si="1"/>
        <v>169.88744670314762</v>
      </c>
      <c r="BP30">
        <f t="shared" si="2"/>
        <v>552.25005853785888</v>
      </c>
      <c r="BQ30">
        <f t="shared" si="3"/>
        <v>16.988744670314762</v>
      </c>
      <c r="BR30">
        <f t="shared" si="4"/>
        <v>55.225005853785888</v>
      </c>
      <c r="BS30">
        <f>1.2*0.5*BL30*V30/'Oxidant Feed Composition'!$N$22</f>
        <v>7.2808905729920399</v>
      </c>
      <c r="BT30">
        <f>1.2*0.5*BN30*BA30/'Oxidant Feed Composition'!$N$22</f>
        <v>11.833929825811259</v>
      </c>
      <c r="BU30">
        <f t="shared" si="5"/>
        <v>6.0674088108267004</v>
      </c>
      <c r="BV30">
        <f t="shared" si="6"/>
        <v>9.8616081881760511</v>
      </c>
      <c r="BW30">
        <f t="shared" si="7"/>
        <v>86.337853211458295</v>
      </c>
      <c r="BX30">
        <f t="shared" si="0"/>
        <v>38.831416389290879</v>
      </c>
      <c r="BY30">
        <f t="shared" si="8"/>
        <v>209.0801592878768</v>
      </c>
      <c r="BZ30">
        <f t="shared" si="9"/>
        <v>63.114292404326719</v>
      </c>
      <c r="CA30">
        <f t="shared" si="10"/>
        <v>59.16964912905631</v>
      </c>
      <c r="CB30">
        <f>BO30*'Reagent cost'!$G$11*'Reagent cost'!$H$11</f>
        <v>2242.5142964815486</v>
      </c>
      <c r="CC30">
        <f>BP30*'Reagent cost'!$G$11*'Reagent cost'!$H$11</f>
        <v>7289.7007726997381</v>
      </c>
      <c r="CD30">
        <f>BQ30*'Reagent cost'!$C$18/1000*'Reagent cost'!$H$18</f>
        <v>2709.3726906065185</v>
      </c>
      <c r="CE30">
        <f>BR30*'Ligand cost'!$B$56*'Ligand cost'!$J$56</f>
        <v>56226.109956054243</v>
      </c>
      <c r="CF30">
        <f t="shared" si="11"/>
        <v>10</v>
      </c>
      <c r="CG30">
        <f t="shared" si="12"/>
        <v>2.4269635243306804</v>
      </c>
      <c r="CH30">
        <f t="shared" si="12"/>
        <v>3.9446432752704208</v>
      </c>
      <c r="CI30">
        <f>7963.6*(BX30/1000)^0.6*1.7*('CAPEX+OPEX'!$G$116/'CAPEX+OPEX'!$G$115)</f>
        <v>2273.7926954959794</v>
      </c>
      <c r="CJ30">
        <f>7963.6*(BY30/1000)^0.6*1.7*('CAPEX+OPEX'!$G$116/'CAPEX+OPEX'!$G$115)</f>
        <v>6243.5072626595684</v>
      </c>
      <c r="CK30">
        <f>7963.6*(BZ30/1000)^0.6*1.7*('CAPEX+OPEX'!$G$116/'CAPEX+OPEX'!$G$115)</f>
        <v>3043.1093498360469</v>
      </c>
      <c r="CL30">
        <f>7963.6*(CA30/1000)^0.6*1.7*('CAPEX+OPEX'!$G$116/'CAPEX+OPEX'!$G$115)</f>
        <v>2927.5230570095641</v>
      </c>
      <c r="CM30">
        <f>'Costing 100 Lmin Feed Orig'!DE30</f>
        <v>39625.826528698344</v>
      </c>
      <c r="CN30">
        <f>'Costing 100 Lmin Feed Orig'!DF30</f>
        <v>4586243.4239371875</v>
      </c>
      <c r="CO30">
        <f>'Costing 100 Lmin Feed Orig'!DG30</f>
        <v>11794834.586807497</v>
      </c>
      <c r="CP30">
        <f>'Costing 100 Lmin Feed Orig'!DH30</f>
        <v>2275209.1661185985</v>
      </c>
      <c r="CQ30">
        <f>'Costing 100 Lmin Feed Orig'!DI30</f>
        <v>14083914.336508472</v>
      </c>
      <c r="CR30">
        <f>'Costing 100 Lmin Feed Orig'!DJ30</f>
        <v>1662824.8986326549</v>
      </c>
      <c r="CS30">
        <f>CN30*(BK30/10000)^0.72*((A30+1)/3)^0.6*('CAPEX+OPEX'!$G$116/'CAPEX+OPEX'!$G$114)</f>
        <v>589054.93036564998</v>
      </c>
      <c r="CT30">
        <f>CO30*(BK30/10000)^0.72*((A30+1)/3)^0.6*('CAPEX+OPEX'!$G$116/'CAPEX+OPEX'!$G$114)</f>
        <v>1514922.9606835202</v>
      </c>
      <c r="CU30">
        <f>CP30*(BK30/10000)^0.72*((A30+1)/3)^0.6*('CAPEX+OPEX'!$G$116/'CAPEX+OPEX'!$G$114)</f>
        <v>292226.78628879401</v>
      </c>
      <c r="CV30">
        <f>CQ30*(BK30/10000)^0.72*((A30+1)/3)^0.6*('CAPEX+OPEX'!$G$116/'CAPEX+OPEX'!$G$114)</f>
        <v>1808931.2781495745</v>
      </c>
      <c r="CW30">
        <f>CR30*(BK30/10000)^0.72*((A30+1)/3)^0.6*('CAPEX+OPEX'!$G$116/'CAPEX+OPEX'!$G$114)</f>
        <v>213572.44139332071</v>
      </c>
      <c r="CX30">
        <f t="shared" si="13"/>
        <v>4418708.3968808586</v>
      </c>
      <c r="CY30">
        <f>CN30*(BM30/10000)^0.72*((AF30+1)/3)^0.6*('CAPEX+OPEX'!$G$116/'CAPEX+OPEX'!$G$114)</f>
        <v>884978.42390710395</v>
      </c>
      <c r="CZ30">
        <f>CO30*(BM30/10000)^0.72*((AF30+1)/3)^0.6*('CAPEX+OPEX'!$G$116/'CAPEX+OPEX'!$G$114)</f>
        <v>2275974.7265915852</v>
      </c>
      <c r="DA30">
        <f>CP30*(BM30/10000)^0.72*((AF30+1)/3)^0.6*('CAPEX+OPEX'!$G$116/'CAPEX+OPEX'!$G$114)</f>
        <v>439032.74112783116</v>
      </c>
      <c r="DB30">
        <f>CQ30*(BM30/10000)^0.72*((AF30+1)/3)^0.6*('CAPEX+OPEX'!$G$116/'CAPEX+OPEX'!$G$114)</f>
        <v>2717683.9866179414</v>
      </c>
      <c r="DC30">
        <f>CR30*(BM30/10000)^0.72*((AF30+1)/3)^0.6*('CAPEX+OPEX'!$G$116/'CAPEX+OPEX'!$G$114)</f>
        <v>320864.81723687309</v>
      </c>
      <c r="DD30">
        <f t="shared" si="14"/>
        <v>6638534.6954813348</v>
      </c>
      <c r="DE30">
        <f>CX30+DD30+1.15*(SUM(CI30:CL30)+SUM(CB30:CE30))</f>
        <v>11152642.066955162</v>
      </c>
      <c r="DF30">
        <f t="shared" si="15"/>
        <v>743509.4711303442</v>
      </c>
      <c r="DG30">
        <f>(BS30+BT30)*'Oxidant Feed Composition'!$N$29*60*7200</f>
        <v>9535837.977692375</v>
      </c>
      <c r="DH30">
        <f>((CG30+CH30)*'Reagent cost'!$C$17/1000*'Reagent cost'!$H$17+(CG30+CH30)*0.5*'Reagent cost'!$C$16/1000*'Reagent cost'!$H$16*0.5)*60*7200</f>
        <v>3228323.4257527366</v>
      </c>
      <c r="DI30">
        <f>CF30*'Reagent cost'!$C$17/1000*'Reagent cost'!$H$17*60*7200</f>
        <v>504921.59999999998</v>
      </c>
      <c r="DJ30">
        <f t="shared" si="16"/>
        <v>95.322150691812865</v>
      </c>
      <c r="DK30">
        <f t="shared" si="17"/>
        <v>1178.7096529332152</v>
      </c>
      <c r="DL30">
        <f t="shared" si="18"/>
        <v>15924428.442298483</v>
      </c>
      <c r="DM30">
        <f>BK30*(B30*(409.81+2)/1000+C30*(248.2+2*22.99)/1000+D30*(315.6+3*22.99)/1000+0.1*58.44/1000)</f>
        <v>0.70639694042110623</v>
      </c>
      <c r="DN30">
        <f>(BS30+BT30)/1000*('Oxidant Feed Composition'!$B$11*'Oxidant Feed Composition'!$O$20+'Oxidant Feed Composition'!$D$11*'Oxidant Feed Composition'!$O$21+'Oxidant Feed Composition'!$F$11*'Oxidant Feed Composition'!$O$27-'Oxidant Feed Composition'!$J$15*18.015)</f>
        <v>2.2323155074568595</v>
      </c>
      <c r="DO30">
        <f>(BU30+BV30)/1000*(0.2*368.34+0.4*58.44)</f>
        <v>1.5458155256512232</v>
      </c>
      <c r="DP30">
        <f>BK30/1000*(B30*195.08+C30*106.42+D30*102.91)</f>
        <v>4.999938342565946E-2</v>
      </c>
      <c r="DQ30">
        <f>SUM(DM30:DO30)-DP30</f>
        <v>4.434528590103529</v>
      </c>
      <c r="DR30">
        <f>DQ30*60*7200*0.33</f>
        <v>632186.39580515923</v>
      </c>
      <c r="DS30">
        <v>1.2</v>
      </c>
      <c r="DT30">
        <f>BM30/60*(AM30*4+AN30*2+AO30*3)*96485/DV30</f>
        <v>1406.5012186924448</v>
      </c>
      <c r="DU30">
        <f>BN30*BA30*(AP30*4+AQ30*2+AR30*3)*96485/DV30/60</f>
        <v>706.74523039054441</v>
      </c>
      <c r="DV30">
        <v>0.7</v>
      </c>
      <c r="DW30">
        <f>0.499*((BK30/3.78541*15)^(-0.146))*BK30/3.78541*15*300*(1+(A30-2)/9)</f>
        <v>33024.331428945443</v>
      </c>
      <c r="DX30">
        <f>0.248*((BK30/3.78541*15)^(-0.144))*BK30/3.78541*15*300*(1+(A30-2)/3)</f>
        <v>24915.659383376755</v>
      </c>
      <c r="DY30">
        <f>0.105*((BK30/3.78541*15)^(-0.144))*BK30/3.78541*15*300*(1+(A30-2)/3)</f>
        <v>10548.968690542577</v>
      </c>
      <c r="DZ30">
        <f>0.058*((BK30/3.78541*15)^(-0.151))*BK30/3.78541*15*300*(1+(A30-2)/3)</f>
        <v>5588.0830181845758</v>
      </c>
      <c r="EA30">
        <f>0.056*((BK30/3.78541*15)^(-0.144))*BK30/3.78541*15*300*(1+(A30-2)/3)</f>
        <v>5626.1166349560426</v>
      </c>
      <c r="EB30">
        <f>DS30*DT30/(3.6*10^6)*3600*7200*0.07</f>
        <v>850.65193706519062</v>
      </c>
      <c r="EC30">
        <f>0.499*((BM30/3.78541*15)^(-0.146))*BM30/3.78541*15*300*(1+(AF30-2)/9)</f>
        <v>48877.768860517739</v>
      </c>
      <c r="ED30">
        <f>0.248*((BM30/3.78541*15)^(-0.144))*BM30/3.78541*15*300*(1+(AF30-2)/3)</f>
        <v>50454.611290364817</v>
      </c>
      <c r="EE30">
        <f>0.105*((BM30/3.78541*15)^(-0.144))*BM30/3.78541*15*300*(1+(AF30-2)/3)</f>
        <v>21361.831393098</v>
      </c>
      <c r="EF30">
        <f>0.058*((BM30/3.78541*15)^(-0.151))*BM30/3.78541*15*300*(1+(AF30-2)/3)</f>
        <v>11322.216423307031</v>
      </c>
      <c r="EG30">
        <f>0.056*((BM30/3.78541*15)^(-0.144))*BM30/3.78541*15*300*(1+(AF30-2)/3)</f>
        <v>11392.976742985606</v>
      </c>
      <c r="EH30">
        <f>DS30*DU30/(3.6*10^6)*3600*7200*0.07</f>
        <v>427.4395153402013</v>
      </c>
      <c r="EI30">
        <f>SUM(DW30:EH30)</f>
        <v>224390.65531868394</v>
      </c>
      <c r="EJ30">
        <f>EI30+DR30+DL30</f>
        <v>16781005.493422326</v>
      </c>
      <c r="EK30">
        <f>EJ30+DF30</f>
        <v>17524514.964552671</v>
      </c>
      <c r="EL30">
        <f>EK30/(BK30*60*7200)</f>
        <v>0.40566006862390441</v>
      </c>
      <c r="EM30">
        <f>EK30/(BM30*(AM30*195.084/1000+AN30*106.42/1000+AO30*102.911/1000)*60*7200)</f>
        <v>1357.0091762623374</v>
      </c>
      <c r="EN30">
        <f>EK30/(BN30*BA30*(AP30*195.084/1000+AQ30*106.42/1000+AR30*102.911/1000)*60*7200)</f>
        <v>2487.3470535397541</v>
      </c>
    </row>
    <row r="31" spans="1:144">
      <c r="A31">
        <f>'Costing 100 Lmin Feed Orig'!A31</f>
        <v>5</v>
      </c>
      <c r="B31">
        <f>'Costing 100 Lmin Feed Orig'!B31</f>
        <v>1.54143585092054E-3</v>
      </c>
      <c r="C31">
        <f>'Costing 100 Lmin Feed Orig'!C31</f>
        <v>1.54143585092054E-3</v>
      </c>
      <c r="D31">
        <f>'Costing 100 Lmin Feed Orig'!D31</f>
        <v>3.4254130020456501E-4</v>
      </c>
      <c r="E31">
        <f>'Costing 100 Lmin Feed Orig'!E31</f>
        <v>0</v>
      </c>
      <c r="F31">
        <f>'Costing 100 Lmin Feed Orig'!F31</f>
        <v>0</v>
      </c>
      <c r="G31">
        <f>'Costing 100 Lmin Feed Orig'!G31</f>
        <v>0</v>
      </c>
      <c r="H31">
        <f>'Costing 100 Lmin Feed Orig'!H31</f>
        <v>1.7558377832426001E-5</v>
      </c>
      <c r="I31">
        <f>'Costing 100 Lmin Feed Orig'!I31</f>
        <v>1.05063644964669E-7</v>
      </c>
      <c r="J31">
        <f>'Costing 100 Lmin Feed Orig'!J31</f>
        <v>3.35605387572801E-4</v>
      </c>
      <c r="K31">
        <f>'Costing 100 Lmin Feed Orig'!K31</f>
        <v>0.12557893497872399</v>
      </c>
      <c r="L31">
        <f>'Costing 100 Lmin Feed Orig'!L31</f>
        <v>0.12701721899235199</v>
      </c>
      <c r="M31">
        <f>'Costing 100 Lmin Feed Orig'!M31</f>
        <v>5.7157122982957897E-4</v>
      </c>
      <c r="N31">
        <f>'Costing 100 Lmin Feed Orig'!N31</f>
        <v>-1.88000656708986E-16</v>
      </c>
      <c r="O31">
        <f>'Costing 100 Lmin Feed Orig'!O31</f>
        <v>-6.2354635343986299E-15</v>
      </c>
      <c r="P31">
        <f>'Costing 100 Lmin Feed Orig'!P31</f>
        <v>-1.51703600853245E-18</v>
      </c>
      <c r="Q31">
        <f>'Costing 100 Lmin Feed Orig'!Q31</f>
        <v>0.121348176216534</v>
      </c>
      <c r="R31">
        <f>'Costing 100 Lmin Feed Orig'!R31</f>
        <v>97.975160184298204</v>
      </c>
      <c r="S31">
        <f>'Costing 100 Lmin Feed Orig'!S31</f>
        <v>500</v>
      </c>
      <c r="T31">
        <f>'Costing 100 Lmin Feed Orig'!T31</f>
        <v>95</v>
      </c>
      <c r="U31">
        <f>'Costing 100 Lmin Feed Orig'!U31</f>
        <v>1</v>
      </c>
      <c r="V31">
        <f>'Costing 100 Lmin Feed Orig'!V31</f>
        <v>0.1</v>
      </c>
      <c r="W31">
        <f>'Costing 100 Lmin Feed Orig'!W31</f>
        <v>82.407501388038199</v>
      </c>
      <c r="X31" t="str">
        <f>'Costing 100 Lmin Feed Orig'!X31</f>
        <v>ddFc</v>
      </c>
      <c r="Y31">
        <f>'Costing 100 Lmin Feed Orig'!Y31</f>
        <v>1</v>
      </c>
      <c r="Z31">
        <f>'Costing 100 Lmin Feed Orig'!Z31</f>
        <v>0.28318429382522198</v>
      </c>
      <c r="AA31">
        <f>'Costing 100 Lmin Feed Orig'!AA31</f>
        <v>0.56945642916197003</v>
      </c>
      <c r="AB31">
        <f>'Costing 100 Lmin Feed Orig'!AB31</f>
        <v>3.7698628972227502E-3</v>
      </c>
      <c r="AC31">
        <f>'Costing 100 Lmin Feed Orig'!AC31</f>
        <v>1822.2107908876901</v>
      </c>
      <c r="AD31">
        <f>'Costing 100 Lmin Feed Orig'!AD31</f>
        <v>2662.6059073104898</v>
      </c>
      <c r="AE31">
        <f>'Costing 100 Lmin Feed Orig'!AE31</f>
        <v>2401.5030938442701</v>
      </c>
      <c r="AF31">
        <f>'Costing 100 Lmin Feed Orig'!AF31</f>
        <v>13</v>
      </c>
      <c r="AG31">
        <f>'Costing 100 Lmin Feed Orig'!AG31</f>
        <v>1.64912412966352E-3</v>
      </c>
      <c r="AH31">
        <f>'Costing 100 Lmin Feed Orig'!AH31</f>
        <v>1.66801192221077E-3</v>
      </c>
      <c r="AI31">
        <f>'Costing 100 Lmin Feed Orig'!AI31</f>
        <v>7.5059714998626504E-6</v>
      </c>
      <c r="AJ31">
        <f>'Costing 100 Lmin Feed Orig'!AJ31</f>
        <v>0</v>
      </c>
      <c r="AK31">
        <f>'Costing 100 Lmin Feed Orig'!AK31</f>
        <v>0</v>
      </c>
      <c r="AL31">
        <f>'Costing 100 Lmin Feed Orig'!AL31</f>
        <v>0</v>
      </c>
      <c r="AM31">
        <f>'Costing 100 Lmin Feed Orig'!AM31</f>
        <v>1.61214069129301E-3</v>
      </c>
      <c r="AN31">
        <f>'Costing 100 Lmin Feed Orig'!AN31</f>
        <v>7.7392968598377306E-5</v>
      </c>
      <c r="AO31">
        <f>'Costing 100 Lmin Feed Orig'!AO31</f>
        <v>7.4565414696759002E-6</v>
      </c>
      <c r="AP31">
        <f>'Costing 100 Lmin Feed Orig'!AP31</f>
        <v>1.73271486747767E-3</v>
      </c>
      <c r="AQ31">
        <f>'Costing 100 Lmin Feed Orig'!AQ31</f>
        <v>7.4522251874090506E-2</v>
      </c>
      <c r="AR31">
        <f>'Costing 100 Lmin Feed Orig'!AR31</f>
        <v>2.3158514183141602E-6</v>
      </c>
      <c r="AS31">
        <f>'Costing 100 Lmin Feed Orig'!AS31</f>
        <v>2.9341221292888898E-18</v>
      </c>
      <c r="AT31">
        <f>'Costing 100 Lmin Feed Orig'!AT31</f>
        <v>-2.4871597836817398E-16</v>
      </c>
      <c r="AU31">
        <f>'Costing 100 Lmin Feed Orig'!AU31</f>
        <v>-1.16467030247466E-21</v>
      </c>
      <c r="AV31">
        <f>'Costing 100 Lmin Feed Orig'!AV31</f>
        <v>0.19723177640219999</v>
      </c>
      <c r="AW31">
        <f>'Costing 100 Lmin Feed Orig'!AW31</f>
        <v>99.341457262558706</v>
      </c>
      <c r="AX31">
        <f>'Costing 100 Lmin Feed Orig'!AX31</f>
        <v>500</v>
      </c>
      <c r="AY31">
        <f>'Costing 100 Lmin Feed Orig'!AY31</f>
        <v>95</v>
      </c>
      <c r="AZ31">
        <f>'Costing 100 Lmin Feed Orig'!AZ31</f>
        <v>0.92405262022284995</v>
      </c>
      <c r="BA31">
        <f>'Costing 100 Lmin Feed Orig'!BA31</f>
        <v>0.1</v>
      </c>
      <c r="BB31">
        <f>'Costing 100 Lmin Feed Orig'!BB31</f>
        <v>46.851102650847501</v>
      </c>
      <c r="BC31" t="str">
        <f>'Costing 100 Lmin Feed Orig'!BC31</f>
        <v>coeFc</v>
      </c>
      <c r="BD31">
        <f>'Costing 100 Lmin Feed Orig'!BD31</f>
        <v>1</v>
      </c>
      <c r="BE31">
        <f>'Costing 100 Lmin Feed Orig'!BE31</f>
        <v>1.8775014999999999E-2</v>
      </c>
      <c r="BF31">
        <f>'Costing 100 Lmin Feed Orig'!BF31</f>
        <v>0.10492961100000001</v>
      </c>
      <c r="BG31">
        <f>'Costing 100 Lmin Feed Orig'!BG31</f>
        <v>1.814625E-3</v>
      </c>
      <c r="BH31">
        <f>'Costing 100 Lmin Feed Orig'!BH31</f>
        <v>285.1951444</v>
      </c>
      <c r="BI31">
        <f>'Costing 100 Lmin Feed Orig'!BI31</f>
        <v>2169.8944889999998</v>
      </c>
      <c r="BJ31">
        <f>'Costing 100 Lmin Feed Orig'!BJ31</f>
        <v>866.49409060000005</v>
      </c>
      <c r="BK31">
        <f>'Costing 100 Lmin Feed Orig'!BK31</f>
        <v>100</v>
      </c>
      <c r="BL31">
        <f>'Costing 100 Lmin Feed Orig'!BL31</f>
        <v>12.134817621653401</v>
      </c>
      <c r="BM31">
        <f>'Costing 100 Lmin Feed Orig'!BM31</f>
        <v>92.405262022285001</v>
      </c>
      <c r="BN31">
        <f>'Costing 100 Lmin Feed Orig'!BN31</f>
        <v>19.723177640219998</v>
      </c>
      <c r="BO31">
        <f t="shared" si="1"/>
        <v>169.88744670314762</v>
      </c>
      <c r="BP31">
        <f t="shared" si="2"/>
        <v>591.69532920659992</v>
      </c>
      <c r="BQ31">
        <f t="shared" si="3"/>
        <v>16.988744670314762</v>
      </c>
      <c r="BR31">
        <f t="shared" si="4"/>
        <v>59.169532920659996</v>
      </c>
      <c r="BS31">
        <f>1.2*0.5*BL31*V31/'Oxidant Feed Composition'!$N$22</f>
        <v>7.2808905729920399</v>
      </c>
      <c r="BT31">
        <f>1.2*0.5*BN31*BA31/'Oxidant Feed Composition'!$N$22</f>
        <v>11.833906584131999</v>
      </c>
      <c r="BU31">
        <f t="shared" si="5"/>
        <v>6.0674088108267004</v>
      </c>
      <c r="BV31">
        <f t="shared" si="6"/>
        <v>9.8615888201099988</v>
      </c>
      <c r="BW31">
        <f t="shared" si="7"/>
        <v>86.337853211458295</v>
      </c>
      <c r="BX31">
        <f t="shared" si="0"/>
        <v>38.831416389290879</v>
      </c>
      <c r="BY31">
        <f t="shared" si="8"/>
        <v>209.0801592878768</v>
      </c>
      <c r="BZ31">
        <f t="shared" si="9"/>
        <v>63.114168448703992</v>
      </c>
      <c r="CA31">
        <f t="shared" si="10"/>
        <v>59.169532920659989</v>
      </c>
      <c r="CB31">
        <f>BO31*'Reagent cost'!$G$11*'Reagent cost'!$H$11</f>
        <v>2242.5142964815486</v>
      </c>
      <c r="CC31">
        <f>BP31*'Reagent cost'!$G$11*'Reagent cost'!$H$11</f>
        <v>7810.3783455271196</v>
      </c>
      <c r="CD31">
        <f>BQ31*'Reagent cost'!$C$18/1000*'Reagent cost'!$H$18</f>
        <v>2709.3726906065185</v>
      </c>
      <c r="CE31">
        <f>BR31*'Ligand cost'!$B$56*'Ligand cost'!$J$56</f>
        <v>60242.142352210001</v>
      </c>
      <c r="CF31">
        <f t="shared" si="11"/>
        <v>10</v>
      </c>
      <c r="CG31">
        <f t="shared" si="12"/>
        <v>2.4269635243306804</v>
      </c>
      <c r="CH31">
        <f t="shared" si="12"/>
        <v>3.9446355280439995</v>
      </c>
      <c r="CI31">
        <f>7963.6*(BX31/1000)^0.6*1.7*('CAPEX+OPEX'!$G$116/'CAPEX+OPEX'!$G$115)</f>
        <v>2273.7926954959794</v>
      </c>
      <c r="CJ31">
        <f>7963.6*(BY31/1000)^0.6*1.7*('CAPEX+OPEX'!$G$116/'CAPEX+OPEX'!$G$115)</f>
        <v>6243.5072626595684</v>
      </c>
      <c r="CK31">
        <f>7963.6*(BZ31/1000)^0.6*1.7*('CAPEX+OPEX'!$G$116/'CAPEX+OPEX'!$G$115)</f>
        <v>3043.1057638590996</v>
      </c>
      <c r="CL31">
        <f>7963.6*(CA31/1000)^0.6*1.7*('CAPEX+OPEX'!$G$116/'CAPEX+OPEX'!$G$115)</f>
        <v>2927.5196072386261</v>
      </c>
      <c r="CM31">
        <f>'Costing 100 Lmin Feed Orig'!DE31</f>
        <v>39625.826528698344</v>
      </c>
      <c r="CN31">
        <f>'Costing 100 Lmin Feed Orig'!DF31</f>
        <v>4586243.4239371875</v>
      </c>
      <c r="CO31">
        <f>'Costing 100 Lmin Feed Orig'!DG31</f>
        <v>11794834.586807497</v>
      </c>
      <c r="CP31">
        <f>'Costing 100 Lmin Feed Orig'!DH31</f>
        <v>2275209.1661185985</v>
      </c>
      <c r="CQ31">
        <f>'Costing 100 Lmin Feed Orig'!DI31</f>
        <v>14083914.336508472</v>
      </c>
      <c r="CR31">
        <f>'Costing 100 Lmin Feed Orig'!DJ31</f>
        <v>1662824.8986326549</v>
      </c>
      <c r="CS31">
        <f>CN31*(BK31/10000)^0.72*((A31+1)/3)^0.6*('CAPEX+OPEX'!$G$116/'CAPEX+OPEX'!$G$114)</f>
        <v>589054.93036564998</v>
      </c>
      <c r="CT31">
        <f>CO31*(BK31/10000)^0.72*((A31+1)/3)^0.6*('CAPEX+OPEX'!$G$116/'CAPEX+OPEX'!$G$114)</f>
        <v>1514922.9606835202</v>
      </c>
      <c r="CU31">
        <f>CP31*(BK31/10000)^0.72*((A31+1)/3)^0.6*('CAPEX+OPEX'!$G$116/'CAPEX+OPEX'!$G$114)</f>
        <v>292226.78628879401</v>
      </c>
      <c r="CV31">
        <f>CQ31*(BK31/10000)^0.72*((A31+1)/3)^0.6*('CAPEX+OPEX'!$G$116/'CAPEX+OPEX'!$G$114)</f>
        <v>1808931.2781495745</v>
      </c>
      <c r="CW31">
        <f>CR31*(BK31/10000)^0.72*((A31+1)/3)^0.6*('CAPEX+OPEX'!$G$116/'CAPEX+OPEX'!$G$114)</f>
        <v>213572.44139332071</v>
      </c>
      <c r="CX31">
        <f t="shared" si="13"/>
        <v>4418708.3968808586</v>
      </c>
      <c r="CY31">
        <f>CN31*(BM31/10000)^0.72*((AF31+1)/3)^0.6*('CAPEX+OPEX'!$G$116/'CAPEX+OPEX'!$G$114)</f>
        <v>925216.76281415427</v>
      </c>
      <c r="CZ31">
        <f>CO31*(BM31/10000)^0.72*((AF31+1)/3)^0.6*('CAPEX+OPEX'!$G$116/'CAPEX+OPEX'!$G$114)</f>
        <v>2379459.1053272258</v>
      </c>
      <c r="DA31">
        <f>CP31*(BM31/10000)^0.72*((AF31+1)/3)^0.6*('CAPEX+OPEX'!$G$116/'CAPEX+OPEX'!$G$114)</f>
        <v>458994.7512193307</v>
      </c>
      <c r="DB31">
        <f>CQ31*(BM31/10000)^0.72*((AF31+1)/3)^0.6*('CAPEX+OPEX'!$G$116/'CAPEX+OPEX'!$G$114)</f>
        <v>2841252.0718295593</v>
      </c>
      <c r="DC31">
        <f>CR31*(BM31/10000)^0.72*((AF31+1)/3)^0.6*('CAPEX+OPEX'!$G$116/'CAPEX+OPEX'!$G$114)</f>
        <v>335453.94948071335</v>
      </c>
      <c r="DD31">
        <f t="shared" si="14"/>
        <v>6940376.6406709841</v>
      </c>
      <c r="DE31">
        <f>CX31+DD31+1.15*(SUM(CI31:CL31)+SUM(CB31:CE31))</f>
        <v>11459701.220518032</v>
      </c>
      <c r="DF31">
        <f t="shared" si="15"/>
        <v>763980.08136786881</v>
      </c>
      <c r="DG31">
        <f>(BS31+BT31)*'Oxidant Feed Composition'!$N$29*60*7200</f>
        <v>9535826.3830823749</v>
      </c>
      <c r="DH31">
        <f>((CG31+CH31)*'Reagent cost'!$C$17/1000*'Reagent cost'!$H$17+(CG31+CH31)*0.5*'Reagent cost'!$C$16/1000*'Reagent cost'!$H$16*0.5)*60*7200</f>
        <v>3228319.5004394953</v>
      </c>
      <c r="DI31">
        <f>CF31*'Reagent cost'!$C$17/1000*'Reagent cost'!$H$17*60*7200</f>
        <v>504921.59999999998</v>
      </c>
      <c r="DJ31">
        <f t="shared" si="16"/>
        <v>100.52892642008669</v>
      </c>
      <c r="DK31">
        <f t="shared" si="17"/>
        <v>1259.0303008563305</v>
      </c>
      <c r="DL31">
        <f t="shared" si="18"/>
        <v>15924512.451298974</v>
      </c>
      <c r="DM31">
        <f>BK31*(B31*(409.81+2)/1000+C31*(248.2+2*22.99)/1000+D31*(315.6+3*22.99)/1000+0.1*58.44/1000)</f>
        <v>0.70639694042110623</v>
      </c>
      <c r="DN31">
        <f>(BS31+BT31)/1000*('Oxidant Feed Composition'!$B$11*'Oxidant Feed Composition'!$O$20+'Oxidant Feed Composition'!$D$11*'Oxidant Feed Composition'!$O$21+'Oxidant Feed Composition'!$F$11*'Oxidant Feed Composition'!$O$27-'Oxidant Feed Composition'!$J$15*18.015)</f>
        <v>2.2323127931880382</v>
      </c>
      <c r="DO31">
        <f>(BU31+BV31)/1000*(0.2*368.34+0.4*58.44)</f>
        <v>1.545813646096621</v>
      </c>
      <c r="DP31">
        <f>BK31/1000*(B31*195.08+C31*106.42+D31*102.91)</f>
        <v>4.999938342565946E-2</v>
      </c>
      <c r="DQ31">
        <f>SUM(DM31:DO31)-DP31</f>
        <v>4.4345239962801051</v>
      </c>
      <c r="DR31">
        <f>DQ31*60*7200*0.33</f>
        <v>632185.74090969178</v>
      </c>
      <c r="DS31">
        <v>1.2</v>
      </c>
      <c r="DT31">
        <f>BM31/60*(AM31*4+AN31*2+AO31*3)*96485/DV31</f>
        <v>1406.5014453655667</v>
      </c>
      <c r="DU31">
        <f>BN31*BA31*(AP31*4+AQ31*2+AR31*3)*96485/DV31/60</f>
        <v>706.74500362572746</v>
      </c>
      <c r="DV31">
        <v>0.7</v>
      </c>
      <c r="DW31">
        <f>0.499*((BK31/3.78541*15)^(-0.146))*BK31/3.78541*15*300*(1+(A31-2)/9)</f>
        <v>33024.331428945443</v>
      </c>
      <c r="DX31">
        <f>0.248*((BK31/3.78541*15)^(-0.144))*BK31/3.78541*15*300*(1+(A31-2)/3)</f>
        <v>24915.659383376755</v>
      </c>
      <c r="DY31">
        <f>0.105*((BK31/3.78541*15)^(-0.144))*BK31/3.78541*15*300*(1+(A31-2)/3)</f>
        <v>10548.968690542577</v>
      </c>
      <c r="DZ31">
        <f>0.058*((BK31/3.78541*15)^(-0.151))*BK31/3.78541*15*300*(1+(A31-2)/3)</f>
        <v>5588.0830181845758</v>
      </c>
      <c r="EA31">
        <f>0.056*((BK31/3.78541*15)^(-0.144))*BK31/3.78541*15*300*(1+(A31-2)/3)</f>
        <v>5626.1166349560426</v>
      </c>
      <c r="EB31">
        <f>DS31*DT31/(3.6*10^6)*3600*7200*0.07</f>
        <v>850.65207415709494</v>
      </c>
      <c r="EC31">
        <f>0.499*((BM31/3.78541*15)^(-0.146))*BM31/3.78541*15*300*(1+(AF31-2)/9)</f>
        <v>51450.283011071304</v>
      </c>
      <c r="ED31">
        <f>0.248*((BM31/3.78541*15)^(-0.144))*BM31/3.78541*15*300*(1+(AF31-2)/3)</f>
        <v>54335.73523577748</v>
      </c>
      <c r="EE31">
        <f>0.105*((BM31/3.78541*15)^(-0.144))*BM31/3.78541*15*300*(1+(AF31-2)/3)</f>
        <v>23005.049192567072</v>
      </c>
      <c r="EF31">
        <f>0.058*((BM31/3.78541*15)^(-0.151))*BM31/3.78541*15*300*(1+(AF31-2)/3)</f>
        <v>12193.156148176799</v>
      </c>
      <c r="EG31">
        <f>0.056*((BM31/3.78541*15)^(-0.144))*BM31/3.78541*15*300*(1+(AF31-2)/3)</f>
        <v>12269.359569369111</v>
      </c>
      <c r="EH31">
        <f>DS31*DU31/(3.6*10^6)*3600*7200*0.07</f>
        <v>427.43937819284008</v>
      </c>
      <c r="EI31">
        <f>SUM(DW31:EH31)</f>
        <v>234234.8337653171</v>
      </c>
      <c r="EJ31">
        <f>EI31+DR31+DL31</f>
        <v>16790933.025973983</v>
      </c>
      <c r="EK31">
        <f>EJ31+DF31</f>
        <v>17554913.107341852</v>
      </c>
      <c r="EL31">
        <f>EK31/(BK31*60*7200)</f>
        <v>0.40636372933661696</v>
      </c>
      <c r="EM31">
        <f>EK31/(BM31*(AM31*195.084/1000+AN31*106.42/1000+AO31*102.911/1000)*60*7200)</f>
        <v>1359.3628343369521</v>
      </c>
      <c r="EN31">
        <f>EK31/(BN31*BA31*(AP31*195.084/1000+AQ31*106.42/1000+AR31*102.911/1000)*60*7200)</f>
        <v>2491.6623596574918</v>
      </c>
    </row>
    <row r="32" spans="1:144">
      <c r="A32">
        <f>'Costing 100 Lmin Feed Orig'!A32</f>
        <v>6</v>
      </c>
      <c r="B32">
        <f>'Costing 100 Lmin Feed Orig'!B32</f>
        <v>1.54143585092054E-3</v>
      </c>
      <c r="C32">
        <f>'Costing 100 Lmin Feed Orig'!C32</f>
        <v>1.54143585092054E-3</v>
      </c>
      <c r="D32">
        <f>'Costing 100 Lmin Feed Orig'!D32</f>
        <v>3.4254130020456501E-4</v>
      </c>
      <c r="E32">
        <f>'Costing 100 Lmin Feed Orig'!E32</f>
        <v>0</v>
      </c>
      <c r="F32">
        <f>'Costing 100 Lmin Feed Orig'!F32</f>
        <v>0</v>
      </c>
      <c r="G32">
        <f>'Costing 100 Lmin Feed Orig'!G32</f>
        <v>0</v>
      </c>
      <c r="H32">
        <f>'Costing 100 Lmin Feed Orig'!H32</f>
        <v>1.7693893431643E-5</v>
      </c>
      <c r="I32">
        <f>'Costing 100 Lmin Feed Orig'!I32</f>
        <v>3.7175600603836103E-8</v>
      </c>
      <c r="J32">
        <f>'Costing 100 Lmin Feed Orig'!J32</f>
        <v>3.36890310328726E-4</v>
      </c>
      <c r="K32">
        <f>'Costing 100 Lmin Feed Orig'!K32</f>
        <v>0.133710118829723</v>
      </c>
      <c r="L32">
        <f>'Costing 100 Lmin Feed Orig'!L32</f>
        <v>0.13525951632913</v>
      </c>
      <c r="M32">
        <f>'Costing 100 Lmin Feed Orig'!M32</f>
        <v>4.9588089642288804E-4</v>
      </c>
      <c r="N32">
        <f>'Costing 100 Lmin Feed Orig'!N32</f>
        <v>-1.72886878424538E-14</v>
      </c>
      <c r="O32">
        <f>'Costing 100 Lmin Feed Orig'!O32</f>
        <v>-1.05961268405396E-12</v>
      </c>
      <c r="P32">
        <f>'Costing 100 Lmin Feed Orig'!P32</f>
        <v>-9.6595637304880395E-18</v>
      </c>
      <c r="Q32">
        <f>'Costing 100 Lmin Feed Orig'!Q32</f>
        <v>0.11395861217105201</v>
      </c>
      <c r="R32">
        <f>'Costing 100 Lmin Feed Orig'!R32</f>
        <v>98.3502748800029</v>
      </c>
      <c r="S32">
        <f>'Costing 100 Lmin Feed Orig'!S32</f>
        <v>500</v>
      </c>
      <c r="T32">
        <f>'Costing 100 Lmin Feed Orig'!T32</f>
        <v>95</v>
      </c>
      <c r="U32">
        <f>'Costing 100 Lmin Feed Orig'!U32</f>
        <v>1</v>
      </c>
      <c r="V32">
        <f>'Costing 100 Lmin Feed Orig'!V32</f>
        <v>0.1</v>
      </c>
      <c r="W32">
        <f>'Costing 100 Lmin Feed Orig'!W32</f>
        <v>87.751156402202497</v>
      </c>
      <c r="X32" t="str">
        <f>'Costing 100 Lmin Feed Orig'!X32</f>
        <v>ddFc</v>
      </c>
      <c r="Y32">
        <f>'Costing 100 Lmin Feed Orig'!Y32</f>
        <v>1</v>
      </c>
      <c r="Z32">
        <f>'Costing 100 Lmin Feed Orig'!Z32</f>
        <v>0.28318429382522198</v>
      </c>
      <c r="AA32">
        <f>'Costing 100 Lmin Feed Orig'!AA32</f>
        <v>0.56945642916197003</v>
      </c>
      <c r="AB32">
        <f>'Costing 100 Lmin Feed Orig'!AB32</f>
        <v>3.7698628972227502E-3</v>
      </c>
      <c r="AC32">
        <f>'Costing 100 Lmin Feed Orig'!AC32</f>
        <v>1822.2107908876901</v>
      </c>
      <c r="AD32">
        <f>'Costing 100 Lmin Feed Orig'!AD32</f>
        <v>2662.6059073104898</v>
      </c>
      <c r="AE32">
        <f>'Costing 100 Lmin Feed Orig'!AE32</f>
        <v>2401.5030938442701</v>
      </c>
      <c r="AF32">
        <f>'Costing 100 Lmin Feed Orig'!AF32</f>
        <v>4</v>
      </c>
      <c r="AG32">
        <f>'Costing 100 Lmin Feed Orig'!AG32</f>
        <v>1.64951815726537E-3</v>
      </c>
      <c r="AH32">
        <f>'Costing 100 Lmin Feed Orig'!AH32</f>
        <v>1.6686323374819601E-3</v>
      </c>
      <c r="AI32">
        <f>'Costing 100 Lmin Feed Orig'!AI32</f>
        <v>6.1174468293775103E-6</v>
      </c>
      <c r="AJ32">
        <f>'Costing 100 Lmin Feed Orig'!AJ32</f>
        <v>0</v>
      </c>
      <c r="AK32">
        <f>'Costing 100 Lmin Feed Orig'!AK32</f>
        <v>0</v>
      </c>
      <c r="AL32">
        <f>'Costing 100 Lmin Feed Orig'!AL32</f>
        <v>0</v>
      </c>
      <c r="AM32">
        <f>'Costing 100 Lmin Feed Orig'!AM32</f>
        <v>1.60449551819817E-3</v>
      </c>
      <c r="AN32">
        <f>'Costing 100 Lmin Feed Orig'!AN32</f>
        <v>7.8378352599036395E-5</v>
      </c>
      <c r="AO32">
        <f>'Costing 100 Lmin Feed Orig'!AO32</f>
        <v>6.0687799409797502E-6</v>
      </c>
      <c r="AP32">
        <f>'Costing 100 Lmin Feed Orig'!AP32</f>
        <v>1.98992535233798E-3</v>
      </c>
      <c r="AQ32">
        <f>'Costing 100 Lmin Feed Orig'!AQ32</f>
        <v>7.0286566630574296E-2</v>
      </c>
      <c r="AR32">
        <f>'Costing 100 Lmin Feed Orig'!AR32</f>
        <v>2.1509950778718299E-6</v>
      </c>
      <c r="AS32">
        <f>'Costing 100 Lmin Feed Orig'!AS32</f>
        <v>-1.0218998498963401E-14</v>
      </c>
      <c r="AT32">
        <f>'Costing 100 Lmin Feed Orig'!AT32</f>
        <v>-1.31525649746389E-13</v>
      </c>
      <c r="AU32">
        <f>'Costing 100 Lmin Feed Orig'!AU32</f>
        <v>-3.7253567811428197E-18</v>
      </c>
      <c r="AV32">
        <f>'Costing 100 Lmin Feed Orig'!AV32</f>
        <v>0.20900106017960299</v>
      </c>
      <c r="AW32">
        <f>'Costing 100 Lmin Feed Orig'!AW32</f>
        <v>99.204457517079604</v>
      </c>
      <c r="AX32">
        <f>'Costing 100 Lmin Feed Orig'!AX32</f>
        <v>500</v>
      </c>
      <c r="AY32">
        <f>'Costing 100 Lmin Feed Orig'!AY32</f>
        <v>95</v>
      </c>
      <c r="AZ32">
        <f>'Costing 100 Lmin Feed Orig'!AZ32</f>
        <v>0.92374973309314701</v>
      </c>
      <c r="BA32">
        <f>'Costing 100 Lmin Feed Orig'!BA32</f>
        <v>0.1</v>
      </c>
      <c r="BB32">
        <f>'Costing 100 Lmin Feed Orig'!BB32</f>
        <v>44.198327620889899</v>
      </c>
      <c r="BC32" t="str">
        <f>'Costing 100 Lmin Feed Orig'!BC32</f>
        <v>coeFc</v>
      </c>
      <c r="BD32">
        <f>'Costing 100 Lmin Feed Orig'!BD32</f>
        <v>1</v>
      </c>
      <c r="BE32">
        <f>'Costing 100 Lmin Feed Orig'!BE32</f>
        <v>1.8775014999999999E-2</v>
      </c>
      <c r="BF32">
        <f>'Costing 100 Lmin Feed Orig'!BF32</f>
        <v>0.10492961100000001</v>
      </c>
      <c r="BG32">
        <f>'Costing 100 Lmin Feed Orig'!BG32</f>
        <v>1.814625E-3</v>
      </c>
      <c r="BH32">
        <f>'Costing 100 Lmin Feed Orig'!BH32</f>
        <v>285.1951444</v>
      </c>
      <c r="BI32">
        <f>'Costing 100 Lmin Feed Orig'!BI32</f>
        <v>2169.8944889999998</v>
      </c>
      <c r="BJ32">
        <f>'Costing 100 Lmin Feed Orig'!BJ32</f>
        <v>866.49409060000005</v>
      </c>
      <c r="BK32">
        <f>'Costing 100 Lmin Feed Orig'!BK32</f>
        <v>100</v>
      </c>
      <c r="BL32">
        <f>'Costing 100 Lmin Feed Orig'!BL32</f>
        <v>11.395861217105201</v>
      </c>
      <c r="BM32">
        <f>'Costing 100 Lmin Feed Orig'!BM32</f>
        <v>92.374973309314697</v>
      </c>
      <c r="BN32">
        <f>'Costing 100 Lmin Feed Orig'!BN32</f>
        <v>20.900106017960297</v>
      </c>
      <c r="BO32">
        <f t="shared" si="1"/>
        <v>182.33377947368322</v>
      </c>
      <c r="BP32">
        <f t="shared" si="2"/>
        <v>250.80127221552357</v>
      </c>
      <c r="BQ32">
        <f t="shared" si="3"/>
        <v>18.233377947368322</v>
      </c>
      <c r="BR32">
        <f t="shared" si="4"/>
        <v>25.08012722155236</v>
      </c>
      <c r="BS32">
        <f>1.2*0.5*BL32*V32/'Oxidant Feed Composition'!$N$22</f>
        <v>6.837516730263121</v>
      </c>
      <c r="BT32">
        <f>1.2*0.5*BN32*BA32/'Oxidant Feed Composition'!$N$22</f>
        <v>12.54006361077618</v>
      </c>
      <c r="BU32">
        <f t="shared" si="5"/>
        <v>5.6979306085525998</v>
      </c>
      <c r="BV32">
        <f t="shared" si="6"/>
        <v>10.450053008980149</v>
      </c>
      <c r="BW32">
        <f t="shared" si="7"/>
        <v>86.677042700762101</v>
      </c>
      <c r="BX32">
        <f t="shared" si="0"/>
        <v>36.466755894736643</v>
      </c>
      <c r="BY32">
        <f t="shared" si="8"/>
        <v>207.54166905283981</v>
      </c>
      <c r="BZ32">
        <f t="shared" si="9"/>
        <v>66.880339257472954</v>
      </c>
      <c r="CA32">
        <f t="shared" si="10"/>
        <v>62.700318053880892</v>
      </c>
      <c r="CB32">
        <f>BO32*'Reagent cost'!$G$11*'Reagent cost'!$H$11</f>
        <v>2406.8058890526186</v>
      </c>
      <c r="CC32">
        <f>BP32*'Reagent cost'!$G$11*'Reagent cost'!$H$11</f>
        <v>3310.5767932449112</v>
      </c>
      <c r="CD32">
        <f>BQ32*'Reagent cost'!$C$18/1000*'Reagent cost'!$H$18</f>
        <v>2907.8673690603878</v>
      </c>
      <c r="CE32">
        <f>BR32*'Ligand cost'!$B$56*'Ligand cost'!$J$56</f>
        <v>25534.773044739486</v>
      </c>
      <c r="CF32">
        <f t="shared" si="11"/>
        <v>10</v>
      </c>
      <c r="CG32">
        <f t="shared" si="12"/>
        <v>2.2791722434210402</v>
      </c>
      <c r="CH32">
        <f t="shared" si="12"/>
        <v>4.1800212035920596</v>
      </c>
      <c r="CI32">
        <f>7963.6*(BX32/1000)^0.6*1.7*('CAPEX+OPEX'!$G$116/'CAPEX+OPEX'!$G$115)</f>
        <v>2189.6727102460782</v>
      </c>
      <c r="CJ32">
        <f>7963.6*(BY32/1000)^0.6*1.7*('CAPEX+OPEX'!$G$116/'CAPEX+OPEX'!$G$115)</f>
        <v>6215.9013146876341</v>
      </c>
      <c r="CK32">
        <f>7963.6*(BZ32/1000)^0.6*1.7*('CAPEX+OPEX'!$G$116/'CAPEX+OPEX'!$G$115)</f>
        <v>3150.7939894739484</v>
      </c>
      <c r="CL32">
        <f>7963.6*(CA32/1000)^0.6*1.7*('CAPEX+OPEX'!$G$116/'CAPEX+OPEX'!$G$115)</f>
        <v>3031.11751556647</v>
      </c>
      <c r="CM32">
        <f>'Costing 100 Lmin Feed Orig'!DE32</f>
        <v>39625.826528698344</v>
      </c>
      <c r="CN32">
        <f>'Costing 100 Lmin Feed Orig'!DF32</f>
        <v>4586243.4239371875</v>
      </c>
      <c r="CO32">
        <f>'Costing 100 Lmin Feed Orig'!DG32</f>
        <v>11794834.586807497</v>
      </c>
      <c r="CP32">
        <f>'Costing 100 Lmin Feed Orig'!DH32</f>
        <v>2275209.1661185985</v>
      </c>
      <c r="CQ32">
        <f>'Costing 100 Lmin Feed Orig'!DI32</f>
        <v>14083914.336508472</v>
      </c>
      <c r="CR32">
        <f>'Costing 100 Lmin Feed Orig'!DJ32</f>
        <v>1662824.8986326549</v>
      </c>
      <c r="CS32">
        <f>CN32*(BK32/10000)^0.72*((A32+1)/3)^0.6*('CAPEX+OPEX'!$G$116/'CAPEX+OPEX'!$G$114)</f>
        <v>646135.89638675924</v>
      </c>
      <c r="CT32">
        <f>CO32*(BK32/10000)^0.72*((A32+1)/3)^0.6*('CAPEX+OPEX'!$G$116/'CAPEX+OPEX'!$G$114)</f>
        <v>1661722.9645298459</v>
      </c>
      <c r="CU32">
        <f>CP32*(BK32/10000)^0.72*((A32+1)/3)^0.6*('CAPEX+OPEX'!$G$116/'CAPEX+OPEX'!$G$114)</f>
        <v>320544.32748695416</v>
      </c>
      <c r="CV32">
        <f>CQ32*(BK32/10000)^0.72*((A32+1)/3)^0.6*('CAPEX+OPEX'!$G$116/'CAPEX+OPEX'!$G$114)</f>
        <v>1984221.4582325809</v>
      </c>
      <c r="CW32">
        <f>CR32*(BK32/10000)^0.72*((A32+1)/3)^0.6*('CAPEX+OPEX'!$G$116/'CAPEX+OPEX'!$G$114)</f>
        <v>234268.17050410178</v>
      </c>
      <c r="CX32">
        <f t="shared" si="13"/>
        <v>4846892.8171402421</v>
      </c>
      <c r="CY32">
        <f>CN32*(BM32/10000)^0.72*((AF32+1)/3)^0.6*('CAPEX+OPEX'!$G$116/'CAPEX+OPEX'!$G$114)</f>
        <v>498707.80181552708</v>
      </c>
      <c r="CZ32">
        <f>CO32*(BM32/10000)^0.72*((AF32+1)/3)^0.6*('CAPEX+OPEX'!$G$116/'CAPEX+OPEX'!$G$114)</f>
        <v>1282569.5205935668</v>
      </c>
      <c r="DA32">
        <f>CP32*(BM32/10000)^0.72*((AF32+1)/3)^0.6*('CAPEX+OPEX'!$G$116/'CAPEX+OPEX'!$G$114)</f>
        <v>247406.09187539818</v>
      </c>
      <c r="DB32">
        <f>CQ32*(BM32/10000)^0.72*((AF32+1)/3)^0.6*('CAPEX+OPEX'!$G$116/'CAPEX+OPEX'!$G$114)</f>
        <v>1531483.8987958883</v>
      </c>
      <c r="DC32">
        <f>CR32*(BM32/10000)^0.72*((AF32+1)/3)^0.6*('CAPEX+OPEX'!$G$116/'CAPEX+OPEX'!$G$114)</f>
        <v>180815.46776889433</v>
      </c>
      <c r="DD32">
        <f t="shared" si="14"/>
        <v>3740982.7808492747</v>
      </c>
      <c r="DE32">
        <f>CX32+DD32+1.15*(SUM(CI32:CL32)+SUM(CB32:CE32))</f>
        <v>8643935.2329094987</v>
      </c>
      <c r="DF32">
        <f t="shared" si="15"/>
        <v>576262.34886063321</v>
      </c>
      <c r="DG32">
        <f>(BS32+BT32)*'Oxidant Feed Composition'!$N$29*60*7200</f>
        <v>9666921.4084499665</v>
      </c>
      <c r="DH32">
        <f>((CG32+CH32)*'Reagent cost'!$C$17/1000*'Reagent cost'!$H$17+(CG32+CH32)*0.5*'Reagent cost'!$C$16/1000*'Reagent cost'!$H$16*0.5)*60*7200</f>
        <v>3272701.2466881089</v>
      </c>
      <c r="DI32">
        <f>CF32*'Reagent cost'!$C$17/1000*'Reagent cost'!$H$17*60*7200</f>
        <v>504921.59999999998</v>
      </c>
      <c r="DJ32">
        <f t="shared" si="16"/>
        <v>57.1738268229753</v>
      </c>
      <c r="DK32">
        <f t="shared" si="17"/>
        <v>568.85280827599752</v>
      </c>
      <c r="DL32">
        <f t="shared" si="18"/>
        <v>16134204.338127809</v>
      </c>
      <c r="DM32">
        <f>BK32*(B32*(409.81+2)/1000+C32*(248.2+2*22.99)/1000+D32*(315.6+3*22.99)/1000+0.1*58.44/1000)</f>
        <v>0.70639694042110623</v>
      </c>
      <c r="DN32">
        <f>(BS32+BT32)/1000*('Oxidant Feed Composition'!$B$11*'Oxidant Feed Composition'!$O$20+'Oxidant Feed Composition'!$D$11*'Oxidant Feed Composition'!$O$21+'Oxidant Feed Composition'!$F$11*'Oxidant Feed Composition'!$O$27-'Oxidant Feed Composition'!$J$15*18.015)</f>
        <v>2.2630018064413178</v>
      </c>
      <c r="DO32">
        <f>(BU32+BV32)/1000*(0.2*368.34+0.4*58.44)</f>
        <v>1.5670649221798481</v>
      </c>
      <c r="DP32">
        <f>BK32/1000*(B32*195.08+C32*106.42+D32*102.91)</f>
        <v>4.999938342565946E-2</v>
      </c>
      <c r="DQ32">
        <f>SUM(DM32:DO32)-DP32</f>
        <v>4.4864642856166119</v>
      </c>
      <c r="DR32">
        <f>DQ32*60*7200*0.33</f>
        <v>639590.34855750436</v>
      </c>
      <c r="DS32">
        <v>1.2</v>
      </c>
      <c r="DT32">
        <f>BM32/60*(AM32*4+AN32*2+AO32*3)*96485/DV32</f>
        <v>1399.085634031785</v>
      </c>
      <c r="DU32">
        <f>BN32*BA32*(AP32*4+AQ32*2+AR32*3)*96485/DV32/60</f>
        <v>713.18193969377842</v>
      </c>
      <c r="DV32">
        <v>0.7</v>
      </c>
      <c r="DW32">
        <f>0.499*((BK32/3.78541*15)^(-0.146))*BK32/3.78541*15*300*(1+(A32-2)/9)</f>
        <v>35776.359048024235</v>
      </c>
      <c r="DX32">
        <f>0.248*((BK32/3.78541*15)^(-0.144))*BK32/3.78541*15*300*(1+(A32-2)/3)</f>
        <v>29068.269280606211</v>
      </c>
      <c r="DY32">
        <f>0.105*((BK32/3.78541*15)^(-0.144))*BK32/3.78541*15*300*(1+(A32-2)/3)</f>
        <v>12307.130138966339</v>
      </c>
      <c r="DZ32">
        <f>0.058*((BK32/3.78541*15)^(-0.151))*BK32/3.78541*15*300*(1+(A32-2)/3)</f>
        <v>6519.4301878820042</v>
      </c>
      <c r="EA32">
        <f>0.056*((BK32/3.78541*15)^(-0.144))*BK32/3.78541*15*300*(1+(A32-2)/3)</f>
        <v>6563.8027407820491</v>
      </c>
      <c r="EB32">
        <f>DS32*DT32/(3.6*10^6)*3600*7200*0.07</f>
        <v>846.16699146242365</v>
      </c>
      <c r="EC32">
        <f>0.499*((BM32/3.78541*15)^(-0.146))*BM32/3.78541*15*300*(1+(AF32-2)/9)</f>
        <v>28289.73423978344</v>
      </c>
      <c r="ED32">
        <f>0.248*((BM32/3.78541*15)^(-0.144))*BM32/3.78541*15*300*(1+(AF32-2)/3)</f>
        <v>19400.174755088523</v>
      </c>
      <c r="EE32">
        <f>0.105*((BM32/3.78541*15)^(-0.144))*BM32/3.78541*15*300*(1+(AF32-2)/3)</f>
        <v>8213.783666468933</v>
      </c>
      <c r="EF32">
        <f>0.058*((BM32/3.78541*15)^(-0.151))*BM32/3.78541*15*300*(1+(AF32-2)/3)</f>
        <v>4353.4867414415085</v>
      </c>
      <c r="EG32">
        <f>0.056*((BM32/3.78541*15)^(-0.144))*BM32/3.78541*15*300*(1+(AF32-2)/3)</f>
        <v>4380.6846221167634</v>
      </c>
      <c r="EH32">
        <f>DS32*DU32/(3.6*10^6)*3600*7200*0.07</f>
        <v>431.33243712679723</v>
      </c>
      <c r="EI32">
        <f>SUM(DW32:EH32)</f>
        <v>156150.35484974924</v>
      </c>
      <c r="EJ32">
        <f>EI32+DR32+DL32</f>
        <v>16929945.041535061</v>
      </c>
      <c r="EK32">
        <f>EJ32+DF32</f>
        <v>17506207.390395693</v>
      </c>
      <c r="EL32">
        <f>EK32/(BK32*60*7200)</f>
        <v>0.40523628218508551</v>
      </c>
      <c r="EM32">
        <f>EK32/(BM32*(AM32*195.084/1000+AN32*106.42/1000+AO32*102.911/1000)*60*7200)</f>
        <v>1362.47701469808</v>
      </c>
      <c r="EN32">
        <f>EK32/(BN32*BA32*(AP32*195.084/1000+AQ32*106.42/1000+AR32*102.911/1000)*60*7200)</f>
        <v>2464.2104679775825</v>
      </c>
    </row>
    <row r="33" spans="1:144">
      <c r="A33">
        <f>'Costing 100 Lmin Feed Orig'!A33</f>
        <v>6</v>
      </c>
      <c r="B33">
        <f>'Costing 100 Lmin Feed Orig'!B33</f>
        <v>1.54143585092054E-3</v>
      </c>
      <c r="C33">
        <f>'Costing 100 Lmin Feed Orig'!C33</f>
        <v>1.54143585092054E-3</v>
      </c>
      <c r="D33">
        <f>'Costing 100 Lmin Feed Orig'!D33</f>
        <v>3.4254130020456501E-4</v>
      </c>
      <c r="E33">
        <f>'Costing 100 Lmin Feed Orig'!E33</f>
        <v>0</v>
      </c>
      <c r="F33">
        <f>'Costing 100 Lmin Feed Orig'!F33</f>
        <v>0</v>
      </c>
      <c r="G33">
        <f>'Costing 100 Lmin Feed Orig'!G33</f>
        <v>0</v>
      </c>
      <c r="H33">
        <f>'Costing 100 Lmin Feed Orig'!H33</f>
        <v>1.7693893431643E-5</v>
      </c>
      <c r="I33">
        <f>'Costing 100 Lmin Feed Orig'!I33</f>
        <v>3.7175600603836103E-8</v>
      </c>
      <c r="J33">
        <f>'Costing 100 Lmin Feed Orig'!J33</f>
        <v>3.36890310328726E-4</v>
      </c>
      <c r="K33">
        <f>'Costing 100 Lmin Feed Orig'!K33</f>
        <v>0.133710118829723</v>
      </c>
      <c r="L33">
        <f>'Costing 100 Lmin Feed Orig'!L33</f>
        <v>0.13525951632913</v>
      </c>
      <c r="M33">
        <f>'Costing 100 Lmin Feed Orig'!M33</f>
        <v>4.9588089642288804E-4</v>
      </c>
      <c r="N33">
        <f>'Costing 100 Lmin Feed Orig'!N33</f>
        <v>-1.72886878424538E-14</v>
      </c>
      <c r="O33">
        <f>'Costing 100 Lmin Feed Orig'!O33</f>
        <v>-1.05961268405396E-12</v>
      </c>
      <c r="P33">
        <f>'Costing 100 Lmin Feed Orig'!P33</f>
        <v>-9.6595637304880395E-18</v>
      </c>
      <c r="Q33">
        <f>'Costing 100 Lmin Feed Orig'!Q33</f>
        <v>0.11395861217105201</v>
      </c>
      <c r="R33">
        <f>'Costing 100 Lmin Feed Orig'!R33</f>
        <v>98.3502748800029</v>
      </c>
      <c r="S33">
        <f>'Costing 100 Lmin Feed Orig'!S33</f>
        <v>500</v>
      </c>
      <c r="T33">
        <f>'Costing 100 Lmin Feed Orig'!T33</f>
        <v>95</v>
      </c>
      <c r="U33">
        <f>'Costing 100 Lmin Feed Orig'!U33</f>
        <v>1</v>
      </c>
      <c r="V33">
        <f>'Costing 100 Lmin Feed Orig'!V33</f>
        <v>0.1</v>
      </c>
      <c r="W33">
        <f>'Costing 100 Lmin Feed Orig'!W33</f>
        <v>87.751156402202497</v>
      </c>
      <c r="X33" t="str">
        <f>'Costing 100 Lmin Feed Orig'!X33</f>
        <v>ddFc</v>
      </c>
      <c r="Y33">
        <f>'Costing 100 Lmin Feed Orig'!Y33</f>
        <v>1</v>
      </c>
      <c r="Z33">
        <f>'Costing 100 Lmin Feed Orig'!Z33</f>
        <v>0.28318429382522198</v>
      </c>
      <c r="AA33">
        <f>'Costing 100 Lmin Feed Orig'!AA33</f>
        <v>0.56945642916197003</v>
      </c>
      <c r="AB33">
        <f>'Costing 100 Lmin Feed Orig'!AB33</f>
        <v>3.7698628972227502E-3</v>
      </c>
      <c r="AC33">
        <f>'Costing 100 Lmin Feed Orig'!AC33</f>
        <v>1822.2107908876901</v>
      </c>
      <c r="AD33">
        <f>'Costing 100 Lmin Feed Orig'!AD33</f>
        <v>2662.6059073104898</v>
      </c>
      <c r="AE33">
        <f>'Costing 100 Lmin Feed Orig'!AE33</f>
        <v>2401.5030938442701</v>
      </c>
      <c r="AF33">
        <f>'Costing 100 Lmin Feed Orig'!AF33</f>
        <v>5</v>
      </c>
      <c r="AG33">
        <f>'Costing 100 Lmin Feed Orig'!AG33</f>
        <v>1.64951815726537E-3</v>
      </c>
      <c r="AH33">
        <f>'Costing 100 Lmin Feed Orig'!AH33</f>
        <v>1.6686323374819601E-3</v>
      </c>
      <c r="AI33">
        <f>'Costing 100 Lmin Feed Orig'!AI33</f>
        <v>6.1174468293775103E-6</v>
      </c>
      <c r="AJ33">
        <f>'Costing 100 Lmin Feed Orig'!AJ33</f>
        <v>0</v>
      </c>
      <c r="AK33">
        <f>'Costing 100 Lmin Feed Orig'!AK33</f>
        <v>0</v>
      </c>
      <c r="AL33">
        <f>'Costing 100 Lmin Feed Orig'!AL33</f>
        <v>0</v>
      </c>
      <c r="AM33">
        <f>'Costing 100 Lmin Feed Orig'!AM33</f>
        <v>1.6101609638428101E-3</v>
      </c>
      <c r="AN33">
        <f>'Costing 100 Lmin Feed Orig'!AN33</f>
        <v>7.8670620175806696E-5</v>
      </c>
      <c r="AO33">
        <f>'Costing 100 Lmin Feed Orig'!AO33</f>
        <v>6.0746937584639903E-6</v>
      </c>
      <c r="AP33">
        <f>'Costing 100 Lmin Feed Orig'!AP33</f>
        <v>1.81262020813318E-3</v>
      </c>
      <c r="AQ33">
        <f>'Costing 100 Lmin Feed Orig'!AQ33</f>
        <v>7.3226683315541802E-2</v>
      </c>
      <c r="AR33">
        <f>'Costing 100 Lmin Feed Orig'!AR33</f>
        <v>1.96901947416695E-6</v>
      </c>
      <c r="AS33">
        <f>'Costing 100 Lmin Feed Orig'!AS33</f>
        <v>-5.6209106379795297E-17</v>
      </c>
      <c r="AT33">
        <f>'Costing 100 Lmin Feed Orig'!AT33</f>
        <v>1.07336015076064E-16</v>
      </c>
      <c r="AU33">
        <f>'Costing 100 Lmin Feed Orig'!AU33</f>
        <v>-4.8360287332300198E-20</v>
      </c>
      <c r="AV33">
        <f>'Costing 100 Lmin Feed Orig'!AV33</f>
        <v>0.200572611715987</v>
      </c>
      <c r="AW33">
        <f>'Costing 100 Lmin Feed Orig'!AW33</f>
        <v>99.301128851529697</v>
      </c>
      <c r="AX33">
        <f>'Costing 100 Lmin Feed Orig'!AX33</f>
        <v>500</v>
      </c>
      <c r="AY33">
        <f>'Costing 100 Lmin Feed Orig'!AY33</f>
        <v>95</v>
      </c>
      <c r="AZ33">
        <f>'Costing 100 Lmin Feed Orig'!AZ33</f>
        <v>0.92374973309314701</v>
      </c>
      <c r="BA33">
        <f>'Costing 100 Lmin Feed Orig'!BA33</f>
        <v>0.1</v>
      </c>
      <c r="BB33">
        <f>'Costing 100 Lmin Feed Orig'!BB33</f>
        <v>46.055626697486701</v>
      </c>
      <c r="BC33" t="str">
        <f>'Costing 100 Lmin Feed Orig'!BC33</f>
        <v>coeFc</v>
      </c>
      <c r="BD33">
        <f>'Costing 100 Lmin Feed Orig'!BD33</f>
        <v>1</v>
      </c>
      <c r="BE33">
        <f>'Costing 100 Lmin Feed Orig'!BE33</f>
        <v>1.8775014999999999E-2</v>
      </c>
      <c r="BF33">
        <f>'Costing 100 Lmin Feed Orig'!BF33</f>
        <v>0.10492961100000001</v>
      </c>
      <c r="BG33">
        <f>'Costing 100 Lmin Feed Orig'!BG33</f>
        <v>1.814625E-3</v>
      </c>
      <c r="BH33">
        <f>'Costing 100 Lmin Feed Orig'!BH33</f>
        <v>285.1951444</v>
      </c>
      <c r="BI33">
        <f>'Costing 100 Lmin Feed Orig'!BI33</f>
        <v>2169.8944889999998</v>
      </c>
      <c r="BJ33">
        <f>'Costing 100 Lmin Feed Orig'!BJ33</f>
        <v>866.49409060000005</v>
      </c>
      <c r="BK33">
        <f>'Costing 100 Lmin Feed Orig'!BK33</f>
        <v>100</v>
      </c>
      <c r="BL33">
        <f>'Costing 100 Lmin Feed Orig'!BL33</f>
        <v>11.395861217105201</v>
      </c>
      <c r="BM33">
        <f>'Costing 100 Lmin Feed Orig'!BM33</f>
        <v>92.374973309314697</v>
      </c>
      <c r="BN33">
        <f>'Costing 100 Lmin Feed Orig'!BN33</f>
        <v>20.0572611715987</v>
      </c>
      <c r="BO33">
        <f t="shared" si="1"/>
        <v>182.33377947368322</v>
      </c>
      <c r="BP33">
        <f t="shared" si="2"/>
        <v>280.80165640238181</v>
      </c>
      <c r="BQ33">
        <f t="shared" si="3"/>
        <v>18.233377947368322</v>
      </c>
      <c r="BR33">
        <f t="shared" si="4"/>
        <v>28.080165640238182</v>
      </c>
      <c r="BS33">
        <f>1.2*0.5*BL33*V33/'Oxidant Feed Composition'!$N$22</f>
        <v>6.837516730263121</v>
      </c>
      <c r="BT33">
        <f>1.2*0.5*BN33*BA33/'Oxidant Feed Composition'!$N$22</f>
        <v>12.03435670295922</v>
      </c>
      <c r="BU33">
        <f t="shared" si="5"/>
        <v>5.6979306085525998</v>
      </c>
      <c r="BV33">
        <f t="shared" si="6"/>
        <v>10.028630585799348</v>
      </c>
      <c r="BW33">
        <f t="shared" si="7"/>
        <v>86.677042700762101</v>
      </c>
      <c r="BX33">
        <f t="shared" si="0"/>
        <v>36.466755894736643</v>
      </c>
      <c r="BY33">
        <f t="shared" si="8"/>
        <v>207.54166905283981</v>
      </c>
      <c r="BZ33">
        <f t="shared" si="9"/>
        <v>64.183235749115838</v>
      </c>
      <c r="CA33">
        <f t="shared" si="10"/>
        <v>60.171783514796097</v>
      </c>
      <c r="CB33">
        <f>BO33*'Reagent cost'!$G$11*'Reagent cost'!$H$11</f>
        <v>2406.8058890526186</v>
      </c>
      <c r="CC33">
        <f>BP33*'Reagent cost'!$G$11*'Reagent cost'!$H$11</f>
        <v>3706.58186451144</v>
      </c>
      <c r="CD33">
        <f>BQ33*'Reagent cost'!$C$18/1000*'Reagent cost'!$H$18</f>
        <v>2907.8673690603878</v>
      </c>
      <c r="CE33">
        <f>BR33*'Ligand cost'!$B$56*'Ligand cost'!$J$56</f>
        <v>28589.195355676231</v>
      </c>
      <c r="CF33">
        <f t="shared" si="11"/>
        <v>10</v>
      </c>
      <c r="CG33">
        <f t="shared" si="12"/>
        <v>2.2791722434210402</v>
      </c>
      <c r="CH33">
        <f t="shared" si="12"/>
        <v>4.0114522343197399</v>
      </c>
      <c r="CI33">
        <f>7963.6*(BX33/1000)^0.6*1.7*('CAPEX+OPEX'!$G$116/'CAPEX+OPEX'!$G$115)</f>
        <v>2189.6727102460782</v>
      </c>
      <c r="CJ33">
        <f>7963.6*(BY33/1000)^0.6*1.7*('CAPEX+OPEX'!$G$116/'CAPEX+OPEX'!$G$115)</f>
        <v>6215.9013146876341</v>
      </c>
      <c r="CK33">
        <f>7963.6*(BZ33/1000)^0.6*1.7*('CAPEX+OPEX'!$G$116/'CAPEX+OPEX'!$G$115)</f>
        <v>3073.9294278872244</v>
      </c>
      <c r="CL33">
        <f>7963.6*(CA33/1000)^0.6*1.7*('CAPEX+OPEX'!$G$116/'CAPEX+OPEX'!$G$115)</f>
        <v>2957.1724973487744</v>
      </c>
      <c r="CM33">
        <f>'Costing 100 Lmin Feed Orig'!DE33</f>
        <v>39625.826528698344</v>
      </c>
      <c r="CN33">
        <f>'Costing 100 Lmin Feed Orig'!DF33</f>
        <v>4586243.4239371875</v>
      </c>
      <c r="CO33">
        <f>'Costing 100 Lmin Feed Orig'!DG33</f>
        <v>11794834.586807497</v>
      </c>
      <c r="CP33">
        <f>'Costing 100 Lmin Feed Orig'!DH33</f>
        <v>2275209.1661185985</v>
      </c>
      <c r="CQ33">
        <f>'Costing 100 Lmin Feed Orig'!DI33</f>
        <v>14083914.336508472</v>
      </c>
      <c r="CR33">
        <f>'Costing 100 Lmin Feed Orig'!DJ33</f>
        <v>1662824.8986326549</v>
      </c>
      <c r="CS33">
        <f>CN33*(BK33/10000)^0.72*((A33+1)/3)^0.6*('CAPEX+OPEX'!$G$116/'CAPEX+OPEX'!$G$114)</f>
        <v>646135.89638675924</v>
      </c>
      <c r="CT33">
        <f>CO33*(BK33/10000)^0.72*((A33+1)/3)^0.6*('CAPEX+OPEX'!$G$116/'CAPEX+OPEX'!$G$114)</f>
        <v>1661722.9645298459</v>
      </c>
      <c r="CU33">
        <f>CP33*(BK33/10000)^0.72*((A33+1)/3)^0.6*('CAPEX+OPEX'!$G$116/'CAPEX+OPEX'!$G$114)</f>
        <v>320544.32748695416</v>
      </c>
      <c r="CV33">
        <f>CQ33*(BK33/10000)^0.72*((A33+1)/3)^0.6*('CAPEX+OPEX'!$G$116/'CAPEX+OPEX'!$G$114)</f>
        <v>1984221.4582325809</v>
      </c>
      <c r="CW33">
        <f>CR33*(BK33/10000)^0.72*((A33+1)/3)^0.6*('CAPEX+OPEX'!$G$116/'CAPEX+OPEX'!$G$114)</f>
        <v>234268.17050410178</v>
      </c>
      <c r="CX33">
        <f t="shared" si="13"/>
        <v>4846892.8171402421</v>
      </c>
      <c r="CY33">
        <f>CN33*(BM33/10000)^0.72*((AF33+1)/3)^0.6*('CAPEX+OPEX'!$G$116/'CAPEX+OPEX'!$G$114)</f>
        <v>556358.73376691749</v>
      </c>
      <c r="CZ33">
        <f>CO33*(BM33/10000)^0.72*((AF33+1)/3)^0.6*('CAPEX+OPEX'!$G$116/'CAPEX+OPEX'!$G$114)</f>
        <v>1430835.35458591</v>
      </c>
      <c r="DA33">
        <f>CP33*(BM33/10000)^0.72*((AF33+1)/3)^0.6*('CAPEX+OPEX'!$G$116/'CAPEX+OPEX'!$G$114)</f>
        <v>276006.38991594099</v>
      </c>
      <c r="DB33">
        <f>CQ33*(BM33/10000)^0.72*((AF33+1)/3)^0.6*('CAPEX+OPEX'!$G$116/'CAPEX+OPEX'!$G$114)</f>
        <v>1708524.3896659126</v>
      </c>
      <c r="DC33">
        <f>CR33*(BM33/10000)^0.72*((AF33+1)/3)^0.6*('CAPEX+OPEX'!$G$116/'CAPEX+OPEX'!$G$114)</f>
        <v>201717.84826134806</v>
      </c>
      <c r="DD33">
        <f t="shared" si="14"/>
        <v>4173442.7161960285</v>
      </c>
      <c r="DE33">
        <f>CX33+DD33+1.15*(SUM(CI33:CL33)+SUM(CB33:CE33))</f>
        <v>9080189.7287290115</v>
      </c>
      <c r="DF33">
        <f t="shared" si="15"/>
        <v>605345.98191526742</v>
      </c>
      <c r="DG33">
        <f>(BS33+BT33)*'Oxidant Feed Composition'!$N$29*60*7200</f>
        <v>9414638.6751293708</v>
      </c>
      <c r="DH33">
        <f>((CG33+CH33)*'Reagent cost'!$C$17/1000*'Reagent cost'!$H$17+(CG33+CH33)*0.5*'Reagent cost'!$C$16/1000*'Reagent cost'!$H$16*0.5)*60*7200</f>
        <v>3187291.8406351656</v>
      </c>
      <c r="DI33">
        <f>CF33*'Reagent cost'!$C$17/1000*'Reagent cost'!$H$17*60*7200</f>
        <v>504921.59999999998</v>
      </c>
      <c r="DJ33">
        <f t="shared" si="16"/>
        <v>61.133877535640586</v>
      </c>
      <c r="DK33">
        <f t="shared" si="17"/>
        <v>629.94125449473233</v>
      </c>
      <c r="DL33">
        <f t="shared" si="18"/>
        <v>15729051.82907588</v>
      </c>
      <c r="DM33">
        <f>BK33*(B33*(409.81+2)/1000+C33*(248.2+2*22.99)/1000+D33*(315.6+3*22.99)/1000+0.1*58.44/1000)</f>
        <v>0.70639694042110623</v>
      </c>
      <c r="DN33">
        <f>(BS33+BT33)/1000*('Oxidant Feed Composition'!$B$11*'Oxidant Feed Composition'!$O$20+'Oxidant Feed Composition'!$D$11*'Oxidant Feed Composition'!$O$21+'Oxidant Feed Composition'!$F$11*'Oxidant Feed Composition'!$O$27-'Oxidant Feed Composition'!$J$15*18.015)</f>
        <v>2.2039430578370913</v>
      </c>
      <c r="DO33">
        <f>(BU33+BV33)/1000*(0.2*368.34+0.4*58.44)</f>
        <v>1.5261684045446904</v>
      </c>
      <c r="DP33">
        <f>BK33/1000*(B33*195.08+C33*106.42+D33*102.91)</f>
        <v>4.999938342565946E-2</v>
      </c>
      <c r="DQ33">
        <f>SUM(DM33:DO33)-DP33</f>
        <v>4.386509019377228</v>
      </c>
      <c r="DR33">
        <f>DQ33*60*7200*0.33</f>
        <v>625340.72580241761</v>
      </c>
      <c r="DS33">
        <v>1.2</v>
      </c>
      <c r="DT33">
        <f>BM33/60*(AM33*4+AN33*2+AO33*3)*96485/DV33</f>
        <v>1404.0224885653424</v>
      </c>
      <c r="DU33">
        <f>BN33*BA33*(AP33*4+AQ33*2+AR33*3)*96485/DV33/60</f>
        <v>708.24508509040857</v>
      </c>
      <c r="DV33">
        <v>0.7</v>
      </c>
      <c r="DW33">
        <f>0.499*((BK33/3.78541*15)^(-0.146))*BK33/3.78541*15*300*(1+(A33-2)/9)</f>
        <v>35776.359048024235</v>
      </c>
      <c r="DX33">
        <f>0.248*((BK33/3.78541*15)^(-0.144))*BK33/3.78541*15*300*(1+(A33-2)/3)</f>
        <v>29068.269280606211</v>
      </c>
      <c r="DY33">
        <f>0.105*((BK33/3.78541*15)^(-0.144))*BK33/3.78541*15*300*(1+(A33-2)/3)</f>
        <v>12307.130138966339</v>
      </c>
      <c r="DZ33">
        <f>0.058*((BK33/3.78541*15)^(-0.151))*BK33/3.78541*15*300*(1+(A33-2)/3)</f>
        <v>6519.4301878820042</v>
      </c>
      <c r="EA33">
        <f>0.056*((BK33/3.78541*15)^(-0.144))*BK33/3.78541*15*300*(1+(A33-2)/3)</f>
        <v>6563.8027407820491</v>
      </c>
      <c r="EB33">
        <f>DS33*DT33/(3.6*10^6)*3600*7200*0.07</f>
        <v>849.15280108431921</v>
      </c>
      <c r="EC33">
        <f>0.499*((BM33/3.78541*15)^(-0.146))*BM33/3.78541*15*300*(1+(AF33-2)/9)</f>
        <v>30861.528261581931</v>
      </c>
      <c r="ED33">
        <f>0.248*((BM33/3.78541*15)^(-0.144))*BM33/3.78541*15*300*(1+(AF33-2)/3)</f>
        <v>23280.20970610623</v>
      </c>
      <c r="EE33">
        <f>0.105*((BM33/3.78541*15)^(-0.144))*BM33/3.78541*15*300*(1+(AF33-2)/3)</f>
        <v>9856.54039976272</v>
      </c>
      <c r="EF33">
        <f>0.058*((BM33/3.78541*15)^(-0.151))*BM33/3.78541*15*300*(1+(AF33-2)/3)</f>
        <v>5224.1840897298107</v>
      </c>
      <c r="EG33">
        <f>0.056*((BM33/3.78541*15)^(-0.144))*BM33/3.78541*15*300*(1+(AF33-2)/3)</f>
        <v>5256.8215465401163</v>
      </c>
      <c r="EH33">
        <f>DS33*DU33/(3.6*10^6)*3600*7200*0.07</f>
        <v>428.34662746267912</v>
      </c>
      <c r="EI33">
        <f>SUM(DW33:EH33)</f>
        <v>165991.77482852867</v>
      </c>
      <c r="EJ33">
        <f>EI33+DR33+DL33</f>
        <v>16520384.329706827</v>
      </c>
      <c r="EK33">
        <f>EJ33+DF33</f>
        <v>17125730.311622094</v>
      </c>
      <c r="EL33">
        <f>EK33/(BK33*60*7200)</f>
        <v>0.39642894239865961</v>
      </c>
      <c r="EM33">
        <f>EK33/(BM33*(AM33*195.084/1000+AN33*106.42/1000+AO33*102.911/1000)*60*7200)</f>
        <v>1328.1751717960806</v>
      </c>
      <c r="EN33">
        <f>EK33/(BN33*BA33*(AP33*195.084/1000+AQ33*106.42/1000+AR33*102.911/1000)*60*7200)</f>
        <v>2426.1483869540371</v>
      </c>
    </row>
    <row r="34" spans="1:144">
      <c r="A34">
        <f>'Costing 100 Lmin Feed Orig'!A34</f>
        <v>6</v>
      </c>
      <c r="B34">
        <f>'Costing 100 Lmin Feed Orig'!B34</f>
        <v>1.54143585092054E-3</v>
      </c>
      <c r="C34">
        <f>'Costing 100 Lmin Feed Orig'!C34</f>
        <v>1.54143585092054E-3</v>
      </c>
      <c r="D34">
        <f>'Costing 100 Lmin Feed Orig'!D34</f>
        <v>3.4254130020456501E-4</v>
      </c>
      <c r="E34">
        <f>'Costing 100 Lmin Feed Orig'!E34</f>
        <v>0</v>
      </c>
      <c r="F34">
        <f>'Costing 100 Lmin Feed Orig'!F34</f>
        <v>0</v>
      </c>
      <c r="G34">
        <f>'Costing 100 Lmin Feed Orig'!G34</f>
        <v>0</v>
      </c>
      <c r="H34">
        <f>'Costing 100 Lmin Feed Orig'!H34</f>
        <v>1.7693893431643E-5</v>
      </c>
      <c r="I34">
        <f>'Costing 100 Lmin Feed Orig'!I34</f>
        <v>3.7175600603836103E-8</v>
      </c>
      <c r="J34">
        <f>'Costing 100 Lmin Feed Orig'!J34</f>
        <v>3.36890310328726E-4</v>
      </c>
      <c r="K34">
        <f>'Costing 100 Lmin Feed Orig'!K34</f>
        <v>0.133710118829723</v>
      </c>
      <c r="L34">
        <f>'Costing 100 Lmin Feed Orig'!L34</f>
        <v>0.13525951632913</v>
      </c>
      <c r="M34">
        <f>'Costing 100 Lmin Feed Orig'!M34</f>
        <v>4.9588089642288804E-4</v>
      </c>
      <c r="N34">
        <f>'Costing 100 Lmin Feed Orig'!N34</f>
        <v>-1.72886878424538E-14</v>
      </c>
      <c r="O34">
        <f>'Costing 100 Lmin Feed Orig'!O34</f>
        <v>-1.05961268405396E-12</v>
      </c>
      <c r="P34">
        <f>'Costing 100 Lmin Feed Orig'!P34</f>
        <v>-9.6595637304880395E-18</v>
      </c>
      <c r="Q34">
        <f>'Costing 100 Lmin Feed Orig'!Q34</f>
        <v>0.11395861217105201</v>
      </c>
      <c r="R34">
        <f>'Costing 100 Lmin Feed Orig'!R34</f>
        <v>98.3502748800029</v>
      </c>
      <c r="S34">
        <f>'Costing 100 Lmin Feed Orig'!S34</f>
        <v>500</v>
      </c>
      <c r="T34">
        <f>'Costing 100 Lmin Feed Orig'!T34</f>
        <v>95</v>
      </c>
      <c r="U34">
        <f>'Costing 100 Lmin Feed Orig'!U34</f>
        <v>1</v>
      </c>
      <c r="V34">
        <f>'Costing 100 Lmin Feed Orig'!V34</f>
        <v>0.1</v>
      </c>
      <c r="W34">
        <f>'Costing 100 Lmin Feed Orig'!W34</f>
        <v>87.751156402202497</v>
      </c>
      <c r="X34" t="str">
        <f>'Costing 100 Lmin Feed Orig'!X34</f>
        <v>ddFc</v>
      </c>
      <c r="Y34">
        <f>'Costing 100 Lmin Feed Orig'!Y34</f>
        <v>1</v>
      </c>
      <c r="Z34">
        <f>'Costing 100 Lmin Feed Orig'!Z34</f>
        <v>0.28318429382522198</v>
      </c>
      <c r="AA34">
        <f>'Costing 100 Lmin Feed Orig'!AA34</f>
        <v>0.56945642916197003</v>
      </c>
      <c r="AB34">
        <f>'Costing 100 Lmin Feed Orig'!AB34</f>
        <v>3.7698628972227502E-3</v>
      </c>
      <c r="AC34">
        <f>'Costing 100 Lmin Feed Orig'!AC34</f>
        <v>1822.2107908876901</v>
      </c>
      <c r="AD34">
        <f>'Costing 100 Lmin Feed Orig'!AD34</f>
        <v>2662.6059073104898</v>
      </c>
      <c r="AE34">
        <f>'Costing 100 Lmin Feed Orig'!AE34</f>
        <v>2401.5030938442701</v>
      </c>
      <c r="AF34">
        <f>'Costing 100 Lmin Feed Orig'!AF34</f>
        <v>6</v>
      </c>
      <c r="AG34">
        <f>'Costing 100 Lmin Feed Orig'!AG34</f>
        <v>1.64951815726537E-3</v>
      </c>
      <c r="AH34">
        <f>'Costing 100 Lmin Feed Orig'!AH34</f>
        <v>1.6686323374819601E-3</v>
      </c>
      <c r="AI34">
        <f>'Costing 100 Lmin Feed Orig'!AI34</f>
        <v>6.1174468293775103E-6</v>
      </c>
      <c r="AJ34">
        <f>'Costing 100 Lmin Feed Orig'!AJ34</f>
        <v>0</v>
      </c>
      <c r="AK34">
        <f>'Costing 100 Lmin Feed Orig'!AK34</f>
        <v>0</v>
      </c>
      <c r="AL34">
        <f>'Costing 100 Lmin Feed Orig'!AL34</f>
        <v>0</v>
      </c>
      <c r="AM34">
        <f>'Costing 100 Lmin Feed Orig'!AM34</f>
        <v>1.6118646916441E-3</v>
      </c>
      <c r="AN34">
        <f>'Costing 100 Lmin Feed Orig'!AN34</f>
        <v>7.8758511932156396E-5</v>
      </c>
      <c r="AO34">
        <f>'Costing 100 Lmin Feed Orig'!AO34</f>
        <v>6.0764721178985501E-6</v>
      </c>
      <c r="AP34">
        <f>'Costing 100 Lmin Feed Orig'!AP34</f>
        <v>1.75634842896041E-3</v>
      </c>
      <c r="AQ34">
        <f>'Costing 100 Lmin Feed Orig'!AQ34</f>
        <v>7.4159771210348502E-2</v>
      </c>
      <c r="AR34">
        <f>'Costing 100 Lmin Feed Orig'!AR34</f>
        <v>1.91126816471642E-6</v>
      </c>
      <c r="AS34">
        <f>'Costing 100 Lmin Feed Orig'!AS34</f>
        <v>-2.6427427954334101E-18</v>
      </c>
      <c r="AT34">
        <f>'Costing 100 Lmin Feed Orig'!AT34</f>
        <v>-2.7300210703185002E-16</v>
      </c>
      <c r="AU34">
        <f>'Costing 100 Lmin Feed Orig'!AU34</f>
        <v>-2.0447904742310799E-21</v>
      </c>
      <c r="AV34">
        <f>'Costing 100 Lmin Feed Orig'!AV34</f>
        <v>0.19803803302439801</v>
      </c>
      <c r="AW34">
        <f>'Costing 100 Lmin Feed Orig'!AW34</f>
        <v>99.330199139906</v>
      </c>
      <c r="AX34">
        <f>'Costing 100 Lmin Feed Orig'!AX34</f>
        <v>500</v>
      </c>
      <c r="AY34">
        <f>'Costing 100 Lmin Feed Orig'!AY34</f>
        <v>95</v>
      </c>
      <c r="AZ34">
        <f>'Costing 100 Lmin Feed Orig'!AZ34</f>
        <v>0.92374973309314701</v>
      </c>
      <c r="BA34">
        <f>'Costing 100 Lmin Feed Orig'!BA34</f>
        <v>0.1</v>
      </c>
      <c r="BB34">
        <f>'Costing 100 Lmin Feed Orig'!BB34</f>
        <v>46.645067060393401</v>
      </c>
      <c r="BC34" t="str">
        <f>'Costing 100 Lmin Feed Orig'!BC34</f>
        <v>coeFc</v>
      </c>
      <c r="BD34">
        <f>'Costing 100 Lmin Feed Orig'!BD34</f>
        <v>1</v>
      </c>
      <c r="BE34">
        <f>'Costing 100 Lmin Feed Orig'!BE34</f>
        <v>1.8775014999999999E-2</v>
      </c>
      <c r="BF34">
        <f>'Costing 100 Lmin Feed Orig'!BF34</f>
        <v>0.10492961100000001</v>
      </c>
      <c r="BG34">
        <f>'Costing 100 Lmin Feed Orig'!BG34</f>
        <v>1.814625E-3</v>
      </c>
      <c r="BH34">
        <f>'Costing 100 Lmin Feed Orig'!BH34</f>
        <v>285.1951444</v>
      </c>
      <c r="BI34">
        <f>'Costing 100 Lmin Feed Orig'!BI34</f>
        <v>2169.8944889999998</v>
      </c>
      <c r="BJ34">
        <f>'Costing 100 Lmin Feed Orig'!BJ34</f>
        <v>866.49409060000005</v>
      </c>
      <c r="BK34">
        <f>'Costing 100 Lmin Feed Orig'!BK34</f>
        <v>100</v>
      </c>
      <c r="BL34">
        <f>'Costing 100 Lmin Feed Orig'!BL34</f>
        <v>11.395861217105201</v>
      </c>
      <c r="BM34">
        <f>'Costing 100 Lmin Feed Orig'!BM34</f>
        <v>92.374973309314697</v>
      </c>
      <c r="BN34">
        <f>'Costing 100 Lmin Feed Orig'!BN34</f>
        <v>19.8038033024398</v>
      </c>
      <c r="BO34">
        <f t="shared" si="1"/>
        <v>182.33377947368322</v>
      </c>
      <c r="BP34">
        <f t="shared" si="2"/>
        <v>316.8608528390368</v>
      </c>
      <c r="BQ34">
        <f t="shared" si="3"/>
        <v>18.233377947368322</v>
      </c>
      <c r="BR34">
        <f t="shared" si="4"/>
        <v>31.68608528390368</v>
      </c>
      <c r="BS34">
        <f>1.2*0.5*BL34*V34/'Oxidant Feed Composition'!$N$22</f>
        <v>6.837516730263121</v>
      </c>
      <c r="BT34">
        <f>1.2*0.5*BN34*BA34/'Oxidant Feed Composition'!$N$22</f>
        <v>11.88228198146388</v>
      </c>
      <c r="BU34">
        <f t="shared" si="5"/>
        <v>5.6979306085525998</v>
      </c>
      <c r="BV34">
        <f t="shared" si="6"/>
        <v>9.9019016512198998</v>
      </c>
      <c r="BW34">
        <f t="shared" si="7"/>
        <v>86.677042700762101</v>
      </c>
      <c r="BX34">
        <f t="shared" si="0"/>
        <v>36.466755894736643</v>
      </c>
      <c r="BY34">
        <f t="shared" si="8"/>
        <v>207.54166905283981</v>
      </c>
      <c r="BZ34">
        <f t="shared" si="9"/>
        <v>63.372170567807359</v>
      </c>
      <c r="CA34">
        <f t="shared" si="10"/>
        <v>59.411409907319396</v>
      </c>
      <c r="CB34">
        <f>BO34*'Reagent cost'!$G$11*'Reagent cost'!$H$11</f>
        <v>2406.8058890526186</v>
      </c>
      <c r="CC34">
        <f>BP34*'Reagent cost'!$G$11*'Reagent cost'!$H$11</f>
        <v>4182.5632574752863</v>
      </c>
      <c r="CD34">
        <f>BQ34*'Reagent cost'!$C$18/1000*'Reagent cost'!$H$18</f>
        <v>2907.8673690603878</v>
      </c>
      <c r="CE34">
        <f>BR34*'Ligand cost'!$B$56*'Ligand cost'!$J$56</f>
        <v>32260.482144023998</v>
      </c>
      <c r="CF34">
        <f t="shared" si="11"/>
        <v>10</v>
      </c>
      <c r="CG34">
        <f t="shared" si="12"/>
        <v>2.2791722434210402</v>
      </c>
      <c r="CH34">
        <f t="shared" si="12"/>
        <v>3.9607606604879599</v>
      </c>
      <c r="CI34">
        <f>7963.6*(BX34/1000)^0.6*1.7*('CAPEX+OPEX'!$G$116/'CAPEX+OPEX'!$G$115)</f>
        <v>2189.6727102460782</v>
      </c>
      <c r="CJ34">
        <f>7963.6*(BY34/1000)^0.6*1.7*('CAPEX+OPEX'!$G$116/'CAPEX+OPEX'!$G$115)</f>
        <v>6215.9013146876341</v>
      </c>
      <c r="CK34">
        <f>7963.6*(BZ34/1000)^0.6*1.7*('CAPEX+OPEX'!$G$116/'CAPEX+OPEX'!$G$115)</f>
        <v>3050.5635541858655</v>
      </c>
      <c r="CL34">
        <f>7963.6*(CA34/1000)^0.6*1.7*('CAPEX+OPEX'!$G$116/'CAPEX+OPEX'!$G$115)</f>
        <v>2934.6941286330439</v>
      </c>
      <c r="CM34">
        <f>'Costing 100 Lmin Feed Orig'!DE34</f>
        <v>39625.826528698344</v>
      </c>
      <c r="CN34">
        <f>'Costing 100 Lmin Feed Orig'!DF34</f>
        <v>4586243.4239371875</v>
      </c>
      <c r="CO34">
        <f>'Costing 100 Lmin Feed Orig'!DG34</f>
        <v>11794834.586807497</v>
      </c>
      <c r="CP34">
        <f>'Costing 100 Lmin Feed Orig'!DH34</f>
        <v>2275209.1661185985</v>
      </c>
      <c r="CQ34">
        <f>'Costing 100 Lmin Feed Orig'!DI34</f>
        <v>14083914.336508472</v>
      </c>
      <c r="CR34">
        <f>'Costing 100 Lmin Feed Orig'!DJ34</f>
        <v>1662824.8986326549</v>
      </c>
      <c r="CS34">
        <f>CN34*(BK34/10000)^0.72*((A34+1)/3)^0.6*('CAPEX+OPEX'!$G$116/'CAPEX+OPEX'!$G$114)</f>
        <v>646135.89638675924</v>
      </c>
      <c r="CT34">
        <f>CO34*(BK34/10000)^0.72*((A34+1)/3)^0.6*('CAPEX+OPEX'!$G$116/'CAPEX+OPEX'!$G$114)</f>
        <v>1661722.9645298459</v>
      </c>
      <c r="CU34">
        <f>CP34*(BK34/10000)^0.72*((A34+1)/3)^0.6*('CAPEX+OPEX'!$G$116/'CAPEX+OPEX'!$G$114)</f>
        <v>320544.32748695416</v>
      </c>
      <c r="CV34">
        <f>CQ34*(BK34/10000)^0.72*((A34+1)/3)^0.6*('CAPEX+OPEX'!$G$116/'CAPEX+OPEX'!$G$114)</f>
        <v>1984221.4582325809</v>
      </c>
      <c r="CW34">
        <f>CR34*(BK34/10000)^0.72*((A34+1)/3)^0.6*('CAPEX+OPEX'!$G$116/'CAPEX+OPEX'!$G$114)</f>
        <v>234268.17050410178</v>
      </c>
      <c r="CX34">
        <f t="shared" si="13"/>
        <v>4846892.8171402421</v>
      </c>
      <c r="CY34">
        <f>CN34*(BM34/10000)^0.72*((AF34+1)/3)^0.6*('CAPEX+OPEX'!$G$116/'CAPEX+OPEX'!$G$114)</f>
        <v>610271.35267664073</v>
      </c>
      <c r="CZ34">
        <f>CO34*(BM34/10000)^0.72*((AF34+1)/3)^0.6*('CAPEX+OPEX'!$G$116/'CAPEX+OPEX'!$G$114)</f>
        <v>1569487.0490997343</v>
      </c>
      <c r="DA34">
        <f>CP34*(BM34/10000)^0.72*((AF34+1)/3)^0.6*('CAPEX+OPEX'!$G$116/'CAPEX+OPEX'!$G$114)</f>
        <v>302752.13220965426</v>
      </c>
      <c r="DB34">
        <f>CQ34*(BM34/10000)^0.72*((AF34+1)/3)^0.6*('CAPEX+OPEX'!$G$116/'CAPEX+OPEX'!$G$114)</f>
        <v>1874084.8791982206</v>
      </c>
      <c r="DC34">
        <f>CR34*(BM34/10000)^0.72*((AF34+1)/3)^0.6*('CAPEX+OPEX'!$G$116/'CAPEX+OPEX'!$G$114)</f>
        <v>221264.83623971866</v>
      </c>
      <c r="DD34">
        <f t="shared" si="14"/>
        <v>4577860.2494239686</v>
      </c>
      <c r="DE34">
        <f>CX34+DD34+1.15*(SUM(CI34:CL34)+SUM(CB34:CE34))</f>
        <v>9489323.8994866796</v>
      </c>
      <c r="DF34">
        <f t="shared" si="15"/>
        <v>632621.59329911193</v>
      </c>
      <c r="DG34">
        <f>(BS34+BT34)*'Oxidant Feed Composition'!$N$29*60*7200</f>
        <v>9338772.9398293942</v>
      </c>
      <c r="DH34">
        <f>((CG34+CH34)*'Reagent cost'!$C$17/1000*'Reagent cost'!$H$17+(CG34+CH34)*0.5*'Reagent cost'!$C$16/1000*'Reagent cost'!$H$16*0.5)*60*7200</f>
        <v>3161607.7705981303</v>
      </c>
      <c r="DI34">
        <f>CF34*'Reagent cost'!$C$17/1000*'Reagent cost'!$H$17*60*7200</f>
        <v>504921.59999999998</v>
      </c>
      <c r="DJ34">
        <f t="shared" si="16"/>
        <v>65.893691465279048</v>
      </c>
      <c r="DK34">
        <f t="shared" si="17"/>
        <v>703.36699026168776</v>
      </c>
      <c r="DL34">
        <f t="shared" si="18"/>
        <v>15607285.8853311</v>
      </c>
      <c r="DM34">
        <f>BK34*(B34*(409.81+2)/1000+C34*(248.2+2*22.99)/1000+D34*(315.6+3*22.99)/1000+0.1*58.44/1000)</f>
        <v>0.70639694042110623</v>
      </c>
      <c r="DN34">
        <f>(BS34+BT34)/1000*('Oxidant Feed Composition'!$B$11*'Oxidant Feed Composition'!$O$20+'Oxidant Feed Composition'!$D$11*'Oxidant Feed Composition'!$O$21+'Oxidant Feed Composition'!$F$11*'Oxidant Feed Composition'!$O$27-'Oxidant Feed Composition'!$J$15*18.015)</f>
        <v>2.1861830814416301</v>
      </c>
      <c r="DO34">
        <f>(BU34+BV34)/1000*(0.2*368.34+0.4*58.44)</f>
        <v>1.5138701218173625</v>
      </c>
      <c r="DP34">
        <f>BK34/1000*(B34*195.08+C34*106.42+D34*102.91)</f>
        <v>4.999938342565946E-2</v>
      </c>
      <c r="DQ34">
        <f>SUM(DM34:DO34)-DP34</f>
        <v>4.3564507602544387</v>
      </c>
      <c r="DR34">
        <f>DQ34*60*7200*0.33</f>
        <v>621055.62038187287</v>
      </c>
      <c r="DS34">
        <v>1.2</v>
      </c>
      <c r="DT34">
        <f>BM34/60*(AM34*4+AN34*2+AO34*3)*96485/DV34</f>
        <v>1405.5071126003013</v>
      </c>
      <c r="DU34">
        <f>BN34*BA34*(AP34*4+AQ34*2+AR34*3)*96485/DV34/60</f>
        <v>706.76046105556952</v>
      </c>
      <c r="DV34">
        <v>0.7</v>
      </c>
      <c r="DW34">
        <f>0.499*((BK34/3.78541*15)^(-0.146))*BK34/3.78541*15*300*(1+(A34-2)/9)</f>
        <v>35776.359048024235</v>
      </c>
      <c r="DX34">
        <f>0.248*((BK34/3.78541*15)^(-0.144))*BK34/3.78541*15*300*(1+(A34-2)/3)</f>
        <v>29068.269280606211</v>
      </c>
      <c r="DY34">
        <f>0.105*((BK34/3.78541*15)^(-0.144))*BK34/3.78541*15*300*(1+(A34-2)/3)</f>
        <v>12307.130138966339</v>
      </c>
      <c r="DZ34">
        <f>0.058*((BK34/3.78541*15)^(-0.151))*BK34/3.78541*15*300*(1+(A34-2)/3)</f>
        <v>6519.4301878820042</v>
      </c>
      <c r="EA34">
        <f>0.056*((BK34/3.78541*15)^(-0.144))*BK34/3.78541*15*300*(1+(A34-2)/3)</f>
        <v>6563.8027407820491</v>
      </c>
      <c r="EB34">
        <f>DS34*DT34/(3.6*10^6)*3600*7200*0.07</f>
        <v>850.05070170066233</v>
      </c>
      <c r="EC34">
        <f>0.499*((BM34/3.78541*15)^(-0.146))*BM34/3.78541*15*300*(1+(AF34-2)/9)</f>
        <v>33433.322283380425</v>
      </c>
      <c r="ED34">
        <f>0.248*((BM34/3.78541*15)^(-0.144))*BM34/3.78541*15*300*(1+(AF34-2)/3)</f>
        <v>27160.244657123931</v>
      </c>
      <c r="EE34">
        <f>0.105*((BM34/3.78541*15)^(-0.144))*BM34/3.78541*15*300*(1+(AF34-2)/3)</f>
        <v>11499.297133056505</v>
      </c>
      <c r="EF34">
        <f>0.058*((BM34/3.78541*15)^(-0.151))*BM34/3.78541*15*300*(1+(AF34-2)/3)</f>
        <v>6094.881438018112</v>
      </c>
      <c r="EG34">
        <f>0.056*((BM34/3.78541*15)^(-0.144))*BM34/3.78541*15*300*(1+(AF34-2)/3)</f>
        <v>6132.9584709634682</v>
      </c>
      <c r="EH34">
        <f>DS34*DU34/(3.6*10^6)*3600*7200*0.07</f>
        <v>427.44872684640848</v>
      </c>
      <c r="EI34">
        <f>SUM(DW34:EH34)</f>
        <v>175833.19480735034</v>
      </c>
      <c r="EJ34">
        <f>EI34+DR34+DL34</f>
        <v>16404174.700520324</v>
      </c>
      <c r="EK34">
        <f>EJ34+DF34</f>
        <v>17036796.293819435</v>
      </c>
      <c r="EL34">
        <f>EK34/(BK34*60*7200)</f>
        <v>0.39437028457915357</v>
      </c>
      <c r="EM34">
        <f>EK34/(BM34*(AM34*195.084/1000+AN34*106.42/1000+AO34*102.911/1000)*60*7200)</f>
        <v>1319.8813036863294</v>
      </c>
      <c r="EN34">
        <f>EK34/(BN34*BA34*(AP34*195.084/1000+AQ34*106.42/1000+AR34*102.911/1000)*60*7200)</f>
        <v>2418.2236147397857</v>
      </c>
    </row>
    <row r="35" spans="1:144">
      <c r="A35">
        <f>'Costing 100 Lmin Feed Orig'!A35</f>
        <v>6</v>
      </c>
      <c r="B35">
        <f>'Costing 100 Lmin Feed Orig'!B35</f>
        <v>1.54143585092054E-3</v>
      </c>
      <c r="C35">
        <f>'Costing 100 Lmin Feed Orig'!C35</f>
        <v>1.54143585092054E-3</v>
      </c>
      <c r="D35">
        <f>'Costing 100 Lmin Feed Orig'!D35</f>
        <v>3.4254130020456501E-4</v>
      </c>
      <c r="E35">
        <f>'Costing 100 Lmin Feed Orig'!E35</f>
        <v>0</v>
      </c>
      <c r="F35">
        <f>'Costing 100 Lmin Feed Orig'!F35</f>
        <v>0</v>
      </c>
      <c r="G35">
        <f>'Costing 100 Lmin Feed Orig'!G35</f>
        <v>0</v>
      </c>
      <c r="H35">
        <f>'Costing 100 Lmin Feed Orig'!H35</f>
        <v>1.7693893431643E-5</v>
      </c>
      <c r="I35">
        <f>'Costing 100 Lmin Feed Orig'!I35</f>
        <v>3.7175600603836103E-8</v>
      </c>
      <c r="J35">
        <f>'Costing 100 Lmin Feed Orig'!J35</f>
        <v>3.36890310328726E-4</v>
      </c>
      <c r="K35">
        <f>'Costing 100 Lmin Feed Orig'!K35</f>
        <v>0.133710118829723</v>
      </c>
      <c r="L35">
        <f>'Costing 100 Lmin Feed Orig'!L35</f>
        <v>0.13525951632913</v>
      </c>
      <c r="M35">
        <f>'Costing 100 Lmin Feed Orig'!M35</f>
        <v>4.9588089642288804E-4</v>
      </c>
      <c r="N35">
        <f>'Costing 100 Lmin Feed Orig'!N35</f>
        <v>-1.72886878424538E-14</v>
      </c>
      <c r="O35">
        <f>'Costing 100 Lmin Feed Orig'!O35</f>
        <v>-1.05961268405396E-12</v>
      </c>
      <c r="P35">
        <f>'Costing 100 Lmin Feed Orig'!P35</f>
        <v>-9.6595637304880395E-18</v>
      </c>
      <c r="Q35">
        <f>'Costing 100 Lmin Feed Orig'!Q35</f>
        <v>0.11395861217105201</v>
      </c>
      <c r="R35">
        <f>'Costing 100 Lmin Feed Orig'!R35</f>
        <v>98.3502748800029</v>
      </c>
      <c r="S35">
        <f>'Costing 100 Lmin Feed Orig'!S35</f>
        <v>500</v>
      </c>
      <c r="T35">
        <f>'Costing 100 Lmin Feed Orig'!T35</f>
        <v>95</v>
      </c>
      <c r="U35">
        <f>'Costing 100 Lmin Feed Orig'!U35</f>
        <v>1</v>
      </c>
      <c r="V35">
        <f>'Costing 100 Lmin Feed Orig'!V35</f>
        <v>0.1</v>
      </c>
      <c r="W35">
        <f>'Costing 100 Lmin Feed Orig'!W35</f>
        <v>87.751156402202497</v>
      </c>
      <c r="X35" t="str">
        <f>'Costing 100 Lmin Feed Orig'!X35</f>
        <v>ddFc</v>
      </c>
      <c r="Y35">
        <f>'Costing 100 Lmin Feed Orig'!Y35</f>
        <v>1</v>
      </c>
      <c r="Z35">
        <f>'Costing 100 Lmin Feed Orig'!Z35</f>
        <v>0.28318429382522198</v>
      </c>
      <c r="AA35">
        <f>'Costing 100 Lmin Feed Orig'!AA35</f>
        <v>0.56945642916197003</v>
      </c>
      <c r="AB35">
        <f>'Costing 100 Lmin Feed Orig'!AB35</f>
        <v>3.7698628972227502E-3</v>
      </c>
      <c r="AC35">
        <f>'Costing 100 Lmin Feed Orig'!AC35</f>
        <v>1822.2107908876901</v>
      </c>
      <c r="AD35">
        <f>'Costing 100 Lmin Feed Orig'!AD35</f>
        <v>2662.6059073104898</v>
      </c>
      <c r="AE35">
        <f>'Costing 100 Lmin Feed Orig'!AE35</f>
        <v>2401.5030938442701</v>
      </c>
      <c r="AF35">
        <f>'Costing 100 Lmin Feed Orig'!AF35</f>
        <v>7</v>
      </c>
      <c r="AG35">
        <f>'Costing 100 Lmin Feed Orig'!AG35</f>
        <v>1.64951815726537E-3</v>
      </c>
      <c r="AH35">
        <f>'Costing 100 Lmin Feed Orig'!AH35</f>
        <v>1.6686323374819601E-3</v>
      </c>
      <c r="AI35">
        <f>'Costing 100 Lmin Feed Orig'!AI35</f>
        <v>6.1174468293775103E-6</v>
      </c>
      <c r="AJ35">
        <f>'Costing 100 Lmin Feed Orig'!AJ35</f>
        <v>0</v>
      </c>
      <c r="AK35">
        <f>'Costing 100 Lmin Feed Orig'!AK35</f>
        <v>0</v>
      </c>
      <c r="AL35">
        <f>'Costing 100 Lmin Feed Orig'!AL35</f>
        <v>0</v>
      </c>
      <c r="AM35">
        <f>'Costing 100 Lmin Feed Orig'!AM35</f>
        <v>1.61236068920583E-3</v>
      </c>
      <c r="AN35">
        <f>'Costing 100 Lmin Feed Orig'!AN35</f>
        <v>7.8784098873371198E-5</v>
      </c>
      <c r="AO35">
        <f>'Costing 100 Lmin Feed Orig'!AO35</f>
        <v>6.0769898417647796E-6</v>
      </c>
      <c r="AP35">
        <f>'Costing 100 Lmin Feed Orig'!AP35</f>
        <v>1.7396945907611301E-3</v>
      </c>
      <c r="AQ35">
        <f>'Costing 100 Lmin Feed Orig'!AQ35</f>
        <v>7.4435921644561601E-2</v>
      </c>
      <c r="AR35">
        <f>'Costing 100 Lmin Feed Orig'!AR35</f>
        <v>1.8941764922222101E-6</v>
      </c>
      <c r="AS35">
        <f>'Costing 100 Lmin Feed Orig'!AS35</f>
        <v>2.4732006807109899E-16</v>
      </c>
      <c r="AT35">
        <f>'Costing 100 Lmin Feed Orig'!AT35</f>
        <v>-7.0015824735203402E-14</v>
      </c>
      <c r="AU35">
        <f>'Costing 100 Lmin Feed Orig'!AU35</f>
        <v>-9.2578054156934797E-21</v>
      </c>
      <c r="AV35">
        <f>'Costing 100 Lmin Feed Orig'!AV35</f>
        <v>0.197300154776898</v>
      </c>
      <c r="AW35">
        <f>'Costing 100 Lmin Feed Orig'!AW35</f>
        <v>99.338662210867994</v>
      </c>
      <c r="AX35">
        <f>'Costing 100 Lmin Feed Orig'!AX35</f>
        <v>500</v>
      </c>
      <c r="AY35">
        <f>'Costing 100 Lmin Feed Orig'!AY35</f>
        <v>95</v>
      </c>
      <c r="AZ35">
        <f>'Costing 100 Lmin Feed Orig'!AZ35</f>
        <v>0.92374973309314701</v>
      </c>
      <c r="BA35">
        <f>'Costing 100 Lmin Feed Orig'!BA35</f>
        <v>0.1</v>
      </c>
      <c r="BB35">
        <f>'Costing 100 Lmin Feed Orig'!BB35</f>
        <v>46.819513858856197</v>
      </c>
      <c r="BC35" t="str">
        <f>'Costing 100 Lmin Feed Orig'!BC35</f>
        <v>coeFc</v>
      </c>
      <c r="BD35">
        <f>'Costing 100 Lmin Feed Orig'!BD35</f>
        <v>1</v>
      </c>
      <c r="BE35">
        <f>'Costing 100 Lmin Feed Orig'!BE35</f>
        <v>1.8775014999999999E-2</v>
      </c>
      <c r="BF35">
        <f>'Costing 100 Lmin Feed Orig'!BF35</f>
        <v>0.10492961100000001</v>
      </c>
      <c r="BG35">
        <f>'Costing 100 Lmin Feed Orig'!BG35</f>
        <v>1.814625E-3</v>
      </c>
      <c r="BH35">
        <f>'Costing 100 Lmin Feed Orig'!BH35</f>
        <v>285.1951444</v>
      </c>
      <c r="BI35">
        <f>'Costing 100 Lmin Feed Orig'!BI35</f>
        <v>2169.8944889999998</v>
      </c>
      <c r="BJ35">
        <f>'Costing 100 Lmin Feed Orig'!BJ35</f>
        <v>866.49409060000005</v>
      </c>
      <c r="BK35">
        <f>'Costing 100 Lmin Feed Orig'!BK35</f>
        <v>100</v>
      </c>
      <c r="BL35">
        <f>'Costing 100 Lmin Feed Orig'!BL35</f>
        <v>11.395861217105201</v>
      </c>
      <c r="BM35">
        <f>'Costing 100 Lmin Feed Orig'!BM35</f>
        <v>92.374973309314697</v>
      </c>
      <c r="BN35">
        <f>'Costing 100 Lmin Feed Orig'!BN35</f>
        <v>19.7300154776898</v>
      </c>
      <c r="BO35">
        <f t="shared" si="1"/>
        <v>182.33377947368322</v>
      </c>
      <c r="BP35">
        <f t="shared" si="2"/>
        <v>355.14027859841639</v>
      </c>
      <c r="BQ35">
        <f t="shared" si="3"/>
        <v>18.233377947368322</v>
      </c>
      <c r="BR35">
        <f t="shared" si="4"/>
        <v>35.51402785984164</v>
      </c>
      <c r="BS35">
        <f>1.2*0.5*BL35*V35/'Oxidant Feed Composition'!$N$22</f>
        <v>6.837516730263121</v>
      </c>
      <c r="BT35">
        <f>1.2*0.5*BN35*BA35/'Oxidant Feed Composition'!$N$22</f>
        <v>11.838009286613881</v>
      </c>
      <c r="BU35">
        <f t="shared" si="5"/>
        <v>5.6979306085525998</v>
      </c>
      <c r="BV35">
        <f t="shared" si="6"/>
        <v>9.8650077388449002</v>
      </c>
      <c r="BW35">
        <f t="shared" si="7"/>
        <v>86.677042700762101</v>
      </c>
      <c r="BX35">
        <f t="shared" si="0"/>
        <v>36.466755894736643</v>
      </c>
      <c r="BY35">
        <f t="shared" si="8"/>
        <v>207.54166905283981</v>
      </c>
      <c r="BZ35">
        <f t="shared" si="9"/>
        <v>63.136049528607359</v>
      </c>
      <c r="CA35">
        <f t="shared" si="10"/>
        <v>59.190046433069398</v>
      </c>
      <c r="CB35">
        <f>BO35*'Reagent cost'!$G$11*'Reagent cost'!$H$11</f>
        <v>2406.8058890526186</v>
      </c>
      <c r="CC35">
        <f>BP35*'Reagent cost'!$G$11*'Reagent cost'!$H$11</f>
        <v>4687.8516774990967</v>
      </c>
      <c r="CD35">
        <f>BQ35*'Reagent cost'!$C$18/1000*'Reagent cost'!$H$18</f>
        <v>2907.8673690603878</v>
      </c>
      <c r="CE35">
        <f>BR35*'Ligand cost'!$B$56*'Ligand cost'!$J$56</f>
        <v>36157.816636844051</v>
      </c>
      <c r="CF35">
        <f t="shared" si="11"/>
        <v>10</v>
      </c>
      <c r="CG35">
        <f t="shared" si="12"/>
        <v>2.2791722434210402</v>
      </c>
      <c r="CH35">
        <f t="shared" si="12"/>
        <v>3.9460030955379604</v>
      </c>
      <c r="CI35">
        <f>7963.6*(BX35/1000)^0.6*1.7*('CAPEX+OPEX'!$G$116/'CAPEX+OPEX'!$G$115)</f>
        <v>2189.6727102460782</v>
      </c>
      <c r="CJ35">
        <f>7963.6*(BY35/1000)^0.6*1.7*('CAPEX+OPEX'!$G$116/'CAPEX+OPEX'!$G$115)</f>
        <v>6215.9013146876341</v>
      </c>
      <c r="CK35">
        <f>7963.6*(BZ35/1000)^0.6*1.7*('CAPEX+OPEX'!$G$116/'CAPEX+OPEX'!$G$115)</f>
        <v>3043.7387294113364</v>
      </c>
      <c r="CL35">
        <f>7963.6*(CA35/1000)^0.6*1.7*('CAPEX+OPEX'!$G$116/'CAPEX+OPEX'!$G$115)</f>
        <v>2928.1285308872516</v>
      </c>
      <c r="CM35">
        <f>'Costing 100 Lmin Feed Orig'!DE35</f>
        <v>39625.826528698344</v>
      </c>
      <c r="CN35">
        <f>'Costing 100 Lmin Feed Orig'!DF35</f>
        <v>4586243.4239371875</v>
      </c>
      <c r="CO35">
        <f>'Costing 100 Lmin Feed Orig'!DG35</f>
        <v>11794834.586807497</v>
      </c>
      <c r="CP35">
        <f>'Costing 100 Lmin Feed Orig'!DH35</f>
        <v>2275209.1661185985</v>
      </c>
      <c r="CQ35">
        <f>'Costing 100 Lmin Feed Orig'!DI35</f>
        <v>14083914.336508472</v>
      </c>
      <c r="CR35">
        <f>'Costing 100 Lmin Feed Orig'!DJ35</f>
        <v>1662824.8986326549</v>
      </c>
      <c r="CS35">
        <f>CN35*(BK35/10000)^0.72*((A35+1)/3)^0.6*('CAPEX+OPEX'!$G$116/'CAPEX+OPEX'!$G$114)</f>
        <v>646135.89638675924</v>
      </c>
      <c r="CT35">
        <f>CO35*(BK35/10000)^0.72*((A35+1)/3)^0.6*('CAPEX+OPEX'!$G$116/'CAPEX+OPEX'!$G$114)</f>
        <v>1661722.9645298459</v>
      </c>
      <c r="CU35">
        <f>CP35*(BK35/10000)^0.72*((A35+1)/3)^0.6*('CAPEX+OPEX'!$G$116/'CAPEX+OPEX'!$G$114)</f>
        <v>320544.32748695416</v>
      </c>
      <c r="CV35">
        <f>CQ35*(BK35/10000)^0.72*((A35+1)/3)^0.6*('CAPEX+OPEX'!$G$116/'CAPEX+OPEX'!$G$114)</f>
        <v>1984221.4582325809</v>
      </c>
      <c r="CW35">
        <f>CR35*(BK35/10000)^0.72*((A35+1)/3)^0.6*('CAPEX+OPEX'!$G$116/'CAPEX+OPEX'!$G$114)</f>
        <v>234268.17050410178</v>
      </c>
      <c r="CX35">
        <f t="shared" si="13"/>
        <v>4846892.8171402421</v>
      </c>
      <c r="CY35">
        <f>CN35*(BM35/10000)^0.72*((AF35+1)/3)^0.6*('CAPEX+OPEX'!$G$116/'CAPEX+OPEX'!$G$114)</f>
        <v>661177.63088250696</v>
      </c>
      <c r="CZ35">
        <f>CO35*(BM35/10000)^0.72*((AF35+1)/3)^0.6*('CAPEX+OPEX'!$G$116/'CAPEX+OPEX'!$G$114)</f>
        <v>1700407.0800196673</v>
      </c>
      <c r="DA35">
        <f>CP35*(BM35/10000)^0.72*((AF35+1)/3)^0.6*('CAPEX+OPEX'!$G$116/'CAPEX+OPEX'!$G$114)</f>
        <v>328006.44605231972</v>
      </c>
      <c r="DB35">
        <f>CQ35*(BM35/10000)^0.72*((AF35+1)/3)^0.6*('CAPEX+OPEX'!$G$116/'CAPEX+OPEX'!$G$114)</f>
        <v>2030413.1843422146</v>
      </c>
      <c r="DC35">
        <f>CR35*(BM35/10000)^0.72*((AF35+1)/3)^0.6*('CAPEX+OPEX'!$G$116/'CAPEX+OPEX'!$G$114)</f>
        <v>239721.8214175282</v>
      </c>
      <c r="DD35">
        <f t="shared" si="14"/>
        <v>4959726.1627142364</v>
      </c>
      <c r="DE35">
        <f>CX35+DD35+1.15*(SUM(CI35:CL35)+SUM(CB35:CE35))</f>
        <v>9876237.4301408213</v>
      </c>
      <c r="DF35">
        <f t="shared" si="15"/>
        <v>658415.82867605472</v>
      </c>
      <c r="DG35">
        <f>(BS35+BT35)*'Oxidant Feed Composition'!$N$29*60*7200</f>
        <v>9316686.5567968935</v>
      </c>
      <c r="DH35">
        <f>((CG35+CH35)*'Reagent cost'!$C$17/1000*'Reagent cost'!$H$17+(CG35+CH35)*0.5*'Reagent cost'!$C$16/1000*'Reagent cost'!$H$16*0.5)*60*7200</f>
        <v>3154130.5055794958</v>
      </c>
      <c r="DI35">
        <f>CF35*'Reagent cost'!$C$17/1000*'Reagent cost'!$H$17*60*7200</f>
        <v>504921.59999999998</v>
      </c>
      <c r="DJ35">
        <f t="shared" si="16"/>
        <v>70.946575665517159</v>
      </c>
      <c r="DK35">
        <f t="shared" si="17"/>
        <v>781.31368011808888</v>
      </c>
      <c r="DL35">
        <f t="shared" si="18"/>
        <v>15571909.107158607</v>
      </c>
      <c r="DM35">
        <f>BK35*(B35*(409.81+2)/1000+C35*(248.2+2*22.99)/1000+D35*(315.6+3*22.99)/1000+0.1*58.44/1000)</f>
        <v>0.70639694042110623</v>
      </c>
      <c r="DN35">
        <f>(BS35+BT35)/1000*('Oxidant Feed Composition'!$B$11*'Oxidant Feed Composition'!$O$20+'Oxidant Feed Composition'!$D$11*'Oxidant Feed Composition'!$O$21+'Oxidant Feed Composition'!$F$11*'Oxidant Feed Composition'!$O$27-'Oxidant Feed Composition'!$J$15*18.015)</f>
        <v>2.1810127151390124</v>
      </c>
      <c r="DO35">
        <f>(BU35+BV35)/1000*(0.2*368.34+0.4*58.44)</f>
        <v>1.510289788984843</v>
      </c>
      <c r="DP35">
        <f>BK35/1000*(B35*195.08+C35*106.42+D35*102.91)</f>
        <v>4.999938342565946E-2</v>
      </c>
      <c r="DQ35">
        <f>SUM(DM35:DO35)-DP35</f>
        <v>4.3477000611193022</v>
      </c>
      <c r="DR35">
        <f>DQ35*60*7200*0.33</f>
        <v>619808.12071316771</v>
      </c>
      <c r="DS35">
        <v>1.2</v>
      </c>
      <c r="DT35">
        <f>BM35/60*(AM35*4+AN35*2+AO35*3)*96485/DV35</f>
        <v>1405.9393233749126</v>
      </c>
      <c r="DU35">
        <f>BN35*BA35*(AP35*4+AQ35*2+AR35*3)*96485/DV35/60</f>
        <v>706.32825031277434</v>
      </c>
      <c r="DV35">
        <v>0.7</v>
      </c>
      <c r="DW35">
        <f>0.499*((BK35/3.78541*15)^(-0.146))*BK35/3.78541*15*300*(1+(A35-2)/9)</f>
        <v>35776.359048024235</v>
      </c>
      <c r="DX35">
        <f>0.248*((BK35/3.78541*15)^(-0.144))*BK35/3.78541*15*300*(1+(A35-2)/3)</f>
        <v>29068.269280606211</v>
      </c>
      <c r="DY35">
        <f>0.105*((BK35/3.78541*15)^(-0.144))*BK35/3.78541*15*300*(1+(A35-2)/3)</f>
        <v>12307.130138966339</v>
      </c>
      <c r="DZ35">
        <f>0.058*((BK35/3.78541*15)^(-0.151))*BK35/3.78541*15*300*(1+(A35-2)/3)</f>
        <v>6519.4301878820042</v>
      </c>
      <c r="EA35">
        <f>0.056*((BK35/3.78541*15)^(-0.144))*BK35/3.78541*15*300*(1+(A35-2)/3)</f>
        <v>6563.8027407820491</v>
      </c>
      <c r="EB35">
        <f>DS35*DT35/(3.6*10^6)*3600*7200*0.07</f>
        <v>850.31210277714717</v>
      </c>
      <c r="EC35">
        <f>0.499*((BM35/3.78541*15)^(-0.146))*BM35/3.78541*15*300*(1+(AF35-2)/9)</f>
        <v>36005.116305178919</v>
      </c>
      <c r="ED35">
        <f>0.248*((BM35/3.78541*15)^(-0.144))*BM35/3.78541*15*300*(1+(AF35-2)/3)</f>
        <v>31040.279608141645</v>
      </c>
      <c r="EE35">
        <f>0.105*((BM35/3.78541*15)^(-0.144))*BM35/3.78541*15*300*(1+(AF35-2)/3)</f>
        <v>13142.053866350294</v>
      </c>
      <c r="EF35">
        <f>0.058*((BM35/3.78541*15)^(-0.151))*BM35/3.78541*15*300*(1+(AF35-2)/3)</f>
        <v>6965.5787863064152</v>
      </c>
      <c r="EG35">
        <f>0.056*((BM35/3.78541*15)^(-0.144))*BM35/3.78541*15*300*(1+(AF35-2)/3)</f>
        <v>7009.0953953868229</v>
      </c>
      <c r="EH35">
        <f>DS35*DU35/(3.6*10^6)*3600*7200*0.07</f>
        <v>427.18732578916593</v>
      </c>
      <c r="EI35">
        <f>SUM(DW35:EH35)</f>
        <v>185674.61478619123</v>
      </c>
      <c r="EJ35">
        <f>EI35+DR35+DL35</f>
        <v>16377391.842657967</v>
      </c>
      <c r="EK35">
        <f>EJ35+DF35</f>
        <v>17035807.671334021</v>
      </c>
      <c r="EL35">
        <f>EK35/(BK35*60*7200)</f>
        <v>0.39434739979939865</v>
      </c>
      <c r="EM35">
        <f>EK35/(BM35*(AM35*195.084/1000+AN35*106.42/1000+AO35*102.911/1000)*60*7200)</f>
        <v>1319.3986926797331</v>
      </c>
      <c r="EN35">
        <f>EK35/(BN35*BA35*(AP35*195.084/1000+AQ35*106.42/1000+AR35*102.911/1000)*60*7200)</f>
        <v>2419.4473977710186</v>
      </c>
    </row>
    <row r="36" spans="1:144">
      <c r="A36">
        <f>'Costing 100 Lmin Feed Orig'!A36</f>
        <v>6</v>
      </c>
      <c r="B36">
        <f>'Costing 100 Lmin Feed Orig'!B36</f>
        <v>1.54143585092054E-3</v>
      </c>
      <c r="C36">
        <f>'Costing 100 Lmin Feed Orig'!C36</f>
        <v>1.54143585092054E-3</v>
      </c>
      <c r="D36">
        <f>'Costing 100 Lmin Feed Orig'!D36</f>
        <v>3.4254130020456501E-4</v>
      </c>
      <c r="E36">
        <f>'Costing 100 Lmin Feed Orig'!E36</f>
        <v>0</v>
      </c>
      <c r="F36">
        <f>'Costing 100 Lmin Feed Orig'!F36</f>
        <v>0</v>
      </c>
      <c r="G36">
        <f>'Costing 100 Lmin Feed Orig'!G36</f>
        <v>0</v>
      </c>
      <c r="H36">
        <f>'Costing 100 Lmin Feed Orig'!H36</f>
        <v>1.7693893431643E-5</v>
      </c>
      <c r="I36">
        <f>'Costing 100 Lmin Feed Orig'!I36</f>
        <v>3.7175600603836103E-8</v>
      </c>
      <c r="J36">
        <f>'Costing 100 Lmin Feed Orig'!J36</f>
        <v>3.36890310328726E-4</v>
      </c>
      <c r="K36">
        <f>'Costing 100 Lmin Feed Orig'!K36</f>
        <v>0.133710118829723</v>
      </c>
      <c r="L36">
        <f>'Costing 100 Lmin Feed Orig'!L36</f>
        <v>0.13525951632913</v>
      </c>
      <c r="M36">
        <f>'Costing 100 Lmin Feed Orig'!M36</f>
        <v>4.9588089642288804E-4</v>
      </c>
      <c r="N36">
        <f>'Costing 100 Lmin Feed Orig'!N36</f>
        <v>-1.72886878424538E-14</v>
      </c>
      <c r="O36">
        <f>'Costing 100 Lmin Feed Orig'!O36</f>
        <v>-1.05961268405396E-12</v>
      </c>
      <c r="P36">
        <f>'Costing 100 Lmin Feed Orig'!P36</f>
        <v>-9.6595637304880395E-18</v>
      </c>
      <c r="Q36">
        <f>'Costing 100 Lmin Feed Orig'!Q36</f>
        <v>0.11395861217105201</v>
      </c>
      <c r="R36">
        <f>'Costing 100 Lmin Feed Orig'!R36</f>
        <v>98.3502748800029</v>
      </c>
      <c r="S36">
        <f>'Costing 100 Lmin Feed Orig'!S36</f>
        <v>500</v>
      </c>
      <c r="T36">
        <f>'Costing 100 Lmin Feed Orig'!T36</f>
        <v>95</v>
      </c>
      <c r="U36">
        <f>'Costing 100 Lmin Feed Orig'!U36</f>
        <v>1</v>
      </c>
      <c r="V36">
        <f>'Costing 100 Lmin Feed Orig'!V36</f>
        <v>0.1</v>
      </c>
      <c r="W36">
        <f>'Costing 100 Lmin Feed Orig'!W36</f>
        <v>87.751156402202497</v>
      </c>
      <c r="X36" t="str">
        <f>'Costing 100 Lmin Feed Orig'!X36</f>
        <v>ddFc</v>
      </c>
      <c r="Y36">
        <f>'Costing 100 Lmin Feed Orig'!Y36</f>
        <v>1</v>
      </c>
      <c r="Z36">
        <f>'Costing 100 Lmin Feed Orig'!Z36</f>
        <v>0.28318429382522198</v>
      </c>
      <c r="AA36">
        <f>'Costing 100 Lmin Feed Orig'!AA36</f>
        <v>0.56945642916197003</v>
      </c>
      <c r="AB36">
        <f>'Costing 100 Lmin Feed Orig'!AB36</f>
        <v>3.7698628972227502E-3</v>
      </c>
      <c r="AC36">
        <f>'Costing 100 Lmin Feed Orig'!AC36</f>
        <v>1822.2107908876901</v>
      </c>
      <c r="AD36">
        <f>'Costing 100 Lmin Feed Orig'!AD36</f>
        <v>2662.6059073104898</v>
      </c>
      <c r="AE36">
        <f>'Costing 100 Lmin Feed Orig'!AE36</f>
        <v>2401.5030938442701</v>
      </c>
      <c r="AF36">
        <f>'Costing 100 Lmin Feed Orig'!AF36</f>
        <v>8</v>
      </c>
      <c r="AG36">
        <f>'Costing 100 Lmin Feed Orig'!AG36</f>
        <v>1.64951815726537E-3</v>
      </c>
      <c r="AH36">
        <f>'Costing 100 Lmin Feed Orig'!AH36</f>
        <v>1.6686323374819601E-3</v>
      </c>
      <c r="AI36">
        <f>'Costing 100 Lmin Feed Orig'!AI36</f>
        <v>6.1174468293775103E-6</v>
      </c>
      <c r="AJ36">
        <f>'Costing 100 Lmin Feed Orig'!AJ36</f>
        <v>0</v>
      </c>
      <c r="AK36">
        <f>'Costing 100 Lmin Feed Orig'!AK36</f>
        <v>0</v>
      </c>
      <c r="AL36">
        <f>'Costing 100 Lmin Feed Orig'!AL36</f>
        <v>0</v>
      </c>
      <c r="AM36">
        <f>'Costing 100 Lmin Feed Orig'!AM36</f>
        <v>1.6125021937551699E-3</v>
      </c>
      <c r="AN36">
        <f>'Costing 100 Lmin Feed Orig'!AN36</f>
        <v>7.8791398968760994E-5</v>
      </c>
      <c r="AO36">
        <f>'Costing 100 Lmin Feed Orig'!AO36</f>
        <v>6.0771375446680096E-6</v>
      </c>
      <c r="AP36">
        <f>'Costing 100 Lmin Feed Orig'!AP36</f>
        <v>1.73492050588017E-3</v>
      </c>
      <c r="AQ36">
        <f>'Costing 100 Lmin Feed Orig'!AQ36</f>
        <v>7.4515084509212501E-2</v>
      </c>
      <c r="AR36">
        <f>'Costing 100 Lmin Feed Orig'!AR36</f>
        <v>1.8892768957738701E-6</v>
      </c>
      <c r="AS36">
        <f>'Costing 100 Lmin Feed Orig'!AS36</f>
        <v>7.2525806974615906E-15</v>
      </c>
      <c r="AT36">
        <f>'Costing 100 Lmin Feed Orig'!AT36</f>
        <v>-1.73205959123901E-12</v>
      </c>
      <c r="AU36">
        <f>'Costing 100 Lmin Feed Orig'!AU36</f>
        <v>4.3225150089571002E-20</v>
      </c>
      <c r="AV36">
        <f>'Costing 100 Lmin Feed Orig'!AV36</f>
        <v>0.19708964352883601</v>
      </c>
      <c r="AW36">
        <f>'Costing 100 Lmin Feed Orig'!AW36</f>
        <v>99.341076664272293</v>
      </c>
      <c r="AX36">
        <f>'Costing 100 Lmin Feed Orig'!AX36</f>
        <v>500</v>
      </c>
      <c r="AY36">
        <f>'Costing 100 Lmin Feed Orig'!AY36</f>
        <v>95</v>
      </c>
      <c r="AZ36">
        <f>'Costing 100 Lmin Feed Orig'!AZ36</f>
        <v>0.92374973309314701</v>
      </c>
      <c r="BA36">
        <f>'Costing 100 Lmin Feed Orig'!BA36</f>
        <v>0.1</v>
      </c>
      <c r="BB36">
        <f>'Costing 100 Lmin Feed Orig'!BB36</f>
        <v>46.869521734052398</v>
      </c>
      <c r="BC36" t="str">
        <f>'Costing 100 Lmin Feed Orig'!BC36</f>
        <v>coeFc</v>
      </c>
      <c r="BD36">
        <f>'Costing 100 Lmin Feed Orig'!BD36</f>
        <v>1</v>
      </c>
      <c r="BE36">
        <f>'Costing 100 Lmin Feed Orig'!BE36</f>
        <v>1.8775014999999999E-2</v>
      </c>
      <c r="BF36">
        <f>'Costing 100 Lmin Feed Orig'!BF36</f>
        <v>0.10492961100000001</v>
      </c>
      <c r="BG36">
        <f>'Costing 100 Lmin Feed Orig'!BG36</f>
        <v>1.814625E-3</v>
      </c>
      <c r="BH36">
        <f>'Costing 100 Lmin Feed Orig'!BH36</f>
        <v>285.1951444</v>
      </c>
      <c r="BI36">
        <f>'Costing 100 Lmin Feed Orig'!BI36</f>
        <v>2169.8944889999998</v>
      </c>
      <c r="BJ36">
        <f>'Costing 100 Lmin Feed Orig'!BJ36</f>
        <v>866.49409060000005</v>
      </c>
      <c r="BK36">
        <f>'Costing 100 Lmin Feed Orig'!BK36</f>
        <v>100</v>
      </c>
      <c r="BL36">
        <f>'Costing 100 Lmin Feed Orig'!BL36</f>
        <v>11.395861217105201</v>
      </c>
      <c r="BM36">
        <f>'Costing 100 Lmin Feed Orig'!BM36</f>
        <v>92.374973309314697</v>
      </c>
      <c r="BN36">
        <f>'Costing 100 Lmin Feed Orig'!BN36</f>
        <v>19.708964352883601</v>
      </c>
      <c r="BO36">
        <f t="shared" si="1"/>
        <v>182.33377947368322</v>
      </c>
      <c r="BP36">
        <f t="shared" si="2"/>
        <v>394.17928705767201</v>
      </c>
      <c r="BQ36">
        <f t="shared" si="3"/>
        <v>18.233377947368322</v>
      </c>
      <c r="BR36">
        <f t="shared" si="4"/>
        <v>39.417928705767203</v>
      </c>
      <c r="BS36">
        <f>1.2*0.5*BL36*V36/'Oxidant Feed Composition'!$N$22</f>
        <v>6.837516730263121</v>
      </c>
      <c r="BT36">
        <f>1.2*0.5*BN36*BA36/'Oxidant Feed Composition'!$N$22</f>
        <v>11.82537861173016</v>
      </c>
      <c r="BU36">
        <f t="shared" si="5"/>
        <v>5.6979306085525998</v>
      </c>
      <c r="BV36">
        <f t="shared" si="6"/>
        <v>9.8544821764418007</v>
      </c>
      <c r="BW36">
        <f t="shared" si="7"/>
        <v>86.677042700762101</v>
      </c>
      <c r="BX36">
        <f t="shared" si="0"/>
        <v>36.466755894736643</v>
      </c>
      <c r="BY36">
        <f t="shared" si="8"/>
        <v>207.54166905283981</v>
      </c>
      <c r="BZ36">
        <f t="shared" si="9"/>
        <v>63.068685929227527</v>
      </c>
      <c r="CA36">
        <f t="shared" si="10"/>
        <v>59.126893058650808</v>
      </c>
      <c r="CB36">
        <f>BO36*'Reagent cost'!$G$11*'Reagent cost'!$H$11</f>
        <v>2406.8058890526186</v>
      </c>
      <c r="CC36">
        <f>BP36*'Reagent cost'!$G$11*'Reagent cost'!$H$11</f>
        <v>5203.1665891612702</v>
      </c>
      <c r="CD36">
        <f>BQ36*'Reagent cost'!$C$18/1000*'Reagent cost'!$H$18</f>
        <v>2907.8673690603878</v>
      </c>
      <c r="CE36">
        <f>BR36*'Ligand cost'!$B$56*'Ligand cost'!$J$56</f>
        <v>40132.486350808351</v>
      </c>
      <c r="CF36">
        <f t="shared" si="11"/>
        <v>10</v>
      </c>
      <c r="CG36">
        <f t="shared" si="12"/>
        <v>2.2791722434210402</v>
      </c>
      <c r="CH36">
        <f t="shared" si="12"/>
        <v>3.9417928705767205</v>
      </c>
      <c r="CI36">
        <f>7963.6*(BX36/1000)^0.6*1.7*('CAPEX+OPEX'!$G$116/'CAPEX+OPEX'!$G$115)</f>
        <v>2189.6727102460782</v>
      </c>
      <c r="CJ36">
        <f>7963.6*(BY36/1000)^0.6*1.7*('CAPEX+OPEX'!$G$116/'CAPEX+OPEX'!$G$115)</f>
        <v>6215.9013146876341</v>
      </c>
      <c r="CK36">
        <f>7963.6*(BZ36/1000)^0.6*1.7*('CAPEX+OPEX'!$G$116/'CAPEX+OPEX'!$G$115)</f>
        <v>3041.7897860771859</v>
      </c>
      <c r="CL36">
        <f>7963.6*(CA36/1000)^0.6*1.7*('CAPEX+OPEX'!$G$116/'CAPEX+OPEX'!$G$115)</f>
        <v>2926.2536141847536</v>
      </c>
      <c r="CM36">
        <f>'Costing 100 Lmin Feed Orig'!DE36</f>
        <v>39625.826528698344</v>
      </c>
      <c r="CN36">
        <f>'Costing 100 Lmin Feed Orig'!DF36</f>
        <v>4586243.4239371875</v>
      </c>
      <c r="CO36">
        <f>'Costing 100 Lmin Feed Orig'!DG36</f>
        <v>11794834.586807497</v>
      </c>
      <c r="CP36">
        <f>'Costing 100 Lmin Feed Orig'!DH36</f>
        <v>2275209.1661185985</v>
      </c>
      <c r="CQ36">
        <f>'Costing 100 Lmin Feed Orig'!DI36</f>
        <v>14083914.336508472</v>
      </c>
      <c r="CR36">
        <f>'Costing 100 Lmin Feed Orig'!DJ36</f>
        <v>1662824.8986326549</v>
      </c>
      <c r="CS36">
        <f>CN36*(BK36/10000)^0.72*((A36+1)/3)^0.6*('CAPEX+OPEX'!$G$116/'CAPEX+OPEX'!$G$114)</f>
        <v>646135.89638675924</v>
      </c>
      <c r="CT36">
        <f>CO36*(BK36/10000)^0.72*((A36+1)/3)^0.6*('CAPEX+OPEX'!$G$116/'CAPEX+OPEX'!$G$114)</f>
        <v>1661722.9645298459</v>
      </c>
      <c r="CU36">
        <f>CP36*(BK36/10000)^0.72*((A36+1)/3)^0.6*('CAPEX+OPEX'!$G$116/'CAPEX+OPEX'!$G$114)</f>
        <v>320544.32748695416</v>
      </c>
      <c r="CV36">
        <f>CQ36*(BK36/10000)^0.72*((A36+1)/3)^0.6*('CAPEX+OPEX'!$G$116/'CAPEX+OPEX'!$G$114)</f>
        <v>1984221.4582325809</v>
      </c>
      <c r="CW36">
        <f>CR36*(BK36/10000)^0.72*((A36+1)/3)^0.6*('CAPEX+OPEX'!$G$116/'CAPEX+OPEX'!$G$114)</f>
        <v>234268.17050410178</v>
      </c>
      <c r="CX36">
        <f t="shared" si="13"/>
        <v>4846892.8171402421</v>
      </c>
      <c r="CY36">
        <f>CN36*(BM36/10000)^0.72*((AF36+1)/3)^0.6*('CAPEX+OPEX'!$G$116/'CAPEX+OPEX'!$G$114)</f>
        <v>709593.56018346804</v>
      </c>
      <c r="CZ36">
        <f>CO36*(BM36/10000)^0.72*((AF36+1)/3)^0.6*('CAPEX+OPEX'!$G$116/'CAPEX+OPEX'!$G$114)</f>
        <v>1824922.4676004604</v>
      </c>
      <c r="DA36">
        <f>CP36*(BM36/10000)^0.72*((AF36+1)/3)^0.6*('CAPEX+OPEX'!$G$116/'CAPEX+OPEX'!$G$114)</f>
        <v>352025.31202806637</v>
      </c>
      <c r="DB36">
        <f>CQ36*(BM36/10000)^0.72*((AF36+1)/3)^0.6*('CAPEX+OPEX'!$G$116/'CAPEX+OPEX'!$G$114)</f>
        <v>2179093.8664966309</v>
      </c>
      <c r="DC36">
        <f>CR36*(BM36/10000)^0.72*((AF36+1)/3)^0.6*('CAPEX+OPEX'!$G$116/'CAPEX+OPEX'!$G$114)</f>
        <v>257275.88588603889</v>
      </c>
      <c r="DD36">
        <f t="shared" si="14"/>
        <v>5322911.0921946643</v>
      </c>
      <c r="DE36">
        <f>CX36+DD36+1.15*(SUM(CI36:CL36)+SUM(CB36:CE36))</f>
        <v>10244581.444501676</v>
      </c>
      <c r="DF36">
        <f t="shared" si="15"/>
        <v>682972.09630011173</v>
      </c>
      <c r="DG36">
        <f>(BS36+BT36)*'Oxidant Feed Composition'!$N$29*60*7200</f>
        <v>9310385.4738294799</v>
      </c>
      <c r="DH36">
        <f>((CG36+CH36)*'Reagent cost'!$C$17/1000*'Reagent cost'!$H$17+(CG36+CH36)*0.5*'Reagent cost'!$C$16/1000*'Reagent cost'!$H$16*0.5)*60*7200</f>
        <v>3151997.2967520282</v>
      </c>
      <c r="DI36">
        <f>CF36*'Reagent cost'!$C$17/1000*'Reagent cost'!$H$17*60*7200</f>
        <v>504921.59999999998</v>
      </c>
      <c r="DJ36">
        <f t="shared" si="16"/>
        <v>76.099724782138892</v>
      </c>
      <c r="DK36">
        <f t="shared" si="17"/>
        <v>860.80707439737489</v>
      </c>
      <c r="DL36">
        <f t="shared" si="18"/>
        <v>15561889.532856826</v>
      </c>
      <c r="DM36">
        <f>BK36*(B36*(409.81+2)/1000+C36*(248.2+2*22.99)/1000+D36*(315.6+3*22.99)/1000+0.1*58.44/1000)</f>
        <v>0.70639694042110623</v>
      </c>
      <c r="DN36">
        <f>(BS36+BT36)/1000*('Oxidant Feed Composition'!$B$11*'Oxidant Feed Composition'!$O$20+'Oxidant Feed Composition'!$D$11*'Oxidant Feed Composition'!$O$21+'Oxidant Feed Composition'!$F$11*'Oxidant Feed Composition'!$O$27-'Oxidant Feed Composition'!$J$15*18.015)</f>
        <v>2.1795376475828276</v>
      </c>
      <c r="DO36">
        <f>(BU36+BV36)/1000*(0.2*368.34+0.4*58.44)</f>
        <v>1.5092683463069967</v>
      </c>
      <c r="DP36">
        <f>BK36/1000*(B36*195.08+C36*106.42+D36*102.91)</f>
        <v>4.999938342565946E-2</v>
      </c>
      <c r="DQ36">
        <f>SUM(DM36:DO36)-DP36</f>
        <v>4.3452035508852704</v>
      </c>
      <c r="DR36">
        <f>DQ36*60*7200*0.33</f>
        <v>619452.21821420419</v>
      </c>
      <c r="DS36">
        <v>1.2</v>
      </c>
      <c r="DT36">
        <f>BM36/60*(AM36*4+AN36*2+AO36*3)*96485/DV36</f>
        <v>1406.0626301487753</v>
      </c>
      <c r="DU36">
        <f>BN36*BA36*(AP36*4+AQ36*2+AR36*3)*96485/DV36/60</f>
        <v>706.20494429610153</v>
      </c>
      <c r="DV36">
        <v>0.7</v>
      </c>
      <c r="DW36">
        <f>0.499*((BK36/3.78541*15)^(-0.146))*BK36/3.78541*15*300*(1+(A36-2)/9)</f>
        <v>35776.359048024235</v>
      </c>
      <c r="DX36">
        <f>0.248*((BK36/3.78541*15)^(-0.144))*BK36/3.78541*15*300*(1+(A36-2)/3)</f>
        <v>29068.269280606211</v>
      </c>
      <c r="DY36">
        <f>0.105*((BK36/3.78541*15)^(-0.144))*BK36/3.78541*15*300*(1+(A36-2)/3)</f>
        <v>12307.130138966339</v>
      </c>
      <c r="DZ36">
        <f>0.058*((BK36/3.78541*15)^(-0.151))*BK36/3.78541*15*300*(1+(A36-2)/3)</f>
        <v>6519.4301878820042</v>
      </c>
      <c r="EA36">
        <f>0.056*((BK36/3.78541*15)^(-0.144))*BK36/3.78541*15*300*(1+(A36-2)/3)</f>
        <v>6563.8027407820491</v>
      </c>
      <c r="EB36">
        <f>DS36*DT36/(3.6*10^6)*3600*7200*0.07</f>
        <v>850.38667871397934</v>
      </c>
      <c r="EC36">
        <f>0.499*((BM36/3.78541*15)^(-0.146))*BM36/3.78541*15*300*(1+(AF36-2)/9)</f>
        <v>38576.910326977413</v>
      </c>
      <c r="ED36">
        <f>0.248*((BM36/3.78541*15)^(-0.144))*BM36/3.78541*15*300*(1+(AF36-2)/3)</f>
        <v>34920.314559159349</v>
      </c>
      <c r="EE36">
        <f>0.105*((BM36/3.78541*15)^(-0.144))*BM36/3.78541*15*300*(1+(AF36-2)/3)</f>
        <v>14784.810599644079</v>
      </c>
      <c r="EF36">
        <f>0.058*((BM36/3.78541*15)^(-0.151))*BM36/3.78541*15*300*(1+(AF36-2)/3)</f>
        <v>7836.2761345947165</v>
      </c>
      <c r="EG36">
        <f>0.056*((BM36/3.78541*15)^(-0.144))*BM36/3.78541*15*300*(1+(AF36-2)/3)</f>
        <v>7885.2323198101749</v>
      </c>
      <c r="EH36">
        <f>DS36*DU36/(3.6*10^6)*3600*7200*0.07</f>
        <v>427.11275031028225</v>
      </c>
      <c r="EI36">
        <f>SUM(DW36:EH36)</f>
        <v>195516.03476547083</v>
      </c>
      <c r="EJ36">
        <f>EI36+DR36+DL36</f>
        <v>16376857.785836501</v>
      </c>
      <c r="EK36">
        <f>EJ36+DF36</f>
        <v>17059829.882136613</v>
      </c>
      <c r="EL36">
        <f>EK36/(BK36*60*7200)</f>
        <v>0.39490346949390309</v>
      </c>
      <c r="EM36">
        <f>EK36/(BM36*(AM36*195.084/1000+AN36*106.42/1000+AO36*102.911/1000)*60*7200)</f>
        <v>1321.143225970821</v>
      </c>
      <c r="EN36">
        <f>EK36/(BN36*BA36*(AP36*195.084/1000+AQ36*106.42/1000+AR36*102.911/1000)*60*7200)</f>
        <v>2423.2490630548432</v>
      </c>
    </row>
    <row r="37" spans="1:144">
      <c r="A37">
        <f>'Costing 100 Lmin Feed Orig'!A37</f>
        <v>6</v>
      </c>
      <c r="B37">
        <f>'Costing 100 Lmin Feed Orig'!B37</f>
        <v>1.54143585092054E-3</v>
      </c>
      <c r="C37">
        <f>'Costing 100 Lmin Feed Orig'!C37</f>
        <v>1.54143585092054E-3</v>
      </c>
      <c r="D37">
        <f>'Costing 100 Lmin Feed Orig'!D37</f>
        <v>3.4254130020456501E-4</v>
      </c>
      <c r="E37">
        <f>'Costing 100 Lmin Feed Orig'!E37</f>
        <v>0</v>
      </c>
      <c r="F37">
        <f>'Costing 100 Lmin Feed Orig'!F37</f>
        <v>0</v>
      </c>
      <c r="G37">
        <f>'Costing 100 Lmin Feed Orig'!G37</f>
        <v>0</v>
      </c>
      <c r="H37">
        <f>'Costing 100 Lmin Feed Orig'!H37</f>
        <v>1.7693893431643E-5</v>
      </c>
      <c r="I37">
        <f>'Costing 100 Lmin Feed Orig'!I37</f>
        <v>3.7175600603836103E-8</v>
      </c>
      <c r="J37">
        <f>'Costing 100 Lmin Feed Orig'!J37</f>
        <v>3.36890310328726E-4</v>
      </c>
      <c r="K37">
        <f>'Costing 100 Lmin Feed Orig'!K37</f>
        <v>0.133710118829723</v>
      </c>
      <c r="L37">
        <f>'Costing 100 Lmin Feed Orig'!L37</f>
        <v>0.13525951632913</v>
      </c>
      <c r="M37">
        <f>'Costing 100 Lmin Feed Orig'!M37</f>
        <v>4.9588089642288804E-4</v>
      </c>
      <c r="N37">
        <f>'Costing 100 Lmin Feed Orig'!N37</f>
        <v>-1.72886878424538E-14</v>
      </c>
      <c r="O37">
        <f>'Costing 100 Lmin Feed Orig'!O37</f>
        <v>-1.05961268405396E-12</v>
      </c>
      <c r="P37">
        <f>'Costing 100 Lmin Feed Orig'!P37</f>
        <v>-9.6595637304880395E-18</v>
      </c>
      <c r="Q37">
        <f>'Costing 100 Lmin Feed Orig'!Q37</f>
        <v>0.11395861217105201</v>
      </c>
      <c r="R37">
        <f>'Costing 100 Lmin Feed Orig'!R37</f>
        <v>98.3502748800029</v>
      </c>
      <c r="S37">
        <f>'Costing 100 Lmin Feed Orig'!S37</f>
        <v>500</v>
      </c>
      <c r="T37">
        <f>'Costing 100 Lmin Feed Orig'!T37</f>
        <v>95</v>
      </c>
      <c r="U37">
        <f>'Costing 100 Lmin Feed Orig'!U37</f>
        <v>1</v>
      </c>
      <c r="V37">
        <f>'Costing 100 Lmin Feed Orig'!V37</f>
        <v>0.1</v>
      </c>
      <c r="W37">
        <f>'Costing 100 Lmin Feed Orig'!W37</f>
        <v>87.751156402202497</v>
      </c>
      <c r="X37" t="str">
        <f>'Costing 100 Lmin Feed Orig'!X37</f>
        <v>ddFc</v>
      </c>
      <c r="Y37">
        <f>'Costing 100 Lmin Feed Orig'!Y37</f>
        <v>1</v>
      </c>
      <c r="Z37">
        <f>'Costing 100 Lmin Feed Orig'!Z37</f>
        <v>0.28318429382522198</v>
      </c>
      <c r="AA37">
        <f>'Costing 100 Lmin Feed Orig'!AA37</f>
        <v>0.56945642916197003</v>
      </c>
      <c r="AB37">
        <f>'Costing 100 Lmin Feed Orig'!AB37</f>
        <v>3.7698628972227502E-3</v>
      </c>
      <c r="AC37">
        <f>'Costing 100 Lmin Feed Orig'!AC37</f>
        <v>1822.2107908876901</v>
      </c>
      <c r="AD37">
        <f>'Costing 100 Lmin Feed Orig'!AD37</f>
        <v>2662.6059073104898</v>
      </c>
      <c r="AE37">
        <f>'Costing 100 Lmin Feed Orig'!AE37</f>
        <v>2401.5030938442701</v>
      </c>
      <c r="AF37">
        <f>'Costing 100 Lmin Feed Orig'!AF37</f>
        <v>9</v>
      </c>
      <c r="AG37">
        <f>'Costing 100 Lmin Feed Orig'!AG37</f>
        <v>1.64951815726537E-3</v>
      </c>
      <c r="AH37">
        <f>'Costing 100 Lmin Feed Orig'!AH37</f>
        <v>1.6686323374819601E-3</v>
      </c>
      <c r="AI37">
        <f>'Costing 100 Lmin Feed Orig'!AI37</f>
        <v>6.1174468293775103E-6</v>
      </c>
      <c r="AJ37">
        <f>'Costing 100 Lmin Feed Orig'!AJ37</f>
        <v>0</v>
      </c>
      <c r="AK37">
        <f>'Costing 100 Lmin Feed Orig'!AK37</f>
        <v>0</v>
      </c>
      <c r="AL37">
        <f>'Costing 100 Lmin Feed Orig'!AL37</f>
        <v>0</v>
      </c>
      <c r="AM37">
        <f>'Costing 100 Lmin Feed Orig'!AM37</f>
        <v>1.6125422035540001E-3</v>
      </c>
      <c r="AN37">
        <f>'Costing 100 Lmin Feed Orig'!AN37</f>
        <v>7.8793462951453095E-5</v>
      </c>
      <c r="AO37">
        <f>'Costing 100 Lmin Feed Orig'!AO37</f>
        <v>6.0771793070157197E-6</v>
      </c>
      <c r="AP37">
        <f>'Costing 100 Lmin Feed Orig'!AP37</f>
        <v>1.7335688061823E-3</v>
      </c>
      <c r="AQ37">
        <f>'Costing 100 Lmin Feed Orig'!AQ37</f>
        <v>7.4537498106893293E-2</v>
      </c>
      <c r="AR37">
        <f>'Costing 100 Lmin Feed Orig'!AR37</f>
        <v>1.8878896596870901E-6</v>
      </c>
      <c r="AS37">
        <f>'Costing 100 Lmin Feed Orig'!AS37</f>
        <v>6.1243870218274895E-17</v>
      </c>
      <c r="AT37">
        <f>'Costing 100 Lmin Feed Orig'!AT37</f>
        <v>-7.9610797121265604E-15</v>
      </c>
      <c r="AU37">
        <f>'Costing 100 Lmin Feed Orig'!AU37</f>
        <v>8.7350272685599704E-22</v>
      </c>
      <c r="AV37">
        <f>'Costing 100 Lmin Feed Orig'!AV37</f>
        <v>0.19703012219574401</v>
      </c>
      <c r="AW37">
        <f>'Costing 100 Lmin Feed Orig'!AW37</f>
        <v>99.341759340376896</v>
      </c>
      <c r="AX37">
        <f>'Costing 100 Lmin Feed Orig'!AX37</f>
        <v>500</v>
      </c>
      <c r="AY37">
        <f>'Costing 100 Lmin Feed Orig'!AY37</f>
        <v>95</v>
      </c>
      <c r="AZ37">
        <f>'Costing 100 Lmin Feed Orig'!AZ37</f>
        <v>0.92374973309314701</v>
      </c>
      <c r="BA37">
        <f>'Costing 100 Lmin Feed Orig'!BA37</f>
        <v>0.1</v>
      </c>
      <c r="BB37">
        <f>'Costing 100 Lmin Feed Orig'!BB37</f>
        <v>46.883680667640498</v>
      </c>
      <c r="BC37" t="str">
        <f>'Costing 100 Lmin Feed Orig'!BC37</f>
        <v>coeFc</v>
      </c>
      <c r="BD37">
        <f>'Costing 100 Lmin Feed Orig'!BD37</f>
        <v>1</v>
      </c>
      <c r="BE37">
        <f>'Costing 100 Lmin Feed Orig'!BE37</f>
        <v>1.8775014999999999E-2</v>
      </c>
      <c r="BF37">
        <f>'Costing 100 Lmin Feed Orig'!BF37</f>
        <v>0.10492961100000001</v>
      </c>
      <c r="BG37">
        <f>'Costing 100 Lmin Feed Orig'!BG37</f>
        <v>1.814625E-3</v>
      </c>
      <c r="BH37">
        <f>'Costing 100 Lmin Feed Orig'!BH37</f>
        <v>285.1951444</v>
      </c>
      <c r="BI37">
        <f>'Costing 100 Lmin Feed Orig'!BI37</f>
        <v>2169.8944889999998</v>
      </c>
      <c r="BJ37">
        <f>'Costing 100 Lmin Feed Orig'!BJ37</f>
        <v>866.49409060000005</v>
      </c>
      <c r="BK37">
        <f>'Costing 100 Lmin Feed Orig'!BK37</f>
        <v>100</v>
      </c>
      <c r="BL37">
        <f>'Costing 100 Lmin Feed Orig'!BL37</f>
        <v>11.395861217105201</v>
      </c>
      <c r="BM37">
        <f>'Costing 100 Lmin Feed Orig'!BM37</f>
        <v>92.374973309314697</v>
      </c>
      <c r="BN37">
        <f>'Costing 100 Lmin Feed Orig'!BN37</f>
        <v>19.703012219574401</v>
      </c>
      <c r="BO37">
        <f t="shared" si="1"/>
        <v>182.33377947368322</v>
      </c>
      <c r="BP37">
        <f t="shared" si="2"/>
        <v>433.46626883063681</v>
      </c>
      <c r="BQ37">
        <f t="shared" si="3"/>
        <v>18.233377947368322</v>
      </c>
      <c r="BR37">
        <f t="shared" si="4"/>
        <v>43.346626883063685</v>
      </c>
      <c r="BS37">
        <f>1.2*0.5*BL37*V37/'Oxidant Feed Composition'!$N$22</f>
        <v>6.837516730263121</v>
      </c>
      <c r="BT37">
        <f>1.2*0.5*BN37*BA37/'Oxidant Feed Composition'!$N$22</f>
        <v>11.82180733174464</v>
      </c>
      <c r="BU37">
        <f t="shared" si="5"/>
        <v>5.6979306085525998</v>
      </c>
      <c r="BV37">
        <f t="shared" si="6"/>
        <v>9.8515061097872003</v>
      </c>
      <c r="BW37">
        <f t="shared" si="7"/>
        <v>86.677042700762101</v>
      </c>
      <c r="BX37">
        <f t="shared" si="0"/>
        <v>36.466755894736643</v>
      </c>
      <c r="BY37">
        <f t="shared" si="8"/>
        <v>207.54166905283981</v>
      </c>
      <c r="BZ37">
        <f t="shared" si="9"/>
        <v>63.049639102638082</v>
      </c>
      <c r="CA37">
        <f t="shared" si="10"/>
        <v>59.109036658723198</v>
      </c>
      <c r="CB37">
        <f>BO37*'Reagent cost'!$G$11*'Reagent cost'!$H$11</f>
        <v>2406.8058890526186</v>
      </c>
      <c r="CC37">
        <f>BP37*'Reagent cost'!$G$11*'Reagent cost'!$H$11</f>
        <v>5721.7547485644063</v>
      </c>
      <c r="CD37">
        <f>BQ37*'Reagent cost'!$C$18/1000*'Reagent cost'!$H$18</f>
        <v>2907.8673690603878</v>
      </c>
      <c r="CE37">
        <f>BR37*'Ligand cost'!$B$56*'Ligand cost'!$J$56</f>
        <v>44132.402915519386</v>
      </c>
      <c r="CF37">
        <f t="shared" si="11"/>
        <v>10</v>
      </c>
      <c r="CG37">
        <f t="shared" si="12"/>
        <v>2.2791722434210402</v>
      </c>
      <c r="CH37">
        <f t="shared" si="12"/>
        <v>3.9406024439148801</v>
      </c>
      <c r="CI37">
        <f>7963.6*(BX37/1000)^0.6*1.7*('CAPEX+OPEX'!$G$116/'CAPEX+OPEX'!$G$115)</f>
        <v>2189.6727102460782</v>
      </c>
      <c r="CJ37">
        <f>7963.6*(BY37/1000)^0.6*1.7*('CAPEX+OPEX'!$G$116/'CAPEX+OPEX'!$G$115)</f>
        <v>6215.9013146876341</v>
      </c>
      <c r="CK37">
        <f>7963.6*(BZ37/1000)^0.6*1.7*('CAPEX+OPEX'!$G$116/'CAPEX+OPEX'!$G$115)</f>
        <v>3041.2385780576142</v>
      </c>
      <c r="CL37">
        <f>7963.6*(CA37/1000)^0.6*1.7*('CAPEX+OPEX'!$G$116/'CAPEX+OPEX'!$G$115)</f>
        <v>2925.723342675914</v>
      </c>
      <c r="CM37">
        <f>'Costing 100 Lmin Feed Orig'!DE37</f>
        <v>39625.826528698344</v>
      </c>
      <c r="CN37">
        <f>'Costing 100 Lmin Feed Orig'!DF37</f>
        <v>4586243.4239371875</v>
      </c>
      <c r="CO37">
        <f>'Costing 100 Lmin Feed Orig'!DG37</f>
        <v>11794834.586807497</v>
      </c>
      <c r="CP37">
        <f>'Costing 100 Lmin Feed Orig'!DH37</f>
        <v>2275209.1661185985</v>
      </c>
      <c r="CQ37">
        <f>'Costing 100 Lmin Feed Orig'!DI37</f>
        <v>14083914.336508472</v>
      </c>
      <c r="CR37">
        <f>'Costing 100 Lmin Feed Orig'!DJ37</f>
        <v>1662824.8986326549</v>
      </c>
      <c r="CS37">
        <f>CN37*(BK37/10000)^0.72*((A37+1)/3)^0.6*('CAPEX+OPEX'!$G$116/'CAPEX+OPEX'!$G$114)</f>
        <v>646135.89638675924</v>
      </c>
      <c r="CT37">
        <f>CO37*(BK37/10000)^0.72*((A37+1)/3)^0.6*('CAPEX+OPEX'!$G$116/'CAPEX+OPEX'!$G$114)</f>
        <v>1661722.9645298459</v>
      </c>
      <c r="CU37">
        <f>CP37*(BK37/10000)^0.72*((A37+1)/3)^0.6*('CAPEX+OPEX'!$G$116/'CAPEX+OPEX'!$G$114)</f>
        <v>320544.32748695416</v>
      </c>
      <c r="CV37">
        <f>CQ37*(BK37/10000)^0.72*((A37+1)/3)^0.6*('CAPEX+OPEX'!$G$116/'CAPEX+OPEX'!$G$114)</f>
        <v>1984221.4582325809</v>
      </c>
      <c r="CW37">
        <f>CR37*(BK37/10000)^0.72*((A37+1)/3)^0.6*('CAPEX+OPEX'!$G$116/'CAPEX+OPEX'!$G$114)</f>
        <v>234268.17050410178</v>
      </c>
      <c r="CX37">
        <f t="shared" si="13"/>
        <v>4846892.8171402421</v>
      </c>
      <c r="CY37">
        <f>CN37*(BM37/10000)^0.72*((AF37+1)/3)^0.6*('CAPEX+OPEX'!$G$116/'CAPEX+OPEX'!$G$114)</f>
        <v>755899.67705977859</v>
      </c>
      <c r="CZ37">
        <f>CO37*(BM37/10000)^0.72*((AF37+1)/3)^0.6*('CAPEX+OPEX'!$G$116/'CAPEX+OPEX'!$G$114)</f>
        <v>1944011.8700649682</v>
      </c>
      <c r="DA37">
        <f>CP37*(BM37/10000)^0.72*((AF37+1)/3)^0.6*('CAPEX+OPEX'!$G$116/'CAPEX+OPEX'!$G$114)</f>
        <v>374997.51211113459</v>
      </c>
      <c r="DB37">
        <f>CQ37*(BM37/10000)^0.72*((AF37+1)/3)^0.6*('CAPEX+OPEX'!$G$116/'CAPEX+OPEX'!$G$114)</f>
        <v>2321295.5167488609</v>
      </c>
      <c r="DC37">
        <f>CR37*(BM37/10000)^0.72*((AF37+1)/3)^0.6*('CAPEX+OPEX'!$G$116/'CAPEX+OPEX'!$G$114)</f>
        <v>274064.99997864</v>
      </c>
      <c r="DD37">
        <f t="shared" si="14"/>
        <v>5670269.5759633826</v>
      </c>
      <c r="DE37">
        <f>CX37+DD37+1.15*(SUM(CI37:CL37)+SUM(CB37:CE37))</f>
        <v>10597134.965001669</v>
      </c>
      <c r="DF37">
        <f t="shared" si="15"/>
        <v>706475.66433344455</v>
      </c>
      <c r="DG37">
        <f>(BS37+BT37)*'Oxidant Feed Composition'!$N$29*60*7200</f>
        <v>9308603.864240462</v>
      </c>
      <c r="DH37">
        <f>((CG37+CH37)*'Reagent cost'!$C$17/1000*'Reagent cost'!$H$17+(CG37+CH37)*0.5*'Reagent cost'!$C$16/1000*'Reagent cost'!$H$16*0.5)*60*7200</f>
        <v>3151394.1392754405</v>
      </c>
      <c r="DI37">
        <f>CF37*'Reagent cost'!$C$17/1000*'Reagent cost'!$H$17*60*7200</f>
        <v>504921.59999999998</v>
      </c>
      <c r="DJ37">
        <f t="shared" si="16"/>
        <v>81.28560637617025</v>
      </c>
      <c r="DK37">
        <f t="shared" si="17"/>
        <v>940.80540569159552</v>
      </c>
      <c r="DL37">
        <f t="shared" si="18"/>
        <v>15559130.033433564</v>
      </c>
      <c r="DM37">
        <f>BK37*(B37*(409.81+2)/1000+C37*(248.2+2*22.99)/1000+D37*(315.6+3*22.99)/1000+0.1*58.44/1000)</f>
        <v>0.70639694042110623</v>
      </c>
      <c r="DN37">
        <f>(BS37+BT37)/1000*('Oxidant Feed Composition'!$B$11*'Oxidant Feed Composition'!$O$20+'Oxidant Feed Composition'!$D$11*'Oxidant Feed Composition'!$O$21+'Oxidant Feed Composition'!$F$11*'Oxidant Feed Composition'!$O$27-'Oxidant Feed Composition'!$J$15*18.015)</f>
        <v>2.1791205772925073</v>
      </c>
      <c r="DO37">
        <f>(BU37+BV37)/1000*(0.2*368.34+0.4*58.44)</f>
        <v>1.5089795368945675</v>
      </c>
      <c r="DP37">
        <f>BK37/1000*(B37*195.08+C37*106.42+D37*102.91)</f>
        <v>4.999938342565946E-2</v>
      </c>
      <c r="DQ37">
        <f>SUM(DM37:DO37)-DP37</f>
        <v>4.3444976711825207</v>
      </c>
      <c r="DR37">
        <f>DQ37*60*7200*0.33</f>
        <v>619351.58800378023</v>
      </c>
      <c r="DS37">
        <v>1.2</v>
      </c>
      <c r="DT37">
        <f>BM37/60*(AM37*4+AN37*2+AO37*3)*96485/DV37</f>
        <v>1406.097494568138</v>
      </c>
      <c r="DU37">
        <f>BN37*BA37*(AP37*4+AQ37*2+AR37*3)*96485/DV37/60</f>
        <v>706.1700790912098</v>
      </c>
      <c r="DV37">
        <v>0.7</v>
      </c>
      <c r="DW37">
        <f>0.499*((BK37/3.78541*15)^(-0.146))*BK37/3.78541*15*300*(1+(A37-2)/9)</f>
        <v>35776.359048024235</v>
      </c>
      <c r="DX37">
        <f>0.248*((BK37/3.78541*15)^(-0.144))*BK37/3.78541*15*300*(1+(A37-2)/3)</f>
        <v>29068.269280606211</v>
      </c>
      <c r="DY37">
        <f>0.105*((BK37/3.78541*15)^(-0.144))*BK37/3.78541*15*300*(1+(A37-2)/3)</f>
        <v>12307.130138966339</v>
      </c>
      <c r="DZ37">
        <f>0.058*((BK37/3.78541*15)^(-0.151))*BK37/3.78541*15*300*(1+(A37-2)/3)</f>
        <v>6519.4301878820042</v>
      </c>
      <c r="EA37">
        <f>0.056*((BK37/3.78541*15)^(-0.144))*BK37/3.78541*15*300*(1+(A37-2)/3)</f>
        <v>6563.8027407820491</v>
      </c>
      <c r="EB37">
        <f>DS37*DT37/(3.6*10^6)*3600*7200*0.07</f>
        <v>850.4077647148099</v>
      </c>
      <c r="EC37">
        <f>0.499*((BM37/3.78541*15)^(-0.146))*BM37/3.78541*15*300*(1+(AF37-2)/9)</f>
        <v>41148.704348775907</v>
      </c>
      <c r="ED37">
        <f>0.248*((BM37/3.78541*15)^(-0.144))*BM37/3.78541*15*300*(1+(AF37-2)/3)</f>
        <v>38800.349510177053</v>
      </c>
      <c r="EE37">
        <f>0.105*((BM37/3.78541*15)^(-0.144))*BM37/3.78541*15*300*(1+(AF37-2)/3)</f>
        <v>16427.567332937866</v>
      </c>
      <c r="EF37">
        <f>0.058*((BM37/3.78541*15)^(-0.151))*BM37/3.78541*15*300*(1+(AF37-2)/3)</f>
        <v>8706.9734828830187</v>
      </c>
      <c r="EG37">
        <f>0.056*((BM37/3.78541*15)^(-0.144))*BM37/3.78541*15*300*(1+(AF37-2)/3)</f>
        <v>8761.3692442335268</v>
      </c>
      <c r="EH37">
        <f>DS37*DU37/(3.6*10^6)*3600*7200*0.07</f>
        <v>427.09166383436366</v>
      </c>
      <c r="EI37">
        <f>SUM(DW37:EH37)</f>
        <v>205357.45474381739</v>
      </c>
      <c r="EJ37">
        <f>EI37+DR37+DL37</f>
        <v>16383839.076181162</v>
      </c>
      <c r="EK37">
        <f>EJ37+DF37</f>
        <v>17090314.740514606</v>
      </c>
      <c r="EL37">
        <f>EK37/(BK37*60*7200)</f>
        <v>0.39560913751191218</v>
      </c>
      <c r="EM37">
        <f>EK37/(BM37*(AM37*195.084/1000+AN37*106.42/1000+AO37*102.911/1000)*60*7200)</f>
        <v>1323.4711871707784</v>
      </c>
      <c r="EN37">
        <f>EK37/(BN37*BA37*(AP37*195.084/1000+AQ37*106.42/1000+AR37*102.911/1000)*60*7200)</f>
        <v>2427.6897528643926</v>
      </c>
    </row>
    <row r="38" spans="1:144">
      <c r="A38">
        <f>'Costing 100 Lmin Feed Orig'!A38</f>
        <v>6</v>
      </c>
      <c r="B38">
        <f>'Costing 100 Lmin Feed Orig'!B38</f>
        <v>1.54143585092054E-3</v>
      </c>
      <c r="C38">
        <f>'Costing 100 Lmin Feed Orig'!C38</f>
        <v>1.54143585092054E-3</v>
      </c>
      <c r="D38">
        <f>'Costing 100 Lmin Feed Orig'!D38</f>
        <v>3.4254130020456501E-4</v>
      </c>
      <c r="E38">
        <f>'Costing 100 Lmin Feed Orig'!E38</f>
        <v>0</v>
      </c>
      <c r="F38">
        <f>'Costing 100 Lmin Feed Orig'!F38</f>
        <v>0</v>
      </c>
      <c r="G38">
        <f>'Costing 100 Lmin Feed Orig'!G38</f>
        <v>0</v>
      </c>
      <c r="H38">
        <f>'Costing 100 Lmin Feed Orig'!H38</f>
        <v>1.7693893431643E-5</v>
      </c>
      <c r="I38">
        <f>'Costing 100 Lmin Feed Orig'!I38</f>
        <v>3.7175600603836103E-8</v>
      </c>
      <c r="J38">
        <f>'Costing 100 Lmin Feed Orig'!J38</f>
        <v>3.36890310328726E-4</v>
      </c>
      <c r="K38">
        <f>'Costing 100 Lmin Feed Orig'!K38</f>
        <v>0.133710118829723</v>
      </c>
      <c r="L38">
        <f>'Costing 100 Lmin Feed Orig'!L38</f>
        <v>0.13525951632913</v>
      </c>
      <c r="M38">
        <f>'Costing 100 Lmin Feed Orig'!M38</f>
        <v>4.9588089642288804E-4</v>
      </c>
      <c r="N38">
        <f>'Costing 100 Lmin Feed Orig'!N38</f>
        <v>-1.72886878424538E-14</v>
      </c>
      <c r="O38">
        <f>'Costing 100 Lmin Feed Orig'!O38</f>
        <v>-1.05961268405396E-12</v>
      </c>
      <c r="P38">
        <f>'Costing 100 Lmin Feed Orig'!P38</f>
        <v>-9.6595637304880395E-18</v>
      </c>
      <c r="Q38">
        <f>'Costing 100 Lmin Feed Orig'!Q38</f>
        <v>0.11395861217105201</v>
      </c>
      <c r="R38">
        <f>'Costing 100 Lmin Feed Orig'!R38</f>
        <v>98.3502748800029</v>
      </c>
      <c r="S38">
        <f>'Costing 100 Lmin Feed Orig'!S38</f>
        <v>500</v>
      </c>
      <c r="T38">
        <f>'Costing 100 Lmin Feed Orig'!T38</f>
        <v>95</v>
      </c>
      <c r="U38">
        <f>'Costing 100 Lmin Feed Orig'!U38</f>
        <v>1</v>
      </c>
      <c r="V38">
        <f>'Costing 100 Lmin Feed Orig'!V38</f>
        <v>0.1</v>
      </c>
      <c r="W38">
        <f>'Costing 100 Lmin Feed Orig'!W38</f>
        <v>87.751156402202497</v>
      </c>
      <c r="X38" t="str">
        <f>'Costing 100 Lmin Feed Orig'!X38</f>
        <v>ddFc</v>
      </c>
      <c r="Y38">
        <f>'Costing 100 Lmin Feed Orig'!Y38</f>
        <v>1</v>
      </c>
      <c r="Z38">
        <f>'Costing 100 Lmin Feed Orig'!Z38</f>
        <v>0.28318429382522198</v>
      </c>
      <c r="AA38">
        <f>'Costing 100 Lmin Feed Orig'!AA38</f>
        <v>0.56945642916197003</v>
      </c>
      <c r="AB38">
        <f>'Costing 100 Lmin Feed Orig'!AB38</f>
        <v>3.7698628972227502E-3</v>
      </c>
      <c r="AC38">
        <f>'Costing 100 Lmin Feed Orig'!AC38</f>
        <v>1822.2107908876901</v>
      </c>
      <c r="AD38">
        <f>'Costing 100 Lmin Feed Orig'!AD38</f>
        <v>2662.6059073104898</v>
      </c>
      <c r="AE38">
        <f>'Costing 100 Lmin Feed Orig'!AE38</f>
        <v>2401.5030938442701</v>
      </c>
      <c r="AF38">
        <f>'Costing 100 Lmin Feed Orig'!AF38</f>
        <v>10</v>
      </c>
      <c r="AG38">
        <f>'Costing 100 Lmin Feed Orig'!AG38</f>
        <v>1.64951815726537E-3</v>
      </c>
      <c r="AH38">
        <f>'Costing 100 Lmin Feed Orig'!AH38</f>
        <v>1.6686323374819601E-3</v>
      </c>
      <c r="AI38">
        <f>'Costing 100 Lmin Feed Orig'!AI38</f>
        <v>6.1174468293775103E-6</v>
      </c>
      <c r="AJ38">
        <f>'Costing 100 Lmin Feed Orig'!AJ38</f>
        <v>0</v>
      </c>
      <c r="AK38">
        <f>'Costing 100 Lmin Feed Orig'!AK38</f>
        <v>0</v>
      </c>
      <c r="AL38">
        <f>'Costing 100 Lmin Feed Orig'!AL38</f>
        <v>0</v>
      </c>
      <c r="AM38">
        <f>'Costing 100 Lmin Feed Orig'!AM38</f>
        <v>1.61255347742774E-3</v>
      </c>
      <c r="AN38">
        <f>'Costing 100 Lmin Feed Orig'!AN38</f>
        <v>7.8794044578505199E-5</v>
      </c>
      <c r="AO38">
        <f>'Costing 100 Lmin Feed Orig'!AO38</f>
        <v>6.07719107473002E-6</v>
      </c>
      <c r="AP38">
        <f>'Costing 100 Lmin Feed Orig'!AP38</f>
        <v>1.7331877781333199E-3</v>
      </c>
      <c r="AQ38">
        <f>'Costing 100 Lmin Feed Orig'!AQ38</f>
        <v>7.4543816233418506E-2</v>
      </c>
      <c r="AR38">
        <f>'Costing 100 Lmin Feed Orig'!AR38</f>
        <v>1.88749861433376E-6</v>
      </c>
      <c r="AS38">
        <f>'Costing 100 Lmin Feed Orig'!AS38</f>
        <v>9.0192949137902997E-15</v>
      </c>
      <c r="AT38">
        <f>'Costing 100 Lmin Feed Orig'!AT38</f>
        <v>-9.3119934506391495E-13</v>
      </c>
      <c r="AU38">
        <f>'Costing 100 Lmin Feed Orig'!AU38</f>
        <v>9.0473706678599895E-20</v>
      </c>
      <c r="AV38">
        <f>'Costing 100 Lmin Feed Orig'!AV38</f>
        <v>0.19701335051902499</v>
      </c>
      <c r="AW38">
        <f>'Costing 100 Lmin Feed Orig'!AW38</f>
        <v>99.341951703541199</v>
      </c>
      <c r="AX38">
        <f>'Costing 100 Lmin Feed Orig'!AX38</f>
        <v>500</v>
      </c>
      <c r="AY38">
        <f>'Costing 100 Lmin Feed Orig'!AY38</f>
        <v>95</v>
      </c>
      <c r="AZ38">
        <f>'Costing 100 Lmin Feed Orig'!AZ38</f>
        <v>0.92374973309314701</v>
      </c>
      <c r="BA38">
        <f>'Costing 100 Lmin Feed Orig'!BA38</f>
        <v>0.1</v>
      </c>
      <c r="BB38">
        <f>'Costing 100 Lmin Feed Orig'!BB38</f>
        <v>46.887671858762701</v>
      </c>
      <c r="BC38" t="str">
        <f>'Costing 100 Lmin Feed Orig'!BC38</f>
        <v>coeFc</v>
      </c>
      <c r="BD38">
        <f>'Costing 100 Lmin Feed Orig'!BD38</f>
        <v>1</v>
      </c>
      <c r="BE38">
        <f>'Costing 100 Lmin Feed Orig'!BE38</f>
        <v>1.8775014999999999E-2</v>
      </c>
      <c r="BF38">
        <f>'Costing 100 Lmin Feed Orig'!BF38</f>
        <v>0.10492961100000001</v>
      </c>
      <c r="BG38">
        <f>'Costing 100 Lmin Feed Orig'!BG38</f>
        <v>1.814625E-3</v>
      </c>
      <c r="BH38">
        <f>'Costing 100 Lmin Feed Orig'!BH38</f>
        <v>285.1951444</v>
      </c>
      <c r="BI38">
        <f>'Costing 100 Lmin Feed Orig'!BI38</f>
        <v>2169.8944889999998</v>
      </c>
      <c r="BJ38">
        <f>'Costing 100 Lmin Feed Orig'!BJ38</f>
        <v>866.49409060000005</v>
      </c>
      <c r="BK38">
        <f>'Costing 100 Lmin Feed Orig'!BK38</f>
        <v>100</v>
      </c>
      <c r="BL38">
        <f>'Costing 100 Lmin Feed Orig'!BL38</f>
        <v>11.395861217105201</v>
      </c>
      <c r="BM38">
        <f>'Costing 100 Lmin Feed Orig'!BM38</f>
        <v>92.374973309314697</v>
      </c>
      <c r="BN38">
        <f>'Costing 100 Lmin Feed Orig'!BN38</f>
        <v>19.7013350519025</v>
      </c>
      <c r="BO38">
        <f t="shared" si="1"/>
        <v>182.33377947368322</v>
      </c>
      <c r="BP38">
        <f t="shared" si="2"/>
        <v>472.83204124565998</v>
      </c>
      <c r="BQ38">
        <f t="shared" si="3"/>
        <v>18.233377947368322</v>
      </c>
      <c r="BR38">
        <f t="shared" si="4"/>
        <v>47.283204124565998</v>
      </c>
      <c r="BS38">
        <f>1.2*0.5*BL38*V38/'Oxidant Feed Composition'!$N$22</f>
        <v>6.837516730263121</v>
      </c>
      <c r="BT38">
        <f>1.2*0.5*BN38*BA38/'Oxidant Feed Composition'!$N$22</f>
        <v>11.820801031141498</v>
      </c>
      <c r="BU38">
        <f t="shared" si="5"/>
        <v>5.6979306085525998</v>
      </c>
      <c r="BV38">
        <f t="shared" si="6"/>
        <v>9.8506675259512502</v>
      </c>
      <c r="BW38">
        <f t="shared" si="7"/>
        <v>86.677042700762101</v>
      </c>
      <c r="BX38">
        <f t="shared" si="0"/>
        <v>36.466755894736643</v>
      </c>
      <c r="BY38">
        <f t="shared" si="8"/>
        <v>207.54166905283981</v>
      </c>
      <c r="BZ38">
        <f t="shared" si="9"/>
        <v>63.044272166087993</v>
      </c>
      <c r="CA38">
        <f t="shared" si="10"/>
        <v>59.104005155707497</v>
      </c>
      <c r="CB38">
        <f>BO38*'Reagent cost'!$G$11*'Reagent cost'!$H$11</f>
        <v>2406.8058890526186</v>
      </c>
      <c r="CC38">
        <f>BP38*'Reagent cost'!$G$11*'Reagent cost'!$H$11</f>
        <v>6241.382944442712</v>
      </c>
      <c r="CD38">
        <f>BQ38*'Reagent cost'!$C$18/1000*'Reagent cost'!$H$18</f>
        <v>2907.8673690603878</v>
      </c>
      <c r="CE38">
        <f>BR38*'Ligand cost'!$B$56*'Ligand cost'!$J$56</f>
        <v>48140.341374000076</v>
      </c>
      <c r="CF38">
        <f t="shared" si="11"/>
        <v>10</v>
      </c>
      <c r="CG38">
        <f t="shared" si="12"/>
        <v>2.2791722434210402</v>
      </c>
      <c r="CH38">
        <f t="shared" si="12"/>
        <v>3.9402670103805004</v>
      </c>
      <c r="CI38">
        <f>7963.6*(BX38/1000)^0.6*1.7*('CAPEX+OPEX'!$G$116/'CAPEX+OPEX'!$G$115)</f>
        <v>2189.6727102460782</v>
      </c>
      <c r="CJ38">
        <f>7963.6*(BY38/1000)^0.6*1.7*('CAPEX+OPEX'!$G$116/'CAPEX+OPEX'!$G$115)</f>
        <v>6215.9013146876341</v>
      </c>
      <c r="CK38">
        <f>7963.6*(BZ38/1000)^0.6*1.7*('CAPEX+OPEX'!$G$116/'CAPEX+OPEX'!$G$115)</f>
        <v>3041.0832488985457</v>
      </c>
      <c r="CL38">
        <f>7963.6*(CA38/1000)^0.6*1.7*('CAPEX+OPEX'!$G$116/'CAPEX+OPEX'!$G$115)</f>
        <v>2925.5739133776788</v>
      </c>
      <c r="CM38">
        <f>'Costing 100 Lmin Feed Orig'!DE38</f>
        <v>39625.826528698344</v>
      </c>
      <c r="CN38">
        <f>'Costing 100 Lmin Feed Orig'!DF38</f>
        <v>4586243.4239371875</v>
      </c>
      <c r="CO38">
        <f>'Costing 100 Lmin Feed Orig'!DG38</f>
        <v>11794834.586807497</v>
      </c>
      <c r="CP38">
        <f>'Costing 100 Lmin Feed Orig'!DH38</f>
        <v>2275209.1661185985</v>
      </c>
      <c r="CQ38">
        <f>'Costing 100 Lmin Feed Orig'!DI38</f>
        <v>14083914.336508472</v>
      </c>
      <c r="CR38">
        <f>'Costing 100 Lmin Feed Orig'!DJ38</f>
        <v>1662824.8986326549</v>
      </c>
      <c r="CS38">
        <f>CN38*(BK38/10000)^0.72*((A38+1)/3)^0.6*('CAPEX+OPEX'!$G$116/'CAPEX+OPEX'!$G$114)</f>
        <v>646135.89638675924</v>
      </c>
      <c r="CT38">
        <f>CO38*(BK38/10000)^0.72*((A38+1)/3)^0.6*('CAPEX+OPEX'!$G$116/'CAPEX+OPEX'!$G$114)</f>
        <v>1661722.9645298459</v>
      </c>
      <c r="CU38">
        <f>CP38*(BK38/10000)^0.72*((A38+1)/3)^0.6*('CAPEX+OPEX'!$G$116/'CAPEX+OPEX'!$G$114)</f>
        <v>320544.32748695416</v>
      </c>
      <c r="CV38">
        <f>CQ38*(BK38/10000)^0.72*((A38+1)/3)^0.6*('CAPEX+OPEX'!$G$116/'CAPEX+OPEX'!$G$114)</f>
        <v>1984221.4582325809</v>
      </c>
      <c r="CW38">
        <f>CR38*(BK38/10000)^0.72*((A38+1)/3)^0.6*('CAPEX+OPEX'!$G$116/'CAPEX+OPEX'!$G$114)</f>
        <v>234268.17050410178</v>
      </c>
      <c r="CX38">
        <f t="shared" si="13"/>
        <v>4846892.8171402421</v>
      </c>
      <c r="CY38">
        <f>CN38*(BM38/10000)^0.72*((AF38+1)/3)^0.6*('CAPEX+OPEX'!$G$116/'CAPEX+OPEX'!$G$114)</f>
        <v>800386.52957740228</v>
      </c>
      <c r="CZ38">
        <f>CO38*(BM38/10000)^0.72*((AF38+1)/3)^0.6*('CAPEX+OPEX'!$G$116/'CAPEX+OPEX'!$G$114)</f>
        <v>2058422.5147321052</v>
      </c>
      <c r="DA38">
        <f>CP38*(BM38/10000)^0.72*((AF38+1)/3)^0.6*('CAPEX+OPEX'!$G$116/'CAPEX+OPEX'!$G$114)</f>
        <v>397067.18553744635</v>
      </c>
      <c r="DB38">
        <f>CQ38*(BM38/10000)^0.72*((AF38+1)/3)^0.6*('CAPEX+OPEX'!$G$116/'CAPEX+OPEX'!$G$114)</f>
        <v>2457910.3803840801</v>
      </c>
      <c r="DC38">
        <f>CR38*(BM38/10000)^0.72*((AF38+1)/3)^0.6*('CAPEX+OPEX'!$G$116/'CAPEX+OPEX'!$G$114)</f>
        <v>290194.50711339182</v>
      </c>
      <c r="DD38">
        <f t="shared" si="14"/>
        <v>6003981.117344426</v>
      </c>
      <c r="DE38">
        <f>CX38+DD38+1.15*(SUM(CI38:CL38)+SUM(CB38:CE38))</f>
        <v>10936052.857562998</v>
      </c>
      <c r="DF38">
        <f t="shared" si="15"/>
        <v>729070.19050419994</v>
      </c>
      <c r="DG38">
        <f>(BS38+BT38)*'Oxidant Feed Composition'!$N$29*60*7200</f>
        <v>9308101.8496094979</v>
      </c>
      <c r="DH38">
        <f>((CG38+CH38)*'Reagent cost'!$C$17/1000*'Reagent cost'!$H$17+(CG38+CH38)*0.5*'Reagent cost'!$C$16/1000*'Reagent cost'!$H$16*0.5)*60*7200</f>
        <v>3151224.1840395196</v>
      </c>
      <c r="DI38">
        <f>CF38*'Reagent cost'!$C$17/1000*'Reagent cost'!$H$17*60*7200</f>
        <v>504921.59999999998</v>
      </c>
      <c r="DJ38">
        <f t="shared" si="16"/>
        <v>86.481888334953311</v>
      </c>
      <c r="DK38">
        <f t="shared" si="17"/>
        <v>1020.9641748612094</v>
      </c>
      <c r="DL38">
        <f t="shared" si="18"/>
        <v>15558426.095654655</v>
      </c>
      <c r="DM38">
        <f>BK38*(B38*(409.81+2)/1000+C38*(248.2+2*22.99)/1000+D38*(315.6+3*22.99)/1000+0.1*58.44/1000)</f>
        <v>0.70639694042110623</v>
      </c>
      <c r="DN38">
        <f>(BS38+BT38)/1000*('Oxidant Feed Composition'!$B$11*'Oxidant Feed Composition'!$O$20+'Oxidant Feed Composition'!$D$11*'Oxidant Feed Composition'!$O$21+'Oxidant Feed Composition'!$F$11*'Oxidant Feed Composition'!$O$27-'Oxidant Feed Composition'!$J$15*18.015)</f>
        <v>2.1790030569394676</v>
      </c>
      <c r="DO38">
        <f>(BU38+BV38)/1000*(0.2*368.34+0.4*58.44)</f>
        <v>1.5088981573647915</v>
      </c>
      <c r="DP38">
        <f>BK38/1000*(B38*195.08+C38*106.42+D38*102.91)</f>
        <v>4.999938342565946E-2</v>
      </c>
      <c r="DQ38">
        <f>SUM(DM38:DO38)-DP38</f>
        <v>4.3442987712997052</v>
      </c>
      <c r="DR38">
        <f>DQ38*60*7200*0.33</f>
        <v>619323.23283648596</v>
      </c>
      <c r="DS38">
        <v>1.2</v>
      </c>
      <c r="DT38">
        <f>BM38/60*(AM38*4+AN38*2+AO38*3)*96485/DV38</f>
        <v>1406.1073186061401</v>
      </c>
      <c r="DU38">
        <f>BN38*BA38*(AP38*4+AQ38*2+AR38*3)*96485/DV38/60</f>
        <v>706.16025546916046</v>
      </c>
      <c r="DV38">
        <v>0.7</v>
      </c>
      <c r="DW38">
        <f>0.499*((BK38/3.78541*15)^(-0.146))*BK38/3.78541*15*300*(1+(A38-2)/9)</f>
        <v>35776.359048024235</v>
      </c>
      <c r="DX38">
        <f>0.248*((BK38/3.78541*15)^(-0.144))*BK38/3.78541*15*300*(1+(A38-2)/3)</f>
        <v>29068.269280606211</v>
      </c>
      <c r="DY38">
        <f>0.105*((BK38/3.78541*15)^(-0.144))*BK38/3.78541*15*300*(1+(A38-2)/3)</f>
        <v>12307.130138966339</v>
      </c>
      <c r="DZ38">
        <f>0.058*((BK38/3.78541*15)^(-0.151))*BK38/3.78541*15*300*(1+(A38-2)/3)</f>
        <v>6519.4301878820042</v>
      </c>
      <c r="EA38">
        <f>0.056*((BK38/3.78541*15)^(-0.144))*BK38/3.78541*15*300*(1+(A38-2)/3)</f>
        <v>6563.8027407820491</v>
      </c>
      <c r="EB38">
        <f>DS38*DT38/(3.6*10^6)*3600*7200*0.07</f>
        <v>850.41370629299365</v>
      </c>
      <c r="EC38">
        <f>0.499*((BM38/3.78541*15)^(-0.146))*BM38/3.78541*15*300*(1+(AF38-2)/9)</f>
        <v>43720.498370574402</v>
      </c>
      <c r="ED38">
        <f>0.248*((BM38/3.78541*15)^(-0.144))*BM38/3.78541*15*300*(1+(AF38-2)/3)</f>
        <v>42680.384461194757</v>
      </c>
      <c r="EE38">
        <f>0.105*((BM38/3.78541*15)^(-0.144))*BM38/3.78541*15*300*(1+(AF38-2)/3)</f>
        <v>18070.324066231653</v>
      </c>
      <c r="EF38">
        <f>0.058*((BM38/3.78541*15)^(-0.151))*BM38/3.78541*15*300*(1+(AF38-2)/3)</f>
        <v>9577.6708311713192</v>
      </c>
      <c r="EG38">
        <f>0.056*((BM38/3.78541*15)^(-0.144))*BM38/3.78541*15*300*(1+(AF38-2)/3)</f>
        <v>9637.5061686568788</v>
      </c>
      <c r="EH38">
        <f>DS38*DU38/(3.6*10^6)*3600*7200*0.07</f>
        <v>427.0857225077483</v>
      </c>
      <c r="EI38">
        <f>SUM(DW38:EH38)</f>
        <v>215198.87472289061</v>
      </c>
      <c r="EJ38">
        <f>EI38+DR38+DL38</f>
        <v>16392948.203214033</v>
      </c>
      <c r="EK38">
        <f>EJ38+DF38</f>
        <v>17122018.393718231</v>
      </c>
      <c r="EL38">
        <f>EK38/(BK38*60*7200)</f>
        <v>0.3963430183731072</v>
      </c>
      <c r="EM38">
        <f>EK38/(BM38*(AM38*195.084/1000+AN38*106.42/1000+AO38*102.911/1000)*60*7200)</f>
        <v>1325.9170424777956</v>
      </c>
      <c r="EN38">
        <f>EK38/(BN38*BA38*(AP38*195.084/1000+AQ38*106.42/1000+AR38*102.911/1000)*60*7200)</f>
        <v>2432.2244685423611</v>
      </c>
    </row>
    <row r="39" spans="1:144">
      <c r="A39">
        <f>'Costing 100 Lmin Feed Orig'!A39</f>
        <v>6</v>
      </c>
      <c r="B39">
        <f>'Costing 100 Lmin Feed Orig'!B39</f>
        <v>1.54143585092054E-3</v>
      </c>
      <c r="C39">
        <f>'Costing 100 Lmin Feed Orig'!C39</f>
        <v>1.54143585092054E-3</v>
      </c>
      <c r="D39">
        <f>'Costing 100 Lmin Feed Orig'!D39</f>
        <v>3.4254130020456501E-4</v>
      </c>
      <c r="E39">
        <f>'Costing 100 Lmin Feed Orig'!E39</f>
        <v>0</v>
      </c>
      <c r="F39">
        <f>'Costing 100 Lmin Feed Orig'!F39</f>
        <v>0</v>
      </c>
      <c r="G39">
        <f>'Costing 100 Lmin Feed Orig'!G39</f>
        <v>0</v>
      </c>
      <c r="H39">
        <f>'Costing 100 Lmin Feed Orig'!H39</f>
        <v>1.7693893431643E-5</v>
      </c>
      <c r="I39">
        <f>'Costing 100 Lmin Feed Orig'!I39</f>
        <v>3.7175600603836103E-8</v>
      </c>
      <c r="J39">
        <f>'Costing 100 Lmin Feed Orig'!J39</f>
        <v>3.36890310328726E-4</v>
      </c>
      <c r="K39">
        <f>'Costing 100 Lmin Feed Orig'!K39</f>
        <v>0.133710118829723</v>
      </c>
      <c r="L39">
        <f>'Costing 100 Lmin Feed Orig'!L39</f>
        <v>0.13525951632913</v>
      </c>
      <c r="M39">
        <f>'Costing 100 Lmin Feed Orig'!M39</f>
        <v>4.9588089642288804E-4</v>
      </c>
      <c r="N39">
        <f>'Costing 100 Lmin Feed Orig'!N39</f>
        <v>-1.72886878424538E-14</v>
      </c>
      <c r="O39">
        <f>'Costing 100 Lmin Feed Orig'!O39</f>
        <v>-1.05961268405396E-12</v>
      </c>
      <c r="P39">
        <f>'Costing 100 Lmin Feed Orig'!P39</f>
        <v>-9.6595637304880395E-18</v>
      </c>
      <c r="Q39">
        <f>'Costing 100 Lmin Feed Orig'!Q39</f>
        <v>0.11395861217105201</v>
      </c>
      <c r="R39">
        <f>'Costing 100 Lmin Feed Orig'!R39</f>
        <v>98.3502748800029</v>
      </c>
      <c r="S39">
        <f>'Costing 100 Lmin Feed Orig'!S39</f>
        <v>500</v>
      </c>
      <c r="T39">
        <f>'Costing 100 Lmin Feed Orig'!T39</f>
        <v>95</v>
      </c>
      <c r="U39">
        <f>'Costing 100 Lmin Feed Orig'!U39</f>
        <v>1</v>
      </c>
      <c r="V39">
        <f>'Costing 100 Lmin Feed Orig'!V39</f>
        <v>0.1</v>
      </c>
      <c r="W39">
        <f>'Costing 100 Lmin Feed Orig'!W39</f>
        <v>87.751156402202497</v>
      </c>
      <c r="X39" t="str">
        <f>'Costing 100 Lmin Feed Orig'!X39</f>
        <v>ddFc</v>
      </c>
      <c r="Y39">
        <f>'Costing 100 Lmin Feed Orig'!Y39</f>
        <v>1</v>
      </c>
      <c r="Z39">
        <f>'Costing 100 Lmin Feed Orig'!Z39</f>
        <v>0.28318429382522198</v>
      </c>
      <c r="AA39">
        <f>'Costing 100 Lmin Feed Orig'!AA39</f>
        <v>0.56945642916197003</v>
      </c>
      <c r="AB39">
        <f>'Costing 100 Lmin Feed Orig'!AB39</f>
        <v>3.7698628972227502E-3</v>
      </c>
      <c r="AC39">
        <f>'Costing 100 Lmin Feed Orig'!AC39</f>
        <v>1822.2107908876901</v>
      </c>
      <c r="AD39">
        <f>'Costing 100 Lmin Feed Orig'!AD39</f>
        <v>2662.6059073104898</v>
      </c>
      <c r="AE39">
        <f>'Costing 100 Lmin Feed Orig'!AE39</f>
        <v>2401.5030938442701</v>
      </c>
      <c r="AF39">
        <f>'Costing 100 Lmin Feed Orig'!AF39</f>
        <v>11</v>
      </c>
      <c r="AG39">
        <f>'Costing 100 Lmin Feed Orig'!AG39</f>
        <v>1.64951815726537E-3</v>
      </c>
      <c r="AH39">
        <f>'Costing 100 Lmin Feed Orig'!AH39</f>
        <v>1.6686323374819601E-3</v>
      </c>
      <c r="AI39">
        <f>'Costing 100 Lmin Feed Orig'!AI39</f>
        <v>6.1174468293775103E-6</v>
      </c>
      <c r="AJ39">
        <f>'Costing 100 Lmin Feed Orig'!AJ39</f>
        <v>0</v>
      </c>
      <c r="AK39">
        <f>'Costing 100 Lmin Feed Orig'!AK39</f>
        <v>0</v>
      </c>
      <c r="AL39">
        <f>'Costing 100 Lmin Feed Orig'!AL39</f>
        <v>0</v>
      </c>
      <c r="AM39">
        <f>'Costing 100 Lmin Feed Orig'!AM39</f>
        <v>1.61255664991154E-3</v>
      </c>
      <c r="AN39">
        <f>'Costing 100 Lmin Feed Orig'!AN39</f>
        <v>7.87942082405777E-5</v>
      </c>
      <c r="AO39">
        <f>'Costing 100 Lmin Feed Orig'!AO39</f>
        <v>6.0771943863253104E-6</v>
      </c>
      <c r="AP39">
        <f>'Costing 100 Lmin Feed Orig'!AP39</f>
        <v>1.7330805296501401E-3</v>
      </c>
      <c r="AQ39">
        <f>'Costing 100 Lmin Feed Orig'!AQ39</f>
        <v>7.4545594606665405E-2</v>
      </c>
      <c r="AR39">
        <f>'Costing 100 Lmin Feed Orig'!AR39</f>
        <v>1.8873885461363599E-6</v>
      </c>
      <c r="AS39">
        <f>'Costing 100 Lmin Feed Orig'!AS39</f>
        <v>1.4982685366893601E-13</v>
      </c>
      <c r="AT39">
        <f>'Costing 100 Lmin Feed Orig'!AT39</f>
        <v>-1.2832369715443101E-11</v>
      </c>
      <c r="AU39">
        <f>'Costing 100 Lmin Feed Orig'!AU39</f>
        <v>1.70440234344306E-18</v>
      </c>
      <c r="AV39">
        <f>'Costing 100 Lmin Feed Orig'!AV39</f>
        <v>0.19700863184865999</v>
      </c>
      <c r="AW39">
        <f>'Costing 100 Lmin Feed Orig'!AW39</f>
        <v>99.342005837158993</v>
      </c>
      <c r="AX39">
        <f>'Costing 100 Lmin Feed Orig'!AX39</f>
        <v>500</v>
      </c>
      <c r="AY39">
        <f>'Costing 100 Lmin Feed Orig'!AY39</f>
        <v>95</v>
      </c>
      <c r="AZ39">
        <f>'Costing 100 Lmin Feed Orig'!AZ39</f>
        <v>0.92374973309314701</v>
      </c>
      <c r="BA39">
        <f>'Costing 100 Lmin Feed Orig'!BA39</f>
        <v>0.1</v>
      </c>
      <c r="BB39">
        <f>'Costing 100 Lmin Feed Orig'!BB39</f>
        <v>46.888794893147498</v>
      </c>
      <c r="BC39" t="str">
        <f>'Costing 100 Lmin Feed Orig'!BC39</f>
        <v>coeFc</v>
      </c>
      <c r="BD39">
        <f>'Costing 100 Lmin Feed Orig'!BD39</f>
        <v>1</v>
      </c>
      <c r="BE39">
        <f>'Costing 100 Lmin Feed Orig'!BE39</f>
        <v>1.8775014999999999E-2</v>
      </c>
      <c r="BF39">
        <f>'Costing 100 Lmin Feed Orig'!BF39</f>
        <v>0.10492961100000001</v>
      </c>
      <c r="BG39">
        <f>'Costing 100 Lmin Feed Orig'!BG39</f>
        <v>1.814625E-3</v>
      </c>
      <c r="BH39">
        <f>'Costing 100 Lmin Feed Orig'!BH39</f>
        <v>285.1951444</v>
      </c>
      <c r="BI39">
        <f>'Costing 100 Lmin Feed Orig'!BI39</f>
        <v>2169.8944889999998</v>
      </c>
      <c r="BJ39">
        <f>'Costing 100 Lmin Feed Orig'!BJ39</f>
        <v>866.49409060000005</v>
      </c>
      <c r="BK39">
        <f>'Costing 100 Lmin Feed Orig'!BK39</f>
        <v>100</v>
      </c>
      <c r="BL39">
        <f>'Costing 100 Lmin Feed Orig'!BL39</f>
        <v>11.395861217105201</v>
      </c>
      <c r="BM39">
        <f>'Costing 100 Lmin Feed Orig'!BM39</f>
        <v>92.374973309314697</v>
      </c>
      <c r="BN39">
        <f>'Costing 100 Lmin Feed Orig'!BN39</f>
        <v>19.700863184865998</v>
      </c>
      <c r="BO39">
        <f t="shared" si="1"/>
        <v>182.33377947368322</v>
      </c>
      <c r="BP39">
        <f t="shared" si="2"/>
        <v>512.22244280651591</v>
      </c>
      <c r="BQ39">
        <f t="shared" si="3"/>
        <v>18.233377947368322</v>
      </c>
      <c r="BR39">
        <f t="shared" si="4"/>
        <v>51.222244280651594</v>
      </c>
      <c r="BS39">
        <f>1.2*0.5*BL39*V39/'Oxidant Feed Composition'!$N$22</f>
        <v>6.837516730263121</v>
      </c>
      <c r="BT39">
        <f>1.2*0.5*BN39*BA39/'Oxidant Feed Composition'!$N$22</f>
        <v>11.820517910919598</v>
      </c>
      <c r="BU39">
        <f t="shared" si="5"/>
        <v>5.6979306085525998</v>
      </c>
      <c r="BV39">
        <f t="shared" si="6"/>
        <v>9.850431592432999</v>
      </c>
      <c r="BW39">
        <f t="shared" si="7"/>
        <v>86.677042700762101</v>
      </c>
      <c r="BX39">
        <f t="shared" si="0"/>
        <v>36.466755894736643</v>
      </c>
      <c r="BY39">
        <f t="shared" si="8"/>
        <v>207.54166905283981</v>
      </c>
      <c r="BZ39">
        <f t="shared" si="9"/>
        <v>63.042762191571192</v>
      </c>
      <c r="CA39">
        <f t="shared" si="10"/>
        <v>59.102589554597998</v>
      </c>
      <c r="CB39">
        <f>BO39*'Reagent cost'!$G$11*'Reagent cost'!$H$11</f>
        <v>2406.8058890526186</v>
      </c>
      <c r="CC39">
        <f>BP39*'Reagent cost'!$G$11*'Reagent cost'!$H$11</f>
        <v>6761.3362450460099</v>
      </c>
      <c r="CD39">
        <f>BQ39*'Reagent cost'!$C$18/1000*'Reagent cost'!$H$18</f>
        <v>2907.8673690603878</v>
      </c>
      <c r="CE39">
        <f>BR39*'Ligand cost'!$B$56*'Ligand cost'!$J$56</f>
        <v>52150.787394119398</v>
      </c>
      <c r="CF39">
        <f t="shared" si="11"/>
        <v>10</v>
      </c>
      <c r="CG39">
        <f t="shared" si="12"/>
        <v>2.2791722434210402</v>
      </c>
      <c r="CH39">
        <f t="shared" si="12"/>
        <v>3.9401726369732</v>
      </c>
      <c r="CI39">
        <f>7963.6*(BX39/1000)^0.6*1.7*('CAPEX+OPEX'!$G$116/'CAPEX+OPEX'!$G$115)</f>
        <v>2189.6727102460782</v>
      </c>
      <c r="CJ39">
        <f>7963.6*(BY39/1000)^0.6*1.7*('CAPEX+OPEX'!$G$116/'CAPEX+OPEX'!$G$115)</f>
        <v>6215.9013146876341</v>
      </c>
      <c r="CK39">
        <f>7963.6*(BZ39/1000)^0.6*1.7*('CAPEX+OPEX'!$G$116/'CAPEX+OPEX'!$G$115)</f>
        <v>3041.0395464648595</v>
      </c>
      <c r="CL39">
        <f>7963.6*(CA39/1000)^0.6*1.7*('CAPEX+OPEX'!$G$116/'CAPEX+OPEX'!$G$115)</f>
        <v>2925.5318708916702</v>
      </c>
      <c r="CM39">
        <f>'Costing 100 Lmin Feed Orig'!DE39</f>
        <v>39625.826528698344</v>
      </c>
      <c r="CN39">
        <f>'Costing 100 Lmin Feed Orig'!DF39</f>
        <v>4586243.4239371875</v>
      </c>
      <c r="CO39">
        <f>'Costing 100 Lmin Feed Orig'!DG39</f>
        <v>11794834.586807497</v>
      </c>
      <c r="CP39">
        <f>'Costing 100 Lmin Feed Orig'!DH39</f>
        <v>2275209.1661185985</v>
      </c>
      <c r="CQ39">
        <f>'Costing 100 Lmin Feed Orig'!DI39</f>
        <v>14083914.336508472</v>
      </c>
      <c r="CR39">
        <f>'Costing 100 Lmin Feed Orig'!DJ39</f>
        <v>1662824.8986326549</v>
      </c>
      <c r="CS39">
        <f>CN39*(BK39/10000)^0.72*((A39+1)/3)^0.6*('CAPEX+OPEX'!$G$116/'CAPEX+OPEX'!$G$114)</f>
        <v>646135.89638675924</v>
      </c>
      <c r="CT39">
        <f>CO39*(BK39/10000)^0.72*((A39+1)/3)^0.6*('CAPEX+OPEX'!$G$116/'CAPEX+OPEX'!$G$114)</f>
        <v>1661722.9645298459</v>
      </c>
      <c r="CU39">
        <f>CP39*(BK39/10000)^0.72*((A39+1)/3)^0.6*('CAPEX+OPEX'!$G$116/'CAPEX+OPEX'!$G$114)</f>
        <v>320544.32748695416</v>
      </c>
      <c r="CV39">
        <f>CQ39*(BK39/10000)^0.72*((A39+1)/3)^0.6*('CAPEX+OPEX'!$G$116/'CAPEX+OPEX'!$G$114)</f>
        <v>1984221.4582325809</v>
      </c>
      <c r="CW39">
        <f>CR39*(BK39/10000)^0.72*((A39+1)/3)^0.6*('CAPEX+OPEX'!$G$116/'CAPEX+OPEX'!$G$114)</f>
        <v>234268.17050410178</v>
      </c>
      <c r="CX39">
        <f t="shared" si="13"/>
        <v>4846892.8171402421</v>
      </c>
      <c r="CY39">
        <f>CN39*(BM39/10000)^0.72*((AF39+1)/3)^0.6*('CAPEX+OPEX'!$G$116/'CAPEX+OPEX'!$G$114)</f>
        <v>843282.14969326498</v>
      </c>
      <c r="CZ39">
        <f>CO39*(BM39/10000)^0.72*((AF39+1)/3)^0.6*('CAPEX+OPEX'!$G$116/'CAPEX+OPEX'!$G$114)</f>
        <v>2168740.8508946435</v>
      </c>
      <c r="DA39">
        <f>CP39*(BM39/10000)^0.72*((AF39+1)/3)^0.6*('CAPEX+OPEX'!$G$116/'CAPEX+OPEX'!$G$114)</f>
        <v>418347.45765832032</v>
      </c>
      <c r="DB39">
        <f>CQ39*(BM39/10000)^0.72*((AF39+1)/3)^0.6*('CAPEX+OPEX'!$G$116/'CAPEX+OPEX'!$G$114)</f>
        <v>2589638.7217036909</v>
      </c>
      <c r="DC39">
        <f>CR39*(BM39/10000)^0.72*((AF39+1)/3)^0.6*('CAPEX+OPEX'!$G$116/'CAPEX+OPEX'!$G$114)</f>
        <v>305747.08437055594</v>
      </c>
      <c r="DD39">
        <f t="shared" si="14"/>
        <v>6325756.264320476</v>
      </c>
      <c r="DE39">
        <f>CX39+DD39+1.15*(SUM(CI39:CL39)+SUM(CB39:CE39))</f>
        <v>11263037.865151223</v>
      </c>
      <c r="DF39">
        <f t="shared" si="15"/>
        <v>750869.19101008156</v>
      </c>
      <c r="DG39">
        <f>(BS39+BT39)*'Oxidant Feed Composition'!$N$29*60*7200</f>
        <v>9307960.6090167053</v>
      </c>
      <c r="DH39">
        <f>((CG39+CH39)*'Reagent cost'!$C$17/1000*'Reagent cost'!$H$17+(CG39+CH39)*0.5*'Reagent cost'!$C$16/1000*'Reagent cost'!$H$16*0.5)*60*7200</f>
        <v>3151176.3675481477</v>
      </c>
      <c r="DI39">
        <f>CF39*'Reagent cost'!$C$17/1000*'Reagent cost'!$H$17*60*7200</f>
        <v>504921.59999999998</v>
      </c>
      <c r="DJ39">
        <f t="shared" si="16"/>
        <v>91.68142134098629</v>
      </c>
      <c r="DK39">
        <f t="shared" si="17"/>
        <v>1101.1730952635958</v>
      </c>
      <c r="DL39">
        <f t="shared" si="18"/>
        <v>15558301.717297748</v>
      </c>
      <c r="DM39">
        <f>BK39*(B39*(409.81+2)/1000+C39*(248.2+2*22.99)/1000+D39*(315.6+3*22.99)/1000+0.1*58.44/1000)</f>
        <v>0.70639694042110623</v>
      </c>
      <c r="DN39">
        <f>(BS39+BT39)/1000*('Oxidant Feed Composition'!$B$11*'Oxidant Feed Composition'!$O$20+'Oxidant Feed Composition'!$D$11*'Oxidant Feed Composition'!$O$21+'Oxidant Feed Composition'!$F$11*'Oxidant Feed Composition'!$O$27-'Oxidant Feed Composition'!$J$15*18.015)</f>
        <v>2.1789699928745883</v>
      </c>
      <c r="DO39">
        <f>(BU39+BV39)/1000*(0.2*368.34+0.4*58.44)</f>
        <v>1.5088752614324465</v>
      </c>
      <c r="DP39">
        <f>BK39/1000*(B39*195.08+C39*106.42+D39*102.91)</f>
        <v>4.999938342565946E-2</v>
      </c>
      <c r="DQ39">
        <f>SUM(DM39:DO39)-DP39</f>
        <v>4.3442428113024816</v>
      </c>
      <c r="DR39">
        <f>DQ39*60*7200*0.33</f>
        <v>619315.25517928181</v>
      </c>
      <c r="DS39">
        <v>1.2</v>
      </c>
      <c r="DT39">
        <f>BM39/60*(AM39*4+AN39*2+AO39*3)*96485/DV39</f>
        <v>1406.1100831005861</v>
      </c>
      <c r="DU39">
        <f>BN39*BA39*(AP39*4+AQ39*2+AR39*3)*96485/DV39/60</f>
        <v>706.15749631334222</v>
      </c>
      <c r="DV39">
        <v>0.7</v>
      </c>
      <c r="DW39">
        <f>0.499*((BK39/3.78541*15)^(-0.146))*BK39/3.78541*15*300*(1+(A39-2)/9)</f>
        <v>35776.359048024235</v>
      </c>
      <c r="DX39">
        <f>0.248*((BK39/3.78541*15)^(-0.144))*BK39/3.78541*15*300*(1+(A39-2)/3)</f>
        <v>29068.269280606211</v>
      </c>
      <c r="DY39">
        <f>0.105*((BK39/3.78541*15)^(-0.144))*BK39/3.78541*15*300*(1+(A39-2)/3)</f>
        <v>12307.130138966339</v>
      </c>
      <c r="DZ39">
        <f>0.058*((BK39/3.78541*15)^(-0.151))*BK39/3.78541*15*300*(1+(A39-2)/3)</f>
        <v>6519.4301878820042</v>
      </c>
      <c r="EA39">
        <f>0.056*((BK39/3.78541*15)^(-0.144))*BK39/3.78541*15*300*(1+(A39-2)/3)</f>
        <v>6563.8027407820491</v>
      </c>
      <c r="EB39">
        <f>DS39*DT39/(3.6*10^6)*3600*7200*0.07</f>
        <v>850.41537825923444</v>
      </c>
      <c r="EC39">
        <f>0.499*((BM39/3.78541*15)^(-0.146))*BM39/3.78541*15*300*(1+(AF39-2)/9)</f>
        <v>46292.292392372896</v>
      </c>
      <c r="ED39">
        <f>0.248*((BM39/3.78541*15)^(-0.144))*BM39/3.78541*15*300*(1+(AF39-2)/3)</f>
        <v>46560.419412212461</v>
      </c>
      <c r="EE39">
        <f>0.105*((BM39/3.78541*15)^(-0.144))*BM39/3.78541*15*300*(1+(AF39-2)/3)</f>
        <v>19713.08079952544</v>
      </c>
      <c r="EF39">
        <f>0.058*((BM39/3.78541*15)^(-0.151))*BM39/3.78541*15*300*(1+(AF39-2)/3)</f>
        <v>10448.368179459621</v>
      </c>
      <c r="EG39">
        <f>0.056*((BM39/3.78541*15)^(-0.144))*BM39/3.78541*15*300*(1+(AF39-2)/3)</f>
        <v>10513.643093080233</v>
      </c>
      <c r="EH39">
        <f>DS39*DU39/(3.6*10^6)*3600*7200*0.07</f>
        <v>427.08405377030942</v>
      </c>
      <c r="EI39">
        <f>SUM(DW39:EH39)</f>
        <v>225040.29470494101</v>
      </c>
      <c r="EJ39">
        <f>EI39+DR39+DL39</f>
        <v>16402657.26718197</v>
      </c>
      <c r="EK39">
        <f>EJ39+DF39</f>
        <v>17153526.45819205</v>
      </c>
      <c r="EL39">
        <f>EK39/(BK39*60*7200)</f>
        <v>0.39707237171740856</v>
      </c>
      <c r="EM39">
        <f>EK39/(BM39*(AM39*195.084/1000+AN39*106.42/1000+AO39*102.911/1000)*60*7200)</f>
        <v>1328.3543913092888</v>
      </c>
      <c r="EN39">
        <f>EK39/(BN39*BA39*(AP39*195.084/1000+AQ39*106.42/1000+AR39*102.911/1000)*60*7200)</f>
        <v>2436.7090416258688</v>
      </c>
    </row>
    <row r="40" spans="1:144">
      <c r="A40">
        <f>'Costing 100 Lmin Feed Orig'!A40</f>
        <v>6</v>
      </c>
      <c r="B40">
        <f>'Costing 100 Lmin Feed Orig'!B40</f>
        <v>1.54143585092054E-3</v>
      </c>
      <c r="C40">
        <f>'Costing 100 Lmin Feed Orig'!C40</f>
        <v>1.54143585092054E-3</v>
      </c>
      <c r="D40">
        <f>'Costing 100 Lmin Feed Orig'!D40</f>
        <v>3.4254130020456501E-4</v>
      </c>
      <c r="E40">
        <f>'Costing 100 Lmin Feed Orig'!E40</f>
        <v>0</v>
      </c>
      <c r="F40">
        <f>'Costing 100 Lmin Feed Orig'!F40</f>
        <v>0</v>
      </c>
      <c r="G40">
        <f>'Costing 100 Lmin Feed Orig'!G40</f>
        <v>0</v>
      </c>
      <c r="H40">
        <f>'Costing 100 Lmin Feed Orig'!H40</f>
        <v>1.7693893431643E-5</v>
      </c>
      <c r="I40">
        <f>'Costing 100 Lmin Feed Orig'!I40</f>
        <v>3.7175600603836103E-8</v>
      </c>
      <c r="J40">
        <f>'Costing 100 Lmin Feed Orig'!J40</f>
        <v>3.36890310328726E-4</v>
      </c>
      <c r="K40">
        <f>'Costing 100 Lmin Feed Orig'!K40</f>
        <v>0.133710118829723</v>
      </c>
      <c r="L40">
        <f>'Costing 100 Lmin Feed Orig'!L40</f>
        <v>0.13525951632913</v>
      </c>
      <c r="M40">
        <f>'Costing 100 Lmin Feed Orig'!M40</f>
        <v>4.9588089642288804E-4</v>
      </c>
      <c r="N40">
        <f>'Costing 100 Lmin Feed Orig'!N40</f>
        <v>-1.72886878424538E-14</v>
      </c>
      <c r="O40">
        <f>'Costing 100 Lmin Feed Orig'!O40</f>
        <v>-1.05961268405396E-12</v>
      </c>
      <c r="P40">
        <f>'Costing 100 Lmin Feed Orig'!P40</f>
        <v>-9.6595637304880395E-18</v>
      </c>
      <c r="Q40">
        <f>'Costing 100 Lmin Feed Orig'!Q40</f>
        <v>0.11395861217105201</v>
      </c>
      <c r="R40">
        <f>'Costing 100 Lmin Feed Orig'!R40</f>
        <v>98.3502748800029</v>
      </c>
      <c r="S40">
        <f>'Costing 100 Lmin Feed Orig'!S40</f>
        <v>500</v>
      </c>
      <c r="T40">
        <f>'Costing 100 Lmin Feed Orig'!T40</f>
        <v>95</v>
      </c>
      <c r="U40">
        <f>'Costing 100 Lmin Feed Orig'!U40</f>
        <v>1</v>
      </c>
      <c r="V40">
        <f>'Costing 100 Lmin Feed Orig'!V40</f>
        <v>0.1</v>
      </c>
      <c r="W40">
        <f>'Costing 100 Lmin Feed Orig'!W40</f>
        <v>87.751156402202497</v>
      </c>
      <c r="X40" t="str">
        <f>'Costing 100 Lmin Feed Orig'!X40</f>
        <v>ddFc</v>
      </c>
      <c r="Y40">
        <f>'Costing 100 Lmin Feed Orig'!Y40</f>
        <v>1</v>
      </c>
      <c r="Z40">
        <f>'Costing 100 Lmin Feed Orig'!Z40</f>
        <v>0.28318429382522198</v>
      </c>
      <c r="AA40">
        <f>'Costing 100 Lmin Feed Orig'!AA40</f>
        <v>0.56945642916197003</v>
      </c>
      <c r="AB40">
        <f>'Costing 100 Lmin Feed Orig'!AB40</f>
        <v>3.7698628972227502E-3</v>
      </c>
      <c r="AC40">
        <f>'Costing 100 Lmin Feed Orig'!AC40</f>
        <v>1822.2107908876901</v>
      </c>
      <c r="AD40">
        <f>'Costing 100 Lmin Feed Orig'!AD40</f>
        <v>2662.6059073104898</v>
      </c>
      <c r="AE40">
        <f>'Costing 100 Lmin Feed Orig'!AE40</f>
        <v>2401.5030938442701</v>
      </c>
      <c r="AF40">
        <f>'Costing 100 Lmin Feed Orig'!AF40</f>
        <v>12</v>
      </c>
      <c r="AG40">
        <f>'Costing 100 Lmin Feed Orig'!AG40</f>
        <v>1.64951815726537E-3</v>
      </c>
      <c r="AH40">
        <f>'Costing 100 Lmin Feed Orig'!AH40</f>
        <v>1.6686323374819601E-3</v>
      </c>
      <c r="AI40">
        <f>'Costing 100 Lmin Feed Orig'!AI40</f>
        <v>6.1174468293775103E-6</v>
      </c>
      <c r="AJ40">
        <f>'Costing 100 Lmin Feed Orig'!AJ40</f>
        <v>0</v>
      </c>
      <c r="AK40">
        <f>'Costing 100 Lmin Feed Orig'!AK40</f>
        <v>0</v>
      </c>
      <c r="AL40">
        <f>'Costing 100 Lmin Feed Orig'!AL40</f>
        <v>0</v>
      </c>
      <c r="AM40">
        <f>'Costing 100 Lmin Feed Orig'!AM40</f>
        <v>1.6125575429752001E-3</v>
      </c>
      <c r="AN40">
        <f>'Costing 100 Lmin Feed Orig'!AN40</f>
        <v>7.8794254311918995E-5</v>
      </c>
      <c r="AO40">
        <f>'Costing 100 Lmin Feed Orig'!AO40</f>
        <v>6.0771953183527996E-6</v>
      </c>
      <c r="AP40">
        <f>'Costing 100 Lmin Feed Orig'!AP40</f>
        <v>1.7330503585533999E-3</v>
      </c>
      <c r="AQ40">
        <f>'Costing 100 Lmin Feed Orig'!AQ40</f>
        <v>7.4546094895645801E-2</v>
      </c>
      <c r="AR40">
        <f>'Costing 100 Lmin Feed Orig'!AR40</f>
        <v>1.8873575819805E-6</v>
      </c>
      <c r="AS40">
        <f>'Costing 100 Lmin Feed Orig'!AS40</f>
        <v>7.3561084524067997E-16</v>
      </c>
      <c r="AT40">
        <f>'Costing 100 Lmin Feed Orig'!AT40</f>
        <v>-7.3104283043745598E-14</v>
      </c>
      <c r="AU40">
        <f>'Costing 100 Lmin Feed Orig'!AU40</f>
        <v>-3.93076227085198E-21</v>
      </c>
      <c r="AV40">
        <f>'Costing 100 Lmin Feed Orig'!AV40</f>
        <v>0.197007302276343</v>
      </c>
      <c r="AW40">
        <f>'Costing 100 Lmin Feed Orig'!AW40</f>
        <v>99.342021072722403</v>
      </c>
      <c r="AX40">
        <f>'Costing 100 Lmin Feed Orig'!AX40</f>
        <v>500</v>
      </c>
      <c r="AY40">
        <f>'Costing 100 Lmin Feed Orig'!AY40</f>
        <v>95</v>
      </c>
      <c r="AZ40">
        <f>'Costing 100 Lmin Feed Orig'!AZ40</f>
        <v>0.92374973309314701</v>
      </c>
      <c r="BA40">
        <f>'Costing 100 Lmin Feed Orig'!BA40</f>
        <v>0.1</v>
      </c>
      <c r="BB40">
        <f>'Costing 100 Lmin Feed Orig'!BB40</f>
        <v>46.889111338492199</v>
      </c>
      <c r="BC40" t="str">
        <f>'Costing 100 Lmin Feed Orig'!BC40</f>
        <v>coeFc</v>
      </c>
      <c r="BD40">
        <f>'Costing 100 Lmin Feed Orig'!BD40</f>
        <v>1</v>
      </c>
      <c r="BE40">
        <f>'Costing 100 Lmin Feed Orig'!BE40</f>
        <v>1.8775014999999999E-2</v>
      </c>
      <c r="BF40">
        <f>'Costing 100 Lmin Feed Orig'!BF40</f>
        <v>0.10492961100000001</v>
      </c>
      <c r="BG40">
        <f>'Costing 100 Lmin Feed Orig'!BG40</f>
        <v>1.814625E-3</v>
      </c>
      <c r="BH40">
        <f>'Costing 100 Lmin Feed Orig'!BH40</f>
        <v>285.1951444</v>
      </c>
      <c r="BI40">
        <f>'Costing 100 Lmin Feed Orig'!BI40</f>
        <v>2169.8944889999998</v>
      </c>
      <c r="BJ40">
        <f>'Costing 100 Lmin Feed Orig'!BJ40</f>
        <v>866.49409060000005</v>
      </c>
      <c r="BK40">
        <f>'Costing 100 Lmin Feed Orig'!BK40</f>
        <v>100</v>
      </c>
      <c r="BL40">
        <f>'Costing 100 Lmin Feed Orig'!BL40</f>
        <v>11.395861217105201</v>
      </c>
      <c r="BM40">
        <f>'Costing 100 Lmin Feed Orig'!BM40</f>
        <v>92.374973309314697</v>
      </c>
      <c r="BN40">
        <f>'Costing 100 Lmin Feed Orig'!BN40</f>
        <v>19.700730227634299</v>
      </c>
      <c r="BO40">
        <f t="shared" si="1"/>
        <v>182.33377947368322</v>
      </c>
      <c r="BP40">
        <f t="shared" si="2"/>
        <v>551.62044637376039</v>
      </c>
      <c r="BQ40">
        <f t="shared" si="3"/>
        <v>18.233377947368322</v>
      </c>
      <c r="BR40">
        <f t="shared" si="4"/>
        <v>55.162044637376042</v>
      </c>
      <c r="BS40">
        <f>1.2*0.5*BL40*V40/'Oxidant Feed Composition'!$N$22</f>
        <v>6.837516730263121</v>
      </c>
      <c r="BT40">
        <f>1.2*0.5*BN40*BA40/'Oxidant Feed Composition'!$N$22</f>
        <v>11.820438136580579</v>
      </c>
      <c r="BU40">
        <f t="shared" si="5"/>
        <v>5.6979306085525998</v>
      </c>
      <c r="BV40">
        <f t="shared" si="6"/>
        <v>9.8503651138171495</v>
      </c>
      <c r="BW40">
        <f t="shared" si="7"/>
        <v>86.677042700762101</v>
      </c>
      <c r="BX40">
        <f t="shared" si="0"/>
        <v>36.466755894736643</v>
      </c>
      <c r="BY40">
        <f t="shared" si="8"/>
        <v>207.54166905283981</v>
      </c>
      <c r="BZ40">
        <f t="shared" si="9"/>
        <v>63.04233672842976</v>
      </c>
      <c r="CA40">
        <f t="shared" si="10"/>
        <v>59.102190682902901</v>
      </c>
      <c r="CB40">
        <f>BO40*'Reagent cost'!$G$11*'Reagent cost'!$H$11</f>
        <v>2406.8058890526186</v>
      </c>
      <c r="CC40">
        <f>BP40*'Reagent cost'!$G$11*'Reagent cost'!$H$11</f>
        <v>7281.3898921336377</v>
      </c>
      <c r="CD40">
        <f>BQ40*'Reagent cost'!$C$18/1000*'Reagent cost'!$H$18</f>
        <v>2907.8673690603878</v>
      </c>
      <c r="CE40">
        <f>BR40*'Ligand cost'!$B$56*'Ligand cost'!$J$56</f>
        <v>56162.007395590961</v>
      </c>
      <c r="CF40">
        <f t="shared" si="11"/>
        <v>10</v>
      </c>
      <c r="CG40">
        <f t="shared" si="12"/>
        <v>2.2791722434210402</v>
      </c>
      <c r="CH40">
        <f t="shared" si="12"/>
        <v>3.94014604552686</v>
      </c>
      <c r="CI40">
        <f>7963.6*(BX40/1000)^0.6*1.7*('CAPEX+OPEX'!$G$116/'CAPEX+OPEX'!$G$115)</f>
        <v>2189.6727102460782</v>
      </c>
      <c r="CJ40">
        <f>7963.6*(BY40/1000)^0.6*1.7*('CAPEX+OPEX'!$G$116/'CAPEX+OPEX'!$G$115)</f>
        <v>6215.9013146876341</v>
      </c>
      <c r="CK40">
        <f>7963.6*(BZ40/1000)^0.6*1.7*('CAPEX+OPEX'!$G$116/'CAPEX+OPEX'!$G$115)</f>
        <v>3041.0272324233424</v>
      </c>
      <c r="CL40">
        <f>7963.6*(CA40/1000)^0.6*1.7*('CAPEX+OPEX'!$G$116/'CAPEX+OPEX'!$G$115)</f>
        <v>2925.520024573867</v>
      </c>
      <c r="CM40">
        <f>'Costing 100 Lmin Feed Orig'!DE40</f>
        <v>39625.826528698344</v>
      </c>
      <c r="CN40">
        <f>'Costing 100 Lmin Feed Orig'!DF40</f>
        <v>4586243.4239371875</v>
      </c>
      <c r="CO40">
        <f>'Costing 100 Lmin Feed Orig'!DG40</f>
        <v>11794834.586807497</v>
      </c>
      <c r="CP40">
        <f>'Costing 100 Lmin Feed Orig'!DH40</f>
        <v>2275209.1661185985</v>
      </c>
      <c r="CQ40">
        <f>'Costing 100 Lmin Feed Orig'!DI40</f>
        <v>14083914.336508472</v>
      </c>
      <c r="CR40">
        <f>'Costing 100 Lmin Feed Orig'!DJ40</f>
        <v>1662824.8986326549</v>
      </c>
      <c r="CS40">
        <f>CN40*(BK40/10000)^0.72*((A40+1)/3)^0.6*('CAPEX+OPEX'!$G$116/'CAPEX+OPEX'!$G$114)</f>
        <v>646135.89638675924</v>
      </c>
      <c r="CT40">
        <f>CO40*(BK40/10000)^0.72*((A40+1)/3)^0.6*('CAPEX+OPEX'!$G$116/'CAPEX+OPEX'!$G$114)</f>
        <v>1661722.9645298459</v>
      </c>
      <c r="CU40">
        <f>CP40*(BK40/10000)^0.72*((A40+1)/3)^0.6*('CAPEX+OPEX'!$G$116/'CAPEX+OPEX'!$G$114)</f>
        <v>320544.32748695416</v>
      </c>
      <c r="CV40">
        <f>CQ40*(BK40/10000)^0.72*((A40+1)/3)^0.6*('CAPEX+OPEX'!$G$116/'CAPEX+OPEX'!$G$114)</f>
        <v>1984221.4582325809</v>
      </c>
      <c r="CW40">
        <f>CR40*(BK40/10000)^0.72*((A40+1)/3)^0.6*('CAPEX+OPEX'!$G$116/'CAPEX+OPEX'!$G$114)</f>
        <v>234268.17050410178</v>
      </c>
      <c r="CX40">
        <f t="shared" si="13"/>
        <v>4846892.8171402421</v>
      </c>
      <c r="CY40">
        <f>CN40*(BM40/10000)^0.72*((AF40+1)/3)^0.6*('CAPEX+OPEX'!$G$116/'CAPEX+OPEX'!$G$114)</f>
        <v>884769.55719627661</v>
      </c>
      <c r="CZ40">
        <f>CO40*(BM40/10000)^0.72*((AF40+1)/3)^0.6*('CAPEX+OPEX'!$G$116/'CAPEX+OPEX'!$G$114)</f>
        <v>2275437.5662018773</v>
      </c>
      <c r="DA40">
        <f>CP40*(BM40/10000)^0.72*((AF40+1)/3)^0.6*('CAPEX+OPEX'!$G$116/'CAPEX+OPEX'!$G$114)</f>
        <v>438929.12354563072</v>
      </c>
      <c r="DB40">
        <f>CQ40*(BM40/10000)^0.72*((AF40+1)/3)^0.6*('CAPEX+OPEX'!$G$116/'CAPEX+OPEX'!$G$114)</f>
        <v>2717042.5769518763</v>
      </c>
      <c r="DC40">
        <f>CR40*(BM40/10000)^0.72*((AF40+1)/3)^0.6*('CAPEX+OPEX'!$G$116/'CAPEX+OPEX'!$G$114)</f>
        <v>320789.08886069356</v>
      </c>
      <c r="DD40">
        <f t="shared" si="14"/>
        <v>6636967.9127563545</v>
      </c>
      <c r="DE40">
        <f>CX40+DD40+1.15*(SUM(CI40:CL40)+SUM(CB40:CE40))</f>
        <v>11579460.450498531</v>
      </c>
      <c r="DF40">
        <f t="shared" si="15"/>
        <v>771964.03003323532</v>
      </c>
      <c r="DG40">
        <f>(BS40+BT40)*'Oxidant Feed Composition'!$N$29*60*7200</f>
        <v>9307920.8118773252</v>
      </c>
      <c r="DH40">
        <f>((CG40+CH40)*'Reagent cost'!$C$17/1000*'Reagent cost'!$H$17+(CG40+CH40)*0.5*'Reagent cost'!$C$16/1000*'Reagent cost'!$H$16*0.5)*60*7200</f>
        <v>3151162.8943706835</v>
      </c>
      <c r="DI40">
        <f>CF40*'Reagent cost'!$C$17/1000*'Reagent cost'!$H$17*60*7200</f>
        <v>504921.59999999998</v>
      </c>
      <c r="DJ40">
        <f t="shared" si="16"/>
        <v>96.881957811862563</v>
      </c>
      <c r="DK40">
        <f t="shared" si="17"/>
        <v>1181.3974952930271</v>
      </c>
      <c r="DL40">
        <f t="shared" si="18"/>
        <v>15558340.302841334</v>
      </c>
      <c r="DM40">
        <f>BK40*(B40*(409.81+2)/1000+C40*(248.2+2*22.99)/1000+D40*(315.6+3*22.99)/1000+0.1*58.44/1000)</f>
        <v>0.70639694042110623</v>
      </c>
      <c r="DN40">
        <f>(BS40+BT40)/1000*('Oxidant Feed Composition'!$B$11*'Oxidant Feed Composition'!$O$20+'Oxidant Feed Composition'!$D$11*'Oxidant Feed Composition'!$O$21+'Oxidant Feed Composition'!$F$11*'Oxidant Feed Composition'!$O$27-'Oxidant Feed Composition'!$J$15*18.015)</f>
        <v>2.1789606764651022</v>
      </c>
      <c r="DO40">
        <f>(BU40+BV40)/1000*(0.2*368.34+0.4*58.44)</f>
        <v>1.5088688100816499</v>
      </c>
      <c r="DP40">
        <f>BK40/1000*(B40*195.08+C40*106.42+D40*102.91)</f>
        <v>4.999938342565946E-2</v>
      </c>
      <c r="DQ40">
        <f>SUM(DM40:DO40)-DP40</f>
        <v>4.3442270435421984</v>
      </c>
      <c r="DR40">
        <f>DQ40*60*7200*0.33</f>
        <v>619313.00732737582</v>
      </c>
      <c r="DS40">
        <v>1.2</v>
      </c>
      <c r="DT40">
        <f>BM40/60*(AM40*4+AN40*2+AO40*3)*96485/DV40</f>
        <v>1406.1108613138913</v>
      </c>
      <c r="DU40">
        <f>BN40*BA40*(AP40*4+AQ40*2+AR40*3)*96485/DV40/60</f>
        <v>706.15671237476283</v>
      </c>
      <c r="DV40">
        <v>0.7</v>
      </c>
      <c r="DW40">
        <f>0.499*((BK40/3.78541*15)^(-0.146))*BK40/3.78541*15*300*(1+(A40-2)/9)</f>
        <v>35776.359048024235</v>
      </c>
      <c r="DX40">
        <f>0.248*((BK40/3.78541*15)^(-0.144))*BK40/3.78541*15*300*(1+(A40-2)/3)</f>
        <v>29068.269280606211</v>
      </c>
      <c r="DY40">
        <f>0.105*((BK40/3.78541*15)^(-0.144))*BK40/3.78541*15*300*(1+(A40-2)/3)</f>
        <v>12307.130138966339</v>
      </c>
      <c r="DZ40">
        <f>0.058*((BK40/3.78541*15)^(-0.151))*BK40/3.78541*15*300*(1+(A40-2)/3)</f>
        <v>6519.4301878820042</v>
      </c>
      <c r="EA40">
        <f>0.056*((BK40/3.78541*15)^(-0.144))*BK40/3.78541*15*300*(1+(A40-2)/3)</f>
        <v>6563.8027407820491</v>
      </c>
      <c r="EB40">
        <f>DS40*DT40/(3.6*10^6)*3600*7200*0.07</f>
        <v>850.41584892264143</v>
      </c>
      <c r="EC40">
        <f>0.499*((BM40/3.78541*15)^(-0.146))*BM40/3.78541*15*300*(1+(AF40-2)/9)</f>
        <v>48864.08641417139</v>
      </c>
      <c r="ED40">
        <f>0.248*((BM40/3.78541*15)^(-0.144))*BM40/3.78541*15*300*(1+(AF40-2)/3)</f>
        <v>50440.454363230172</v>
      </c>
      <c r="EE40">
        <f>0.105*((BM40/3.78541*15)^(-0.144))*BM40/3.78541*15*300*(1+(AF40-2)/3)</f>
        <v>21355.837532819231</v>
      </c>
      <c r="EF40">
        <f>0.058*((BM40/3.78541*15)^(-0.151))*BM40/3.78541*15*300*(1+(AF40-2)/3)</f>
        <v>11319.065527747925</v>
      </c>
      <c r="EG40">
        <f>0.056*((BM40/3.78541*15)^(-0.144))*BM40/3.78541*15*300*(1+(AF40-2)/3)</f>
        <v>11389.780017503586</v>
      </c>
      <c r="EH40">
        <f>DS40*DU40/(3.6*10^6)*3600*7200*0.07</f>
        <v>427.08357964425659</v>
      </c>
      <c r="EI40">
        <f>SUM(DW40:EH40)</f>
        <v>234881.71468030007</v>
      </c>
      <c r="EJ40">
        <f>EI40+DR40+DL40</f>
        <v>16412535.024849009</v>
      </c>
      <c r="EK40">
        <f>EJ40+DF40</f>
        <v>17184499.054882243</v>
      </c>
      <c r="EL40">
        <f>EK40/(BK40*60*7200)</f>
        <v>0.39778932997412603</v>
      </c>
      <c r="EM40">
        <f>EK40/(BM40*(AM40*195.084/1000+AN40*106.42/1000+AO40*102.911/1000)*60*7200)</f>
        <v>1330.7521456285583</v>
      </c>
      <c r="EN40">
        <f>EK40/(BN40*BA40*(AP40*195.084/1000+AQ40*106.42/1000+AR40*102.911/1000)*60*7200)</f>
        <v>2441.1112903482549</v>
      </c>
    </row>
    <row r="41" spans="1:144">
      <c r="A41">
        <f>'Costing 100 Lmin Feed Orig'!A41</f>
        <v>6</v>
      </c>
      <c r="B41">
        <f>'Costing 100 Lmin Feed Orig'!B41</f>
        <v>1.54143585092054E-3</v>
      </c>
      <c r="C41">
        <f>'Costing 100 Lmin Feed Orig'!C41</f>
        <v>1.54143585092054E-3</v>
      </c>
      <c r="D41">
        <f>'Costing 100 Lmin Feed Orig'!D41</f>
        <v>3.4254130020456501E-4</v>
      </c>
      <c r="E41">
        <f>'Costing 100 Lmin Feed Orig'!E41</f>
        <v>0</v>
      </c>
      <c r="F41">
        <f>'Costing 100 Lmin Feed Orig'!F41</f>
        <v>0</v>
      </c>
      <c r="G41">
        <f>'Costing 100 Lmin Feed Orig'!G41</f>
        <v>0</v>
      </c>
      <c r="H41">
        <f>'Costing 100 Lmin Feed Orig'!H41</f>
        <v>1.7693893431643E-5</v>
      </c>
      <c r="I41">
        <f>'Costing 100 Lmin Feed Orig'!I41</f>
        <v>3.7175600603836103E-8</v>
      </c>
      <c r="J41">
        <f>'Costing 100 Lmin Feed Orig'!J41</f>
        <v>3.36890310328726E-4</v>
      </c>
      <c r="K41">
        <f>'Costing 100 Lmin Feed Orig'!K41</f>
        <v>0.133710118829723</v>
      </c>
      <c r="L41">
        <f>'Costing 100 Lmin Feed Orig'!L41</f>
        <v>0.13525951632913</v>
      </c>
      <c r="M41">
        <f>'Costing 100 Lmin Feed Orig'!M41</f>
        <v>4.9588089642288804E-4</v>
      </c>
      <c r="N41">
        <f>'Costing 100 Lmin Feed Orig'!N41</f>
        <v>-1.72886878424538E-14</v>
      </c>
      <c r="O41">
        <f>'Costing 100 Lmin Feed Orig'!O41</f>
        <v>-1.05961268405396E-12</v>
      </c>
      <c r="P41">
        <f>'Costing 100 Lmin Feed Orig'!P41</f>
        <v>-9.6595637304880395E-18</v>
      </c>
      <c r="Q41">
        <f>'Costing 100 Lmin Feed Orig'!Q41</f>
        <v>0.11395861217105201</v>
      </c>
      <c r="R41">
        <f>'Costing 100 Lmin Feed Orig'!R41</f>
        <v>98.3502748800029</v>
      </c>
      <c r="S41">
        <f>'Costing 100 Lmin Feed Orig'!S41</f>
        <v>500</v>
      </c>
      <c r="T41">
        <f>'Costing 100 Lmin Feed Orig'!T41</f>
        <v>95</v>
      </c>
      <c r="U41">
        <f>'Costing 100 Lmin Feed Orig'!U41</f>
        <v>1</v>
      </c>
      <c r="V41">
        <f>'Costing 100 Lmin Feed Orig'!V41</f>
        <v>0.1</v>
      </c>
      <c r="W41">
        <f>'Costing 100 Lmin Feed Orig'!W41</f>
        <v>87.751156402202497</v>
      </c>
      <c r="X41" t="str">
        <f>'Costing 100 Lmin Feed Orig'!X41</f>
        <v>ddFc</v>
      </c>
      <c r="Y41">
        <f>'Costing 100 Lmin Feed Orig'!Y41</f>
        <v>1</v>
      </c>
      <c r="Z41">
        <f>'Costing 100 Lmin Feed Orig'!Z41</f>
        <v>0.28318429382522198</v>
      </c>
      <c r="AA41">
        <f>'Costing 100 Lmin Feed Orig'!AA41</f>
        <v>0.56945642916197003</v>
      </c>
      <c r="AB41">
        <f>'Costing 100 Lmin Feed Orig'!AB41</f>
        <v>3.7698628972227502E-3</v>
      </c>
      <c r="AC41">
        <f>'Costing 100 Lmin Feed Orig'!AC41</f>
        <v>1822.2107908876901</v>
      </c>
      <c r="AD41">
        <f>'Costing 100 Lmin Feed Orig'!AD41</f>
        <v>2662.6059073104898</v>
      </c>
      <c r="AE41">
        <f>'Costing 100 Lmin Feed Orig'!AE41</f>
        <v>2401.5030938442701</v>
      </c>
      <c r="AF41">
        <f>'Costing 100 Lmin Feed Orig'!AF41</f>
        <v>13</v>
      </c>
      <c r="AG41">
        <f>'Costing 100 Lmin Feed Orig'!AG41</f>
        <v>1.64951815726537E-3</v>
      </c>
      <c r="AH41">
        <f>'Costing 100 Lmin Feed Orig'!AH41</f>
        <v>1.6686323374819601E-3</v>
      </c>
      <c r="AI41">
        <f>'Costing 100 Lmin Feed Orig'!AI41</f>
        <v>6.1174468293775103E-6</v>
      </c>
      <c r="AJ41">
        <f>'Costing 100 Lmin Feed Orig'!AJ41</f>
        <v>0</v>
      </c>
      <c r="AK41">
        <f>'Costing 100 Lmin Feed Orig'!AK41</f>
        <v>0</v>
      </c>
      <c r="AL41">
        <f>'Costing 100 Lmin Feed Orig'!AL41</f>
        <v>0</v>
      </c>
      <c r="AM41">
        <f>'Costing 100 Lmin Feed Orig'!AM41</f>
        <v>1.6125577940565899E-3</v>
      </c>
      <c r="AN41">
        <f>'Costing 100 Lmin Feed Orig'!AN41</f>
        <v>7.87942672646522E-5</v>
      </c>
      <c r="AO41">
        <f>'Costing 100 Lmin Feed Orig'!AO41</f>
        <v>6.0771955804315697E-6</v>
      </c>
      <c r="AP41">
        <f>'Costing 100 Lmin Feed Orig'!AP41</f>
        <v>1.73304187149951E-3</v>
      </c>
      <c r="AQ41">
        <f>'Costing 100 Lmin Feed Orig'!AQ41</f>
        <v>7.4546235626165996E-2</v>
      </c>
      <c r="AR41">
        <f>'Costing 100 Lmin Feed Orig'!AR41</f>
        <v>1.8873488718012801E-6</v>
      </c>
      <c r="AS41">
        <f>'Costing 100 Lmin Feed Orig'!AS41</f>
        <v>3.5914196963582301E-19</v>
      </c>
      <c r="AT41">
        <f>'Costing 100 Lmin Feed Orig'!AT41</f>
        <v>-3.7730235602495499E-17</v>
      </c>
      <c r="AU41">
        <f>'Costing 100 Lmin Feed Orig'!AU41</f>
        <v>-5.6910026143648304E-22</v>
      </c>
      <c r="AV41">
        <f>'Costing 100 Lmin Feed Orig'!AV41</f>
        <v>0.197006928745454</v>
      </c>
      <c r="AW41">
        <f>'Costing 100 Lmin Feed Orig'!AW41</f>
        <v>99.342025356842598</v>
      </c>
      <c r="AX41">
        <f>'Costing 100 Lmin Feed Orig'!AX41</f>
        <v>500</v>
      </c>
      <c r="AY41">
        <f>'Costing 100 Lmin Feed Orig'!AY41</f>
        <v>95</v>
      </c>
      <c r="AZ41">
        <f>'Costing 100 Lmin Feed Orig'!AZ41</f>
        <v>0.92374973309314701</v>
      </c>
      <c r="BA41">
        <f>'Costing 100 Lmin Feed Orig'!BA41</f>
        <v>0.1</v>
      </c>
      <c r="BB41">
        <f>'Costing 100 Lmin Feed Orig'!BB41</f>
        <v>46.889200241616201</v>
      </c>
      <c r="BC41" t="str">
        <f>'Costing 100 Lmin Feed Orig'!BC41</f>
        <v>coeFc</v>
      </c>
      <c r="BD41">
        <f>'Costing 100 Lmin Feed Orig'!BD41</f>
        <v>1</v>
      </c>
      <c r="BE41">
        <f>'Costing 100 Lmin Feed Orig'!BE41</f>
        <v>1.8775014999999999E-2</v>
      </c>
      <c r="BF41">
        <f>'Costing 100 Lmin Feed Orig'!BF41</f>
        <v>0.10492961100000001</v>
      </c>
      <c r="BG41">
        <f>'Costing 100 Lmin Feed Orig'!BG41</f>
        <v>1.814625E-3</v>
      </c>
      <c r="BH41">
        <f>'Costing 100 Lmin Feed Orig'!BH41</f>
        <v>285.1951444</v>
      </c>
      <c r="BI41">
        <f>'Costing 100 Lmin Feed Orig'!BI41</f>
        <v>2169.8944889999998</v>
      </c>
      <c r="BJ41">
        <f>'Costing 100 Lmin Feed Orig'!BJ41</f>
        <v>866.49409060000005</v>
      </c>
      <c r="BK41">
        <f>'Costing 100 Lmin Feed Orig'!BK41</f>
        <v>100</v>
      </c>
      <c r="BL41">
        <f>'Costing 100 Lmin Feed Orig'!BL41</f>
        <v>11.395861217105201</v>
      </c>
      <c r="BM41">
        <f>'Costing 100 Lmin Feed Orig'!BM41</f>
        <v>92.374973309314697</v>
      </c>
      <c r="BN41">
        <f>'Costing 100 Lmin Feed Orig'!BN41</f>
        <v>19.7006928745454</v>
      </c>
      <c r="BO41">
        <f t="shared" si="1"/>
        <v>182.33377947368322</v>
      </c>
      <c r="BP41">
        <f t="shared" si="2"/>
        <v>591.02078623636203</v>
      </c>
      <c r="BQ41">
        <f t="shared" si="3"/>
        <v>18.233377947368322</v>
      </c>
      <c r="BR41">
        <f t="shared" si="4"/>
        <v>59.102078623636203</v>
      </c>
      <c r="BS41">
        <f>1.2*0.5*BL41*V41/'Oxidant Feed Composition'!$N$22</f>
        <v>6.837516730263121</v>
      </c>
      <c r="BT41">
        <f>1.2*0.5*BN41*BA41/'Oxidant Feed Composition'!$N$22</f>
        <v>11.820415724727239</v>
      </c>
      <c r="BU41">
        <f t="shared" si="5"/>
        <v>5.6979306085525998</v>
      </c>
      <c r="BV41">
        <f t="shared" si="6"/>
        <v>9.8503464372726999</v>
      </c>
      <c r="BW41">
        <f t="shared" si="7"/>
        <v>86.677042700762101</v>
      </c>
      <c r="BX41">
        <f t="shared" si="0"/>
        <v>36.466755894736643</v>
      </c>
      <c r="BY41">
        <f t="shared" si="8"/>
        <v>207.54166905283981</v>
      </c>
      <c r="BZ41">
        <f t="shared" si="9"/>
        <v>63.042217198545274</v>
      </c>
      <c r="CA41">
        <f t="shared" si="10"/>
        <v>59.102078623636203</v>
      </c>
      <c r="CB41">
        <f>BO41*'Reagent cost'!$G$11*'Reagent cost'!$H$11</f>
        <v>2406.8058890526186</v>
      </c>
      <c r="CC41">
        <f>BP41*'Reagent cost'!$G$11*'Reagent cost'!$H$11</f>
        <v>7801.4743783199792</v>
      </c>
      <c r="CD41">
        <f>BQ41*'Reagent cost'!$C$18/1000*'Reagent cost'!$H$18</f>
        <v>2907.8673690603878</v>
      </c>
      <c r="CE41">
        <f>BR41*'Ligand cost'!$B$56*'Ligand cost'!$J$56</f>
        <v>60173.465261771846</v>
      </c>
      <c r="CF41">
        <f t="shared" si="11"/>
        <v>10</v>
      </c>
      <c r="CG41">
        <f t="shared" si="12"/>
        <v>2.2791722434210402</v>
      </c>
      <c r="CH41">
        <f t="shared" si="12"/>
        <v>3.94013857490908</v>
      </c>
      <c r="CI41">
        <f>7963.6*(BX41/1000)^0.6*1.7*('CAPEX+OPEX'!$G$116/'CAPEX+OPEX'!$G$115)</f>
        <v>2189.6727102460782</v>
      </c>
      <c r="CJ41">
        <f>7963.6*(BY41/1000)^0.6*1.7*('CAPEX+OPEX'!$G$116/'CAPEX+OPEX'!$G$115)</f>
        <v>6215.9013146876341</v>
      </c>
      <c r="CK41">
        <f>7963.6*(BZ41/1000)^0.6*1.7*('CAPEX+OPEX'!$G$116/'CAPEX+OPEX'!$G$115)</f>
        <v>3041.0237729027358</v>
      </c>
      <c r="CL41">
        <f>7963.6*(CA41/1000)^0.6*1.7*('CAPEX+OPEX'!$G$116/'CAPEX+OPEX'!$G$115)</f>
        <v>2925.5166964560844</v>
      </c>
      <c r="CM41">
        <f>'Costing 100 Lmin Feed Orig'!DE41</f>
        <v>39625.826528698344</v>
      </c>
      <c r="CN41">
        <f>'Costing 100 Lmin Feed Orig'!DF41</f>
        <v>4586243.4239371875</v>
      </c>
      <c r="CO41">
        <f>'Costing 100 Lmin Feed Orig'!DG41</f>
        <v>11794834.586807497</v>
      </c>
      <c r="CP41">
        <f>'Costing 100 Lmin Feed Orig'!DH41</f>
        <v>2275209.1661185985</v>
      </c>
      <c r="CQ41">
        <f>'Costing 100 Lmin Feed Orig'!DI41</f>
        <v>14083914.336508472</v>
      </c>
      <c r="CR41">
        <f>'Costing 100 Lmin Feed Orig'!DJ41</f>
        <v>1662824.8986326549</v>
      </c>
      <c r="CS41">
        <f>CN41*(BK41/10000)^0.72*((A41+1)/3)^0.6*('CAPEX+OPEX'!$G$116/'CAPEX+OPEX'!$G$114)</f>
        <v>646135.89638675924</v>
      </c>
      <c r="CT41">
        <f>CO41*(BK41/10000)^0.72*((A41+1)/3)^0.6*('CAPEX+OPEX'!$G$116/'CAPEX+OPEX'!$G$114)</f>
        <v>1661722.9645298459</v>
      </c>
      <c r="CU41">
        <f>CP41*(BK41/10000)^0.72*((A41+1)/3)^0.6*('CAPEX+OPEX'!$G$116/'CAPEX+OPEX'!$G$114)</f>
        <v>320544.32748695416</v>
      </c>
      <c r="CV41">
        <f>CQ41*(BK41/10000)^0.72*((A41+1)/3)^0.6*('CAPEX+OPEX'!$G$116/'CAPEX+OPEX'!$G$114)</f>
        <v>1984221.4582325809</v>
      </c>
      <c r="CW41">
        <f>CR41*(BK41/10000)^0.72*((A41+1)/3)^0.6*('CAPEX+OPEX'!$G$116/'CAPEX+OPEX'!$G$114)</f>
        <v>234268.17050410178</v>
      </c>
      <c r="CX41">
        <f t="shared" si="13"/>
        <v>4846892.8171402421</v>
      </c>
      <c r="CY41">
        <f>CN41*(BM41/10000)^0.72*((AF41+1)/3)^0.6*('CAPEX+OPEX'!$G$116/'CAPEX+OPEX'!$G$114)</f>
        <v>924998.39931869402</v>
      </c>
      <c r="CZ41">
        <f>CO41*(BM41/10000)^0.72*((AF41+1)/3)^0.6*('CAPEX+OPEX'!$G$116/'CAPEX+OPEX'!$G$114)</f>
        <v>2378897.5212439853</v>
      </c>
      <c r="DA41">
        <f>CP41*(BM41/10000)^0.72*((AF41+1)/3)^0.6*('CAPEX+OPEX'!$G$116/'CAPEX+OPEX'!$G$114)</f>
        <v>458886.42233651923</v>
      </c>
      <c r="DB41">
        <f>CQ41*(BM41/10000)^0.72*((AF41+1)/3)^0.6*('CAPEX+OPEX'!$G$116/'CAPEX+OPEX'!$G$114)</f>
        <v>2840581.498447381</v>
      </c>
      <c r="DC41">
        <f>CR41*(BM41/10000)^0.72*((AF41+1)/3)^0.6*('CAPEX+OPEX'!$G$116/'CAPEX+OPEX'!$G$114)</f>
        <v>335374.77787475183</v>
      </c>
      <c r="DD41">
        <f t="shared" si="14"/>
        <v>6938738.6192213316</v>
      </c>
      <c r="DE41">
        <f>CX41+DD41+1.15*(SUM(CI41:CL41)+SUM(CB41:CE41))</f>
        <v>11886442.422862945</v>
      </c>
      <c r="DF41">
        <f t="shared" si="15"/>
        <v>792429.49485752964</v>
      </c>
      <c r="DG41">
        <f>(BS41+BT41)*'Oxidant Feed Composition'!$N$29*60*7200</f>
        <v>9307909.6312437747</v>
      </c>
      <c r="DH41">
        <f>((CG41+CH41)*'Reagent cost'!$C$17/1000*'Reagent cost'!$H$17+(CG41+CH41)*0.5*'Reagent cost'!$C$16/1000*'Reagent cost'!$H$16*0.5)*60*7200</f>
        <v>3151159.1092076716</v>
      </c>
      <c r="DI41">
        <f>CF41*'Reagent cost'!$C$17/1000*'Reagent cost'!$H$17*60*7200</f>
        <v>504921.59999999998</v>
      </c>
      <c r="DJ41">
        <f t="shared" si="16"/>
        <v>102.08280267372598</v>
      </c>
      <c r="DK41">
        <f t="shared" si="17"/>
        <v>1261.6266526166448</v>
      </c>
      <c r="DL41">
        <f t="shared" si="18"/>
        <v>15558424.859888082</v>
      </c>
      <c r="DM41">
        <f>BK41*(B41*(409.81+2)/1000+C41*(248.2+2*22.99)/1000+D41*(315.6+3*22.99)/1000+0.1*58.44/1000)</f>
        <v>0.70639694042110623</v>
      </c>
      <c r="DN41">
        <f>(BS41+BT41)/1000*('Oxidant Feed Composition'!$B$11*'Oxidant Feed Composition'!$O$20+'Oxidant Feed Composition'!$D$11*'Oxidant Feed Composition'!$O$21+'Oxidant Feed Composition'!$F$11*'Oxidant Feed Composition'!$O$27-'Oxidant Feed Composition'!$J$15*18.015)</f>
        <v>2.1789580591071194</v>
      </c>
      <c r="DO41">
        <f>(BU41+BV41)/1000*(0.2*368.34+0.4*58.44)</f>
        <v>1.5088669976350704</v>
      </c>
      <c r="DP41">
        <f>BK41/1000*(B41*195.08+C41*106.42+D41*102.91)</f>
        <v>4.999938342565946E-2</v>
      </c>
      <c r="DQ41">
        <f>SUM(DM41:DO41)-DP41</f>
        <v>4.3442226137376361</v>
      </c>
      <c r="DR41">
        <f>DQ41*60*7200*0.33</f>
        <v>619312.3758144374</v>
      </c>
      <c r="DS41">
        <v>1.2</v>
      </c>
      <c r="DT41">
        <f>BM41/60*(AM41*4+AN41*2+AO41*3)*96485/DV41</f>
        <v>1406.1110801055565</v>
      </c>
      <c r="DU41">
        <f>BN41*BA41*(AP41*4+AQ41*2+AR41*3)*96485/DV41/60</f>
        <v>706.15649355020639</v>
      </c>
      <c r="DV41">
        <v>0.7</v>
      </c>
      <c r="DW41">
        <f>0.499*((BK41/3.78541*15)^(-0.146))*BK41/3.78541*15*300*(1+(A41-2)/9)</f>
        <v>35776.359048024235</v>
      </c>
      <c r="DX41">
        <f>0.248*((BK41/3.78541*15)^(-0.144))*BK41/3.78541*15*300*(1+(A41-2)/3)</f>
        <v>29068.269280606211</v>
      </c>
      <c r="DY41">
        <f>0.105*((BK41/3.78541*15)^(-0.144))*BK41/3.78541*15*300*(1+(A41-2)/3)</f>
        <v>12307.130138966339</v>
      </c>
      <c r="DZ41">
        <f>0.058*((BK41/3.78541*15)^(-0.151))*BK41/3.78541*15*300*(1+(A41-2)/3)</f>
        <v>6519.4301878820042</v>
      </c>
      <c r="EA41">
        <f>0.056*((BK41/3.78541*15)^(-0.144))*BK41/3.78541*15*300*(1+(A41-2)/3)</f>
        <v>6563.8027407820491</v>
      </c>
      <c r="EB41">
        <f>DS41*DT41/(3.6*10^6)*3600*7200*0.07</f>
        <v>850.4159812478407</v>
      </c>
      <c r="EC41">
        <f>0.499*((BM41/3.78541*15)^(-0.146))*BM41/3.78541*15*300*(1+(AF41-2)/9)</f>
        <v>51435.880435969884</v>
      </c>
      <c r="ED41">
        <f>0.248*((BM41/3.78541*15)^(-0.144))*BM41/3.78541*15*300*(1+(AF41-2)/3)</f>
        <v>54320.489314247861</v>
      </c>
      <c r="EE41">
        <f>0.105*((BM41/3.78541*15)^(-0.144))*BM41/3.78541*15*300*(1+(AF41-2)/3)</f>
        <v>22998.59426611301</v>
      </c>
      <c r="EF41">
        <f>0.058*((BM41/3.78541*15)^(-0.151))*BM41/3.78541*15*300*(1+(AF41-2)/3)</f>
        <v>12189.762876036224</v>
      </c>
      <c r="EG41">
        <f>0.056*((BM41/3.78541*15)^(-0.144))*BM41/3.78541*15*300*(1+(AF41-2)/3)</f>
        <v>12265.916941926936</v>
      </c>
      <c r="EH41">
        <f>DS41*DU41/(3.6*10^6)*3600*7200*0.07</f>
        <v>427.08344729916485</v>
      </c>
      <c r="EI41">
        <f>SUM(DW41:EH41)</f>
        <v>244723.13465910175</v>
      </c>
      <c r="EJ41">
        <f>EI41+DR41+DL41</f>
        <v>16422460.370361622</v>
      </c>
      <c r="EK41">
        <f>EJ41+DF41</f>
        <v>17214889.865219153</v>
      </c>
      <c r="EL41">
        <f>EK41/(BK41*60*7200)</f>
        <v>0.39849282095414706</v>
      </c>
      <c r="EM41">
        <f>EK41/(BM41*(AM41*195.084/1000+AN41*106.42/1000+AO41*102.911/1000)*60*7200)</f>
        <v>1333.1053750584203</v>
      </c>
      <c r="EN41">
        <f>EK41/(BN41*BA41*(AP41*195.084/1000+AQ41*106.42/1000+AR41*102.911/1000)*60*7200)</f>
        <v>2445.4290976532079</v>
      </c>
    </row>
    <row r="42" spans="1:144">
      <c r="A42">
        <f>'Costing 100 Lmin Feed Orig'!A42</f>
        <v>7</v>
      </c>
      <c r="B42">
        <f>'Costing 100 Lmin Feed Orig'!B42</f>
        <v>1.54143585092054E-3</v>
      </c>
      <c r="C42">
        <f>'Costing 100 Lmin Feed Orig'!C42</f>
        <v>1.54143585092054E-3</v>
      </c>
      <c r="D42">
        <f>'Costing 100 Lmin Feed Orig'!D42</f>
        <v>3.4254130020456501E-4</v>
      </c>
      <c r="E42">
        <f>'Costing 100 Lmin Feed Orig'!E42</f>
        <v>0</v>
      </c>
      <c r="F42">
        <f>'Costing 100 Lmin Feed Orig'!F42</f>
        <v>0</v>
      </c>
      <c r="G42">
        <f>'Costing 100 Lmin Feed Orig'!G42</f>
        <v>0</v>
      </c>
      <c r="H42">
        <f>'Costing 100 Lmin Feed Orig'!H42</f>
        <v>1.7744466230058299E-5</v>
      </c>
      <c r="I42">
        <f>'Costing 100 Lmin Feed Orig'!I42</f>
        <v>1.2927742824924801E-8</v>
      </c>
      <c r="J42">
        <f>'Costing 100 Lmin Feed Orig'!J42</f>
        <v>3.3739048286900598E-4</v>
      </c>
      <c r="K42">
        <f>'Costing 100 Lmin Feed Orig'!K42</f>
        <v>0.13716795306346499</v>
      </c>
      <c r="L42">
        <f>'Costing 100 Lmin Feed Orig'!L42</f>
        <v>0.138764207307677</v>
      </c>
      <c r="M42">
        <f>'Costing 100 Lmin Feed Orig'!M42</f>
        <v>4.6369433969460899E-4</v>
      </c>
      <c r="N42">
        <f>'Costing 100 Lmin Feed Orig'!N42</f>
        <v>-1.1037178115902399E-16</v>
      </c>
      <c r="O42">
        <f>'Costing 100 Lmin Feed Orig'!O42</f>
        <v>-5.3700533603207003E-15</v>
      </c>
      <c r="P42">
        <f>'Costing 100 Lmin Feed Orig'!P42</f>
        <v>-3.4304834363799101E-19</v>
      </c>
      <c r="Q42">
        <f>'Costing 100 Lmin Feed Orig'!Q42</f>
        <v>0.111082169753281</v>
      </c>
      <c r="R42">
        <f>'Costing 100 Lmin Feed Orig'!R42</f>
        <v>98.496293050653193</v>
      </c>
      <c r="S42">
        <f>'Costing 100 Lmin Feed Orig'!S42</f>
        <v>500</v>
      </c>
      <c r="T42">
        <f>'Costing 100 Lmin Feed Orig'!T42</f>
        <v>95</v>
      </c>
      <c r="U42">
        <f>'Costing 100 Lmin Feed Orig'!U42</f>
        <v>1</v>
      </c>
      <c r="V42">
        <f>'Costing 100 Lmin Feed Orig'!V42</f>
        <v>0.1</v>
      </c>
      <c r="W42">
        <f>'Costing 100 Lmin Feed Orig'!W42</f>
        <v>90.023448607553206</v>
      </c>
      <c r="X42" t="str">
        <f>'Costing 100 Lmin Feed Orig'!X42</f>
        <v>ddFc</v>
      </c>
      <c r="Y42">
        <f>'Costing 100 Lmin Feed Orig'!Y42</f>
        <v>1</v>
      </c>
      <c r="Z42">
        <f>'Costing 100 Lmin Feed Orig'!Z42</f>
        <v>0.28318429382522198</v>
      </c>
      <c r="AA42">
        <f>'Costing 100 Lmin Feed Orig'!AA42</f>
        <v>0.56945642916197003</v>
      </c>
      <c r="AB42">
        <f>'Costing 100 Lmin Feed Orig'!AB42</f>
        <v>3.7698628972227502E-3</v>
      </c>
      <c r="AC42">
        <f>'Costing 100 Lmin Feed Orig'!AC42</f>
        <v>1822.2107908876901</v>
      </c>
      <c r="AD42">
        <f>'Costing 100 Lmin Feed Orig'!AD42</f>
        <v>2662.6059073104898</v>
      </c>
      <c r="AE42">
        <f>'Costing 100 Lmin Feed Orig'!AE42</f>
        <v>2401.5030938442701</v>
      </c>
      <c r="AF42">
        <f>'Costing 100 Lmin Feed Orig'!AF42</f>
        <v>4</v>
      </c>
      <c r="AG42">
        <f>'Costing 100 Lmin Feed Orig'!AG42</f>
        <v>1.64967327652189E-3</v>
      </c>
      <c r="AH42">
        <f>'Costing 100 Lmin Feed Orig'!AH42</f>
        <v>1.66887089455438E-3</v>
      </c>
      <c r="AI42">
        <f>'Costing 100 Lmin Feed Orig'!AI42</f>
        <v>5.5766973522943398E-6</v>
      </c>
      <c r="AJ42">
        <f>'Costing 100 Lmin Feed Orig'!AJ42</f>
        <v>0</v>
      </c>
      <c r="AK42">
        <f>'Costing 100 Lmin Feed Orig'!AK42</f>
        <v>0</v>
      </c>
      <c r="AL42">
        <f>'Costing 100 Lmin Feed Orig'!AL42</f>
        <v>0</v>
      </c>
      <c r="AM42">
        <f>'Costing 100 Lmin Feed Orig'!AM42</f>
        <v>1.6047223792851101E-3</v>
      </c>
      <c r="AN42">
        <f>'Costing 100 Lmin Feed Orig'!AN42</f>
        <v>7.8926667299838998E-5</v>
      </c>
      <c r="AO42">
        <f>'Costing 100 Lmin Feed Orig'!AO42</f>
        <v>5.5324052965634797E-6</v>
      </c>
      <c r="AP42">
        <f>'Costing 100 Lmin Feed Orig'!AP42</f>
        <v>1.9882830340612E-3</v>
      </c>
      <c r="AQ42">
        <f>'Costing 100 Lmin Feed Orig'!AQ42</f>
        <v>7.0326941752228797E-2</v>
      </c>
      <c r="AR42">
        <f>'Costing 100 Lmin Feed Orig'!AR42</f>
        <v>1.9591409371835302E-6</v>
      </c>
      <c r="AS42">
        <f>'Costing 100 Lmin Feed Orig'!AS42</f>
        <v>-9.7615058397559906E-15</v>
      </c>
      <c r="AT42">
        <f>'Costing 100 Lmin Feed Orig'!AT42</f>
        <v>-1.25855922905593E-13</v>
      </c>
      <c r="AU42">
        <f>'Costing 100 Lmin Feed Orig'!AU42</f>
        <v>-3.2733654421091398E-18</v>
      </c>
      <c r="AV42">
        <f>'Costing 100 Lmin Feed Orig'!AV42</f>
        <v>0.20881381645079999</v>
      </c>
      <c r="AW42">
        <f>'Costing 100 Lmin Feed Orig'!AW42</f>
        <v>99.205765474925002</v>
      </c>
      <c r="AX42">
        <f>'Costing 100 Lmin Feed Orig'!AX42</f>
        <v>500</v>
      </c>
      <c r="AY42">
        <f>'Costing 100 Lmin Feed Orig'!AY42</f>
        <v>95</v>
      </c>
      <c r="AZ42">
        <f>'Costing 100 Lmin Feed Orig'!AZ42</f>
        <v>0.92363221637625403</v>
      </c>
      <c r="BA42">
        <f>'Costing 100 Lmin Feed Orig'!BA42</f>
        <v>0.1</v>
      </c>
      <c r="BB42">
        <f>'Costing 100 Lmin Feed Orig'!BB42</f>
        <v>44.232332518757197</v>
      </c>
      <c r="BC42" t="str">
        <f>'Costing 100 Lmin Feed Orig'!BC42</f>
        <v>coeFc</v>
      </c>
      <c r="BD42">
        <f>'Costing 100 Lmin Feed Orig'!BD42</f>
        <v>1</v>
      </c>
      <c r="BE42">
        <f>'Costing 100 Lmin Feed Orig'!BE42</f>
        <v>1.8775014999999999E-2</v>
      </c>
      <c r="BF42">
        <f>'Costing 100 Lmin Feed Orig'!BF42</f>
        <v>0.10492961100000001</v>
      </c>
      <c r="BG42">
        <f>'Costing 100 Lmin Feed Orig'!BG42</f>
        <v>1.814625E-3</v>
      </c>
      <c r="BH42">
        <f>'Costing 100 Lmin Feed Orig'!BH42</f>
        <v>285.1951444</v>
      </c>
      <c r="BI42">
        <f>'Costing 100 Lmin Feed Orig'!BI42</f>
        <v>2169.8944889999998</v>
      </c>
      <c r="BJ42">
        <f>'Costing 100 Lmin Feed Orig'!BJ42</f>
        <v>866.49409060000005</v>
      </c>
      <c r="BK42">
        <f>'Costing 100 Lmin Feed Orig'!BK42</f>
        <v>100</v>
      </c>
      <c r="BL42">
        <f>'Costing 100 Lmin Feed Orig'!BL42</f>
        <v>11.1082169753281</v>
      </c>
      <c r="BM42">
        <f>'Costing 100 Lmin Feed Orig'!BM42</f>
        <v>92.363221637625401</v>
      </c>
      <c r="BN42">
        <f>'Costing 100 Lmin Feed Orig'!BN42</f>
        <v>20.881381645079998</v>
      </c>
      <c r="BO42">
        <f t="shared" si="1"/>
        <v>199.94790555590581</v>
      </c>
      <c r="BP42">
        <f t="shared" si="2"/>
        <v>250.57657974095997</v>
      </c>
      <c r="BQ42">
        <f t="shared" si="3"/>
        <v>19.994790555590583</v>
      </c>
      <c r="BR42">
        <f t="shared" si="4"/>
        <v>25.057657974095999</v>
      </c>
      <c r="BS42">
        <f>1.2*0.5*BL42*V42/'Oxidant Feed Composition'!$N$22</f>
        <v>6.6649301851968596</v>
      </c>
      <c r="BT42">
        <f>1.2*0.5*BN42*BA42/'Oxidant Feed Composition'!$N$22</f>
        <v>12.528828987048</v>
      </c>
      <c r="BU42">
        <f t="shared" si="5"/>
        <v>5.5541084876640499</v>
      </c>
      <c r="BV42">
        <f t="shared" si="6"/>
        <v>10.440690822539999</v>
      </c>
      <c r="BW42">
        <f t="shared" si="7"/>
        <v>86.809113149961348</v>
      </c>
      <c r="BX42">
        <f t="shared" si="0"/>
        <v>35.54629432104992</v>
      </c>
      <c r="BY42">
        <f t="shared" si="8"/>
        <v>206.94287722590701</v>
      </c>
      <c r="BZ42">
        <f t="shared" si="9"/>
        <v>66.820421264255998</v>
      </c>
      <c r="CA42">
        <f t="shared" si="10"/>
        <v>62.644144935239993</v>
      </c>
      <c r="CB42">
        <f>BO42*'Reagent cost'!$G$11*'Reagent cost'!$H$11</f>
        <v>2639.3123533379567</v>
      </c>
      <c r="CC42">
        <f>BP42*'Reagent cost'!$G$11*'Reagent cost'!$H$11</f>
        <v>3307.6108525806717</v>
      </c>
      <c r="CD42">
        <f>BQ42*'Reagent cost'!$C$18/1000*'Reagent cost'!$H$18</f>
        <v>3188.7782491883527</v>
      </c>
      <c r="CE42">
        <f>BR42*'Ligand cost'!$B$56*'Ligand cost'!$J$56</f>
        <v>25511.896480788433</v>
      </c>
      <c r="CF42">
        <f t="shared" si="11"/>
        <v>10</v>
      </c>
      <c r="CG42">
        <f t="shared" si="12"/>
        <v>2.22164339506562</v>
      </c>
      <c r="CH42">
        <f t="shared" si="12"/>
        <v>4.1762763290159999</v>
      </c>
      <c r="CI42">
        <f>7963.6*(BX42/1000)^0.6*1.7*('CAPEX+OPEX'!$G$116/'CAPEX+OPEX'!$G$115)</f>
        <v>2156.3414312027717</v>
      </c>
      <c r="CJ42">
        <f>7963.6*(BY42/1000)^0.6*1.7*('CAPEX+OPEX'!$G$116/'CAPEX+OPEX'!$G$115)</f>
        <v>6205.1347590783025</v>
      </c>
      <c r="CK42">
        <f>7963.6*(BZ42/1000)^0.6*1.7*('CAPEX+OPEX'!$G$116/'CAPEX+OPEX'!$G$115)</f>
        <v>3149.1000109774004</v>
      </c>
      <c r="CL42">
        <f>7963.6*(CA42/1000)^0.6*1.7*('CAPEX+OPEX'!$G$116/'CAPEX+OPEX'!$G$115)</f>
        <v>3029.4878793830085</v>
      </c>
      <c r="CM42">
        <f>'Costing 100 Lmin Feed Orig'!DE42</f>
        <v>39625.826528698344</v>
      </c>
      <c r="CN42">
        <f>'Costing 100 Lmin Feed Orig'!DF42</f>
        <v>4586243.4239371875</v>
      </c>
      <c r="CO42">
        <f>'Costing 100 Lmin Feed Orig'!DG42</f>
        <v>11794834.586807497</v>
      </c>
      <c r="CP42">
        <f>'Costing 100 Lmin Feed Orig'!DH42</f>
        <v>2275209.1661185985</v>
      </c>
      <c r="CQ42">
        <f>'Costing 100 Lmin Feed Orig'!DI42</f>
        <v>14083914.336508472</v>
      </c>
      <c r="CR42">
        <f>'Costing 100 Lmin Feed Orig'!DJ42</f>
        <v>1662824.8986326549</v>
      </c>
      <c r="CS42">
        <f>CN42*(BK42/10000)^0.72*((A42+1)/3)^0.6*('CAPEX+OPEX'!$G$116/'CAPEX+OPEX'!$G$114)</f>
        <v>700033.84449786716</v>
      </c>
      <c r="CT42">
        <f>CO42*(BK42/10000)^0.72*((A42+1)/3)^0.6*('CAPEX+OPEX'!$G$116/'CAPEX+OPEX'!$G$114)</f>
        <v>1800336.9288957189</v>
      </c>
      <c r="CU42">
        <f>CP42*(BK42/10000)^0.72*((A42+1)/3)^0.6*('CAPEX+OPEX'!$G$116/'CAPEX+OPEX'!$G$114)</f>
        <v>347282.79168127343</v>
      </c>
      <c r="CV42">
        <f>CQ42*(BK42/10000)^0.72*((A42+1)/3)^0.6*('CAPEX+OPEX'!$G$116/'CAPEX+OPEX'!$G$114)</f>
        <v>2149736.8951473436</v>
      </c>
      <c r="CW42">
        <f>CR42*(BK42/10000)^0.72*((A42+1)/3)^0.6*('CAPEX+OPEX'!$G$116/'CAPEX+OPEX'!$G$114)</f>
        <v>253809.83932102245</v>
      </c>
      <c r="CX42">
        <f t="shared" si="13"/>
        <v>5251200.2995432261</v>
      </c>
      <c r="CY42">
        <f>CN42*(BM42/10000)^0.72*((AF42+1)/3)^0.6*('CAPEX+OPEX'!$G$116/'CAPEX+OPEX'!$G$114)</f>
        <v>498662.12122409587</v>
      </c>
      <c r="CZ42">
        <f>CO42*(BM42/10000)^0.72*((AF42+1)/3)^0.6*('CAPEX+OPEX'!$G$116/'CAPEX+OPEX'!$G$114)</f>
        <v>1282452.0399084061</v>
      </c>
      <c r="DA42">
        <f>CP42*(BM42/10000)^0.72*((AF42+1)/3)^0.6*('CAPEX+OPEX'!$G$116/'CAPEX+OPEX'!$G$114)</f>
        <v>247383.42999491547</v>
      </c>
      <c r="DB42">
        <f>CQ42*(BM42/10000)^0.72*((AF42+1)/3)^0.6*('CAPEX+OPEX'!$G$116/'CAPEX+OPEX'!$G$114)</f>
        <v>1531343.6180743722</v>
      </c>
      <c r="DC42">
        <f>CR42*(BM42/10000)^0.72*((AF42+1)/3)^0.6*('CAPEX+OPEX'!$G$116/'CAPEX+OPEX'!$G$114)</f>
        <v>180798.90545028303</v>
      </c>
      <c r="DD42">
        <f t="shared" si="14"/>
        <v>3740640.1146520725</v>
      </c>
      <c r="DE42">
        <f>CX42+DD42+1.15*(SUM(CI42:CL42)+SUM(CB42:CE42))</f>
        <v>9048406.2255143169</v>
      </c>
      <c r="DF42">
        <f t="shared" si="15"/>
        <v>603227.08170095447</v>
      </c>
      <c r="DG42">
        <f>(BS42+BT42)*'Oxidant Feed Composition'!$N$29*60*7200</f>
        <v>9575218.2772710025</v>
      </c>
      <c r="DH42">
        <f>((CG42+CH42)*'Reagent cost'!$C$17/1000*'Reagent cost'!$H$17+(CG42+CH42)*0.5*'Reagent cost'!$C$16/1000*'Reagent cost'!$H$16*0.5)*60*7200</f>
        <v>3241655.4836107069</v>
      </c>
      <c r="DI42">
        <f>CF42*'Reagent cost'!$C$17/1000*'Reagent cost'!$H$17*60*7200</f>
        <v>504921.59999999998</v>
      </c>
      <c r="DJ42">
        <f t="shared" si="16"/>
        <v>59.46923205918629</v>
      </c>
      <c r="DK42">
        <f t="shared" si="17"/>
        <v>574.01349459953576</v>
      </c>
      <c r="DL42">
        <f t="shared" si="18"/>
        <v>15986914.612330042</v>
      </c>
      <c r="DM42">
        <f>BK42*(B42*(409.81+2)/1000+C42*(248.2+2*22.99)/1000+D42*(315.6+3*22.99)/1000+0.1*58.44/1000)</f>
        <v>0.70639694042110623</v>
      </c>
      <c r="DN42">
        <f>(BS42+BT42)/1000*('Oxidant Feed Composition'!$B$11*'Oxidant Feed Composition'!$O$20+'Oxidant Feed Composition'!$D$11*'Oxidant Feed Composition'!$O$21+'Oxidant Feed Composition'!$F$11*'Oxidant Feed Composition'!$O$27-'Oxidant Feed Composition'!$J$15*18.015)</f>
        <v>2.2415343358013962</v>
      </c>
      <c r="DO42">
        <f>(BU42+BV42)/1000*(0.2*368.34+0.4*58.44)</f>
        <v>1.5521993042594415</v>
      </c>
      <c r="DP42">
        <f>BK42/1000*(B42*195.08+C42*106.42+D42*102.91)</f>
        <v>4.999938342565946E-2</v>
      </c>
      <c r="DQ42">
        <f>SUM(DM42:DO42)-DP42</f>
        <v>4.450131197056284</v>
      </c>
      <c r="DR42">
        <f>DQ42*60*7200*0.33</f>
        <v>634410.70345234394</v>
      </c>
      <c r="DS42">
        <v>1.2</v>
      </c>
      <c r="DT42">
        <f>BM42/60*(AM42*4+AN42*2+AO42*3)*96485/DV42</f>
        <v>1398.9914479268402</v>
      </c>
      <c r="DU42">
        <f>BN42*BA42*(AP42*4+AQ42*2+AR42*3)*96485/DV42/60</f>
        <v>712.89608624945879</v>
      </c>
      <c r="DV42">
        <v>0.7</v>
      </c>
      <c r="DW42">
        <f>0.499*((BK42/3.78541*15)^(-0.146))*BK42/3.78541*15*300*(1+(A42-2)/9)</f>
        <v>38528.386667103026</v>
      </c>
      <c r="DX42">
        <f>0.248*((BK42/3.78541*15)^(-0.144))*BK42/3.78541*15*300*(1+(A42-2)/3)</f>
        <v>33220.879177835675</v>
      </c>
      <c r="DY42">
        <f>0.105*((BK42/3.78541*15)^(-0.144))*BK42/3.78541*15*300*(1+(A42-2)/3)</f>
        <v>14065.291587390104</v>
      </c>
      <c r="DZ42">
        <f>0.058*((BK42/3.78541*15)^(-0.151))*BK42/3.78541*15*300*(1+(A42-2)/3)</f>
        <v>7450.7773575794354</v>
      </c>
      <c r="EA42">
        <f>0.056*((BK42/3.78541*15)^(-0.144))*BK42/3.78541*15*300*(1+(A42-2)/3)</f>
        <v>7501.4888466080574</v>
      </c>
      <c r="EB42">
        <f>DS42*DT42/(3.6*10^6)*3600*7200*0.07</f>
        <v>846.11002770615301</v>
      </c>
      <c r="EC42">
        <f>0.499*((BM42/3.78541*15)^(-0.146))*BM42/3.78541*15*300*(1+(AF42-2)/9)</f>
        <v>28286.660719414074</v>
      </c>
      <c r="ED42">
        <f>0.248*((BM42/3.78541*15)^(-0.144))*BM42/3.78541*15*300*(1+(AF42-2)/3)</f>
        <v>19398.062099470691</v>
      </c>
      <c r="EE42">
        <f>0.105*((BM42/3.78541*15)^(-0.144))*BM42/3.78541*15*300*(1+(AF42-2)/3)</f>
        <v>8212.8891953404127</v>
      </c>
      <c r="EF42">
        <f>0.058*((BM42/3.78541*15)^(-0.151))*BM42/3.78541*15*300*(1+(AF42-2)/3)</f>
        <v>4353.0165286796973</v>
      </c>
      <c r="EG42">
        <f>0.056*((BM42/3.78541*15)^(-0.144))*BM42/3.78541*15*300*(1+(AF42-2)/3)</f>
        <v>4380.2075708482198</v>
      </c>
      <c r="EH42">
        <f>DS42*DU42/(3.6*10^6)*3600*7200*0.07</f>
        <v>431.1595529636727</v>
      </c>
      <c r="EI42">
        <f>SUM(DW42:EH42)</f>
        <v>166674.92933093925</v>
      </c>
      <c r="EJ42">
        <f>EI42+DR42+DL42</f>
        <v>16788000.245113324</v>
      </c>
      <c r="EK42">
        <f>EJ42+DF42</f>
        <v>17391227.326814279</v>
      </c>
      <c r="EL42">
        <f>EK42/(BK42*60*7200)</f>
        <v>0.4025747066392194</v>
      </c>
      <c r="EM42">
        <f>EK42/(BM42*(AM42*195.084/1000+AN42*106.42/1000+AO42*102.911/1000)*60*7200)</f>
        <v>1353.5012370275449</v>
      </c>
      <c r="EN42">
        <f>EK42/(BN42*BA42*(AP42*195.084/1000+AQ42*106.42/1000+AR42*102.911/1000)*60*7200)</f>
        <v>2448.9893073373892</v>
      </c>
    </row>
    <row r="43" spans="1:144">
      <c r="A43">
        <f>'Costing 100 Lmin Feed Orig'!A43</f>
        <v>7</v>
      </c>
      <c r="B43">
        <f>'Costing 100 Lmin Feed Orig'!B43</f>
        <v>1.54143585092054E-3</v>
      </c>
      <c r="C43">
        <f>'Costing 100 Lmin Feed Orig'!C43</f>
        <v>1.54143585092054E-3</v>
      </c>
      <c r="D43">
        <f>'Costing 100 Lmin Feed Orig'!D43</f>
        <v>3.4254130020456501E-4</v>
      </c>
      <c r="E43">
        <f>'Costing 100 Lmin Feed Orig'!E43</f>
        <v>0</v>
      </c>
      <c r="F43">
        <f>'Costing 100 Lmin Feed Orig'!F43</f>
        <v>0</v>
      </c>
      <c r="G43">
        <f>'Costing 100 Lmin Feed Orig'!G43</f>
        <v>0</v>
      </c>
      <c r="H43">
        <f>'Costing 100 Lmin Feed Orig'!H43</f>
        <v>1.7744466230058299E-5</v>
      </c>
      <c r="I43">
        <f>'Costing 100 Lmin Feed Orig'!I43</f>
        <v>1.2927742824924801E-8</v>
      </c>
      <c r="J43">
        <f>'Costing 100 Lmin Feed Orig'!J43</f>
        <v>3.3739048286900598E-4</v>
      </c>
      <c r="K43">
        <f>'Costing 100 Lmin Feed Orig'!K43</f>
        <v>0.13716795306346499</v>
      </c>
      <c r="L43">
        <f>'Costing 100 Lmin Feed Orig'!L43</f>
        <v>0.138764207307677</v>
      </c>
      <c r="M43">
        <f>'Costing 100 Lmin Feed Orig'!M43</f>
        <v>4.6369433969460899E-4</v>
      </c>
      <c r="N43">
        <f>'Costing 100 Lmin Feed Orig'!N43</f>
        <v>-1.1037178115902399E-16</v>
      </c>
      <c r="O43">
        <f>'Costing 100 Lmin Feed Orig'!O43</f>
        <v>-5.3700533603207003E-15</v>
      </c>
      <c r="P43">
        <f>'Costing 100 Lmin Feed Orig'!P43</f>
        <v>-3.4304834363799101E-19</v>
      </c>
      <c r="Q43">
        <f>'Costing 100 Lmin Feed Orig'!Q43</f>
        <v>0.111082169753281</v>
      </c>
      <c r="R43">
        <f>'Costing 100 Lmin Feed Orig'!R43</f>
        <v>98.496293050653193</v>
      </c>
      <c r="S43">
        <f>'Costing 100 Lmin Feed Orig'!S43</f>
        <v>500</v>
      </c>
      <c r="T43">
        <f>'Costing 100 Lmin Feed Orig'!T43</f>
        <v>95</v>
      </c>
      <c r="U43">
        <f>'Costing 100 Lmin Feed Orig'!U43</f>
        <v>1</v>
      </c>
      <c r="V43">
        <f>'Costing 100 Lmin Feed Orig'!V43</f>
        <v>0.1</v>
      </c>
      <c r="W43">
        <f>'Costing 100 Lmin Feed Orig'!W43</f>
        <v>90.023448607553206</v>
      </c>
      <c r="X43" t="str">
        <f>'Costing 100 Lmin Feed Orig'!X43</f>
        <v>ddFc</v>
      </c>
      <c r="Y43">
        <f>'Costing 100 Lmin Feed Orig'!Y43</f>
        <v>1</v>
      </c>
      <c r="Z43">
        <f>'Costing 100 Lmin Feed Orig'!Z43</f>
        <v>0.28318429382522198</v>
      </c>
      <c r="AA43">
        <f>'Costing 100 Lmin Feed Orig'!AA43</f>
        <v>0.56945642916197003</v>
      </c>
      <c r="AB43">
        <f>'Costing 100 Lmin Feed Orig'!AB43</f>
        <v>3.7698628972227502E-3</v>
      </c>
      <c r="AC43">
        <f>'Costing 100 Lmin Feed Orig'!AC43</f>
        <v>1822.2107908876901</v>
      </c>
      <c r="AD43">
        <f>'Costing 100 Lmin Feed Orig'!AD43</f>
        <v>2662.6059073104898</v>
      </c>
      <c r="AE43">
        <f>'Costing 100 Lmin Feed Orig'!AE43</f>
        <v>2401.5030938442701</v>
      </c>
      <c r="AF43">
        <f>'Costing 100 Lmin Feed Orig'!AF43</f>
        <v>5</v>
      </c>
      <c r="AG43">
        <f>'Costing 100 Lmin Feed Orig'!AG43</f>
        <v>1.64967327652189E-3</v>
      </c>
      <c r="AH43">
        <f>'Costing 100 Lmin Feed Orig'!AH43</f>
        <v>1.66887089455438E-3</v>
      </c>
      <c r="AI43">
        <f>'Costing 100 Lmin Feed Orig'!AI43</f>
        <v>5.5766973522943398E-6</v>
      </c>
      <c r="AJ43">
        <f>'Costing 100 Lmin Feed Orig'!AJ43</f>
        <v>0</v>
      </c>
      <c r="AK43">
        <f>'Costing 100 Lmin Feed Orig'!AK43</f>
        <v>0</v>
      </c>
      <c r="AL43">
        <f>'Costing 100 Lmin Feed Orig'!AL43</f>
        <v>0</v>
      </c>
      <c r="AM43">
        <f>'Costing 100 Lmin Feed Orig'!AM43</f>
        <v>1.6103462731678301E-3</v>
      </c>
      <c r="AN43">
        <f>'Costing 100 Lmin Feed Orig'!AN43</f>
        <v>7.9217310821158102E-5</v>
      </c>
      <c r="AO43">
        <f>'Costing 100 Lmin Feed Orig'!AO43</f>
        <v>5.5377562230767902E-6</v>
      </c>
      <c r="AP43">
        <f>'Costing 100 Lmin Feed Orig'!AP43</f>
        <v>1.8120934755895301E-3</v>
      </c>
      <c r="AQ43">
        <f>'Costing 100 Lmin Feed Orig'!AQ43</f>
        <v>7.3247403612026599E-2</v>
      </c>
      <c r="AR43">
        <f>'Costing 100 Lmin Feed Orig'!AR43</f>
        <v>1.7943133259324499E-6</v>
      </c>
      <c r="AS43">
        <f>'Costing 100 Lmin Feed Orig'!AS43</f>
        <v>-4.8687453808177097E-17</v>
      </c>
      <c r="AT43">
        <f>'Costing 100 Lmin Feed Orig'!AT43</f>
        <v>1.6631661325927601E-16</v>
      </c>
      <c r="AU43">
        <f>'Costing 100 Lmin Feed Orig'!AU43</f>
        <v>-3.9301005263619403E-20</v>
      </c>
      <c r="AV43">
        <f>'Costing 100 Lmin Feed Orig'!AV43</f>
        <v>0.200451509597636</v>
      </c>
      <c r="AW43">
        <f>'Costing 100 Lmin Feed Orig'!AW43</f>
        <v>99.301717006365394</v>
      </c>
      <c r="AX43">
        <f>'Costing 100 Lmin Feed Orig'!AX43</f>
        <v>500</v>
      </c>
      <c r="AY43">
        <f>'Costing 100 Lmin Feed Orig'!AY43</f>
        <v>95</v>
      </c>
      <c r="AZ43">
        <f>'Costing 100 Lmin Feed Orig'!AZ43</f>
        <v>0.92363221637625403</v>
      </c>
      <c r="BA43">
        <f>'Costing 100 Lmin Feed Orig'!BA43</f>
        <v>0.1</v>
      </c>
      <c r="BB43">
        <f>'Costing 100 Lmin Feed Orig'!BB43</f>
        <v>46.0775884517032</v>
      </c>
      <c r="BC43" t="str">
        <f>'Costing 100 Lmin Feed Orig'!BC43</f>
        <v>coeFc</v>
      </c>
      <c r="BD43">
        <f>'Costing 100 Lmin Feed Orig'!BD43</f>
        <v>1</v>
      </c>
      <c r="BE43">
        <f>'Costing 100 Lmin Feed Orig'!BE43</f>
        <v>1.8775014999999999E-2</v>
      </c>
      <c r="BF43">
        <f>'Costing 100 Lmin Feed Orig'!BF43</f>
        <v>0.10492961100000001</v>
      </c>
      <c r="BG43">
        <f>'Costing 100 Lmin Feed Orig'!BG43</f>
        <v>1.814625E-3</v>
      </c>
      <c r="BH43">
        <f>'Costing 100 Lmin Feed Orig'!BH43</f>
        <v>285.1951444</v>
      </c>
      <c r="BI43">
        <f>'Costing 100 Lmin Feed Orig'!BI43</f>
        <v>2169.8944889999998</v>
      </c>
      <c r="BJ43">
        <f>'Costing 100 Lmin Feed Orig'!BJ43</f>
        <v>866.49409060000005</v>
      </c>
      <c r="BK43">
        <f>'Costing 100 Lmin Feed Orig'!BK43</f>
        <v>100</v>
      </c>
      <c r="BL43">
        <f>'Costing 100 Lmin Feed Orig'!BL43</f>
        <v>11.1082169753281</v>
      </c>
      <c r="BM43">
        <f>'Costing 100 Lmin Feed Orig'!BM43</f>
        <v>92.363221637625401</v>
      </c>
      <c r="BN43">
        <f>'Costing 100 Lmin Feed Orig'!BN43</f>
        <v>20.0451509597636</v>
      </c>
      <c r="BO43">
        <f t="shared" si="1"/>
        <v>199.94790555590581</v>
      </c>
      <c r="BP43">
        <f t="shared" si="2"/>
        <v>280.63211343669042</v>
      </c>
      <c r="BQ43">
        <f t="shared" si="3"/>
        <v>19.994790555590583</v>
      </c>
      <c r="BR43">
        <f t="shared" si="4"/>
        <v>28.063211343669042</v>
      </c>
      <c r="BS43">
        <f>1.2*0.5*BL43*V43/'Oxidant Feed Composition'!$N$22</f>
        <v>6.6649301851968596</v>
      </c>
      <c r="BT43">
        <f>1.2*0.5*BN43*BA43/'Oxidant Feed Composition'!$N$22</f>
        <v>12.027090575858159</v>
      </c>
      <c r="BU43">
        <f t="shared" si="5"/>
        <v>5.5541084876640499</v>
      </c>
      <c r="BV43">
        <f t="shared" si="6"/>
        <v>10.0225754798818</v>
      </c>
      <c r="BW43">
        <f t="shared" si="7"/>
        <v>86.809113149961348</v>
      </c>
      <c r="BX43">
        <f t="shared" si="0"/>
        <v>35.54629432104992</v>
      </c>
      <c r="BY43">
        <f t="shared" si="8"/>
        <v>206.94287722590701</v>
      </c>
      <c r="BZ43">
        <f t="shared" si="9"/>
        <v>64.144483071243513</v>
      </c>
      <c r="CA43">
        <f t="shared" si="10"/>
        <v>60.135452879290796</v>
      </c>
      <c r="CB43">
        <f>BO43*'Reagent cost'!$G$11*'Reagent cost'!$H$11</f>
        <v>2639.3123533379567</v>
      </c>
      <c r="CC43">
        <f>BP43*'Reagent cost'!$G$11*'Reagent cost'!$H$11</f>
        <v>3704.3438973643133</v>
      </c>
      <c r="CD43">
        <f>BQ43*'Reagent cost'!$C$18/1000*'Reagent cost'!$H$18</f>
        <v>3188.7782491883527</v>
      </c>
      <c r="CE43">
        <f>BR43*'Ligand cost'!$B$56*'Ligand cost'!$J$56</f>
        <v>28571.933716163727</v>
      </c>
      <c r="CF43">
        <f t="shared" si="11"/>
        <v>10</v>
      </c>
      <c r="CG43">
        <f t="shared" si="12"/>
        <v>2.22164339506562</v>
      </c>
      <c r="CH43">
        <f t="shared" si="12"/>
        <v>4.0090301919527205</v>
      </c>
      <c r="CI43">
        <f>7963.6*(BX43/1000)^0.6*1.7*('CAPEX+OPEX'!$G$116/'CAPEX+OPEX'!$G$115)</f>
        <v>2156.3414312027717</v>
      </c>
      <c r="CJ43">
        <f>7963.6*(BY43/1000)^0.6*1.7*('CAPEX+OPEX'!$G$116/'CAPEX+OPEX'!$G$115)</f>
        <v>6205.1347590783025</v>
      </c>
      <c r="CK43">
        <f>7963.6*(BZ43/1000)^0.6*1.7*('CAPEX+OPEX'!$G$116/'CAPEX+OPEX'!$G$115)</f>
        <v>3072.8157035530007</v>
      </c>
      <c r="CL43">
        <f>7963.6*(CA43/1000)^0.6*1.7*('CAPEX+OPEX'!$G$116/'CAPEX+OPEX'!$G$115)</f>
        <v>2956.1010755585025</v>
      </c>
      <c r="CM43">
        <f>'Costing 100 Lmin Feed Orig'!DE43</f>
        <v>39625.826528698344</v>
      </c>
      <c r="CN43">
        <f>'Costing 100 Lmin Feed Orig'!DF43</f>
        <v>4586243.4239371875</v>
      </c>
      <c r="CO43">
        <f>'Costing 100 Lmin Feed Orig'!DG43</f>
        <v>11794834.586807497</v>
      </c>
      <c r="CP43">
        <f>'Costing 100 Lmin Feed Orig'!DH43</f>
        <v>2275209.1661185985</v>
      </c>
      <c r="CQ43">
        <f>'Costing 100 Lmin Feed Orig'!DI43</f>
        <v>14083914.336508472</v>
      </c>
      <c r="CR43">
        <f>'Costing 100 Lmin Feed Orig'!DJ43</f>
        <v>1662824.8986326549</v>
      </c>
      <c r="CS43">
        <f>CN43*(BK43/10000)^0.72*((A43+1)/3)^0.6*('CAPEX+OPEX'!$G$116/'CAPEX+OPEX'!$G$114)</f>
        <v>700033.84449786716</v>
      </c>
      <c r="CT43">
        <f>CO43*(BK43/10000)^0.72*((A43+1)/3)^0.6*('CAPEX+OPEX'!$G$116/'CAPEX+OPEX'!$G$114)</f>
        <v>1800336.9288957189</v>
      </c>
      <c r="CU43">
        <f>CP43*(BK43/10000)^0.72*((A43+1)/3)^0.6*('CAPEX+OPEX'!$G$116/'CAPEX+OPEX'!$G$114)</f>
        <v>347282.79168127343</v>
      </c>
      <c r="CV43">
        <f>CQ43*(BK43/10000)^0.72*((A43+1)/3)^0.6*('CAPEX+OPEX'!$G$116/'CAPEX+OPEX'!$G$114)</f>
        <v>2149736.8951473436</v>
      </c>
      <c r="CW43">
        <f>CR43*(BK43/10000)^0.72*((A43+1)/3)^0.6*('CAPEX+OPEX'!$G$116/'CAPEX+OPEX'!$G$114)</f>
        <v>253809.83932102245</v>
      </c>
      <c r="CX43">
        <f t="shared" si="13"/>
        <v>5251200.2995432261</v>
      </c>
      <c r="CY43">
        <f>CN43*(BM43/10000)^0.72*((AF43+1)/3)^0.6*('CAPEX+OPEX'!$G$116/'CAPEX+OPEX'!$G$114)</f>
        <v>556307.77247071592</v>
      </c>
      <c r="CZ43">
        <f>CO43*(BM43/10000)^0.72*((AF43+1)/3)^0.6*('CAPEX+OPEX'!$G$116/'CAPEX+OPEX'!$G$114)</f>
        <v>1430704.293060503</v>
      </c>
      <c r="DA43">
        <f>CP43*(BM43/10000)^0.72*((AF43+1)/3)^0.6*('CAPEX+OPEX'!$G$116/'CAPEX+OPEX'!$G$114)</f>
        <v>275981.10830798495</v>
      </c>
      <c r="DB43">
        <f>CQ43*(BM43/10000)^0.72*((AF43+1)/3)^0.6*('CAPEX+OPEX'!$G$116/'CAPEX+OPEX'!$G$114)</f>
        <v>1708367.8924057726</v>
      </c>
      <c r="DC43">
        <f>CR43*(BM43/10000)^0.72*((AF43+1)/3)^0.6*('CAPEX+OPEX'!$G$116/'CAPEX+OPEX'!$G$114)</f>
        <v>201699.37132840801</v>
      </c>
      <c r="DD43">
        <f t="shared" si="14"/>
        <v>4173060.4375733845</v>
      </c>
      <c r="DE43">
        <f>CX43+DD43+1.15*(SUM(CI43:CL43)+SUM(CB43:CE43))</f>
        <v>9484629.7124798745</v>
      </c>
      <c r="DF43">
        <f t="shared" si="15"/>
        <v>632308.64749865828</v>
      </c>
      <c r="DG43">
        <f>(BS43+BT43)*'Oxidant Feed Composition'!$N$29*60*7200</f>
        <v>9324915.3135774136</v>
      </c>
      <c r="DH43">
        <f>((CG43+CH43)*'Reagent cost'!$C$17/1000*'Reagent cost'!$H$17+(CG43+CH43)*0.5*'Reagent cost'!$C$16/1000*'Reagent cost'!$H$16*0.5)*60*7200</f>
        <v>3156916.3213978354</v>
      </c>
      <c r="DI43">
        <f>CF43*'Reagent cost'!$C$17/1000*'Reagent cost'!$H$17*60*7200</f>
        <v>504921.59999999998</v>
      </c>
      <c r="DJ43">
        <f t="shared" si="16"/>
        <v>63.4365625070227</v>
      </c>
      <c r="DK43">
        <f t="shared" si="17"/>
        <v>635.21423930704157</v>
      </c>
      <c r="DL43">
        <f t="shared" si="18"/>
        <v>15584942.262932474</v>
      </c>
      <c r="DM43">
        <f>BK43*(B43*(409.81+2)/1000+C43*(248.2+2*22.99)/1000+D43*(315.6+3*22.99)/1000+0.1*58.44/1000)</f>
        <v>0.70639694042110623</v>
      </c>
      <c r="DN43">
        <f>(BS43+BT43)/1000*('Oxidant Feed Composition'!$B$11*'Oxidant Feed Composition'!$O$20+'Oxidant Feed Composition'!$D$11*'Oxidant Feed Composition'!$O$21+'Oxidant Feed Composition'!$F$11*'Oxidant Feed Composition'!$O$27-'Oxidant Feed Composition'!$J$15*18.015)</f>
        <v>2.1829390462502598</v>
      </c>
      <c r="DO43">
        <f>(BU43+BV43)/1000*(0.2*368.34+0.4*58.44)</f>
        <v>1.5116237189465194</v>
      </c>
      <c r="DP43">
        <f>BK43/1000*(B43*195.08+C43*106.42+D43*102.91)</f>
        <v>4.999938342565946E-2</v>
      </c>
      <c r="DQ43">
        <f>SUM(DM43:DO43)-DP43</f>
        <v>4.3509603221922255</v>
      </c>
      <c r="DR43">
        <f>DQ43*60*7200*0.33</f>
        <v>620272.90353172366</v>
      </c>
      <c r="DS43">
        <v>1.2</v>
      </c>
      <c r="DT43">
        <f>BM43/60*(AM43*4+AN43*2+AO43*3)*96485/DV43</f>
        <v>1403.8913606805047</v>
      </c>
      <c r="DU43">
        <f>BN43*BA43*(AP43*4+AQ43*2+AR43*3)*96485/DV43/60</f>
        <v>707.99617342896511</v>
      </c>
      <c r="DV43">
        <v>0.7</v>
      </c>
      <c r="DW43">
        <f>0.499*((BK43/3.78541*15)^(-0.146))*BK43/3.78541*15*300*(1+(A43-2)/9)</f>
        <v>38528.386667103026</v>
      </c>
      <c r="DX43">
        <f>0.248*((BK43/3.78541*15)^(-0.144))*BK43/3.78541*15*300*(1+(A43-2)/3)</f>
        <v>33220.879177835675</v>
      </c>
      <c r="DY43">
        <f>0.105*((BK43/3.78541*15)^(-0.144))*BK43/3.78541*15*300*(1+(A43-2)/3)</f>
        <v>14065.291587390104</v>
      </c>
      <c r="DZ43">
        <f>0.058*((BK43/3.78541*15)^(-0.151))*BK43/3.78541*15*300*(1+(A43-2)/3)</f>
        <v>7450.7773575794354</v>
      </c>
      <c r="EA43">
        <f>0.056*((BK43/3.78541*15)^(-0.144))*BK43/3.78541*15*300*(1+(A43-2)/3)</f>
        <v>7501.4888466080574</v>
      </c>
      <c r="EB43">
        <f>DS43*DT43/(3.6*10^6)*3600*7200*0.07</f>
        <v>849.07349493956929</v>
      </c>
      <c r="EC43">
        <f>0.499*((BM43/3.78541*15)^(-0.146))*BM43/3.78541*15*300*(1+(AF43-2)/9)</f>
        <v>30858.175330269896</v>
      </c>
      <c r="ED43">
        <f>0.248*((BM43/3.78541*15)^(-0.144))*BM43/3.78541*15*300*(1+(AF43-2)/3)</f>
        <v>23277.674519364831</v>
      </c>
      <c r="EE43">
        <f>0.105*((BM43/3.78541*15)^(-0.144))*BM43/3.78541*15*300*(1+(AF43-2)/3)</f>
        <v>9855.4670344084952</v>
      </c>
      <c r="EF43">
        <f>0.058*((BM43/3.78541*15)^(-0.151))*BM43/3.78541*15*300*(1+(AF43-2)/3)</f>
        <v>5223.6198344156373</v>
      </c>
      <c r="EG43">
        <f>0.056*((BM43/3.78541*15)^(-0.144))*BM43/3.78541*15*300*(1+(AF43-2)/3)</f>
        <v>5256.2490850178647</v>
      </c>
      <c r="EH43">
        <f>DS43*DU43/(3.6*10^6)*3600*7200*0.07</f>
        <v>428.19608568983807</v>
      </c>
      <c r="EI43">
        <f>SUM(DW43:EH43)</f>
        <v>176515.27902062246</v>
      </c>
      <c r="EJ43">
        <f>EI43+DR43+DL43</f>
        <v>16381730.445484821</v>
      </c>
      <c r="EK43">
        <f>EJ43+DF43</f>
        <v>17014039.092983481</v>
      </c>
      <c r="EL43">
        <f>EK43/(BK43*60*7200)</f>
        <v>0.39384349752276576</v>
      </c>
      <c r="EM43">
        <f>EK43/(BM43*(AM43*195.084/1000+AN43*106.42/1000+AO43*102.911/1000)*60*7200)</f>
        <v>1319.5213513187966</v>
      </c>
      <c r="EN43">
        <f>EK43/(BN43*BA43*(AP43*195.084/1000+AQ43*106.42/1000+AR43*102.911/1000)*60*7200)</f>
        <v>2411.164733705702</v>
      </c>
    </row>
    <row r="44" spans="1:144">
      <c r="A44">
        <f>'Costing 100 Lmin Feed Orig'!A44</f>
        <v>7</v>
      </c>
      <c r="B44">
        <f>'Costing 100 Lmin Feed Orig'!B44</f>
        <v>1.54143585092054E-3</v>
      </c>
      <c r="C44">
        <f>'Costing 100 Lmin Feed Orig'!C44</f>
        <v>1.54143585092054E-3</v>
      </c>
      <c r="D44">
        <f>'Costing 100 Lmin Feed Orig'!D44</f>
        <v>3.4254130020456501E-4</v>
      </c>
      <c r="E44">
        <f>'Costing 100 Lmin Feed Orig'!E44</f>
        <v>0</v>
      </c>
      <c r="F44">
        <f>'Costing 100 Lmin Feed Orig'!F44</f>
        <v>0</v>
      </c>
      <c r="G44">
        <f>'Costing 100 Lmin Feed Orig'!G44</f>
        <v>0</v>
      </c>
      <c r="H44">
        <f>'Costing 100 Lmin Feed Orig'!H44</f>
        <v>1.7744466230058299E-5</v>
      </c>
      <c r="I44">
        <f>'Costing 100 Lmin Feed Orig'!I44</f>
        <v>1.2927742824924801E-8</v>
      </c>
      <c r="J44">
        <f>'Costing 100 Lmin Feed Orig'!J44</f>
        <v>3.3739048286900598E-4</v>
      </c>
      <c r="K44">
        <f>'Costing 100 Lmin Feed Orig'!K44</f>
        <v>0.13716795306346499</v>
      </c>
      <c r="L44">
        <f>'Costing 100 Lmin Feed Orig'!L44</f>
        <v>0.138764207307677</v>
      </c>
      <c r="M44">
        <f>'Costing 100 Lmin Feed Orig'!M44</f>
        <v>4.6369433969460899E-4</v>
      </c>
      <c r="N44">
        <f>'Costing 100 Lmin Feed Orig'!N44</f>
        <v>-1.1037178115902399E-16</v>
      </c>
      <c r="O44">
        <f>'Costing 100 Lmin Feed Orig'!O44</f>
        <v>-5.3700533603207003E-15</v>
      </c>
      <c r="P44">
        <f>'Costing 100 Lmin Feed Orig'!P44</f>
        <v>-3.4304834363799101E-19</v>
      </c>
      <c r="Q44">
        <f>'Costing 100 Lmin Feed Orig'!Q44</f>
        <v>0.111082169753281</v>
      </c>
      <c r="R44">
        <f>'Costing 100 Lmin Feed Orig'!R44</f>
        <v>98.496293050653193</v>
      </c>
      <c r="S44">
        <f>'Costing 100 Lmin Feed Orig'!S44</f>
        <v>500</v>
      </c>
      <c r="T44">
        <f>'Costing 100 Lmin Feed Orig'!T44</f>
        <v>95</v>
      </c>
      <c r="U44">
        <f>'Costing 100 Lmin Feed Orig'!U44</f>
        <v>1</v>
      </c>
      <c r="V44">
        <f>'Costing 100 Lmin Feed Orig'!V44</f>
        <v>0.1</v>
      </c>
      <c r="W44">
        <f>'Costing 100 Lmin Feed Orig'!W44</f>
        <v>90.023448607553206</v>
      </c>
      <c r="X44" t="str">
        <f>'Costing 100 Lmin Feed Orig'!X44</f>
        <v>ddFc</v>
      </c>
      <c r="Y44">
        <f>'Costing 100 Lmin Feed Orig'!Y44</f>
        <v>1</v>
      </c>
      <c r="Z44">
        <f>'Costing 100 Lmin Feed Orig'!Z44</f>
        <v>0.28318429382522198</v>
      </c>
      <c r="AA44">
        <f>'Costing 100 Lmin Feed Orig'!AA44</f>
        <v>0.56945642916197003</v>
      </c>
      <c r="AB44">
        <f>'Costing 100 Lmin Feed Orig'!AB44</f>
        <v>3.7698628972227502E-3</v>
      </c>
      <c r="AC44">
        <f>'Costing 100 Lmin Feed Orig'!AC44</f>
        <v>1822.2107908876901</v>
      </c>
      <c r="AD44">
        <f>'Costing 100 Lmin Feed Orig'!AD44</f>
        <v>2662.6059073104898</v>
      </c>
      <c r="AE44">
        <f>'Costing 100 Lmin Feed Orig'!AE44</f>
        <v>2401.5030938442701</v>
      </c>
      <c r="AF44">
        <f>'Costing 100 Lmin Feed Orig'!AF44</f>
        <v>6</v>
      </c>
      <c r="AG44">
        <f>'Costing 100 Lmin Feed Orig'!AG44</f>
        <v>1.64967327652189E-3</v>
      </c>
      <c r="AH44">
        <f>'Costing 100 Lmin Feed Orig'!AH44</f>
        <v>1.66887089455438E-3</v>
      </c>
      <c r="AI44">
        <f>'Costing 100 Lmin Feed Orig'!AI44</f>
        <v>5.5766973522943398E-6</v>
      </c>
      <c r="AJ44">
        <f>'Costing 100 Lmin Feed Orig'!AJ44</f>
        <v>0</v>
      </c>
      <c r="AK44">
        <f>'Costing 100 Lmin Feed Orig'!AK44</f>
        <v>0</v>
      </c>
      <c r="AL44">
        <f>'Costing 100 Lmin Feed Orig'!AL44</f>
        <v>0</v>
      </c>
      <c r="AM44">
        <f>'Costing 100 Lmin Feed Orig'!AM44</f>
        <v>1.6120355192372701E-3</v>
      </c>
      <c r="AN44">
        <f>'Costing 100 Lmin Feed Orig'!AN44</f>
        <v>7.9304611498975396E-5</v>
      </c>
      <c r="AO44">
        <f>'Costing 100 Lmin Feed Orig'!AO44</f>
        <v>5.5393634244761098E-6</v>
      </c>
      <c r="AP44">
        <f>'Costing 100 Lmin Feed Orig'!AP44</f>
        <v>1.7562637605677701E-3</v>
      </c>
      <c r="AQ44">
        <f>'Costing 100 Lmin Feed Orig'!AQ44</f>
        <v>7.4172795069579203E-2</v>
      </c>
      <c r="AR44">
        <f>'Costing 100 Lmin Feed Orig'!AR44</f>
        <v>1.7420863833882601E-6</v>
      </c>
      <c r="AS44">
        <f>'Costing 100 Lmin Feed Orig'!AS44</f>
        <v>-2.1751806085490402E-18</v>
      </c>
      <c r="AT44">
        <f>'Costing 100 Lmin Feed Orig'!AT44</f>
        <v>-1.83013326715553E-16</v>
      </c>
      <c r="AU44">
        <f>'Costing 100 Lmin Feed Orig'!AU44</f>
        <v>-3.08372932359768E-21</v>
      </c>
      <c r="AV44">
        <f>'Costing 100 Lmin Feed Orig'!AV44</f>
        <v>0.197939773972164</v>
      </c>
      <c r="AW44">
        <f>'Costing 100 Lmin Feed Orig'!AW44</f>
        <v>99.330536956557793</v>
      </c>
      <c r="AX44">
        <f>'Costing 100 Lmin Feed Orig'!AX44</f>
        <v>500</v>
      </c>
      <c r="AY44">
        <f>'Costing 100 Lmin Feed Orig'!AY44</f>
        <v>95</v>
      </c>
      <c r="AZ44">
        <f>'Costing 100 Lmin Feed Orig'!AZ44</f>
        <v>0.92363221637625403</v>
      </c>
      <c r="BA44">
        <f>'Costing 100 Lmin Feed Orig'!BA44</f>
        <v>0.1</v>
      </c>
      <c r="BB44">
        <f>'Costing 100 Lmin Feed Orig'!BB44</f>
        <v>46.6622850901175</v>
      </c>
      <c r="BC44" t="str">
        <f>'Costing 100 Lmin Feed Orig'!BC44</f>
        <v>coeFc</v>
      </c>
      <c r="BD44">
        <f>'Costing 100 Lmin Feed Orig'!BD44</f>
        <v>1</v>
      </c>
      <c r="BE44">
        <f>'Costing 100 Lmin Feed Orig'!BE44</f>
        <v>1.8775014999999999E-2</v>
      </c>
      <c r="BF44">
        <f>'Costing 100 Lmin Feed Orig'!BF44</f>
        <v>0.10492961100000001</v>
      </c>
      <c r="BG44">
        <f>'Costing 100 Lmin Feed Orig'!BG44</f>
        <v>1.814625E-3</v>
      </c>
      <c r="BH44">
        <f>'Costing 100 Lmin Feed Orig'!BH44</f>
        <v>285.1951444</v>
      </c>
      <c r="BI44">
        <f>'Costing 100 Lmin Feed Orig'!BI44</f>
        <v>2169.8944889999998</v>
      </c>
      <c r="BJ44">
        <f>'Costing 100 Lmin Feed Orig'!BJ44</f>
        <v>866.49409060000005</v>
      </c>
      <c r="BK44">
        <f>'Costing 100 Lmin Feed Orig'!BK44</f>
        <v>100</v>
      </c>
      <c r="BL44">
        <f>'Costing 100 Lmin Feed Orig'!BL44</f>
        <v>11.1082169753281</v>
      </c>
      <c r="BM44">
        <f>'Costing 100 Lmin Feed Orig'!BM44</f>
        <v>92.363221637625401</v>
      </c>
      <c r="BN44">
        <f>'Costing 100 Lmin Feed Orig'!BN44</f>
        <v>19.793977397216402</v>
      </c>
      <c r="BO44">
        <f t="shared" si="1"/>
        <v>199.94790555590581</v>
      </c>
      <c r="BP44">
        <f t="shared" si="2"/>
        <v>316.70363835546243</v>
      </c>
      <c r="BQ44">
        <f t="shared" si="3"/>
        <v>19.994790555590583</v>
      </c>
      <c r="BR44">
        <f t="shared" si="4"/>
        <v>31.670363835546244</v>
      </c>
      <c r="BS44">
        <f>1.2*0.5*BL44*V44/'Oxidant Feed Composition'!$N$22</f>
        <v>6.6649301851968596</v>
      </c>
      <c r="BT44">
        <f>1.2*0.5*BN44*BA44/'Oxidant Feed Composition'!$N$22</f>
        <v>11.87638643832984</v>
      </c>
      <c r="BU44">
        <f t="shared" si="5"/>
        <v>5.5541084876640499</v>
      </c>
      <c r="BV44">
        <f t="shared" si="6"/>
        <v>9.896988698608201</v>
      </c>
      <c r="BW44">
        <f t="shared" si="7"/>
        <v>86.809113149961348</v>
      </c>
      <c r="BX44">
        <f t="shared" si="0"/>
        <v>35.54629432104992</v>
      </c>
      <c r="BY44">
        <f t="shared" si="8"/>
        <v>206.94287722590701</v>
      </c>
      <c r="BZ44">
        <f t="shared" si="9"/>
        <v>63.34072767109248</v>
      </c>
      <c r="CA44">
        <f t="shared" si="10"/>
        <v>59.381932191649206</v>
      </c>
      <c r="CB44">
        <f>BO44*'Reagent cost'!$G$11*'Reagent cost'!$H$11</f>
        <v>2639.3123533379567</v>
      </c>
      <c r="CC44">
        <f>BP44*'Reagent cost'!$G$11*'Reagent cost'!$H$11</f>
        <v>4180.4880262921042</v>
      </c>
      <c r="CD44">
        <f>BQ44*'Reagent cost'!$C$18/1000*'Reagent cost'!$H$18</f>
        <v>3188.7782491883527</v>
      </c>
      <c r="CE44">
        <f>BR44*'Ligand cost'!$B$56*'Ligand cost'!$J$56</f>
        <v>32244.475701465093</v>
      </c>
      <c r="CF44">
        <f t="shared" si="11"/>
        <v>10</v>
      </c>
      <c r="CG44">
        <f t="shared" si="12"/>
        <v>2.22164339506562</v>
      </c>
      <c r="CH44">
        <f t="shared" si="12"/>
        <v>3.9587954794432805</v>
      </c>
      <c r="CI44">
        <f>7963.6*(BX44/1000)^0.6*1.7*('CAPEX+OPEX'!$G$116/'CAPEX+OPEX'!$G$115)</f>
        <v>2156.3414312027717</v>
      </c>
      <c r="CJ44">
        <f>7963.6*(BY44/1000)^0.6*1.7*('CAPEX+OPEX'!$G$116/'CAPEX+OPEX'!$G$115)</f>
        <v>6205.1347590783025</v>
      </c>
      <c r="CK44">
        <f>7963.6*(BZ44/1000)^0.6*1.7*('CAPEX+OPEX'!$G$116/'CAPEX+OPEX'!$G$115)</f>
        <v>3049.6553188421171</v>
      </c>
      <c r="CL44">
        <f>7963.6*(CA44/1000)^0.6*1.7*('CAPEX+OPEX'!$G$116/'CAPEX+OPEX'!$G$115)</f>
        <v>2933.8203907536749</v>
      </c>
      <c r="CM44">
        <f>'Costing 100 Lmin Feed Orig'!DE44</f>
        <v>39625.826528698344</v>
      </c>
      <c r="CN44">
        <f>'Costing 100 Lmin Feed Orig'!DF44</f>
        <v>4586243.4239371875</v>
      </c>
      <c r="CO44">
        <f>'Costing 100 Lmin Feed Orig'!DG44</f>
        <v>11794834.586807497</v>
      </c>
      <c r="CP44">
        <f>'Costing 100 Lmin Feed Orig'!DH44</f>
        <v>2275209.1661185985</v>
      </c>
      <c r="CQ44">
        <f>'Costing 100 Lmin Feed Orig'!DI44</f>
        <v>14083914.336508472</v>
      </c>
      <c r="CR44">
        <f>'Costing 100 Lmin Feed Orig'!DJ44</f>
        <v>1662824.8986326549</v>
      </c>
      <c r="CS44">
        <f>CN44*(BK44/10000)^0.72*((A44+1)/3)^0.6*('CAPEX+OPEX'!$G$116/'CAPEX+OPEX'!$G$114)</f>
        <v>700033.84449786716</v>
      </c>
      <c r="CT44">
        <f>CO44*(BK44/10000)^0.72*((A44+1)/3)^0.6*('CAPEX+OPEX'!$G$116/'CAPEX+OPEX'!$G$114)</f>
        <v>1800336.9288957189</v>
      </c>
      <c r="CU44">
        <f>CP44*(BK44/10000)^0.72*((A44+1)/3)^0.6*('CAPEX+OPEX'!$G$116/'CAPEX+OPEX'!$G$114)</f>
        <v>347282.79168127343</v>
      </c>
      <c r="CV44">
        <f>CQ44*(BK44/10000)^0.72*((A44+1)/3)^0.6*('CAPEX+OPEX'!$G$116/'CAPEX+OPEX'!$G$114)</f>
        <v>2149736.8951473436</v>
      </c>
      <c r="CW44">
        <f>CR44*(BK44/10000)^0.72*((A44+1)/3)^0.6*('CAPEX+OPEX'!$G$116/'CAPEX+OPEX'!$G$114)</f>
        <v>253809.83932102245</v>
      </c>
      <c r="CX44">
        <f t="shared" si="13"/>
        <v>5251200.2995432261</v>
      </c>
      <c r="CY44">
        <f>CN44*(BM44/10000)^0.72*((AF44+1)/3)^0.6*('CAPEX+OPEX'!$G$116/'CAPEX+OPEX'!$G$114)</f>
        <v>610215.4530973233</v>
      </c>
      <c r="CZ44">
        <f>CO44*(BM44/10000)^0.72*((AF44+1)/3)^0.6*('CAPEX+OPEX'!$G$116/'CAPEX+OPEX'!$G$114)</f>
        <v>1569343.2873691465</v>
      </c>
      <c r="DA44">
        <f>CP44*(BM44/10000)^0.72*((AF44+1)/3)^0.6*('CAPEX+OPEX'!$G$116/'CAPEX+OPEX'!$G$114)</f>
        <v>302724.40074765182</v>
      </c>
      <c r="DB44">
        <f>CQ44*(BM44/10000)^0.72*((AF44+1)/3)^0.6*('CAPEX+OPEX'!$G$116/'CAPEX+OPEX'!$G$114)</f>
        <v>1873913.2169435648</v>
      </c>
      <c r="DC44">
        <f>CR44*(BM44/10000)^0.72*((AF44+1)/3)^0.6*('CAPEX+OPEX'!$G$116/'CAPEX+OPEX'!$G$114)</f>
        <v>221244.56884356888</v>
      </c>
      <c r="DD44">
        <f t="shared" si="14"/>
        <v>4577440.9270012556</v>
      </c>
      <c r="DE44">
        <f>CX44+DD44+1.15*(SUM(CI44:CL44)+SUM(CB44:CE44))</f>
        <v>9893728.9337091651</v>
      </c>
      <c r="DF44">
        <f t="shared" si="15"/>
        <v>659581.92891394428</v>
      </c>
      <c r="DG44">
        <f>(BS44+BT44)*'Oxidant Feed Composition'!$N$29*60*7200</f>
        <v>9249733.3234747052</v>
      </c>
      <c r="DH44">
        <f>((CG44+CH44)*'Reagent cost'!$C$17/1000*'Reagent cost'!$H$17+(CG44+CH44)*0.5*'Reagent cost'!$C$16/1000*'Reagent cost'!$H$16*0.5)*60*7200</f>
        <v>3131463.7308220426</v>
      </c>
      <c r="DI44">
        <f>CF44*'Reagent cost'!$C$17/1000*'Reagent cost'!$H$17*60*7200</f>
        <v>504921.59999999998</v>
      </c>
      <c r="DJ44">
        <f t="shared" si="16"/>
        <v>68.198003796300611</v>
      </c>
      <c r="DK44">
        <f t="shared" si="17"/>
        <v>708.66507901306886</v>
      </c>
      <c r="DL44">
        <f t="shared" si="18"/>
        <v>15464274.620855466</v>
      </c>
      <c r="DM44">
        <f>BK44*(B44*(409.81+2)/1000+C44*(248.2+2*22.99)/1000+D44*(315.6+3*22.99)/1000+0.1*58.44/1000)</f>
        <v>0.70639694042110623</v>
      </c>
      <c r="DN44">
        <f>(BS44+BT44)/1000*('Oxidant Feed Composition'!$B$11*'Oxidant Feed Composition'!$O$20+'Oxidant Feed Composition'!$D$11*'Oxidant Feed Composition'!$O$21+'Oxidant Feed Composition'!$F$11*'Oxidant Feed Composition'!$O$27-'Oxidant Feed Composition'!$J$15*18.015)</f>
        <v>2.1653391328729188</v>
      </c>
      <c r="DO44">
        <f>(BU44+BV44)/1000*(0.2*368.34+0.4*58.44)</f>
        <v>1.4994362753446042</v>
      </c>
      <c r="DP44">
        <f>BK44/1000*(B44*195.08+C44*106.42+D44*102.91)</f>
        <v>4.999938342565946E-2</v>
      </c>
      <c r="DQ44">
        <f>SUM(DM44:DO44)-DP44</f>
        <v>4.3211729652129689</v>
      </c>
      <c r="DR44">
        <f>DQ44*60*7200*0.33</f>
        <v>616026.41792076093</v>
      </c>
      <c r="DS44">
        <v>1.2</v>
      </c>
      <c r="DT44">
        <f>BM44/60*(AM44*4+AN44*2+AO44*3)*96485/DV44</f>
        <v>1405.3631449818135</v>
      </c>
      <c r="DU44">
        <f>BN44*BA44*(AP44*4+AQ44*2+AR44*3)*96485/DV44/60</f>
        <v>706.52438912777689</v>
      </c>
      <c r="DV44">
        <v>0.7</v>
      </c>
      <c r="DW44">
        <f>0.499*((BK44/3.78541*15)^(-0.146))*BK44/3.78541*15*300*(1+(A44-2)/9)</f>
        <v>38528.386667103026</v>
      </c>
      <c r="DX44">
        <f>0.248*((BK44/3.78541*15)^(-0.144))*BK44/3.78541*15*300*(1+(A44-2)/3)</f>
        <v>33220.879177835675</v>
      </c>
      <c r="DY44">
        <f>0.105*((BK44/3.78541*15)^(-0.144))*BK44/3.78541*15*300*(1+(A44-2)/3)</f>
        <v>14065.291587390104</v>
      </c>
      <c r="DZ44">
        <f>0.058*((BK44/3.78541*15)^(-0.151))*BK44/3.78541*15*300*(1+(A44-2)/3)</f>
        <v>7450.7773575794354</v>
      </c>
      <c r="EA44">
        <f>0.056*((BK44/3.78541*15)^(-0.144))*BK44/3.78541*15*300*(1+(A44-2)/3)</f>
        <v>7501.4888466080574</v>
      </c>
      <c r="EB44">
        <f>DS44*DT44/(3.6*10^6)*3600*7200*0.07</f>
        <v>849.96363008500089</v>
      </c>
      <c r="EC44">
        <f>0.499*((BM44/3.78541*15)^(-0.146))*BM44/3.78541*15*300*(1+(AF44-2)/9)</f>
        <v>33429.689941125718</v>
      </c>
      <c r="ED44">
        <f>0.248*((BM44/3.78541*15)^(-0.144))*BM44/3.78541*15*300*(1+(AF44-2)/3)</f>
        <v>27157.286939258967</v>
      </c>
      <c r="EE44">
        <f>0.105*((BM44/3.78541*15)^(-0.144))*BM44/3.78541*15*300*(1+(AF44-2)/3)</f>
        <v>11498.044873476576</v>
      </c>
      <c r="EF44">
        <f>0.058*((BM44/3.78541*15)^(-0.151))*BM44/3.78541*15*300*(1+(AF44-2)/3)</f>
        <v>6094.2231401515764</v>
      </c>
      <c r="EG44">
        <f>0.056*((BM44/3.78541*15)^(-0.144))*BM44/3.78541*15*300*(1+(AF44-2)/3)</f>
        <v>6132.2905991875077</v>
      </c>
      <c r="EH44">
        <f>DS44*DU44/(3.6*10^6)*3600*7200*0.07</f>
        <v>427.30595054447951</v>
      </c>
      <c r="EI44">
        <f>SUM(DW44:EH44)</f>
        <v>186355.62871034618</v>
      </c>
      <c r="EJ44">
        <f>EI44+DR44+DL44</f>
        <v>16266656.667486573</v>
      </c>
      <c r="EK44">
        <f>EJ44+DF44</f>
        <v>16926238.596400518</v>
      </c>
      <c r="EL44">
        <f>EK44/(BK44*60*7200)</f>
        <v>0.39181107862038234</v>
      </c>
      <c r="EM44">
        <f>EK44/(BM44*(AM44*195.084/1000+AN44*106.42/1000+AO44*102.911/1000)*60*7200)</f>
        <v>1311.3363505455538</v>
      </c>
      <c r="EN44">
        <f>EK44/(BN44*BA44*(AP44*195.084/1000+AQ44*106.42/1000+AR44*102.911/1000)*60*7200)</f>
        <v>2403.3289612638309</v>
      </c>
    </row>
    <row r="45" spans="1:144">
      <c r="A45">
        <f>'Costing 100 Lmin Feed Orig'!A45</f>
        <v>7</v>
      </c>
      <c r="B45">
        <f>'Costing 100 Lmin Feed Orig'!B45</f>
        <v>1.54143585092054E-3</v>
      </c>
      <c r="C45">
        <f>'Costing 100 Lmin Feed Orig'!C45</f>
        <v>1.54143585092054E-3</v>
      </c>
      <c r="D45">
        <f>'Costing 100 Lmin Feed Orig'!D45</f>
        <v>3.4254130020456501E-4</v>
      </c>
      <c r="E45">
        <f>'Costing 100 Lmin Feed Orig'!E45</f>
        <v>0</v>
      </c>
      <c r="F45">
        <f>'Costing 100 Lmin Feed Orig'!F45</f>
        <v>0</v>
      </c>
      <c r="G45">
        <f>'Costing 100 Lmin Feed Orig'!G45</f>
        <v>0</v>
      </c>
      <c r="H45">
        <f>'Costing 100 Lmin Feed Orig'!H45</f>
        <v>1.7744466230058299E-5</v>
      </c>
      <c r="I45">
        <f>'Costing 100 Lmin Feed Orig'!I45</f>
        <v>1.2927742824924801E-8</v>
      </c>
      <c r="J45">
        <f>'Costing 100 Lmin Feed Orig'!J45</f>
        <v>3.3739048286900598E-4</v>
      </c>
      <c r="K45">
        <f>'Costing 100 Lmin Feed Orig'!K45</f>
        <v>0.13716795306346499</v>
      </c>
      <c r="L45">
        <f>'Costing 100 Lmin Feed Orig'!L45</f>
        <v>0.138764207307677</v>
      </c>
      <c r="M45">
        <f>'Costing 100 Lmin Feed Orig'!M45</f>
        <v>4.6369433969460899E-4</v>
      </c>
      <c r="N45">
        <f>'Costing 100 Lmin Feed Orig'!N45</f>
        <v>-1.1037178115902399E-16</v>
      </c>
      <c r="O45">
        <f>'Costing 100 Lmin Feed Orig'!O45</f>
        <v>-5.3700533603207003E-15</v>
      </c>
      <c r="P45">
        <f>'Costing 100 Lmin Feed Orig'!P45</f>
        <v>-3.4304834363799101E-19</v>
      </c>
      <c r="Q45">
        <f>'Costing 100 Lmin Feed Orig'!Q45</f>
        <v>0.111082169753281</v>
      </c>
      <c r="R45">
        <f>'Costing 100 Lmin Feed Orig'!R45</f>
        <v>98.496293050653193</v>
      </c>
      <c r="S45">
        <f>'Costing 100 Lmin Feed Orig'!S45</f>
        <v>500</v>
      </c>
      <c r="T45">
        <f>'Costing 100 Lmin Feed Orig'!T45</f>
        <v>95</v>
      </c>
      <c r="U45">
        <f>'Costing 100 Lmin Feed Orig'!U45</f>
        <v>1</v>
      </c>
      <c r="V45">
        <f>'Costing 100 Lmin Feed Orig'!V45</f>
        <v>0.1</v>
      </c>
      <c r="W45">
        <f>'Costing 100 Lmin Feed Orig'!W45</f>
        <v>90.023448607553206</v>
      </c>
      <c r="X45" t="str">
        <f>'Costing 100 Lmin Feed Orig'!X45</f>
        <v>ddFc</v>
      </c>
      <c r="Y45">
        <f>'Costing 100 Lmin Feed Orig'!Y45</f>
        <v>1</v>
      </c>
      <c r="Z45">
        <f>'Costing 100 Lmin Feed Orig'!Z45</f>
        <v>0.28318429382522198</v>
      </c>
      <c r="AA45">
        <f>'Costing 100 Lmin Feed Orig'!AA45</f>
        <v>0.56945642916197003</v>
      </c>
      <c r="AB45">
        <f>'Costing 100 Lmin Feed Orig'!AB45</f>
        <v>3.7698628972227502E-3</v>
      </c>
      <c r="AC45">
        <f>'Costing 100 Lmin Feed Orig'!AC45</f>
        <v>1822.2107908876901</v>
      </c>
      <c r="AD45">
        <f>'Costing 100 Lmin Feed Orig'!AD45</f>
        <v>2662.6059073104898</v>
      </c>
      <c r="AE45">
        <f>'Costing 100 Lmin Feed Orig'!AE45</f>
        <v>2401.5030938442701</v>
      </c>
      <c r="AF45">
        <f>'Costing 100 Lmin Feed Orig'!AF45</f>
        <v>7</v>
      </c>
      <c r="AG45">
        <f>'Costing 100 Lmin Feed Orig'!AG45</f>
        <v>1.64967327652189E-3</v>
      </c>
      <c r="AH45">
        <f>'Costing 100 Lmin Feed Orig'!AH45</f>
        <v>1.66887089455438E-3</v>
      </c>
      <c r="AI45">
        <f>'Costing 100 Lmin Feed Orig'!AI45</f>
        <v>5.5766973522943398E-6</v>
      </c>
      <c r="AJ45">
        <f>'Costing 100 Lmin Feed Orig'!AJ45</f>
        <v>0</v>
      </c>
      <c r="AK45">
        <f>'Costing 100 Lmin Feed Orig'!AK45</f>
        <v>0</v>
      </c>
      <c r="AL45">
        <f>'Costing 100 Lmin Feed Orig'!AL45</f>
        <v>0</v>
      </c>
      <c r="AM45">
        <f>'Costing 100 Lmin Feed Orig'!AM45</f>
        <v>1.6125268282720601E-3</v>
      </c>
      <c r="AN45">
        <f>'Costing 100 Lmin Feed Orig'!AN45</f>
        <v>7.9330002196474706E-5</v>
      </c>
      <c r="AO45">
        <f>'Costing 100 Lmin Feed Orig'!AO45</f>
        <v>5.5398308704750104E-6</v>
      </c>
      <c r="AP45">
        <f>'Costing 100 Lmin Feed Orig'!AP45</f>
        <v>1.7397589915908601E-3</v>
      </c>
      <c r="AQ45">
        <f>'Costing 100 Lmin Feed Orig'!AQ45</f>
        <v>7.4446365407150494E-2</v>
      </c>
      <c r="AR45">
        <f>'Costing 100 Lmin Feed Orig'!AR45</f>
        <v>1.7266467254719899E-6</v>
      </c>
      <c r="AS45">
        <f>'Costing 100 Lmin Feed Orig'!AS45</f>
        <v>-4.8721335126067302E-18</v>
      </c>
      <c r="AT45">
        <f>'Costing 100 Lmin Feed Orig'!AT45</f>
        <v>-2.21068822969794E-15</v>
      </c>
      <c r="AU45">
        <f>'Costing 100 Lmin Feed Orig'!AU45</f>
        <v>-5.2476338060364E-21</v>
      </c>
      <c r="AV45">
        <f>'Costing 100 Lmin Feed Orig'!AV45</f>
        <v>0.19720924848406601</v>
      </c>
      <c r="AW45">
        <f>'Costing 100 Lmin Feed Orig'!AW45</f>
        <v>99.338919086147698</v>
      </c>
      <c r="AX45">
        <f>'Costing 100 Lmin Feed Orig'!AX45</f>
        <v>500</v>
      </c>
      <c r="AY45">
        <f>'Costing 100 Lmin Feed Orig'!AY45</f>
        <v>95</v>
      </c>
      <c r="AZ45">
        <f>'Costing 100 Lmin Feed Orig'!AZ45</f>
        <v>0.92363221637625403</v>
      </c>
      <c r="BA45">
        <f>'Costing 100 Lmin Feed Orig'!BA45</f>
        <v>0.1</v>
      </c>
      <c r="BB45">
        <f>'Costing 100 Lmin Feed Orig'!BB45</f>
        <v>46.835136966250197</v>
      </c>
      <c r="BC45" t="str">
        <f>'Costing 100 Lmin Feed Orig'!BC45</f>
        <v>coeFc</v>
      </c>
      <c r="BD45">
        <f>'Costing 100 Lmin Feed Orig'!BD45</f>
        <v>1</v>
      </c>
      <c r="BE45">
        <f>'Costing 100 Lmin Feed Orig'!BE45</f>
        <v>1.8775014999999999E-2</v>
      </c>
      <c r="BF45">
        <f>'Costing 100 Lmin Feed Orig'!BF45</f>
        <v>0.10492961100000001</v>
      </c>
      <c r="BG45">
        <f>'Costing 100 Lmin Feed Orig'!BG45</f>
        <v>1.814625E-3</v>
      </c>
      <c r="BH45">
        <f>'Costing 100 Lmin Feed Orig'!BH45</f>
        <v>285.1951444</v>
      </c>
      <c r="BI45">
        <f>'Costing 100 Lmin Feed Orig'!BI45</f>
        <v>2169.8944889999998</v>
      </c>
      <c r="BJ45">
        <f>'Costing 100 Lmin Feed Orig'!BJ45</f>
        <v>866.49409060000005</v>
      </c>
      <c r="BK45">
        <f>'Costing 100 Lmin Feed Orig'!BK45</f>
        <v>100</v>
      </c>
      <c r="BL45">
        <f>'Costing 100 Lmin Feed Orig'!BL45</f>
        <v>11.1082169753281</v>
      </c>
      <c r="BM45">
        <f>'Costing 100 Lmin Feed Orig'!BM45</f>
        <v>92.363221637625401</v>
      </c>
      <c r="BN45">
        <f>'Costing 100 Lmin Feed Orig'!BN45</f>
        <v>19.7209248484066</v>
      </c>
      <c r="BO45">
        <f t="shared" si="1"/>
        <v>199.94790555590581</v>
      </c>
      <c r="BP45">
        <f t="shared" si="2"/>
        <v>354.97664727131883</v>
      </c>
      <c r="BQ45">
        <f t="shared" si="3"/>
        <v>19.994790555590583</v>
      </c>
      <c r="BR45">
        <f t="shared" si="4"/>
        <v>35.497664727131884</v>
      </c>
      <c r="BS45">
        <f>1.2*0.5*BL45*V45/'Oxidant Feed Composition'!$N$22</f>
        <v>6.6649301851968596</v>
      </c>
      <c r="BT45">
        <f>1.2*0.5*BN45*BA45/'Oxidant Feed Composition'!$N$22</f>
        <v>11.832554909043958</v>
      </c>
      <c r="BU45">
        <f t="shared" si="5"/>
        <v>5.5541084876640499</v>
      </c>
      <c r="BV45">
        <f t="shared" si="6"/>
        <v>9.8604624242033001</v>
      </c>
      <c r="BW45">
        <f t="shared" si="7"/>
        <v>86.809113149961348</v>
      </c>
      <c r="BX45">
        <f t="shared" si="0"/>
        <v>35.54629432104992</v>
      </c>
      <c r="BY45">
        <f t="shared" si="8"/>
        <v>206.94287722590701</v>
      </c>
      <c r="BZ45">
        <f t="shared" si="9"/>
        <v>63.106959514901121</v>
      </c>
      <c r="CA45">
        <f t="shared" si="10"/>
        <v>59.162774545219804</v>
      </c>
      <c r="CB45">
        <f>BO45*'Reagent cost'!$G$11*'Reagent cost'!$H$11</f>
        <v>2639.3123533379567</v>
      </c>
      <c r="CC45">
        <f>BP45*'Reagent cost'!$G$11*'Reagent cost'!$H$11</f>
        <v>4685.6917439814088</v>
      </c>
      <c r="CD45">
        <f>BQ45*'Reagent cost'!$C$18/1000*'Reagent cost'!$H$18</f>
        <v>3188.7782491883527</v>
      </c>
      <c r="CE45">
        <f>BR45*'Ligand cost'!$B$56*'Ligand cost'!$J$56</f>
        <v>36141.156877650901</v>
      </c>
      <c r="CF45">
        <f t="shared" si="11"/>
        <v>10</v>
      </c>
      <c r="CG45">
        <f t="shared" si="12"/>
        <v>2.22164339506562</v>
      </c>
      <c r="CH45">
        <f t="shared" si="12"/>
        <v>3.94418496968132</v>
      </c>
      <c r="CI45">
        <f>7963.6*(BX45/1000)^0.6*1.7*('CAPEX+OPEX'!$G$116/'CAPEX+OPEX'!$G$115)</f>
        <v>2156.3414312027717</v>
      </c>
      <c r="CJ45">
        <f>7963.6*(BY45/1000)^0.6*1.7*('CAPEX+OPEX'!$G$116/'CAPEX+OPEX'!$G$115)</f>
        <v>6205.1347590783025</v>
      </c>
      <c r="CK45">
        <f>7963.6*(BZ45/1000)^0.6*1.7*('CAPEX+OPEX'!$G$116/'CAPEX+OPEX'!$G$115)</f>
        <v>3042.8972080018357</v>
      </c>
      <c r="CL45">
        <f>7963.6*(CA45/1000)^0.6*1.7*('CAPEX+OPEX'!$G$116/'CAPEX+OPEX'!$G$115)</f>
        <v>2927.3189729496066</v>
      </c>
      <c r="CM45">
        <f>'Costing 100 Lmin Feed Orig'!DE45</f>
        <v>39625.826528698344</v>
      </c>
      <c r="CN45">
        <f>'Costing 100 Lmin Feed Orig'!DF45</f>
        <v>4586243.4239371875</v>
      </c>
      <c r="CO45">
        <f>'Costing 100 Lmin Feed Orig'!DG45</f>
        <v>11794834.586807497</v>
      </c>
      <c r="CP45">
        <f>'Costing 100 Lmin Feed Orig'!DH45</f>
        <v>2275209.1661185985</v>
      </c>
      <c r="CQ45">
        <f>'Costing 100 Lmin Feed Orig'!DI45</f>
        <v>14083914.336508472</v>
      </c>
      <c r="CR45">
        <f>'Costing 100 Lmin Feed Orig'!DJ45</f>
        <v>1662824.8986326549</v>
      </c>
      <c r="CS45">
        <f>CN45*(BK45/10000)^0.72*((A45+1)/3)^0.6*('CAPEX+OPEX'!$G$116/'CAPEX+OPEX'!$G$114)</f>
        <v>700033.84449786716</v>
      </c>
      <c r="CT45">
        <f>CO45*(BK45/10000)^0.72*((A45+1)/3)^0.6*('CAPEX+OPEX'!$G$116/'CAPEX+OPEX'!$G$114)</f>
        <v>1800336.9288957189</v>
      </c>
      <c r="CU45">
        <f>CP45*(BK45/10000)^0.72*((A45+1)/3)^0.6*('CAPEX+OPEX'!$G$116/'CAPEX+OPEX'!$G$114)</f>
        <v>347282.79168127343</v>
      </c>
      <c r="CV45">
        <f>CQ45*(BK45/10000)^0.72*((A45+1)/3)^0.6*('CAPEX+OPEX'!$G$116/'CAPEX+OPEX'!$G$114)</f>
        <v>2149736.8951473436</v>
      </c>
      <c r="CW45">
        <f>CR45*(BK45/10000)^0.72*((A45+1)/3)^0.6*('CAPEX+OPEX'!$G$116/'CAPEX+OPEX'!$G$114)</f>
        <v>253809.83932102245</v>
      </c>
      <c r="CX45">
        <f t="shared" si="13"/>
        <v>5251200.2995432261</v>
      </c>
      <c r="CY45">
        <f>CN45*(BM45/10000)^0.72*((AF45+1)/3)^0.6*('CAPEX+OPEX'!$G$116/'CAPEX+OPEX'!$G$114)</f>
        <v>661117.06839459355</v>
      </c>
      <c r="CZ45">
        <f>CO45*(BM45/10000)^0.72*((AF45+1)/3)^0.6*('CAPEX+OPEX'!$G$116/'CAPEX+OPEX'!$G$114)</f>
        <v>1700251.3262881106</v>
      </c>
      <c r="DA45">
        <f>CP45*(BM45/10000)^0.72*((AF45+1)/3)^0.6*('CAPEX+OPEX'!$G$116/'CAPEX+OPEX'!$G$114)</f>
        <v>327976.40134799713</v>
      </c>
      <c r="DB45">
        <f>CQ45*(BM45/10000)^0.72*((AF45+1)/3)^0.6*('CAPEX+OPEX'!$G$116/'CAPEX+OPEX'!$G$114)</f>
        <v>2030227.2027418208</v>
      </c>
      <c r="DC45">
        <f>CR45*(BM45/10000)^0.72*((AF45+1)/3)^0.6*('CAPEX+OPEX'!$G$116/'CAPEX+OPEX'!$G$114)</f>
        <v>239699.86340014514</v>
      </c>
      <c r="DD45">
        <f t="shared" si="14"/>
        <v>4959271.8621726679</v>
      </c>
      <c r="DE45">
        <f>CX45+DD45+1.15*(SUM(CI45:CL45)+SUM(CB45:CE45))</f>
        <v>10280606.788050596</v>
      </c>
      <c r="DF45">
        <f t="shared" si="15"/>
        <v>685373.78587003972</v>
      </c>
      <c r="DG45">
        <f>(BS45+BT45)*'Oxidant Feed Composition'!$N$29*60*7200</f>
        <v>9227867.0253424533</v>
      </c>
      <c r="DH45">
        <f>((CG45+CH45)*'Reagent cost'!$C$17/1000*'Reagent cost'!$H$17+(CG45+CH45)*0.5*'Reagent cost'!$C$16/1000*'Reagent cost'!$H$16*0.5)*60*7200</f>
        <v>3124060.9747496378</v>
      </c>
      <c r="DI45">
        <f>CF45*'Reagent cost'!$C$17/1000*'Reagent cost'!$H$17*60*7200</f>
        <v>504921.59999999998</v>
      </c>
      <c r="DJ45">
        <f t="shared" si="16"/>
        <v>73.250040973193663</v>
      </c>
      <c r="DK45">
        <f t="shared" si="17"/>
        <v>786.59870253678514</v>
      </c>
      <c r="DL45">
        <f t="shared" si="18"/>
        <v>15429251.33860272</v>
      </c>
      <c r="DM45">
        <f>BK45*(B45*(409.81+2)/1000+C45*(248.2+2*22.99)/1000+D45*(315.6+3*22.99)/1000+0.1*58.44/1000)</f>
        <v>0.70639694042110623</v>
      </c>
      <c r="DN45">
        <f>(BS45+BT45)/1000*('Oxidant Feed Composition'!$B$11*'Oxidant Feed Composition'!$O$20+'Oxidant Feed Composition'!$D$11*'Oxidant Feed Composition'!$O$21+'Oxidant Feed Composition'!$F$11*'Oxidant Feed Composition'!$O$27-'Oxidant Feed Composition'!$J$15*18.015)</f>
        <v>2.1602202878877703</v>
      </c>
      <c r="DO45">
        <f>(BU45+BV45)/1000*(0.2*368.34+0.4*58.44)</f>
        <v>1.4958916195712553</v>
      </c>
      <c r="DP45">
        <f>BK45/1000*(B45*195.08+C45*106.42+D45*102.91)</f>
        <v>4.999938342565946E-2</v>
      </c>
      <c r="DQ45">
        <f>SUM(DM45:DO45)-DP45</f>
        <v>4.3125094644544717</v>
      </c>
      <c r="DR45">
        <f>DQ45*60*7200*0.33</f>
        <v>614791.34925262944</v>
      </c>
      <c r="DS45">
        <v>1.2</v>
      </c>
      <c r="DT45">
        <f>BM45/60*(AM45*4+AN45*2+AO45*3)*96485/DV45</f>
        <v>1405.7912061949582</v>
      </c>
      <c r="DU45">
        <f>BN45*BA45*(AP45*4+AQ45*2+AR45*3)*96485/DV45/60</f>
        <v>706.09632791556498</v>
      </c>
      <c r="DV45">
        <v>0.7</v>
      </c>
      <c r="DW45">
        <f>0.499*((BK45/3.78541*15)^(-0.146))*BK45/3.78541*15*300*(1+(A45-2)/9)</f>
        <v>38528.386667103026</v>
      </c>
      <c r="DX45">
        <f>0.248*((BK45/3.78541*15)^(-0.144))*BK45/3.78541*15*300*(1+(A45-2)/3)</f>
        <v>33220.879177835675</v>
      </c>
      <c r="DY45">
        <f>0.105*((BK45/3.78541*15)^(-0.144))*BK45/3.78541*15*300*(1+(A45-2)/3)</f>
        <v>14065.291587390104</v>
      </c>
      <c r="DZ45">
        <f>0.058*((BK45/3.78541*15)^(-0.151))*BK45/3.78541*15*300*(1+(A45-2)/3)</f>
        <v>7450.7773575794354</v>
      </c>
      <c r="EA45">
        <f>0.056*((BK45/3.78541*15)^(-0.144))*BK45/3.78541*15*300*(1+(A45-2)/3)</f>
        <v>7501.4888466080574</v>
      </c>
      <c r="EB45">
        <f>DS45*DT45/(3.6*10^6)*3600*7200*0.07</f>
        <v>850.2225215067109</v>
      </c>
      <c r="EC45">
        <f>0.499*((BM45/3.78541*15)^(-0.146))*BM45/3.78541*15*300*(1+(AF45-2)/9)</f>
        <v>36001.204551981551</v>
      </c>
      <c r="ED45">
        <f>0.248*((BM45/3.78541*15)^(-0.144))*BM45/3.78541*15*300*(1+(AF45-2)/3)</f>
        <v>31036.899359153111</v>
      </c>
      <c r="EE45">
        <f>0.105*((BM45/3.78541*15)^(-0.144))*BM45/3.78541*15*300*(1+(AF45-2)/3)</f>
        <v>13140.622712544662</v>
      </c>
      <c r="EF45">
        <f>0.058*((BM45/3.78541*15)^(-0.151))*BM45/3.78541*15*300*(1+(AF45-2)/3)</f>
        <v>6964.8264458875174</v>
      </c>
      <c r="EG45">
        <f>0.056*((BM45/3.78541*15)^(-0.144))*BM45/3.78541*15*300*(1+(AF45-2)/3)</f>
        <v>7008.3321133571535</v>
      </c>
      <c r="EH45">
        <f>DS45*DU45/(3.6*10^6)*3600*7200*0.07</f>
        <v>427.04705912333372</v>
      </c>
      <c r="EI45">
        <f>SUM(DW45:EH45)</f>
        <v>196195.97840007034</v>
      </c>
      <c r="EJ45">
        <f>EI45+DR45+DL45</f>
        <v>16240238.66625542</v>
      </c>
      <c r="EK45">
        <f>EJ45+DF45</f>
        <v>16925612.45212546</v>
      </c>
      <c r="EL45">
        <f>EK45/(BK45*60*7200)</f>
        <v>0.39179658453994121</v>
      </c>
      <c r="EM45">
        <f>EK45/(BM45*(AM45*195.084/1000+AN45*106.42/1000+AO45*102.911/1000)*60*7200)</f>
        <v>1310.8882969232459</v>
      </c>
      <c r="EN45">
        <f>EK45/(BN45*BA45*(AP45*195.084/1000+AQ45*106.42/1000+AR45*102.911/1000)*60*7200)</f>
        <v>2404.583247277445</v>
      </c>
    </row>
    <row r="46" spans="1:144">
      <c r="A46">
        <f>'Costing 100 Lmin Feed Orig'!A46</f>
        <v>7</v>
      </c>
      <c r="B46">
        <f>'Costing 100 Lmin Feed Orig'!B46</f>
        <v>1.54143585092054E-3</v>
      </c>
      <c r="C46">
        <f>'Costing 100 Lmin Feed Orig'!C46</f>
        <v>1.54143585092054E-3</v>
      </c>
      <c r="D46">
        <f>'Costing 100 Lmin Feed Orig'!D46</f>
        <v>3.4254130020456501E-4</v>
      </c>
      <c r="E46">
        <f>'Costing 100 Lmin Feed Orig'!E46</f>
        <v>0</v>
      </c>
      <c r="F46">
        <f>'Costing 100 Lmin Feed Orig'!F46</f>
        <v>0</v>
      </c>
      <c r="G46">
        <f>'Costing 100 Lmin Feed Orig'!G46</f>
        <v>0</v>
      </c>
      <c r="H46">
        <f>'Costing 100 Lmin Feed Orig'!H46</f>
        <v>1.7744466230058299E-5</v>
      </c>
      <c r="I46">
        <f>'Costing 100 Lmin Feed Orig'!I46</f>
        <v>1.2927742824924801E-8</v>
      </c>
      <c r="J46">
        <f>'Costing 100 Lmin Feed Orig'!J46</f>
        <v>3.3739048286900598E-4</v>
      </c>
      <c r="K46">
        <f>'Costing 100 Lmin Feed Orig'!K46</f>
        <v>0.13716795306346499</v>
      </c>
      <c r="L46">
        <f>'Costing 100 Lmin Feed Orig'!L46</f>
        <v>0.138764207307677</v>
      </c>
      <c r="M46">
        <f>'Costing 100 Lmin Feed Orig'!M46</f>
        <v>4.6369433969460899E-4</v>
      </c>
      <c r="N46">
        <f>'Costing 100 Lmin Feed Orig'!N46</f>
        <v>-1.1037178115902399E-16</v>
      </c>
      <c r="O46">
        <f>'Costing 100 Lmin Feed Orig'!O46</f>
        <v>-5.3700533603207003E-15</v>
      </c>
      <c r="P46">
        <f>'Costing 100 Lmin Feed Orig'!P46</f>
        <v>-3.4304834363799101E-19</v>
      </c>
      <c r="Q46">
        <f>'Costing 100 Lmin Feed Orig'!Q46</f>
        <v>0.111082169753281</v>
      </c>
      <c r="R46">
        <f>'Costing 100 Lmin Feed Orig'!R46</f>
        <v>98.496293050653193</v>
      </c>
      <c r="S46">
        <f>'Costing 100 Lmin Feed Orig'!S46</f>
        <v>500</v>
      </c>
      <c r="T46">
        <f>'Costing 100 Lmin Feed Orig'!T46</f>
        <v>95</v>
      </c>
      <c r="U46">
        <f>'Costing 100 Lmin Feed Orig'!U46</f>
        <v>1</v>
      </c>
      <c r="V46">
        <f>'Costing 100 Lmin Feed Orig'!V46</f>
        <v>0.1</v>
      </c>
      <c r="W46">
        <f>'Costing 100 Lmin Feed Orig'!W46</f>
        <v>90.023448607553206</v>
      </c>
      <c r="X46" t="str">
        <f>'Costing 100 Lmin Feed Orig'!X46</f>
        <v>ddFc</v>
      </c>
      <c r="Y46">
        <f>'Costing 100 Lmin Feed Orig'!Y46</f>
        <v>1</v>
      </c>
      <c r="Z46">
        <f>'Costing 100 Lmin Feed Orig'!Z46</f>
        <v>0.28318429382522198</v>
      </c>
      <c r="AA46">
        <f>'Costing 100 Lmin Feed Orig'!AA46</f>
        <v>0.56945642916197003</v>
      </c>
      <c r="AB46">
        <f>'Costing 100 Lmin Feed Orig'!AB46</f>
        <v>3.7698628972227502E-3</v>
      </c>
      <c r="AC46">
        <f>'Costing 100 Lmin Feed Orig'!AC46</f>
        <v>1822.2107908876901</v>
      </c>
      <c r="AD46">
        <f>'Costing 100 Lmin Feed Orig'!AD46</f>
        <v>2662.6059073104898</v>
      </c>
      <c r="AE46">
        <f>'Costing 100 Lmin Feed Orig'!AE46</f>
        <v>2401.5030938442701</v>
      </c>
      <c r="AF46">
        <f>'Costing 100 Lmin Feed Orig'!AF46</f>
        <v>8</v>
      </c>
      <c r="AG46">
        <f>'Costing 100 Lmin Feed Orig'!AG46</f>
        <v>1.64967327652189E-3</v>
      </c>
      <c r="AH46">
        <f>'Costing 100 Lmin Feed Orig'!AH46</f>
        <v>1.66887089455438E-3</v>
      </c>
      <c r="AI46">
        <f>'Costing 100 Lmin Feed Orig'!AI46</f>
        <v>5.5766973522943398E-6</v>
      </c>
      <c r="AJ46">
        <f>'Costing 100 Lmin Feed Orig'!AJ46</f>
        <v>0</v>
      </c>
      <c r="AK46">
        <f>'Costing 100 Lmin Feed Orig'!AK46</f>
        <v>0</v>
      </c>
      <c r="AL46">
        <f>'Costing 100 Lmin Feed Orig'!AL46</f>
        <v>0</v>
      </c>
      <c r="AM46">
        <f>'Costing 100 Lmin Feed Orig'!AM46</f>
        <v>1.6126668855832699E-3</v>
      </c>
      <c r="AN46">
        <f>'Costing 100 Lmin Feed Orig'!AN46</f>
        <v>7.9337240379229206E-5</v>
      </c>
      <c r="AO46">
        <f>'Costing 100 Lmin Feed Orig'!AO46</f>
        <v>5.5399641251523699E-6</v>
      </c>
      <c r="AP46">
        <f>'Costing 100 Lmin Feed Orig'!AP46</f>
        <v>1.7350315599837401E-3</v>
      </c>
      <c r="AQ46">
        <f>'Costing 100 Lmin Feed Orig'!AQ46</f>
        <v>7.4524723667687906E-2</v>
      </c>
      <c r="AR46">
        <f>'Costing 100 Lmin Feed Orig'!AR46</f>
        <v>1.7222243722089301E-6</v>
      </c>
      <c r="AS46">
        <f>'Costing 100 Lmin Feed Orig'!AS46</f>
        <v>5.7278333009773403E-15</v>
      </c>
      <c r="AT46">
        <f>'Costing 100 Lmin Feed Orig'!AT46</f>
        <v>-1.34509916226155E-12</v>
      </c>
      <c r="AU46">
        <f>'Costing 100 Lmin Feed Orig'!AU46</f>
        <v>2.7085201977436299E-20</v>
      </c>
      <c r="AV46">
        <f>'Costing 100 Lmin Feed Orig'!AV46</f>
        <v>0.19700099793756001</v>
      </c>
      <c r="AW46">
        <f>'Costing 100 Lmin Feed Orig'!AW46</f>
        <v>99.341308577076504</v>
      </c>
      <c r="AX46">
        <f>'Costing 100 Lmin Feed Orig'!AX46</f>
        <v>500</v>
      </c>
      <c r="AY46">
        <f>'Costing 100 Lmin Feed Orig'!AY46</f>
        <v>95</v>
      </c>
      <c r="AZ46">
        <f>'Costing 100 Lmin Feed Orig'!AZ46</f>
        <v>0.92363221637625403</v>
      </c>
      <c r="BA46">
        <f>'Costing 100 Lmin Feed Orig'!BA46</f>
        <v>0.1</v>
      </c>
      <c r="BB46">
        <f>'Costing 100 Lmin Feed Orig'!BB46</f>
        <v>46.884646577729498</v>
      </c>
      <c r="BC46" t="str">
        <f>'Costing 100 Lmin Feed Orig'!BC46</f>
        <v>coeFc</v>
      </c>
      <c r="BD46">
        <f>'Costing 100 Lmin Feed Orig'!BD46</f>
        <v>1</v>
      </c>
      <c r="BE46">
        <f>'Costing 100 Lmin Feed Orig'!BE46</f>
        <v>1.8775014999999999E-2</v>
      </c>
      <c r="BF46">
        <f>'Costing 100 Lmin Feed Orig'!BF46</f>
        <v>0.10492961100000001</v>
      </c>
      <c r="BG46">
        <f>'Costing 100 Lmin Feed Orig'!BG46</f>
        <v>1.814625E-3</v>
      </c>
      <c r="BH46">
        <f>'Costing 100 Lmin Feed Orig'!BH46</f>
        <v>285.1951444</v>
      </c>
      <c r="BI46">
        <f>'Costing 100 Lmin Feed Orig'!BI46</f>
        <v>2169.8944889999998</v>
      </c>
      <c r="BJ46">
        <f>'Costing 100 Lmin Feed Orig'!BJ46</f>
        <v>866.49409060000005</v>
      </c>
      <c r="BK46">
        <f>'Costing 100 Lmin Feed Orig'!BK46</f>
        <v>100</v>
      </c>
      <c r="BL46">
        <f>'Costing 100 Lmin Feed Orig'!BL46</f>
        <v>11.1082169753281</v>
      </c>
      <c r="BM46">
        <f>'Costing 100 Lmin Feed Orig'!BM46</f>
        <v>92.363221637625401</v>
      </c>
      <c r="BN46">
        <f>'Costing 100 Lmin Feed Orig'!BN46</f>
        <v>19.700099793756003</v>
      </c>
      <c r="BO46">
        <f t="shared" si="1"/>
        <v>199.94790555590581</v>
      </c>
      <c r="BP46">
        <f t="shared" si="2"/>
        <v>394.00199587512009</v>
      </c>
      <c r="BQ46">
        <f t="shared" si="3"/>
        <v>19.994790555590583</v>
      </c>
      <c r="BR46">
        <f t="shared" si="4"/>
        <v>39.400199587512013</v>
      </c>
      <c r="BS46">
        <f>1.2*0.5*BL46*V46/'Oxidant Feed Composition'!$N$22</f>
        <v>6.6649301851968596</v>
      </c>
      <c r="BT46">
        <f>1.2*0.5*BN46*BA46/'Oxidant Feed Composition'!$N$22</f>
        <v>11.8200598762536</v>
      </c>
      <c r="BU46">
        <f t="shared" si="5"/>
        <v>5.5541084876640499</v>
      </c>
      <c r="BV46">
        <f t="shared" si="6"/>
        <v>9.8500498968780015</v>
      </c>
      <c r="BW46">
        <f t="shared" si="7"/>
        <v>86.809113149961348</v>
      </c>
      <c r="BX46">
        <f t="shared" si="0"/>
        <v>35.54629432104992</v>
      </c>
      <c r="BY46">
        <f t="shared" si="8"/>
        <v>206.94287722590701</v>
      </c>
      <c r="BZ46">
        <f t="shared" si="9"/>
        <v>63.040319340019209</v>
      </c>
      <c r="CA46">
        <f t="shared" si="10"/>
        <v>59.100299381268009</v>
      </c>
      <c r="CB46">
        <f>BO46*'Reagent cost'!$G$11*'Reagent cost'!$H$11</f>
        <v>2639.3123533379567</v>
      </c>
      <c r="CC46">
        <f>BP46*'Reagent cost'!$G$11*'Reagent cost'!$H$11</f>
        <v>5200.8263455515853</v>
      </c>
      <c r="CD46">
        <f>BQ46*'Reagent cost'!$C$18/1000*'Reagent cost'!$H$18</f>
        <v>3188.7782491883527</v>
      </c>
      <c r="CE46">
        <f>BR46*'Ligand cost'!$B$56*'Ligand cost'!$J$56</f>
        <v>40114.435843849977</v>
      </c>
      <c r="CF46">
        <f t="shared" si="11"/>
        <v>10</v>
      </c>
      <c r="CG46">
        <f t="shared" si="12"/>
        <v>2.22164339506562</v>
      </c>
      <c r="CH46">
        <f t="shared" si="12"/>
        <v>3.9400199587512006</v>
      </c>
      <c r="CI46">
        <f>7963.6*(BX46/1000)^0.6*1.7*('CAPEX+OPEX'!$G$116/'CAPEX+OPEX'!$G$115)</f>
        <v>2156.3414312027717</v>
      </c>
      <c r="CJ46">
        <f>7963.6*(BY46/1000)^0.6*1.7*('CAPEX+OPEX'!$G$116/'CAPEX+OPEX'!$G$115)</f>
        <v>6205.1347590783025</v>
      </c>
      <c r="CK46">
        <f>7963.6*(BZ46/1000)^0.6*1.7*('CAPEX+OPEX'!$G$116/'CAPEX+OPEX'!$G$115)</f>
        <v>3040.9688433532851</v>
      </c>
      <c r="CL46">
        <f>7963.6*(CA46/1000)^0.6*1.7*('CAPEX+OPEX'!$G$116/'CAPEX+OPEX'!$G$115)</f>
        <v>2925.4638532933714</v>
      </c>
      <c r="CM46">
        <f>'Costing 100 Lmin Feed Orig'!DE46</f>
        <v>39625.826528698344</v>
      </c>
      <c r="CN46">
        <f>'Costing 100 Lmin Feed Orig'!DF46</f>
        <v>4586243.4239371875</v>
      </c>
      <c r="CO46">
        <f>'Costing 100 Lmin Feed Orig'!DG46</f>
        <v>11794834.586807497</v>
      </c>
      <c r="CP46">
        <f>'Costing 100 Lmin Feed Orig'!DH46</f>
        <v>2275209.1661185985</v>
      </c>
      <c r="CQ46">
        <f>'Costing 100 Lmin Feed Orig'!DI46</f>
        <v>14083914.336508472</v>
      </c>
      <c r="CR46">
        <f>'Costing 100 Lmin Feed Orig'!DJ46</f>
        <v>1662824.8986326549</v>
      </c>
      <c r="CS46">
        <f>CN46*(BK46/10000)^0.72*((A46+1)/3)^0.6*('CAPEX+OPEX'!$G$116/'CAPEX+OPEX'!$G$114)</f>
        <v>700033.84449786716</v>
      </c>
      <c r="CT46">
        <f>CO46*(BK46/10000)^0.72*((A46+1)/3)^0.6*('CAPEX+OPEX'!$G$116/'CAPEX+OPEX'!$G$114)</f>
        <v>1800336.9288957189</v>
      </c>
      <c r="CU46">
        <f>CP46*(BK46/10000)^0.72*((A46+1)/3)^0.6*('CAPEX+OPEX'!$G$116/'CAPEX+OPEX'!$G$114)</f>
        <v>347282.79168127343</v>
      </c>
      <c r="CV46">
        <f>CQ46*(BK46/10000)^0.72*((A46+1)/3)^0.6*('CAPEX+OPEX'!$G$116/'CAPEX+OPEX'!$G$114)</f>
        <v>2149736.8951473436</v>
      </c>
      <c r="CW46">
        <f>CR46*(BK46/10000)^0.72*((A46+1)/3)^0.6*('CAPEX+OPEX'!$G$116/'CAPEX+OPEX'!$G$114)</f>
        <v>253809.83932102245</v>
      </c>
      <c r="CX46">
        <f t="shared" si="13"/>
        <v>5251200.2995432261</v>
      </c>
      <c r="CY46">
        <f>CN46*(BM46/10000)^0.72*((AF46+1)/3)^0.6*('CAPEX+OPEX'!$G$116/'CAPEX+OPEX'!$G$114)</f>
        <v>709528.56289770885</v>
      </c>
      <c r="CZ46">
        <f>CO46*(BM46/10000)^0.72*((AF46+1)/3)^0.6*('CAPEX+OPEX'!$G$116/'CAPEX+OPEX'!$G$114)</f>
        <v>1824755.3085198672</v>
      </c>
      <c r="DA46">
        <f>CP46*(BM46/10000)^0.72*((AF46+1)/3)^0.6*('CAPEX+OPEX'!$G$116/'CAPEX+OPEX'!$G$114)</f>
        <v>351993.06724586396</v>
      </c>
      <c r="DB46">
        <f>CQ46*(BM46/10000)^0.72*((AF46+1)/3)^0.6*('CAPEX+OPEX'!$G$116/'CAPEX+OPEX'!$G$114)</f>
        <v>2178894.2660567677</v>
      </c>
      <c r="DC46">
        <f>CR46*(BM46/10000)^0.72*((AF46+1)/3)^0.6*('CAPEX+OPEX'!$G$116/'CAPEX+OPEX'!$G$114)</f>
        <v>257252.31995307075</v>
      </c>
      <c r="DD46">
        <f t="shared" si="14"/>
        <v>5322423.5246732784</v>
      </c>
      <c r="DE46">
        <f>CX46+DD46+1.15*(SUM(CI46:CL46)+SUM(CB46:CE46))</f>
        <v>10648915.775147188</v>
      </c>
      <c r="DF46">
        <f t="shared" si="15"/>
        <v>709927.71834314591</v>
      </c>
      <c r="DG46">
        <f>(BS46+BT46)*'Oxidant Feed Composition'!$N$29*60*7200</f>
        <v>9221633.61034148</v>
      </c>
      <c r="DH46">
        <f>((CG46+CH46)*'Reagent cost'!$C$17/1000*'Reagent cost'!$H$17+(CG46+CH46)*0.5*'Reagent cost'!$C$16/1000*'Reagent cost'!$H$16*0.5)*60*7200</f>
        <v>3121950.6746672369</v>
      </c>
      <c r="DI46">
        <f>CF46*'Reagent cost'!$C$17/1000*'Reagent cost'!$H$17*60*7200</f>
        <v>504921.59999999998</v>
      </c>
      <c r="DJ46">
        <f t="shared" si="16"/>
        <v>78.401386988895425</v>
      </c>
      <c r="DK46">
        <f t="shared" si="17"/>
        <v>866.06428186076664</v>
      </c>
      <c r="DL46">
        <f t="shared" si="18"/>
        <v>15419340.42081308</v>
      </c>
      <c r="DM46">
        <f>BK46*(B46*(409.81+2)/1000+C46*(248.2+2*22.99)/1000+D46*(315.6+3*22.99)/1000+0.1*58.44/1000)</f>
        <v>0.70639694042110623</v>
      </c>
      <c r="DN46">
        <f>(BS46+BT46)/1000*('Oxidant Feed Composition'!$B$11*'Oxidant Feed Composition'!$O$20+'Oxidant Feed Composition'!$D$11*'Oxidant Feed Composition'!$O$21+'Oxidant Feed Composition'!$F$11*'Oxidant Feed Composition'!$O$27-'Oxidant Feed Composition'!$J$15*18.015)</f>
        <v>2.158761061231063</v>
      </c>
      <c r="DO46">
        <f>(BU46+BV46)/1000*(0.2*368.34+0.4*58.44)</f>
        <v>1.4948811462694986</v>
      </c>
      <c r="DP46">
        <f>BK46/1000*(B46*195.08+C46*106.42+D46*102.91)</f>
        <v>4.999938342565946E-2</v>
      </c>
      <c r="DQ46">
        <f>SUM(DM46:DO46)-DP46</f>
        <v>4.3100397644960085</v>
      </c>
      <c r="DR46">
        <f>DQ46*60*7200*0.33</f>
        <v>614439.26882655104</v>
      </c>
      <c r="DS46">
        <v>1.2</v>
      </c>
      <c r="DT46">
        <f>BM46/60*(AM46*4+AN46*2+AO46*3)*96485/DV46</f>
        <v>1405.9132334970786</v>
      </c>
      <c r="DU46">
        <f>BN46*BA46*(AP46*4+AQ46*2+AR46*3)*96485/DV46/60</f>
        <v>705.97430122516892</v>
      </c>
      <c r="DV46">
        <v>0.7</v>
      </c>
      <c r="DW46">
        <f>0.499*((BK46/3.78541*15)^(-0.146))*BK46/3.78541*15*300*(1+(A46-2)/9)</f>
        <v>38528.386667103026</v>
      </c>
      <c r="DX46">
        <f>0.248*((BK46/3.78541*15)^(-0.144))*BK46/3.78541*15*300*(1+(A46-2)/3)</f>
        <v>33220.879177835675</v>
      </c>
      <c r="DY46">
        <f>0.105*((BK46/3.78541*15)^(-0.144))*BK46/3.78541*15*300*(1+(A46-2)/3)</f>
        <v>14065.291587390104</v>
      </c>
      <c r="DZ46">
        <f>0.058*((BK46/3.78541*15)^(-0.151))*BK46/3.78541*15*300*(1+(A46-2)/3)</f>
        <v>7450.7773575794354</v>
      </c>
      <c r="EA46">
        <f>0.056*((BK46/3.78541*15)^(-0.144))*BK46/3.78541*15*300*(1+(A46-2)/3)</f>
        <v>7501.4888466080574</v>
      </c>
      <c r="EB46">
        <f>DS46*DT46/(3.6*10^6)*3600*7200*0.07</f>
        <v>850.29632361903327</v>
      </c>
      <c r="EC46">
        <f>0.499*((BM46/3.78541*15)^(-0.146))*BM46/3.78541*15*300*(1+(AF46-2)/9)</f>
        <v>38572.719162837369</v>
      </c>
      <c r="ED46">
        <f>0.248*((BM46/3.78541*15)^(-0.144))*BM46/3.78541*15*300*(1+(AF46-2)/3)</f>
        <v>34916.511779047243</v>
      </c>
      <c r="EE46">
        <f>0.105*((BM46/3.78541*15)^(-0.144))*BM46/3.78541*15*300*(1+(AF46-2)/3)</f>
        <v>14783.200551612743</v>
      </c>
      <c r="EF46">
        <f>0.058*((BM46/3.78541*15)^(-0.151))*BM46/3.78541*15*300*(1+(AF46-2)/3)</f>
        <v>7835.4297516234565</v>
      </c>
      <c r="EG46">
        <f>0.056*((BM46/3.78541*15)^(-0.144))*BM46/3.78541*15*300*(1+(AF46-2)/3)</f>
        <v>7884.3736275267966</v>
      </c>
      <c r="EH46">
        <f>DS46*DU46/(3.6*10^6)*3600*7200*0.07</f>
        <v>426.9732573809822</v>
      </c>
      <c r="EI46">
        <f>SUM(DW46:EH46)</f>
        <v>206036.32809016391</v>
      </c>
      <c r="EJ46">
        <f>EI46+DR46+DL46</f>
        <v>16239816.017729795</v>
      </c>
      <c r="EK46">
        <f>EJ46+DF46</f>
        <v>16949743.736072939</v>
      </c>
      <c r="EL46">
        <f>EK46/(BK46*60*7200)</f>
        <v>0.39235517907576245</v>
      </c>
      <c r="EM46">
        <f>EK46/(BM46*(AM46*195.084/1000+AN46*106.42/1000+AO46*102.911/1000)*60*7200)</f>
        <v>1312.6432486779165</v>
      </c>
      <c r="EN46">
        <f>EK46/(BN46*BA46*(AP46*195.084/1000+AQ46*106.42/1000+AR46*102.911/1000)*60*7200)</f>
        <v>2408.3952463374735</v>
      </c>
    </row>
    <row r="47" spans="1:144">
      <c r="A47">
        <f>'Costing 100 Lmin Feed Orig'!A47</f>
        <v>7</v>
      </c>
      <c r="B47">
        <f>'Costing 100 Lmin Feed Orig'!B47</f>
        <v>1.54143585092054E-3</v>
      </c>
      <c r="C47">
        <f>'Costing 100 Lmin Feed Orig'!C47</f>
        <v>1.54143585092054E-3</v>
      </c>
      <c r="D47">
        <f>'Costing 100 Lmin Feed Orig'!D47</f>
        <v>3.4254130020456501E-4</v>
      </c>
      <c r="E47">
        <f>'Costing 100 Lmin Feed Orig'!E47</f>
        <v>0</v>
      </c>
      <c r="F47">
        <f>'Costing 100 Lmin Feed Orig'!F47</f>
        <v>0</v>
      </c>
      <c r="G47">
        <f>'Costing 100 Lmin Feed Orig'!G47</f>
        <v>0</v>
      </c>
      <c r="H47">
        <f>'Costing 100 Lmin Feed Orig'!H47</f>
        <v>1.7744466230058299E-5</v>
      </c>
      <c r="I47">
        <f>'Costing 100 Lmin Feed Orig'!I47</f>
        <v>1.2927742824924801E-8</v>
      </c>
      <c r="J47">
        <f>'Costing 100 Lmin Feed Orig'!J47</f>
        <v>3.3739048286900598E-4</v>
      </c>
      <c r="K47">
        <f>'Costing 100 Lmin Feed Orig'!K47</f>
        <v>0.13716795306346499</v>
      </c>
      <c r="L47">
        <f>'Costing 100 Lmin Feed Orig'!L47</f>
        <v>0.138764207307677</v>
      </c>
      <c r="M47">
        <f>'Costing 100 Lmin Feed Orig'!M47</f>
        <v>4.6369433969460899E-4</v>
      </c>
      <c r="N47">
        <f>'Costing 100 Lmin Feed Orig'!N47</f>
        <v>-1.1037178115902399E-16</v>
      </c>
      <c r="O47">
        <f>'Costing 100 Lmin Feed Orig'!O47</f>
        <v>-5.3700533603207003E-15</v>
      </c>
      <c r="P47">
        <f>'Costing 100 Lmin Feed Orig'!P47</f>
        <v>-3.4304834363799101E-19</v>
      </c>
      <c r="Q47">
        <f>'Costing 100 Lmin Feed Orig'!Q47</f>
        <v>0.111082169753281</v>
      </c>
      <c r="R47">
        <f>'Costing 100 Lmin Feed Orig'!R47</f>
        <v>98.496293050653193</v>
      </c>
      <c r="S47">
        <f>'Costing 100 Lmin Feed Orig'!S47</f>
        <v>500</v>
      </c>
      <c r="T47">
        <f>'Costing 100 Lmin Feed Orig'!T47</f>
        <v>95</v>
      </c>
      <c r="U47">
        <f>'Costing 100 Lmin Feed Orig'!U47</f>
        <v>1</v>
      </c>
      <c r="V47">
        <f>'Costing 100 Lmin Feed Orig'!V47</f>
        <v>0.1</v>
      </c>
      <c r="W47">
        <f>'Costing 100 Lmin Feed Orig'!W47</f>
        <v>90.023448607553206</v>
      </c>
      <c r="X47" t="str">
        <f>'Costing 100 Lmin Feed Orig'!X47</f>
        <v>ddFc</v>
      </c>
      <c r="Y47">
        <f>'Costing 100 Lmin Feed Orig'!Y47</f>
        <v>1</v>
      </c>
      <c r="Z47">
        <f>'Costing 100 Lmin Feed Orig'!Z47</f>
        <v>0.28318429382522198</v>
      </c>
      <c r="AA47">
        <f>'Costing 100 Lmin Feed Orig'!AA47</f>
        <v>0.56945642916197003</v>
      </c>
      <c r="AB47">
        <f>'Costing 100 Lmin Feed Orig'!AB47</f>
        <v>3.7698628972227502E-3</v>
      </c>
      <c r="AC47">
        <f>'Costing 100 Lmin Feed Orig'!AC47</f>
        <v>1822.2107908876901</v>
      </c>
      <c r="AD47">
        <f>'Costing 100 Lmin Feed Orig'!AD47</f>
        <v>2662.6059073104898</v>
      </c>
      <c r="AE47">
        <f>'Costing 100 Lmin Feed Orig'!AE47</f>
        <v>2401.5030938442701</v>
      </c>
      <c r="AF47">
        <f>'Costing 100 Lmin Feed Orig'!AF47</f>
        <v>9</v>
      </c>
      <c r="AG47">
        <f>'Costing 100 Lmin Feed Orig'!AG47</f>
        <v>1.64967327652189E-3</v>
      </c>
      <c r="AH47">
        <f>'Costing 100 Lmin Feed Orig'!AH47</f>
        <v>1.66887089455438E-3</v>
      </c>
      <c r="AI47">
        <f>'Costing 100 Lmin Feed Orig'!AI47</f>
        <v>5.5766973522943398E-6</v>
      </c>
      <c r="AJ47">
        <f>'Costing 100 Lmin Feed Orig'!AJ47</f>
        <v>0</v>
      </c>
      <c r="AK47">
        <f>'Costing 100 Lmin Feed Orig'!AK47</f>
        <v>0</v>
      </c>
      <c r="AL47">
        <f>'Costing 100 Lmin Feed Orig'!AL47</f>
        <v>0</v>
      </c>
      <c r="AM47">
        <f>'Costing 100 Lmin Feed Orig'!AM47</f>
        <v>1.6127064588001699E-3</v>
      </c>
      <c r="AN47">
        <f>'Costing 100 Lmin Feed Orig'!AN47</f>
        <v>7.9339285496144799E-5</v>
      </c>
      <c r="AO47">
        <f>'Costing 100 Lmin Feed Orig'!AO47</f>
        <v>5.5400017762774897E-6</v>
      </c>
      <c r="AP47">
        <f>'Costing 100 Lmin Feed Orig'!AP47</f>
        <v>1.7336940135680801E-3</v>
      </c>
      <c r="AQ47">
        <f>'Costing 100 Lmin Feed Orig'!AQ47</f>
        <v>7.4546893805151004E-2</v>
      </c>
      <c r="AR47">
        <f>'Costing 100 Lmin Feed Orig'!AR47</f>
        <v>1.7209731425580199E-6</v>
      </c>
      <c r="AS47">
        <f>'Costing 100 Lmin Feed Orig'!AS47</f>
        <v>4.4438736544749601E-17</v>
      </c>
      <c r="AT47">
        <f>'Costing 100 Lmin Feed Orig'!AT47</f>
        <v>-5.7289242794133999E-15</v>
      </c>
      <c r="AU47">
        <f>'Costing 100 Lmin Feed Orig'!AU47</f>
        <v>-1.43598554339205E-21</v>
      </c>
      <c r="AV47">
        <f>'Costing 100 Lmin Feed Orig'!AV47</f>
        <v>0.19694215655956099</v>
      </c>
      <c r="AW47">
        <f>'Costing 100 Lmin Feed Orig'!AW47</f>
        <v>99.341983728025795</v>
      </c>
      <c r="AX47">
        <f>'Costing 100 Lmin Feed Orig'!AX47</f>
        <v>500</v>
      </c>
      <c r="AY47">
        <f>'Costing 100 Lmin Feed Orig'!AY47</f>
        <v>95</v>
      </c>
      <c r="AZ47">
        <f>'Costing 100 Lmin Feed Orig'!AZ47</f>
        <v>0.92363221637625403</v>
      </c>
      <c r="BA47">
        <f>'Costing 100 Lmin Feed Orig'!BA47</f>
        <v>0.1</v>
      </c>
      <c r="BB47">
        <f>'Costing 100 Lmin Feed Orig'!BB47</f>
        <v>46.898654534480997</v>
      </c>
      <c r="BC47" t="str">
        <f>'Costing 100 Lmin Feed Orig'!BC47</f>
        <v>coeFc</v>
      </c>
      <c r="BD47">
        <f>'Costing 100 Lmin Feed Orig'!BD47</f>
        <v>1</v>
      </c>
      <c r="BE47">
        <f>'Costing 100 Lmin Feed Orig'!BE47</f>
        <v>1.8775014999999999E-2</v>
      </c>
      <c r="BF47">
        <f>'Costing 100 Lmin Feed Orig'!BF47</f>
        <v>0.10492961100000001</v>
      </c>
      <c r="BG47">
        <f>'Costing 100 Lmin Feed Orig'!BG47</f>
        <v>1.814625E-3</v>
      </c>
      <c r="BH47">
        <f>'Costing 100 Lmin Feed Orig'!BH47</f>
        <v>285.1951444</v>
      </c>
      <c r="BI47">
        <f>'Costing 100 Lmin Feed Orig'!BI47</f>
        <v>2169.8944889999998</v>
      </c>
      <c r="BJ47">
        <f>'Costing 100 Lmin Feed Orig'!BJ47</f>
        <v>866.49409060000005</v>
      </c>
      <c r="BK47">
        <f>'Costing 100 Lmin Feed Orig'!BK47</f>
        <v>100</v>
      </c>
      <c r="BL47">
        <f>'Costing 100 Lmin Feed Orig'!BL47</f>
        <v>11.1082169753281</v>
      </c>
      <c r="BM47">
        <f>'Costing 100 Lmin Feed Orig'!BM47</f>
        <v>92.363221637625401</v>
      </c>
      <c r="BN47">
        <f>'Costing 100 Lmin Feed Orig'!BN47</f>
        <v>19.6942156559561</v>
      </c>
      <c r="BO47">
        <f t="shared" si="1"/>
        <v>199.94790555590581</v>
      </c>
      <c r="BP47">
        <f t="shared" si="2"/>
        <v>433.2727444310342</v>
      </c>
      <c r="BQ47">
        <f t="shared" si="3"/>
        <v>19.994790555590583</v>
      </c>
      <c r="BR47">
        <f t="shared" si="4"/>
        <v>43.32727444310342</v>
      </c>
      <c r="BS47">
        <f>1.2*0.5*BL47*V47/'Oxidant Feed Composition'!$N$22</f>
        <v>6.6649301851968596</v>
      </c>
      <c r="BT47">
        <f>1.2*0.5*BN47*BA47/'Oxidant Feed Composition'!$N$22</f>
        <v>11.81652939357366</v>
      </c>
      <c r="BU47">
        <f t="shared" si="5"/>
        <v>5.5541084876640499</v>
      </c>
      <c r="BV47">
        <f t="shared" si="6"/>
        <v>9.84710782797805</v>
      </c>
      <c r="BW47">
        <f t="shared" si="7"/>
        <v>86.809113149961348</v>
      </c>
      <c r="BX47">
        <f t="shared" si="0"/>
        <v>35.54629432104992</v>
      </c>
      <c r="BY47">
        <f t="shared" si="8"/>
        <v>206.94287722590701</v>
      </c>
      <c r="BZ47">
        <f t="shared" si="9"/>
        <v>63.02149009905952</v>
      </c>
      <c r="CA47">
        <f t="shared" si="10"/>
        <v>59.0826469678683</v>
      </c>
      <c r="CB47">
        <f>BO47*'Reagent cost'!$G$11*'Reagent cost'!$H$11</f>
        <v>2639.3123533379567</v>
      </c>
      <c r="CC47">
        <f>BP47*'Reagent cost'!$G$11*'Reagent cost'!$H$11</f>
        <v>5719.2002264896519</v>
      </c>
      <c r="CD47">
        <f>BQ47*'Reagent cost'!$C$18/1000*'Reagent cost'!$H$18</f>
        <v>3188.7782491883527</v>
      </c>
      <c r="CE47">
        <f>BR47*'Ligand cost'!$B$56*'Ligand cost'!$J$56</f>
        <v>44112.69965971521</v>
      </c>
      <c r="CF47">
        <f t="shared" si="11"/>
        <v>10</v>
      </c>
      <c r="CG47">
        <f t="shared" si="12"/>
        <v>2.22164339506562</v>
      </c>
      <c r="CH47">
        <f t="shared" si="12"/>
        <v>3.93884313119122</v>
      </c>
      <c r="CI47">
        <f>7963.6*(BX47/1000)^0.6*1.7*('CAPEX+OPEX'!$G$116/'CAPEX+OPEX'!$G$115)</f>
        <v>2156.3414312027717</v>
      </c>
      <c r="CJ47">
        <f>7963.6*(BY47/1000)^0.6*1.7*('CAPEX+OPEX'!$G$116/'CAPEX+OPEX'!$G$115)</f>
        <v>6205.1347590783025</v>
      </c>
      <c r="CK47">
        <f>7963.6*(BZ47/1000)^0.6*1.7*('CAPEX+OPEX'!$G$116/'CAPEX+OPEX'!$G$115)</f>
        <v>3040.4238344763421</v>
      </c>
      <c r="CL47">
        <f>7963.6*(CA47/1000)^0.6*1.7*('CAPEX+OPEX'!$G$116/'CAPEX+OPEX'!$G$115)</f>
        <v>2924.9395454653882</v>
      </c>
      <c r="CM47">
        <f>'Costing 100 Lmin Feed Orig'!DE47</f>
        <v>39625.826528698344</v>
      </c>
      <c r="CN47">
        <f>'Costing 100 Lmin Feed Orig'!DF47</f>
        <v>4586243.4239371875</v>
      </c>
      <c r="CO47">
        <f>'Costing 100 Lmin Feed Orig'!DG47</f>
        <v>11794834.586807497</v>
      </c>
      <c r="CP47">
        <f>'Costing 100 Lmin Feed Orig'!DH47</f>
        <v>2275209.1661185985</v>
      </c>
      <c r="CQ47">
        <f>'Costing 100 Lmin Feed Orig'!DI47</f>
        <v>14083914.336508472</v>
      </c>
      <c r="CR47">
        <f>'Costing 100 Lmin Feed Orig'!DJ47</f>
        <v>1662824.8986326549</v>
      </c>
      <c r="CS47">
        <f>CN47*(BK47/10000)^0.72*((A47+1)/3)^0.6*('CAPEX+OPEX'!$G$116/'CAPEX+OPEX'!$G$114)</f>
        <v>700033.84449786716</v>
      </c>
      <c r="CT47">
        <f>CO47*(BK47/10000)^0.72*((A47+1)/3)^0.6*('CAPEX+OPEX'!$G$116/'CAPEX+OPEX'!$G$114)</f>
        <v>1800336.9288957189</v>
      </c>
      <c r="CU47">
        <f>CP47*(BK47/10000)^0.72*((A47+1)/3)^0.6*('CAPEX+OPEX'!$G$116/'CAPEX+OPEX'!$G$114)</f>
        <v>347282.79168127343</v>
      </c>
      <c r="CV47">
        <f>CQ47*(BK47/10000)^0.72*((A47+1)/3)^0.6*('CAPEX+OPEX'!$G$116/'CAPEX+OPEX'!$G$114)</f>
        <v>2149736.8951473436</v>
      </c>
      <c r="CW47">
        <f>CR47*(BK47/10000)^0.72*((A47+1)/3)^0.6*('CAPEX+OPEX'!$G$116/'CAPEX+OPEX'!$G$114)</f>
        <v>253809.83932102245</v>
      </c>
      <c r="CX47">
        <f t="shared" si="13"/>
        <v>5251200.2995432261</v>
      </c>
      <c r="CY47">
        <f>CN47*(BM47/10000)^0.72*((AF47+1)/3)^0.6*('CAPEX+OPEX'!$G$116/'CAPEX+OPEX'!$G$114)</f>
        <v>755830.43823057832</v>
      </c>
      <c r="CZ47">
        <f>CO47*(BM47/10000)^0.72*((AF47+1)/3)^0.6*('CAPEX+OPEX'!$G$116/'CAPEX+OPEX'!$G$114)</f>
        <v>1943833.8026442246</v>
      </c>
      <c r="DA47">
        <f>CP47*(BM47/10000)^0.72*((AF47+1)/3)^0.6*('CAPEX+OPEX'!$G$116/'CAPEX+OPEX'!$G$114)</f>
        <v>374963.16312345862</v>
      </c>
      <c r="DB47">
        <f>CQ47*(BM47/10000)^0.72*((AF47+1)/3)^0.6*('CAPEX+OPEX'!$G$116/'CAPEX+OPEX'!$G$114)</f>
        <v>2321082.8909352971</v>
      </c>
      <c r="DC47">
        <f>CR47*(BM47/10000)^0.72*((AF47+1)/3)^0.6*('CAPEX+OPEX'!$G$116/'CAPEX+OPEX'!$G$114)</f>
        <v>274039.89619794104</v>
      </c>
      <c r="DD47">
        <f t="shared" si="14"/>
        <v>5669750.1911314996</v>
      </c>
      <c r="DE47">
        <f>CX47+DD47+1.15*(SUM(CI47:CL47)+SUM(CB47:CE47))</f>
        <v>11001435.345242525</v>
      </c>
      <c r="DF47">
        <f t="shared" si="15"/>
        <v>733429.02301616827</v>
      </c>
      <c r="DG47">
        <f>(BS47+BT47)*'Oxidant Feed Composition'!$N$29*60*7200</f>
        <v>9219872.3533630408</v>
      </c>
      <c r="DH47">
        <f>((CG47+CH47)*'Reagent cost'!$C$17/1000*'Reagent cost'!$H$17+(CG47+CH47)*0.5*'Reagent cost'!$C$16/1000*'Reagent cost'!$H$16*0.5)*60*7200</f>
        <v>3121354.4074932807</v>
      </c>
      <c r="DI47">
        <f>CF47*'Reagent cost'!$C$17/1000*'Reagent cost'!$H$17*60*7200</f>
        <v>504921.59999999998</v>
      </c>
      <c r="DJ47">
        <f t="shared" si="16"/>
        <v>83.585125798276096</v>
      </c>
      <c r="DK47">
        <f t="shared" si="17"/>
        <v>946.02955817807128</v>
      </c>
      <c r="DL47">
        <f t="shared" si="18"/>
        <v>15416613.570648355</v>
      </c>
      <c r="DM47">
        <f>BK47*(B47*(409.81+2)/1000+C47*(248.2+2*22.99)/1000+D47*(315.6+3*22.99)/1000+0.1*58.44/1000)</f>
        <v>0.70639694042110623</v>
      </c>
      <c r="DN47">
        <f>(BS47+BT47)/1000*('Oxidant Feed Composition'!$B$11*'Oxidant Feed Composition'!$O$20+'Oxidant Feed Composition'!$D$11*'Oxidant Feed Composition'!$O$21+'Oxidant Feed Composition'!$F$11*'Oxidant Feed Composition'!$O$27-'Oxidant Feed Composition'!$J$15*18.015)</f>
        <v>2.1583487554353087</v>
      </c>
      <c r="DO47">
        <f>(BU47+BV47)/1000*(0.2*368.34+0.4*58.44)</f>
        <v>1.4945956361351718</v>
      </c>
      <c r="DP47">
        <f>BK47/1000*(B47*195.08+C47*106.42+D47*102.91)</f>
        <v>4.999938342565946E-2</v>
      </c>
      <c r="DQ47">
        <f>SUM(DM47:DO47)-DP47</f>
        <v>4.309341948565927</v>
      </c>
      <c r="DR47">
        <f>DQ47*60*7200*0.33</f>
        <v>614339.78818755853</v>
      </c>
      <c r="DS47">
        <v>1.2</v>
      </c>
      <c r="DT47">
        <f>BM47/60*(AM47*4+AN47*2+AO47*3)*96485/DV47</f>
        <v>1405.9477123179286</v>
      </c>
      <c r="DU47">
        <f>BN47*BA47*(AP47*4+AQ47*2+AR47*3)*96485/DV47/60</f>
        <v>705.93982179416889</v>
      </c>
      <c r="DV47">
        <v>0.7</v>
      </c>
      <c r="DW47">
        <f>0.499*((BK47/3.78541*15)^(-0.146))*BK47/3.78541*15*300*(1+(A47-2)/9)</f>
        <v>38528.386667103026</v>
      </c>
      <c r="DX47">
        <f>0.248*((BK47/3.78541*15)^(-0.144))*BK47/3.78541*15*300*(1+(A47-2)/3)</f>
        <v>33220.879177835675</v>
      </c>
      <c r="DY47">
        <f>0.105*((BK47/3.78541*15)^(-0.144))*BK47/3.78541*15*300*(1+(A47-2)/3)</f>
        <v>14065.291587390104</v>
      </c>
      <c r="DZ47">
        <f>0.058*((BK47/3.78541*15)^(-0.151))*BK47/3.78541*15*300*(1+(A47-2)/3)</f>
        <v>7450.7773575794354</v>
      </c>
      <c r="EA47">
        <f>0.056*((BK47/3.78541*15)^(-0.144))*BK47/3.78541*15*300*(1+(A47-2)/3)</f>
        <v>7501.4888466080574</v>
      </c>
      <c r="EB47">
        <f>DS47*DT47/(3.6*10^6)*3600*7200*0.07</f>
        <v>850.31717640988325</v>
      </c>
      <c r="EC47">
        <f>0.499*((BM47/3.78541*15)^(-0.146))*BM47/3.78541*15*300*(1+(AF47-2)/9)</f>
        <v>41144.233773693195</v>
      </c>
      <c r="ED47">
        <f>0.248*((BM47/3.78541*15)^(-0.144))*BM47/3.78541*15*300*(1+(AF47-2)/3)</f>
        <v>38796.12419894139</v>
      </c>
      <c r="EE47">
        <f>0.105*((BM47/3.78541*15)^(-0.144))*BM47/3.78541*15*300*(1+(AF47-2)/3)</f>
        <v>16425.778390680825</v>
      </c>
      <c r="EF47">
        <f>0.058*((BM47/3.78541*15)^(-0.151))*BM47/3.78541*15*300*(1+(AF47-2)/3)</f>
        <v>8706.0330573593965</v>
      </c>
      <c r="EG47">
        <f>0.056*((BM47/3.78541*15)^(-0.144))*BM47/3.78541*15*300*(1+(AF47-2)/3)</f>
        <v>8760.4151416964414</v>
      </c>
      <c r="EH47">
        <f>DS47*DU47/(3.6*10^6)*3600*7200*0.07</f>
        <v>426.95240422111334</v>
      </c>
      <c r="EI47">
        <f>SUM(DW47:EH47)</f>
        <v>215876.67777951853</v>
      </c>
      <c r="EJ47">
        <f>EI47+DR47+DL47</f>
        <v>16246830.036615433</v>
      </c>
      <c r="EK47">
        <f>EJ47+DF47</f>
        <v>16980259.059631601</v>
      </c>
      <c r="EL47">
        <f>EK47/(BK47*60*7200)</f>
        <v>0.39306155230628703</v>
      </c>
      <c r="EM47">
        <f>EK47/(BM47*(AM47*195.084/1000+AN47*106.42/1000+AO47*102.911/1000)*60*7200)</f>
        <v>1314.9741849959278</v>
      </c>
      <c r="EN47">
        <f>EK47/(BN47*BA47*(AP47*195.084/1000+AQ47*106.42/1000+AR47*102.911/1000)*60*7200)</f>
        <v>2412.8398206301954</v>
      </c>
    </row>
    <row r="48" spans="1:144">
      <c r="A48">
        <f>'Costing 100 Lmin Feed Orig'!A48</f>
        <v>7</v>
      </c>
      <c r="B48">
        <f>'Costing 100 Lmin Feed Orig'!B48</f>
        <v>1.54143585092054E-3</v>
      </c>
      <c r="C48">
        <f>'Costing 100 Lmin Feed Orig'!C48</f>
        <v>1.54143585092054E-3</v>
      </c>
      <c r="D48">
        <f>'Costing 100 Lmin Feed Orig'!D48</f>
        <v>3.4254130020456501E-4</v>
      </c>
      <c r="E48">
        <f>'Costing 100 Lmin Feed Orig'!E48</f>
        <v>0</v>
      </c>
      <c r="F48">
        <f>'Costing 100 Lmin Feed Orig'!F48</f>
        <v>0</v>
      </c>
      <c r="G48">
        <f>'Costing 100 Lmin Feed Orig'!G48</f>
        <v>0</v>
      </c>
      <c r="H48">
        <f>'Costing 100 Lmin Feed Orig'!H48</f>
        <v>1.7744466230058299E-5</v>
      </c>
      <c r="I48">
        <f>'Costing 100 Lmin Feed Orig'!I48</f>
        <v>1.2927742824924801E-8</v>
      </c>
      <c r="J48">
        <f>'Costing 100 Lmin Feed Orig'!J48</f>
        <v>3.3739048286900598E-4</v>
      </c>
      <c r="K48">
        <f>'Costing 100 Lmin Feed Orig'!K48</f>
        <v>0.13716795306346499</v>
      </c>
      <c r="L48">
        <f>'Costing 100 Lmin Feed Orig'!L48</f>
        <v>0.138764207307677</v>
      </c>
      <c r="M48">
        <f>'Costing 100 Lmin Feed Orig'!M48</f>
        <v>4.6369433969460899E-4</v>
      </c>
      <c r="N48">
        <f>'Costing 100 Lmin Feed Orig'!N48</f>
        <v>-1.1037178115902399E-16</v>
      </c>
      <c r="O48">
        <f>'Costing 100 Lmin Feed Orig'!O48</f>
        <v>-5.3700533603207003E-15</v>
      </c>
      <c r="P48">
        <f>'Costing 100 Lmin Feed Orig'!P48</f>
        <v>-3.4304834363799101E-19</v>
      </c>
      <c r="Q48">
        <f>'Costing 100 Lmin Feed Orig'!Q48</f>
        <v>0.111082169753281</v>
      </c>
      <c r="R48">
        <f>'Costing 100 Lmin Feed Orig'!R48</f>
        <v>98.496293050653193</v>
      </c>
      <c r="S48">
        <f>'Costing 100 Lmin Feed Orig'!S48</f>
        <v>500</v>
      </c>
      <c r="T48">
        <f>'Costing 100 Lmin Feed Orig'!T48</f>
        <v>95</v>
      </c>
      <c r="U48">
        <f>'Costing 100 Lmin Feed Orig'!U48</f>
        <v>1</v>
      </c>
      <c r="V48">
        <f>'Costing 100 Lmin Feed Orig'!V48</f>
        <v>0.1</v>
      </c>
      <c r="W48">
        <f>'Costing 100 Lmin Feed Orig'!W48</f>
        <v>90.023448607553206</v>
      </c>
      <c r="X48" t="str">
        <f>'Costing 100 Lmin Feed Orig'!X48</f>
        <v>ddFc</v>
      </c>
      <c r="Y48">
        <f>'Costing 100 Lmin Feed Orig'!Y48</f>
        <v>1</v>
      </c>
      <c r="Z48">
        <f>'Costing 100 Lmin Feed Orig'!Z48</f>
        <v>0.28318429382522198</v>
      </c>
      <c r="AA48">
        <f>'Costing 100 Lmin Feed Orig'!AA48</f>
        <v>0.56945642916197003</v>
      </c>
      <c r="AB48">
        <f>'Costing 100 Lmin Feed Orig'!AB48</f>
        <v>3.7698628972227502E-3</v>
      </c>
      <c r="AC48">
        <f>'Costing 100 Lmin Feed Orig'!AC48</f>
        <v>1822.2107908876901</v>
      </c>
      <c r="AD48">
        <f>'Costing 100 Lmin Feed Orig'!AD48</f>
        <v>2662.6059073104898</v>
      </c>
      <c r="AE48">
        <f>'Costing 100 Lmin Feed Orig'!AE48</f>
        <v>2401.5030938442701</v>
      </c>
      <c r="AF48">
        <f>'Costing 100 Lmin Feed Orig'!AF48</f>
        <v>10</v>
      </c>
      <c r="AG48">
        <f>'Costing 100 Lmin Feed Orig'!AG48</f>
        <v>1.64967327652189E-3</v>
      </c>
      <c r="AH48">
        <f>'Costing 100 Lmin Feed Orig'!AH48</f>
        <v>1.66887089455438E-3</v>
      </c>
      <c r="AI48">
        <f>'Costing 100 Lmin Feed Orig'!AI48</f>
        <v>5.5766973522943398E-6</v>
      </c>
      <c r="AJ48">
        <f>'Costing 100 Lmin Feed Orig'!AJ48</f>
        <v>0</v>
      </c>
      <c r="AK48">
        <f>'Costing 100 Lmin Feed Orig'!AK48</f>
        <v>0</v>
      </c>
      <c r="AL48">
        <f>'Costing 100 Lmin Feed Orig'!AL48</f>
        <v>0</v>
      </c>
      <c r="AM48">
        <f>'Costing 100 Lmin Feed Orig'!AM48</f>
        <v>1.6127176023782901E-3</v>
      </c>
      <c r="AN48">
        <f>'Costing 100 Lmin Feed Orig'!AN48</f>
        <v>7.93398614299424E-5</v>
      </c>
      <c r="AO48">
        <f>'Costing 100 Lmin Feed Orig'!AO48</f>
        <v>5.5400123786141803E-6</v>
      </c>
      <c r="AP48">
        <f>'Costing 100 Lmin Feed Orig'!AP48</f>
        <v>1.73331722315182E-3</v>
      </c>
      <c r="AQ48">
        <f>'Costing 100 Lmin Feed Orig'!AQ48</f>
        <v>7.4553139192579998E-2</v>
      </c>
      <c r="AR48">
        <f>'Costing 100 Lmin Feed Orig'!AR48</f>
        <v>1.72062066779231E-6</v>
      </c>
      <c r="AS48">
        <f>'Costing 100 Lmin Feed Orig'!AS48</f>
        <v>7.0422590285265596E-15</v>
      </c>
      <c r="AT48">
        <f>'Costing 100 Lmin Feed Orig'!AT48</f>
        <v>-7.2813760229606304E-13</v>
      </c>
      <c r="AU48">
        <f>'Costing 100 Lmin Feed Orig'!AU48</f>
        <v>6.7531025208829095E-20</v>
      </c>
      <c r="AV48">
        <f>'Costing 100 Lmin Feed Orig'!AV48</f>
        <v>0.19692558727263099</v>
      </c>
      <c r="AW48">
        <f>'Costing 100 Lmin Feed Orig'!AW48</f>
        <v>99.342173846585595</v>
      </c>
      <c r="AX48">
        <f>'Costing 100 Lmin Feed Orig'!AX48</f>
        <v>500</v>
      </c>
      <c r="AY48">
        <f>'Costing 100 Lmin Feed Orig'!AY48</f>
        <v>95</v>
      </c>
      <c r="AZ48">
        <f>'Costing 100 Lmin Feed Orig'!AZ48</f>
        <v>0.92363221637625403</v>
      </c>
      <c r="BA48">
        <f>'Costing 100 Lmin Feed Orig'!BA48</f>
        <v>0.1</v>
      </c>
      <c r="BB48">
        <f>'Costing 100 Lmin Feed Orig'!BB48</f>
        <v>46.9026005796566</v>
      </c>
      <c r="BC48" t="str">
        <f>'Costing 100 Lmin Feed Orig'!BC48</f>
        <v>coeFc</v>
      </c>
      <c r="BD48">
        <f>'Costing 100 Lmin Feed Orig'!BD48</f>
        <v>1</v>
      </c>
      <c r="BE48">
        <f>'Costing 100 Lmin Feed Orig'!BE48</f>
        <v>1.8775014999999999E-2</v>
      </c>
      <c r="BF48">
        <f>'Costing 100 Lmin Feed Orig'!BF48</f>
        <v>0.10492961100000001</v>
      </c>
      <c r="BG48">
        <f>'Costing 100 Lmin Feed Orig'!BG48</f>
        <v>1.814625E-3</v>
      </c>
      <c r="BH48">
        <f>'Costing 100 Lmin Feed Orig'!BH48</f>
        <v>285.1951444</v>
      </c>
      <c r="BI48">
        <f>'Costing 100 Lmin Feed Orig'!BI48</f>
        <v>2169.8944889999998</v>
      </c>
      <c r="BJ48">
        <f>'Costing 100 Lmin Feed Orig'!BJ48</f>
        <v>866.49409060000005</v>
      </c>
      <c r="BK48">
        <f>'Costing 100 Lmin Feed Orig'!BK48</f>
        <v>100</v>
      </c>
      <c r="BL48">
        <f>'Costing 100 Lmin Feed Orig'!BL48</f>
        <v>11.1082169753281</v>
      </c>
      <c r="BM48">
        <f>'Costing 100 Lmin Feed Orig'!BM48</f>
        <v>92.363221637625401</v>
      </c>
      <c r="BN48">
        <f>'Costing 100 Lmin Feed Orig'!BN48</f>
        <v>19.692558727263098</v>
      </c>
      <c r="BO48">
        <f t="shared" si="1"/>
        <v>199.94790555590581</v>
      </c>
      <c r="BP48">
        <f t="shared" si="2"/>
        <v>472.62140945431435</v>
      </c>
      <c r="BQ48">
        <f t="shared" si="3"/>
        <v>19.994790555590583</v>
      </c>
      <c r="BR48">
        <f t="shared" si="4"/>
        <v>47.26214094543144</v>
      </c>
      <c r="BS48">
        <f>1.2*0.5*BL48*V48/'Oxidant Feed Composition'!$N$22</f>
        <v>6.6649301851968596</v>
      </c>
      <c r="BT48">
        <f>1.2*0.5*BN48*BA48/'Oxidant Feed Composition'!$N$22</f>
        <v>11.815535236357858</v>
      </c>
      <c r="BU48">
        <f t="shared" si="5"/>
        <v>5.5541084876640499</v>
      </c>
      <c r="BV48">
        <f t="shared" si="6"/>
        <v>9.8462793636315489</v>
      </c>
      <c r="BW48">
        <f t="shared" si="7"/>
        <v>86.809113149961348</v>
      </c>
      <c r="BX48">
        <f t="shared" si="0"/>
        <v>35.54629432104992</v>
      </c>
      <c r="BY48">
        <f t="shared" si="8"/>
        <v>206.94287722590701</v>
      </c>
      <c r="BZ48">
        <f t="shared" si="9"/>
        <v>63.016187927241916</v>
      </c>
      <c r="CA48">
        <f t="shared" si="10"/>
        <v>59.077676181789293</v>
      </c>
      <c r="CB48">
        <f>BO48*'Reagent cost'!$G$11*'Reagent cost'!$H$11</f>
        <v>2639.3123533379567</v>
      </c>
      <c r="CC48">
        <f>BP48*'Reagent cost'!$G$11*'Reagent cost'!$H$11</f>
        <v>6238.6026047969499</v>
      </c>
      <c r="CD48">
        <f>BQ48*'Reagent cost'!$C$18/1000*'Reagent cost'!$H$18</f>
        <v>3188.7782491883527</v>
      </c>
      <c r="CE48">
        <f>BR48*'Ligand cost'!$B$56*'Ligand cost'!$J$56</f>
        <v>48118.896367200447</v>
      </c>
      <c r="CF48">
        <f t="shared" si="11"/>
        <v>10</v>
      </c>
      <c r="CG48">
        <f t="shared" si="12"/>
        <v>2.22164339506562</v>
      </c>
      <c r="CH48">
        <f t="shared" si="12"/>
        <v>3.9385117454526197</v>
      </c>
      <c r="CI48">
        <f>7963.6*(BX48/1000)^0.6*1.7*('CAPEX+OPEX'!$G$116/'CAPEX+OPEX'!$G$115)</f>
        <v>2156.3414312027717</v>
      </c>
      <c r="CJ48">
        <f>7963.6*(BY48/1000)^0.6*1.7*('CAPEX+OPEX'!$G$116/'CAPEX+OPEX'!$G$115)</f>
        <v>6205.1347590783025</v>
      </c>
      <c r="CK48">
        <f>7963.6*(BZ48/1000)^0.6*1.7*('CAPEX+OPEX'!$G$116/'CAPEX+OPEX'!$G$115)</f>
        <v>3040.2703523468736</v>
      </c>
      <c r="CL48">
        <f>7963.6*(CA48/1000)^0.6*1.7*('CAPEX+OPEX'!$G$116/'CAPEX+OPEX'!$G$115)</f>
        <v>2924.7918930411074</v>
      </c>
      <c r="CM48">
        <f>'Costing 100 Lmin Feed Orig'!DE48</f>
        <v>39625.826528698344</v>
      </c>
      <c r="CN48">
        <f>'Costing 100 Lmin Feed Orig'!DF48</f>
        <v>4586243.4239371875</v>
      </c>
      <c r="CO48">
        <f>'Costing 100 Lmin Feed Orig'!DG48</f>
        <v>11794834.586807497</v>
      </c>
      <c r="CP48">
        <f>'Costing 100 Lmin Feed Orig'!DH48</f>
        <v>2275209.1661185985</v>
      </c>
      <c r="CQ48">
        <f>'Costing 100 Lmin Feed Orig'!DI48</f>
        <v>14083914.336508472</v>
      </c>
      <c r="CR48">
        <f>'Costing 100 Lmin Feed Orig'!DJ48</f>
        <v>1662824.8986326549</v>
      </c>
      <c r="CS48">
        <f>CN48*(BK48/10000)^0.72*((A48+1)/3)^0.6*('CAPEX+OPEX'!$G$116/'CAPEX+OPEX'!$G$114)</f>
        <v>700033.84449786716</v>
      </c>
      <c r="CT48">
        <f>CO48*(BK48/10000)^0.72*((A48+1)/3)^0.6*('CAPEX+OPEX'!$G$116/'CAPEX+OPEX'!$G$114)</f>
        <v>1800336.9288957189</v>
      </c>
      <c r="CU48">
        <f>CP48*(BK48/10000)^0.72*((A48+1)/3)^0.6*('CAPEX+OPEX'!$G$116/'CAPEX+OPEX'!$G$114)</f>
        <v>347282.79168127343</v>
      </c>
      <c r="CV48">
        <f>CQ48*(BK48/10000)^0.72*((A48+1)/3)^0.6*('CAPEX+OPEX'!$G$116/'CAPEX+OPEX'!$G$114)</f>
        <v>2149736.8951473436</v>
      </c>
      <c r="CW48">
        <f>CR48*(BK48/10000)^0.72*((A48+1)/3)^0.6*('CAPEX+OPEX'!$G$116/'CAPEX+OPEX'!$G$114)</f>
        <v>253809.83932102245</v>
      </c>
      <c r="CX48">
        <f t="shared" si="13"/>
        <v>5251200.2995432261</v>
      </c>
      <c r="CY48">
        <f>CN48*(BM48/10000)^0.72*((AF48+1)/3)^0.6*('CAPEX+OPEX'!$G$116/'CAPEX+OPEX'!$G$114)</f>
        <v>800313.21584557055</v>
      </c>
      <c r="CZ48">
        <f>CO48*(BM48/10000)^0.72*((AF48+1)/3)^0.6*('CAPEX+OPEX'!$G$116/'CAPEX+OPEX'!$G$114)</f>
        <v>2058233.9675356387</v>
      </c>
      <c r="DA48">
        <f>CP48*(BM48/10000)^0.72*((AF48+1)/3)^0.6*('CAPEX+OPEX'!$G$116/'CAPEX+OPEX'!$G$114)</f>
        <v>397030.81501385069</v>
      </c>
      <c r="DB48">
        <f>CQ48*(BM48/10000)^0.72*((AF48+1)/3)^0.6*('CAPEX+OPEX'!$G$116/'CAPEX+OPEX'!$G$114)</f>
        <v>2457685.2409347831</v>
      </c>
      <c r="DC48">
        <f>CR48*(BM48/10000)^0.72*((AF48+1)/3)^0.6*('CAPEX+OPEX'!$G$116/'CAPEX+OPEX'!$G$114)</f>
        <v>290167.92590357957</v>
      </c>
      <c r="DD48">
        <f t="shared" si="14"/>
        <v>6003431.1652334221</v>
      </c>
      <c r="DE48">
        <f>CX48+DD48+1.15*(SUM(CI48:CL48)+SUM(CB48:CE48))</f>
        <v>11340320.41198837</v>
      </c>
      <c r="DF48">
        <f t="shared" si="15"/>
        <v>756021.3607992247</v>
      </c>
      <c r="DG48">
        <f>(BS48+BT48)*'Oxidant Feed Composition'!$N$29*60*7200</f>
        <v>9219376.3967212103</v>
      </c>
      <c r="DH48">
        <f>((CG48+CH48)*'Reagent cost'!$C$17/1000*'Reagent cost'!$H$17+(CG48+CH48)*0.5*'Reagent cost'!$C$16/1000*'Reagent cost'!$H$16*0.5)*60*7200</f>
        <v>3121186.5031676488</v>
      </c>
      <c r="DI48">
        <f>CF48*'Reagent cost'!$C$17/1000*'Reagent cost'!$H$17*60*7200</f>
        <v>504921.59999999998</v>
      </c>
      <c r="DJ48">
        <f t="shared" si="16"/>
        <v>88.779149581349074</v>
      </c>
      <c r="DK48">
        <f t="shared" si="17"/>
        <v>1026.1534923277761</v>
      </c>
      <c r="DL48">
        <f t="shared" si="18"/>
        <v>15415919.31903692</v>
      </c>
      <c r="DM48">
        <f>BK48*(B48*(409.81+2)/1000+C48*(248.2+2*22.99)/1000+D48*(315.6+3*22.99)/1000+0.1*58.44/1000)</f>
        <v>0.70639694042110623</v>
      </c>
      <c r="DN48">
        <f>(BS48+BT48)/1000*('Oxidant Feed Composition'!$B$11*'Oxidant Feed Composition'!$O$20+'Oxidant Feed Composition'!$D$11*'Oxidant Feed Composition'!$O$21+'Oxidant Feed Composition'!$F$11*'Oxidant Feed Composition'!$O$27-'Oxidant Feed Composition'!$J$15*18.015)</f>
        <v>2.1582326532421736</v>
      </c>
      <c r="DO48">
        <f>(BU48+BV48)/1000*(0.2*368.34+0.4*58.44)</f>
        <v>1.49451523864113</v>
      </c>
      <c r="DP48">
        <f>BK48/1000*(B48*195.08+C48*106.42+D48*102.91)</f>
        <v>4.999938342565946E-2</v>
      </c>
      <c r="DQ48">
        <f>SUM(DM48:DO48)-DP48</f>
        <v>4.3091454488787502</v>
      </c>
      <c r="DR48">
        <f>DQ48*60*7200*0.33</f>
        <v>614311.77519215469</v>
      </c>
      <c r="DS48">
        <v>1.2</v>
      </c>
      <c r="DT48">
        <f>BM48/60*(AM48*4+AN48*2+AO48*3)*96485/DV48</f>
        <v>1405.9574213625024</v>
      </c>
      <c r="DU48">
        <f>BN48*BA48*(AP48*4+AQ48*2+AR48*3)*96485/DV48/60</f>
        <v>705.93011307507709</v>
      </c>
      <c r="DV48">
        <v>0.7</v>
      </c>
      <c r="DW48">
        <f>0.499*((BK48/3.78541*15)^(-0.146))*BK48/3.78541*15*300*(1+(A48-2)/9)</f>
        <v>38528.386667103026</v>
      </c>
      <c r="DX48">
        <f>0.248*((BK48/3.78541*15)^(-0.144))*BK48/3.78541*15*300*(1+(A48-2)/3)</f>
        <v>33220.879177835675</v>
      </c>
      <c r="DY48">
        <f>0.105*((BK48/3.78541*15)^(-0.144))*BK48/3.78541*15*300*(1+(A48-2)/3)</f>
        <v>14065.291587390104</v>
      </c>
      <c r="DZ48">
        <f>0.058*((BK48/3.78541*15)^(-0.151))*BK48/3.78541*15*300*(1+(A48-2)/3)</f>
        <v>7450.7773575794354</v>
      </c>
      <c r="EA48">
        <f>0.056*((BK48/3.78541*15)^(-0.144))*BK48/3.78541*15*300*(1+(A48-2)/3)</f>
        <v>7501.4888466080574</v>
      </c>
      <c r="EB48">
        <f>DS48*DT48/(3.6*10^6)*3600*7200*0.07</f>
        <v>850.32304844004148</v>
      </c>
      <c r="EC48">
        <f>0.499*((BM48/3.78541*15)^(-0.146))*BM48/3.78541*15*300*(1+(AF48-2)/9)</f>
        <v>43715.748384549021</v>
      </c>
      <c r="ED48">
        <f>0.248*((BM48/3.78541*15)^(-0.144))*BM48/3.78541*15*300*(1+(AF48-2)/3)</f>
        <v>42675.736618835523</v>
      </c>
      <c r="EE48">
        <f>0.105*((BM48/3.78541*15)^(-0.144))*BM48/3.78541*15*300*(1+(AF48-2)/3)</f>
        <v>18068.356229748908</v>
      </c>
      <c r="EF48">
        <f>0.058*((BM48/3.78541*15)^(-0.151))*BM48/3.78541*15*300*(1+(AF48-2)/3)</f>
        <v>9576.6363630953347</v>
      </c>
      <c r="EG48">
        <f>0.056*((BM48/3.78541*15)^(-0.144))*BM48/3.78541*15*300*(1+(AF48-2)/3)</f>
        <v>9636.4566558660845</v>
      </c>
      <c r="EH48">
        <f>DS48*DU48/(3.6*10^6)*3600*7200*0.07</f>
        <v>426.94653238780671</v>
      </c>
      <c r="EI48">
        <f>SUM(DW48:EH48)</f>
        <v>225717.02746943905</v>
      </c>
      <c r="EJ48">
        <f>EI48+DR48+DL48</f>
        <v>16255948.121698514</v>
      </c>
      <c r="EK48">
        <f>EJ48+DF48</f>
        <v>17011969.482497737</v>
      </c>
      <c r="EL48">
        <f>EK48/(BK48*60*7200)</f>
        <v>0.3937955898726328</v>
      </c>
      <c r="EM48">
        <f>EK48/(BM48*(AM48*195.084/1000+AN48*106.42/1000+AO48*102.911/1000)*60*7200)</f>
        <v>1317.4207793476376</v>
      </c>
      <c r="EN48">
        <f>EK48/(BN48*BA48*(AP48*195.084/1000+AQ48*106.42/1000+AR48*102.911/1000)*60*7200)</f>
        <v>2417.3764188854466</v>
      </c>
    </row>
    <row r="49" spans="1:144">
      <c r="A49">
        <f>'Costing 100 Lmin Feed Orig'!A49</f>
        <v>7</v>
      </c>
      <c r="B49">
        <f>'Costing 100 Lmin Feed Orig'!B49</f>
        <v>1.54143585092054E-3</v>
      </c>
      <c r="C49">
        <f>'Costing 100 Lmin Feed Orig'!C49</f>
        <v>1.54143585092054E-3</v>
      </c>
      <c r="D49">
        <f>'Costing 100 Lmin Feed Orig'!D49</f>
        <v>3.4254130020456501E-4</v>
      </c>
      <c r="E49">
        <f>'Costing 100 Lmin Feed Orig'!E49</f>
        <v>0</v>
      </c>
      <c r="F49">
        <f>'Costing 100 Lmin Feed Orig'!F49</f>
        <v>0</v>
      </c>
      <c r="G49">
        <f>'Costing 100 Lmin Feed Orig'!G49</f>
        <v>0</v>
      </c>
      <c r="H49">
        <f>'Costing 100 Lmin Feed Orig'!H49</f>
        <v>1.7744466230058299E-5</v>
      </c>
      <c r="I49">
        <f>'Costing 100 Lmin Feed Orig'!I49</f>
        <v>1.2927742824924801E-8</v>
      </c>
      <c r="J49">
        <f>'Costing 100 Lmin Feed Orig'!J49</f>
        <v>3.3739048286900598E-4</v>
      </c>
      <c r="K49">
        <f>'Costing 100 Lmin Feed Orig'!K49</f>
        <v>0.13716795306346499</v>
      </c>
      <c r="L49">
        <f>'Costing 100 Lmin Feed Orig'!L49</f>
        <v>0.138764207307677</v>
      </c>
      <c r="M49">
        <f>'Costing 100 Lmin Feed Orig'!M49</f>
        <v>4.6369433969460899E-4</v>
      </c>
      <c r="N49">
        <f>'Costing 100 Lmin Feed Orig'!N49</f>
        <v>-1.1037178115902399E-16</v>
      </c>
      <c r="O49">
        <f>'Costing 100 Lmin Feed Orig'!O49</f>
        <v>-5.3700533603207003E-15</v>
      </c>
      <c r="P49">
        <f>'Costing 100 Lmin Feed Orig'!P49</f>
        <v>-3.4304834363799101E-19</v>
      </c>
      <c r="Q49">
        <f>'Costing 100 Lmin Feed Orig'!Q49</f>
        <v>0.111082169753281</v>
      </c>
      <c r="R49">
        <f>'Costing 100 Lmin Feed Orig'!R49</f>
        <v>98.496293050653193</v>
      </c>
      <c r="S49">
        <f>'Costing 100 Lmin Feed Orig'!S49</f>
        <v>500</v>
      </c>
      <c r="T49">
        <f>'Costing 100 Lmin Feed Orig'!T49</f>
        <v>95</v>
      </c>
      <c r="U49">
        <f>'Costing 100 Lmin Feed Orig'!U49</f>
        <v>1</v>
      </c>
      <c r="V49">
        <f>'Costing 100 Lmin Feed Orig'!V49</f>
        <v>0.1</v>
      </c>
      <c r="W49">
        <f>'Costing 100 Lmin Feed Orig'!W49</f>
        <v>90.023448607553206</v>
      </c>
      <c r="X49" t="str">
        <f>'Costing 100 Lmin Feed Orig'!X49</f>
        <v>ddFc</v>
      </c>
      <c r="Y49">
        <f>'Costing 100 Lmin Feed Orig'!Y49</f>
        <v>1</v>
      </c>
      <c r="Z49">
        <f>'Costing 100 Lmin Feed Orig'!Z49</f>
        <v>0.28318429382522198</v>
      </c>
      <c r="AA49">
        <f>'Costing 100 Lmin Feed Orig'!AA49</f>
        <v>0.56945642916197003</v>
      </c>
      <c r="AB49">
        <f>'Costing 100 Lmin Feed Orig'!AB49</f>
        <v>3.7698628972227502E-3</v>
      </c>
      <c r="AC49">
        <f>'Costing 100 Lmin Feed Orig'!AC49</f>
        <v>1822.2107908876901</v>
      </c>
      <c r="AD49">
        <f>'Costing 100 Lmin Feed Orig'!AD49</f>
        <v>2662.6059073104898</v>
      </c>
      <c r="AE49">
        <f>'Costing 100 Lmin Feed Orig'!AE49</f>
        <v>2401.5030938442701</v>
      </c>
      <c r="AF49">
        <f>'Costing 100 Lmin Feed Orig'!AF49</f>
        <v>11</v>
      </c>
      <c r="AG49">
        <f>'Costing 100 Lmin Feed Orig'!AG49</f>
        <v>1.64967327652189E-3</v>
      </c>
      <c r="AH49">
        <f>'Costing 100 Lmin Feed Orig'!AH49</f>
        <v>1.66887089455438E-3</v>
      </c>
      <c r="AI49">
        <f>'Costing 100 Lmin Feed Orig'!AI49</f>
        <v>5.5766973522943398E-6</v>
      </c>
      <c r="AJ49">
        <f>'Costing 100 Lmin Feed Orig'!AJ49</f>
        <v>0</v>
      </c>
      <c r="AK49">
        <f>'Costing 100 Lmin Feed Orig'!AK49</f>
        <v>0</v>
      </c>
      <c r="AL49">
        <f>'Costing 100 Lmin Feed Orig'!AL49</f>
        <v>0</v>
      </c>
      <c r="AM49">
        <f>'Costing 100 Lmin Feed Orig'!AM49</f>
        <v>1.6127207366253499E-3</v>
      </c>
      <c r="AN49">
        <f>'Costing 100 Lmin Feed Orig'!AN49</f>
        <v>7.9340023409112399E-5</v>
      </c>
      <c r="AO49">
        <f>'Costing 100 Lmin Feed Orig'!AO49</f>
        <v>5.5400153606251003E-6</v>
      </c>
      <c r="AP49">
        <f>'Costing 100 Lmin Feed Orig'!AP49</f>
        <v>1.7332112363545699E-3</v>
      </c>
      <c r="AQ49">
        <f>'Costing 100 Lmin Feed Orig'!AQ49</f>
        <v>7.4554895947902003E-2</v>
      </c>
      <c r="AR49">
        <f>'Costing 100 Lmin Feed Orig'!AR49</f>
        <v>1.7205215207154199E-6</v>
      </c>
      <c r="AS49">
        <f>'Costing 100 Lmin Feed Orig'!AS49</f>
        <v>2.2210084791272899E-15</v>
      </c>
      <c r="AT49">
        <f>'Costing 100 Lmin Feed Orig'!AT49</f>
        <v>-2.21852267459632E-13</v>
      </c>
      <c r="AU49">
        <f>'Costing 100 Lmin Feed Orig'!AU49</f>
        <v>1.5524525736395199E-20</v>
      </c>
      <c r="AV49">
        <f>'Costing 100 Lmin Feed Orig'!AV49</f>
        <v>0.19692092693176799</v>
      </c>
      <c r="AW49">
        <f>'Costing 100 Lmin Feed Orig'!AW49</f>
        <v>99.3422273192906</v>
      </c>
      <c r="AX49">
        <f>'Costing 100 Lmin Feed Orig'!AX49</f>
        <v>500</v>
      </c>
      <c r="AY49">
        <f>'Costing 100 Lmin Feed Orig'!AY49</f>
        <v>95</v>
      </c>
      <c r="AZ49">
        <f>'Costing 100 Lmin Feed Orig'!AZ49</f>
        <v>0.92363221637625403</v>
      </c>
      <c r="BA49">
        <f>'Costing 100 Lmin Feed Orig'!BA49</f>
        <v>0.1</v>
      </c>
      <c r="BB49">
        <f>'Costing 100 Lmin Feed Orig'!BB49</f>
        <v>46.903710579032897</v>
      </c>
      <c r="BC49" t="str">
        <f>'Costing 100 Lmin Feed Orig'!BC49</f>
        <v>coeFc</v>
      </c>
      <c r="BD49">
        <f>'Costing 100 Lmin Feed Orig'!BD49</f>
        <v>1</v>
      </c>
      <c r="BE49">
        <f>'Costing 100 Lmin Feed Orig'!BE49</f>
        <v>1.8775014999999999E-2</v>
      </c>
      <c r="BF49">
        <f>'Costing 100 Lmin Feed Orig'!BF49</f>
        <v>0.10492961100000001</v>
      </c>
      <c r="BG49">
        <f>'Costing 100 Lmin Feed Orig'!BG49</f>
        <v>1.814625E-3</v>
      </c>
      <c r="BH49">
        <f>'Costing 100 Lmin Feed Orig'!BH49</f>
        <v>285.1951444</v>
      </c>
      <c r="BI49">
        <f>'Costing 100 Lmin Feed Orig'!BI49</f>
        <v>2169.8944889999998</v>
      </c>
      <c r="BJ49">
        <f>'Costing 100 Lmin Feed Orig'!BJ49</f>
        <v>866.49409060000005</v>
      </c>
      <c r="BK49">
        <f>'Costing 100 Lmin Feed Orig'!BK49</f>
        <v>100</v>
      </c>
      <c r="BL49">
        <f>'Costing 100 Lmin Feed Orig'!BL49</f>
        <v>11.1082169753281</v>
      </c>
      <c r="BM49">
        <f>'Costing 100 Lmin Feed Orig'!BM49</f>
        <v>92.363221637625401</v>
      </c>
      <c r="BN49">
        <f>'Costing 100 Lmin Feed Orig'!BN49</f>
        <v>19.6920926931768</v>
      </c>
      <c r="BO49">
        <f t="shared" si="1"/>
        <v>199.94790555590581</v>
      </c>
      <c r="BP49">
        <f t="shared" si="2"/>
        <v>511.99441002259681</v>
      </c>
      <c r="BQ49">
        <f t="shared" si="3"/>
        <v>19.994790555590583</v>
      </c>
      <c r="BR49">
        <f t="shared" si="4"/>
        <v>51.199441002259682</v>
      </c>
      <c r="BS49">
        <f>1.2*0.5*BL49*V49/'Oxidant Feed Composition'!$N$22</f>
        <v>6.6649301851968596</v>
      </c>
      <c r="BT49">
        <f>1.2*0.5*BN49*BA49/'Oxidant Feed Composition'!$N$22</f>
        <v>11.81525561590608</v>
      </c>
      <c r="BU49">
        <f t="shared" si="5"/>
        <v>5.5541084876640499</v>
      </c>
      <c r="BV49">
        <f t="shared" si="6"/>
        <v>9.8460463465884001</v>
      </c>
      <c r="BW49">
        <f t="shared" si="7"/>
        <v>86.809113149961348</v>
      </c>
      <c r="BX49">
        <f t="shared" si="0"/>
        <v>35.54629432104992</v>
      </c>
      <c r="BY49">
        <f t="shared" si="8"/>
        <v>206.94287722590701</v>
      </c>
      <c r="BZ49">
        <f t="shared" si="9"/>
        <v>63.014696618165758</v>
      </c>
      <c r="CA49">
        <f t="shared" si="10"/>
        <v>59.076278079530397</v>
      </c>
      <c r="CB49">
        <f>BO49*'Reagent cost'!$G$11*'Reagent cost'!$H$11</f>
        <v>2639.3123533379567</v>
      </c>
      <c r="CC49">
        <f>BP49*'Reagent cost'!$G$11*'Reagent cost'!$H$11</f>
        <v>6758.3262122982787</v>
      </c>
      <c r="CD49">
        <f>BQ49*'Reagent cost'!$C$18/1000*'Reagent cost'!$H$18</f>
        <v>3188.7782491883527</v>
      </c>
      <c r="CE49">
        <f>BR49*'Ligand cost'!$B$56*'Ligand cost'!$J$56</f>
        <v>52127.570744009543</v>
      </c>
      <c r="CF49">
        <f t="shared" si="11"/>
        <v>10</v>
      </c>
      <c r="CG49">
        <f t="shared" si="12"/>
        <v>2.22164339506562</v>
      </c>
      <c r="CH49">
        <f t="shared" si="12"/>
        <v>3.9384185386353603</v>
      </c>
      <c r="CI49">
        <f>7963.6*(BX49/1000)^0.6*1.7*('CAPEX+OPEX'!$G$116/'CAPEX+OPEX'!$G$115)</f>
        <v>2156.3414312027717</v>
      </c>
      <c r="CJ49">
        <f>7963.6*(BY49/1000)^0.6*1.7*('CAPEX+OPEX'!$G$116/'CAPEX+OPEX'!$G$115)</f>
        <v>6205.1347590783025</v>
      </c>
      <c r="CK49">
        <f>7963.6*(BZ49/1000)^0.6*1.7*('CAPEX+OPEX'!$G$116/'CAPEX+OPEX'!$G$115)</f>
        <v>3040.2271824467625</v>
      </c>
      <c r="CL49">
        <f>7963.6*(CA49/1000)^0.6*1.7*('CAPEX+OPEX'!$G$116/'CAPEX+OPEX'!$G$115)</f>
        <v>2924.7503628614727</v>
      </c>
      <c r="CM49">
        <f>'Costing 100 Lmin Feed Orig'!DE49</f>
        <v>39625.826528698344</v>
      </c>
      <c r="CN49">
        <f>'Costing 100 Lmin Feed Orig'!DF49</f>
        <v>4586243.4239371875</v>
      </c>
      <c r="CO49">
        <f>'Costing 100 Lmin Feed Orig'!DG49</f>
        <v>11794834.586807497</v>
      </c>
      <c r="CP49">
        <f>'Costing 100 Lmin Feed Orig'!DH49</f>
        <v>2275209.1661185985</v>
      </c>
      <c r="CQ49">
        <f>'Costing 100 Lmin Feed Orig'!DI49</f>
        <v>14083914.336508472</v>
      </c>
      <c r="CR49">
        <f>'Costing 100 Lmin Feed Orig'!DJ49</f>
        <v>1662824.8986326549</v>
      </c>
      <c r="CS49">
        <f>CN49*(BK49/10000)^0.72*((A49+1)/3)^0.6*('CAPEX+OPEX'!$G$116/'CAPEX+OPEX'!$G$114)</f>
        <v>700033.84449786716</v>
      </c>
      <c r="CT49">
        <f>CO49*(BK49/10000)^0.72*((A49+1)/3)^0.6*('CAPEX+OPEX'!$G$116/'CAPEX+OPEX'!$G$114)</f>
        <v>1800336.9288957189</v>
      </c>
      <c r="CU49">
        <f>CP49*(BK49/10000)^0.72*((A49+1)/3)^0.6*('CAPEX+OPEX'!$G$116/'CAPEX+OPEX'!$G$114)</f>
        <v>347282.79168127343</v>
      </c>
      <c r="CV49">
        <f>CQ49*(BK49/10000)^0.72*((A49+1)/3)^0.6*('CAPEX+OPEX'!$G$116/'CAPEX+OPEX'!$G$114)</f>
        <v>2149736.8951473436</v>
      </c>
      <c r="CW49">
        <f>CR49*(BK49/10000)^0.72*((A49+1)/3)^0.6*('CAPEX+OPEX'!$G$116/'CAPEX+OPEX'!$G$114)</f>
        <v>253809.83932102245</v>
      </c>
      <c r="CX49">
        <f t="shared" si="13"/>
        <v>5251200.2995432261</v>
      </c>
      <c r="CY49">
        <f>CN49*(BM49/10000)^0.72*((AF49+1)/3)^0.6*('CAPEX+OPEX'!$G$116/'CAPEX+OPEX'!$G$114)</f>
        <v>843204.90681236121</v>
      </c>
      <c r="CZ49">
        <f>CO49*(BM49/10000)^0.72*((AF49+1)/3)^0.6*('CAPEX+OPEX'!$G$116/'CAPEX+OPEX'!$G$114)</f>
        <v>2168542.1987693524</v>
      </c>
      <c r="DA49">
        <f>CP49*(BM49/10000)^0.72*((AF49+1)/3)^0.6*('CAPEX+OPEX'!$G$116/'CAPEX+OPEX'!$G$114)</f>
        <v>418309.13790631329</v>
      </c>
      <c r="DB49">
        <f>CQ49*(BM49/10000)^0.72*((AF49+1)/3)^0.6*('CAPEX+OPEX'!$G$116/'CAPEX+OPEX'!$G$114)</f>
        <v>2589401.5162138832</v>
      </c>
      <c r="DC49">
        <f>CR49*(BM49/10000)^0.72*((AF49+1)/3)^0.6*('CAPEX+OPEX'!$G$116/'CAPEX+OPEX'!$G$114)</f>
        <v>305719.07857720047</v>
      </c>
      <c r="DD49">
        <f t="shared" si="14"/>
        <v>6325176.8382791113</v>
      </c>
      <c r="DE49">
        <f>CX49+DD49+1.15*(SUM(CI49:CL49)+SUM(CB49:CE49))</f>
        <v>11667273.645310923</v>
      </c>
      <c r="DF49">
        <f t="shared" si="15"/>
        <v>777818.24302072823</v>
      </c>
      <c r="DG49">
        <f>(BS49+BT49)*'Oxidant Feed Composition'!$N$29*60*7200</f>
        <v>9219236.9020637795</v>
      </c>
      <c r="DH49">
        <f>((CG49+CH49)*'Reagent cost'!$C$17/1000*'Reagent cost'!$H$17+(CG49+CH49)*0.5*'Reagent cost'!$C$16/1000*'Reagent cost'!$H$16*0.5)*60*7200</f>
        <v>3121139.2777563725</v>
      </c>
      <c r="DI49">
        <f>CF49*'Reagent cost'!$C$17/1000*'Reagent cost'!$H$17*60*7200</f>
        <v>504921.59999999998</v>
      </c>
      <c r="DJ49">
        <f t="shared" si="16"/>
        <v>93.976385656362368</v>
      </c>
      <c r="DK49">
        <f t="shared" si="17"/>
        <v>1106.3269798639581</v>
      </c>
      <c r="DL49">
        <f t="shared" si="18"/>
        <v>15415797.699822806</v>
      </c>
      <c r="DM49">
        <f>BK49*(B49*(409.81+2)/1000+C49*(248.2+2*22.99)/1000+D49*(315.6+3*22.99)/1000+0.1*58.44/1000)</f>
        <v>0.70639694042110623</v>
      </c>
      <c r="DN49">
        <f>(BS49+BT49)/1000*('Oxidant Feed Composition'!$B$11*'Oxidant Feed Composition'!$O$20+'Oxidant Feed Composition'!$D$11*'Oxidant Feed Composition'!$O$21+'Oxidant Feed Composition'!$F$11*'Oxidant Feed Composition'!$O$27-'Oxidant Feed Composition'!$J$15*18.015)</f>
        <v>2.1581999978963382</v>
      </c>
      <c r="DO49">
        <f>(BU49+BV49)/1000*(0.2*368.34+0.4*58.44)</f>
        <v>1.4944926257351949</v>
      </c>
      <c r="DP49">
        <f>BK49/1000*(B49*195.08+C49*106.42+D49*102.91)</f>
        <v>4.999938342565946E-2</v>
      </c>
      <c r="DQ49">
        <f>SUM(DM49:DO49)-DP49</f>
        <v>4.3090901806269795</v>
      </c>
      <c r="DR49">
        <f>DQ49*60*7200*0.33</f>
        <v>614303.89615018223</v>
      </c>
      <c r="DS49">
        <v>1.2</v>
      </c>
      <c r="DT49">
        <f>BM49/60*(AM49*4+AN49*2+AO49*3)*96485/DV49</f>
        <v>1405.9601521286265</v>
      </c>
      <c r="DU49">
        <f>BN49*BA49*(AP49*4+AQ49*2+AR49*3)*96485/DV49/60</f>
        <v>705.927382080764</v>
      </c>
      <c r="DV49">
        <v>0.7</v>
      </c>
      <c r="DW49">
        <f>0.499*((BK49/3.78541*15)^(-0.146))*BK49/3.78541*15*300*(1+(A49-2)/9)</f>
        <v>38528.386667103026</v>
      </c>
      <c r="DX49">
        <f>0.248*((BK49/3.78541*15)^(-0.144))*BK49/3.78541*15*300*(1+(A49-2)/3)</f>
        <v>33220.879177835675</v>
      </c>
      <c r="DY49">
        <f>0.105*((BK49/3.78541*15)^(-0.144))*BK49/3.78541*15*300*(1+(A49-2)/3)</f>
        <v>14065.291587390104</v>
      </c>
      <c r="DZ49">
        <f>0.058*((BK49/3.78541*15)^(-0.151))*BK49/3.78541*15*300*(1+(A49-2)/3)</f>
        <v>7450.7773575794354</v>
      </c>
      <c r="EA49">
        <f>0.056*((BK49/3.78541*15)^(-0.144))*BK49/3.78541*15*300*(1+(A49-2)/3)</f>
        <v>7501.4888466080574</v>
      </c>
      <c r="EB49">
        <f>DS49*DT49/(3.6*10^6)*3600*7200*0.07</f>
        <v>850.3247000073934</v>
      </c>
      <c r="EC49">
        <f>0.499*((BM49/3.78541*15)^(-0.146))*BM49/3.78541*15*300*(1+(AF49-2)/9)</f>
        <v>46287.262995404846</v>
      </c>
      <c r="ED49">
        <f>0.248*((BM49/3.78541*15)^(-0.144))*BM49/3.78541*15*300*(1+(AF49-2)/3)</f>
        <v>46555.349038729662</v>
      </c>
      <c r="EE49">
        <f>0.105*((BM49/3.78541*15)^(-0.144))*BM49/3.78541*15*300*(1+(AF49-2)/3)</f>
        <v>19710.93406881699</v>
      </c>
      <c r="EF49">
        <f>0.058*((BM49/3.78541*15)^(-0.151))*BM49/3.78541*15*300*(1+(AF49-2)/3)</f>
        <v>10447.239668831275</v>
      </c>
      <c r="EG49">
        <f>0.056*((BM49/3.78541*15)^(-0.144))*BM49/3.78541*15*300*(1+(AF49-2)/3)</f>
        <v>10512.498170035729</v>
      </c>
      <c r="EH49">
        <f>DS49*DU49/(3.6*10^6)*3600*7200*0.07</f>
        <v>426.94488068244613</v>
      </c>
      <c r="EI49">
        <f>SUM(DW49:EH49)</f>
        <v>235557.37715902465</v>
      </c>
      <c r="EJ49">
        <f>EI49+DR49+DL49</f>
        <v>16265658.973132012</v>
      </c>
      <c r="EK49">
        <f>EJ49+DF49</f>
        <v>17043477.216152743</v>
      </c>
      <c r="EL49">
        <f>EK49/(BK49*60*7200)</f>
        <v>0.39452493555909124</v>
      </c>
      <c r="EM49">
        <f>EK49/(BM49*(AM49*195.084/1000+AN49*106.42/1000+AO49*102.911/1000)*60*7200)</f>
        <v>1319.8581987175303</v>
      </c>
      <c r="EN49">
        <f>EK49/(BN49*BA49*(AP49*195.084/1000+AQ49*106.42/1000+AR49*102.911/1000)*60*7200)</f>
        <v>2421.8622603535409</v>
      </c>
    </row>
    <row r="50" spans="1:144">
      <c r="A50">
        <f>'Costing 100 Lmin Feed Orig'!A50</f>
        <v>7</v>
      </c>
      <c r="B50">
        <f>'Costing 100 Lmin Feed Orig'!B50</f>
        <v>1.54143585092054E-3</v>
      </c>
      <c r="C50">
        <f>'Costing 100 Lmin Feed Orig'!C50</f>
        <v>1.54143585092054E-3</v>
      </c>
      <c r="D50">
        <f>'Costing 100 Lmin Feed Orig'!D50</f>
        <v>3.4254130020456501E-4</v>
      </c>
      <c r="E50">
        <f>'Costing 100 Lmin Feed Orig'!E50</f>
        <v>0</v>
      </c>
      <c r="F50">
        <f>'Costing 100 Lmin Feed Orig'!F50</f>
        <v>0</v>
      </c>
      <c r="G50">
        <f>'Costing 100 Lmin Feed Orig'!G50</f>
        <v>0</v>
      </c>
      <c r="H50">
        <f>'Costing 100 Lmin Feed Orig'!H50</f>
        <v>1.7744466230058299E-5</v>
      </c>
      <c r="I50">
        <f>'Costing 100 Lmin Feed Orig'!I50</f>
        <v>1.2927742824924801E-8</v>
      </c>
      <c r="J50">
        <f>'Costing 100 Lmin Feed Orig'!J50</f>
        <v>3.3739048286900598E-4</v>
      </c>
      <c r="K50">
        <f>'Costing 100 Lmin Feed Orig'!K50</f>
        <v>0.13716795306346499</v>
      </c>
      <c r="L50">
        <f>'Costing 100 Lmin Feed Orig'!L50</f>
        <v>0.138764207307677</v>
      </c>
      <c r="M50">
        <f>'Costing 100 Lmin Feed Orig'!M50</f>
        <v>4.6369433969460899E-4</v>
      </c>
      <c r="N50">
        <f>'Costing 100 Lmin Feed Orig'!N50</f>
        <v>-1.1037178115902399E-16</v>
      </c>
      <c r="O50">
        <f>'Costing 100 Lmin Feed Orig'!O50</f>
        <v>-5.3700533603207003E-15</v>
      </c>
      <c r="P50">
        <f>'Costing 100 Lmin Feed Orig'!P50</f>
        <v>-3.4304834363799101E-19</v>
      </c>
      <c r="Q50">
        <f>'Costing 100 Lmin Feed Orig'!Q50</f>
        <v>0.111082169753281</v>
      </c>
      <c r="R50">
        <f>'Costing 100 Lmin Feed Orig'!R50</f>
        <v>98.496293050653193</v>
      </c>
      <c r="S50">
        <f>'Costing 100 Lmin Feed Orig'!S50</f>
        <v>500</v>
      </c>
      <c r="T50">
        <f>'Costing 100 Lmin Feed Orig'!T50</f>
        <v>95</v>
      </c>
      <c r="U50">
        <f>'Costing 100 Lmin Feed Orig'!U50</f>
        <v>1</v>
      </c>
      <c r="V50">
        <f>'Costing 100 Lmin Feed Orig'!V50</f>
        <v>0.1</v>
      </c>
      <c r="W50">
        <f>'Costing 100 Lmin Feed Orig'!W50</f>
        <v>90.023448607553206</v>
      </c>
      <c r="X50" t="str">
        <f>'Costing 100 Lmin Feed Orig'!X50</f>
        <v>ddFc</v>
      </c>
      <c r="Y50">
        <f>'Costing 100 Lmin Feed Orig'!Y50</f>
        <v>1</v>
      </c>
      <c r="Z50">
        <f>'Costing 100 Lmin Feed Orig'!Z50</f>
        <v>0.28318429382522198</v>
      </c>
      <c r="AA50">
        <f>'Costing 100 Lmin Feed Orig'!AA50</f>
        <v>0.56945642916197003</v>
      </c>
      <c r="AB50">
        <f>'Costing 100 Lmin Feed Orig'!AB50</f>
        <v>3.7698628972227502E-3</v>
      </c>
      <c r="AC50">
        <f>'Costing 100 Lmin Feed Orig'!AC50</f>
        <v>1822.2107908876901</v>
      </c>
      <c r="AD50">
        <f>'Costing 100 Lmin Feed Orig'!AD50</f>
        <v>2662.6059073104898</v>
      </c>
      <c r="AE50">
        <f>'Costing 100 Lmin Feed Orig'!AE50</f>
        <v>2401.5030938442701</v>
      </c>
      <c r="AF50">
        <f>'Costing 100 Lmin Feed Orig'!AF50</f>
        <v>12</v>
      </c>
      <c r="AG50">
        <f>'Costing 100 Lmin Feed Orig'!AG50</f>
        <v>1.64967327652189E-3</v>
      </c>
      <c r="AH50">
        <f>'Costing 100 Lmin Feed Orig'!AH50</f>
        <v>1.66887089455438E-3</v>
      </c>
      <c r="AI50">
        <f>'Costing 100 Lmin Feed Orig'!AI50</f>
        <v>5.5766973522943398E-6</v>
      </c>
      <c r="AJ50">
        <f>'Costing 100 Lmin Feed Orig'!AJ50</f>
        <v>0</v>
      </c>
      <c r="AK50">
        <f>'Costing 100 Lmin Feed Orig'!AK50</f>
        <v>0</v>
      </c>
      <c r="AL50">
        <f>'Costing 100 Lmin Feed Orig'!AL50</f>
        <v>0</v>
      </c>
      <c r="AM50">
        <f>'Costing 100 Lmin Feed Orig'!AM50</f>
        <v>1.6127216178039401E-3</v>
      </c>
      <c r="AN50">
        <f>'Costing 100 Lmin Feed Orig'!AN50</f>
        <v>7.9340068948572E-5</v>
      </c>
      <c r="AO50">
        <f>'Costing 100 Lmin Feed Orig'!AO50</f>
        <v>5.5400161990028701E-6</v>
      </c>
      <c r="AP50">
        <f>'Costing 100 Lmin Feed Orig'!AP50</f>
        <v>1.7331814378101901E-3</v>
      </c>
      <c r="AQ50">
        <f>'Costing 100 Lmin Feed Orig'!AQ50</f>
        <v>7.4555389865565105E-2</v>
      </c>
      <c r="AR50">
        <f>'Costing 100 Lmin Feed Orig'!AR50</f>
        <v>1.7204936451815799E-6</v>
      </c>
      <c r="AS50">
        <f>'Costing 100 Lmin Feed Orig'!AS50</f>
        <v>4.8772157102902604E-16</v>
      </c>
      <c r="AT50">
        <f>'Costing 100 Lmin Feed Orig'!AT50</f>
        <v>-4.7916531853431302E-14</v>
      </c>
      <c r="AU50">
        <f>'Costing 100 Lmin Feed Orig'!AU50</f>
        <v>-4.0829635035617401E-21</v>
      </c>
      <c r="AV50">
        <f>'Costing 100 Lmin Feed Orig'!AV50</f>
        <v>0.19691961669677699</v>
      </c>
      <c r="AW50">
        <f>'Costing 100 Lmin Feed Orig'!AW50</f>
        <v>99.342242352879694</v>
      </c>
      <c r="AX50">
        <f>'Costing 100 Lmin Feed Orig'!AX50</f>
        <v>500</v>
      </c>
      <c r="AY50">
        <f>'Costing 100 Lmin Feed Orig'!AY50</f>
        <v>95</v>
      </c>
      <c r="AZ50">
        <f>'Costing 100 Lmin Feed Orig'!AZ50</f>
        <v>0.92363221637625403</v>
      </c>
      <c r="BA50">
        <f>'Costing 100 Lmin Feed Orig'!BA50</f>
        <v>0.1</v>
      </c>
      <c r="BB50">
        <f>'Costing 100 Lmin Feed Orig'!BB50</f>
        <v>46.904022660093197</v>
      </c>
      <c r="BC50" t="str">
        <f>'Costing 100 Lmin Feed Orig'!BC50</f>
        <v>coeFc</v>
      </c>
      <c r="BD50">
        <f>'Costing 100 Lmin Feed Orig'!BD50</f>
        <v>1</v>
      </c>
      <c r="BE50">
        <f>'Costing 100 Lmin Feed Orig'!BE50</f>
        <v>1.8775014999999999E-2</v>
      </c>
      <c r="BF50">
        <f>'Costing 100 Lmin Feed Orig'!BF50</f>
        <v>0.10492961100000001</v>
      </c>
      <c r="BG50">
        <f>'Costing 100 Lmin Feed Orig'!BG50</f>
        <v>1.814625E-3</v>
      </c>
      <c r="BH50">
        <f>'Costing 100 Lmin Feed Orig'!BH50</f>
        <v>285.1951444</v>
      </c>
      <c r="BI50">
        <f>'Costing 100 Lmin Feed Orig'!BI50</f>
        <v>2169.8944889999998</v>
      </c>
      <c r="BJ50">
        <f>'Costing 100 Lmin Feed Orig'!BJ50</f>
        <v>866.49409060000005</v>
      </c>
      <c r="BK50">
        <f>'Costing 100 Lmin Feed Orig'!BK50</f>
        <v>100</v>
      </c>
      <c r="BL50">
        <f>'Costing 100 Lmin Feed Orig'!BL50</f>
        <v>11.1082169753281</v>
      </c>
      <c r="BM50">
        <f>'Costing 100 Lmin Feed Orig'!BM50</f>
        <v>92.363221637625401</v>
      </c>
      <c r="BN50">
        <f>'Costing 100 Lmin Feed Orig'!BN50</f>
        <v>19.691961669677699</v>
      </c>
      <c r="BO50">
        <f t="shared" si="1"/>
        <v>199.94790555590581</v>
      </c>
      <c r="BP50">
        <f t="shared" si="2"/>
        <v>551.37492675097553</v>
      </c>
      <c r="BQ50">
        <f t="shared" si="3"/>
        <v>19.994790555590583</v>
      </c>
      <c r="BR50">
        <f t="shared" si="4"/>
        <v>55.137492675097555</v>
      </c>
      <c r="BS50">
        <f>1.2*0.5*BL50*V50/'Oxidant Feed Composition'!$N$22</f>
        <v>6.6649301851968596</v>
      </c>
      <c r="BT50">
        <f>1.2*0.5*BN50*BA50/'Oxidant Feed Composition'!$N$22</f>
        <v>11.815177001806619</v>
      </c>
      <c r="BU50">
        <f t="shared" si="5"/>
        <v>5.5541084876640499</v>
      </c>
      <c r="BV50">
        <f t="shared" si="6"/>
        <v>9.8459808348388496</v>
      </c>
      <c r="BW50">
        <f t="shared" si="7"/>
        <v>86.809113149961348</v>
      </c>
      <c r="BX50">
        <f t="shared" si="0"/>
        <v>35.54629432104992</v>
      </c>
      <c r="BY50">
        <f t="shared" si="8"/>
        <v>206.94287722590701</v>
      </c>
      <c r="BZ50">
        <f t="shared" si="9"/>
        <v>63.01427734296864</v>
      </c>
      <c r="CA50">
        <f t="shared" si="10"/>
        <v>59.075885009033101</v>
      </c>
      <c r="CB50">
        <f>BO50*'Reagent cost'!$G$11*'Reagent cost'!$H$11</f>
        <v>2639.3123533379567</v>
      </c>
      <c r="CC50">
        <f>BP50*'Reagent cost'!$G$11*'Reagent cost'!$H$11</f>
        <v>7278.1490331128771</v>
      </c>
      <c r="CD50">
        <f>BQ50*'Reagent cost'!$C$18/1000*'Reagent cost'!$H$18</f>
        <v>3188.7782491883527</v>
      </c>
      <c r="CE50">
        <f>BR50*'Ligand cost'!$B$56*'Ligand cost'!$J$56</f>
        <v>56137.010361921792</v>
      </c>
      <c r="CF50">
        <f t="shared" si="11"/>
        <v>10</v>
      </c>
      <c r="CG50">
        <f t="shared" si="12"/>
        <v>2.22164339506562</v>
      </c>
      <c r="CH50">
        <f t="shared" si="12"/>
        <v>3.93839233393554</v>
      </c>
      <c r="CI50">
        <f>7963.6*(BX50/1000)^0.6*1.7*('CAPEX+OPEX'!$G$116/'CAPEX+OPEX'!$G$115)</f>
        <v>2156.3414312027717</v>
      </c>
      <c r="CJ50">
        <f>7963.6*(BY50/1000)^0.6*1.7*('CAPEX+OPEX'!$G$116/'CAPEX+OPEX'!$G$115)</f>
        <v>6205.1347590783025</v>
      </c>
      <c r="CK50">
        <f>7963.6*(BZ50/1000)^0.6*1.7*('CAPEX+OPEX'!$G$116/'CAPEX+OPEX'!$G$115)</f>
        <v>3040.2150453395552</v>
      </c>
      <c r="CL50">
        <f>7963.6*(CA50/1000)^0.6*1.7*('CAPEX+OPEX'!$G$116/'CAPEX+OPEX'!$G$115)</f>
        <v>2924.7386867574915</v>
      </c>
      <c r="CM50">
        <f>'Costing 100 Lmin Feed Orig'!DE50</f>
        <v>39625.826528698344</v>
      </c>
      <c r="CN50">
        <f>'Costing 100 Lmin Feed Orig'!DF50</f>
        <v>4586243.4239371875</v>
      </c>
      <c r="CO50">
        <f>'Costing 100 Lmin Feed Orig'!DG50</f>
        <v>11794834.586807497</v>
      </c>
      <c r="CP50">
        <f>'Costing 100 Lmin Feed Orig'!DH50</f>
        <v>2275209.1661185985</v>
      </c>
      <c r="CQ50">
        <f>'Costing 100 Lmin Feed Orig'!DI50</f>
        <v>14083914.336508472</v>
      </c>
      <c r="CR50">
        <f>'Costing 100 Lmin Feed Orig'!DJ50</f>
        <v>1662824.8986326549</v>
      </c>
      <c r="CS50">
        <f>CN50*(BK50/10000)^0.72*((A50+1)/3)^0.6*('CAPEX+OPEX'!$G$116/'CAPEX+OPEX'!$G$114)</f>
        <v>700033.84449786716</v>
      </c>
      <c r="CT50">
        <f>CO50*(BK50/10000)^0.72*((A50+1)/3)^0.6*('CAPEX+OPEX'!$G$116/'CAPEX+OPEX'!$G$114)</f>
        <v>1800336.9288957189</v>
      </c>
      <c r="CU50">
        <f>CP50*(BK50/10000)^0.72*((A50+1)/3)^0.6*('CAPEX+OPEX'!$G$116/'CAPEX+OPEX'!$G$114)</f>
        <v>347282.79168127343</v>
      </c>
      <c r="CV50">
        <f>CQ50*(BK50/10000)^0.72*((A50+1)/3)^0.6*('CAPEX+OPEX'!$G$116/'CAPEX+OPEX'!$G$114)</f>
        <v>2149736.8951473436</v>
      </c>
      <c r="CW50">
        <f>CR50*(BK50/10000)^0.72*((A50+1)/3)^0.6*('CAPEX+OPEX'!$G$116/'CAPEX+OPEX'!$G$114)</f>
        <v>253809.83932102245</v>
      </c>
      <c r="CX50">
        <f t="shared" si="13"/>
        <v>5251200.2995432261</v>
      </c>
      <c r="CY50">
        <f>CN50*(BM50/10000)^0.72*((AF50+1)/3)^0.6*('CAPEX+OPEX'!$G$116/'CAPEX+OPEX'!$G$114)</f>
        <v>884688.5141556306</v>
      </c>
      <c r="CZ50">
        <f>CO50*(BM50/10000)^0.72*((AF50+1)/3)^0.6*('CAPEX+OPEX'!$G$116/'CAPEX+OPEX'!$G$114)</f>
        <v>2275229.140880656</v>
      </c>
      <c r="DA50">
        <f>CP50*(BM50/10000)^0.72*((AF50+1)/3)^0.6*('CAPEX+OPEX'!$G$116/'CAPEX+OPEX'!$G$114)</f>
        <v>438888.91855608189</v>
      </c>
      <c r="DB50">
        <f>CQ50*(BM50/10000)^0.72*((AF50+1)/3)^0.6*('CAPEX+OPEX'!$G$116/'CAPEX+OPEX'!$G$114)</f>
        <v>2716793.7015354363</v>
      </c>
      <c r="DC50">
        <f>CR50*(BM50/10000)^0.72*((AF50+1)/3)^0.6*('CAPEX+OPEX'!$G$116/'CAPEX+OPEX'!$G$114)</f>
        <v>320759.70525119215</v>
      </c>
      <c r="DD50">
        <f t="shared" si="14"/>
        <v>6636359.9803789966</v>
      </c>
      <c r="DE50">
        <f>CX50+DD50+1.15*(SUM(CI50:CL50)+SUM(CB50:CE50))</f>
        <v>11983665.411830153</v>
      </c>
      <c r="DF50">
        <f t="shared" si="15"/>
        <v>798911.02745534352</v>
      </c>
      <c r="DG50">
        <f>(BS50+BT50)*'Oxidant Feed Composition'!$N$29*60*7200</f>
        <v>9219197.6837347765</v>
      </c>
      <c r="DH50">
        <f>((CG50+CH50)*'Reagent cost'!$C$17/1000*'Reagent cost'!$H$17+(CG50+CH50)*0.5*'Reagent cost'!$C$16/1000*'Reagent cost'!$H$16*0.5)*60*7200</f>
        <v>3121126.0005330672</v>
      </c>
      <c r="DI50">
        <f>CF50*'Reagent cost'!$C$17/1000*'Reagent cost'!$H$17*60*7200</f>
        <v>504921.59999999998</v>
      </c>
      <c r="DJ50">
        <f t="shared" si="16"/>
        <v>99.174613864508345</v>
      </c>
      <c r="DK50">
        <f t="shared" si="17"/>
        <v>1186.5157722222029</v>
      </c>
      <c r="DL50">
        <f t="shared" si="18"/>
        <v>15415837.169584714</v>
      </c>
      <c r="DM50">
        <f>BK50*(B50*(409.81+2)/1000+C50*(248.2+2*22.99)/1000+D50*(315.6+3*22.99)/1000+0.1*58.44/1000)</f>
        <v>0.70639694042110623</v>
      </c>
      <c r="DN50">
        <f>(BS50+BT50)/1000*('Oxidant Feed Composition'!$B$11*'Oxidant Feed Composition'!$O$20+'Oxidant Feed Composition'!$D$11*'Oxidant Feed Composition'!$O$21+'Oxidant Feed Composition'!$F$11*'Oxidant Feed Composition'!$O$27-'Oxidant Feed Composition'!$J$15*18.015)</f>
        <v>2.1581908169848951</v>
      </c>
      <c r="DO50">
        <f>(BU50+BV50)/1000*(0.2*368.34+0.4*58.44)</f>
        <v>1.4944862682129714</v>
      </c>
      <c r="DP50">
        <f>BK50/1000*(B50*195.08+C50*106.42+D50*102.91)</f>
        <v>4.999938342565946E-2</v>
      </c>
      <c r="DQ50">
        <f>SUM(DM50:DO50)-DP50</f>
        <v>4.3090746421933126</v>
      </c>
      <c r="DR50">
        <f>DQ50*60*7200*0.33</f>
        <v>614301.68099107873</v>
      </c>
      <c r="DS50">
        <v>1.2</v>
      </c>
      <c r="DT50">
        <f>BM50/60*(AM50*4+AN50*2+AO50*3)*96485/DV50</f>
        <v>1405.960919870389</v>
      </c>
      <c r="DU50">
        <f>BN50*BA50*(AP50*4+AQ50*2+AR50*3)*96485/DV50/60</f>
        <v>705.92661426068241</v>
      </c>
      <c r="DV50">
        <v>0.7</v>
      </c>
      <c r="DW50">
        <f>0.499*((BK50/3.78541*15)^(-0.146))*BK50/3.78541*15*300*(1+(A50-2)/9)</f>
        <v>38528.386667103026</v>
      </c>
      <c r="DX50">
        <f>0.248*((BK50/3.78541*15)^(-0.144))*BK50/3.78541*15*300*(1+(A50-2)/3)</f>
        <v>33220.879177835675</v>
      </c>
      <c r="DY50">
        <f>0.105*((BK50/3.78541*15)^(-0.144))*BK50/3.78541*15*300*(1+(A50-2)/3)</f>
        <v>14065.291587390104</v>
      </c>
      <c r="DZ50">
        <f>0.058*((BK50/3.78541*15)^(-0.151))*BK50/3.78541*15*300*(1+(A50-2)/3)</f>
        <v>7450.7773575794354</v>
      </c>
      <c r="EA50">
        <f>0.056*((BK50/3.78541*15)^(-0.144))*BK50/3.78541*15*300*(1+(A50-2)/3)</f>
        <v>7501.4888466080574</v>
      </c>
      <c r="EB50">
        <f>DS50*DT50/(3.6*10^6)*3600*7200*0.07</f>
        <v>850.32516433761134</v>
      </c>
      <c r="EC50">
        <f>0.499*((BM50/3.78541*15)^(-0.146))*BM50/3.78541*15*300*(1+(AF50-2)/9)</f>
        <v>48858.777606260672</v>
      </c>
      <c r="ED50">
        <f>0.248*((BM50/3.78541*15)^(-0.144))*BM50/3.78541*15*300*(1+(AF50-2)/3)</f>
        <v>50434.961458623809</v>
      </c>
      <c r="EE50">
        <f>0.105*((BM50/3.78541*15)^(-0.144))*BM50/3.78541*15*300*(1+(AF50-2)/3)</f>
        <v>21353.511907885077</v>
      </c>
      <c r="EF50">
        <f>0.058*((BM50/3.78541*15)^(-0.151))*BM50/3.78541*15*300*(1+(AF50-2)/3)</f>
        <v>11317.842974567217</v>
      </c>
      <c r="EG50">
        <f>0.056*((BM50/3.78541*15)^(-0.144))*BM50/3.78541*15*300*(1+(AF50-2)/3)</f>
        <v>11388.539684205374</v>
      </c>
      <c r="EH50">
        <f>DS50*DU50/(3.6*10^6)*3600*7200*0.07</f>
        <v>426.94441630486074</v>
      </c>
      <c r="EI50">
        <f>SUM(DW50:EH50)</f>
        <v>245397.72684870093</v>
      </c>
      <c r="EJ50">
        <f>EI50+DR50+DL50</f>
        <v>16275536.577424493</v>
      </c>
      <c r="EK50">
        <f>EJ50+DF50</f>
        <v>17074447.604879837</v>
      </c>
      <c r="EL50">
        <f>EK50/(BK50*60*7200)</f>
        <v>0.39524184270555179</v>
      </c>
      <c r="EM50">
        <f>EK50/(BM50*(AM50*195.084/1000+AN50*106.42/1000+AO50*102.911/1000)*60*7200)</f>
        <v>1322.2558436940919</v>
      </c>
      <c r="EN50">
        <f>EK50/(BN50*BA50*(AP50*195.084/1000+AQ50*106.42/1000+AR50*102.911/1000)*60*7200)</f>
        <v>2426.265556732104</v>
      </c>
    </row>
    <row r="51" spans="1:144">
      <c r="A51">
        <f>'Costing 100 Lmin Feed Orig'!A51</f>
        <v>7</v>
      </c>
      <c r="B51">
        <f>'Costing 100 Lmin Feed Orig'!B51</f>
        <v>1.54143585092054E-3</v>
      </c>
      <c r="C51">
        <f>'Costing 100 Lmin Feed Orig'!C51</f>
        <v>1.54143585092054E-3</v>
      </c>
      <c r="D51">
        <f>'Costing 100 Lmin Feed Orig'!D51</f>
        <v>3.4254130020456501E-4</v>
      </c>
      <c r="E51">
        <f>'Costing 100 Lmin Feed Orig'!E51</f>
        <v>0</v>
      </c>
      <c r="F51">
        <f>'Costing 100 Lmin Feed Orig'!F51</f>
        <v>0</v>
      </c>
      <c r="G51">
        <f>'Costing 100 Lmin Feed Orig'!G51</f>
        <v>0</v>
      </c>
      <c r="H51">
        <f>'Costing 100 Lmin Feed Orig'!H51</f>
        <v>1.7744466230058299E-5</v>
      </c>
      <c r="I51">
        <f>'Costing 100 Lmin Feed Orig'!I51</f>
        <v>1.2927742824924801E-8</v>
      </c>
      <c r="J51">
        <f>'Costing 100 Lmin Feed Orig'!J51</f>
        <v>3.3739048286900598E-4</v>
      </c>
      <c r="K51">
        <f>'Costing 100 Lmin Feed Orig'!K51</f>
        <v>0.13716795306346499</v>
      </c>
      <c r="L51">
        <f>'Costing 100 Lmin Feed Orig'!L51</f>
        <v>0.138764207307677</v>
      </c>
      <c r="M51">
        <f>'Costing 100 Lmin Feed Orig'!M51</f>
        <v>4.6369433969460899E-4</v>
      </c>
      <c r="N51">
        <f>'Costing 100 Lmin Feed Orig'!N51</f>
        <v>-1.1037178115902399E-16</v>
      </c>
      <c r="O51">
        <f>'Costing 100 Lmin Feed Orig'!O51</f>
        <v>-5.3700533603207003E-15</v>
      </c>
      <c r="P51">
        <f>'Costing 100 Lmin Feed Orig'!P51</f>
        <v>-3.4304834363799101E-19</v>
      </c>
      <c r="Q51">
        <f>'Costing 100 Lmin Feed Orig'!Q51</f>
        <v>0.111082169753281</v>
      </c>
      <c r="R51">
        <f>'Costing 100 Lmin Feed Orig'!R51</f>
        <v>98.496293050653193</v>
      </c>
      <c r="S51">
        <f>'Costing 100 Lmin Feed Orig'!S51</f>
        <v>500</v>
      </c>
      <c r="T51">
        <f>'Costing 100 Lmin Feed Orig'!T51</f>
        <v>95</v>
      </c>
      <c r="U51">
        <f>'Costing 100 Lmin Feed Orig'!U51</f>
        <v>1</v>
      </c>
      <c r="V51">
        <f>'Costing 100 Lmin Feed Orig'!V51</f>
        <v>0.1</v>
      </c>
      <c r="W51">
        <f>'Costing 100 Lmin Feed Orig'!W51</f>
        <v>90.023448607553206</v>
      </c>
      <c r="X51" t="str">
        <f>'Costing 100 Lmin Feed Orig'!X51</f>
        <v>ddFc</v>
      </c>
      <c r="Y51">
        <f>'Costing 100 Lmin Feed Orig'!Y51</f>
        <v>1</v>
      </c>
      <c r="Z51">
        <f>'Costing 100 Lmin Feed Orig'!Z51</f>
        <v>0.28318429382522198</v>
      </c>
      <c r="AA51">
        <f>'Costing 100 Lmin Feed Orig'!AA51</f>
        <v>0.56945642916197003</v>
      </c>
      <c r="AB51">
        <f>'Costing 100 Lmin Feed Orig'!AB51</f>
        <v>3.7698628972227502E-3</v>
      </c>
      <c r="AC51">
        <f>'Costing 100 Lmin Feed Orig'!AC51</f>
        <v>1822.2107908876901</v>
      </c>
      <c r="AD51">
        <f>'Costing 100 Lmin Feed Orig'!AD51</f>
        <v>2662.6059073104898</v>
      </c>
      <c r="AE51">
        <f>'Costing 100 Lmin Feed Orig'!AE51</f>
        <v>2401.5030938442701</v>
      </c>
      <c r="AF51">
        <f>'Costing 100 Lmin Feed Orig'!AF51</f>
        <v>13</v>
      </c>
      <c r="AG51">
        <f>'Costing 100 Lmin Feed Orig'!AG51</f>
        <v>1.64967327652189E-3</v>
      </c>
      <c r="AH51">
        <f>'Costing 100 Lmin Feed Orig'!AH51</f>
        <v>1.66887089455438E-3</v>
      </c>
      <c r="AI51">
        <f>'Costing 100 Lmin Feed Orig'!AI51</f>
        <v>5.5766973522943398E-6</v>
      </c>
      <c r="AJ51">
        <f>'Costing 100 Lmin Feed Orig'!AJ51</f>
        <v>0</v>
      </c>
      <c r="AK51">
        <f>'Costing 100 Lmin Feed Orig'!AK51</f>
        <v>0</v>
      </c>
      <c r="AL51">
        <f>'Costing 100 Lmin Feed Orig'!AL51</f>
        <v>0</v>
      </c>
      <c r="AM51">
        <f>'Costing 100 Lmin Feed Orig'!AM51</f>
        <v>1.61272186550998E-3</v>
      </c>
      <c r="AN51">
        <f>'Costing 100 Lmin Feed Orig'!AN51</f>
        <v>7.93400817500593E-5</v>
      </c>
      <c r="AO51">
        <f>'Costing 100 Lmin Feed Orig'!AO51</f>
        <v>5.54001643467726E-6</v>
      </c>
      <c r="AP51">
        <f>'Costing 100 Lmin Feed Orig'!AP51</f>
        <v>1.7331730611392299E-3</v>
      </c>
      <c r="AQ51">
        <f>'Costing 100 Lmin Feed Orig'!AQ51</f>
        <v>7.4555528710795793E-2</v>
      </c>
      <c r="AR51">
        <f>'Costing 100 Lmin Feed Orig'!AR51</f>
        <v>1.7204858090881901E-6</v>
      </c>
      <c r="AS51">
        <f>'Costing 100 Lmin Feed Orig'!AS51</f>
        <v>5.6920614055488896E-19</v>
      </c>
      <c r="AT51">
        <f>'Costing 100 Lmin Feed Orig'!AT51</f>
        <v>-1.9298798670241899E-17</v>
      </c>
      <c r="AU51">
        <f>'Costing 100 Lmin Feed Orig'!AU51</f>
        <v>2.0514079191314999E-22</v>
      </c>
      <c r="AV51">
        <f>'Costing 100 Lmin Feed Orig'!AV51</f>
        <v>0.19691924837979699</v>
      </c>
      <c r="AW51">
        <f>'Costing 100 Lmin Feed Orig'!AW51</f>
        <v>99.342246578936397</v>
      </c>
      <c r="AX51">
        <f>'Costing 100 Lmin Feed Orig'!AX51</f>
        <v>500</v>
      </c>
      <c r="AY51">
        <f>'Costing 100 Lmin Feed Orig'!AY51</f>
        <v>95</v>
      </c>
      <c r="AZ51">
        <f>'Costing 100 Lmin Feed Orig'!AZ51</f>
        <v>0.92363221637625403</v>
      </c>
      <c r="BA51">
        <f>'Costing 100 Lmin Feed Orig'!BA51</f>
        <v>0.1</v>
      </c>
      <c r="BB51">
        <f>'Costing 100 Lmin Feed Orig'!BB51</f>
        <v>46.904110389191104</v>
      </c>
      <c r="BC51" t="str">
        <f>'Costing 100 Lmin Feed Orig'!BC51</f>
        <v>coeFc</v>
      </c>
      <c r="BD51">
        <f>'Costing 100 Lmin Feed Orig'!BD51</f>
        <v>1</v>
      </c>
      <c r="BE51">
        <f>'Costing 100 Lmin Feed Orig'!BE51</f>
        <v>1.8775014999999999E-2</v>
      </c>
      <c r="BF51">
        <f>'Costing 100 Lmin Feed Orig'!BF51</f>
        <v>0.10492961100000001</v>
      </c>
      <c r="BG51">
        <f>'Costing 100 Lmin Feed Orig'!BG51</f>
        <v>1.814625E-3</v>
      </c>
      <c r="BH51">
        <f>'Costing 100 Lmin Feed Orig'!BH51</f>
        <v>285.1951444</v>
      </c>
      <c r="BI51">
        <f>'Costing 100 Lmin Feed Orig'!BI51</f>
        <v>2169.8944889999998</v>
      </c>
      <c r="BJ51">
        <f>'Costing 100 Lmin Feed Orig'!BJ51</f>
        <v>866.49409060000005</v>
      </c>
      <c r="BK51">
        <f>'Costing 100 Lmin Feed Orig'!BK51</f>
        <v>100</v>
      </c>
      <c r="BL51">
        <f>'Costing 100 Lmin Feed Orig'!BL51</f>
        <v>11.1082169753281</v>
      </c>
      <c r="BM51">
        <f>'Costing 100 Lmin Feed Orig'!BM51</f>
        <v>92.363221637625401</v>
      </c>
      <c r="BN51">
        <f>'Costing 100 Lmin Feed Orig'!BN51</f>
        <v>19.691924837979698</v>
      </c>
      <c r="BO51">
        <f t="shared" si="1"/>
        <v>199.94790555590581</v>
      </c>
      <c r="BP51">
        <f t="shared" si="2"/>
        <v>590.75774513939098</v>
      </c>
      <c r="BQ51">
        <f t="shared" si="3"/>
        <v>19.994790555590583</v>
      </c>
      <c r="BR51">
        <f t="shared" si="4"/>
        <v>59.075774513939102</v>
      </c>
      <c r="BS51">
        <f>1.2*0.5*BL51*V51/'Oxidant Feed Composition'!$N$22</f>
        <v>6.6649301851968596</v>
      </c>
      <c r="BT51">
        <f>1.2*0.5*BN51*BA51/'Oxidant Feed Composition'!$N$22</f>
        <v>11.815154902787818</v>
      </c>
      <c r="BU51">
        <f t="shared" si="5"/>
        <v>5.5541084876640499</v>
      </c>
      <c r="BV51">
        <f t="shared" si="6"/>
        <v>9.8459624189898491</v>
      </c>
      <c r="BW51">
        <f t="shared" si="7"/>
        <v>86.809113149961348</v>
      </c>
      <c r="BX51">
        <f t="shared" si="0"/>
        <v>35.54629432104992</v>
      </c>
      <c r="BY51">
        <f t="shared" si="8"/>
        <v>206.94287722590701</v>
      </c>
      <c r="BZ51">
        <f t="shared" si="9"/>
        <v>63.014159481535032</v>
      </c>
      <c r="CA51">
        <f t="shared" si="10"/>
        <v>59.075774513939095</v>
      </c>
      <c r="CB51">
        <f>BO51*'Reagent cost'!$G$11*'Reagent cost'!$H$11</f>
        <v>2639.3123533379567</v>
      </c>
      <c r="CC51">
        <f>BP51*'Reagent cost'!$G$11*'Reagent cost'!$H$11</f>
        <v>7798.0022358399619</v>
      </c>
      <c r="CD51">
        <f>BQ51*'Reagent cost'!$C$18/1000*'Reagent cost'!$H$18</f>
        <v>3188.7782491883527</v>
      </c>
      <c r="CE51">
        <f>BR51*'Ligand cost'!$B$56*'Ligand cost'!$J$56</f>
        <v>60146.684318225351</v>
      </c>
      <c r="CF51">
        <f t="shared" si="11"/>
        <v>10</v>
      </c>
      <c r="CG51">
        <f t="shared" si="12"/>
        <v>2.22164339506562</v>
      </c>
      <c r="CH51">
        <f t="shared" si="12"/>
        <v>3.9383849675959399</v>
      </c>
      <c r="CI51">
        <f>7963.6*(BX51/1000)^0.6*1.7*('CAPEX+OPEX'!$G$116/'CAPEX+OPEX'!$G$115)</f>
        <v>2156.3414312027717</v>
      </c>
      <c r="CJ51">
        <f>7963.6*(BY51/1000)^0.6*1.7*('CAPEX+OPEX'!$G$116/'CAPEX+OPEX'!$G$115)</f>
        <v>6205.1347590783025</v>
      </c>
      <c r="CK51">
        <f>7963.6*(BZ51/1000)^0.6*1.7*('CAPEX+OPEX'!$G$116/'CAPEX+OPEX'!$G$115)</f>
        <v>3040.2116335009732</v>
      </c>
      <c r="CL51">
        <f>7963.6*(CA51/1000)^0.6*1.7*('CAPEX+OPEX'!$G$116/'CAPEX+OPEX'!$G$115)</f>
        <v>2924.7354045106295</v>
      </c>
      <c r="CM51">
        <f>'Costing 100 Lmin Feed Orig'!DE51</f>
        <v>39625.826528698344</v>
      </c>
      <c r="CN51">
        <f>'Costing 100 Lmin Feed Orig'!DF51</f>
        <v>4586243.4239371875</v>
      </c>
      <c r="CO51">
        <f>'Costing 100 Lmin Feed Orig'!DG51</f>
        <v>11794834.586807497</v>
      </c>
      <c r="CP51">
        <f>'Costing 100 Lmin Feed Orig'!DH51</f>
        <v>2275209.1661185985</v>
      </c>
      <c r="CQ51">
        <f>'Costing 100 Lmin Feed Orig'!DI51</f>
        <v>14083914.336508472</v>
      </c>
      <c r="CR51">
        <f>'Costing 100 Lmin Feed Orig'!DJ51</f>
        <v>1662824.8986326549</v>
      </c>
      <c r="CS51">
        <f>CN51*(BK51/10000)^0.72*((A51+1)/3)^0.6*('CAPEX+OPEX'!$G$116/'CAPEX+OPEX'!$G$114)</f>
        <v>700033.84449786716</v>
      </c>
      <c r="CT51">
        <f>CO51*(BK51/10000)^0.72*((A51+1)/3)^0.6*('CAPEX+OPEX'!$G$116/'CAPEX+OPEX'!$G$114)</f>
        <v>1800336.9288957189</v>
      </c>
      <c r="CU51">
        <f>CP51*(BK51/10000)^0.72*((A51+1)/3)^0.6*('CAPEX+OPEX'!$G$116/'CAPEX+OPEX'!$G$114)</f>
        <v>347282.79168127343</v>
      </c>
      <c r="CV51">
        <f>CQ51*(BK51/10000)^0.72*((A51+1)/3)^0.6*('CAPEX+OPEX'!$G$116/'CAPEX+OPEX'!$G$114)</f>
        <v>2149736.8951473436</v>
      </c>
      <c r="CW51">
        <f>CR51*(BK51/10000)^0.72*((A51+1)/3)^0.6*('CAPEX+OPEX'!$G$116/'CAPEX+OPEX'!$G$114)</f>
        <v>253809.83932102245</v>
      </c>
      <c r="CX51">
        <f t="shared" si="13"/>
        <v>5251200.2995432261</v>
      </c>
      <c r="CY51">
        <f>CN51*(BM51/10000)^0.72*((AF51+1)/3)^0.6*('CAPEX+OPEX'!$G$116/'CAPEX+OPEX'!$G$114)</f>
        <v>924913.67140026169</v>
      </c>
      <c r="CZ51">
        <f>CO51*(BM51/10000)^0.72*((AF51+1)/3)^0.6*('CAPEX+OPEX'!$G$116/'CAPEX+OPEX'!$G$114)</f>
        <v>2378679.619207304</v>
      </c>
      <c r="DA51">
        <f>CP51*(BM51/10000)^0.72*((AF51+1)/3)^0.6*('CAPEX+OPEX'!$G$116/'CAPEX+OPEX'!$G$114)</f>
        <v>458844.38930014853</v>
      </c>
      <c r="DB51">
        <f>CQ51*(BM51/10000)^0.72*((AF51+1)/3)^0.6*('CAPEX+OPEX'!$G$116/'CAPEX+OPEX'!$G$114)</f>
        <v>2840321.3071241546</v>
      </c>
      <c r="DC51">
        <f>CR51*(BM51/10000)^0.72*((AF51+1)/3)^0.6*('CAPEX+OPEX'!$G$116/'CAPEX+OPEX'!$G$114)</f>
        <v>335344.05824664765</v>
      </c>
      <c r="DD51">
        <f t="shared" si="14"/>
        <v>6938103.0452785166</v>
      </c>
      <c r="DE51">
        <f>CX51+DD51+1.15*(SUM(CI51:CL51)+SUM(CB51:CE51))</f>
        <v>12290617.42526436</v>
      </c>
      <c r="DF51">
        <f t="shared" si="15"/>
        <v>819374.49501762399</v>
      </c>
      <c r="DG51">
        <f>(BS51+BT51)*'Oxidant Feed Composition'!$N$29*60*7200</f>
        <v>9219186.659165442</v>
      </c>
      <c r="DH51">
        <f>((CG51+CH51)*'Reagent cost'!$C$17/1000*'Reagent cost'!$H$17+(CG51+CH51)*0.5*'Reagent cost'!$C$16/1000*'Reagent cost'!$H$16*0.5)*60*7200</f>
        <v>3121122.2682050313</v>
      </c>
      <c r="DI51">
        <f>CF51*'Reagent cost'!$C$17/1000*'Reagent cost'!$H$17*60*7200</f>
        <v>504921.59999999998</v>
      </c>
      <c r="DJ51">
        <f t="shared" si="16"/>
        <v>104.37314589177919</v>
      </c>
      <c r="DK51">
        <f t="shared" si="17"/>
        <v>1266.7092513482742</v>
      </c>
      <c r="DL51">
        <f t="shared" si="18"/>
        <v>15415921.931721255</v>
      </c>
      <c r="DM51">
        <f>BK51*(B51*(409.81+2)/1000+C51*(248.2+2*22.99)/1000+D51*(315.6+3*22.99)/1000+0.1*58.44/1000)</f>
        <v>0.70639694042110623</v>
      </c>
      <c r="DN51">
        <f>(BS51+BT51)/1000*('Oxidant Feed Composition'!$B$11*'Oxidant Feed Composition'!$O$20+'Oxidant Feed Composition'!$D$11*'Oxidant Feed Composition'!$O$21+'Oxidant Feed Composition'!$F$11*'Oxidant Feed Composition'!$O$27-'Oxidant Feed Composition'!$J$15*18.015)</f>
        <v>2.1581882361611493</v>
      </c>
      <c r="DO51">
        <f>(BU51+BV51)/1000*(0.2*368.34+0.4*58.44)</f>
        <v>1.4944844810653208</v>
      </c>
      <c r="DP51">
        <f>BK51/1000*(B51*195.08+C51*106.42+D51*102.91)</f>
        <v>4.999938342565946E-2</v>
      </c>
      <c r="DQ51">
        <f>SUM(DM51:DO51)-DP51</f>
        <v>4.3090702742219165</v>
      </c>
      <c r="DR51">
        <f>DQ51*60*7200*0.33</f>
        <v>614301.05829307646</v>
      </c>
      <c r="DS51">
        <v>1.2</v>
      </c>
      <c r="DT51">
        <f>BM51/60*(AM51*4+AN51*2+AO51*3)*96485/DV51</f>
        <v>1405.9611356884682</v>
      </c>
      <c r="DU51">
        <f>BN51*BA51*(AP51*4+AQ51*2+AR51*3)*96485/DV51/60</f>
        <v>705.92639842104836</v>
      </c>
      <c r="DV51">
        <v>0.7</v>
      </c>
      <c r="DW51">
        <f>0.499*((BK51/3.78541*15)^(-0.146))*BK51/3.78541*15*300*(1+(A51-2)/9)</f>
        <v>38528.386667103026</v>
      </c>
      <c r="DX51">
        <f>0.248*((BK51/3.78541*15)^(-0.144))*BK51/3.78541*15*300*(1+(A51-2)/3)</f>
        <v>33220.879177835675</v>
      </c>
      <c r="DY51">
        <f>0.105*((BK51/3.78541*15)^(-0.144))*BK51/3.78541*15*300*(1+(A51-2)/3)</f>
        <v>14065.291587390104</v>
      </c>
      <c r="DZ51">
        <f>0.058*((BK51/3.78541*15)^(-0.151))*BK51/3.78541*15*300*(1+(A51-2)/3)</f>
        <v>7450.7773575794354</v>
      </c>
      <c r="EA51">
        <f>0.056*((BK51/3.78541*15)^(-0.144))*BK51/3.78541*15*300*(1+(A51-2)/3)</f>
        <v>7501.4888466080574</v>
      </c>
      <c r="EB51">
        <f>DS51*DT51/(3.6*10^6)*3600*7200*0.07</f>
        <v>850.32529486438557</v>
      </c>
      <c r="EC51">
        <f>0.499*((BM51/3.78541*15)^(-0.146))*BM51/3.78541*15*300*(1+(AF51-2)/9)</f>
        <v>51430.292217116497</v>
      </c>
      <c r="ED51">
        <f>0.248*((BM51/3.78541*15)^(-0.144))*BM51/3.78541*15*300*(1+(AF51-2)/3)</f>
        <v>54314.573878517935</v>
      </c>
      <c r="EE51">
        <f>0.105*((BM51/3.78541*15)^(-0.144))*BM51/3.78541*15*300*(1+(AF51-2)/3)</f>
        <v>22996.089746953152</v>
      </c>
      <c r="EF51">
        <f>0.058*((BM51/3.78541*15)^(-0.151))*BM51/3.78541*15*300*(1+(AF51-2)/3)</f>
        <v>12188.446280303153</v>
      </c>
      <c r="EG51">
        <f>0.056*((BM51/3.78541*15)^(-0.144))*BM51/3.78541*15*300*(1+(AF51-2)/3)</f>
        <v>12264.581198375015</v>
      </c>
      <c r="EH51">
        <f>DS51*DU51/(3.6*10^6)*3600*7200*0.07</f>
        <v>426.94428576505004</v>
      </c>
      <c r="EI51">
        <f>SUM(DW51:EH51)</f>
        <v>255238.07653841146</v>
      </c>
      <c r="EJ51">
        <f>EI51+DR51+DL51</f>
        <v>16285461.066552743</v>
      </c>
      <c r="EK51">
        <f>EJ51+DF51</f>
        <v>17104835.561570369</v>
      </c>
      <c r="EL51">
        <f>EK51/(BK51*60*7200)</f>
        <v>0.39594526762894372</v>
      </c>
      <c r="EM51">
        <f>EK51/(BM51*(AM51*195.084/1000+AN51*106.42/1000+AO51*102.911/1000)*60*7200)</f>
        <v>1324.6089025008632</v>
      </c>
      <c r="EN51">
        <f>EK51/(BN51*BA51*(AP51*195.084/1000+AQ51*106.42/1000+AR51*102.911/1000)*60*7200)</f>
        <v>2430.5843465802814</v>
      </c>
    </row>
    <row r="52" spans="1:144">
      <c r="A52">
        <f>'Costing 100 Lmin Feed Orig'!A52</f>
        <v>8</v>
      </c>
      <c r="B52">
        <f>'Costing 100 Lmin Feed Orig'!B52</f>
        <v>1.54143585092054E-3</v>
      </c>
      <c r="C52">
        <f>'Costing 100 Lmin Feed Orig'!C52</f>
        <v>1.54143585092054E-3</v>
      </c>
      <c r="D52">
        <f>'Costing 100 Lmin Feed Orig'!D52</f>
        <v>3.4254130020456501E-4</v>
      </c>
      <c r="E52">
        <f>'Costing 100 Lmin Feed Orig'!E52</f>
        <v>0</v>
      </c>
      <c r="F52">
        <f>'Costing 100 Lmin Feed Orig'!F52</f>
        <v>0</v>
      </c>
      <c r="G52">
        <f>'Costing 100 Lmin Feed Orig'!G52</f>
        <v>0</v>
      </c>
      <c r="H52">
        <f>'Costing 100 Lmin Feed Orig'!H52</f>
        <v>1.7762434284205799E-5</v>
      </c>
      <c r="I52">
        <f>'Costing 100 Lmin Feed Orig'!I52</f>
        <v>4.4591984978445998E-9</v>
      </c>
      <c r="J52">
        <f>'Costing 100 Lmin Feed Orig'!J52</f>
        <v>3.37570976171142E-4</v>
      </c>
      <c r="K52">
        <f>'Costing 100 Lmin Feed Orig'!K52</f>
        <v>0.13846015972746001</v>
      </c>
      <c r="L52">
        <f>'Costing 100 Lmin Feed Orig'!L52</f>
        <v>0.14007387303476199</v>
      </c>
      <c r="M52">
        <f>'Costing 100 Lmin Feed Orig'!M52</f>
        <v>4.5166625081916902E-4</v>
      </c>
      <c r="N52">
        <f>'Costing 100 Lmin Feed Orig'!N52</f>
        <v>-2.6107588313450902E-16</v>
      </c>
      <c r="O52">
        <f>'Costing 100 Lmin Feed Orig'!O52</f>
        <v>-1.18524981496115E-14</v>
      </c>
      <c r="P52">
        <f>'Costing 100 Lmin Feed Orig'!P52</f>
        <v>-2.5241581828178102E-19</v>
      </c>
      <c r="Q52">
        <f>'Costing 100 Lmin Feed Orig'!Q52</f>
        <v>0.110044175857931</v>
      </c>
      <c r="R52">
        <f>'Costing 100 Lmin Feed Orig'!R52</f>
        <v>98.548985471108097</v>
      </c>
      <c r="S52">
        <f>'Costing 100 Lmin Feed Orig'!S52</f>
        <v>500</v>
      </c>
      <c r="T52">
        <f>'Costing 100 Lmin Feed Orig'!T52</f>
        <v>95</v>
      </c>
      <c r="U52">
        <f>'Costing 100 Lmin Feed Orig'!U52</f>
        <v>1</v>
      </c>
      <c r="V52">
        <f>'Costing 100 Lmin Feed Orig'!V52</f>
        <v>0.1</v>
      </c>
      <c r="W52">
        <f>'Costing 100 Lmin Feed Orig'!W52</f>
        <v>90.872596591664205</v>
      </c>
      <c r="X52" t="str">
        <f>'Costing 100 Lmin Feed Orig'!X52</f>
        <v>ddFc</v>
      </c>
      <c r="Y52">
        <f>'Costing 100 Lmin Feed Orig'!Y52</f>
        <v>1</v>
      </c>
      <c r="Z52">
        <f>'Costing 100 Lmin Feed Orig'!Z52</f>
        <v>0.28318429382522198</v>
      </c>
      <c r="AA52">
        <f>'Costing 100 Lmin Feed Orig'!AA52</f>
        <v>0.56945642916197003</v>
      </c>
      <c r="AB52">
        <f>'Costing 100 Lmin Feed Orig'!AB52</f>
        <v>3.7698628972227502E-3</v>
      </c>
      <c r="AC52">
        <f>'Costing 100 Lmin Feed Orig'!AC52</f>
        <v>1822.2107908876901</v>
      </c>
      <c r="AD52">
        <f>'Costing 100 Lmin Feed Orig'!AD52</f>
        <v>2662.6059073104898</v>
      </c>
      <c r="AE52">
        <f>'Costing 100 Lmin Feed Orig'!AE52</f>
        <v>2401.5030938442701</v>
      </c>
      <c r="AF52">
        <f>'Costing 100 Lmin Feed Orig'!AF52</f>
        <v>4</v>
      </c>
      <c r="AG52">
        <f>'Costing 100 Lmin Feed Orig'!AG52</f>
        <v>1.6497294784823999E-3</v>
      </c>
      <c r="AH52">
        <f>'Costing 100 Lmin Feed Orig'!AH52</f>
        <v>1.66895660069658E-3</v>
      </c>
      <c r="AI52">
        <f>'Costing 100 Lmin Feed Orig'!AI52</f>
        <v>5.38152729188446E-6</v>
      </c>
      <c r="AJ52">
        <f>'Costing 100 Lmin Feed Orig'!AJ52</f>
        <v>0</v>
      </c>
      <c r="AK52">
        <f>'Costing 100 Lmin Feed Orig'!AK52</f>
        <v>0</v>
      </c>
      <c r="AL52">
        <f>'Costing 100 Lmin Feed Orig'!AL52</f>
        <v>0</v>
      </c>
      <c r="AM52">
        <f>'Costing 100 Lmin Feed Orig'!AM52</f>
        <v>1.6048042794156499E-3</v>
      </c>
      <c r="AN52">
        <f>'Costing 100 Lmin Feed Orig'!AN52</f>
        <v>7.91245725580603E-5</v>
      </c>
      <c r="AO52">
        <f>'Costing 100 Lmin Feed Orig'!AO52</f>
        <v>5.33881057128359E-6</v>
      </c>
      <c r="AP52">
        <f>'Costing 100 Lmin Feed Orig'!AP52</f>
        <v>1.9876957232607701E-3</v>
      </c>
      <c r="AQ52">
        <f>'Costing 100 Lmin Feed Orig'!AQ52</f>
        <v>7.0341420588359904E-2</v>
      </c>
      <c r="AR52">
        <f>'Costing 100 Lmin Feed Orig'!AR52</f>
        <v>1.8899825621476501E-6</v>
      </c>
      <c r="AS52">
        <f>'Costing 100 Lmin Feed Orig'!AS52</f>
        <v>-9.5823143256984394E-15</v>
      </c>
      <c r="AT52">
        <f>'Costing 100 Lmin Feed Orig'!AT52</f>
        <v>-1.23568690002517E-13</v>
      </c>
      <c r="AU52">
        <f>'Costing 100 Lmin Feed Orig'!AU52</f>
        <v>-3.11350782564959E-18</v>
      </c>
      <c r="AV52">
        <f>'Costing 100 Lmin Feed Orig'!AV52</f>
        <v>0.208746528965852</v>
      </c>
      <c r="AW52">
        <f>'Costing 100 Lmin Feed Orig'!AW52</f>
        <v>99.206234247565902</v>
      </c>
      <c r="AX52">
        <f>'Costing 100 Lmin Feed Orig'!AX52</f>
        <v>499.99999999999898</v>
      </c>
      <c r="AY52">
        <f>'Costing 100 Lmin Feed Orig'!AY52</f>
        <v>95</v>
      </c>
      <c r="AZ52">
        <f>'Costing 100 Lmin Feed Orig'!AZ52</f>
        <v>0.92358985913147196</v>
      </c>
      <c r="BA52">
        <f>'Costing 100 Lmin Feed Orig'!BA52</f>
        <v>0.1</v>
      </c>
      <c r="BB52">
        <f>'Costing 100 Lmin Feed Orig'!BB52</f>
        <v>44.244561272803402</v>
      </c>
      <c r="BC52" t="str">
        <f>'Costing 100 Lmin Feed Orig'!BC52</f>
        <v>coeFc</v>
      </c>
      <c r="BD52">
        <f>'Costing 100 Lmin Feed Orig'!BD52</f>
        <v>1</v>
      </c>
      <c r="BE52">
        <f>'Costing 100 Lmin Feed Orig'!BE52</f>
        <v>1.8775014999999999E-2</v>
      </c>
      <c r="BF52">
        <f>'Costing 100 Lmin Feed Orig'!BF52</f>
        <v>0.10492961100000001</v>
      </c>
      <c r="BG52">
        <f>'Costing 100 Lmin Feed Orig'!BG52</f>
        <v>1.814625E-3</v>
      </c>
      <c r="BH52">
        <f>'Costing 100 Lmin Feed Orig'!BH52</f>
        <v>285.1951444</v>
      </c>
      <c r="BI52">
        <f>'Costing 100 Lmin Feed Orig'!BI52</f>
        <v>2169.8944889999998</v>
      </c>
      <c r="BJ52">
        <f>'Costing 100 Lmin Feed Orig'!BJ52</f>
        <v>866.49409060000005</v>
      </c>
      <c r="BK52">
        <f>'Costing 100 Lmin Feed Orig'!BK52</f>
        <v>100</v>
      </c>
      <c r="BL52">
        <f>'Costing 100 Lmin Feed Orig'!BL52</f>
        <v>11.004417585793099</v>
      </c>
      <c r="BM52">
        <f>'Costing 100 Lmin Feed Orig'!BM52</f>
        <v>92.358985913147194</v>
      </c>
      <c r="BN52">
        <f>'Costing 100 Lmin Feed Orig'!BN52</f>
        <v>20.8746528965852</v>
      </c>
      <c r="BO52">
        <f t="shared" si="1"/>
        <v>220.08835171586199</v>
      </c>
      <c r="BP52">
        <f t="shared" si="2"/>
        <v>250.49583475902239</v>
      </c>
      <c r="BQ52">
        <f t="shared" si="3"/>
        <v>22.008835171586199</v>
      </c>
      <c r="BR52">
        <f t="shared" si="4"/>
        <v>25.049583475902239</v>
      </c>
      <c r="BS52">
        <f>1.2*0.5*BL52*V52/'Oxidant Feed Composition'!$N$22</f>
        <v>6.6026505514758593</v>
      </c>
      <c r="BT52">
        <f>1.2*0.5*BN52*BA52/'Oxidant Feed Composition'!$N$22</f>
        <v>12.524791737951119</v>
      </c>
      <c r="BU52">
        <f t="shared" si="5"/>
        <v>5.5022087928965497</v>
      </c>
      <c r="BV52">
        <f t="shared" si="6"/>
        <v>10.4373264482926</v>
      </c>
      <c r="BW52">
        <f t="shared" si="7"/>
        <v>86.856777120250641</v>
      </c>
      <c r="BX52">
        <f t="shared" si="0"/>
        <v>35.214136274537921</v>
      </c>
      <c r="BY52">
        <f t="shared" si="8"/>
        <v>206.7268069978806</v>
      </c>
      <c r="BZ52">
        <f t="shared" si="9"/>
        <v>66.798889269072646</v>
      </c>
      <c r="CA52">
        <f t="shared" si="10"/>
        <v>62.623958689755597</v>
      </c>
      <c r="CB52">
        <f>BO52*'Reagent cost'!$G$11*'Reagent cost'!$H$11</f>
        <v>2905.1662426493785</v>
      </c>
      <c r="CC52">
        <f>BP52*'Reagent cost'!$G$11*'Reagent cost'!$H$11</f>
        <v>3306.5450188190953</v>
      </c>
      <c r="CD52">
        <f>BQ52*'Reagent cost'!$C$18/1000*'Reagent cost'!$H$18</f>
        <v>3509.9789962792502</v>
      </c>
      <c r="CE52">
        <f>BR52*'Ligand cost'!$B$56*'Ligand cost'!$J$56</f>
        <v>25503.675610255905</v>
      </c>
      <c r="CF52">
        <f t="shared" si="11"/>
        <v>10</v>
      </c>
      <c r="CG52">
        <f t="shared" si="12"/>
        <v>2.2008835171586201</v>
      </c>
      <c r="CH52">
        <f t="shared" si="12"/>
        <v>4.1749305793170404</v>
      </c>
      <c r="CI52">
        <f>7963.6*(BX52/1000)^0.6*1.7*('CAPEX+OPEX'!$G$116/'CAPEX+OPEX'!$G$115)</f>
        <v>2144.228934815284</v>
      </c>
      <c r="CJ52">
        <f>7963.6*(BY52/1000)^0.6*1.7*('CAPEX+OPEX'!$G$116/'CAPEX+OPEX'!$G$115)</f>
        <v>6201.2466571653367</v>
      </c>
      <c r="CK52">
        <f>7963.6*(BZ52/1000)^0.6*1.7*('CAPEX+OPEX'!$G$116/'CAPEX+OPEX'!$G$115)</f>
        <v>3148.491118286343</v>
      </c>
      <c r="CL52">
        <f>7963.6*(CA52/1000)^0.6*1.7*('CAPEX+OPEX'!$G$116/'CAPEX+OPEX'!$G$115)</f>
        <v>3028.9021142371016</v>
      </c>
      <c r="CM52">
        <f>'Costing 100 Lmin Feed Orig'!DE52</f>
        <v>39625.826528698344</v>
      </c>
      <c r="CN52">
        <f>'Costing 100 Lmin Feed Orig'!DF52</f>
        <v>4586243.4239371875</v>
      </c>
      <c r="CO52">
        <f>'Costing 100 Lmin Feed Orig'!DG52</f>
        <v>11794834.586807497</v>
      </c>
      <c r="CP52">
        <f>'Costing 100 Lmin Feed Orig'!DH52</f>
        <v>2275209.1661185985</v>
      </c>
      <c r="CQ52">
        <f>'Costing 100 Lmin Feed Orig'!DI52</f>
        <v>14083914.336508472</v>
      </c>
      <c r="CR52">
        <f>'Costing 100 Lmin Feed Orig'!DJ52</f>
        <v>1662824.8986326549</v>
      </c>
      <c r="CS52">
        <f>CN52*(BK52/10000)^0.72*((A52+1)/3)^0.6*('CAPEX+OPEX'!$G$116/'CAPEX+OPEX'!$G$114)</f>
        <v>751295.09040276916</v>
      </c>
      <c r="CT52">
        <f>CO52*(BK52/10000)^0.72*((A52+1)/3)^0.6*('CAPEX+OPEX'!$G$116/'CAPEX+OPEX'!$G$114)</f>
        <v>1932169.8606163235</v>
      </c>
      <c r="CU52">
        <f>CP52*(BK52/10000)^0.72*((A52+1)/3)^0.6*('CAPEX+OPEX'!$G$116/'CAPEX+OPEX'!$G$114)</f>
        <v>372713.20297186484</v>
      </c>
      <c r="CV52">
        <f>CQ52*(BK52/10000)^0.72*((A52+1)/3)^0.6*('CAPEX+OPEX'!$G$116/'CAPEX+OPEX'!$G$114)</f>
        <v>2307155.2721002945</v>
      </c>
      <c r="CW52">
        <f>CR52*(BK52/10000)^0.72*((A52+1)/3)^0.6*('CAPEX+OPEX'!$G$116/'CAPEX+OPEX'!$G$114)</f>
        <v>272395.52441150707</v>
      </c>
      <c r="CX52">
        <f t="shared" si="13"/>
        <v>5635728.9505027588</v>
      </c>
      <c r="CY52">
        <f>CN52*(BM52/10000)^0.72*((AF52+1)/3)^0.6*('CAPEX+OPEX'!$G$116/'CAPEX+OPEX'!$G$114)</f>
        <v>498645.65589957108</v>
      </c>
      <c r="CZ52">
        <f>CO52*(BM52/10000)^0.72*((AF52+1)/3)^0.6*('CAPEX+OPEX'!$G$116/'CAPEX+OPEX'!$G$114)</f>
        <v>1282409.694624644</v>
      </c>
      <c r="DA52">
        <f>CP52*(BM52/10000)^0.72*((AF52+1)/3)^0.6*('CAPEX+OPEX'!$G$116/'CAPEX+OPEX'!$G$114)</f>
        <v>247375.26164146824</v>
      </c>
      <c r="DB52">
        <f>CQ52*(BM52/10000)^0.72*((AF52+1)/3)^0.6*('CAPEX+OPEX'!$G$116/'CAPEX+OPEX'!$G$114)</f>
        <v>1531293.0546396186</v>
      </c>
      <c r="DC52">
        <f>CR52*(BM52/10000)^0.72*((AF52+1)/3)^0.6*('CAPEX+OPEX'!$G$116/'CAPEX+OPEX'!$G$114)</f>
        <v>180792.93565124425</v>
      </c>
      <c r="DD52">
        <f t="shared" si="14"/>
        <v>3740516.6024565459</v>
      </c>
      <c r="DE52">
        <f>CX52+DD52+1.15*(SUM(CI52:CL52)+SUM(CB52:CE52))</f>
        <v>9433456.0228556879</v>
      </c>
      <c r="DF52">
        <f t="shared" si="15"/>
        <v>628897.06819037918</v>
      </c>
      <c r="DG52">
        <f>(BS52+BT52)*'Oxidant Feed Composition'!$N$29*60*7200</f>
        <v>9542134.678443335</v>
      </c>
      <c r="DH52">
        <f>((CG52+CH52)*'Reagent cost'!$C$17/1000*'Reagent cost'!$H$17+(CG52+CH52)*0.5*'Reagent cost'!$C$16/1000*'Reagent cost'!$H$16*0.5)*60*7200</f>
        <v>3230455.1509966864</v>
      </c>
      <c r="DI52">
        <f>CF52*'Reagent cost'!$C$17/1000*'Reagent cost'!$H$17*60*7200</f>
        <v>504921.59999999998</v>
      </c>
      <c r="DJ52">
        <f t="shared" si="16"/>
        <v>62.117112614684743</v>
      </c>
      <c r="DK52">
        <f t="shared" si="17"/>
        <v>580.27309213070305</v>
      </c>
      <c r="DL52">
        <f t="shared" si="18"/>
        <v>15933784.583573718</v>
      </c>
      <c r="DM52">
        <f>BK52*(B52*(409.81+2)/1000+C52*(248.2+2*22.99)/1000+D52*(315.6+3*22.99)/1000+0.1*58.44/1000)</f>
        <v>0.70639694042110623</v>
      </c>
      <c r="DN52">
        <f>(BS52+BT52)/1000*('Oxidant Feed Composition'!$B$11*'Oxidant Feed Composition'!$O$20+'Oxidant Feed Composition'!$D$11*'Oxidant Feed Composition'!$O$21+'Oxidant Feed Composition'!$F$11*'Oxidant Feed Composition'!$O$27-'Oxidant Feed Composition'!$J$15*18.015)</f>
        <v>2.2337895491472763</v>
      </c>
      <c r="DO52">
        <f>(BU52+BV52)/1000*(0.2*368.34+0.4*58.44)</f>
        <v>1.5468362579459598</v>
      </c>
      <c r="DP52">
        <f>BK52/1000*(B52*195.08+C52*106.42+D52*102.91)</f>
        <v>4.999938342565946E-2</v>
      </c>
      <c r="DQ52">
        <f>SUM(DM52:DO52)-DP52</f>
        <v>4.4370233640886827</v>
      </c>
      <c r="DR52">
        <f>DQ52*60*7200*0.33</f>
        <v>632542.05078448262</v>
      </c>
      <c r="DS52">
        <v>1.2</v>
      </c>
      <c r="DT52">
        <f>BM52/60*(AM52*4+AN52*2+AO52*3)*96485/DV52</f>
        <v>1398.9575525177422</v>
      </c>
      <c r="DU52">
        <f>BN52*BA52*(AP52*4+AQ52*2+AR52*3)*96485/DV52/60</f>
        <v>712.79296950667776</v>
      </c>
      <c r="DV52">
        <v>0.7</v>
      </c>
      <c r="DW52">
        <f>0.499*((BK52/3.78541*15)^(-0.146))*BK52/3.78541*15*300*(1+(A52-2)/9)</f>
        <v>41280.414286181804</v>
      </c>
      <c r="DX52">
        <f>0.248*((BK52/3.78541*15)^(-0.144))*BK52/3.78541*15*300*(1+(A52-2)/3)</f>
        <v>37373.489075065132</v>
      </c>
      <c r="DY52">
        <f>0.105*((BK52/3.78541*15)^(-0.144))*BK52/3.78541*15*300*(1+(A52-2)/3)</f>
        <v>15823.453035813865</v>
      </c>
      <c r="DZ52">
        <f>0.058*((BK52/3.78541*15)^(-0.151))*BK52/3.78541*15*300*(1+(A52-2)/3)</f>
        <v>8382.1245272768647</v>
      </c>
      <c r="EA52">
        <f>0.056*((BK52/3.78541*15)^(-0.144))*BK52/3.78541*15*300*(1+(A52-2)/3)</f>
        <v>8439.174952434063</v>
      </c>
      <c r="EB52">
        <f>DS52*DT52/(3.6*10^6)*3600*7200*0.07</f>
        <v>846.08952776273043</v>
      </c>
      <c r="EC52">
        <f>0.499*((BM52/3.78541*15)^(-0.146))*BM52/3.78541*15*300*(1+(AF52-2)/9)</f>
        <v>28285.552898305465</v>
      </c>
      <c r="ED52">
        <f>0.248*((BM52/3.78541*15)^(-0.144))*BM52/3.78541*15*300*(1+(AF52-2)/3)</f>
        <v>19397.30061303094</v>
      </c>
      <c r="EE52">
        <f>0.105*((BM52/3.78541*15)^(-0.144))*BM52/3.78541*15*300*(1+(AF52-2)/3)</f>
        <v>8212.5667918074541</v>
      </c>
      <c r="EF52">
        <f>0.058*((BM52/3.78541*15)^(-0.151))*BM52/3.78541*15*300*(1+(AF52-2)/3)</f>
        <v>4352.8470449002243</v>
      </c>
      <c r="EG52">
        <f>0.056*((BM52/3.78541*15)^(-0.144))*BM52/3.78541*15*300*(1+(AF52-2)/3)</f>
        <v>4380.0356222973096</v>
      </c>
      <c r="EH52">
        <f>DS52*DU52/(3.6*10^6)*3600*7200*0.07</f>
        <v>431.09718795763877</v>
      </c>
      <c r="EI52">
        <f>SUM(DW52:EH52)</f>
        <v>177204.1455628335</v>
      </c>
      <c r="EJ52">
        <f>EI52+DR52+DL52</f>
        <v>16743530.779921034</v>
      </c>
      <c r="EK52">
        <f>EJ52+DF52</f>
        <v>17372427.848111413</v>
      </c>
      <c r="EL52">
        <f>EK52/(BK52*60*7200)</f>
        <v>0.40213953352109755</v>
      </c>
      <c r="EM52">
        <f>EK52/(BM52*(AM52*195.084/1000+AN52*106.42/1000+AO52*102.911/1000)*60*7200)</f>
        <v>1352.0282831046163</v>
      </c>
      <c r="EN52">
        <f>EK52/(BN52*BA52*(AP52*195.084/1000+AQ52*106.42/1000+AR52*102.911/1000)*60*7200)</f>
        <v>2446.6894990635956</v>
      </c>
    </row>
    <row r="53" spans="1:144">
      <c r="A53">
        <f>'Costing 100 Lmin Feed Orig'!A53</f>
        <v>8</v>
      </c>
      <c r="B53">
        <f>'Costing 100 Lmin Feed Orig'!B53</f>
        <v>1.54143585092054E-3</v>
      </c>
      <c r="C53">
        <f>'Costing 100 Lmin Feed Orig'!C53</f>
        <v>1.54143585092054E-3</v>
      </c>
      <c r="D53">
        <f>'Costing 100 Lmin Feed Orig'!D53</f>
        <v>3.4254130020456501E-4</v>
      </c>
      <c r="E53">
        <f>'Costing 100 Lmin Feed Orig'!E53</f>
        <v>0</v>
      </c>
      <c r="F53">
        <f>'Costing 100 Lmin Feed Orig'!F53</f>
        <v>0</v>
      </c>
      <c r="G53">
        <f>'Costing 100 Lmin Feed Orig'!G53</f>
        <v>0</v>
      </c>
      <c r="H53">
        <f>'Costing 100 Lmin Feed Orig'!H53</f>
        <v>1.7762434284205799E-5</v>
      </c>
      <c r="I53">
        <f>'Costing 100 Lmin Feed Orig'!I53</f>
        <v>4.4591984978445998E-9</v>
      </c>
      <c r="J53">
        <f>'Costing 100 Lmin Feed Orig'!J53</f>
        <v>3.37570976171142E-4</v>
      </c>
      <c r="K53">
        <f>'Costing 100 Lmin Feed Orig'!K53</f>
        <v>0.13846015972746001</v>
      </c>
      <c r="L53">
        <f>'Costing 100 Lmin Feed Orig'!L53</f>
        <v>0.14007387303476199</v>
      </c>
      <c r="M53">
        <f>'Costing 100 Lmin Feed Orig'!M53</f>
        <v>4.5166625081916902E-4</v>
      </c>
      <c r="N53">
        <f>'Costing 100 Lmin Feed Orig'!N53</f>
        <v>-2.6107588313450902E-16</v>
      </c>
      <c r="O53">
        <f>'Costing 100 Lmin Feed Orig'!O53</f>
        <v>-1.18524981496115E-14</v>
      </c>
      <c r="P53">
        <f>'Costing 100 Lmin Feed Orig'!P53</f>
        <v>-2.5241581828178102E-19</v>
      </c>
      <c r="Q53">
        <f>'Costing 100 Lmin Feed Orig'!Q53</f>
        <v>0.110044175857931</v>
      </c>
      <c r="R53">
        <f>'Costing 100 Lmin Feed Orig'!R53</f>
        <v>98.548985471108097</v>
      </c>
      <c r="S53">
        <f>'Costing 100 Lmin Feed Orig'!S53</f>
        <v>500</v>
      </c>
      <c r="T53">
        <f>'Costing 100 Lmin Feed Orig'!T53</f>
        <v>95</v>
      </c>
      <c r="U53">
        <f>'Costing 100 Lmin Feed Orig'!U53</f>
        <v>1</v>
      </c>
      <c r="V53">
        <f>'Costing 100 Lmin Feed Orig'!V53</f>
        <v>0.1</v>
      </c>
      <c r="W53">
        <f>'Costing 100 Lmin Feed Orig'!W53</f>
        <v>90.872596591664205</v>
      </c>
      <c r="X53" t="str">
        <f>'Costing 100 Lmin Feed Orig'!X53</f>
        <v>ddFc</v>
      </c>
      <c r="Y53">
        <f>'Costing 100 Lmin Feed Orig'!Y53</f>
        <v>1</v>
      </c>
      <c r="Z53">
        <f>'Costing 100 Lmin Feed Orig'!Z53</f>
        <v>0.28318429382522198</v>
      </c>
      <c r="AA53">
        <f>'Costing 100 Lmin Feed Orig'!AA53</f>
        <v>0.56945642916197003</v>
      </c>
      <c r="AB53">
        <f>'Costing 100 Lmin Feed Orig'!AB53</f>
        <v>3.7698628972227502E-3</v>
      </c>
      <c r="AC53">
        <f>'Costing 100 Lmin Feed Orig'!AC53</f>
        <v>1822.2107908876901</v>
      </c>
      <c r="AD53">
        <f>'Costing 100 Lmin Feed Orig'!AD53</f>
        <v>2662.6059073104898</v>
      </c>
      <c r="AE53">
        <f>'Costing 100 Lmin Feed Orig'!AE53</f>
        <v>2401.5030938442701</v>
      </c>
      <c r="AF53">
        <f>'Costing 100 Lmin Feed Orig'!AF53</f>
        <v>5</v>
      </c>
      <c r="AG53">
        <f>'Costing 100 Lmin Feed Orig'!AG53</f>
        <v>1.6497294784823999E-3</v>
      </c>
      <c r="AH53">
        <f>'Costing 100 Lmin Feed Orig'!AH53</f>
        <v>1.66895660069658E-3</v>
      </c>
      <c r="AI53">
        <f>'Costing 100 Lmin Feed Orig'!AI53</f>
        <v>5.38152729188446E-6</v>
      </c>
      <c r="AJ53">
        <f>'Costing 100 Lmin Feed Orig'!AJ53</f>
        <v>0</v>
      </c>
      <c r="AK53">
        <f>'Costing 100 Lmin Feed Orig'!AK53</f>
        <v>0</v>
      </c>
      <c r="AL53">
        <f>'Costing 100 Lmin Feed Orig'!AL53</f>
        <v>0</v>
      </c>
      <c r="AM53">
        <f>'Costing 100 Lmin Feed Orig'!AM53</f>
        <v>1.6104132966485E-3</v>
      </c>
      <c r="AN53">
        <f>'Costing 100 Lmin Feed Orig'!AN53</f>
        <v>7.9414634231904594E-5</v>
      </c>
      <c r="AO53">
        <f>'Costing 100 Lmin Feed Orig'!AO53</f>
        <v>5.3439603602742398E-6</v>
      </c>
      <c r="AP53">
        <f>'Costing 100 Lmin Feed Orig'!AP53</f>
        <v>1.8119059661181E-3</v>
      </c>
      <c r="AQ53">
        <f>'Costing 100 Lmin Feed Orig'!AQ53</f>
        <v>7.3254839053204804E-2</v>
      </c>
      <c r="AR53">
        <f>'Costing 100 Lmin Feed Orig'!AR53</f>
        <v>1.7312908918998299E-6</v>
      </c>
      <c r="AS53">
        <f>'Costing 100 Lmin Feed Orig'!AS53</f>
        <v>-4.56313589344836E-17</v>
      </c>
      <c r="AT53">
        <f>'Costing 100 Lmin Feed Orig'!AT53</f>
        <v>1.8236280541206101E-16</v>
      </c>
      <c r="AU53">
        <f>'Costing 100 Lmin Feed Orig'!AU53</f>
        <v>-3.5912873474602201E-20</v>
      </c>
      <c r="AV53">
        <f>'Costing 100 Lmin Feed Orig'!AV53</f>
        <v>0.20040789930945399</v>
      </c>
      <c r="AW53">
        <f>'Costing 100 Lmin Feed Orig'!AW53</f>
        <v>99.301928066649793</v>
      </c>
      <c r="AX53">
        <f>'Costing 100 Lmin Feed Orig'!AX53</f>
        <v>499.99999999999898</v>
      </c>
      <c r="AY53">
        <f>'Costing 100 Lmin Feed Orig'!AY53</f>
        <v>95</v>
      </c>
      <c r="AZ53">
        <f>'Costing 100 Lmin Feed Orig'!AZ53</f>
        <v>0.92358985913147196</v>
      </c>
      <c r="BA53">
        <f>'Costing 100 Lmin Feed Orig'!BA53</f>
        <v>0.1</v>
      </c>
      <c r="BB53">
        <f>'Costing 100 Lmin Feed Orig'!BB53</f>
        <v>46.085501734905897</v>
      </c>
      <c r="BC53" t="str">
        <f>'Costing 100 Lmin Feed Orig'!BC53</f>
        <v>coeFc</v>
      </c>
      <c r="BD53">
        <f>'Costing 100 Lmin Feed Orig'!BD53</f>
        <v>1</v>
      </c>
      <c r="BE53">
        <f>'Costing 100 Lmin Feed Orig'!BE53</f>
        <v>1.8775014999999999E-2</v>
      </c>
      <c r="BF53">
        <f>'Costing 100 Lmin Feed Orig'!BF53</f>
        <v>0.10492961100000001</v>
      </c>
      <c r="BG53">
        <f>'Costing 100 Lmin Feed Orig'!BG53</f>
        <v>1.814625E-3</v>
      </c>
      <c r="BH53">
        <f>'Costing 100 Lmin Feed Orig'!BH53</f>
        <v>285.1951444</v>
      </c>
      <c r="BI53">
        <f>'Costing 100 Lmin Feed Orig'!BI53</f>
        <v>2169.8944889999998</v>
      </c>
      <c r="BJ53">
        <f>'Costing 100 Lmin Feed Orig'!BJ53</f>
        <v>866.49409060000005</v>
      </c>
      <c r="BK53">
        <f>'Costing 100 Lmin Feed Orig'!BK53</f>
        <v>100</v>
      </c>
      <c r="BL53">
        <f>'Costing 100 Lmin Feed Orig'!BL53</f>
        <v>11.004417585793099</v>
      </c>
      <c r="BM53">
        <f>'Costing 100 Lmin Feed Orig'!BM53</f>
        <v>92.358985913147194</v>
      </c>
      <c r="BN53">
        <f>'Costing 100 Lmin Feed Orig'!BN53</f>
        <v>20.040789930945397</v>
      </c>
      <c r="BO53">
        <f t="shared" si="1"/>
        <v>220.08835171586199</v>
      </c>
      <c r="BP53">
        <f t="shared" si="2"/>
        <v>280.57105903323554</v>
      </c>
      <c r="BQ53">
        <f t="shared" si="3"/>
        <v>22.008835171586199</v>
      </c>
      <c r="BR53">
        <f t="shared" si="4"/>
        <v>28.057105903323556</v>
      </c>
      <c r="BS53">
        <f>1.2*0.5*BL53*V53/'Oxidant Feed Composition'!$N$22</f>
        <v>6.6026505514758593</v>
      </c>
      <c r="BT53">
        <f>1.2*0.5*BN53*BA53/'Oxidant Feed Composition'!$N$22</f>
        <v>12.024473958567238</v>
      </c>
      <c r="BU53">
        <f t="shared" si="5"/>
        <v>5.5022087928965497</v>
      </c>
      <c r="BV53">
        <f t="shared" si="6"/>
        <v>10.020394965472699</v>
      </c>
      <c r="BW53">
        <f t="shared" si="7"/>
        <v>86.856777120250641</v>
      </c>
      <c r="BX53">
        <f t="shared" si="0"/>
        <v>35.214136274537921</v>
      </c>
      <c r="BY53">
        <f t="shared" si="8"/>
        <v>206.7268069978806</v>
      </c>
      <c r="BZ53">
        <f t="shared" si="9"/>
        <v>64.130527779025272</v>
      </c>
      <c r="CA53">
        <f t="shared" si="10"/>
        <v>60.122369792836196</v>
      </c>
      <c r="CB53">
        <f>BO53*'Reagent cost'!$G$11*'Reagent cost'!$H$11</f>
        <v>2905.1662426493785</v>
      </c>
      <c r="CC53">
        <f>BP53*'Reagent cost'!$G$11*'Reagent cost'!$H$11</f>
        <v>3703.5379792387093</v>
      </c>
      <c r="CD53">
        <f>BQ53*'Reagent cost'!$C$18/1000*'Reagent cost'!$H$18</f>
        <v>3509.9789962792502</v>
      </c>
      <c r="CE53">
        <f>BR53*'Ligand cost'!$B$56*'Ligand cost'!$J$56</f>
        <v>28565.717598032308</v>
      </c>
      <c r="CF53">
        <f t="shared" si="11"/>
        <v>10</v>
      </c>
      <c r="CG53">
        <f t="shared" si="12"/>
        <v>2.2008835171586201</v>
      </c>
      <c r="CH53">
        <f t="shared" si="12"/>
        <v>4.0081579861890795</v>
      </c>
      <c r="CI53">
        <f>7963.6*(BX53/1000)^0.6*1.7*('CAPEX+OPEX'!$G$116/'CAPEX+OPEX'!$G$115)</f>
        <v>2144.228934815284</v>
      </c>
      <c r="CJ53">
        <f>7963.6*(BY53/1000)^0.6*1.7*('CAPEX+OPEX'!$G$116/'CAPEX+OPEX'!$G$115)</f>
        <v>6201.2466571653367</v>
      </c>
      <c r="CK53">
        <f>7963.6*(BZ53/1000)^0.6*1.7*('CAPEX+OPEX'!$G$116/'CAPEX+OPEX'!$G$115)</f>
        <v>3072.4145724960686</v>
      </c>
      <c r="CL53">
        <f>7963.6*(CA53/1000)^0.6*1.7*('CAPEX+OPEX'!$G$116/'CAPEX+OPEX'!$G$115)</f>
        <v>2955.7151806454222</v>
      </c>
      <c r="CM53">
        <f>'Costing 100 Lmin Feed Orig'!DE53</f>
        <v>39625.826528698344</v>
      </c>
      <c r="CN53">
        <f>'Costing 100 Lmin Feed Orig'!DF53</f>
        <v>4586243.4239371875</v>
      </c>
      <c r="CO53">
        <f>'Costing 100 Lmin Feed Orig'!DG53</f>
        <v>11794834.586807497</v>
      </c>
      <c r="CP53">
        <f>'Costing 100 Lmin Feed Orig'!DH53</f>
        <v>2275209.1661185985</v>
      </c>
      <c r="CQ53">
        <f>'Costing 100 Lmin Feed Orig'!DI53</f>
        <v>14083914.336508472</v>
      </c>
      <c r="CR53">
        <f>'Costing 100 Lmin Feed Orig'!DJ53</f>
        <v>1662824.8986326549</v>
      </c>
      <c r="CS53">
        <f>CN53*(BK53/10000)^0.72*((A53+1)/3)^0.6*('CAPEX+OPEX'!$G$116/'CAPEX+OPEX'!$G$114)</f>
        <v>751295.09040276916</v>
      </c>
      <c r="CT53">
        <f>CO53*(BK53/10000)^0.72*((A53+1)/3)^0.6*('CAPEX+OPEX'!$G$116/'CAPEX+OPEX'!$G$114)</f>
        <v>1932169.8606163235</v>
      </c>
      <c r="CU53">
        <f>CP53*(BK53/10000)^0.72*((A53+1)/3)^0.6*('CAPEX+OPEX'!$G$116/'CAPEX+OPEX'!$G$114)</f>
        <v>372713.20297186484</v>
      </c>
      <c r="CV53">
        <f>CQ53*(BK53/10000)^0.72*((A53+1)/3)^0.6*('CAPEX+OPEX'!$G$116/'CAPEX+OPEX'!$G$114)</f>
        <v>2307155.2721002945</v>
      </c>
      <c r="CW53">
        <f>CR53*(BK53/10000)^0.72*((A53+1)/3)^0.6*('CAPEX+OPEX'!$G$116/'CAPEX+OPEX'!$G$114)</f>
        <v>272395.52441150707</v>
      </c>
      <c r="CX53">
        <f t="shared" si="13"/>
        <v>5635728.9505027588</v>
      </c>
      <c r="CY53">
        <f>CN53*(BM53/10000)^0.72*((AF53+1)/3)^0.6*('CAPEX+OPEX'!$G$116/'CAPEX+OPEX'!$G$114)</f>
        <v>556289.40374443913</v>
      </c>
      <c r="CZ53">
        <f>CO53*(BM53/10000)^0.72*((AF53+1)/3)^0.6*('CAPEX+OPEX'!$G$116/'CAPEX+OPEX'!$G$114)</f>
        <v>1430657.052635611</v>
      </c>
      <c r="DA53">
        <f>CP53*(BM53/10000)^0.72*((AF53+1)/3)^0.6*('CAPEX+OPEX'!$G$116/'CAPEX+OPEX'!$G$114)</f>
        <v>275971.99568780069</v>
      </c>
      <c r="DB53">
        <f>CQ53*(BM53/10000)^0.72*((AF53+1)/3)^0.6*('CAPEX+OPEX'!$G$116/'CAPEX+OPEX'!$G$114)</f>
        <v>1708311.4838065251</v>
      </c>
      <c r="DC53">
        <f>CR53*(BM53/10000)^0.72*((AF53+1)/3)^0.6*('CAPEX+OPEX'!$G$116/'CAPEX+OPEX'!$G$114)</f>
        <v>201692.71141688875</v>
      </c>
      <c r="DD53">
        <f t="shared" si="14"/>
        <v>4172922.6472912654</v>
      </c>
      <c r="DE53">
        <f>CX53+DD53+1.15*(SUM(CI53:CL53)+SUM(CB53:CE53))</f>
        <v>9869668.3048795443</v>
      </c>
      <c r="DF53">
        <f t="shared" si="15"/>
        <v>657977.88699196966</v>
      </c>
      <c r="DG53">
        <f>(BS53+BT53)*'Oxidant Feed Composition'!$N$29*60*7200</f>
        <v>9292540.4273844957</v>
      </c>
      <c r="DH53">
        <f>((CG53+CH53)*'Reagent cost'!$C$17/1000*'Reagent cost'!$H$17+(CG53+CH53)*0.5*'Reagent cost'!$C$16/1000*'Reagent cost'!$H$16*0.5)*60*7200</f>
        <v>3145955.9208806297</v>
      </c>
      <c r="DI53">
        <f>CF53*'Reagent cost'!$C$17/1000*'Reagent cost'!$H$17*60*7200</f>
        <v>504921.59999999998</v>
      </c>
      <c r="DJ53">
        <f t="shared" si="16"/>
        <v>66.087042218880882</v>
      </c>
      <c r="DK53">
        <f t="shared" si="17"/>
        <v>641.51393188623115</v>
      </c>
      <c r="DL53">
        <f t="shared" si="18"/>
        <v>15532950.659087075</v>
      </c>
      <c r="DM53">
        <f>BK53*(B53*(409.81+2)/1000+C53*(248.2+2*22.99)/1000+D53*(315.6+3*22.99)/1000+0.1*58.44/1000)</f>
        <v>0.70639694042110623</v>
      </c>
      <c r="DN53">
        <f>(BS53+BT53)/1000*('Oxidant Feed Composition'!$B$11*'Oxidant Feed Composition'!$O$20+'Oxidant Feed Composition'!$D$11*'Oxidant Feed Composition'!$O$21+'Oxidant Feed Composition'!$F$11*'Oxidant Feed Composition'!$O$27-'Oxidant Feed Composition'!$J$15*18.015)</f>
        <v>2.1753601674281078</v>
      </c>
      <c r="DO53">
        <f>(BU53+BV53)/1000*(0.2*368.34+0.4*58.44)</f>
        <v>1.5063755591271852</v>
      </c>
      <c r="DP53">
        <f>BK53/1000*(B53*195.08+C53*106.42+D53*102.91)</f>
        <v>4.999938342565946E-2</v>
      </c>
      <c r="DQ53">
        <f>SUM(DM53:DO53)-DP53</f>
        <v>4.3381332835507393</v>
      </c>
      <c r="DR53">
        <f>DQ53*60*7200*0.33</f>
        <v>618444.2809029934</v>
      </c>
      <c r="DS53">
        <v>1.2</v>
      </c>
      <c r="DT53">
        <f>BM53/60*(AM53*4+AN53*2+AO53*3)*96485/DV53</f>
        <v>1403.844239951464</v>
      </c>
      <c r="DU53">
        <f>BN53*BA53*(AP53*4+AQ53*2+AR53*3)*96485/DV53/60</f>
        <v>707.90628200732976</v>
      </c>
      <c r="DV53">
        <v>0.7</v>
      </c>
      <c r="DW53">
        <f>0.499*((BK53/3.78541*15)^(-0.146))*BK53/3.78541*15*300*(1+(A53-2)/9)</f>
        <v>41280.414286181804</v>
      </c>
      <c r="DX53">
        <f>0.248*((BK53/3.78541*15)^(-0.144))*BK53/3.78541*15*300*(1+(A53-2)/3)</f>
        <v>37373.489075065132</v>
      </c>
      <c r="DY53">
        <f>0.105*((BK53/3.78541*15)^(-0.144))*BK53/3.78541*15*300*(1+(A53-2)/3)</f>
        <v>15823.453035813865</v>
      </c>
      <c r="DZ53">
        <f>0.058*((BK53/3.78541*15)^(-0.151))*BK53/3.78541*15*300*(1+(A53-2)/3)</f>
        <v>8382.1245272768647</v>
      </c>
      <c r="EA53">
        <f>0.056*((BK53/3.78541*15)^(-0.144))*BK53/3.78541*15*300*(1+(A53-2)/3)</f>
        <v>8439.174952434063</v>
      </c>
      <c r="EB53">
        <f>DS53*DT53/(3.6*10^6)*3600*7200*0.07</f>
        <v>849.04499632264549</v>
      </c>
      <c r="EC53">
        <f>0.499*((BM53/3.78541*15)^(-0.146))*BM53/3.78541*15*300*(1+(AF53-2)/9)</f>
        <v>30856.96679815141</v>
      </c>
      <c r="ED53">
        <f>0.248*((BM53/3.78541*15)^(-0.144))*BM53/3.78541*15*300*(1+(AF53-2)/3)</f>
        <v>23276.76073563713</v>
      </c>
      <c r="EE53">
        <f>0.105*((BM53/3.78541*15)^(-0.144))*BM53/3.78541*15*300*(1+(AF53-2)/3)</f>
        <v>9855.0801501689457</v>
      </c>
      <c r="EF53">
        <f>0.058*((BM53/3.78541*15)^(-0.151))*BM53/3.78541*15*300*(1+(AF53-2)/3)</f>
        <v>5223.4164538802697</v>
      </c>
      <c r="EG53">
        <f>0.056*((BM53/3.78541*15)^(-0.144))*BM53/3.78541*15*300*(1+(AF53-2)/3)</f>
        <v>5256.0427467567724</v>
      </c>
      <c r="EH53">
        <f>DS53*DU53/(3.6*10^6)*3600*7200*0.07</f>
        <v>428.14171935803307</v>
      </c>
      <c r="EI53">
        <f>SUM(DW53:EH53)</f>
        <v>187044.10947704694</v>
      </c>
      <c r="EJ53">
        <f>EI53+DR53+DL53</f>
        <v>16338439.049467115</v>
      </c>
      <c r="EK53">
        <f>EJ53+DF53</f>
        <v>16996416.936459083</v>
      </c>
      <c r="EL53">
        <f>EK53/(BK53*60*7200)</f>
        <v>0.39343557723284917</v>
      </c>
      <c r="EM53">
        <f>EK53/(BM53*(AM53*195.084/1000+AN53*106.42/1000+AO53*102.911/1000)*60*7200)</f>
        <v>1318.1574805000487</v>
      </c>
      <c r="EN53">
        <f>EK53/(BN53*BA53*(AP53*195.084/1000+AQ53*106.42/1000+AR53*102.911/1000)*60*7200)</f>
        <v>2408.9703411321198</v>
      </c>
    </row>
    <row r="54" spans="1:144">
      <c r="A54">
        <f>'Costing 100 Lmin Feed Orig'!A54</f>
        <v>8</v>
      </c>
      <c r="B54">
        <f>'Costing 100 Lmin Feed Orig'!B54</f>
        <v>1.54143585092054E-3</v>
      </c>
      <c r="C54">
        <f>'Costing 100 Lmin Feed Orig'!C54</f>
        <v>1.54143585092054E-3</v>
      </c>
      <c r="D54">
        <f>'Costing 100 Lmin Feed Orig'!D54</f>
        <v>3.4254130020456501E-4</v>
      </c>
      <c r="E54">
        <f>'Costing 100 Lmin Feed Orig'!E54</f>
        <v>0</v>
      </c>
      <c r="F54">
        <f>'Costing 100 Lmin Feed Orig'!F54</f>
        <v>0</v>
      </c>
      <c r="G54">
        <f>'Costing 100 Lmin Feed Orig'!G54</f>
        <v>0</v>
      </c>
      <c r="H54">
        <f>'Costing 100 Lmin Feed Orig'!H54</f>
        <v>1.7762434284205799E-5</v>
      </c>
      <c r="I54">
        <f>'Costing 100 Lmin Feed Orig'!I54</f>
        <v>4.4591984978445998E-9</v>
      </c>
      <c r="J54">
        <f>'Costing 100 Lmin Feed Orig'!J54</f>
        <v>3.37570976171142E-4</v>
      </c>
      <c r="K54">
        <f>'Costing 100 Lmin Feed Orig'!K54</f>
        <v>0.13846015972746001</v>
      </c>
      <c r="L54">
        <f>'Costing 100 Lmin Feed Orig'!L54</f>
        <v>0.14007387303476199</v>
      </c>
      <c r="M54">
        <f>'Costing 100 Lmin Feed Orig'!M54</f>
        <v>4.5166625081916902E-4</v>
      </c>
      <c r="N54">
        <f>'Costing 100 Lmin Feed Orig'!N54</f>
        <v>-2.6107588313450902E-16</v>
      </c>
      <c r="O54">
        <f>'Costing 100 Lmin Feed Orig'!O54</f>
        <v>-1.18524981496115E-14</v>
      </c>
      <c r="P54">
        <f>'Costing 100 Lmin Feed Orig'!P54</f>
        <v>-2.5241581828178102E-19</v>
      </c>
      <c r="Q54">
        <f>'Costing 100 Lmin Feed Orig'!Q54</f>
        <v>0.110044175857931</v>
      </c>
      <c r="R54">
        <f>'Costing 100 Lmin Feed Orig'!R54</f>
        <v>98.548985471108097</v>
      </c>
      <c r="S54">
        <f>'Costing 100 Lmin Feed Orig'!S54</f>
        <v>500</v>
      </c>
      <c r="T54">
        <f>'Costing 100 Lmin Feed Orig'!T54</f>
        <v>95</v>
      </c>
      <c r="U54">
        <f>'Costing 100 Lmin Feed Orig'!U54</f>
        <v>1</v>
      </c>
      <c r="V54">
        <f>'Costing 100 Lmin Feed Orig'!V54</f>
        <v>0.1</v>
      </c>
      <c r="W54">
        <f>'Costing 100 Lmin Feed Orig'!W54</f>
        <v>90.872596591664205</v>
      </c>
      <c r="X54" t="str">
        <f>'Costing 100 Lmin Feed Orig'!X54</f>
        <v>ddFc</v>
      </c>
      <c r="Y54">
        <f>'Costing 100 Lmin Feed Orig'!Y54</f>
        <v>1</v>
      </c>
      <c r="Z54">
        <f>'Costing 100 Lmin Feed Orig'!Z54</f>
        <v>0.28318429382522198</v>
      </c>
      <c r="AA54">
        <f>'Costing 100 Lmin Feed Orig'!AA54</f>
        <v>0.56945642916197003</v>
      </c>
      <c r="AB54">
        <f>'Costing 100 Lmin Feed Orig'!AB54</f>
        <v>3.7698628972227502E-3</v>
      </c>
      <c r="AC54">
        <f>'Costing 100 Lmin Feed Orig'!AC54</f>
        <v>1822.2107908876901</v>
      </c>
      <c r="AD54">
        <f>'Costing 100 Lmin Feed Orig'!AD54</f>
        <v>2662.6059073104898</v>
      </c>
      <c r="AE54">
        <f>'Costing 100 Lmin Feed Orig'!AE54</f>
        <v>2401.5030938442701</v>
      </c>
      <c r="AF54">
        <f>'Costing 100 Lmin Feed Orig'!AF54</f>
        <v>6</v>
      </c>
      <c r="AG54">
        <f>'Costing 100 Lmin Feed Orig'!AG54</f>
        <v>1.6497294784823999E-3</v>
      </c>
      <c r="AH54">
        <f>'Costing 100 Lmin Feed Orig'!AH54</f>
        <v>1.66895660069658E-3</v>
      </c>
      <c r="AI54">
        <f>'Costing 100 Lmin Feed Orig'!AI54</f>
        <v>5.38152729188446E-6</v>
      </c>
      <c r="AJ54">
        <f>'Costing 100 Lmin Feed Orig'!AJ54</f>
        <v>0</v>
      </c>
      <c r="AK54">
        <f>'Costing 100 Lmin Feed Orig'!AK54</f>
        <v>0</v>
      </c>
      <c r="AL54">
        <f>'Costing 100 Lmin Feed Orig'!AL54</f>
        <v>0</v>
      </c>
      <c r="AM54">
        <f>'Costing 100 Lmin Feed Orig'!AM54</f>
        <v>1.6120973624594601E-3</v>
      </c>
      <c r="AN54">
        <f>'Costing 100 Lmin Feed Orig'!AN54</f>
        <v>7.9501723318735999E-5</v>
      </c>
      <c r="AO54">
        <f>'Costing 100 Lmin Feed Orig'!AO54</f>
        <v>5.3455064946735699E-6</v>
      </c>
      <c r="AP54">
        <f>'Costing 100 Lmin Feed Orig'!AP54</f>
        <v>1.7562344447916399E-3</v>
      </c>
      <c r="AQ54">
        <f>'Costing 100 Lmin Feed Orig'!AQ54</f>
        <v>7.4177476557294494E-2</v>
      </c>
      <c r="AR54">
        <f>'Costing 100 Lmin Feed Orig'!AR54</f>
        <v>1.6810366111767E-6</v>
      </c>
      <c r="AS54">
        <f>'Costing 100 Lmin Feed Orig'!AS54</f>
        <v>-2.1616280813929698E-18</v>
      </c>
      <c r="AT54">
        <f>'Costing 100 Lmin Feed Orig'!AT54</f>
        <v>-1.5872719805187701E-16</v>
      </c>
      <c r="AU54">
        <f>'Costing 100 Lmin Feed Orig'!AU54</f>
        <v>-1.13158307797254E-21</v>
      </c>
      <c r="AV54">
        <f>'Costing 100 Lmin Feed Orig'!AV54</f>
        <v>0.19790433355595599</v>
      </c>
      <c r="AW54">
        <f>'Costing 100 Lmin Feed Orig'!AW54</f>
        <v>99.330658468178498</v>
      </c>
      <c r="AX54">
        <f>'Costing 100 Lmin Feed Orig'!AX54</f>
        <v>499.99999999999898</v>
      </c>
      <c r="AY54">
        <f>'Costing 100 Lmin Feed Orig'!AY54</f>
        <v>95</v>
      </c>
      <c r="AZ54">
        <f>'Costing 100 Lmin Feed Orig'!AZ54</f>
        <v>0.92358985913147196</v>
      </c>
      <c r="BA54">
        <f>'Costing 100 Lmin Feed Orig'!BA54</f>
        <v>0.1</v>
      </c>
      <c r="BB54">
        <f>'Costing 100 Lmin Feed Orig'!BB54</f>
        <v>46.668501014422198</v>
      </c>
      <c r="BC54" t="str">
        <f>'Costing 100 Lmin Feed Orig'!BC54</f>
        <v>coeFc</v>
      </c>
      <c r="BD54">
        <f>'Costing 100 Lmin Feed Orig'!BD54</f>
        <v>1</v>
      </c>
      <c r="BE54">
        <f>'Costing 100 Lmin Feed Orig'!BE54</f>
        <v>1.8775014999999999E-2</v>
      </c>
      <c r="BF54">
        <f>'Costing 100 Lmin Feed Orig'!BF54</f>
        <v>0.10492961100000001</v>
      </c>
      <c r="BG54">
        <f>'Costing 100 Lmin Feed Orig'!BG54</f>
        <v>1.814625E-3</v>
      </c>
      <c r="BH54">
        <f>'Costing 100 Lmin Feed Orig'!BH54</f>
        <v>285.1951444</v>
      </c>
      <c r="BI54">
        <f>'Costing 100 Lmin Feed Orig'!BI54</f>
        <v>2169.8944889999998</v>
      </c>
      <c r="BJ54">
        <f>'Costing 100 Lmin Feed Orig'!BJ54</f>
        <v>866.49409060000005</v>
      </c>
      <c r="BK54">
        <f>'Costing 100 Lmin Feed Orig'!BK54</f>
        <v>100</v>
      </c>
      <c r="BL54">
        <f>'Costing 100 Lmin Feed Orig'!BL54</f>
        <v>11.004417585793099</v>
      </c>
      <c r="BM54">
        <f>'Costing 100 Lmin Feed Orig'!BM54</f>
        <v>92.358985913147194</v>
      </c>
      <c r="BN54">
        <f>'Costing 100 Lmin Feed Orig'!BN54</f>
        <v>19.790433355595599</v>
      </c>
      <c r="BO54">
        <f t="shared" si="1"/>
        <v>220.08835171586199</v>
      </c>
      <c r="BP54">
        <f t="shared" si="2"/>
        <v>316.64693368952959</v>
      </c>
      <c r="BQ54">
        <f t="shared" si="3"/>
        <v>22.008835171586199</v>
      </c>
      <c r="BR54">
        <f t="shared" si="4"/>
        <v>31.66469336895296</v>
      </c>
      <c r="BS54">
        <f>1.2*0.5*BL54*V54/'Oxidant Feed Composition'!$N$22</f>
        <v>6.6026505514758593</v>
      </c>
      <c r="BT54">
        <f>1.2*0.5*BN54*BA54/'Oxidant Feed Composition'!$N$22</f>
        <v>11.874260013357359</v>
      </c>
      <c r="BU54">
        <f t="shared" si="5"/>
        <v>5.5022087928965497</v>
      </c>
      <c r="BV54">
        <f t="shared" si="6"/>
        <v>9.8952166777977997</v>
      </c>
      <c r="BW54">
        <f t="shared" si="7"/>
        <v>86.856777120250641</v>
      </c>
      <c r="BX54">
        <f t="shared" si="0"/>
        <v>35.214136274537921</v>
      </c>
      <c r="BY54">
        <f t="shared" si="8"/>
        <v>206.7268069978806</v>
      </c>
      <c r="BZ54">
        <f t="shared" si="9"/>
        <v>63.329386737905921</v>
      </c>
      <c r="CA54">
        <f t="shared" si="10"/>
        <v>59.371300066786802</v>
      </c>
      <c r="CB54">
        <f>BO54*'Reagent cost'!$G$11*'Reagent cost'!$H$11</f>
        <v>2905.1662426493785</v>
      </c>
      <c r="CC54">
        <f>BP54*'Reagent cost'!$G$11*'Reagent cost'!$H$11</f>
        <v>4179.7395247017912</v>
      </c>
      <c r="CD54">
        <f>BQ54*'Reagent cost'!$C$18/1000*'Reagent cost'!$H$18</f>
        <v>3509.9789962792502</v>
      </c>
      <c r="CE54">
        <f>BR54*'Ligand cost'!$B$56*'Ligand cost'!$J$56</f>
        <v>32238.702442173457</v>
      </c>
      <c r="CF54">
        <f t="shared" si="11"/>
        <v>10</v>
      </c>
      <c r="CG54">
        <f t="shared" si="12"/>
        <v>2.2008835171586201</v>
      </c>
      <c r="CH54">
        <f t="shared" si="12"/>
        <v>3.95808667111912</v>
      </c>
      <c r="CI54">
        <f>7963.6*(BX54/1000)^0.6*1.7*('CAPEX+OPEX'!$G$116/'CAPEX+OPEX'!$G$115)</f>
        <v>2144.228934815284</v>
      </c>
      <c r="CJ54">
        <f>7963.6*(BY54/1000)^0.6*1.7*('CAPEX+OPEX'!$G$116/'CAPEX+OPEX'!$G$115)</f>
        <v>6201.2466571653367</v>
      </c>
      <c r="CK54">
        <f>7963.6*(BZ54/1000)^0.6*1.7*('CAPEX+OPEX'!$G$116/'CAPEX+OPEX'!$G$115)</f>
        <v>3049.3276891123733</v>
      </c>
      <c r="CL54">
        <f>7963.6*(CA54/1000)^0.6*1.7*('CAPEX+OPEX'!$G$116/'CAPEX+OPEX'!$G$115)</f>
        <v>2933.505205370001</v>
      </c>
      <c r="CM54">
        <f>'Costing 100 Lmin Feed Orig'!DE54</f>
        <v>39625.826528698344</v>
      </c>
      <c r="CN54">
        <f>'Costing 100 Lmin Feed Orig'!DF54</f>
        <v>4586243.4239371875</v>
      </c>
      <c r="CO54">
        <f>'Costing 100 Lmin Feed Orig'!DG54</f>
        <v>11794834.586807497</v>
      </c>
      <c r="CP54">
        <f>'Costing 100 Lmin Feed Orig'!DH54</f>
        <v>2275209.1661185985</v>
      </c>
      <c r="CQ54">
        <f>'Costing 100 Lmin Feed Orig'!DI54</f>
        <v>14083914.336508472</v>
      </c>
      <c r="CR54">
        <f>'Costing 100 Lmin Feed Orig'!DJ54</f>
        <v>1662824.8986326549</v>
      </c>
      <c r="CS54">
        <f>CN54*(BK54/10000)^0.72*((A54+1)/3)^0.6*('CAPEX+OPEX'!$G$116/'CAPEX+OPEX'!$G$114)</f>
        <v>751295.09040276916</v>
      </c>
      <c r="CT54">
        <f>CO54*(BK54/10000)^0.72*((A54+1)/3)^0.6*('CAPEX+OPEX'!$G$116/'CAPEX+OPEX'!$G$114)</f>
        <v>1932169.8606163235</v>
      </c>
      <c r="CU54">
        <f>CP54*(BK54/10000)^0.72*((A54+1)/3)^0.6*('CAPEX+OPEX'!$G$116/'CAPEX+OPEX'!$G$114)</f>
        <v>372713.20297186484</v>
      </c>
      <c r="CV54">
        <f>CQ54*(BK54/10000)^0.72*((A54+1)/3)^0.6*('CAPEX+OPEX'!$G$116/'CAPEX+OPEX'!$G$114)</f>
        <v>2307155.2721002945</v>
      </c>
      <c r="CW54">
        <f>CR54*(BK54/10000)^0.72*((A54+1)/3)^0.6*('CAPEX+OPEX'!$G$116/'CAPEX+OPEX'!$G$114)</f>
        <v>272395.52441150707</v>
      </c>
      <c r="CX54">
        <f t="shared" si="13"/>
        <v>5635728.9505027588</v>
      </c>
      <c r="CY54">
        <f>CN54*(BM54/10000)^0.72*((AF54+1)/3)^0.6*('CAPEX+OPEX'!$G$116/'CAPEX+OPEX'!$G$114)</f>
        <v>610195.30439334596</v>
      </c>
      <c r="CZ54">
        <f>CO54*(BM54/10000)^0.72*((AF54+1)/3)^0.6*('CAPEX+OPEX'!$G$116/'CAPEX+OPEX'!$G$114)</f>
        <v>1569291.469223317</v>
      </c>
      <c r="DA54">
        <f>CP54*(BM54/10000)^0.72*((AF54+1)/3)^0.6*('CAPEX+OPEX'!$G$116/'CAPEX+OPEX'!$G$114)</f>
        <v>302714.40509069752</v>
      </c>
      <c r="DB54">
        <f>CQ54*(BM54/10000)^0.72*((AF54+1)/3)^0.6*('CAPEX+OPEX'!$G$116/'CAPEX+OPEX'!$G$114)</f>
        <v>1873851.3422032651</v>
      </c>
      <c r="DC54">
        <f>CR54*(BM54/10000)^0.72*((AF54+1)/3)^0.6*('CAPEX+OPEX'!$G$116/'CAPEX+OPEX'!$G$114)</f>
        <v>221237.26356917509</v>
      </c>
      <c r="DD54">
        <f t="shared" si="14"/>
        <v>4577289.7844798015</v>
      </c>
      <c r="DE54">
        <f>CX54+DD54+1.15*(SUM(CI54:CL54)+SUM(CB54:CE54))</f>
        <v>10278754.915028669</v>
      </c>
      <c r="DF54">
        <f t="shared" si="15"/>
        <v>685250.3276685779</v>
      </c>
      <c r="DG54">
        <f>(BS54+BT54)*'Oxidant Feed Composition'!$N$29*60*7200</f>
        <v>9217602.9802295603</v>
      </c>
      <c r="DH54">
        <f>((CG54+CH54)*'Reagent cost'!$C$17/1000*'Reagent cost'!$H$17+(CG54+CH54)*0.5*'Reagent cost'!$C$16/1000*'Reagent cost'!$H$16*0.5)*60*7200</f>
        <v>3120586.119434515</v>
      </c>
      <c r="DI54">
        <f>CF54*'Reagent cost'!$C$17/1000*'Reagent cost'!$H$17*60*7200</f>
        <v>504921.59999999998</v>
      </c>
      <c r="DJ54">
        <f t="shared" si="16"/>
        <v>70.849057673511695</v>
      </c>
      <c r="DK54">
        <f t="shared" si="17"/>
        <v>714.97362876905424</v>
      </c>
      <c r="DL54">
        <f t="shared" si="18"/>
        <v>15412675.826820621</v>
      </c>
      <c r="DM54">
        <f>BK54*(B54*(409.81+2)/1000+C54*(248.2+2*22.99)/1000+D54*(315.6+3*22.99)/1000+0.1*58.44/1000)</f>
        <v>0.70639694042110623</v>
      </c>
      <c r="DN54">
        <f>(BS54+BT54)/1000*('Oxidant Feed Composition'!$B$11*'Oxidant Feed Composition'!$O$20+'Oxidant Feed Composition'!$D$11*'Oxidant Feed Composition'!$O$21+'Oxidant Feed Composition'!$F$11*'Oxidant Feed Composition'!$O$27-'Oxidant Feed Composition'!$J$15*18.015)</f>
        <v>2.1578175009351872</v>
      </c>
      <c r="DO54">
        <f>(BU54+BV54)/1000*(0.2*368.34+0.4*58.44)</f>
        <v>1.4942277573780625</v>
      </c>
      <c r="DP54">
        <f>BK54/1000*(B54*195.08+C54*106.42+D54*102.91)</f>
        <v>4.999938342565946E-2</v>
      </c>
      <c r="DQ54">
        <f>SUM(DM54:DO54)-DP54</f>
        <v>4.3084428153086956</v>
      </c>
      <c r="DR54">
        <f>DQ54*60*7200*0.33</f>
        <v>614211.60775040765</v>
      </c>
      <c r="DS54">
        <v>1.2</v>
      </c>
      <c r="DT54">
        <f>BM54/60*(AM54*4+AN54*2+AO54*3)*96485/DV54</f>
        <v>1405.3114316602573</v>
      </c>
      <c r="DU54">
        <f>BN54*BA54*(AP54*4+AQ54*2+AR54*3)*96485/DV54/60</f>
        <v>706.4390902986579</v>
      </c>
      <c r="DV54">
        <v>0.7</v>
      </c>
      <c r="DW54">
        <f>0.499*((BK54/3.78541*15)^(-0.146))*BK54/3.78541*15*300*(1+(A54-2)/9)</f>
        <v>41280.414286181804</v>
      </c>
      <c r="DX54">
        <f>0.248*((BK54/3.78541*15)^(-0.144))*BK54/3.78541*15*300*(1+(A54-2)/3)</f>
        <v>37373.489075065132</v>
      </c>
      <c r="DY54">
        <f>0.105*((BK54/3.78541*15)^(-0.144))*BK54/3.78541*15*300*(1+(A54-2)/3)</f>
        <v>15823.453035813865</v>
      </c>
      <c r="DZ54">
        <f>0.058*((BK54/3.78541*15)^(-0.151))*BK54/3.78541*15*300*(1+(A54-2)/3)</f>
        <v>8382.1245272768647</v>
      </c>
      <c r="EA54">
        <f>0.056*((BK54/3.78541*15)^(-0.144))*BK54/3.78541*15*300*(1+(A54-2)/3)</f>
        <v>8439.174952434063</v>
      </c>
      <c r="EB54">
        <f>DS54*DT54/(3.6*10^6)*3600*7200*0.07</f>
        <v>849.93235386812376</v>
      </c>
      <c r="EC54">
        <f>0.499*((BM54/3.78541*15)^(-0.146))*BM54/3.78541*15*300*(1+(AF54-2)/9)</f>
        <v>33428.38069799736</v>
      </c>
      <c r="ED54">
        <f>0.248*((BM54/3.78541*15)^(-0.144))*BM54/3.78541*15*300*(1+(AF54-2)/3)</f>
        <v>27156.220858243316</v>
      </c>
      <c r="EE54">
        <f>0.105*((BM54/3.78541*15)^(-0.144))*BM54/3.78541*15*300*(1+(AF54-2)/3)</f>
        <v>11497.593508530435</v>
      </c>
      <c r="EF54">
        <f>0.058*((BM54/3.78541*15)^(-0.151))*BM54/3.78541*15*300*(1+(AF54-2)/3)</f>
        <v>6093.9858628603142</v>
      </c>
      <c r="EG54">
        <f>0.056*((BM54/3.78541*15)^(-0.144))*BM54/3.78541*15*300*(1+(AF54-2)/3)</f>
        <v>6132.0498712162334</v>
      </c>
      <c r="EH54">
        <f>DS54*DU54/(3.6*10^6)*3600*7200*0.07</f>
        <v>427.2543618126283</v>
      </c>
      <c r="EI54">
        <f>SUM(DW54:EH54)</f>
        <v>196884.07339130016</v>
      </c>
      <c r="EJ54">
        <f>EI54+DR54+DL54</f>
        <v>16223771.507962329</v>
      </c>
      <c r="EK54">
        <f>EJ54+DF54</f>
        <v>16909021.835630909</v>
      </c>
      <c r="EL54">
        <f>EK54/(BK54*60*7200)</f>
        <v>0.39141254249145624</v>
      </c>
      <c r="EM54">
        <f>EK54/(BM54*(AM54*195.084/1000+AN54*106.42/1000+AO54*102.911/1000)*60*7200)</f>
        <v>1310.0095709316859</v>
      </c>
      <c r="EN54">
        <f>EK54/(BN54*BA54*(AP54*195.084/1000+AQ54*106.42/1000+AR54*102.911/1000)*60*7200)</f>
        <v>2401.1725826774264</v>
      </c>
    </row>
    <row r="55" spans="1:144">
      <c r="A55">
        <f>'Costing 100 Lmin Feed Orig'!A55</f>
        <v>8</v>
      </c>
      <c r="B55">
        <f>'Costing 100 Lmin Feed Orig'!B55</f>
        <v>1.54143585092054E-3</v>
      </c>
      <c r="C55">
        <f>'Costing 100 Lmin Feed Orig'!C55</f>
        <v>1.54143585092054E-3</v>
      </c>
      <c r="D55">
        <f>'Costing 100 Lmin Feed Orig'!D55</f>
        <v>3.4254130020456501E-4</v>
      </c>
      <c r="E55">
        <f>'Costing 100 Lmin Feed Orig'!E55</f>
        <v>0</v>
      </c>
      <c r="F55">
        <f>'Costing 100 Lmin Feed Orig'!F55</f>
        <v>0</v>
      </c>
      <c r="G55">
        <f>'Costing 100 Lmin Feed Orig'!G55</f>
        <v>0</v>
      </c>
      <c r="H55">
        <f>'Costing 100 Lmin Feed Orig'!H55</f>
        <v>1.7762434284205799E-5</v>
      </c>
      <c r="I55">
        <f>'Costing 100 Lmin Feed Orig'!I55</f>
        <v>4.4591984978445998E-9</v>
      </c>
      <c r="J55">
        <f>'Costing 100 Lmin Feed Orig'!J55</f>
        <v>3.37570976171142E-4</v>
      </c>
      <c r="K55">
        <f>'Costing 100 Lmin Feed Orig'!K55</f>
        <v>0.13846015972746001</v>
      </c>
      <c r="L55">
        <f>'Costing 100 Lmin Feed Orig'!L55</f>
        <v>0.14007387303476199</v>
      </c>
      <c r="M55">
        <f>'Costing 100 Lmin Feed Orig'!M55</f>
        <v>4.5166625081916902E-4</v>
      </c>
      <c r="N55">
        <f>'Costing 100 Lmin Feed Orig'!N55</f>
        <v>-2.6107588313450902E-16</v>
      </c>
      <c r="O55">
        <f>'Costing 100 Lmin Feed Orig'!O55</f>
        <v>-1.18524981496115E-14</v>
      </c>
      <c r="P55">
        <f>'Costing 100 Lmin Feed Orig'!P55</f>
        <v>-2.5241581828178102E-19</v>
      </c>
      <c r="Q55">
        <f>'Costing 100 Lmin Feed Orig'!Q55</f>
        <v>0.110044175857931</v>
      </c>
      <c r="R55">
        <f>'Costing 100 Lmin Feed Orig'!R55</f>
        <v>98.548985471108097</v>
      </c>
      <c r="S55">
        <f>'Costing 100 Lmin Feed Orig'!S55</f>
        <v>500</v>
      </c>
      <c r="T55">
        <f>'Costing 100 Lmin Feed Orig'!T55</f>
        <v>95</v>
      </c>
      <c r="U55">
        <f>'Costing 100 Lmin Feed Orig'!U55</f>
        <v>1</v>
      </c>
      <c r="V55">
        <f>'Costing 100 Lmin Feed Orig'!V55</f>
        <v>0.1</v>
      </c>
      <c r="W55">
        <f>'Costing 100 Lmin Feed Orig'!W55</f>
        <v>90.872596591664205</v>
      </c>
      <c r="X55" t="str">
        <f>'Costing 100 Lmin Feed Orig'!X55</f>
        <v>ddFc</v>
      </c>
      <c r="Y55">
        <f>'Costing 100 Lmin Feed Orig'!Y55</f>
        <v>1</v>
      </c>
      <c r="Z55">
        <f>'Costing 100 Lmin Feed Orig'!Z55</f>
        <v>0.28318429382522198</v>
      </c>
      <c r="AA55">
        <f>'Costing 100 Lmin Feed Orig'!AA55</f>
        <v>0.56945642916197003</v>
      </c>
      <c r="AB55">
        <f>'Costing 100 Lmin Feed Orig'!AB55</f>
        <v>3.7698628972227502E-3</v>
      </c>
      <c r="AC55">
        <f>'Costing 100 Lmin Feed Orig'!AC55</f>
        <v>1822.2107908876901</v>
      </c>
      <c r="AD55">
        <f>'Costing 100 Lmin Feed Orig'!AD55</f>
        <v>2662.6059073104898</v>
      </c>
      <c r="AE55">
        <f>'Costing 100 Lmin Feed Orig'!AE55</f>
        <v>2401.5030938442701</v>
      </c>
      <c r="AF55">
        <f>'Costing 100 Lmin Feed Orig'!AF55</f>
        <v>7</v>
      </c>
      <c r="AG55">
        <f>'Costing 100 Lmin Feed Orig'!AG55</f>
        <v>1.6497294784823999E-3</v>
      </c>
      <c r="AH55">
        <f>'Costing 100 Lmin Feed Orig'!AH55</f>
        <v>1.66895660069658E-3</v>
      </c>
      <c r="AI55">
        <f>'Costing 100 Lmin Feed Orig'!AI55</f>
        <v>5.38152729188446E-6</v>
      </c>
      <c r="AJ55">
        <f>'Costing 100 Lmin Feed Orig'!AJ55</f>
        <v>0</v>
      </c>
      <c r="AK55">
        <f>'Costing 100 Lmin Feed Orig'!AK55</f>
        <v>0</v>
      </c>
      <c r="AL55">
        <f>'Costing 100 Lmin Feed Orig'!AL55</f>
        <v>0</v>
      </c>
      <c r="AM55">
        <f>'Costing 100 Lmin Feed Orig'!AM55</f>
        <v>1.6125869955133201E-3</v>
      </c>
      <c r="AN55">
        <f>'Costing 100 Lmin Feed Orig'!AN55</f>
        <v>7.9527043739658596E-5</v>
      </c>
      <c r="AO55">
        <f>'Costing 100 Lmin Feed Orig'!AO55</f>
        <v>5.3459560242007103E-6</v>
      </c>
      <c r="AP55">
        <f>'Costing 100 Lmin Feed Orig'!AP55</f>
        <v>1.7397829738956801E-3</v>
      </c>
      <c r="AQ55">
        <f>'Costing 100 Lmin Feed Orig'!AQ55</f>
        <v>7.4450124503133999E-2</v>
      </c>
      <c r="AR55">
        <f>'Costing 100 Lmin Feed Orig'!AR55</f>
        <v>1.6661860201321599E-6</v>
      </c>
      <c r="AS55">
        <f>'Costing 100 Lmin Feed Orig'!AS55</f>
        <v>-4.4926627522367998E-18</v>
      </c>
      <c r="AT55">
        <f>'Costing 100 Lmin Feed Orig'!AT55</f>
        <v>-1.8262301393345801E-15</v>
      </c>
      <c r="AU55">
        <f>'Costing 100 Lmin Feed Orig'!AU55</f>
        <v>-5.4726269326508303E-21</v>
      </c>
      <c r="AV55">
        <f>'Costing 100 Lmin Feed Orig'!AV55</f>
        <v>0.197176435957374</v>
      </c>
      <c r="AW55">
        <f>'Costing 100 Lmin Feed Orig'!AW55</f>
        <v>99.339011664265001</v>
      </c>
      <c r="AX55">
        <f>'Costing 100 Lmin Feed Orig'!AX55</f>
        <v>499.99999999999898</v>
      </c>
      <c r="AY55">
        <f>'Costing 100 Lmin Feed Orig'!AY55</f>
        <v>95</v>
      </c>
      <c r="AZ55">
        <f>'Costing 100 Lmin Feed Orig'!AZ55</f>
        <v>0.92358985913147196</v>
      </c>
      <c r="BA55">
        <f>'Costing 100 Lmin Feed Orig'!BA55</f>
        <v>0.1</v>
      </c>
      <c r="BB55">
        <f>'Costing 100 Lmin Feed Orig'!BB55</f>
        <v>46.840782705451403</v>
      </c>
      <c r="BC55" t="str">
        <f>'Costing 100 Lmin Feed Orig'!BC55</f>
        <v>coeFc</v>
      </c>
      <c r="BD55">
        <f>'Costing 100 Lmin Feed Orig'!BD55</f>
        <v>1</v>
      </c>
      <c r="BE55">
        <f>'Costing 100 Lmin Feed Orig'!BE55</f>
        <v>1.8775014999999999E-2</v>
      </c>
      <c r="BF55">
        <f>'Costing 100 Lmin Feed Orig'!BF55</f>
        <v>0.10492961100000001</v>
      </c>
      <c r="BG55">
        <f>'Costing 100 Lmin Feed Orig'!BG55</f>
        <v>1.814625E-3</v>
      </c>
      <c r="BH55">
        <f>'Costing 100 Lmin Feed Orig'!BH55</f>
        <v>285.1951444</v>
      </c>
      <c r="BI55">
        <f>'Costing 100 Lmin Feed Orig'!BI55</f>
        <v>2169.8944889999998</v>
      </c>
      <c r="BJ55">
        <f>'Costing 100 Lmin Feed Orig'!BJ55</f>
        <v>866.49409060000005</v>
      </c>
      <c r="BK55">
        <f>'Costing 100 Lmin Feed Orig'!BK55</f>
        <v>100</v>
      </c>
      <c r="BL55">
        <f>'Costing 100 Lmin Feed Orig'!BL55</f>
        <v>11.004417585793099</v>
      </c>
      <c r="BM55">
        <f>'Costing 100 Lmin Feed Orig'!BM55</f>
        <v>92.358985913147194</v>
      </c>
      <c r="BN55">
        <f>'Costing 100 Lmin Feed Orig'!BN55</f>
        <v>19.7176435957374</v>
      </c>
      <c r="BO55">
        <f t="shared" si="1"/>
        <v>220.08835171586199</v>
      </c>
      <c r="BP55">
        <f t="shared" si="2"/>
        <v>354.91758472327319</v>
      </c>
      <c r="BQ55">
        <f t="shared" si="3"/>
        <v>22.008835171586199</v>
      </c>
      <c r="BR55">
        <f t="shared" si="4"/>
        <v>35.491758472327319</v>
      </c>
      <c r="BS55">
        <f>1.2*0.5*BL55*V55/'Oxidant Feed Composition'!$N$22</f>
        <v>6.6026505514758593</v>
      </c>
      <c r="BT55">
        <f>1.2*0.5*BN55*BA55/'Oxidant Feed Composition'!$N$22</f>
        <v>11.83058615744244</v>
      </c>
      <c r="BU55">
        <f t="shared" si="5"/>
        <v>5.5022087928965497</v>
      </c>
      <c r="BV55">
        <f t="shared" si="6"/>
        <v>9.8588217978686998</v>
      </c>
      <c r="BW55">
        <f t="shared" si="7"/>
        <v>86.856777120250641</v>
      </c>
      <c r="BX55">
        <f t="shared" si="0"/>
        <v>35.214136274537921</v>
      </c>
      <c r="BY55">
        <f t="shared" si="8"/>
        <v>206.7268069978806</v>
      </c>
      <c r="BZ55">
        <f t="shared" si="9"/>
        <v>63.096459506359679</v>
      </c>
      <c r="CA55">
        <f t="shared" si="10"/>
        <v>59.152930787212199</v>
      </c>
      <c r="CB55">
        <f>BO55*'Reagent cost'!$G$11*'Reagent cost'!$H$11</f>
        <v>2905.1662426493785</v>
      </c>
      <c r="CC55">
        <f>BP55*'Reagent cost'!$G$11*'Reagent cost'!$H$11</f>
        <v>4684.9121183472062</v>
      </c>
      <c r="CD55">
        <f>BQ55*'Reagent cost'!$C$18/1000*'Reagent cost'!$H$18</f>
        <v>3509.9789962792502</v>
      </c>
      <c r="CE55">
        <f>BR55*'Ligand cost'!$B$56*'Ligand cost'!$J$56</f>
        <v>36135.1435558425</v>
      </c>
      <c r="CF55">
        <f t="shared" si="11"/>
        <v>10</v>
      </c>
      <c r="CG55">
        <f t="shared" si="12"/>
        <v>2.2008835171586201</v>
      </c>
      <c r="CH55">
        <f t="shared" si="12"/>
        <v>3.9435287191474799</v>
      </c>
      <c r="CI55">
        <f>7963.6*(BX55/1000)^0.6*1.7*('CAPEX+OPEX'!$G$116/'CAPEX+OPEX'!$G$115)</f>
        <v>2144.228934815284</v>
      </c>
      <c r="CJ55">
        <f>7963.6*(BY55/1000)^0.6*1.7*('CAPEX+OPEX'!$G$116/'CAPEX+OPEX'!$G$115)</f>
        <v>6201.2466571653367</v>
      </c>
      <c r="CK55">
        <f>7963.6*(BZ55/1000)^0.6*1.7*('CAPEX+OPEX'!$G$116/'CAPEX+OPEX'!$G$115)</f>
        <v>3042.5934236628641</v>
      </c>
      <c r="CL55">
        <f>7963.6*(CA55/1000)^0.6*1.7*('CAPEX+OPEX'!$G$116/'CAPEX+OPEX'!$G$115)</f>
        <v>2927.0267272382434</v>
      </c>
      <c r="CM55">
        <f>'Costing 100 Lmin Feed Orig'!DE55</f>
        <v>39625.826528698344</v>
      </c>
      <c r="CN55">
        <f>'Costing 100 Lmin Feed Orig'!DF55</f>
        <v>4586243.4239371875</v>
      </c>
      <c r="CO55">
        <f>'Costing 100 Lmin Feed Orig'!DG55</f>
        <v>11794834.586807497</v>
      </c>
      <c r="CP55">
        <f>'Costing 100 Lmin Feed Orig'!DH55</f>
        <v>2275209.1661185985</v>
      </c>
      <c r="CQ55">
        <f>'Costing 100 Lmin Feed Orig'!DI55</f>
        <v>14083914.336508472</v>
      </c>
      <c r="CR55">
        <f>'Costing 100 Lmin Feed Orig'!DJ55</f>
        <v>1662824.8986326549</v>
      </c>
      <c r="CS55">
        <f>CN55*(BK55/10000)^0.72*((A55+1)/3)^0.6*('CAPEX+OPEX'!$G$116/'CAPEX+OPEX'!$G$114)</f>
        <v>751295.09040276916</v>
      </c>
      <c r="CT55">
        <f>CO55*(BK55/10000)^0.72*((A55+1)/3)^0.6*('CAPEX+OPEX'!$G$116/'CAPEX+OPEX'!$G$114)</f>
        <v>1932169.8606163235</v>
      </c>
      <c r="CU55">
        <f>CP55*(BK55/10000)^0.72*((A55+1)/3)^0.6*('CAPEX+OPEX'!$G$116/'CAPEX+OPEX'!$G$114)</f>
        <v>372713.20297186484</v>
      </c>
      <c r="CV55">
        <f>CQ55*(BK55/10000)^0.72*((A55+1)/3)^0.6*('CAPEX+OPEX'!$G$116/'CAPEX+OPEX'!$G$114)</f>
        <v>2307155.2721002945</v>
      </c>
      <c r="CW55">
        <f>CR55*(BK55/10000)^0.72*((A55+1)/3)^0.6*('CAPEX+OPEX'!$G$116/'CAPEX+OPEX'!$G$114)</f>
        <v>272395.52441150707</v>
      </c>
      <c r="CX55">
        <f t="shared" si="13"/>
        <v>5635728.9505027588</v>
      </c>
      <c r="CY55">
        <f>CN55*(BM55/10000)^0.72*((AF55+1)/3)^0.6*('CAPEX+OPEX'!$G$116/'CAPEX+OPEX'!$G$114)</f>
        <v>661095.23897018633</v>
      </c>
      <c r="CZ55">
        <f>CO55*(BM55/10000)^0.72*((AF55+1)/3)^0.6*('CAPEX+OPEX'!$G$116/'CAPEX+OPEX'!$G$114)</f>
        <v>1700195.1856897587</v>
      </c>
      <c r="DA55">
        <f>CP55*(BM55/10000)^0.72*((AF55+1)/3)^0.6*('CAPEX+OPEX'!$G$116/'CAPEX+OPEX'!$G$114)</f>
        <v>327965.57189523784</v>
      </c>
      <c r="DB55">
        <f>CQ55*(BM55/10000)^0.72*((AF55+1)/3)^0.6*('CAPEX+OPEX'!$G$116/'CAPEX+OPEX'!$G$114)</f>
        <v>2030160.1666700414</v>
      </c>
      <c r="DC55">
        <f>CR55*(BM55/10000)^0.72*((AF55+1)/3)^0.6*('CAPEX+OPEX'!$G$116/'CAPEX+OPEX'!$G$114)</f>
        <v>239691.94875038246</v>
      </c>
      <c r="DD55">
        <f t="shared" si="14"/>
        <v>4959108.1119756065</v>
      </c>
      <c r="DE55">
        <f>CX55+DD55+1.15*(SUM(CI55:CL55)+SUM(CB55:CE55))</f>
        <v>10665619.903632766</v>
      </c>
      <c r="DF55">
        <f t="shared" si="15"/>
        <v>711041.32690885104</v>
      </c>
      <c r="DG55">
        <f>(BS55+BT55)*'Oxidant Feed Composition'!$N$29*60*7200</f>
        <v>9195815.3408389352</v>
      </c>
      <c r="DH55">
        <f>((CG55+CH55)*'Reagent cost'!$C$17/1000*'Reagent cost'!$H$17+(CG55+CH55)*0.5*'Reagent cost'!$C$16/1000*'Reagent cost'!$H$16*0.5)*60*7200</f>
        <v>3113209.9929943262</v>
      </c>
      <c r="DI55">
        <f>CF55*'Reagent cost'!$C$17/1000*'Reagent cost'!$H$17*60*7200</f>
        <v>504921.59999999998</v>
      </c>
      <c r="DJ55">
        <f t="shared" si="16"/>
        <v>75.900783609965842</v>
      </c>
      <c r="DK55">
        <f t="shared" si="17"/>
        <v>792.90245104243502</v>
      </c>
      <c r="DL55">
        <f t="shared" si="18"/>
        <v>15377778.884481495</v>
      </c>
      <c r="DM55">
        <f>BK55*(B55*(409.81+2)/1000+C55*(248.2+2*22.99)/1000+D55*(315.6+3*22.99)/1000+0.1*58.44/1000)</f>
        <v>0.70639694042110623</v>
      </c>
      <c r="DN55">
        <f>(BS55+BT55)/1000*('Oxidant Feed Composition'!$B$11*'Oxidant Feed Composition'!$O$20+'Oxidant Feed Composition'!$D$11*'Oxidant Feed Composition'!$O$21+'Oxidant Feed Composition'!$F$11*'Oxidant Feed Composition'!$O$27-'Oxidant Feed Composition'!$J$15*18.015)</f>
        <v>2.1527170697621374</v>
      </c>
      <c r="DO55">
        <f>(BU55+BV55)/1000*(0.2*368.34+0.4*58.44)</f>
        <v>1.490695852650223</v>
      </c>
      <c r="DP55">
        <f>BK55/1000*(B55*195.08+C55*106.42+D55*102.91)</f>
        <v>4.999938342565946E-2</v>
      </c>
      <c r="DQ55">
        <f>SUM(DM55:DO55)-DP55</f>
        <v>4.2998104794078067</v>
      </c>
      <c r="DR55">
        <f>DQ55*60*7200*0.33</f>
        <v>612980.98194437695</v>
      </c>
      <c r="DS55">
        <v>1.2</v>
      </c>
      <c r="DT55">
        <f>BM55/60*(AM55*4+AN55*2+AO55*3)*96485/DV55</f>
        <v>1405.7380096269114</v>
      </c>
      <c r="DU55">
        <f>BN55*BA55*(AP55*4+AQ55*2+AR55*3)*96485/DV55/60</f>
        <v>706.0125123327706</v>
      </c>
      <c r="DV55">
        <v>0.7</v>
      </c>
      <c r="DW55">
        <f>0.499*((BK55/3.78541*15)^(-0.146))*BK55/3.78541*15*300*(1+(A55-2)/9)</f>
        <v>41280.414286181804</v>
      </c>
      <c r="DX55">
        <f>0.248*((BK55/3.78541*15)^(-0.144))*BK55/3.78541*15*300*(1+(A55-2)/3)</f>
        <v>37373.489075065132</v>
      </c>
      <c r="DY55">
        <f>0.105*((BK55/3.78541*15)^(-0.144))*BK55/3.78541*15*300*(1+(A55-2)/3)</f>
        <v>15823.453035813865</v>
      </c>
      <c r="DZ55">
        <f>0.058*((BK55/3.78541*15)^(-0.151))*BK55/3.78541*15*300*(1+(A55-2)/3)</f>
        <v>8382.1245272768647</v>
      </c>
      <c r="EA55">
        <f>0.056*((BK55/3.78541*15)^(-0.144))*BK55/3.78541*15*300*(1+(A55-2)/3)</f>
        <v>8439.174952434063</v>
      </c>
      <c r="EB55">
        <f>DS55*DT55/(3.6*10^6)*3600*7200*0.07</f>
        <v>850.19034822235619</v>
      </c>
      <c r="EC55">
        <f>0.499*((BM55/3.78541*15)^(-0.146))*BM55/3.78541*15*300*(1+(AF55-2)/9)</f>
        <v>35999.794597843313</v>
      </c>
      <c r="ED55">
        <f>0.248*((BM55/3.78541*15)^(-0.144))*BM55/3.78541*15*300*(1+(AF55-2)/3)</f>
        <v>31035.680980849509</v>
      </c>
      <c r="EE55">
        <f>0.105*((BM55/3.78541*15)^(-0.144))*BM55/3.78541*15*300*(1+(AF55-2)/3)</f>
        <v>13140.106866891929</v>
      </c>
      <c r="EF55">
        <f>0.058*((BM55/3.78541*15)^(-0.151))*BM55/3.78541*15*300*(1+(AF55-2)/3)</f>
        <v>6964.5552718403605</v>
      </c>
      <c r="EG55">
        <f>0.056*((BM55/3.78541*15)^(-0.144))*BM55/3.78541*15*300*(1+(AF55-2)/3)</f>
        <v>7008.0569956756972</v>
      </c>
      <c r="EH55">
        <f>DS55*DU55/(3.6*10^6)*3600*7200*0.07</f>
        <v>426.99636745885965</v>
      </c>
      <c r="EI55">
        <f>SUM(DW55:EH55)</f>
        <v>206724.03730555376</v>
      </c>
      <c r="EJ55">
        <f>EI55+DR55+DL55</f>
        <v>16197483.903731426</v>
      </c>
      <c r="EK55">
        <f>EJ55+DF55</f>
        <v>16908525.230640277</v>
      </c>
      <c r="EL55">
        <f>EK55/(BK55*60*7200)</f>
        <v>0.391401047005562</v>
      </c>
      <c r="EM55">
        <f>EK55/(BM55*(AM55*195.084/1000+AN55*106.42/1000+AO55*102.911/1000)*60*7200)</f>
        <v>1309.5733311991683</v>
      </c>
      <c r="EN55">
        <f>EK55/(BN55*BA55*(AP55*195.084/1000+AQ55*106.42/1000+AR55*102.911/1000)*60*7200)</f>
        <v>2402.43957797331</v>
      </c>
    </row>
    <row r="56" spans="1:144">
      <c r="A56">
        <f>'Costing 100 Lmin Feed Orig'!A56</f>
        <v>8</v>
      </c>
      <c r="B56">
        <f>'Costing 100 Lmin Feed Orig'!B56</f>
        <v>1.54143585092054E-3</v>
      </c>
      <c r="C56">
        <f>'Costing 100 Lmin Feed Orig'!C56</f>
        <v>1.54143585092054E-3</v>
      </c>
      <c r="D56">
        <f>'Costing 100 Lmin Feed Orig'!D56</f>
        <v>3.4254130020456501E-4</v>
      </c>
      <c r="E56">
        <f>'Costing 100 Lmin Feed Orig'!E56</f>
        <v>0</v>
      </c>
      <c r="F56">
        <f>'Costing 100 Lmin Feed Orig'!F56</f>
        <v>0</v>
      </c>
      <c r="G56">
        <f>'Costing 100 Lmin Feed Orig'!G56</f>
        <v>0</v>
      </c>
      <c r="H56">
        <f>'Costing 100 Lmin Feed Orig'!H56</f>
        <v>1.7762434284205799E-5</v>
      </c>
      <c r="I56">
        <f>'Costing 100 Lmin Feed Orig'!I56</f>
        <v>4.4591984978445998E-9</v>
      </c>
      <c r="J56">
        <f>'Costing 100 Lmin Feed Orig'!J56</f>
        <v>3.37570976171142E-4</v>
      </c>
      <c r="K56">
        <f>'Costing 100 Lmin Feed Orig'!K56</f>
        <v>0.13846015972746001</v>
      </c>
      <c r="L56">
        <f>'Costing 100 Lmin Feed Orig'!L56</f>
        <v>0.14007387303476199</v>
      </c>
      <c r="M56">
        <f>'Costing 100 Lmin Feed Orig'!M56</f>
        <v>4.5166625081916902E-4</v>
      </c>
      <c r="N56">
        <f>'Costing 100 Lmin Feed Orig'!N56</f>
        <v>-2.6107588313450902E-16</v>
      </c>
      <c r="O56">
        <f>'Costing 100 Lmin Feed Orig'!O56</f>
        <v>-1.18524981496115E-14</v>
      </c>
      <c r="P56">
        <f>'Costing 100 Lmin Feed Orig'!P56</f>
        <v>-2.5241581828178102E-19</v>
      </c>
      <c r="Q56">
        <f>'Costing 100 Lmin Feed Orig'!Q56</f>
        <v>0.110044175857931</v>
      </c>
      <c r="R56">
        <f>'Costing 100 Lmin Feed Orig'!R56</f>
        <v>98.548985471108097</v>
      </c>
      <c r="S56">
        <f>'Costing 100 Lmin Feed Orig'!S56</f>
        <v>500</v>
      </c>
      <c r="T56">
        <f>'Costing 100 Lmin Feed Orig'!T56</f>
        <v>95</v>
      </c>
      <c r="U56">
        <f>'Costing 100 Lmin Feed Orig'!U56</f>
        <v>1</v>
      </c>
      <c r="V56">
        <f>'Costing 100 Lmin Feed Orig'!V56</f>
        <v>0.1</v>
      </c>
      <c r="W56">
        <f>'Costing 100 Lmin Feed Orig'!W56</f>
        <v>90.872596591664205</v>
      </c>
      <c r="X56" t="str">
        <f>'Costing 100 Lmin Feed Orig'!X56</f>
        <v>ddFc</v>
      </c>
      <c r="Y56">
        <f>'Costing 100 Lmin Feed Orig'!Y56</f>
        <v>1</v>
      </c>
      <c r="Z56">
        <f>'Costing 100 Lmin Feed Orig'!Z56</f>
        <v>0.28318429382522198</v>
      </c>
      <c r="AA56">
        <f>'Costing 100 Lmin Feed Orig'!AA56</f>
        <v>0.56945642916197003</v>
      </c>
      <c r="AB56">
        <f>'Costing 100 Lmin Feed Orig'!AB56</f>
        <v>3.7698628972227502E-3</v>
      </c>
      <c r="AC56">
        <f>'Costing 100 Lmin Feed Orig'!AC56</f>
        <v>1822.2107908876901</v>
      </c>
      <c r="AD56">
        <f>'Costing 100 Lmin Feed Orig'!AD56</f>
        <v>2662.6059073104898</v>
      </c>
      <c r="AE56">
        <f>'Costing 100 Lmin Feed Orig'!AE56</f>
        <v>2401.5030938442701</v>
      </c>
      <c r="AF56">
        <f>'Costing 100 Lmin Feed Orig'!AF56</f>
        <v>8</v>
      </c>
      <c r="AG56">
        <f>'Costing 100 Lmin Feed Orig'!AG56</f>
        <v>1.6497294784823999E-3</v>
      </c>
      <c r="AH56">
        <f>'Costing 100 Lmin Feed Orig'!AH56</f>
        <v>1.66895660069658E-3</v>
      </c>
      <c r="AI56">
        <f>'Costing 100 Lmin Feed Orig'!AI56</f>
        <v>5.38152729188446E-6</v>
      </c>
      <c r="AJ56">
        <f>'Costing 100 Lmin Feed Orig'!AJ56</f>
        <v>0</v>
      </c>
      <c r="AK56">
        <f>'Costing 100 Lmin Feed Orig'!AK56</f>
        <v>0</v>
      </c>
      <c r="AL56">
        <f>'Costing 100 Lmin Feed Orig'!AL56</f>
        <v>0</v>
      </c>
      <c r="AM56">
        <f>'Costing 100 Lmin Feed Orig'!AM56</f>
        <v>1.6127265357375701E-3</v>
      </c>
      <c r="AN56">
        <f>'Costing 100 Lmin Feed Orig'!AN56</f>
        <v>7.9534259850848901E-5</v>
      </c>
      <c r="AO56">
        <f>'Costing 100 Lmin Feed Orig'!AO56</f>
        <v>5.3460841353395197E-6</v>
      </c>
      <c r="AP56">
        <f>'Costing 100 Lmin Feed Orig'!AP56</f>
        <v>1.7350722139013899E-3</v>
      </c>
      <c r="AQ56">
        <f>'Costing 100 Lmin Feed Orig'!AQ56</f>
        <v>7.4528195270851597E-2</v>
      </c>
      <c r="AR56">
        <f>'Costing 100 Lmin Feed Orig'!AR56</f>
        <v>1.6619336609946501E-6</v>
      </c>
      <c r="AS56">
        <f>'Costing 100 Lmin Feed Orig'!AS56</f>
        <v>5.2535422843599799E-15</v>
      </c>
      <c r="AT56">
        <f>'Costing 100 Lmin Feed Orig'!AT56</f>
        <v>-1.2261545945246801E-12</v>
      </c>
      <c r="AU56">
        <f>'Costing 100 Lmin Feed Orig'!AU56</f>
        <v>2.5556572205438301E-20</v>
      </c>
      <c r="AV56">
        <f>'Costing 100 Lmin Feed Orig'!AV56</f>
        <v>0.19696899297954801</v>
      </c>
      <c r="AW56">
        <f>'Costing 100 Lmin Feed Orig'!AW56</f>
        <v>99.341392236393602</v>
      </c>
      <c r="AX56">
        <f>'Costing 100 Lmin Feed Orig'!AX56</f>
        <v>499.99999999999898</v>
      </c>
      <c r="AY56">
        <f>'Costing 100 Lmin Feed Orig'!AY56</f>
        <v>95</v>
      </c>
      <c r="AZ56">
        <f>'Costing 100 Lmin Feed Orig'!AZ56</f>
        <v>0.92358985913147196</v>
      </c>
      <c r="BA56">
        <f>'Costing 100 Lmin Feed Orig'!BA56</f>
        <v>0.1</v>
      </c>
      <c r="BB56">
        <f>'Costing 100 Lmin Feed Orig'!BB56</f>
        <v>46.890114284504001</v>
      </c>
      <c r="BC56" t="str">
        <f>'Costing 100 Lmin Feed Orig'!BC56</f>
        <v>coeFc</v>
      </c>
      <c r="BD56">
        <f>'Costing 100 Lmin Feed Orig'!BD56</f>
        <v>1</v>
      </c>
      <c r="BE56">
        <f>'Costing 100 Lmin Feed Orig'!BE56</f>
        <v>1.8775014999999999E-2</v>
      </c>
      <c r="BF56">
        <f>'Costing 100 Lmin Feed Orig'!BF56</f>
        <v>0.10492961100000001</v>
      </c>
      <c r="BG56">
        <f>'Costing 100 Lmin Feed Orig'!BG56</f>
        <v>1.814625E-3</v>
      </c>
      <c r="BH56">
        <f>'Costing 100 Lmin Feed Orig'!BH56</f>
        <v>285.1951444</v>
      </c>
      <c r="BI56">
        <f>'Costing 100 Lmin Feed Orig'!BI56</f>
        <v>2169.8944889999998</v>
      </c>
      <c r="BJ56">
        <f>'Costing 100 Lmin Feed Orig'!BJ56</f>
        <v>866.49409060000005</v>
      </c>
      <c r="BK56">
        <f>'Costing 100 Lmin Feed Orig'!BK56</f>
        <v>100</v>
      </c>
      <c r="BL56">
        <f>'Costing 100 Lmin Feed Orig'!BL56</f>
        <v>11.004417585793099</v>
      </c>
      <c r="BM56">
        <f>'Costing 100 Lmin Feed Orig'!BM56</f>
        <v>92.358985913147194</v>
      </c>
      <c r="BN56">
        <f>'Costing 100 Lmin Feed Orig'!BN56</f>
        <v>19.696899297954801</v>
      </c>
      <c r="BO56">
        <f t="shared" si="1"/>
        <v>220.08835171586199</v>
      </c>
      <c r="BP56">
        <f t="shared" si="2"/>
        <v>393.93798595909601</v>
      </c>
      <c r="BQ56">
        <f t="shared" si="3"/>
        <v>22.008835171586199</v>
      </c>
      <c r="BR56">
        <f t="shared" si="4"/>
        <v>39.393798595909601</v>
      </c>
      <c r="BS56">
        <f>1.2*0.5*BL56*V56/'Oxidant Feed Composition'!$N$22</f>
        <v>6.6026505514758593</v>
      </c>
      <c r="BT56">
        <f>1.2*0.5*BN56*BA56/'Oxidant Feed Composition'!$N$22</f>
        <v>11.818139578772881</v>
      </c>
      <c r="BU56">
        <f t="shared" si="5"/>
        <v>5.5022087928965497</v>
      </c>
      <c r="BV56">
        <f t="shared" si="6"/>
        <v>9.8484496489774003</v>
      </c>
      <c r="BW56">
        <f t="shared" si="7"/>
        <v>86.856777120250641</v>
      </c>
      <c r="BX56">
        <f t="shared" si="0"/>
        <v>35.214136274537921</v>
      </c>
      <c r="BY56">
        <f t="shared" si="8"/>
        <v>206.7268069978806</v>
      </c>
      <c r="BZ56">
        <f t="shared" si="9"/>
        <v>63.030077753455359</v>
      </c>
      <c r="CA56">
        <f t="shared" si="10"/>
        <v>59.090697893864402</v>
      </c>
      <c r="CB56">
        <f>BO56*'Reagent cost'!$G$11*'Reagent cost'!$H$11</f>
        <v>2905.1662426493785</v>
      </c>
      <c r="CC56">
        <f>BP56*'Reagent cost'!$G$11*'Reagent cost'!$H$11</f>
        <v>5199.9814146600684</v>
      </c>
      <c r="CD56">
        <f>BQ56*'Reagent cost'!$C$18/1000*'Reagent cost'!$H$18</f>
        <v>3509.9789962792502</v>
      </c>
      <c r="CE56">
        <f>BR56*'Ligand cost'!$B$56*'Ligand cost'!$J$56</f>
        <v>40107.918816787671</v>
      </c>
      <c r="CF56">
        <f t="shared" si="11"/>
        <v>10</v>
      </c>
      <c r="CG56">
        <f t="shared" si="12"/>
        <v>2.2008835171586201</v>
      </c>
      <c r="CH56">
        <f t="shared" si="12"/>
        <v>3.9393798595909604</v>
      </c>
      <c r="CI56">
        <f>7963.6*(BX56/1000)^0.6*1.7*('CAPEX+OPEX'!$G$116/'CAPEX+OPEX'!$G$115)</f>
        <v>2144.228934815284</v>
      </c>
      <c r="CJ56">
        <f>7963.6*(BY56/1000)^0.6*1.7*('CAPEX+OPEX'!$G$116/'CAPEX+OPEX'!$G$115)</f>
        <v>6201.2466571653367</v>
      </c>
      <c r="CK56">
        <f>7963.6*(BZ56/1000)^0.6*1.7*('CAPEX+OPEX'!$G$116/'CAPEX+OPEX'!$G$115)</f>
        <v>3040.6724106131192</v>
      </c>
      <c r="CL56">
        <f>7963.6*(CA56/1000)^0.6*1.7*('CAPEX+OPEX'!$G$116/'CAPEX+OPEX'!$G$115)</f>
        <v>2925.1786799453498</v>
      </c>
      <c r="CM56">
        <f>'Costing 100 Lmin Feed Orig'!DE56</f>
        <v>39625.826528698344</v>
      </c>
      <c r="CN56">
        <f>'Costing 100 Lmin Feed Orig'!DF56</f>
        <v>4586243.4239371875</v>
      </c>
      <c r="CO56">
        <f>'Costing 100 Lmin Feed Orig'!DG56</f>
        <v>11794834.586807497</v>
      </c>
      <c r="CP56">
        <f>'Costing 100 Lmin Feed Orig'!DH56</f>
        <v>2275209.1661185985</v>
      </c>
      <c r="CQ56">
        <f>'Costing 100 Lmin Feed Orig'!DI56</f>
        <v>14083914.336508472</v>
      </c>
      <c r="CR56">
        <f>'Costing 100 Lmin Feed Orig'!DJ56</f>
        <v>1662824.8986326549</v>
      </c>
      <c r="CS56">
        <f>CN56*(BK56/10000)^0.72*((A56+1)/3)^0.6*('CAPEX+OPEX'!$G$116/'CAPEX+OPEX'!$G$114)</f>
        <v>751295.09040276916</v>
      </c>
      <c r="CT56">
        <f>CO56*(BK56/10000)^0.72*((A56+1)/3)^0.6*('CAPEX+OPEX'!$G$116/'CAPEX+OPEX'!$G$114)</f>
        <v>1932169.8606163235</v>
      </c>
      <c r="CU56">
        <f>CP56*(BK56/10000)^0.72*((A56+1)/3)^0.6*('CAPEX+OPEX'!$G$116/'CAPEX+OPEX'!$G$114)</f>
        <v>372713.20297186484</v>
      </c>
      <c r="CV56">
        <f>CQ56*(BK56/10000)^0.72*((A56+1)/3)^0.6*('CAPEX+OPEX'!$G$116/'CAPEX+OPEX'!$G$114)</f>
        <v>2307155.2721002945</v>
      </c>
      <c r="CW56">
        <f>CR56*(BK56/10000)^0.72*((A56+1)/3)^0.6*('CAPEX+OPEX'!$G$116/'CAPEX+OPEX'!$G$114)</f>
        <v>272395.52441150707</v>
      </c>
      <c r="CX56">
        <f t="shared" si="13"/>
        <v>5635728.9505027588</v>
      </c>
      <c r="CY56">
        <f>CN56*(BM56/10000)^0.72*((AF56+1)/3)^0.6*('CAPEX+OPEX'!$G$116/'CAPEX+OPEX'!$G$114)</f>
        <v>709505.13497417013</v>
      </c>
      <c r="CZ56">
        <f>CO56*(BM56/10000)^0.72*((AF56+1)/3)^0.6*('CAPEX+OPEX'!$G$116/'CAPEX+OPEX'!$G$114)</f>
        <v>1824695.0569245399</v>
      </c>
      <c r="DA56">
        <f>CP56*(BM56/10000)^0.72*((AF56+1)/3)^0.6*('CAPEX+OPEX'!$G$116/'CAPEX+OPEX'!$G$114)</f>
        <v>351981.44478681608</v>
      </c>
      <c r="DB56">
        <f>CQ56*(BM56/10000)^0.72*((AF56+1)/3)^0.6*('CAPEX+OPEX'!$G$116/'CAPEX+OPEX'!$G$114)</f>
        <v>2178822.3211472412</v>
      </c>
      <c r="DC56">
        <f>CR56*(BM56/10000)^0.72*((AF56+1)/3)^0.6*('CAPEX+OPEX'!$G$116/'CAPEX+OPEX'!$G$114)</f>
        <v>257243.82573874708</v>
      </c>
      <c r="DD56">
        <f t="shared" si="14"/>
        <v>5322247.7835715134</v>
      </c>
      <c r="DE56">
        <f>CX56+DD56+1.15*(SUM(CI56:CL56)+SUM(CB56:CE56))</f>
        <v>11033916.262050126</v>
      </c>
      <c r="DF56">
        <f t="shared" si="15"/>
        <v>735594.41747000837</v>
      </c>
      <c r="DG56">
        <f>(BS56+BT56)*'Oxidant Feed Composition'!$N$29*60*7200</f>
        <v>9189606.0982149765</v>
      </c>
      <c r="DH56">
        <f>((CG56+CH56)*'Reagent cost'!$C$17/1000*'Reagent cost'!$H$17+(CG56+CH56)*0.5*'Reagent cost'!$C$16/1000*'Reagent cost'!$H$16*0.5)*60*7200</f>
        <v>3111107.8763826559</v>
      </c>
      <c r="DI56">
        <f>CF56*'Reagent cost'!$C$17/1000*'Reagent cost'!$H$17*60*7200</f>
        <v>504921.59999999998</v>
      </c>
      <c r="DJ56">
        <f t="shared" si="16"/>
        <v>81.051476573094476</v>
      </c>
      <c r="DK56">
        <f t="shared" si="17"/>
        <v>872.35795626133847</v>
      </c>
      <c r="DL56">
        <f t="shared" si="18"/>
        <v>15367906.78083656</v>
      </c>
      <c r="DM56">
        <f>BK56*(B56*(409.81+2)/1000+C56*(248.2+2*22.99)/1000+D56*(315.6+3*22.99)/1000+0.1*58.44/1000)</f>
        <v>0.70639694042110623</v>
      </c>
      <c r="DN56">
        <f>(BS56+BT56)/1000*('Oxidant Feed Composition'!$B$11*'Oxidant Feed Composition'!$O$20+'Oxidant Feed Composition'!$D$11*'Oxidant Feed Composition'!$O$21+'Oxidant Feed Composition'!$F$11*'Oxidant Feed Composition'!$O$27-'Oxidant Feed Composition'!$J$15*18.015)</f>
        <v>2.1512635017976391</v>
      </c>
      <c r="DO56">
        <f>(BU56+BV56)/1000*(0.2*368.34+0.4*58.44)</f>
        <v>1.4896892978332157</v>
      </c>
      <c r="DP56">
        <f>BK56/1000*(B56*195.08+C56*106.42+D56*102.91)</f>
        <v>4.999938342565946E-2</v>
      </c>
      <c r="DQ56">
        <f>SUM(DM56:DO56)-DP56</f>
        <v>4.2973503566263007</v>
      </c>
      <c r="DR56">
        <f>DQ56*60*7200*0.33</f>
        <v>612630.26684064558</v>
      </c>
      <c r="DS56">
        <v>1.2</v>
      </c>
      <c r="DT56">
        <f>BM56/60*(AM56*4+AN56*2+AO56*3)*96485/DV56</f>
        <v>1405.8595798458919</v>
      </c>
      <c r="DU56">
        <f>BN56*BA56*(AP56*4+AQ56*2+AR56*3)*96485/DV56/60</f>
        <v>705.89094267147937</v>
      </c>
      <c r="DV56">
        <v>0.7</v>
      </c>
      <c r="DW56">
        <f>0.499*((BK56/3.78541*15)^(-0.146))*BK56/3.78541*15*300*(1+(A56-2)/9)</f>
        <v>41280.414286181804</v>
      </c>
      <c r="DX56">
        <f>0.248*((BK56/3.78541*15)^(-0.144))*BK56/3.78541*15*300*(1+(A56-2)/3)</f>
        <v>37373.489075065132</v>
      </c>
      <c r="DY56">
        <f>0.105*((BK56/3.78541*15)^(-0.144))*BK56/3.78541*15*300*(1+(A56-2)/3)</f>
        <v>15823.453035813865</v>
      </c>
      <c r="DZ56">
        <f>0.058*((BK56/3.78541*15)^(-0.151))*BK56/3.78541*15*300*(1+(A56-2)/3)</f>
        <v>8382.1245272768647</v>
      </c>
      <c r="EA56">
        <f>0.056*((BK56/3.78541*15)^(-0.144))*BK56/3.78541*15*300*(1+(A56-2)/3)</f>
        <v>8439.174952434063</v>
      </c>
      <c r="EB56">
        <f>DS56*DT56/(3.6*10^6)*3600*7200*0.07</f>
        <v>850.26387389079548</v>
      </c>
      <c r="EC56">
        <f>0.499*((BM56/3.78541*15)^(-0.146))*BM56/3.78541*15*300*(1+(AF56-2)/9)</f>
        <v>38571.208497689258</v>
      </c>
      <c r="ED56">
        <f>0.248*((BM56/3.78541*15)^(-0.144))*BM56/3.78541*15*300*(1+(AF56-2)/3)</f>
        <v>34915.141103455695</v>
      </c>
      <c r="EE56">
        <f>0.105*((BM56/3.78541*15)^(-0.144))*BM56/3.78541*15*300*(1+(AF56-2)/3)</f>
        <v>14782.620225253419</v>
      </c>
      <c r="EF56">
        <f>0.058*((BM56/3.78541*15)^(-0.151))*BM56/3.78541*15*300*(1+(AF56-2)/3)</f>
        <v>7835.124680820405</v>
      </c>
      <c r="EG56">
        <f>0.056*((BM56/3.78541*15)^(-0.144))*BM56/3.78541*15*300*(1+(AF56-2)/3)</f>
        <v>7884.0641201351591</v>
      </c>
      <c r="EH56">
        <f>DS56*DU56/(3.6*10^6)*3600*7200*0.07</f>
        <v>426.92284212771074</v>
      </c>
      <c r="EI56">
        <f>SUM(DW56:EH56)</f>
        <v>216564.00122014419</v>
      </c>
      <c r="EJ56">
        <f>EI56+DR56+DL56</f>
        <v>16197101.04889735</v>
      </c>
      <c r="EK56">
        <f>EJ56+DF56</f>
        <v>16932695.46636736</v>
      </c>
      <c r="EL56">
        <f>EK56/(BK56*60*7200)</f>
        <v>0.39196054320294815</v>
      </c>
      <c r="EM56">
        <f>EK56/(BM56*(AM56*195.084/1000+AN56*106.42/1000+AO56*102.911/1000)*60*7200)</f>
        <v>1311.3318506675009</v>
      </c>
      <c r="EN56">
        <f>EK56/(BN56*BA56*(AP56*195.084/1000+AQ56*106.42/1000+AR56*102.911/1000)*60*7200)</f>
        <v>2406.2557883266004</v>
      </c>
    </row>
    <row r="57" spans="1:144">
      <c r="A57">
        <f>'Costing 100 Lmin Feed Orig'!A57</f>
        <v>8</v>
      </c>
      <c r="B57">
        <f>'Costing 100 Lmin Feed Orig'!B57</f>
        <v>1.54143585092054E-3</v>
      </c>
      <c r="C57">
        <f>'Costing 100 Lmin Feed Orig'!C57</f>
        <v>1.54143585092054E-3</v>
      </c>
      <c r="D57">
        <f>'Costing 100 Lmin Feed Orig'!D57</f>
        <v>3.4254130020456501E-4</v>
      </c>
      <c r="E57">
        <f>'Costing 100 Lmin Feed Orig'!E57</f>
        <v>0</v>
      </c>
      <c r="F57">
        <f>'Costing 100 Lmin Feed Orig'!F57</f>
        <v>0</v>
      </c>
      <c r="G57">
        <f>'Costing 100 Lmin Feed Orig'!G57</f>
        <v>0</v>
      </c>
      <c r="H57">
        <f>'Costing 100 Lmin Feed Orig'!H57</f>
        <v>1.7762434284205799E-5</v>
      </c>
      <c r="I57">
        <f>'Costing 100 Lmin Feed Orig'!I57</f>
        <v>4.4591984978445998E-9</v>
      </c>
      <c r="J57">
        <f>'Costing 100 Lmin Feed Orig'!J57</f>
        <v>3.37570976171142E-4</v>
      </c>
      <c r="K57">
        <f>'Costing 100 Lmin Feed Orig'!K57</f>
        <v>0.13846015972746001</v>
      </c>
      <c r="L57">
        <f>'Costing 100 Lmin Feed Orig'!L57</f>
        <v>0.14007387303476199</v>
      </c>
      <c r="M57">
        <f>'Costing 100 Lmin Feed Orig'!M57</f>
        <v>4.5166625081916902E-4</v>
      </c>
      <c r="N57">
        <f>'Costing 100 Lmin Feed Orig'!N57</f>
        <v>-2.6107588313450902E-16</v>
      </c>
      <c r="O57">
        <f>'Costing 100 Lmin Feed Orig'!O57</f>
        <v>-1.18524981496115E-14</v>
      </c>
      <c r="P57">
        <f>'Costing 100 Lmin Feed Orig'!P57</f>
        <v>-2.5241581828178102E-19</v>
      </c>
      <c r="Q57">
        <f>'Costing 100 Lmin Feed Orig'!Q57</f>
        <v>0.110044175857931</v>
      </c>
      <c r="R57">
        <f>'Costing 100 Lmin Feed Orig'!R57</f>
        <v>98.548985471108097</v>
      </c>
      <c r="S57">
        <f>'Costing 100 Lmin Feed Orig'!S57</f>
        <v>500</v>
      </c>
      <c r="T57">
        <f>'Costing 100 Lmin Feed Orig'!T57</f>
        <v>95</v>
      </c>
      <c r="U57">
        <f>'Costing 100 Lmin Feed Orig'!U57</f>
        <v>1</v>
      </c>
      <c r="V57">
        <f>'Costing 100 Lmin Feed Orig'!V57</f>
        <v>0.1</v>
      </c>
      <c r="W57">
        <f>'Costing 100 Lmin Feed Orig'!W57</f>
        <v>90.872596591664205</v>
      </c>
      <c r="X57" t="str">
        <f>'Costing 100 Lmin Feed Orig'!X57</f>
        <v>ddFc</v>
      </c>
      <c r="Y57">
        <f>'Costing 100 Lmin Feed Orig'!Y57</f>
        <v>1</v>
      </c>
      <c r="Z57">
        <f>'Costing 100 Lmin Feed Orig'!Z57</f>
        <v>0.28318429382522198</v>
      </c>
      <c r="AA57">
        <f>'Costing 100 Lmin Feed Orig'!AA57</f>
        <v>0.56945642916197003</v>
      </c>
      <c r="AB57">
        <f>'Costing 100 Lmin Feed Orig'!AB57</f>
        <v>3.7698628972227502E-3</v>
      </c>
      <c r="AC57">
        <f>'Costing 100 Lmin Feed Orig'!AC57</f>
        <v>1822.2107908876901</v>
      </c>
      <c r="AD57">
        <f>'Costing 100 Lmin Feed Orig'!AD57</f>
        <v>2662.6059073104898</v>
      </c>
      <c r="AE57">
        <f>'Costing 100 Lmin Feed Orig'!AE57</f>
        <v>2401.5030938442701</v>
      </c>
      <c r="AF57">
        <f>'Costing 100 Lmin Feed Orig'!AF57</f>
        <v>9</v>
      </c>
      <c r="AG57">
        <f>'Costing 100 Lmin Feed Orig'!AG57</f>
        <v>1.6497294784823999E-3</v>
      </c>
      <c r="AH57">
        <f>'Costing 100 Lmin Feed Orig'!AH57</f>
        <v>1.66895660069658E-3</v>
      </c>
      <c r="AI57">
        <f>'Costing 100 Lmin Feed Orig'!AI57</f>
        <v>5.38152729188446E-6</v>
      </c>
      <c r="AJ57">
        <f>'Costing 100 Lmin Feed Orig'!AJ57</f>
        <v>0</v>
      </c>
      <c r="AK57">
        <f>'Costing 100 Lmin Feed Orig'!AK57</f>
        <v>0</v>
      </c>
      <c r="AL57">
        <f>'Costing 100 Lmin Feed Orig'!AL57</f>
        <v>0</v>
      </c>
      <c r="AM57">
        <f>'Costing 100 Lmin Feed Orig'!AM57</f>
        <v>1.61276595302466E-3</v>
      </c>
      <c r="AN57">
        <f>'Costing 100 Lmin Feed Orig'!AN57</f>
        <v>7.9536298223616001E-5</v>
      </c>
      <c r="AO57">
        <f>'Costing 100 Lmin Feed Orig'!AO57</f>
        <v>5.3461203241357404E-6</v>
      </c>
      <c r="AP57">
        <f>'Costing 100 Lmin Feed Orig'!AP57</f>
        <v>1.7337397232919901E-3</v>
      </c>
      <c r="AQ57">
        <f>'Costing 100 Lmin Feed Orig'!AQ57</f>
        <v>7.4550278451312305E-2</v>
      </c>
      <c r="AR57">
        <f>'Costing 100 Lmin Feed Orig'!AR57</f>
        <v>1.66073083417147E-6</v>
      </c>
      <c r="AS57">
        <f>'Costing 100 Lmin Feed Orig'!AS57</f>
        <v>3.9512392923518602E-17</v>
      </c>
      <c r="AT57">
        <f>'Costing 100 Lmin Feed Orig'!AT57</f>
        <v>-5.1148321689176102E-15</v>
      </c>
      <c r="AU57">
        <f>'Costing 100 Lmin Feed Orig'!AU57</f>
        <v>-1.7734752333136898E-21</v>
      </c>
      <c r="AV57">
        <f>'Costing 100 Lmin Feed Orig'!AV57</f>
        <v>0.19691039440255501</v>
      </c>
      <c r="AW57">
        <f>'Costing 100 Lmin Feed Orig'!AW57</f>
        <v>99.342064699697403</v>
      </c>
      <c r="AX57">
        <f>'Costing 100 Lmin Feed Orig'!AX57</f>
        <v>499.99999999999898</v>
      </c>
      <c r="AY57">
        <f>'Costing 100 Lmin Feed Orig'!AY57</f>
        <v>95</v>
      </c>
      <c r="AZ57">
        <f>'Costing 100 Lmin Feed Orig'!AZ57</f>
        <v>0.92358985913147196</v>
      </c>
      <c r="BA57">
        <f>'Costing 100 Lmin Feed Orig'!BA57</f>
        <v>0.1</v>
      </c>
      <c r="BB57">
        <f>'Costing 100 Lmin Feed Orig'!BB57</f>
        <v>46.904068316643603</v>
      </c>
      <c r="BC57" t="str">
        <f>'Costing 100 Lmin Feed Orig'!BC57</f>
        <v>coeFc</v>
      </c>
      <c r="BD57">
        <f>'Costing 100 Lmin Feed Orig'!BD57</f>
        <v>1</v>
      </c>
      <c r="BE57">
        <f>'Costing 100 Lmin Feed Orig'!BE57</f>
        <v>1.8775014999999999E-2</v>
      </c>
      <c r="BF57">
        <f>'Costing 100 Lmin Feed Orig'!BF57</f>
        <v>0.10492961100000001</v>
      </c>
      <c r="BG57">
        <f>'Costing 100 Lmin Feed Orig'!BG57</f>
        <v>1.814625E-3</v>
      </c>
      <c r="BH57">
        <f>'Costing 100 Lmin Feed Orig'!BH57</f>
        <v>285.1951444</v>
      </c>
      <c r="BI57">
        <f>'Costing 100 Lmin Feed Orig'!BI57</f>
        <v>2169.8944889999998</v>
      </c>
      <c r="BJ57">
        <f>'Costing 100 Lmin Feed Orig'!BJ57</f>
        <v>866.49409060000005</v>
      </c>
      <c r="BK57">
        <f>'Costing 100 Lmin Feed Orig'!BK57</f>
        <v>100</v>
      </c>
      <c r="BL57">
        <f>'Costing 100 Lmin Feed Orig'!BL57</f>
        <v>11.004417585793099</v>
      </c>
      <c r="BM57">
        <f>'Costing 100 Lmin Feed Orig'!BM57</f>
        <v>92.358985913147194</v>
      </c>
      <c r="BN57">
        <f>'Costing 100 Lmin Feed Orig'!BN57</f>
        <v>19.691039440255501</v>
      </c>
      <c r="BO57">
        <f t="shared" si="1"/>
        <v>220.08835171586199</v>
      </c>
      <c r="BP57">
        <f t="shared" si="2"/>
        <v>433.20286768562102</v>
      </c>
      <c r="BQ57">
        <f t="shared" si="3"/>
        <v>22.008835171586199</v>
      </c>
      <c r="BR57">
        <f t="shared" si="4"/>
        <v>43.320286768562106</v>
      </c>
      <c r="BS57">
        <f>1.2*0.5*BL57*V57/'Oxidant Feed Composition'!$N$22</f>
        <v>6.6026505514758593</v>
      </c>
      <c r="BT57">
        <f>1.2*0.5*BN57*BA57/'Oxidant Feed Composition'!$N$22</f>
        <v>11.8146236641533</v>
      </c>
      <c r="BU57">
        <f t="shared" si="5"/>
        <v>5.5022087928965497</v>
      </c>
      <c r="BV57">
        <f t="shared" si="6"/>
        <v>9.8455197201277507</v>
      </c>
      <c r="BW57">
        <f t="shared" si="7"/>
        <v>86.856777120250641</v>
      </c>
      <c r="BX57">
        <f t="shared" si="0"/>
        <v>35.214136274537921</v>
      </c>
      <c r="BY57">
        <f t="shared" si="8"/>
        <v>206.7268069978806</v>
      </c>
      <c r="BZ57">
        <f t="shared" si="9"/>
        <v>63.011326208817607</v>
      </c>
      <c r="CA57">
        <f t="shared" si="10"/>
        <v>59.073118320766504</v>
      </c>
      <c r="CB57">
        <f>BO57*'Reagent cost'!$G$11*'Reagent cost'!$H$11</f>
        <v>2905.1662426493785</v>
      </c>
      <c r="CC57">
        <f>BP57*'Reagent cost'!$G$11*'Reagent cost'!$H$11</f>
        <v>5718.2778534501977</v>
      </c>
      <c r="CD57">
        <f>BQ57*'Reagent cost'!$C$18/1000*'Reagent cost'!$H$18</f>
        <v>3509.9789962792502</v>
      </c>
      <c r="CE57">
        <f>BR57*'Ligand cost'!$B$56*'Ligand cost'!$J$56</f>
        <v>44105.585314482967</v>
      </c>
      <c r="CF57">
        <f t="shared" si="11"/>
        <v>10</v>
      </c>
      <c r="CG57">
        <f t="shared" si="12"/>
        <v>2.2008835171586201</v>
      </c>
      <c r="CH57">
        <f t="shared" si="12"/>
        <v>3.9382078880511004</v>
      </c>
      <c r="CI57">
        <f>7963.6*(BX57/1000)^0.6*1.7*('CAPEX+OPEX'!$G$116/'CAPEX+OPEX'!$G$115)</f>
        <v>2144.228934815284</v>
      </c>
      <c r="CJ57">
        <f>7963.6*(BY57/1000)^0.6*1.7*('CAPEX+OPEX'!$G$116/'CAPEX+OPEX'!$G$115)</f>
        <v>6201.2466571653367</v>
      </c>
      <c r="CK57">
        <f>7963.6*(BZ57/1000)^0.6*1.7*('CAPEX+OPEX'!$G$116/'CAPEX+OPEX'!$G$115)</f>
        <v>3040.1296154954202</v>
      </c>
      <c r="CL57">
        <f>7963.6*(CA57/1000)^0.6*1.7*('CAPEX+OPEX'!$G$116/'CAPEX+OPEX'!$G$115)</f>
        <v>2924.6565017914877</v>
      </c>
      <c r="CM57">
        <f>'Costing 100 Lmin Feed Orig'!DE57</f>
        <v>39625.826528698344</v>
      </c>
      <c r="CN57">
        <f>'Costing 100 Lmin Feed Orig'!DF57</f>
        <v>4586243.4239371875</v>
      </c>
      <c r="CO57">
        <f>'Costing 100 Lmin Feed Orig'!DG57</f>
        <v>11794834.586807497</v>
      </c>
      <c r="CP57">
        <f>'Costing 100 Lmin Feed Orig'!DH57</f>
        <v>2275209.1661185985</v>
      </c>
      <c r="CQ57">
        <f>'Costing 100 Lmin Feed Orig'!DI57</f>
        <v>14083914.336508472</v>
      </c>
      <c r="CR57">
        <f>'Costing 100 Lmin Feed Orig'!DJ57</f>
        <v>1662824.8986326549</v>
      </c>
      <c r="CS57">
        <f>CN57*(BK57/10000)^0.72*((A57+1)/3)^0.6*('CAPEX+OPEX'!$G$116/'CAPEX+OPEX'!$G$114)</f>
        <v>751295.09040276916</v>
      </c>
      <c r="CT57">
        <f>CO57*(BK57/10000)^0.72*((A57+1)/3)^0.6*('CAPEX+OPEX'!$G$116/'CAPEX+OPEX'!$G$114)</f>
        <v>1932169.8606163235</v>
      </c>
      <c r="CU57">
        <f>CP57*(BK57/10000)^0.72*((A57+1)/3)^0.6*('CAPEX+OPEX'!$G$116/'CAPEX+OPEX'!$G$114)</f>
        <v>372713.20297186484</v>
      </c>
      <c r="CV57">
        <f>CQ57*(BK57/10000)^0.72*((A57+1)/3)^0.6*('CAPEX+OPEX'!$G$116/'CAPEX+OPEX'!$G$114)</f>
        <v>2307155.2721002945</v>
      </c>
      <c r="CW57">
        <f>CR57*(BK57/10000)^0.72*((A57+1)/3)^0.6*('CAPEX+OPEX'!$G$116/'CAPEX+OPEX'!$G$114)</f>
        <v>272395.52441150707</v>
      </c>
      <c r="CX57">
        <f t="shared" si="13"/>
        <v>5635728.9505027588</v>
      </c>
      <c r="CY57">
        <f>CN57*(BM57/10000)^0.72*((AF57+1)/3)^0.6*('CAPEX+OPEX'!$G$116/'CAPEX+OPEX'!$G$114)</f>
        <v>755805.48146542325</v>
      </c>
      <c r="CZ57">
        <f>CO57*(BM57/10000)^0.72*((AF57+1)/3)^0.6*('CAPEX+OPEX'!$G$116/'CAPEX+OPEX'!$G$114)</f>
        <v>1943769.6191961134</v>
      </c>
      <c r="DA57">
        <f>CP57*(BM57/10000)^0.72*((AF57+1)/3)^0.6*('CAPEX+OPEX'!$G$116/'CAPEX+OPEX'!$G$114)</f>
        <v>374950.78221481753</v>
      </c>
      <c r="DB57">
        <f>CQ57*(BM57/10000)^0.72*((AF57+1)/3)^0.6*('CAPEX+OPEX'!$G$116/'CAPEX+OPEX'!$G$114)</f>
        <v>2321006.2510995818</v>
      </c>
      <c r="DC57">
        <f>CR57*(BM57/10000)^0.72*((AF57+1)/3)^0.6*('CAPEX+OPEX'!$G$116/'CAPEX+OPEX'!$G$114)</f>
        <v>274030.84767463926</v>
      </c>
      <c r="DD57">
        <f t="shared" si="14"/>
        <v>5669562.9816505751</v>
      </c>
      <c r="DE57">
        <f>CX57+DD57+1.15*(SUM(CI57:CL57)+SUM(CB57:CE57))</f>
        <v>11386423.592786882</v>
      </c>
      <c r="DF57">
        <f t="shared" si="15"/>
        <v>759094.90618579218</v>
      </c>
      <c r="DG57">
        <f>(BS57+BT57)*'Oxidant Feed Composition'!$N$29*60*7200</f>
        <v>9187852.1088257898</v>
      </c>
      <c r="DH57">
        <f>((CG57+CH57)*'Reagent cost'!$C$17/1000*'Reagent cost'!$H$17+(CG57+CH57)*0.5*'Reagent cost'!$C$16/1000*'Reagent cost'!$H$16*0.5)*60*7200</f>
        <v>3110514.0696247304</v>
      </c>
      <c r="DI57">
        <f>CF57*'Reagent cost'!$C$17/1000*'Reagent cost'!$H$17*60*7200</f>
        <v>504921.59999999998</v>
      </c>
      <c r="DJ57">
        <f t="shared" si="16"/>
        <v>86.234440960995769</v>
      </c>
      <c r="DK57">
        <f t="shared" si="17"/>
        <v>952.31128621524431</v>
      </c>
      <c r="DL57">
        <f t="shared" si="18"/>
        <v>15365191.589013236</v>
      </c>
      <c r="DM57">
        <f>BK57*(B57*(409.81+2)/1000+C57*(248.2+2*22.99)/1000+D57*(315.6+3*22.99)/1000+0.1*58.44/1000)</f>
        <v>0.70639694042110623</v>
      </c>
      <c r="DN57">
        <f>(BS57+BT57)/1000*('Oxidant Feed Composition'!$B$11*'Oxidant Feed Composition'!$O$20+'Oxidant Feed Composition'!$D$11*'Oxidant Feed Composition'!$O$21+'Oxidant Feed Composition'!$F$11*'Oxidant Feed Composition'!$O$27-'Oxidant Feed Composition'!$J$15*18.015)</f>
        <v>2.1508528973261121</v>
      </c>
      <c r="DO57">
        <f>(BU57+BV57)/1000*(0.2*368.34+0.4*58.44)</f>
        <v>1.48940496581793</v>
      </c>
      <c r="DP57">
        <f>BK57/1000*(B57*195.08+C57*106.42+D57*102.91)</f>
        <v>4.999938342565946E-2</v>
      </c>
      <c r="DQ57">
        <f>SUM(DM57:DO57)-DP57</f>
        <v>4.296655420139488</v>
      </c>
      <c r="DR57">
        <f>DQ57*60*7200*0.33</f>
        <v>612531.19669508538</v>
      </c>
      <c r="DS57">
        <v>1.2</v>
      </c>
      <c r="DT57">
        <f>BM57/60*(AM57*4+AN57*2+AO57*3)*96485/DV57</f>
        <v>1405.8939209566693</v>
      </c>
      <c r="DU57">
        <f>BN57*BA57*(AP57*4+AQ57*2+AR57*3)*96485/DV57/60</f>
        <v>705.85660100448581</v>
      </c>
      <c r="DV57">
        <v>0.7</v>
      </c>
      <c r="DW57">
        <f>0.499*((BK57/3.78541*15)^(-0.146))*BK57/3.78541*15*300*(1+(A57-2)/9)</f>
        <v>41280.414286181804</v>
      </c>
      <c r="DX57">
        <f>0.248*((BK57/3.78541*15)^(-0.144))*BK57/3.78541*15*300*(1+(A57-2)/3)</f>
        <v>37373.489075065132</v>
      </c>
      <c r="DY57">
        <f>0.105*((BK57/3.78541*15)^(-0.144))*BK57/3.78541*15*300*(1+(A57-2)/3)</f>
        <v>15823.453035813865</v>
      </c>
      <c r="DZ57">
        <f>0.058*((BK57/3.78541*15)^(-0.151))*BK57/3.78541*15*300*(1+(A57-2)/3)</f>
        <v>8382.1245272768647</v>
      </c>
      <c r="EA57">
        <f>0.056*((BK57/3.78541*15)^(-0.144))*BK57/3.78541*15*300*(1+(A57-2)/3)</f>
        <v>8439.174952434063</v>
      </c>
      <c r="EB57">
        <f>DS57*DT57/(3.6*10^6)*3600*7200*0.07</f>
        <v>850.28464339459367</v>
      </c>
      <c r="EC57">
        <f>0.499*((BM57/3.78541*15)^(-0.146))*BM57/3.78541*15*300*(1+(AF57-2)/9)</f>
        <v>41142.622397535211</v>
      </c>
      <c r="ED57">
        <f>0.248*((BM57/3.78541*15)^(-0.144))*BM57/3.78541*15*300*(1+(AF57-2)/3)</f>
        <v>38794.601226061888</v>
      </c>
      <c r="EE57">
        <f>0.105*((BM57/3.78541*15)^(-0.144))*BM57/3.78541*15*300*(1+(AF57-2)/3)</f>
        <v>16425.133583614912</v>
      </c>
      <c r="EF57">
        <f>0.058*((BM57/3.78541*15)^(-0.151))*BM57/3.78541*15*300*(1+(AF57-2)/3)</f>
        <v>8705.6940898004505</v>
      </c>
      <c r="EG57">
        <f>0.056*((BM57/3.78541*15)^(-0.144))*BM57/3.78541*15*300*(1+(AF57-2)/3)</f>
        <v>8760.071244594621</v>
      </c>
      <c r="EH57">
        <f>DS57*DU57/(3.6*10^6)*3600*7200*0.07</f>
        <v>426.90207228751308</v>
      </c>
      <c r="EI57">
        <f>SUM(DW57:EH57)</f>
        <v>226403.96513406091</v>
      </c>
      <c r="EJ57">
        <f>EI57+DR57+DL57</f>
        <v>16204126.750842381</v>
      </c>
      <c r="EK57">
        <f>EJ57+DF57</f>
        <v>16963221.657028172</v>
      </c>
      <c r="EL57">
        <f>EK57/(BK57*60*7200)</f>
        <v>0.39266716798676327</v>
      </c>
      <c r="EM57">
        <f>EK57/(BM57*(AM57*195.084/1000+AN57*106.42/1000+AO57*102.911/1000)*60*7200)</f>
        <v>1313.6638049874557</v>
      </c>
      <c r="EN57">
        <f>EK57/(BN57*BA57*(AP57*195.084/1000+AQ57*106.42/1000+AR57*102.911/1000)*60*7200)</f>
        <v>2410.7019004901449</v>
      </c>
    </row>
    <row r="58" spans="1:144">
      <c r="A58">
        <f>'Costing 100 Lmin Feed Orig'!A58</f>
        <v>8</v>
      </c>
      <c r="B58">
        <f>'Costing 100 Lmin Feed Orig'!B58</f>
        <v>1.54143585092054E-3</v>
      </c>
      <c r="C58">
        <f>'Costing 100 Lmin Feed Orig'!C58</f>
        <v>1.54143585092054E-3</v>
      </c>
      <c r="D58">
        <f>'Costing 100 Lmin Feed Orig'!D58</f>
        <v>3.4254130020456501E-4</v>
      </c>
      <c r="E58">
        <f>'Costing 100 Lmin Feed Orig'!E58</f>
        <v>0</v>
      </c>
      <c r="F58">
        <f>'Costing 100 Lmin Feed Orig'!F58</f>
        <v>0</v>
      </c>
      <c r="G58">
        <f>'Costing 100 Lmin Feed Orig'!G58</f>
        <v>0</v>
      </c>
      <c r="H58">
        <f>'Costing 100 Lmin Feed Orig'!H58</f>
        <v>1.7762434284205799E-5</v>
      </c>
      <c r="I58">
        <f>'Costing 100 Lmin Feed Orig'!I58</f>
        <v>4.4591984978445998E-9</v>
      </c>
      <c r="J58">
        <f>'Costing 100 Lmin Feed Orig'!J58</f>
        <v>3.37570976171142E-4</v>
      </c>
      <c r="K58">
        <f>'Costing 100 Lmin Feed Orig'!K58</f>
        <v>0.13846015972746001</v>
      </c>
      <c r="L58">
        <f>'Costing 100 Lmin Feed Orig'!L58</f>
        <v>0.14007387303476199</v>
      </c>
      <c r="M58">
        <f>'Costing 100 Lmin Feed Orig'!M58</f>
        <v>4.5166625081916902E-4</v>
      </c>
      <c r="N58">
        <f>'Costing 100 Lmin Feed Orig'!N58</f>
        <v>-2.6107588313450902E-16</v>
      </c>
      <c r="O58">
        <f>'Costing 100 Lmin Feed Orig'!O58</f>
        <v>-1.18524981496115E-14</v>
      </c>
      <c r="P58">
        <f>'Costing 100 Lmin Feed Orig'!P58</f>
        <v>-2.5241581828178102E-19</v>
      </c>
      <c r="Q58">
        <f>'Costing 100 Lmin Feed Orig'!Q58</f>
        <v>0.110044175857931</v>
      </c>
      <c r="R58">
        <f>'Costing 100 Lmin Feed Orig'!R58</f>
        <v>98.548985471108097</v>
      </c>
      <c r="S58">
        <f>'Costing 100 Lmin Feed Orig'!S58</f>
        <v>500</v>
      </c>
      <c r="T58">
        <f>'Costing 100 Lmin Feed Orig'!T58</f>
        <v>95</v>
      </c>
      <c r="U58">
        <f>'Costing 100 Lmin Feed Orig'!U58</f>
        <v>1</v>
      </c>
      <c r="V58">
        <f>'Costing 100 Lmin Feed Orig'!V58</f>
        <v>0.1</v>
      </c>
      <c r="W58">
        <f>'Costing 100 Lmin Feed Orig'!W58</f>
        <v>90.872596591664205</v>
      </c>
      <c r="X58" t="str">
        <f>'Costing 100 Lmin Feed Orig'!X58</f>
        <v>ddFc</v>
      </c>
      <c r="Y58">
        <f>'Costing 100 Lmin Feed Orig'!Y58</f>
        <v>1</v>
      </c>
      <c r="Z58">
        <f>'Costing 100 Lmin Feed Orig'!Z58</f>
        <v>0.28318429382522198</v>
      </c>
      <c r="AA58">
        <f>'Costing 100 Lmin Feed Orig'!AA58</f>
        <v>0.56945642916197003</v>
      </c>
      <c r="AB58">
        <f>'Costing 100 Lmin Feed Orig'!AB58</f>
        <v>3.7698628972227502E-3</v>
      </c>
      <c r="AC58">
        <f>'Costing 100 Lmin Feed Orig'!AC58</f>
        <v>1822.2107908876901</v>
      </c>
      <c r="AD58">
        <f>'Costing 100 Lmin Feed Orig'!AD58</f>
        <v>2662.6059073104898</v>
      </c>
      <c r="AE58">
        <f>'Costing 100 Lmin Feed Orig'!AE58</f>
        <v>2401.5030938442701</v>
      </c>
      <c r="AF58">
        <f>'Costing 100 Lmin Feed Orig'!AF58</f>
        <v>10</v>
      </c>
      <c r="AG58">
        <f>'Costing 100 Lmin Feed Orig'!AG58</f>
        <v>1.6497294784823999E-3</v>
      </c>
      <c r="AH58">
        <f>'Costing 100 Lmin Feed Orig'!AH58</f>
        <v>1.66895660069658E-3</v>
      </c>
      <c r="AI58">
        <f>'Costing 100 Lmin Feed Orig'!AI58</f>
        <v>5.38152729188446E-6</v>
      </c>
      <c r="AJ58">
        <f>'Costing 100 Lmin Feed Orig'!AJ58</f>
        <v>0</v>
      </c>
      <c r="AK58">
        <f>'Costing 100 Lmin Feed Orig'!AK58</f>
        <v>0</v>
      </c>
      <c r="AL58">
        <f>'Costing 100 Lmin Feed Orig'!AL58</f>
        <v>0</v>
      </c>
      <c r="AM58">
        <f>'Costing 100 Lmin Feed Orig'!AM58</f>
        <v>1.61277705008137E-3</v>
      </c>
      <c r="AN58">
        <f>'Costing 100 Lmin Feed Orig'!AN58</f>
        <v>7.9536872122754404E-5</v>
      </c>
      <c r="AO58">
        <f>'Costing 100 Lmin Feed Orig'!AO58</f>
        <v>5.3461305122899801E-6</v>
      </c>
      <c r="AP58">
        <f>'Costing 100 Lmin Feed Orig'!AP58</f>
        <v>1.73336444614092E-3</v>
      </c>
      <c r="AQ58">
        <f>'Costing 100 Lmin Feed Orig'!AQ58</f>
        <v>7.4556497867205695E-2</v>
      </c>
      <c r="AR58">
        <f>'Costing 100 Lmin Feed Orig'!AR58</f>
        <v>1.6603920749814E-6</v>
      </c>
      <c r="AS58">
        <f>'Costing 100 Lmin Feed Orig'!AS58</f>
        <v>6.41926968395281E-15</v>
      </c>
      <c r="AT58">
        <f>'Costing 100 Lmin Feed Orig'!AT58</f>
        <v>-6.6401007955962902E-13</v>
      </c>
      <c r="AU58">
        <f>'Costing 100 Lmin Feed Orig'!AU58</f>
        <v>6.1661351582152895E-20</v>
      </c>
      <c r="AV58">
        <f>'Costing 100 Lmin Feed Orig'!AV58</f>
        <v>0.19689389736263299</v>
      </c>
      <c r="AW58">
        <f>'Costing 100 Lmin Feed Orig'!AW58</f>
        <v>99.342254016850205</v>
      </c>
      <c r="AX58">
        <f>'Costing 100 Lmin Feed Orig'!AX58</f>
        <v>499.99999999999898</v>
      </c>
      <c r="AY58">
        <f>'Costing 100 Lmin Feed Orig'!AY58</f>
        <v>95</v>
      </c>
      <c r="AZ58">
        <f>'Costing 100 Lmin Feed Orig'!AZ58</f>
        <v>0.92358985913147196</v>
      </c>
      <c r="BA58">
        <f>'Costing 100 Lmin Feed Orig'!BA58</f>
        <v>0.1</v>
      </c>
      <c r="BB58">
        <f>'Costing 100 Lmin Feed Orig'!BB58</f>
        <v>46.907998241836403</v>
      </c>
      <c r="BC58" t="str">
        <f>'Costing 100 Lmin Feed Orig'!BC58</f>
        <v>coeFc</v>
      </c>
      <c r="BD58">
        <f>'Costing 100 Lmin Feed Orig'!BD58</f>
        <v>1</v>
      </c>
      <c r="BE58">
        <f>'Costing 100 Lmin Feed Orig'!BE58</f>
        <v>1.8775014999999999E-2</v>
      </c>
      <c r="BF58">
        <f>'Costing 100 Lmin Feed Orig'!BF58</f>
        <v>0.10492961100000001</v>
      </c>
      <c r="BG58">
        <f>'Costing 100 Lmin Feed Orig'!BG58</f>
        <v>1.814625E-3</v>
      </c>
      <c r="BH58">
        <f>'Costing 100 Lmin Feed Orig'!BH58</f>
        <v>285.1951444</v>
      </c>
      <c r="BI58">
        <f>'Costing 100 Lmin Feed Orig'!BI58</f>
        <v>2169.8944889999998</v>
      </c>
      <c r="BJ58">
        <f>'Costing 100 Lmin Feed Orig'!BJ58</f>
        <v>866.49409060000005</v>
      </c>
      <c r="BK58">
        <f>'Costing 100 Lmin Feed Orig'!BK58</f>
        <v>100</v>
      </c>
      <c r="BL58">
        <f>'Costing 100 Lmin Feed Orig'!BL58</f>
        <v>11.004417585793099</v>
      </c>
      <c r="BM58">
        <f>'Costing 100 Lmin Feed Orig'!BM58</f>
        <v>92.358985913147194</v>
      </c>
      <c r="BN58">
        <f>'Costing 100 Lmin Feed Orig'!BN58</f>
        <v>19.689389736263298</v>
      </c>
      <c r="BO58">
        <f t="shared" si="1"/>
        <v>220.08835171586199</v>
      </c>
      <c r="BP58">
        <f t="shared" si="2"/>
        <v>472.54535367031917</v>
      </c>
      <c r="BQ58">
        <f t="shared" si="3"/>
        <v>22.008835171586199</v>
      </c>
      <c r="BR58">
        <f t="shared" si="4"/>
        <v>47.25453536703192</v>
      </c>
      <c r="BS58">
        <f>1.2*0.5*BL58*V58/'Oxidant Feed Composition'!$N$22</f>
        <v>6.6026505514758593</v>
      </c>
      <c r="BT58">
        <f>1.2*0.5*BN58*BA58/'Oxidant Feed Composition'!$N$22</f>
        <v>11.813633841757976</v>
      </c>
      <c r="BU58">
        <f t="shared" si="5"/>
        <v>5.5022087928965497</v>
      </c>
      <c r="BV58">
        <f t="shared" si="6"/>
        <v>9.8446948681316488</v>
      </c>
      <c r="BW58">
        <f t="shared" si="7"/>
        <v>86.856777120250641</v>
      </c>
      <c r="BX58">
        <f t="shared" si="0"/>
        <v>35.214136274537921</v>
      </c>
      <c r="BY58">
        <f t="shared" si="8"/>
        <v>206.7268069978806</v>
      </c>
      <c r="BZ58">
        <f t="shared" si="9"/>
        <v>63.006047156042548</v>
      </c>
      <c r="CA58">
        <f t="shared" si="10"/>
        <v>59.068169208789897</v>
      </c>
      <c r="CB58">
        <f>BO58*'Reagent cost'!$G$11*'Reagent cost'!$H$11</f>
        <v>2905.1662426493785</v>
      </c>
      <c r="CC58">
        <f>BP58*'Reagent cost'!$G$11*'Reagent cost'!$H$11</f>
        <v>6237.5986684482132</v>
      </c>
      <c r="CD58">
        <f>BQ58*'Reagent cost'!$C$18/1000*'Reagent cost'!$H$18</f>
        <v>3509.9789962792502</v>
      </c>
      <c r="CE58">
        <f>BR58*'Ligand cost'!$B$56*'Ligand cost'!$J$56</f>
        <v>48111.152916914485</v>
      </c>
      <c r="CF58">
        <f t="shared" si="11"/>
        <v>10</v>
      </c>
      <c r="CG58">
        <f t="shared" si="12"/>
        <v>2.2008835171586201</v>
      </c>
      <c r="CH58">
        <f t="shared" si="12"/>
        <v>3.9378779472526597</v>
      </c>
      <c r="CI58">
        <f>7963.6*(BX58/1000)^0.6*1.7*('CAPEX+OPEX'!$G$116/'CAPEX+OPEX'!$G$115)</f>
        <v>2144.228934815284</v>
      </c>
      <c r="CJ58">
        <f>7963.6*(BY58/1000)^0.6*1.7*('CAPEX+OPEX'!$G$116/'CAPEX+OPEX'!$G$115)</f>
        <v>6201.2466571653367</v>
      </c>
      <c r="CK58">
        <f>7963.6*(BZ58/1000)^0.6*1.7*('CAPEX+OPEX'!$G$116/'CAPEX+OPEX'!$G$115)</f>
        <v>3039.9767927452131</v>
      </c>
      <c r="CL58">
        <f>7963.6*(CA58/1000)^0.6*1.7*('CAPEX+OPEX'!$G$116/'CAPEX+OPEX'!$G$115)</f>
        <v>2924.5094837012939</v>
      </c>
      <c r="CM58">
        <f>'Costing 100 Lmin Feed Orig'!DE58</f>
        <v>39625.826528698344</v>
      </c>
      <c r="CN58">
        <f>'Costing 100 Lmin Feed Orig'!DF58</f>
        <v>4586243.4239371875</v>
      </c>
      <c r="CO58">
        <f>'Costing 100 Lmin Feed Orig'!DG58</f>
        <v>11794834.586807497</v>
      </c>
      <c r="CP58">
        <f>'Costing 100 Lmin Feed Orig'!DH58</f>
        <v>2275209.1661185985</v>
      </c>
      <c r="CQ58">
        <f>'Costing 100 Lmin Feed Orig'!DI58</f>
        <v>14083914.336508472</v>
      </c>
      <c r="CR58">
        <f>'Costing 100 Lmin Feed Orig'!DJ58</f>
        <v>1662824.8986326549</v>
      </c>
      <c r="CS58">
        <f>CN58*(BK58/10000)^0.72*((A58+1)/3)^0.6*('CAPEX+OPEX'!$G$116/'CAPEX+OPEX'!$G$114)</f>
        <v>751295.09040276916</v>
      </c>
      <c r="CT58">
        <f>CO58*(BK58/10000)^0.72*((A58+1)/3)^0.6*('CAPEX+OPEX'!$G$116/'CAPEX+OPEX'!$G$114)</f>
        <v>1932169.8606163235</v>
      </c>
      <c r="CU58">
        <f>CP58*(BK58/10000)^0.72*((A58+1)/3)^0.6*('CAPEX+OPEX'!$G$116/'CAPEX+OPEX'!$G$114)</f>
        <v>372713.20297186484</v>
      </c>
      <c r="CV58">
        <f>CQ58*(BK58/10000)^0.72*((A58+1)/3)^0.6*('CAPEX+OPEX'!$G$116/'CAPEX+OPEX'!$G$114)</f>
        <v>2307155.2721002945</v>
      </c>
      <c r="CW58">
        <f>CR58*(BK58/10000)^0.72*((A58+1)/3)^0.6*('CAPEX+OPEX'!$G$116/'CAPEX+OPEX'!$G$114)</f>
        <v>272395.52441150707</v>
      </c>
      <c r="CX58">
        <f t="shared" si="13"/>
        <v>5635728.9505027588</v>
      </c>
      <c r="CY58">
        <f>CN58*(BM58/10000)^0.72*((AF58+1)/3)^0.6*('CAPEX+OPEX'!$G$116/'CAPEX+OPEX'!$G$114)</f>
        <v>800286.7903035864</v>
      </c>
      <c r="CZ58">
        <f>CO58*(BM58/10000)^0.72*((AF58+1)/3)^0.6*('CAPEX+OPEX'!$G$116/'CAPEX+OPEX'!$G$114)</f>
        <v>2058166.0067084958</v>
      </c>
      <c r="DA58">
        <f>CP58*(BM58/10000)^0.72*((AF58+1)/3)^0.6*('CAPEX+OPEX'!$G$116/'CAPEX+OPEX'!$G$114)</f>
        <v>397017.70545341435</v>
      </c>
      <c r="DB58">
        <f>CQ58*(BM58/10000)^0.72*((AF58+1)/3)^0.6*('CAPEX+OPEX'!$G$116/'CAPEX+OPEX'!$G$114)</f>
        <v>2457604.0906260884</v>
      </c>
      <c r="DC58">
        <f>CR58*(BM58/10000)^0.72*((AF58+1)/3)^0.6*('CAPEX+OPEX'!$G$116/'CAPEX+OPEX'!$G$114)</f>
        <v>290158.34484886675</v>
      </c>
      <c r="DD58">
        <f t="shared" si="14"/>
        <v>6003232.9379404513</v>
      </c>
      <c r="DE58">
        <f>CX58+DD58+1.15*(SUM(CI58:CL58)+SUM(CB58:CE58))</f>
        <v>11725296.825939836</v>
      </c>
      <c r="DF58">
        <f t="shared" si="15"/>
        <v>781686.45506265573</v>
      </c>
      <c r="DG58">
        <f>(BS58+BT58)*'Oxidant Feed Composition'!$N$29*60*7200</f>
        <v>9187358.3147020917</v>
      </c>
      <c r="DH58">
        <f>((CG58+CH58)*'Reagent cost'!$C$17/1000*'Reagent cost'!$H$17+(CG58+CH58)*0.5*'Reagent cost'!$C$16/1000*'Reagent cost'!$H$16*0.5)*60*7200</f>
        <v>3110346.8974117832</v>
      </c>
      <c r="DI58">
        <f>CF58*'Reagent cost'!$C$17/1000*'Reagent cost'!$H$17*60*7200</f>
        <v>504921.59999999998</v>
      </c>
      <c r="DJ58">
        <f t="shared" si="16"/>
        <v>91.427649110975906</v>
      </c>
      <c r="DK58">
        <f t="shared" si="17"/>
        <v>1032.4226382638747</v>
      </c>
      <c r="DL58">
        <f t="shared" si="18"/>
        <v>15364500.794881498</v>
      </c>
      <c r="DM58">
        <f>BK58*(B58*(409.81+2)/1000+C58*(248.2+2*22.99)/1000+D58*(315.6+3*22.99)/1000+0.1*58.44/1000)</f>
        <v>0.70639694042110623</v>
      </c>
      <c r="DN58">
        <f>(BS58+BT58)/1000*('Oxidant Feed Composition'!$B$11*'Oxidant Feed Composition'!$O$20+'Oxidant Feed Composition'!$D$11*'Oxidant Feed Composition'!$O$21+'Oxidant Feed Composition'!$F$11*'Oxidant Feed Composition'!$O$27-'Oxidant Feed Composition'!$J$15*18.015)</f>
        <v>2.1507373013729922</v>
      </c>
      <c r="DO58">
        <f>(BU58+BV58)/1000*(0.2*368.34+0.4*58.44)</f>
        <v>1.4893249188808204</v>
      </c>
      <c r="DP58">
        <f>BK58/1000*(B58*195.08+C58*106.42+D58*102.91)</f>
        <v>4.999938342565946E-2</v>
      </c>
      <c r="DQ58">
        <f>SUM(DM58:DO58)-DP58</f>
        <v>4.2964597772492592</v>
      </c>
      <c r="DR58">
        <f>DQ58*60*7200*0.33</f>
        <v>612503.30584465445</v>
      </c>
      <c r="DS58">
        <v>1.2</v>
      </c>
      <c r="DT58">
        <f>BM58/60*(AM58*4+AN58*2+AO58*3)*96485/DV58</f>
        <v>1405.9035889466509</v>
      </c>
      <c r="DU58">
        <f>BN58*BA58*(AP58*4+AQ58*2+AR58*3)*96485/DV58/60</f>
        <v>705.84693331136953</v>
      </c>
      <c r="DV58">
        <v>0.7</v>
      </c>
      <c r="DW58">
        <f>0.499*((BK58/3.78541*15)^(-0.146))*BK58/3.78541*15*300*(1+(A58-2)/9)</f>
        <v>41280.414286181804</v>
      </c>
      <c r="DX58">
        <f>0.248*((BK58/3.78541*15)^(-0.144))*BK58/3.78541*15*300*(1+(A58-2)/3)</f>
        <v>37373.489075065132</v>
      </c>
      <c r="DY58">
        <f>0.105*((BK58/3.78541*15)^(-0.144))*BK58/3.78541*15*300*(1+(A58-2)/3)</f>
        <v>15823.453035813865</v>
      </c>
      <c r="DZ58">
        <f>0.058*((BK58/3.78541*15)^(-0.151))*BK58/3.78541*15*300*(1+(A58-2)/3)</f>
        <v>8382.1245272768647</v>
      </c>
      <c r="EA58">
        <f>0.056*((BK58/3.78541*15)^(-0.144))*BK58/3.78541*15*300*(1+(A58-2)/3)</f>
        <v>8439.174952434063</v>
      </c>
      <c r="EB58">
        <f>DS58*DT58/(3.6*10^6)*3600*7200*0.07</f>
        <v>850.29049059493457</v>
      </c>
      <c r="EC58">
        <f>0.499*((BM58/3.78541*15)^(-0.146))*BM58/3.78541*15*300*(1+(AF58-2)/9)</f>
        <v>43714.036297381164</v>
      </c>
      <c r="ED58">
        <f>0.248*((BM58/3.78541*15)^(-0.144))*BM58/3.78541*15*300*(1+(AF58-2)/3)</f>
        <v>42674.061348668067</v>
      </c>
      <c r="EE58">
        <f>0.105*((BM58/3.78541*15)^(-0.144))*BM58/3.78541*15*300*(1+(AF58-2)/3)</f>
        <v>18067.6469419764</v>
      </c>
      <c r="EF58">
        <f>0.058*((BM58/3.78541*15)^(-0.151))*BM58/3.78541*15*300*(1+(AF58-2)/3)</f>
        <v>9576.263498780494</v>
      </c>
      <c r="EG58">
        <f>0.056*((BM58/3.78541*15)^(-0.144))*BM58/3.78541*15*300*(1+(AF58-2)/3)</f>
        <v>9636.0783690540829</v>
      </c>
      <c r="EH58">
        <f>DS58*DU58/(3.6*10^6)*3600*7200*0.07</f>
        <v>426.89622526671633</v>
      </c>
      <c r="EI58">
        <f>SUM(DW58:EH58)</f>
        <v>236243.92904849356</v>
      </c>
      <c r="EJ58">
        <f>EI58+DR58+DL58</f>
        <v>16213248.029774647</v>
      </c>
      <c r="EK58">
        <f>EJ58+DF58</f>
        <v>16994934.484837301</v>
      </c>
      <c r="EL58">
        <f>EK58/(BK58*60*7200)</f>
        <v>0.39340126122308566</v>
      </c>
      <c r="EM58">
        <f>EK58/(BM58*(AM58*195.084/1000+AN58*106.42/1000+AO58*102.911/1000)*60*7200)</f>
        <v>1316.1106498115678</v>
      </c>
      <c r="EN58">
        <f>EK58/(BN58*BA58*(AP58*195.084/1000+AQ58*106.42/1000+AR58*102.911/1000)*60*7200)</f>
        <v>2415.2392169780464</v>
      </c>
    </row>
    <row r="59" spans="1:144">
      <c r="A59">
        <f>'Costing 100 Lmin Feed Orig'!A59</f>
        <v>8</v>
      </c>
      <c r="B59">
        <f>'Costing 100 Lmin Feed Orig'!B59</f>
        <v>1.54143585092054E-3</v>
      </c>
      <c r="C59">
        <f>'Costing 100 Lmin Feed Orig'!C59</f>
        <v>1.54143585092054E-3</v>
      </c>
      <c r="D59">
        <f>'Costing 100 Lmin Feed Orig'!D59</f>
        <v>3.4254130020456501E-4</v>
      </c>
      <c r="E59">
        <f>'Costing 100 Lmin Feed Orig'!E59</f>
        <v>0</v>
      </c>
      <c r="F59">
        <f>'Costing 100 Lmin Feed Orig'!F59</f>
        <v>0</v>
      </c>
      <c r="G59">
        <f>'Costing 100 Lmin Feed Orig'!G59</f>
        <v>0</v>
      </c>
      <c r="H59">
        <f>'Costing 100 Lmin Feed Orig'!H59</f>
        <v>1.7762434284205799E-5</v>
      </c>
      <c r="I59">
        <f>'Costing 100 Lmin Feed Orig'!I59</f>
        <v>4.4591984978445998E-9</v>
      </c>
      <c r="J59">
        <f>'Costing 100 Lmin Feed Orig'!J59</f>
        <v>3.37570976171142E-4</v>
      </c>
      <c r="K59">
        <f>'Costing 100 Lmin Feed Orig'!K59</f>
        <v>0.13846015972746001</v>
      </c>
      <c r="L59">
        <f>'Costing 100 Lmin Feed Orig'!L59</f>
        <v>0.14007387303476199</v>
      </c>
      <c r="M59">
        <f>'Costing 100 Lmin Feed Orig'!M59</f>
        <v>4.5166625081916902E-4</v>
      </c>
      <c r="N59">
        <f>'Costing 100 Lmin Feed Orig'!N59</f>
        <v>-2.6107588313450902E-16</v>
      </c>
      <c r="O59">
        <f>'Costing 100 Lmin Feed Orig'!O59</f>
        <v>-1.18524981496115E-14</v>
      </c>
      <c r="P59">
        <f>'Costing 100 Lmin Feed Orig'!P59</f>
        <v>-2.5241581828178102E-19</v>
      </c>
      <c r="Q59">
        <f>'Costing 100 Lmin Feed Orig'!Q59</f>
        <v>0.110044175857931</v>
      </c>
      <c r="R59">
        <f>'Costing 100 Lmin Feed Orig'!R59</f>
        <v>98.548985471108097</v>
      </c>
      <c r="S59">
        <f>'Costing 100 Lmin Feed Orig'!S59</f>
        <v>500</v>
      </c>
      <c r="T59">
        <f>'Costing 100 Lmin Feed Orig'!T59</f>
        <v>95</v>
      </c>
      <c r="U59">
        <f>'Costing 100 Lmin Feed Orig'!U59</f>
        <v>1</v>
      </c>
      <c r="V59">
        <f>'Costing 100 Lmin Feed Orig'!V59</f>
        <v>0.1</v>
      </c>
      <c r="W59">
        <f>'Costing 100 Lmin Feed Orig'!W59</f>
        <v>90.872596591664205</v>
      </c>
      <c r="X59" t="str">
        <f>'Costing 100 Lmin Feed Orig'!X59</f>
        <v>ddFc</v>
      </c>
      <c r="Y59">
        <f>'Costing 100 Lmin Feed Orig'!Y59</f>
        <v>1</v>
      </c>
      <c r="Z59">
        <f>'Costing 100 Lmin Feed Orig'!Z59</f>
        <v>0.28318429382522198</v>
      </c>
      <c r="AA59">
        <f>'Costing 100 Lmin Feed Orig'!AA59</f>
        <v>0.56945642916197003</v>
      </c>
      <c r="AB59">
        <f>'Costing 100 Lmin Feed Orig'!AB59</f>
        <v>3.7698628972227502E-3</v>
      </c>
      <c r="AC59">
        <f>'Costing 100 Lmin Feed Orig'!AC59</f>
        <v>1822.2107908876901</v>
      </c>
      <c r="AD59">
        <f>'Costing 100 Lmin Feed Orig'!AD59</f>
        <v>2662.6059073104898</v>
      </c>
      <c r="AE59">
        <f>'Costing 100 Lmin Feed Orig'!AE59</f>
        <v>2401.5030938442701</v>
      </c>
      <c r="AF59">
        <f>'Costing 100 Lmin Feed Orig'!AF59</f>
        <v>11</v>
      </c>
      <c r="AG59">
        <f>'Costing 100 Lmin Feed Orig'!AG59</f>
        <v>1.6497294784823999E-3</v>
      </c>
      <c r="AH59">
        <f>'Costing 100 Lmin Feed Orig'!AH59</f>
        <v>1.66895660069658E-3</v>
      </c>
      <c r="AI59">
        <f>'Costing 100 Lmin Feed Orig'!AI59</f>
        <v>5.38152729188446E-6</v>
      </c>
      <c r="AJ59">
        <f>'Costing 100 Lmin Feed Orig'!AJ59</f>
        <v>0</v>
      </c>
      <c r="AK59">
        <f>'Costing 100 Lmin Feed Orig'!AK59</f>
        <v>0</v>
      </c>
      <c r="AL59">
        <f>'Costing 100 Lmin Feed Orig'!AL59</f>
        <v>0</v>
      </c>
      <c r="AM59">
        <f>'Costing 100 Lmin Feed Orig'!AM59</f>
        <v>1.6127801705222199E-3</v>
      </c>
      <c r="AN59">
        <f>'Costing 100 Lmin Feed Orig'!AN59</f>
        <v>7.9537033492425895E-5</v>
      </c>
      <c r="AO59">
        <f>'Costing 100 Lmin Feed Orig'!AO59</f>
        <v>5.3461333771461197E-6</v>
      </c>
      <c r="AP59">
        <f>'Costing 100 Lmin Feed Orig'!AP59</f>
        <v>1.73325890938514E-3</v>
      </c>
      <c r="AQ59">
        <f>'Costing 100 Lmin Feed Orig'!AQ59</f>
        <v>7.4558246913040901E-2</v>
      </c>
      <c r="AR59">
        <f>'Costing 100 Lmin Feed Orig'!AR59</f>
        <v>1.6602968079419499E-6</v>
      </c>
      <c r="AS59">
        <f>'Costing 100 Lmin Feed Orig'!AS59</f>
        <v>2.06541869111204E-15</v>
      </c>
      <c r="AT59">
        <f>'Costing 100 Lmin Feed Orig'!AT59</f>
        <v>-2.05823422541606E-13</v>
      </c>
      <c r="AU59">
        <f>'Costing 100 Lmin Feed Orig'!AU59</f>
        <v>1.5676726969104899E-20</v>
      </c>
      <c r="AV59">
        <f>'Costing 100 Lmin Feed Orig'!AV59</f>
        <v>0.19688925842004401</v>
      </c>
      <c r="AW59">
        <f>'Costing 100 Lmin Feed Orig'!AW59</f>
        <v>99.342307251851594</v>
      </c>
      <c r="AX59">
        <f>'Costing 100 Lmin Feed Orig'!AX59</f>
        <v>499.99999999999898</v>
      </c>
      <c r="AY59">
        <f>'Costing 100 Lmin Feed Orig'!AY59</f>
        <v>95</v>
      </c>
      <c r="AZ59">
        <f>'Costing 100 Lmin Feed Orig'!AZ59</f>
        <v>0.92358985913147196</v>
      </c>
      <c r="BA59">
        <f>'Costing 100 Lmin Feed Orig'!BA59</f>
        <v>0.1</v>
      </c>
      <c r="BB59">
        <f>'Costing 100 Lmin Feed Orig'!BB59</f>
        <v>46.909103449467104</v>
      </c>
      <c r="BC59" t="str">
        <f>'Costing 100 Lmin Feed Orig'!BC59</f>
        <v>coeFc</v>
      </c>
      <c r="BD59">
        <f>'Costing 100 Lmin Feed Orig'!BD59</f>
        <v>1</v>
      </c>
      <c r="BE59">
        <f>'Costing 100 Lmin Feed Orig'!BE59</f>
        <v>1.8775014999999999E-2</v>
      </c>
      <c r="BF59">
        <f>'Costing 100 Lmin Feed Orig'!BF59</f>
        <v>0.10492961100000001</v>
      </c>
      <c r="BG59">
        <f>'Costing 100 Lmin Feed Orig'!BG59</f>
        <v>1.814625E-3</v>
      </c>
      <c r="BH59">
        <f>'Costing 100 Lmin Feed Orig'!BH59</f>
        <v>285.1951444</v>
      </c>
      <c r="BI59">
        <f>'Costing 100 Lmin Feed Orig'!BI59</f>
        <v>2169.8944889999998</v>
      </c>
      <c r="BJ59">
        <f>'Costing 100 Lmin Feed Orig'!BJ59</f>
        <v>866.49409060000005</v>
      </c>
      <c r="BK59">
        <f>'Costing 100 Lmin Feed Orig'!BK59</f>
        <v>100</v>
      </c>
      <c r="BL59">
        <f>'Costing 100 Lmin Feed Orig'!BL59</f>
        <v>11.004417585793099</v>
      </c>
      <c r="BM59">
        <f>'Costing 100 Lmin Feed Orig'!BM59</f>
        <v>92.358985913147194</v>
      </c>
      <c r="BN59">
        <f>'Costing 100 Lmin Feed Orig'!BN59</f>
        <v>19.688925842004402</v>
      </c>
      <c r="BO59">
        <f t="shared" si="1"/>
        <v>220.08835171586199</v>
      </c>
      <c r="BP59">
        <f t="shared" si="2"/>
        <v>511.91207189211445</v>
      </c>
      <c r="BQ59">
        <f t="shared" si="3"/>
        <v>22.008835171586199</v>
      </c>
      <c r="BR59">
        <f t="shared" si="4"/>
        <v>51.191207189211447</v>
      </c>
      <c r="BS59">
        <f>1.2*0.5*BL59*V59/'Oxidant Feed Composition'!$N$22</f>
        <v>6.6026505514758593</v>
      </c>
      <c r="BT59">
        <f>1.2*0.5*BN59*BA59/'Oxidant Feed Composition'!$N$22</f>
        <v>11.81335550520264</v>
      </c>
      <c r="BU59">
        <f t="shared" si="5"/>
        <v>5.5022087928965497</v>
      </c>
      <c r="BV59">
        <f t="shared" si="6"/>
        <v>9.8444629210022008</v>
      </c>
      <c r="BW59">
        <f t="shared" si="7"/>
        <v>86.856777120250641</v>
      </c>
      <c r="BX59">
        <f t="shared" si="0"/>
        <v>35.214136274537921</v>
      </c>
      <c r="BY59">
        <f t="shared" si="8"/>
        <v>206.7268069978806</v>
      </c>
      <c r="BZ59">
        <f t="shared" si="9"/>
        <v>63.004562694414084</v>
      </c>
      <c r="CA59">
        <f t="shared" si="10"/>
        <v>59.066777526013205</v>
      </c>
      <c r="CB59">
        <f>BO59*'Reagent cost'!$G$11*'Reagent cost'!$H$11</f>
        <v>2905.1662426493785</v>
      </c>
      <c r="CC59">
        <f>BP59*'Reagent cost'!$G$11*'Reagent cost'!$H$11</f>
        <v>6757.2393489759106</v>
      </c>
      <c r="CD59">
        <f>BQ59*'Reagent cost'!$C$18/1000*'Reagent cost'!$H$18</f>
        <v>3509.9789962792502</v>
      </c>
      <c r="CE59">
        <f>BR59*'Ligand cost'!$B$56*'Ligand cost'!$J$56</f>
        <v>52119.187670605555</v>
      </c>
      <c r="CF59">
        <f t="shared" si="11"/>
        <v>10</v>
      </c>
      <c r="CG59">
        <f t="shared" si="12"/>
        <v>2.2008835171586201</v>
      </c>
      <c r="CH59">
        <f t="shared" si="12"/>
        <v>3.9377851684008807</v>
      </c>
      <c r="CI59">
        <f>7963.6*(BX59/1000)^0.6*1.7*('CAPEX+OPEX'!$G$116/'CAPEX+OPEX'!$G$115)</f>
        <v>2144.228934815284</v>
      </c>
      <c r="CJ59">
        <f>7963.6*(BY59/1000)^0.6*1.7*('CAPEX+OPEX'!$G$116/'CAPEX+OPEX'!$G$115)</f>
        <v>6201.2466571653367</v>
      </c>
      <c r="CK59">
        <f>7963.6*(BZ59/1000)^0.6*1.7*('CAPEX+OPEX'!$G$116/'CAPEX+OPEX'!$G$115)</f>
        <v>3039.9338182971837</v>
      </c>
      <c r="CL59">
        <f>7963.6*(CA59/1000)^0.6*1.7*('CAPEX+OPEX'!$G$116/'CAPEX+OPEX'!$G$115)</f>
        <v>2924.4681415498935</v>
      </c>
      <c r="CM59">
        <f>'Costing 100 Lmin Feed Orig'!DE59</f>
        <v>39625.826528698344</v>
      </c>
      <c r="CN59">
        <f>'Costing 100 Lmin Feed Orig'!DF59</f>
        <v>4586243.4239371875</v>
      </c>
      <c r="CO59">
        <f>'Costing 100 Lmin Feed Orig'!DG59</f>
        <v>11794834.586807497</v>
      </c>
      <c r="CP59">
        <f>'Costing 100 Lmin Feed Orig'!DH59</f>
        <v>2275209.1661185985</v>
      </c>
      <c r="CQ59">
        <f>'Costing 100 Lmin Feed Orig'!DI59</f>
        <v>14083914.336508472</v>
      </c>
      <c r="CR59">
        <f>'Costing 100 Lmin Feed Orig'!DJ59</f>
        <v>1662824.8986326549</v>
      </c>
      <c r="CS59">
        <f>CN59*(BK59/10000)^0.72*((A59+1)/3)^0.6*('CAPEX+OPEX'!$G$116/'CAPEX+OPEX'!$G$114)</f>
        <v>751295.09040276916</v>
      </c>
      <c r="CT59">
        <f>CO59*(BK59/10000)^0.72*((A59+1)/3)^0.6*('CAPEX+OPEX'!$G$116/'CAPEX+OPEX'!$G$114)</f>
        <v>1932169.8606163235</v>
      </c>
      <c r="CU59">
        <f>CP59*(BK59/10000)^0.72*((A59+1)/3)^0.6*('CAPEX+OPEX'!$G$116/'CAPEX+OPEX'!$G$114)</f>
        <v>372713.20297186484</v>
      </c>
      <c r="CV59">
        <f>CQ59*(BK59/10000)^0.72*((A59+1)/3)^0.6*('CAPEX+OPEX'!$G$116/'CAPEX+OPEX'!$G$114)</f>
        <v>2307155.2721002945</v>
      </c>
      <c r="CW59">
        <f>CR59*(BK59/10000)^0.72*((A59+1)/3)^0.6*('CAPEX+OPEX'!$G$116/'CAPEX+OPEX'!$G$114)</f>
        <v>272395.52441150707</v>
      </c>
      <c r="CX59">
        <f t="shared" si="13"/>
        <v>5635728.9505027588</v>
      </c>
      <c r="CY59">
        <f>CN59*(BM59/10000)^0.72*((AF59+1)/3)^0.6*('CAPEX+OPEX'!$G$116/'CAPEX+OPEX'!$G$114)</f>
        <v>843177.06502963789</v>
      </c>
      <c r="CZ59">
        <f>CO59*(BM59/10000)^0.72*((AF59+1)/3)^0.6*('CAPEX+OPEX'!$G$116/'CAPEX+OPEX'!$G$114)</f>
        <v>2168470.5956747346</v>
      </c>
      <c r="DA59">
        <f>CP59*(BM59/10000)^0.72*((AF59+1)/3)^0.6*('CAPEX+OPEX'!$G$116/'CAPEX+OPEX'!$G$114)</f>
        <v>418295.32575693569</v>
      </c>
      <c r="DB59">
        <f>CQ59*(BM59/10000)^0.72*((AF59+1)/3)^0.6*('CAPEX+OPEX'!$G$116/'CAPEX+OPEX'!$G$114)</f>
        <v>2589316.0167655097</v>
      </c>
      <c r="DC59">
        <f>CR59*(BM59/10000)^0.72*((AF59+1)/3)^0.6*('CAPEX+OPEX'!$G$116/'CAPEX+OPEX'!$G$114)</f>
        <v>305708.98403897922</v>
      </c>
      <c r="DD59">
        <f t="shared" si="14"/>
        <v>6324967.9872657973</v>
      </c>
      <c r="DE59">
        <f>CX59+DD59+1.15*(SUM(CI59:CL59)+SUM(CB59:CE59))</f>
        <v>12052238.605050445</v>
      </c>
      <c r="DF59">
        <f t="shared" si="15"/>
        <v>803482.57367002964</v>
      </c>
      <c r="DG59">
        <f>(BS59+BT59)*'Oxidant Feed Composition'!$N$29*60*7200</f>
        <v>9187219.4605439249</v>
      </c>
      <c r="DH59">
        <f>((CG59+CH59)*'Reagent cost'!$C$17/1000*'Reagent cost'!$H$17+(CG59+CH59)*0.5*'Reagent cost'!$C$16/1000*'Reagent cost'!$H$16*0.5)*60*7200</f>
        <v>3110299.8888392155</v>
      </c>
      <c r="DI59">
        <f>CF59*'Reagent cost'!$C$17/1000*'Reagent cost'!$H$17*60*7200</f>
        <v>504921.59999999998</v>
      </c>
      <c r="DJ59">
        <f t="shared" si="16"/>
        <v>96.6240559162529</v>
      </c>
      <c r="DK59">
        <f t="shared" si="17"/>
        <v>1112.5833333376961</v>
      </c>
      <c r="DL59">
        <f t="shared" si="18"/>
        <v>15364380.188126871</v>
      </c>
      <c r="DM59">
        <f>BK59*(B59*(409.81+2)/1000+C59*(248.2+2*22.99)/1000+D59*(315.6+3*22.99)/1000+0.1*58.44/1000)</f>
        <v>0.70639694042110623</v>
      </c>
      <c r="DN59">
        <f>(BS59+BT59)/1000*('Oxidant Feed Composition'!$B$11*'Oxidant Feed Composition'!$O$20+'Oxidant Feed Composition'!$D$11*'Oxidant Feed Composition'!$O$21+'Oxidant Feed Composition'!$F$11*'Oxidant Feed Composition'!$O$27-'Oxidant Feed Composition'!$J$15*18.015)</f>
        <v>2.1507047959664121</v>
      </c>
      <c r="DO59">
        <f>(BU59+BV59)/1000*(0.2*368.34+0.4*58.44)</f>
        <v>1.4893024098035903</v>
      </c>
      <c r="DP59">
        <f>BK59/1000*(B59*195.08+C59*106.42+D59*102.91)</f>
        <v>4.999938342565946E-2</v>
      </c>
      <c r="DQ59">
        <f>SUM(DM59:DO59)-DP59</f>
        <v>4.2964047627654489</v>
      </c>
      <c r="DR59">
        <f>DQ59*60*7200*0.33</f>
        <v>612495.46297984244</v>
      </c>
      <c r="DS59">
        <v>1.2</v>
      </c>
      <c r="DT59">
        <f>BM59/60*(AM59*4+AN59*2+AO59*3)*96485/DV59</f>
        <v>1405.9063075371266</v>
      </c>
      <c r="DU59">
        <f>BN59*BA59*(AP59*4+AQ59*2+AR59*3)*96485/DV59/60</f>
        <v>705.84421451437709</v>
      </c>
      <c r="DV59">
        <v>0.7</v>
      </c>
      <c r="DW59">
        <f>0.499*((BK59/3.78541*15)^(-0.146))*BK59/3.78541*15*300*(1+(A59-2)/9)</f>
        <v>41280.414286181804</v>
      </c>
      <c r="DX59">
        <f>0.248*((BK59/3.78541*15)^(-0.144))*BK59/3.78541*15*300*(1+(A59-2)/3)</f>
        <v>37373.489075065132</v>
      </c>
      <c r="DY59">
        <f>0.105*((BK59/3.78541*15)^(-0.144))*BK59/3.78541*15*300*(1+(A59-2)/3)</f>
        <v>15823.453035813865</v>
      </c>
      <c r="DZ59">
        <f>0.058*((BK59/3.78541*15)^(-0.151))*BK59/3.78541*15*300*(1+(A59-2)/3)</f>
        <v>8382.1245272768647</v>
      </c>
      <c r="EA59">
        <f>0.056*((BK59/3.78541*15)^(-0.144))*BK59/3.78541*15*300*(1+(A59-2)/3)</f>
        <v>8439.174952434063</v>
      </c>
      <c r="EB59">
        <f>DS59*DT59/(3.6*10^6)*3600*7200*0.07</f>
        <v>850.29213479845407</v>
      </c>
      <c r="EC59">
        <f>0.499*((BM59/3.78541*15)^(-0.146))*BM59/3.78541*15*300*(1+(AF59-2)/9)</f>
        <v>46285.450197227117</v>
      </c>
      <c r="ED59">
        <f>0.248*((BM59/3.78541*15)^(-0.144))*BM59/3.78541*15*300*(1+(AF59-2)/3)</f>
        <v>46553.52147127426</v>
      </c>
      <c r="EE59">
        <f>0.105*((BM59/3.78541*15)^(-0.144))*BM59/3.78541*15*300*(1+(AF59-2)/3)</f>
        <v>19710.160300337891</v>
      </c>
      <c r="EF59">
        <f>0.058*((BM59/3.78541*15)^(-0.151))*BM59/3.78541*15*300*(1+(AF59-2)/3)</f>
        <v>10446.832907760539</v>
      </c>
      <c r="EG59">
        <f>0.056*((BM59/3.78541*15)^(-0.144))*BM59/3.78541*15*300*(1+(AF59-2)/3)</f>
        <v>10512.085493513545</v>
      </c>
      <c r="EH59">
        <f>DS59*DU59/(3.6*10^6)*3600*7200*0.07</f>
        <v>426.89458093829529</v>
      </c>
      <c r="EI59">
        <f>SUM(DW59:EH59)</f>
        <v>246083.89296262185</v>
      </c>
      <c r="EJ59">
        <f>EI59+DR59+DL59</f>
        <v>16222959.544069335</v>
      </c>
      <c r="EK59">
        <f>EJ59+DF59</f>
        <v>17026442.117739365</v>
      </c>
      <c r="EL59">
        <f>EK59/(BK59*60*7200)</f>
        <v>0.39413060457730009</v>
      </c>
      <c r="EM59">
        <f>EK59/(BM59*(AM59*195.084/1000+AN59*106.42/1000+AO59*102.911/1000)*60*7200)</f>
        <v>1318.5480921353319</v>
      </c>
      <c r="EN59">
        <f>EK59/(BN59*BA59*(AP59*195.084/1000+AQ59*106.42/1000+AR59*102.911/1000)*60*7200)</f>
        <v>2419.7255245352094</v>
      </c>
    </row>
    <row r="60" spans="1:144">
      <c r="A60">
        <f>'Costing 100 Lmin Feed Orig'!A60</f>
        <v>8</v>
      </c>
      <c r="B60">
        <f>'Costing 100 Lmin Feed Orig'!B60</f>
        <v>1.54143585092054E-3</v>
      </c>
      <c r="C60">
        <f>'Costing 100 Lmin Feed Orig'!C60</f>
        <v>1.54143585092054E-3</v>
      </c>
      <c r="D60">
        <f>'Costing 100 Lmin Feed Orig'!D60</f>
        <v>3.4254130020456501E-4</v>
      </c>
      <c r="E60">
        <f>'Costing 100 Lmin Feed Orig'!E60</f>
        <v>0</v>
      </c>
      <c r="F60">
        <f>'Costing 100 Lmin Feed Orig'!F60</f>
        <v>0</v>
      </c>
      <c r="G60">
        <f>'Costing 100 Lmin Feed Orig'!G60</f>
        <v>0</v>
      </c>
      <c r="H60">
        <f>'Costing 100 Lmin Feed Orig'!H60</f>
        <v>1.7762434284205799E-5</v>
      </c>
      <c r="I60">
        <f>'Costing 100 Lmin Feed Orig'!I60</f>
        <v>4.4591984978445998E-9</v>
      </c>
      <c r="J60">
        <f>'Costing 100 Lmin Feed Orig'!J60</f>
        <v>3.37570976171142E-4</v>
      </c>
      <c r="K60">
        <f>'Costing 100 Lmin Feed Orig'!K60</f>
        <v>0.13846015972746001</v>
      </c>
      <c r="L60">
        <f>'Costing 100 Lmin Feed Orig'!L60</f>
        <v>0.14007387303476199</v>
      </c>
      <c r="M60">
        <f>'Costing 100 Lmin Feed Orig'!M60</f>
        <v>4.5166625081916902E-4</v>
      </c>
      <c r="N60">
        <f>'Costing 100 Lmin Feed Orig'!N60</f>
        <v>-2.6107588313450902E-16</v>
      </c>
      <c r="O60">
        <f>'Costing 100 Lmin Feed Orig'!O60</f>
        <v>-1.18524981496115E-14</v>
      </c>
      <c r="P60">
        <f>'Costing 100 Lmin Feed Orig'!P60</f>
        <v>-2.5241581828178102E-19</v>
      </c>
      <c r="Q60">
        <f>'Costing 100 Lmin Feed Orig'!Q60</f>
        <v>0.110044175857931</v>
      </c>
      <c r="R60">
        <f>'Costing 100 Lmin Feed Orig'!R60</f>
        <v>98.548985471108097</v>
      </c>
      <c r="S60">
        <f>'Costing 100 Lmin Feed Orig'!S60</f>
        <v>500</v>
      </c>
      <c r="T60">
        <f>'Costing 100 Lmin Feed Orig'!T60</f>
        <v>95</v>
      </c>
      <c r="U60">
        <f>'Costing 100 Lmin Feed Orig'!U60</f>
        <v>1</v>
      </c>
      <c r="V60">
        <f>'Costing 100 Lmin Feed Orig'!V60</f>
        <v>0.1</v>
      </c>
      <c r="W60">
        <f>'Costing 100 Lmin Feed Orig'!W60</f>
        <v>90.872596591664205</v>
      </c>
      <c r="X60" t="str">
        <f>'Costing 100 Lmin Feed Orig'!X60</f>
        <v>ddFc</v>
      </c>
      <c r="Y60">
        <f>'Costing 100 Lmin Feed Orig'!Y60</f>
        <v>1</v>
      </c>
      <c r="Z60">
        <f>'Costing 100 Lmin Feed Orig'!Z60</f>
        <v>0.28318429382522198</v>
      </c>
      <c r="AA60">
        <f>'Costing 100 Lmin Feed Orig'!AA60</f>
        <v>0.56945642916197003</v>
      </c>
      <c r="AB60">
        <f>'Costing 100 Lmin Feed Orig'!AB60</f>
        <v>3.7698628972227502E-3</v>
      </c>
      <c r="AC60">
        <f>'Costing 100 Lmin Feed Orig'!AC60</f>
        <v>1822.2107908876901</v>
      </c>
      <c r="AD60">
        <f>'Costing 100 Lmin Feed Orig'!AD60</f>
        <v>2662.6059073104898</v>
      </c>
      <c r="AE60">
        <f>'Costing 100 Lmin Feed Orig'!AE60</f>
        <v>2401.5030938442701</v>
      </c>
      <c r="AF60">
        <f>'Costing 100 Lmin Feed Orig'!AF60</f>
        <v>12</v>
      </c>
      <c r="AG60">
        <f>'Costing 100 Lmin Feed Orig'!AG60</f>
        <v>1.6497294784823999E-3</v>
      </c>
      <c r="AH60">
        <f>'Costing 100 Lmin Feed Orig'!AH60</f>
        <v>1.66895660069658E-3</v>
      </c>
      <c r="AI60">
        <f>'Costing 100 Lmin Feed Orig'!AI60</f>
        <v>5.38152729188446E-6</v>
      </c>
      <c r="AJ60">
        <f>'Costing 100 Lmin Feed Orig'!AJ60</f>
        <v>0</v>
      </c>
      <c r="AK60">
        <f>'Costing 100 Lmin Feed Orig'!AK60</f>
        <v>0</v>
      </c>
      <c r="AL60">
        <f>'Costing 100 Lmin Feed Orig'!AL60</f>
        <v>0</v>
      </c>
      <c r="AM60">
        <f>'Costing 100 Lmin Feed Orig'!AM60</f>
        <v>1.61278104761876E-3</v>
      </c>
      <c r="AN60">
        <f>'Costing 100 Lmin Feed Orig'!AN60</f>
        <v>7.9537078850164199E-5</v>
      </c>
      <c r="AO60">
        <f>'Costing 100 Lmin Feed Orig'!AO60</f>
        <v>5.3461341824022602E-6</v>
      </c>
      <c r="AP60">
        <f>'Costing 100 Lmin Feed Orig'!AP60</f>
        <v>1.7332292441623099E-3</v>
      </c>
      <c r="AQ60">
        <f>'Costing 100 Lmin Feed Orig'!AQ60</f>
        <v>7.4558738550610695E-2</v>
      </c>
      <c r="AR60">
        <f>'Costing 100 Lmin Feed Orig'!AR60</f>
        <v>1.6602700294237901E-6</v>
      </c>
      <c r="AS60">
        <f>'Costing 100 Lmin Feed Orig'!AS60</f>
        <v>4.1856302495160702E-16</v>
      </c>
      <c r="AT60">
        <f>'Costing 100 Lmin Feed Orig'!AT60</f>
        <v>-4.1007778769919203E-14</v>
      </c>
      <c r="AU60">
        <f>'Costing 100 Lmin Feed Orig'!AU60</f>
        <v>-1.18452263717593E-21</v>
      </c>
      <c r="AV60">
        <f>'Costing 100 Lmin Feed Orig'!AV60</f>
        <v>0.19688795449878599</v>
      </c>
      <c r="AW60">
        <f>'Costing 100 Lmin Feed Orig'!AW60</f>
        <v>99.342322215190194</v>
      </c>
      <c r="AX60">
        <f>'Costing 100 Lmin Feed Orig'!AX60</f>
        <v>499.99999999999898</v>
      </c>
      <c r="AY60">
        <f>'Costing 100 Lmin Feed Orig'!AY60</f>
        <v>95</v>
      </c>
      <c r="AZ60">
        <f>'Costing 100 Lmin Feed Orig'!AZ60</f>
        <v>0.92358985913147196</v>
      </c>
      <c r="BA60">
        <f>'Costing 100 Lmin Feed Orig'!BA60</f>
        <v>0.1</v>
      </c>
      <c r="BB60">
        <f>'Costing 100 Lmin Feed Orig'!BB60</f>
        <v>46.909414112337899</v>
      </c>
      <c r="BC60" t="str">
        <f>'Costing 100 Lmin Feed Orig'!BC60</f>
        <v>coeFc</v>
      </c>
      <c r="BD60">
        <f>'Costing 100 Lmin Feed Orig'!BD60</f>
        <v>1</v>
      </c>
      <c r="BE60">
        <f>'Costing 100 Lmin Feed Orig'!BE60</f>
        <v>1.8775014999999999E-2</v>
      </c>
      <c r="BF60">
        <f>'Costing 100 Lmin Feed Orig'!BF60</f>
        <v>0.10492961100000001</v>
      </c>
      <c r="BG60">
        <f>'Costing 100 Lmin Feed Orig'!BG60</f>
        <v>1.814625E-3</v>
      </c>
      <c r="BH60">
        <f>'Costing 100 Lmin Feed Orig'!BH60</f>
        <v>285.1951444</v>
      </c>
      <c r="BI60">
        <f>'Costing 100 Lmin Feed Orig'!BI60</f>
        <v>2169.8944889999998</v>
      </c>
      <c r="BJ60">
        <f>'Costing 100 Lmin Feed Orig'!BJ60</f>
        <v>866.49409060000005</v>
      </c>
      <c r="BK60">
        <f>'Costing 100 Lmin Feed Orig'!BK60</f>
        <v>100</v>
      </c>
      <c r="BL60">
        <f>'Costing 100 Lmin Feed Orig'!BL60</f>
        <v>11.004417585793099</v>
      </c>
      <c r="BM60">
        <f>'Costing 100 Lmin Feed Orig'!BM60</f>
        <v>92.358985913147194</v>
      </c>
      <c r="BN60">
        <f>'Costing 100 Lmin Feed Orig'!BN60</f>
        <v>19.688795449878597</v>
      </c>
      <c r="BO60">
        <f t="shared" si="1"/>
        <v>220.08835171586199</v>
      </c>
      <c r="BP60">
        <f t="shared" si="2"/>
        <v>551.28627259660072</v>
      </c>
      <c r="BQ60">
        <f t="shared" si="3"/>
        <v>22.008835171586199</v>
      </c>
      <c r="BR60">
        <f t="shared" si="4"/>
        <v>55.128627259660078</v>
      </c>
      <c r="BS60">
        <f>1.2*0.5*BL60*V60/'Oxidant Feed Composition'!$N$22</f>
        <v>6.6026505514758593</v>
      </c>
      <c r="BT60">
        <f>1.2*0.5*BN60*BA60/'Oxidant Feed Composition'!$N$22</f>
        <v>11.813277269927157</v>
      </c>
      <c r="BU60">
        <f t="shared" si="5"/>
        <v>5.5022087928965497</v>
      </c>
      <c r="BV60">
        <f t="shared" si="6"/>
        <v>9.8443977249392987</v>
      </c>
      <c r="BW60">
        <f t="shared" si="7"/>
        <v>86.856777120250641</v>
      </c>
      <c r="BX60">
        <f t="shared" si="0"/>
        <v>35.214136274537921</v>
      </c>
      <c r="BY60">
        <f t="shared" si="8"/>
        <v>206.7268069978806</v>
      </c>
      <c r="BZ60">
        <f t="shared" si="9"/>
        <v>63.004145439611506</v>
      </c>
      <c r="CA60">
        <f t="shared" si="10"/>
        <v>59.066386349635792</v>
      </c>
      <c r="CB60">
        <f>BO60*'Reagent cost'!$G$11*'Reagent cost'!$H$11</f>
        <v>2905.1662426493785</v>
      </c>
      <c r="CC60">
        <f>BP60*'Reagent cost'!$G$11*'Reagent cost'!$H$11</f>
        <v>7276.9787982751304</v>
      </c>
      <c r="CD60">
        <f>BQ60*'Reagent cost'!$C$18/1000*'Reagent cost'!$H$18</f>
        <v>3509.9789962792502</v>
      </c>
      <c r="CE60">
        <f>BR60*'Ligand cost'!$B$56*'Ligand cost'!$J$56</f>
        <v>56127.984236609766</v>
      </c>
      <c r="CF60">
        <f t="shared" si="11"/>
        <v>10</v>
      </c>
      <c r="CG60">
        <f t="shared" si="12"/>
        <v>2.2008835171586201</v>
      </c>
      <c r="CH60">
        <f t="shared" si="12"/>
        <v>3.9377590899757196</v>
      </c>
      <c r="CI60">
        <f>7963.6*(BX60/1000)^0.6*1.7*('CAPEX+OPEX'!$G$116/'CAPEX+OPEX'!$G$115)</f>
        <v>2144.228934815284</v>
      </c>
      <c r="CJ60">
        <f>7963.6*(BY60/1000)^0.6*1.7*('CAPEX+OPEX'!$G$116/'CAPEX+OPEX'!$G$115)</f>
        <v>6201.2466571653367</v>
      </c>
      <c r="CK60">
        <f>7963.6*(BZ60/1000)^0.6*1.7*('CAPEX+OPEX'!$G$116/'CAPEX+OPEX'!$G$115)</f>
        <v>3039.9217388990178</v>
      </c>
      <c r="CL60">
        <f>7963.6*(CA60/1000)^0.6*1.7*('CAPEX+OPEX'!$G$116/'CAPEX+OPEX'!$G$115)</f>
        <v>2924.4565209629927</v>
      </c>
      <c r="CM60">
        <f>'Costing 100 Lmin Feed Orig'!DE60</f>
        <v>39625.826528698344</v>
      </c>
      <c r="CN60">
        <f>'Costing 100 Lmin Feed Orig'!DF60</f>
        <v>4586243.4239371875</v>
      </c>
      <c r="CO60">
        <f>'Costing 100 Lmin Feed Orig'!DG60</f>
        <v>11794834.586807497</v>
      </c>
      <c r="CP60">
        <f>'Costing 100 Lmin Feed Orig'!DH60</f>
        <v>2275209.1661185985</v>
      </c>
      <c r="CQ60">
        <f>'Costing 100 Lmin Feed Orig'!DI60</f>
        <v>14083914.336508472</v>
      </c>
      <c r="CR60">
        <f>'Costing 100 Lmin Feed Orig'!DJ60</f>
        <v>1662824.8986326549</v>
      </c>
      <c r="CS60">
        <f>CN60*(BK60/10000)^0.72*((A60+1)/3)^0.6*('CAPEX+OPEX'!$G$116/'CAPEX+OPEX'!$G$114)</f>
        <v>751295.09040276916</v>
      </c>
      <c r="CT60">
        <f>CO60*(BK60/10000)^0.72*((A60+1)/3)^0.6*('CAPEX+OPEX'!$G$116/'CAPEX+OPEX'!$G$114)</f>
        <v>1932169.8606163235</v>
      </c>
      <c r="CU60">
        <f>CP60*(BK60/10000)^0.72*((A60+1)/3)^0.6*('CAPEX+OPEX'!$G$116/'CAPEX+OPEX'!$G$114)</f>
        <v>372713.20297186484</v>
      </c>
      <c r="CV60">
        <f>CQ60*(BK60/10000)^0.72*((A60+1)/3)^0.6*('CAPEX+OPEX'!$G$116/'CAPEX+OPEX'!$G$114)</f>
        <v>2307155.2721002945</v>
      </c>
      <c r="CW60">
        <f>CR60*(BK60/10000)^0.72*((A60+1)/3)^0.6*('CAPEX+OPEX'!$G$116/'CAPEX+OPEX'!$G$114)</f>
        <v>272395.52441150707</v>
      </c>
      <c r="CX60">
        <f t="shared" si="13"/>
        <v>5635728.9505027588</v>
      </c>
      <c r="CY60">
        <f>CN60*(BM60/10000)^0.72*((AF60+1)/3)^0.6*('CAPEX+OPEX'!$G$116/'CAPEX+OPEX'!$G$114)</f>
        <v>884659.30262568092</v>
      </c>
      <c r="CZ60">
        <f>CO60*(BM60/10000)^0.72*((AF60+1)/3)^0.6*('CAPEX+OPEX'!$G$116/'CAPEX+OPEX'!$G$114)</f>
        <v>2275154.0150899086</v>
      </c>
      <c r="DA60">
        <f>CP60*(BM60/10000)^0.72*((AF60+1)/3)^0.6*('CAPEX+OPEX'!$G$116/'CAPEX+OPEX'!$G$114)</f>
        <v>438874.42688292934</v>
      </c>
      <c r="DB60">
        <f>CQ60*(BM60/10000)^0.72*((AF60+1)/3)^0.6*('CAPEX+OPEX'!$G$116/'CAPEX+OPEX'!$G$114)</f>
        <v>2716703.9957245099</v>
      </c>
      <c r="DC60">
        <f>CR60*(BM60/10000)^0.72*((AF60+1)/3)^0.6*('CAPEX+OPEX'!$G$116/'CAPEX+OPEX'!$G$114)</f>
        <v>320749.11408652045</v>
      </c>
      <c r="DD60">
        <f t="shared" si="14"/>
        <v>6636140.8544095494</v>
      </c>
      <c r="DE60">
        <f>CX60+DD60+1.15*(SUM(CI60:CL60)+SUM(CB60:CE60))</f>
        <v>12368619.261356812</v>
      </c>
      <c r="DF60">
        <f t="shared" si="15"/>
        <v>824574.61742378748</v>
      </c>
      <c r="DG60">
        <f>(BS60+BT60)*'Oxidant Feed Composition'!$N$29*60*7200</f>
        <v>9187180.4311993849</v>
      </c>
      <c r="DH60">
        <f>((CG60+CH60)*'Reagent cost'!$C$17/1000*'Reagent cost'!$H$17+(CG60+CH60)*0.5*'Reagent cost'!$C$16/1000*'Reagent cost'!$H$16*0.5)*60*7200</f>
        <v>3110286.6755959159</v>
      </c>
      <c r="DI60">
        <f>CF60*'Reagent cost'!$C$17/1000*'Reagent cost'!$H$17*60*7200</f>
        <v>504921.59999999998</v>
      </c>
      <c r="DJ60">
        <f t="shared" si="16"/>
        <v>101.82145040924509</v>
      </c>
      <c r="DK60">
        <f t="shared" si="17"/>
        <v>1192.7592646577802</v>
      </c>
      <c r="DL60">
        <f t="shared" si="18"/>
        <v>15364419.945012437</v>
      </c>
      <c r="DM60">
        <f>BK60*(B60*(409.81+2)/1000+C60*(248.2+2*22.99)/1000+D60*(315.6+3*22.99)/1000+0.1*58.44/1000)</f>
        <v>0.70639694042110623</v>
      </c>
      <c r="DN60">
        <f>(BS60+BT60)/1000*('Oxidant Feed Composition'!$B$11*'Oxidant Feed Composition'!$O$20+'Oxidant Feed Composition'!$D$11*'Oxidant Feed Composition'!$O$21+'Oxidant Feed Composition'!$F$11*'Oxidant Feed Composition'!$O$27-'Oxidant Feed Composition'!$J$15*18.015)</f>
        <v>2.1506956592957529</v>
      </c>
      <c r="DO60">
        <f>(BU60+BV60)/1000*(0.2*368.34+0.4*58.44)</f>
        <v>1.489296082916862</v>
      </c>
      <c r="DP60">
        <f>BK60/1000*(B60*195.08+C60*106.42+D60*102.91)</f>
        <v>4.999938342565946E-2</v>
      </c>
      <c r="DQ60">
        <f>SUM(DM60:DO60)-DP60</f>
        <v>4.2963892992080615</v>
      </c>
      <c r="DR60">
        <f>DQ60*60*7200*0.33</f>
        <v>612493.25849510136</v>
      </c>
      <c r="DS60">
        <v>1.2</v>
      </c>
      <c r="DT60">
        <f>BM60/60*(AM60*4+AN60*2+AO60*3)*96485/DV60</f>
        <v>1405.9070716810863</v>
      </c>
      <c r="DU60">
        <f>BN60*BA60*(AP60*4+AQ60*2+AR60*3)*96485/DV60/60</f>
        <v>705.84345029620977</v>
      </c>
      <c r="DV60">
        <v>0.7</v>
      </c>
      <c r="DW60">
        <f>0.499*((BK60/3.78541*15)^(-0.146))*BK60/3.78541*15*300*(1+(A60-2)/9)</f>
        <v>41280.414286181804</v>
      </c>
      <c r="DX60">
        <f>0.248*((BK60/3.78541*15)^(-0.144))*BK60/3.78541*15*300*(1+(A60-2)/3)</f>
        <v>37373.489075065132</v>
      </c>
      <c r="DY60">
        <f>0.105*((BK60/3.78541*15)^(-0.144))*BK60/3.78541*15*300*(1+(A60-2)/3)</f>
        <v>15823.453035813865</v>
      </c>
      <c r="DZ60">
        <f>0.058*((BK60/3.78541*15)^(-0.151))*BK60/3.78541*15*300*(1+(A60-2)/3)</f>
        <v>8382.1245272768647</v>
      </c>
      <c r="EA60">
        <f>0.056*((BK60/3.78541*15)^(-0.144))*BK60/3.78541*15*300*(1+(A60-2)/3)</f>
        <v>8439.174952434063</v>
      </c>
      <c r="EB60">
        <f>DS60*DT60/(3.6*10^6)*3600*7200*0.07</f>
        <v>850.29259695272106</v>
      </c>
      <c r="EC60">
        <f>0.499*((BM60/3.78541*15)^(-0.146))*BM60/3.78541*15*300*(1+(AF60-2)/9)</f>
        <v>48856.86409707307</v>
      </c>
      <c r="ED60">
        <f>0.248*((BM60/3.78541*15)^(-0.144))*BM60/3.78541*15*300*(1+(AF60-2)/3)</f>
        <v>50432.981593880453</v>
      </c>
      <c r="EE60">
        <f>0.105*((BM60/3.78541*15)^(-0.144))*BM60/3.78541*15*300*(1+(AF60-2)/3)</f>
        <v>21352.673658699387</v>
      </c>
      <c r="EF60">
        <f>0.058*((BM60/3.78541*15)^(-0.151))*BM60/3.78541*15*300*(1+(AF60-2)/3)</f>
        <v>11317.402316740587</v>
      </c>
      <c r="EG60">
        <f>0.056*((BM60/3.78541*15)^(-0.144))*BM60/3.78541*15*300*(1+(AF60-2)/3)</f>
        <v>11388.092617973009</v>
      </c>
      <c r="EH60">
        <f>DS60*DU60/(3.6*10^6)*3600*7200*0.07</f>
        <v>426.8941187391477</v>
      </c>
      <c r="EI60">
        <f>SUM(DW60:EH60)</f>
        <v>255923.8568768301</v>
      </c>
      <c r="EJ60">
        <f>EI60+DR60+DL60</f>
        <v>16232837.060384369</v>
      </c>
      <c r="EK60">
        <f>EJ60+DF60</f>
        <v>17057411.677808154</v>
      </c>
      <c r="EL60">
        <f>EK60/(BK60*60*7200)</f>
        <v>0.39484749254185542</v>
      </c>
      <c r="EM60">
        <f>EK60/(BM60*(AM60*195.084/1000+AN60*106.42/1000+AO60*102.911/1000)*60*7200)</f>
        <v>1320.9456935842579</v>
      </c>
      <c r="EN60">
        <f>EK60/(BN60*BA60*(AP60*195.084/1000+AQ60*106.42/1000+AR60*102.911/1000)*60*7200)</f>
        <v>2424.1292063743631</v>
      </c>
    </row>
    <row r="61" spans="1:144">
      <c r="A61">
        <f>'Costing 100 Lmin Feed Orig'!A61</f>
        <v>8</v>
      </c>
      <c r="B61">
        <f>'Costing 100 Lmin Feed Orig'!B61</f>
        <v>1.54143585092054E-3</v>
      </c>
      <c r="C61">
        <f>'Costing 100 Lmin Feed Orig'!C61</f>
        <v>1.54143585092054E-3</v>
      </c>
      <c r="D61">
        <f>'Costing 100 Lmin Feed Orig'!D61</f>
        <v>3.4254130020456501E-4</v>
      </c>
      <c r="E61">
        <f>'Costing 100 Lmin Feed Orig'!E61</f>
        <v>0</v>
      </c>
      <c r="F61">
        <f>'Costing 100 Lmin Feed Orig'!F61</f>
        <v>0</v>
      </c>
      <c r="G61">
        <f>'Costing 100 Lmin Feed Orig'!G61</f>
        <v>0</v>
      </c>
      <c r="H61">
        <f>'Costing 100 Lmin Feed Orig'!H61</f>
        <v>1.7762434284205799E-5</v>
      </c>
      <c r="I61">
        <f>'Costing 100 Lmin Feed Orig'!I61</f>
        <v>4.4591984978445998E-9</v>
      </c>
      <c r="J61">
        <f>'Costing 100 Lmin Feed Orig'!J61</f>
        <v>3.37570976171142E-4</v>
      </c>
      <c r="K61">
        <f>'Costing 100 Lmin Feed Orig'!K61</f>
        <v>0.13846015972746001</v>
      </c>
      <c r="L61">
        <f>'Costing 100 Lmin Feed Orig'!L61</f>
        <v>0.14007387303476199</v>
      </c>
      <c r="M61">
        <f>'Costing 100 Lmin Feed Orig'!M61</f>
        <v>4.5166625081916902E-4</v>
      </c>
      <c r="N61">
        <f>'Costing 100 Lmin Feed Orig'!N61</f>
        <v>-2.6107588313450902E-16</v>
      </c>
      <c r="O61">
        <f>'Costing 100 Lmin Feed Orig'!O61</f>
        <v>-1.18524981496115E-14</v>
      </c>
      <c r="P61">
        <f>'Costing 100 Lmin Feed Orig'!P61</f>
        <v>-2.5241581828178102E-19</v>
      </c>
      <c r="Q61">
        <f>'Costing 100 Lmin Feed Orig'!Q61</f>
        <v>0.110044175857931</v>
      </c>
      <c r="R61">
        <f>'Costing 100 Lmin Feed Orig'!R61</f>
        <v>98.548985471108097</v>
      </c>
      <c r="S61">
        <f>'Costing 100 Lmin Feed Orig'!S61</f>
        <v>500</v>
      </c>
      <c r="T61">
        <f>'Costing 100 Lmin Feed Orig'!T61</f>
        <v>95</v>
      </c>
      <c r="U61">
        <f>'Costing 100 Lmin Feed Orig'!U61</f>
        <v>1</v>
      </c>
      <c r="V61">
        <f>'Costing 100 Lmin Feed Orig'!V61</f>
        <v>0.1</v>
      </c>
      <c r="W61">
        <f>'Costing 100 Lmin Feed Orig'!W61</f>
        <v>90.872596591664205</v>
      </c>
      <c r="X61" t="str">
        <f>'Costing 100 Lmin Feed Orig'!X61</f>
        <v>ddFc</v>
      </c>
      <c r="Y61">
        <f>'Costing 100 Lmin Feed Orig'!Y61</f>
        <v>1</v>
      </c>
      <c r="Z61">
        <f>'Costing 100 Lmin Feed Orig'!Z61</f>
        <v>0.28318429382522198</v>
      </c>
      <c r="AA61">
        <f>'Costing 100 Lmin Feed Orig'!AA61</f>
        <v>0.56945642916197003</v>
      </c>
      <c r="AB61">
        <f>'Costing 100 Lmin Feed Orig'!AB61</f>
        <v>3.7698628972227502E-3</v>
      </c>
      <c r="AC61">
        <f>'Costing 100 Lmin Feed Orig'!AC61</f>
        <v>1822.2107908876901</v>
      </c>
      <c r="AD61">
        <f>'Costing 100 Lmin Feed Orig'!AD61</f>
        <v>2662.6059073104898</v>
      </c>
      <c r="AE61">
        <f>'Costing 100 Lmin Feed Orig'!AE61</f>
        <v>2401.5030938442701</v>
      </c>
      <c r="AF61">
        <f>'Costing 100 Lmin Feed Orig'!AF61</f>
        <v>13</v>
      </c>
      <c r="AG61">
        <f>'Costing 100 Lmin Feed Orig'!AG61</f>
        <v>1.6497294784823999E-3</v>
      </c>
      <c r="AH61">
        <f>'Costing 100 Lmin Feed Orig'!AH61</f>
        <v>1.66895660069658E-3</v>
      </c>
      <c r="AI61">
        <f>'Costing 100 Lmin Feed Orig'!AI61</f>
        <v>5.38152729188446E-6</v>
      </c>
      <c r="AJ61">
        <f>'Costing 100 Lmin Feed Orig'!AJ61</f>
        <v>0</v>
      </c>
      <c r="AK61">
        <f>'Costing 100 Lmin Feed Orig'!AK61</f>
        <v>0</v>
      </c>
      <c r="AL61">
        <f>'Costing 100 Lmin Feed Orig'!AL61</f>
        <v>0</v>
      </c>
      <c r="AM61">
        <f>'Costing 100 Lmin Feed Orig'!AM61</f>
        <v>1.6127812941209201E-3</v>
      </c>
      <c r="AN61">
        <f>'Costing 100 Lmin Feed Orig'!AN61</f>
        <v>7.9537091597651401E-5</v>
      </c>
      <c r="AO61">
        <f>'Costing 100 Lmin Feed Orig'!AO61</f>
        <v>5.34613440871419E-6</v>
      </c>
      <c r="AP61">
        <f>'Costing 100 Lmin Feed Orig'!AP61</f>
        <v>1.73322090687147E-3</v>
      </c>
      <c r="AQ61">
        <f>'Costing 100 Lmin Feed Orig'!AQ61</f>
        <v>7.4558876723361894E-2</v>
      </c>
      <c r="AR61">
        <f>'Costing 100 Lmin Feed Orig'!AR61</f>
        <v>1.6602625034295099E-6</v>
      </c>
      <c r="AS61">
        <f>'Costing 100 Lmin Feed Orig'!AS61</f>
        <v>-3.2526065174565099E-19</v>
      </c>
      <c r="AT61">
        <f>'Costing 100 Lmin Feed Orig'!AT61</f>
        <v>-1.5178830414797E-17</v>
      </c>
      <c r="AU61">
        <f>'Costing 100 Lmin Feed Orig'!AU61</f>
        <v>5.3601303693436099E-22</v>
      </c>
      <c r="AV61">
        <f>'Costing 100 Lmin Feed Orig'!AV61</f>
        <v>0.19688758804081399</v>
      </c>
      <c r="AW61">
        <f>'Costing 100 Lmin Feed Orig'!AW61</f>
        <v>99.342326420537802</v>
      </c>
      <c r="AX61">
        <f>'Costing 100 Lmin Feed Orig'!AX61</f>
        <v>499.99999999999898</v>
      </c>
      <c r="AY61">
        <f>'Costing 100 Lmin Feed Orig'!AY61</f>
        <v>95</v>
      </c>
      <c r="AZ61">
        <f>'Costing 100 Lmin Feed Orig'!AZ61</f>
        <v>0.92358985913147196</v>
      </c>
      <c r="BA61">
        <f>'Costing 100 Lmin Feed Orig'!BA61</f>
        <v>0.1</v>
      </c>
      <c r="BB61">
        <f>'Costing 100 Lmin Feed Orig'!BB61</f>
        <v>46.909501422711003</v>
      </c>
      <c r="BC61" t="str">
        <f>'Costing 100 Lmin Feed Orig'!BC61</f>
        <v>coeFc</v>
      </c>
      <c r="BD61">
        <f>'Costing 100 Lmin Feed Orig'!BD61</f>
        <v>1</v>
      </c>
      <c r="BE61">
        <f>'Costing 100 Lmin Feed Orig'!BE61</f>
        <v>1.8775014999999999E-2</v>
      </c>
      <c r="BF61">
        <f>'Costing 100 Lmin Feed Orig'!BF61</f>
        <v>0.10492961100000001</v>
      </c>
      <c r="BG61">
        <f>'Costing 100 Lmin Feed Orig'!BG61</f>
        <v>1.814625E-3</v>
      </c>
      <c r="BH61">
        <f>'Costing 100 Lmin Feed Orig'!BH61</f>
        <v>285.1951444</v>
      </c>
      <c r="BI61">
        <f>'Costing 100 Lmin Feed Orig'!BI61</f>
        <v>2169.8944889999998</v>
      </c>
      <c r="BJ61">
        <f>'Costing 100 Lmin Feed Orig'!BJ61</f>
        <v>866.49409060000005</v>
      </c>
      <c r="BK61">
        <f>'Costing 100 Lmin Feed Orig'!BK61</f>
        <v>100</v>
      </c>
      <c r="BL61">
        <f>'Costing 100 Lmin Feed Orig'!BL61</f>
        <v>11.004417585793099</v>
      </c>
      <c r="BM61">
        <f>'Costing 100 Lmin Feed Orig'!BM61</f>
        <v>92.358985913147194</v>
      </c>
      <c r="BN61">
        <f>'Costing 100 Lmin Feed Orig'!BN61</f>
        <v>19.688758804081399</v>
      </c>
      <c r="BO61">
        <f t="shared" si="1"/>
        <v>220.08835171586199</v>
      </c>
      <c r="BP61">
        <f t="shared" si="2"/>
        <v>590.66276412244201</v>
      </c>
      <c r="BQ61">
        <f t="shared" si="3"/>
        <v>22.008835171586199</v>
      </c>
      <c r="BR61">
        <f t="shared" si="4"/>
        <v>59.066276412244207</v>
      </c>
      <c r="BS61">
        <f>1.2*0.5*BL61*V61/'Oxidant Feed Composition'!$N$22</f>
        <v>6.6026505514758593</v>
      </c>
      <c r="BT61">
        <f>1.2*0.5*BN61*BA61/'Oxidant Feed Composition'!$N$22</f>
        <v>11.813255282448839</v>
      </c>
      <c r="BU61">
        <f t="shared" si="5"/>
        <v>5.5022087928965497</v>
      </c>
      <c r="BV61">
        <f t="shared" si="6"/>
        <v>9.8443794020406994</v>
      </c>
      <c r="BW61">
        <f t="shared" si="7"/>
        <v>86.856777120250641</v>
      </c>
      <c r="BX61">
        <f t="shared" si="0"/>
        <v>35.214136274537921</v>
      </c>
      <c r="BY61">
        <f t="shared" si="8"/>
        <v>206.7268069978806</v>
      </c>
      <c r="BZ61">
        <f t="shared" si="9"/>
        <v>63.004028173060476</v>
      </c>
      <c r="CA61">
        <f t="shared" si="10"/>
        <v>59.066276412244193</v>
      </c>
      <c r="CB61">
        <f>BO61*'Reagent cost'!$G$11*'Reagent cost'!$H$11</f>
        <v>2905.1662426493785</v>
      </c>
      <c r="CC61">
        <f>BP61*'Reagent cost'!$G$11*'Reagent cost'!$H$11</f>
        <v>7796.7484864162352</v>
      </c>
      <c r="CD61">
        <f>BQ61*'Reagent cost'!$C$18/1000*'Reagent cost'!$H$18</f>
        <v>3509.9789962792502</v>
      </c>
      <c r="CE61">
        <f>BR61*'Ligand cost'!$B$56*'Ligand cost'!$J$56</f>
        <v>60137.014037489032</v>
      </c>
      <c r="CF61">
        <f t="shared" si="11"/>
        <v>10</v>
      </c>
      <c r="CG61">
        <f t="shared" si="12"/>
        <v>2.2008835171586201</v>
      </c>
      <c r="CH61">
        <f t="shared" si="12"/>
        <v>3.9377517608162798</v>
      </c>
      <c r="CI61">
        <f>7963.6*(BX61/1000)^0.6*1.7*('CAPEX+OPEX'!$G$116/'CAPEX+OPEX'!$G$115)</f>
        <v>2144.228934815284</v>
      </c>
      <c r="CJ61">
        <f>7963.6*(BY61/1000)^0.6*1.7*('CAPEX+OPEX'!$G$116/'CAPEX+OPEX'!$G$115)</f>
        <v>6201.2466571653367</v>
      </c>
      <c r="CK61">
        <f>7963.6*(BZ61/1000)^0.6*1.7*('CAPEX+OPEX'!$G$116/'CAPEX+OPEX'!$G$115)</f>
        <v>3039.9183440626803</v>
      </c>
      <c r="CL61">
        <f>7963.6*(CA61/1000)^0.6*1.7*('CAPEX+OPEX'!$G$116/'CAPEX+OPEX'!$G$115)</f>
        <v>2924.4532550725799</v>
      </c>
      <c r="CM61">
        <f>'Costing 100 Lmin Feed Orig'!DE61</f>
        <v>39625.826528698344</v>
      </c>
      <c r="CN61">
        <f>'Costing 100 Lmin Feed Orig'!DF61</f>
        <v>4586243.4239371875</v>
      </c>
      <c r="CO61">
        <f>'Costing 100 Lmin Feed Orig'!DG61</f>
        <v>11794834.586807497</v>
      </c>
      <c r="CP61">
        <f>'Costing 100 Lmin Feed Orig'!DH61</f>
        <v>2275209.1661185985</v>
      </c>
      <c r="CQ61">
        <f>'Costing 100 Lmin Feed Orig'!DI61</f>
        <v>14083914.336508472</v>
      </c>
      <c r="CR61">
        <f>'Costing 100 Lmin Feed Orig'!DJ61</f>
        <v>1662824.8986326549</v>
      </c>
      <c r="CS61">
        <f>CN61*(BK61/10000)^0.72*((A61+1)/3)^0.6*('CAPEX+OPEX'!$G$116/'CAPEX+OPEX'!$G$114)</f>
        <v>751295.09040276916</v>
      </c>
      <c r="CT61">
        <f>CO61*(BK61/10000)^0.72*((A61+1)/3)^0.6*('CAPEX+OPEX'!$G$116/'CAPEX+OPEX'!$G$114)</f>
        <v>1932169.8606163235</v>
      </c>
      <c r="CU61">
        <f>CP61*(BK61/10000)^0.72*((A61+1)/3)^0.6*('CAPEX+OPEX'!$G$116/'CAPEX+OPEX'!$G$114)</f>
        <v>372713.20297186484</v>
      </c>
      <c r="CV61">
        <f>CQ61*(BK61/10000)^0.72*((A61+1)/3)^0.6*('CAPEX+OPEX'!$G$116/'CAPEX+OPEX'!$G$114)</f>
        <v>2307155.2721002945</v>
      </c>
      <c r="CW61">
        <f>CR61*(BK61/10000)^0.72*((A61+1)/3)^0.6*('CAPEX+OPEX'!$G$116/'CAPEX+OPEX'!$G$114)</f>
        <v>272395.52441150707</v>
      </c>
      <c r="CX61">
        <f t="shared" si="13"/>
        <v>5635728.9505027588</v>
      </c>
      <c r="CY61">
        <f>CN61*(BM61/10000)^0.72*((AF61+1)/3)^0.6*('CAPEX+OPEX'!$G$116/'CAPEX+OPEX'!$G$114)</f>
        <v>924883.13167584944</v>
      </c>
      <c r="CZ61">
        <f>CO61*(BM61/10000)^0.72*((AF61+1)/3)^0.6*('CAPEX+OPEX'!$G$116/'CAPEX+OPEX'!$G$114)</f>
        <v>2378601.0775852241</v>
      </c>
      <c r="DA61">
        <f>CP61*(BM61/10000)^0.72*((AF61+1)/3)^0.6*('CAPEX+OPEX'!$G$116/'CAPEX+OPEX'!$G$114)</f>
        <v>458829.23871730972</v>
      </c>
      <c r="DB61">
        <f>CQ61*(BM61/10000)^0.72*((AF61+1)/3)^0.6*('CAPEX+OPEX'!$G$116/'CAPEX+OPEX'!$G$114)</f>
        <v>2840227.5225552334</v>
      </c>
      <c r="DC61">
        <f>CR61*(BM61/10000)^0.72*((AF61+1)/3)^0.6*('CAPEX+OPEX'!$G$116/'CAPEX+OPEX'!$G$114)</f>
        <v>335332.98552122596</v>
      </c>
      <c r="DD61">
        <f t="shared" si="14"/>
        <v>6937873.956054843</v>
      </c>
      <c r="DE61">
        <f>CX61+DD61+1.15*(SUM(CI61:CL61)+SUM(CB61:CE61))</f>
        <v>12675560.474754643</v>
      </c>
      <c r="DF61">
        <f t="shared" si="15"/>
        <v>845037.36498364282</v>
      </c>
      <c r="DG61">
        <f>(BS61+BT61)*'Oxidant Feed Composition'!$N$29*60*7200</f>
        <v>9187169.4622744136</v>
      </c>
      <c r="DH61">
        <f>((CG61+CH61)*'Reagent cost'!$C$17/1000*'Reagent cost'!$H$17+(CG61+CH61)*0.5*'Reagent cost'!$C$16/1000*'Reagent cost'!$H$16*0.5)*60*7200</f>
        <v>3110282.9621060761</v>
      </c>
      <c r="DI61">
        <f>CF61*'Reagent cost'!$C$17/1000*'Reagent cost'!$H$17*60*7200</f>
        <v>504921.59999999998</v>
      </c>
      <c r="DJ61">
        <f t="shared" si="16"/>
        <v>107.01914729065615</v>
      </c>
      <c r="DK61">
        <f t="shared" si="17"/>
        <v>1272.9398606753657</v>
      </c>
      <c r="DL61">
        <f t="shared" si="18"/>
        <v>15364504.780066144</v>
      </c>
      <c r="DM61">
        <f>BK61*(B61*(409.81+2)/1000+C61*(248.2+2*22.99)/1000+D61*(315.6+3*22.99)/1000+0.1*58.44/1000)</f>
        <v>0.70639694042110623</v>
      </c>
      <c r="DN61">
        <f>(BS61+BT61)/1000*('Oxidant Feed Composition'!$B$11*'Oxidant Feed Composition'!$O$20+'Oxidant Feed Composition'!$D$11*'Oxidant Feed Composition'!$O$21+'Oxidant Feed Composition'!$F$11*'Oxidant Feed Composition'!$O$27-'Oxidant Feed Composition'!$J$15*18.015)</f>
        <v>2.1506930914982116</v>
      </c>
      <c r="DO61">
        <f>(BU61+BV61)/1000*(0.2*368.34+0.4*58.44)</f>
        <v>1.4892943047894904</v>
      </c>
      <c r="DP61">
        <f>BK61/1000*(B61*195.08+C61*106.42+D61*102.91)</f>
        <v>4.999938342565946E-2</v>
      </c>
      <c r="DQ61">
        <f>SUM(DM61:DO61)-DP61</f>
        <v>4.2963849532831482</v>
      </c>
      <c r="DR61">
        <f>DQ61*60*7200*0.33</f>
        <v>612492.63894004561</v>
      </c>
      <c r="DS61">
        <v>1.2</v>
      </c>
      <c r="DT61">
        <f>BM61/60*(AM61*4+AN61*2+AO61*3)*96485/DV61</f>
        <v>1405.9072864386719</v>
      </c>
      <c r="DU61">
        <f>BN61*BA61*(AP61*4+AQ61*2+AR61*3)*96485/DV61/60</f>
        <v>705.84323552017645</v>
      </c>
      <c r="DV61">
        <v>0.7</v>
      </c>
      <c r="DW61">
        <f>0.499*((BK61/3.78541*15)^(-0.146))*BK61/3.78541*15*300*(1+(A61-2)/9)</f>
        <v>41280.414286181804</v>
      </c>
      <c r="DX61">
        <f>0.248*((BK61/3.78541*15)^(-0.144))*BK61/3.78541*15*300*(1+(A61-2)/3)</f>
        <v>37373.489075065132</v>
      </c>
      <c r="DY61">
        <f>0.105*((BK61/3.78541*15)^(-0.144))*BK61/3.78541*15*300*(1+(A61-2)/3)</f>
        <v>15823.453035813865</v>
      </c>
      <c r="DZ61">
        <f>0.058*((BK61/3.78541*15)^(-0.151))*BK61/3.78541*15*300*(1+(A61-2)/3)</f>
        <v>8382.1245272768647</v>
      </c>
      <c r="EA61">
        <f>0.056*((BK61/3.78541*15)^(-0.144))*BK61/3.78541*15*300*(1+(A61-2)/3)</f>
        <v>8439.174952434063</v>
      </c>
      <c r="EB61">
        <f>DS61*DT61/(3.6*10^6)*3600*7200*0.07</f>
        <v>850.29272683810882</v>
      </c>
      <c r="EC61">
        <f>0.499*((BM61/3.78541*15)^(-0.146))*BM61/3.78541*15*300*(1+(AF61-2)/9)</f>
        <v>51428.277996919023</v>
      </c>
      <c r="ED61">
        <f>0.248*((BM61/3.78541*15)^(-0.144))*BM61/3.78541*15*300*(1+(AF61-2)/3)</f>
        <v>54312.441716486632</v>
      </c>
      <c r="EE61">
        <f>0.105*((BM61/3.78541*15)^(-0.144))*BM61/3.78541*15*300*(1+(AF61-2)/3)</f>
        <v>22995.187017060871</v>
      </c>
      <c r="EF61">
        <f>0.058*((BM61/3.78541*15)^(-0.151))*BM61/3.78541*15*300*(1+(AF61-2)/3)</f>
        <v>12187.971725720628</v>
      </c>
      <c r="EG61">
        <f>0.056*((BM61/3.78541*15)^(-0.144))*BM61/3.78541*15*300*(1+(AF61-2)/3)</f>
        <v>12264.099742432467</v>
      </c>
      <c r="EH61">
        <f>DS61*DU61/(3.6*10^6)*3600*7200*0.07</f>
        <v>426.89398884260271</v>
      </c>
      <c r="EI61">
        <f>SUM(DW61:EH61)</f>
        <v>265763.82079107204</v>
      </c>
      <c r="EJ61">
        <f>EI61+DR61+DL61</f>
        <v>16242761.239797261</v>
      </c>
      <c r="EK61">
        <f>EJ61+DF61</f>
        <v>17087798.604780905</v>
      </c>
      <c r="EL61">
        <f>EK61/(BK61*60*7200)</f>
        <v>0.39555089362918761</v>
      </c>
      <c r="EM61">
        <f>EK61/(BM61*(AM61*195.084/1000+AN61*106.42/1000+AO61*102.911/1000)*60*7200)</f>
        <v>1323.2986900975268</v>
      </c>
      <c r="EN61">
        <f>EK61/(BN61*BA61*(AP61*195.084/1000+AQ61*106.42/1000+AR61*102.911/1000)*60*7200)</f>
        <v>2428.4483527284137</v>
      </c>
    </row>
    <row r="62" spans="1:144">
      <c r="A62">
        <f>'Costing 100 Lmin Feed Orig'!A62</f>
        <v>9</v>
      </c>
      <c r="B62">
        <f>'Costing 100 Lmin Feed Orig'!B62</f>
        <v>1.54143585092054E-3</v>
      </c>
      <c r="C62">
        <f>'Costing 100 Lmin Feed Orig'!C62</f>
        <v>1.54143585092054E-3</v>
      </c>
      <c r="D62">
        <f>'Costing 100 Lmin Feed Orig'!D62</f>
        <v>3.4254130020456501E-4</v>
      </c>
      <c r="E62">
        <f>'Costing 100 Lmin Feed Orig'!E62</f>
        <v>0</v>
      </c>
      <c r="F62">
        <f>'Costing 100 Lmin Feed Orig'!F62</f>
        <v>0</v>
      </c>
      <c r="G62">
        <f>'Costing 100 Lmin Feed Orig'!G62</f>
        <v>0</v>
      </c>
      <c r="H62">
        <f>'Costing 100 Lmin Feed Orig'!H62</f>
        <v>1.7768596981705501E-5</v>
      </c>
      <c r="I62">
        <f>'Costing 100 Lmin Feed Orig'!I62</f>
        <v>1.5331283704498101E-9</v>
      </c>
      <c r="J62">
        <f>'Costing 100 Lmin Feed Orig'!J62</f>
        <v>3.3763247208936601E-4</v>
      </c>
      <c r="K62">
        <f>'Costing 100 Lmin Feed Orig'!K62</f>
        <v>0.13890601070001499</v>
      </c>
      <c r="L62">
        <f>'Costing 100 Lmin Feed Orig'!L62</f>
        <v>0.14052575540227799</v>
      </c>
      <c r="M62">
        <f>'Costing 100 Lmin Feed Orig'!M62</f>
        <v>4.4751616793740602E-4</v>
      </c>
      <c r="N62">
        <f>'Costing 100 Lmin Feed Orig'!N62</f>
        <v>-5.0090140368830299E-17</v>
      </c>
      <c r="O62">
        <f>'Costing 100 Lmin Feed Orig'!O62</f>
        <v>-6.2343793322261397E-15</v>
      </c>
      <c r="P62">
        <f>'Costing 100 Lmin Feed Orig'!P62</f>
        <v>1.7787691892340301E-20</v>
      </c>
      <c r="Q62">
        <f>'Costing 100 Lmin Feed Orig'!Q62</f>
        <v>0.10969051996097</v>
      </c>
      <c r="R62">
        <f>'Costing 100 Lmin Feed Orig'!R62</f>
        <v>98.566938318892298</v>
      </c>
      <c r="S62">
        <f>'Costing 100 Lmin Feed Orig'!S62</f>
        <v>500</v>
      </c>
      <c r="T62">
        <f>'Costing 100 Lmin Feed Orig'!T62</f>
        <v>95</v>
      </c>
      <c r="U62">
        <f>'Costing 100 Lmin Feed Orig'!U62</f>
        <v>1</v>
      </c>
      <c r="V62">
        <f>'Costing 100 Lmin Feed Orig'!V62</f>
        <v>0.1</v>
      </c>
      <c r="W62">
        <f>'Costing 100 Lmin Feed Orig'!W62</f>
        <v>91.165581160141301</v>
      </c>
      <c r="X62" t="str">
        <f>'Costing 100 Lmin Feed Orig'!X62</f>
        <v>ddFc</v>
      </c>
      <c r="Y62">
        <f>'Costing 100 Lmin Feed Orig'!Y62</f>
        <v>1</v>
      </c>
      <c r="Z62">
        <f>'Costing 100 Lmin Feed Orig'!Z62</f>
        <v>0.28318429382522198</v>
      </c>
      <c r="AA62">
        <f>'Costing 100 Lmin Feed Orig'!AA62</f>
        <v>0.56945642916197003</v>
      </c>
      <c r="AB62">
        <f>'Costing 100 Lmin Feed Orig'!AB62</f>
        <v>3.7698628972227502E-3</v>
      </c>
      <c r="AC62">
        <f>'Costing 100 Lmin Feed Orig'!AC62</f>
        <v>1822.2107908876901</v>
      </c>
      <c r="AD62">
        <f>'Costing 100 Lmin Feed Orig'!AD62</f>
        <v>2662.6059073104898</v>
      </c>
      <c r="AE62">
        <f>'Costing 100 Lmin Feed Orig'!AE62</f>
        <v>2401.5030938442701</v>
      </c>
      <c r="AF62">
        <f>'Costing 100 Lmin Feed Orig'!AF62</f>
        <v>4</v>
      </c>
      <c r="AG62">
        <f>'Costing 100 Lmin Feed Orig'!AG62</f>
        <v>1.6497485970141401E-3</v>
      </c>
      <c r="AH62">
        <f>'Costing 100 Lmin Feed Orig'!AH62</f>
        <v>1.6689858606617799E-3</v>
      </c>
      <c r="AI62">
        <f>'Costing 100 Lmin Feed Orig'!AI62</f>
        <v>5.3150268046377499E-6</v>
      </c>
      <c r="AJ62">
        <f>'Costing 100 Lmin Feed Orig'!AJ62</f>
        <v>0</v>
      </c>
      <c r="AK62">
        <f>'Costing 100 Lmin Feed Orig'!AK62</f>
        <v>0</v>
      </c>
      <c r="AL62">
        <f>'Costing 100 Lmin Feed Orig'!AL62</f>
        <v>0</v>
      </c>
      <c r="AM62">
        <f>'Costing 100 Lmin Feed Orig'!AM62</f>
        <v>1.6048321319618701E-3</v>
      </c>
      <c r="AN62">
        <f>'Costing 100 Lmin Feed Orig'!AN62</f>
        <v>7.9192002642469804E-5</v>
      </c>
      <c r="AO62">
        <f>'Costing 100 Lmin Feed Orig'!AO62</f>
        <v>5.2728464102818699E-6</v>
      </c>
      <c r="AP62">
        <f>'Costing 100 Lmin Feed Orig'!AP62</f>
        <v>1.9874961185591101E-3</v>
      </c>
      <c r="AQ62">
        <f>'Costing 100 Lmin Feed Orig'!AQ62</f>
        <v>7.0346344441502298E-2</v>
      </c>
      <c r="AR62">
        <f>'Costing 100 Lmin Feed Orig'!AR62</f>
        <v>1.86642849011818E-6</v>
      </c>
      <c r="AS62">
        <f>'Costing 100 Lmin Feed Orig'!AS62</f>
        <v>-9.5194915860664904E-15</v>
      </c>
      <c r="AT62">
        <f>'Costing 100 Lmin Feed Orig'!AT62</f>
        <v>-1.2276442883096799E-13</v>
      </c>
      <c r="AU62">
        <f>'Costing 100 Lmin Feed Orig'!AU62</f>
        <v>-3.0580668722738401E-18</v>
      </c>
      <c r="AV62">
        <f>'Costing 100 Lmin Feed Orig'!AV62</f>
        <v>0.20872364334642199</v>
      </c>
      <c r="AW62">
        <f>'Costing 100 Lmin Feed Orig'!AW62</f>
        <v>99.206393572294303</v>
      </c>
      <c r="AX62">
        <f>'Costing 100 Lmin Feed Orig'!AX62</f>
        <v>500</v>
      </c>
      <c r="AY62">
        <f>'Costing 100 Lmin Feed Orig'!AY62</f>
        <v>95</v>
      </c>
      <c r="AZ62">
        <f>'Costing 100 Lmin Feed Orig'!AZ62</f>
        <v>0.92357542033771201</v>
      </c>
      <c r="BA62">
        <f>'Costing 100 Lmin Feed Orig'!BA62</f>
        <v>0.1</v>
      </c>
      <c r="BB62">
        <f>'Costing 100 Lmin Feed Orig'!BB62</f>
        <v>44.248720726134401</v>
      </c>
      <c r="BC62" t="str">
        <f>'Costing 100 Lmin Feed Orig'!BC62</f>
        <v>coeFc</v>
      </c>
      <c r="BD62">
        <f>'Costing 100 Lmin Feed Orig'!BD62</f>
        <v>1</v>
      </c>
      <c r="BE62">
        <f>'Costing 100 Lmin Feed Orig'!BE62</f>
        <v>1.8775014999999999E-2</v>
      </c>
      <c r="BF62">
        <f>'Costing 100 Lmin Feed Orig'!BF62</f>
        <v>0.10492961100000001</v>
      </c>
      <c r="BG62">
        <f>'Costing 100 Lmin Feed Orig'!BG62</f>
        <v>1.814625E-3</v>
      </c>
      <c r="BH62">
        <f>'Costing 100 Lmin Feed Orig'!BH62</f>
        <v>285.1951444</v>
      </c>
      <c r="BI62">
        <f>'Costing 100 Lmin Feed Orig'!BI62</f>
        <v>2169.8944889999998</v>
      </c>
      <c r="BJ62">
        <f>'Costing 100 Lmin Feed Orig'!BJ62</f>
        <v>866.49409060000005</v>
      </c>
      <c r="BK62">
        <f>'Costing 100 Lmin Feed Orig'!BK62</f>
        <v>100</v>
      </c>
      <c r="BL62">
        <f>'Costing 100 Lmin Feed Orig'!BL62</f>
        <v>10.969051996096999</v>
      </c>
      <c r="BM62">
        <f>'Costing 100 Lmin Feed Orig'!BM62</f>
        <v>92.357542033771196</v>
      </c>
      <c r="BN62">
        <f>'Costing 100 Lmin Feed Orig'!BN62</f>
        <v>20.872364334642199</v>
      </c>
      <c r="BO62">
        <f t="shared" si="1"/>
        <v>241.31914391413397</v>
      </c>
      <c r="BP62">
        <f t="shared" si="2"/>
        <v>250.46837201570639</v>
      </c>
      <c r="BQ62">
        <f t="shared" si="3"/>
        <v>24.1319143914134</v>
      </c>
      <c r="BR62">
        <f t="shared" si="4"/>
        <v>25.046837201570639</v>
      </c>
      <c r="BS62">
        <f>1.2*0.5*BL62*V62/'Oxidant Feed Composition'!$N$22</f>
        <v>6.5814311976581994</v>
      </c>
      <c r="BT62">
        <f>1.2*0.5*BN62*BA62/'Oxidant Feed Composition'!$N$22</f>
        <v>12.52341860078532</v>
      </c>
      <c r="BU62">
        <f t="shared" si="5"/>
        <v>5.4845259980484995</v>
      </c>
      <c r="BV62">
        <f t="shared" si="6"/>
        <v>10.4361821673211</v>
      </c>
      <c r="BW62">
        <f t="shared" si="7"/>
        <v>86.873016035722699</v>
      </c>
      <c r="BX62">
        <f t="shared" si="0"/>
        <v>35.100966387510397</v>
      </c>
      <c r="BY62">
        <f t="shared" si="8"/>
        <v>206.65318805973638</v>
      </c>
      <c r="BZ62">
        <f t="shared" si="9"/>
        <v>66.791565870855038</v>
      </c>
      <c r="CA62">
        <f t="shared" si="10"/>
        <v>62.617093003926598</v>
      </c>
      <c r="CB62">
        <f>BO62*'Reagent cost'!$G$11*'Reagent cost'!$H$11</f>
        <v>3185.4126996665682</v>
      </c>
      <c r="CC62">
        <f>BP62*'Reagent cost'!$G$11*'Reagent cost'!$H$11</f>
        <v>3306.1825106073247</v>
      </c>
      <c r="CD62">
        <f>BQ62*'Reagent cost'!$C$18/1000*'Reagent cost'!$H$18</f>
        <v>3848.5686313477631</v>
      </c>
      <c r="CE62">
        <f>BR62*'Ligand cost'!$B$56*'Ligand cost'!$J$56</f>
        <v>25500.8795521994</v>
      </c>
      <c r="CF62">
        <f t="shared" si="11"/>
        <v>10</v>
      </c>
      <c r="CG62">
        <f t="shared" si="12"/>
        <v>2.1938103992193998</v>
      </c>
      <c r="CH62">
        <f t="shared" si="12"/>
        <v>4.1744728669284399</v>
      </c>
      <c r="CI62">
        <f>7963.6*(BX62/1000)^0.6*1.7*('CAPEX+OPEX'!$G$116/'CAPEX+OPEX'!$G$115)</f>
        <v>2140.0916471558648</v>
      </c>
      <c r="CJ62">
        <f>7963.6*(BY62/1000)^0.6*1.7*('CAPEX+OPEX'!$G$116/'CAPEX+OPEX'!$G$115)</f>
        <v>6199.9215410229135</v>
      </c>
      <c r="CK62">
        <f>7963.6*(BZ62/1000)^0.6*1.7*('CAPEX+OPEX'!$G$116/'CAPEX+OPEX'!$G$115)</f>
        <v>3148.2840056223422</v>
      </c>
      <c r="CL62">
        <f>7963.6*(CA62/1000)^0.6*1.7*('CAPEX+OPEX'!$G$116/'CAPEX+OPEX'!$G$115)</f>
        <v>3028.7028683245958</v>
      </c>
      <c r="CM62">
        <f>'Costing 100 Lmin Feed Orig'!DE62</f>
        <v>39625.826528698344</v>
      </c>
      <c r="CN62">
        <f>'Costing 100 Lmin Feed Orig'!DF62</f>
        <v>4586243.4239371875</v>
      </c>
      <c r="CO62">
        <f>'Costing 100 Lmin Feed Orig'!DG62</f>
        <v>11794834.586807497</v>
      </c>
      <c r="CP62">
        <f>'Costing 100 Lmin Feed Orig'!DH62</f>
        <v>2275209.1661185985</v>
      </c>
      <c r="CQ62">
        <f>'Costing 100 Lmin Feed Orig'!DI62</f>
        <v>14083914.336508472</v>
      </c>
      <c r="CR62">
        <f>'Costing 100 Lmin Feed Orig'!DJ62</f>
        <v>1662824.8986326549</v>
      </c>
      <c r="CS62">
        <f>CN62*(BK62/10000)^0.72*((A62+1)/3)^0.6*('CAPEX+OPEX'!$G$116/'CAPEX+OPEX'!$G$114)</f>
        <v>800322.53402245743</v>
      </c>
      <c r="CT62">
        <f>CO62*(BK62/10000)^0.72*((A62+1)/3)^0.6*('CAPEX+OPEX'!$G$116/'CAPEX+OPEX'!$G$114)</f>
        <v>2058257.9318883498</v>
      </c>
      <c r="CU62">
        <f>CP62*(BK62/10000)^0.72*((A62+1)/3)^0.6*('CAPEX+OPEX'!$G$116/'CAPEX+OPEX'!$G$114)</f>
        <v>397035.437708179</v>
      </c>
      <c r="CV62">
        <f>CQ62*(BK62/10000)^0.72*((A62+1)/3)^0.6*('CAPEX+OPEX'!$G$116/'CAPEX+OPEX'!$G$114)</f>
        <v>2457713.856163613</v>
      </c>
      <c r="CW62">
        <f>CR62*(BK62/10000)^0.72*((A62+1)/3)^0.6*('CAPEX+OPEX'!$G$116/'CAPEX+OPEX'!$G$114)</f>
        <v>290171.30437591631</v>
      </c>
      <c r="CX62">
        <f t="shared" si="13"/>
        <v>6003501.064158516</v>
      </c>
      <c r="CY62">
        <f>CN62*(BM62/10000)^0.72*((AF62+1)/3)^0.6*('CAPEX+OPEX'!$G$116/'CAPEX+OPEX'!$G$114)</f>
        <v>498640.04312959599</v>
      </c>
      <c r="CZ62">
        <f>CO62*(BM62/10000)^0.72*((AF62+1)/3)^0.6*('CAPEX+OPEX'!$G$116/'CAPEX+OPEX'!$G$114)</f>
        <v>1282395.2597839017</v>
      </c>
      <c r="DA62">
        <f>CP62*(BM62/10000)^0.72*((AF62+1)/3)^0.6*('CAPEX+OPEX'!$G$116/'CAPEX+OPEX'!$G$114)</f>
        <v>247372.47717834351</v>
      </c>
      <c r="DB62">
        <f>CQ62*(BM62/10000)^0.72*((AF62+1)/3)^0.6*('CAPEX+OPEX'!$G$116/'CAPEX+OPEX'!$G$114)</f>
        <v>1531275.8183605524</v>
      </c>
      <c r="DC62">
        <f>CR62*(BM62/10000)^0.72*((AF62+1)/3)^0.6*('CAPEX+OPEX'!$G$116/'CAPEX+OPEX'!$G$114)</f>
        <v>180790.90064071334</v>
      </c>
      <c r="DD62">
        <f t="shared" si="14"/>
        <v>3740474.4990931074</v>
      </c>
      <c r="DE62">
        <f>CX62+DD62+1.15*(SUM(CI62:CL62)+SUM(CB62:CE62))</f>
        <v>9801887.3132259622</v>
      </c>
      <c r="DF62">
        <f t="shared" si="15"/>
        <v>653459.15421506413</v>
      </c>
      <c r="DG62">
        <f>(BS62+BT62)*'Oxidant Feed Composition'!$N$29*60*7200</f>
        <v>9530863.9299332276</v>
      </c>
      <c r="DH62">
        <f>((CG62+CH62)*'Reagent cost'!$C$17/1000*'Reagent cost'!$H$17+(CG62+CH62)*0.5*'Reagent cost'!$C$16/1000*'Reagent cost'!$H$16*0.5)*60*7200</f>
        <v>3226639.4798908997</v>
      </c>
      <c r="DI62">
        <f>CF62*'Reagent cost'!$C$17/1000*'Reagent cost'!$H$17*60*7200</f>
        <v>504921.59999999998</v>
      </c>
      <c r="DJ62">
        <f t="shared" si="16"/>
        <v>64.915952102738927</v>
      </c>
      <c r="DK62">
        <f t="shared" si="17"/>
        <v>586.98896367094324</v>
      </c>
      <c r="DL62">
        <f t="shared" si="18"/>
        <v>15915692.297687881</v>
      </c>
      <c r="DM62">
        <f>BK62*(B62*(409.81+2)/1000+C62*(248.2+2*22.99)/1000+D62*(315.6+3*22.99)/1000+0.1*58.44/1000)</f>
        <v>0.70639694042110623</v>
      </c>
      <c r="DN62">
        <f>(BS62+BT62)/1000*('Oxidant Feed Composition'!$B$11*'Oxidant Feed Composition'!$O$20+'Oxidant Feed Composition'!$D$11*'Oxidant Feed Composition'!$O$21+'Oxidant Feed Composition'!$F$11*'Oxidant Feed Composition'!$O$27-'Oxidant Feed Composition'!$J$15*18.015)</f>
        <v>2.2311510954803184</v>
      </c>
      <c r="DO62">
        <f>(BU62+BV62)/1000*(0.2*368.34+0.4*58.44)</f>
        <v>1.5450092032001272</v>
      </c>
      <c r="DP62">
        <f>BK62/1000*(B62*195.08+C62*106.42+D62*102.91)</f>
        <v>4.999938342565946E-2</v>
      </c>
      <c r="DQ62">
        <f>SUM(DM62:DO62)-DP62</f>
        <v>4.432557855675892</v>
      </c>
      <c r="DR62">
        <f>DQ62*60*7200*0.33</f>
        <v>631905.44790515513</v>
      </c>
      <c r="DS62">
        <v>1.2</v>
      </c>
      <c r="DT62">
        <f>BM62/60*(AM62*4+AN62*2+AO62*3)*96485/DV62</f>
        <v>1398.9459464463214</v>
      </c>
      <c r="DU62">
        <f>BN62*BA62*(AP62*4+AQ62*2+AR62*3)*96485/DV62/60</f>
        <v>712.75787536363475</v>
      </c>
      <c r="DV62">
        <v>0.7</v>
      </c>
      <c r="DW62">
        <f>0.499*((BK62/3.78541*15)^(-0.146))*BK62/3.78541*15*300*(1+(A62-2)/9)</f>
        <v>44032.441905260595</v>
      </c>
      <c r="DX62">
        <f>0.248*((BK62/3.78541*15)^(-0.144))*BK62/3.78541*15*300*(1+(A62-2)/3)</f>
        <v>41526.098972294596</v>
      </c>
      <c r="DY62">
        <f>0.105*((BK62/3.78541*15)^(-0.144))*BK62/3.78541*15*300*(1+(A62-2)/3)</f>
        <v>17581.614484237631</v>
      </c>
      <c r="DZ62">
        <f>0.058*((BK62/3.78541*15)^(-0.151))*BK62/3.78541*15*300*(1+(A62-2)/3)</f>
        <v>9313.4716969742931</v>
      </c>
      <c r="EA62">
        <f>0.056*((BK62/3.78541*15)^(-0.144))*BK62/3.78541*15*300*(1+(A62-2)/3)</f>
        <v>9376.8610582600722</v>
      </c>
      <c r="EB62">
        <f>DS62*DT62/(3.6*10^6)*3600*7200*0.07</f>
        <v>846.08250841073527</v>
      </c>
      <c r="EC62">
        <f>0.499*((BM62/3.78541*15)^(-0.146))*BM62/3.78541*15*300*(1+(AF62-2)/9)</f>
        <v>28285.175261081924</v>
      </c>
      <c r="ED62">
        <f>0.248*((BM62/3.78541*15)^(-0.144))*BM62/3.78541*15*300*(1+(AF62-2)/3)</f>
        <v>19397.041035374452</v>
      </c>
      <c r="EE62">
        <f>0.105*((BM62/3.78541*15)^(-0.144))*BM62/3.78541*15*300*(1+(AF62-2)/3)</f>
        <v>8212.4568899770857</v>
      </c>
      <c r="EF62">
        <f>0.058*((BM62/3.78541*15)^(-0.151))*BM62/3.78541*15*300*(1+(AF62-2)/3)</f>
        <v>4352.7892707765368</v>
      </c>
      <c r="EG62">
        <f>0.056*((BM62/3.78541*15)^(-0.144))*BM62/3.78541*15*300*(1+(AF62-2)/3)</f>
        <v>4379.977007987779</v>
      </c>
      <c r="EH62">
        <f>DS62*DU62/(3.6*10^6)*3600*7200*0.07</f>
        <v>431.07596301992629</v>
      </c>
      <c r="EI62">
        <f>SUM(DW62:EH62)</f>
        <v>187735.08605365563</v>
      </c>
      <c r="EJ62">
        <f>EI62+DR62+DL62</f>
        <v>16735332.831646692</v>
      </c>
      <c r="EK62">
        <f>EJ62+DF62</f>
        <v>17388791.985861756</v>
      </c>
      <c r="EL62">
        <f>EK62/(BK62*60*7200)</f>
        <v>0.40251833300605916</v>
      </c>
      <c r="EM62">
        <f>EK62/(BM62*(AM62*195.084/1000+AN62*106.42/1000+AO62*102.911/1000)*60*7200)</f>
        <v>1353.2985355264505</v>
      </c>
      <c r="EN62">
        <f>EK62/(BN62*BA62*(AP62*195.084/1000+AQ62*106.42/1000+AR62*102.911/1000)*60*7200)</f>
        <v>2449.1125819235476</v>
      </c>
    </row>
    <row r="63" spans="1:144">
      <c r="A63">
        <f>'Costing 100 Lmin Feed Orig'!A63</f>
        <v>9</v>
      </c>
      <c r="B63">
        <f>'Costing 100 Lmin Feed Orig'!B63</f>
        <v>1.54143585092054E-3</v>
      </c>
      <c r="C63">
        <f>'Costing 100 Lmin Feed Orig'!C63</f>
        <v>1.54143585092054E-3</v>
      </c>
      <c r="D63">
        <f>'Costing 100 Lmin Feed Orig'!D63</f>
        <v>3.4254130020456501E-4</v>
      </c>
      <c r="E63">
        <f>'Costing 100 Lmin Feed Orig'!E63</f>
        <v>0</v>
      </c>
      <c r="F63">
        <f>'Costing 100 Lmin Feed Orig'!F63</f>
        <v>0</v>
      </c>
      <c r="G63">
        <f>'Costing 100 Lmin Feed Orig'!G63</f>
        <v>0</v>
      </c>
      <c r="H63">
        <f>'Costing 100 Lmin Feed Orig'!H63</f>
        <v>1.7768596981705501E-5</v>
      </c>
      <c r="I63">
        <f>'Costing 100 Lmin Feed Orig'!I63</f>
        <v>1.5331283704498101E-9</v>
      </c>
      <c r="J63">
        <f>'Costing 100 Lmin Feed Orig'!J63</f>
        <v>3.3763247208936601E-4</v>
      </c>
      <c r="K63">
        <f>'Costing 100 Lmin Feed Orig'!K63</f>
        <v>0.13890601070001499</v>
      </c>
      <c r="L63">
        <f>'Costing 100 Lmin Feed Orig'!L63</f>
        <v>0.14052575540227799</v>
      </c>
      <c r="M63">
        <f>'Costing 100 Lmin Feed Orig'!M63</f>
        <v>4.4751616793740602E-4</v>
      </c>
      <c r="N63">
        <f>'Costing 100 Lmin Feed Orig'!N63</f>
        <v>-5.0090140368830299E-17</v>
      </c>
      <c r="O63">
        <f>'Costing 100 Lmin Feed Orig'!O63</f>
        <v>-6.2343793322261397E-15</v>
      </c>
      <c r="P63">
        <f>'Costing 100 Lmin Feed Orig'!P63</f>
        <v>1.7787691892340301E-20</v>
      </c>
      <c r="Q63">
        <f>'Costing 100 Lmin Feed Orig'!Q63</f>
        <v>0.10969051996097</v>
      </c>
      <c r="R63">
        <f>'Costing 100 Lmin Feed Orig'!R63</f>
        <v>98.566938318892298</v>
      </c>
      <c r="S63">
        <f>'Costing 100 Lmin Feed Orig'!S63</f>
        <v>500</v>
      </c>
      <c r="T63">
        <f>'Costing 100 Lmin Feed Orig'!T63</f>
        <v>95</v>
      </c>
      <c r="U63">
        <f>'Costing 100 Lmin Feed Orig'!U63</f>
        <v>1</v>
      </c>
      <c r="V63">
        <f>'Costing 100 Lmin Feed Orig'!V63</f>
        <v>0.1</v>
      </c>
      <c r="W63">
        <f>'Costing 100 Lmin Feed Orig'!W63</f>
        <v>91.165581160141301</v>
      </c>
      <c r="X63" t="str">
        <f>'Costing 100 Lmin Feed Orig'!X63</f>
        <v>ddFc</v>
      </c>
      <c r="Y63">
        <f>'Costing 100 Lmin Feed Orig'!Y63</f>
        <v>1</v>
      </c>
      <c r="Z63">
        <f>'Costing 100 Lmin Feed Orig'!Z63</f>
        <v>0.28318429382522198</v>
      </c>
      <c r="AA63">
        <f>'Costing 100 Lmin Feed Orig'!AA63</f>
        <v>0.56945642916197003</v>
      </c>
      <c r="AB63">
        <f>'Costing 100 Lmin Feed Orig'!AB63</f>
        <v>3.7698628972227502E-3</v>
      </c>
      <c r="AC63">
        <f>'Costing 100 Lmin Feed Orig'!AC63</f>
        <v>1822.2107908876901</v>
      </c>
      <c r="AD63">
        <f>'Costing 100 Lmin Feed Orig'!AD63</f>
        <v>2662.6059073104898</v>
      </c>
      <c r="AE63">
        <f>'Costing 100 Lmin Feed Orig'!AE63</f>
        <v>2401.5030938442701</v>
      </c>
      <c r="AF63">
        <f>'Costing 100 Lmin Feed Orig'!AF63</f>
        <v>5</v>
      </c>
      <c r="AG63">
        <f>'Costing 100 Lmin Feed Orig'!AG63</f>
        <v>1.6497485970141401E-3</v>
      </c>
      <c r="AH63">
        <f>'Costing 100 Lmin Feed Orig'!AH63</f>
        <v>1.6689858606617799E-3</v>
      </c>
      <c r="AI63">
        <f>'Costing 100 Lmin Feed Orig'!AI63</f>
        <v>5.3150268046377499E-6</v>
      </c>
      <c r="AJ63">
        <f>'Costing 100 Lmin Feed Orig'!AJ63</f>
        <v>0</v>
      </c>
      <c r="AK63">
        <f>'Costing 100 Lmin Feed Orig'!AK63</f>
        <v>0</v>
      </c>
      <c r="AL63">
        <f>'Costing 100 Lmin Feed Orig'!AL63</f>
        <v>0</v>
      </c>
      <c r="AM63">
        <f>'Costing 100 Lmin Feed Orig'!AM63</f>
        <v>1.6104360946851499E-3</v>
      </c>
      <c r="AN63">
        <f>'Costing 100 Lmin Feed Orig'!AN63</f>
        <v>7.9481866578997695E-5</v>
      </c>
      <c r="AO63">
        <f>'Costing 100 Lmin Feed Orig'!AO63</f>
        <v>5.2779279086813702E-6</v>
      </c>
      <c r="AP63">
        <f>'Costing 100 Lmin Feed Orig'!AP63</f>
        <v>1.8118422491867001E-3</v>
      </c>
      <c r="AQ63">
        <f>'Costing 100 Lmin Feed Orig'!AQ63</f>
        <v>7.32573690584577E-2</v>
      </c>
      <c r="AR63">
        <f>'Costing 100 Lmin Feed Orig'!AR63</f>
        <v>1.7098211283888001E-6</v>
      </c>
      <c r="AS63">
        <f>'Costing 100 Lmin Feed Orig'!AS63</f>
        <v>-4.5211230592645498E-17</v>
      </c>
      <c r="AT63">
        <f>'Costing 100 Lmin Feed Orig'!AT63</f>
        <v>1.8735013540549499E-16</v>
      </c>
      <c r="AU63">
        <f>'Costing 100 Lmin Feed Orig'!AU63</f>
        <v>-3.54430348866721E-20</v>
      </c>
      <c r="AV63">
        <f>'Costing 100 Lmin Feed Orig'!AV63</f>
        <v>0.20039305783583899</v>
      </c>
      <c r="AW63">
        <f>'Costing 100 Lmin Feed Orig'!AW63</f>
        <v>99.301999833302602</v>
      </c>
      <c r="AX63">
        <f>'Costing 100 Lmin Feed Orig'!AX63</f>
        <v>500</v>
      </c>
      <c r="AY63">
        <f>'Costing 100 Lmin Feed Orig'!AY63</f>
        <v>95</v>
      </c>
      <c r="AZ63">
        <f>'Costing 100 Lmin Feed Orig'!AZ63</f>
        <v>0.92357542033771201</v>
      </c>
      <c r="BA63">
        <f>'Costing 100 Lmin Feed Orig'!BA63</f>
        <v>0.1</v>
      </c>
      <c r="BB63">
        <f>'Costing 100 Lmin Feed Orig'!BB63</f>
        <v>46.088194387167597</v>
      </c>
      <c r="BC63" t="str">
        <f>'Costing 100 Lmin Feed Orig'!BC63</f>
        <v>coeFc</v>
      </c>
      <c r="BD63">
        <f>'Costing 100 Lmin Feed Orig'!BD63</f>
        <v>1</v>
      </c>
      <c r="BE63">
        <f>'Costing 100 Lmin Feed Orig'!BE63</f>
        <v>1.8775014999999999E-2</v>
      </c>
      <c r="BF63">
        <f>'Costing 100 Lmin Feed Orig'!BF63</f>
        <v>0.10492961100000001</v>
      </c>
      <c r="BG63">
        <f>'Costing 100 Lmin Feed Orig'!BG63</f>
        <v>1.814625E-3</v>
      </c>
      <c r="BH63">
        <f>'Costing 100 Lmin Feed Orig'!BH63</f>
        <v>285.1951444</v>
      </c>
      <c r="BI63">
        <f>'Costing 100 Lmin Feed Orig'!BI63</f>
        <v>2169.8944889999998</v>
      </c>
      <c r="BJ63">
        <f>'Costing 100 Lmin Feed Orig'!BJ63</f>
        <v>866.49409060000005</v>
      </c>
      <c r="BK63">
        <f>'Costing 100 Lmin Feed Orig'!BK63</f>
        <v>100</v>
      </c>
      <c r="BL63">
        <f>'Costing 100 Lmin Feed Orig'!BL63</f>
        <v>10.969051996096999</v>
      </c>
      <c r="BM63">
        <f>'Costing 100 Lmin Feed Orig'!BM63</f>
        <v>92.357542033771196</v>
      </c>
      <c r="BN63">
        <f>'Costing 100 Lmin Feed Orig'!BN63</f>
        <v>20.039305783583899</v>
      </c>
      <c r="BO63">
        <f t="shared" si="1"/>
        <v>241.31914391413397</v>
      </c>
      <c r="BP63">
        <f t="shared" si="2"/>
        <v>280.55028097017458</v>
      </c>
      <c r="BQ63">
        <f t="shared" si="3"/>
        <v>24.1319143914134</v>
      </c>
      <c r="BR63">
        <f t="shared" si="4"/>
        <v>28.055028097017459</v>
      </c>
      <c r="BS63">
        <f>1.2*0.5*BL63*V63/'Oxidant Feed Composition'!$N$22</f>
        <v>6.5814311976581994</v>
      </c>
      <c r="BT63">
        <f>1.2*0.5*BN63*BA63/'Oxidant Feed Composition'!$N$22</f>
        <v>12.023583470150339</v>
      </c>
      <c r="BU63">
        <f t="shared" si="5"/>
        <v>5.4845259980484995</v>
      </c>
      <c r="BV63">
        <f t="shared" si="6"/>
        <v>10.019652891791949</v>
      </c>
      <c r="BW63">
        <f t="shared" si="7"/>
        <v>86.873016035722699</v>
      </c>
      <c r="BX63">
        <f t="shared" si="0"/>
        <v>35.100966387510397</v>
      </c>
      <c r="BY63">
        <f t="shared" si="8"/>
        <v>206.65318805973638</v>
      </c>
      <c r="BZ63">
        <f t="shared" si="9"/>
        <v>64.125778507468482</v>
      </c>
      <c r="CA63">
        <f t="shared" si="10"/>
        <v>60.117917350751696</v>
      </c>
      <c r="CB63">
        <f>BO63*'Reagent cost'!$G$11*'Reagent cost'!$H$11</f>
        <v>3185.4126996665682</v>
      </c>
      <c r="CC63">
        <f>BP63*'Reagent cost'!$G$11*'Reagent cost'!$H$11</f>
        <v>3703.2637088063047</v>
      </c>
      <c r="CD63">
        <f>BQ63*'Reagent cost'!$C$18/1000*'Reagent cost'!$H$18</f>
        <v>3848.5686313477631</v>
      </c>
      <c r="CE63">
        <f>BR63*'Ligand cost'!$B$56*'Ligand cost'!$J$56</f>
        <v>28563.602125810481</v>
      </c>
      <c r="CF63">
        <f t="shared" si="11"/>
        <v>10</v>
      </c>
      <c r="CG63">
        <f t="shared" si="12"/>
        <v>2.1938103992193998</v>
      </c>
      <c r="CH63">
        <f t="shared" si="12"/>
        <v>4.0078611567167801</v>
      </c>
      <c r="CI63">
        <f>7963.6*(BX63/1000)^0.6*1.7*('CAPEX+OPEX'!$G$116/'CAPEX+OPEX'!$G$115)</f>
        <v>2140.0916471558648</v>
      </c>
      <c r="CJ63">
        <f>7963.6*(BY63/1000)^0.6*1.7*('CAPEX+OPEX'!$G$116/'CAPEX+OPEX'!$G$115)</f>
        <v>6199.9215410229135</v>
      </c>
      <c r="CK63">
        <f>7963.6*(BZ63/1000)^0.6*1.7*('CAPEX+OPEX'!$G$116/'CAPEX+OPEX'!$G$115)</f>
        <v>3072.2780514246729</v>
      </c>
      <c r="CL63">
        <f>7963.6*(CA63/1000)^0.6*1.7*('CAPEX+OPEX'!$G$116/'CAPEX+OPEX'!$G$115)</f>
        <v>2955.583845048066</v>
      </c>
      <c r="CM63">
        <f>'Costing 100 Lmin Feed Orig'!DE63</f>
        <v>39625.826528698344</v>
      </c>
      <c r="CN63">
        <f>'Costing 100 Lmin Feed Orig'!DF63</f>
        <v>4586243.4239371875</v>
      </c>
      <c r="CO63">
        <f>'Costing 100 Lmin Feed Orig'!DG63</f>
        <v>11794834.586807497</v>
      </c>
      <c r="CP63">
        <f>'Costing 100 Lmin Feed Orig'!DH63</f>
        <v>2275209.1661185985</v>
      </c>
      <c r="CQ63">
        <f>'Costing 100 Lmin Feed Orig'!DI63</f>
        <v>14083914.336508472</v>
      </c>
      <c r="CR63">
        <f>'Costing 100 Lmin Feed Orig'!DJ63</f>
        <v>1662824.8986326549</v>
      </c>
      <c r="CS63">
        <f>CN63*(BK63/10000)^0.72*((A63+1)/3)^0.6*('CAPEX+OPEX'!$G$116/'CAPEX+OPEX'!$G$114)</f>
        <v>800322.53402245743</v>
      </c>
      <c r="CT63">
        <f>CO63*(BK63/10000)^0.72*((A63+1)/3)^0.6*('CAPEX+OPEX'!$G$116/'CAPEX+OPEX'!$G$114)</f>
        <v>2058257.9318883498</v>
      </c>
      <c r="CU63">
        <f>CP63*(BK63/10000)^0.72*((A63+1)/3)^0.6*('CAPEX+OPEX'!$G$116/'CAPEX+OPEX'!$G$114)</f>
        <v>397035.437708179</v>
      </c>
      <c r="CV63">
        <f>CQ63*(BK63/10000)^0.72*((A63+1)/3)^0.6*('CAPEX+OPEX'!$G$116/'CAPEX+OPEX'!$G$114)</f>
        <v>2457713.856163613</v>
      </c>
      <c r="CW63">
        <f>CR63*(BK63/10000)^0.72*((A63+1)/3)^0.6*('CAPEX+OPEX'!$G$116/'CAPEX+OPEX'!$G$114)</f>
        <v>290171.30437591631</v>
      </c>
      <c r="CX63">
        <f t="shared" si="13"/>
        <v>6003501.064158516</v>
      </c>
      <c r="CY63">
        <f>CN63*(BM63/10000)^0.72*((AF63+1)/3)^0.6*('CAPEX+OPEX'!$G$116/'CAPEX+OPEX'!$G$114)</f>
        <v>556283.14213476516</v>
      </c>
      <c r="CZ63">
        <f>CO63*(BM63/10000)^0.72*((AF63+1)/3)^0.6*('CAPEX+OPEX'!$G$116/'CAPEX+OPEX'!$G$114)</f>
        <v>1430640.9491183041</v>
      </c>
      <c r="DA63">
        <f>CP63*(BM63/10000)^0.72*((AF63+1)/3)^0.6*('CAPEX+OPEX'!$G$116/'CAPEX+OPEX'!$G$114)</f>
        <v>275968.88933900755</v>
      </c>
      <c r="DB63">
        <f>CQ63*(BM63/10000)^0.72*((AF63+1)/3)^0.6*('CAPEX+OPEX'!$G$116/'CAPEX+OPEX'!$G$114)</f>
        <v>1708292.2550028826</v>
      </c>
      <c r="DC63">
        <f>CR63*(BM63/10000)^0.72*((AF63+1)/3)^0.6*('CAPEX+OPEX'!$G$116/'CAPEX+OPEX'!$G$114)</f>
        <v>201690.44115787523</v>
      </c>
      <c r="DD63">
        <f t="shared" si="14"/>
        <v>4172875.6767528341</v>
      </c>
      <c r="DE63">
        <f>CX63+DD63+1.15*(SUM(CI63:CL63)+SUM(CB63:CE63))</f>
        <v>10238095.771499176</v>
      </c>
      <c r="DF63">
        <f t="shared" si="15"/>
        <v>682539.71809994499</v>
      </c>
      <c r="DG63">
        <f>(BS63+BT63)*'Oxidant Feed Composition'!$N$29*60*7200</f>
        <v>9281510.4585507661</v>
      </c>
      <c r="DH63">
        <f>((CG63+CH63)*'Reagent cost'!$C$17/1000*'Reagent cost'!$H$17+(CG63+CH63)*0.5*'Reagent cost'!$C$16/1000*'Reagent cost'!$H$16*0.5)*60*7200</f>
        <v>3142221.7648626124</v>
      </c>
      <c r="DI63">
        <f>CF63*'Reagent cost'!$C$17/1000*'Reagent cost'!$H$17*60*7200</f>
        <v>504921.59999999998</v>
      </c>
      <c r="DJ63">
        <f t="shared" si="16"/>
        <v>68.886764084728725</v>
      </c>
      <c r="DK63">
        <f t="shared" si="17"/>
        <v>648.24341514316495</v>
      </c>
      <c r="DL63">
        <f t="shared" si="18"/>
        <v>15515245.144311126</v>
      </c>
      <c r="DM63">
        <f>BK63*(B63*(409.81+2)/1000+C63*(248.2+2*22.99)/1000+D63*(315.6+3*22.99)/1000+0.1*58.44/1000)</f>
        <v>0.70639694042110623</v>
      </c>
      <c r="DN63">
        <f>(BS63+BT63)/1000*('Oxidant Feed Composition'!$B$11*'Oxidant Feed Composition'!$O$20+'Oxidant Feed Composition'!$D$11*'Oxidant Feed Composition'!$O$21+'Oxidant Feed Composition'!$F$11*'Oxidant Feed Composition'!$O$27-'Oxidant Feed Composition'!$J$15*18.015)</f>
        <v>2.172778079673273</v>
      </c>
      <c r="DO63">
        <f>(BU63+BV63)/1000*(0.2*368.34+0.4*58.44)</f>
        <v>1.5045875361856766</v>
      </c>
      <c r="DP63">
        <f>BK63/1000*(B63*195.08+C63*106.42+D63*102.91)</f>
        <v>4.999938342565946E-2</v>
      </c>
      <c r="DQ63">
        <f>SUM(DM63:DO63)-DP63</f>
        <v>4.3337631728543959</v>
      </c>
      <c r="DR63">
        <f>DQ63*60*7200*0.33</f>
        <v>617821.27792212274</v>
      </c>
      <c r="DS63">
        <v>1.2</v>
      </c>
      <c r="DT63">
        <f>BM63/60*(AM63*4+AN63*2+AO63*3)*96485/DV63</f>
        <v>1403.8281404593017</v>
      </c>
      <c r="DU63">
        <f>BN63*BA63*(AP63*4+AQ63*2+AR63*3)*96485/DV63/60</f>
        <v>707.87568128545342</v>
      </c>
      <c r="DV63">
        <v>0.7</v>
      </c>
      <c r="DW63">
        <f>0.499*((BK63/3.78541*15)^(-0.146))*BK63/3.78541*15*300*(1+(A63-2)/9)</f>
        <v>44032.441905260595</v>
      </c>
      <c r="DX63">
        <f>0.248*((BK63/3.78541*15)^(-0.144))*BK63/3.78541*15*300*(1+(A63-2)/3)</f>
        <v>41526.098972294596</v>
      </c>
      <c r="DY63">
        <f>0.105*((BK63/3.78541*15)^(-0.144))*BK63/3.78541*15*300*(1+(A63-2)/3)</f>
        <v>17581.614484237631</v>
      </c>
      <c r="DZ63">
        <f>0.058*((BK63/3.78541*15)^(-0.151))*BK63/3.78541*15*300*(1+(A63-2)/3)</f>
        <v>9313.4716969742931</v>
      </c>
      <c r="EA63">
        <f>0.056*((BK63/3.78541*15)^(-0.144))*BK63/3.78541*15*300*(1+(A63-2)/3)</f>
        <v>9376.8610582600722</v>
      </c>
      <c r="EB63">
        <f>DS63*DT63/(3.6*10^6)*3600*7200*0.07</f>
        <v>849.03525934978575</v>
      </c>
      <c r="EC63">
        <f>0.499*((BM63/3.78541*15)^(-0.146))*BM63/3.78541*15*300*(1+(AF63-2)/9)</f>
        <v>30856.554830271187</v>
      </c>
      <c r="ED63">
        <f>0.248*((BM63/3.78541*15)^(-0.144))*BM63/3.78541*15*300*(1+(AF63-2)/3)</f>
        <v>23276.449242449344</v>
      </c>
      <c r="EE63">
        <f>0.105*((BM63/3.78541*15)^(-0.144))*BM63/3.78541*15*300*(1+(AF63-2)/3)</f>
        <v>9854.9482679725043</v>
      </c>
      <c r="EF63">
        <f>0.058*((BM63/3.78541*15)^(-0.151))*BM63/3.78541*15*300*(1+(AF63-2)/3)</f>
        <v>5223.3471249318445</v>
      </c>
      <c r="EG63">
        <f>0.056*((BM63/3.78541*15)^(-0.144))*BM63/3.78541*15*300*(1+(AF63-2)/3)</f>
        <v>5255.9724095853353</v>
      </c>
      <c r="EH63">
        <f>DS63*DU63/(3.6*10^6)*3600*7200*0.07</f>
        <v>428.12321204144223</v>
      </c>
      <c r="EI63">
        <f>SUM(DW63:EH63)</f>
        <v>197574.91846362862</v>
      </c>
      <c r="EJ63">
        <f>EI63+DR63+DL63</f>
        <v>16330641.340696877</v>
      </c>
      <c r="EK63">
        <f>EJ63+DF63</f>
        <v>17013181.058796823</v>
      </c>
      <c r="EL63">
        <f>EK63/(BK63*60*7200)</f>
        <v>0.39382363562029682</v>
      </c>
      <c r="EM63">
        <f>EK63/(BM63*(AM63*195.084/1000+AN63*106.42/1000+AO63*102.911/1000)*60*7200)</f>
        <v>1319.4586239992561</v>
      </c>
      <c r="EN63">
        <f>EK63/(BN63*BA63*(AP63*195.084/1000+AQ63*106.42/1000+AR63*102.911/1000)*60*7200)</f>
        <v>2411.4496379121224</v>
      </c>
    </row>
    <row r="64" spans="1:144">
      <c r="A64">
        <f>'Costing 100 Lmin Feed Orig'!A64</f>
        <v>9</v>
      </c>
      <c r="B64">
        <f>'Costing 100 Lmin Feed Orig'!B64</f>
        <v>1.54143585092054E-3</v>
      </c>
      <c r="C64">
        <f>'Costing 100 Lmin Feed Orig'!C64</f>
        <v>1.54143585092054E-3</v>
      </c>
      <c r="D64">
        <f>'Costing 100 Lmin Feed Orig'!D64</f>
        <v>3.4254130020456501E-4</v>
      </c>
      <c r="E64">
        <f>'Costing 100 Lmin Feed Orig'!E64</f>
        <v>0</v>
      </c>
      <c r="F64">
        <f>'Costing 100 Lmin Feed Orig'!F64</f>
        <v>0</v>
      </c>
      <c r="G64">
        <f>'Costing 100 Lmin Feed Orig'!G64</f>
        <v>0</v>
      </c>
      <c r="H64">
        <f>'Costing 100 Lmin Feed Orig'!H64</f>
        <v>1.7768596981705501E-5</v>
      </c>
      <c r="I64">
        <f>'Costing 100 Lmin Feed Orig'!I64</f>
        <v>1.5331283704498101E-9</v>
      </c>
      <c r="J64">
        <f>'Costing 100 Lmin Feed Orig'!J64</f>
        <v>3.3763247208936601E-4</v>
      </c>
      <c r="K64">
        <f>'Costing 100 Lmin Feed Orig'!K64</f>
        <v>0.13890601070001499</v>
      </c>
      <c r="L64">
        <f>'Costing 100 Lmin Feed Orig'!L64</f>
        <v>0.14052575540227799</v>
      </c>
      <c r="M64">
        <f>'Costing 100 Lmin Feed Orig'!M64</f>
        <v>4.4751616793740602E-4</v>
      </c>
      <c r="N64">
        <f>'Costing 100 Lmin Feed Orig'!N64</f>
        <v>-5.0090140368830299E-17</v>
      </c>
      <c r="O64">
        <f>'Costing 100 Lmin Feed Orig'!O64</f>
        <v>-6.2343793322261397E-15</v>
      </c>
      <c r="P64">
        <f>'Costing 100 Lmin Feed Orig'!P64</f>
        <v>1.7787691892340301E-20</v>
      </c>
      <c r="Q64">
        <f>'Costing 100 Lmin Feed Orig'!Q64</f>
        <v>0.10969051996097</v>
      </c>
      <c r="R64">
        <f>'Costing 100 Lmin Feed Orig'!R64</f>
        <v>98.566938318892298</v>
      </c>
      <c r="S64">
        <f>'Costing 100 Lmin Feed Orig'!S64</f>
        <v>500</v>
      </c>
      <c r="T64">
        <f>'Costing 100 Lmin Feed Orig'!T64</f>
        <v>95</v>
      </c>
      <c r="U64">
        <f>'Costing 100 Lmin Feed Orig'!U64</f>
        <v>1</v>
      </c>
      <c r="V64">
        <f>'Costing 100 Lmin Feed Orig'!V64</f>
        <v>0.1</v>
      </c>
      <c r="W64">
        <f>'Costing 100 Lmin Feed Orig'!W64</f>
        <v>91.165581160141301</v>
      </c>
      <c r="X64" t="str">
        <f>'Costing 100 Lmin Feed Orig'!X64</f>
        <v>ddFc</v>
      </c>
      <c r="Y64">
        <f>'Costing 100 Lmin Feed Orig'!Y64</f>
        <v>1</v>
      </c>
      <c r="Z64">
        <f>'Costing 100 Lmin Feed Orig'!Z64</f>
        <v>0.28318429382522198</v>
      </c>
      <c r="AA64">
        <f>'Costing 100 Lmin Feed Orig'!AA64</f>
        <v>0.56945642916197003</v>
      </c>
      <c r="AB64">
        <f>'Costing 100 Lmin Feed Orig'!AB64</f>
        <v>3.7698628972227502E-3</v>
      </c>
      <c r="AC64">
        <f>'Costing 100 Lmin Feed Orig'!AC64</f>
        <v>1822.2107908876901</v>
      </c>
      <c r="AD64">
        <f>'Costing 100 Lmin Feed Orig'!AD64</f>
        <v>2662.6059073104898</v>
      </c>
      <c r="AE64">
        <f>'Costing 100 Lmin Feed Orig'!AE64</f>
        <v>2401.5030938442701</v>
      </c>
      <c r="AF64">
        <f>'Costing 100 Lmin Feed Orig'!AF64</f>
        <v>6</v>
      </c>
      <c r="AG64">
        <f>'Costing 100 Lmin Feed Orig'!AG64</f>
        <v>1.6497485970141401E-3</v>
      </c>
      <c r="AH64">
        <f>'Costing 100 Lmin Feed Orig'!AH64</f>
        <v>1.6689858606617799E-3</v>
      </c>
      <c r="AI64">
        <f>'Costing 100 Lmin Feed Orig'!AI64</f>
        <v>5.3150268046377499E-6</v>
      </c>
      <c r="AJ64">
        <f>'Costing 100 Lmin Feed Orig'!AJ64</f>
        <v>0</v>
      </c>
      <c r="AK64">
        <f>'Costing 100 Lmin Feed Orig'!AK64</f>
        <v>0</v>
      </c>
      <c r="AL64">
        <f>'Costing 100 Lmin Feed Orig'!AL64</f>
        <v>0</v>
      </c>
      <c r="AM64">
        <f>'Costing 100 Lmin Feed Orig'!AM64</f>
        <v>1.6121184009261799E-3</v>
      </c>
      <c r="AN64">
        <f>'Costing 100 Lmin Feed Orig'!AN64</f>
        <v>7.9568883775184404E-5</v>
      </c>
      <c r="AO64">
        <f>'Costing 100 Lmin Feed Orig'!AO64</f>
        <v>5.27945332060777E-6</v>
      </c>
      <c r="AP64">
        <f>'Costing 100 Lmin Feed Orig'!AP64</f>
        <v>1.7562244702796299E-3</v>
      </c>
      <c r="AQ64">
        <f>'Costing 100 Lmin Feed Orig'!AQ64</f>
        <v>7.4179071024813498E-2</v>
      </c>
      <c r="AR64">
        <f>'Costing 100 Lmin Feed Orig'!AR64</f>
        <v>1.6602364494864499E-6</v>
      </c>
      <c r="AS64">
        <f>'Costing 100 Lmin Feed Orig'!AS64</f>
        <v>-2.22939071717331E-18</v>
      </c>
      <c r="AT64">
        <f>'Costing 100 Lmin Feed Orig'!AT64</f>
        <v>-1.51137782844479E-16</v>
      </c>
      <c r="AU64">
        <f>'Costing 100 Lmin Feed Orig'!AU64</f>
        <v>-1.53524721689841E-21</v>
      </c>
      <c r="AV64">
        <f>'Costing 100 Lmin Feed Orig'!AV64</f>
        <v>0.19789226694805201</v>
      </c>
      <c r="AW64">
        <f>'Costing 100 Lmin Feed Orig'!AW64</f>
        <v>99.330699818880703</v>
      </c>
      <c r="AX64">
        <f>'Costing 100 Lmin Feed Orig'!AX64</f>
        <v>500</v>
      </c>
      <c r="AY64">
        <f>'Costing 100 Lmin Feed Orig'!AY64</f>
        <v>95</v>
      </c>
      <c r="AZ64">
        <f>'Costing 100 Lmin Feed Orig'!AZ64</f>
        <v>0.92357542033771201</v>
      </c>
      <c r="BA64">
        <f>'Costing 100 Lmin Feed Orig'!BA64</f>
        <v>0.1</v>
      </c>
      <c r="BB64">
        <f>'Costing 100 Lmin Feed Orig'!BB64</f>
        <v>46.670617027200798</v>
      </c>
      <c r="BC64" t="str">
        <f>'Costing 100 Lmin Feed Orig'!BC64</f>
        <v>coeFc</v>
      </c>
      <c r="BD64">
        <f>'Costing 100 Lmin Feed Orig'!BD64</f>
        <v>1</v>
      </c>
      <c r="BE64">
        <f>'Costing 100 Lmin Feed Orig'!BE64</f>
        <v>1.8775014999999999E-2</v>
      </c>
      <c r="BF64">
        <f>'Costing 100 Lmin Feed Orig'!BF64</f>
        <v>0.10492961100000001</v>
      </c>
      <c r="BG64">
        <f>'Costing 100 Lmin Feed Orig'!BG64</f>
        <v>1.814625E-3</v>
      </c>
      <c r="BH64">
        <f>'Costing 100 Lmin Feed Orig'!BH64</f>
        <v>285.1951444</v>
      </c>
      <c r="BI64">
        <f>'Costing 100 Lmin Feed Orig'!BI64</f>
        <v>2169.8944889999998</v>
      </c>
      <c r="BJ64">
        <f>'Costing 100 Lmin Feed Orig'!BJ64</f>
        <v>866.49409060000005</v>
      </c>
      <c r="BK64">
        <f>'Costing 100 Lmin Feed Orig'!BK64</f>
        <v>100</v>
      </c>
      <c r="BL64">
        <f>'Costing 100 Lmin Feed Orig'!BL64</f>
        <v>10.969051996096999</v>
      </c>
      <c r="BM64">
        <f>'Costing 100 Lmin Feed Orig'!BM64</f>
        <v>92.357542033771196</v>
      </c>
      <c r="BN64">
        <f>'Costing 100 Lmin Feed Orig'!BN64</f>
        <v>19.789226694805201</v>
      </c>
      <c r="BO64">
        <f t="shared" si="1"/>
        <v>241.31914391413397</v>
      </c>
      <c r="BP64">
        <f t="shared" si="2"/>
        <v>316.62762711688322</v>
      </c>
      <c r="BQ64">
        <f t="shared" si="3"/>
        <v>24.1319143914134</v>
      </c>
      <c r="BR64">
        <f t="shared" si="4"/>
        <v>31.662762711688323</v>
      </c>
      <c r="BS64">
        <f>1.2*0.5*BL64*V64/'Oxidant Feed Composition'!$N$22</f>
        <v>6.5814311976581994</v>
      </c>
      <c r="BT64">
        <f>1.2*0.5*BN64*BA64/'Oxidant Feed Composition'!$N$22</f>
        <v>11.87353601688312</v>
      </c>
      <c r="BU64">
        <f t="shared" si="5"/>
        <v>5.4845259980484995</v>
      </c>
      <c r="BV64">
        <f t="shared" si="6"/>
        <v>9.8946133474026006</v>
      </c>
      <c r="BW64">
        <f t="shared" si="7"/>
        <v>86.873016035722699</v>
      </c>
      <c r="BX64">
        <f t="shared" si="0"/>
        <v>35.100966387510397</v>
      </c>
      <c r="BY64">
        <f t="shared" si="8"/>
        <v>206.65318805973638</v>
      </c>
      <c r="BZ64">
        <f t="shared" si="9"/>
        <v>63.325525423376646</v>
      </c>
      <c r="CA64">
        <f t="shared" si="10"/>
        <v>59.367680084415603</v>
      </c>
      <c r="CB64">
        <f>BO64*'Reagent cost'!$G$11*'Reagent cost'!$H$11</f>
        <v>3185.4126996665682</v>
      </c>
      <c r="CC64">
        <f>BP64*'Reagent cost'!$G$11*'Reagent cost'!$H$11</f>
        <v>4179.484677942859</v>
      </c>
      <c r="CD64">
        <f>BQ64*'Reagent cost'!$C$18/1000*'Reagent cost'!$H$18</f>
        <v>3848.5686313477631</v>
      </c>
      <c r="CE64">
        <f>BR64*'Ligand cost'!$B$56*'Ligand cost'!$J$56</f>
        <v>32236.736786471469</v>
      </c>
      <c r="CF64">
        <f t="shared" si="11"/>
        <v>10</v>
      </c>
      <c r="CG64">
        <f t="shared" si="12"/>
        <v>2.1938103992193998</v>
      </c>
      <c r="CH64">
        <f t="shared" si="12"/>
        <v>3.9578453389610404</v>
      </c>
      <c r="CI64">
        <f>7963.6*(BX64/1000)^0.6*1.7*('CAPEX+OPEX'!$G$116/'CAPEX+OPEX'!$G$115)</f>
        <v>2140.0916471558648</v>
      </c>
      <c r="CJ64">
        <f>7963.6*(BY64/1000)^0.6*1.7*('CAPEX+OPEX'!$G$116/'CAPEX+OPEX'!$G$115)</f>
        <v>6199.9215410229135</v>
      </c>
      <c r="CK64">
        <f>7963.6*(BZ64/1000)^0.6*1.7*('CAPEX+OPEX'!$G$116/'CAPEX+OPEX'!$G$115)</f>
        <v>3049.2161337270823</v>
      </c>
      <c r="CL64">
        <f>7963.6*(CA64/1000)^0.6*1.7*('CAPEX+OPEX'!$G$116/'CAPEX+OPEX'!$G$115)</f>
        <v>2933.3978871881586</v>
      </c>
      <c r="CM64">
        <f>'Costing 100 Lmin Feed Orig'!DE64</f>
        <v>39625.826528698344</v>
      </c>
      <c r="CN64">
        <f>'Costing 100 Lmin Feed Orig'!DF64</f>
        <v>4586243.4239371875</v>
      </c>
      <c r="CO64">
        <f>'Costing 100 Lmin Feed Orig'!DG64</f>
        <v>11794834.586807497</v>
      </c>
      <c r="CP64">
        <f>'Costing 100 Lmin Feed Orig'!DH64</f>
        <v>2275209.1661185985</v>
      </c>
      <c r="CQ64">
        <f>'Costing 100 Lmin Feed Orig'!DI64</f>
        <v>14083914.336508472</v>
      </c>
      <c r="CR64">
        <f>'Costing 100 Lmin Feed Orig'!DJ64</f>
        <v>1662824.8986326549</v>
      </c>
      <c r="CS64">
        <f>CN64*(BK64/10000)^0.72*((A64+1)/3)^0.6*('CAPEX+OPEX'!$G$116/'CAPEX+OPEX'!$G$114)</f>
        <v>800322.53402245743</v>
      </c>
      <c r="CT64">
        <f>CO64*(BK64/10000)^0.72*((A64+1)/3)^0.6*('CAPEX+OPEX'!$G$116/'CAPEX+OPEX'!$G$114)</f>
        <v>2058257.9318883498</v>
      </c>
      <c r="CU64">
        <f>CP64*(BK64/10000)^0.72*((A64+1)/3)^0.6*('CAPEX+OPEX'!$G$116/'CAPEX+OPEX'!$G$114)</f>
        <v>397035.437708179</v>
      </c>
      <c r="CV64">
        <f>CQ64*(BK64/10000)^0.72*((A64+1)/3)^0.6*('CAPEX+OPEX'!$G$116/'CAPEX+OPEX'!$G$114)</f>
        <v>2457713.856163613</v>
      </c>
      <c r="CW64">
        <f>CR64*(BK64/10000)^0.72*((A64+1)/3)^0.6*('CAPEX+OPEX'!$G$116/'CAPEX+OPEX'!$G$114)</f>
        <v>290171.30437591631</v>
      </c>
      <c r="CX64">
        <f t="shared" si="13"/>
        <v>6003501.064158516</v>
      </c>
      <c r="CY64">
        <f>CN64*(BM64/10000)^0.72*((AF64+1)/3)^0.6*('CAPEX+OPEX'!$G$116/'CAPEX+OPEX'!$G$114)</f>
        <v>610188.43601728987</v>
      </c>
      <c r="CZ64">
        <f>CO64*(BM64/10000)^0.72*((AF64+1)/3)^0.6*('CAPEX+OPEX'!$G$116/'CAPEX+OPEX'!$G$114)</f>
        <v>1569273.8052329933</v>
      </c>
      <c r="DA64">
        <f>CP64*(BM64/10000)^0.72*((AF64+1)/3)^0.6*('CAPEX+OPEX'!$G$116/'CAPEX+OPEX'!$G$114)</f>
        <v>302710.99772856798</v>
      </c>
      <c r="DB64">
        <f>CQ64*(BM64/10000)^0.72*((AF64+1)/3)^0.6*('CAPEX+OPEX'!$G$116/'CAPEX+OPEX'!$G$114)</f>
        <v>1873830.2500781715</v>
      </c>
      <c r="DC64">
        <f>CR64*(BM64/10000)^0.72*((AF64+1)/3)^0.6*('CAPEX+OPEX'!$G$116/'CAPEX+OPEX'!$G$114)</f>
        <v>221234.77331611529</v>
      </c>
      <c r="DD64">
        <f t="shared" si="14"/>
        <v>4577238.2623731382</v>
      </c>
      <c r="DE64">
        <f>CX64+DD64+1.15*(SUM(CI64:CL64)+SUM(CB64:CE64))</f>
        <v>10647178.081036855</v>
      </c>
      <c r="DF64">
        <f t="shared" si="15"/>
        <v>709811.87206912367</v>
      </c>
      <c r="DG64">
        <f>(BS64+BT64)*'Oxidant Feed Composition'!$N$29*60*7200</f>
        <v>9206656.0694710165</v>
      </c>
      <c r="DH64">
        <f>((CG64+CH64)*'Reagent cost'!$C$17/1000*'Reagent cost'!$H$17+(CG64+CH64)*0.5*'Reagent cost'!$C$16/1000*'Reagent cost'!$H$16*0.5)*60*7200</f>
        <v>3116880.0824271636</v>
      </c>
      <c r="DI64">
        <f>CF64*'Reagent cost'!$C$17/1000*'Reagent cost'!$H$17*60*7200</f>
        <v>504921.59999999998</v>
      </c>
      <c r="DJ64">
        <f t="shared" si="16"/>
        <v>73.64897377609428</v>
      </c>
      <c r="DK64">
        <f t="shared" si="17"/>
        <v>721.70610835638468</v>
      </c>
      <c r="DL64">
        <f t="shared" si="18"/>
        <v>15395103.728376372</v>
      </c>
      <c r="DM64">
        <f>BK64*(B64*(409.81+2)/1000+C64*(248.2+2*22.99)/1000+D64*(315.6+3*22.99)/1000+0.1*58.44/1000)</f>
        <v>0.70639694042110623</v>
      </c>
      <c r="DN64">
        <f>(BS64+BT64)/1000*('Oxidant Feed Composition'!$B$11*'Oxidant Feed Composition'!$O$20+'Oxidant Feed Composition'!$D$11*'Oxidant Feed Composition'!$O$21+'Oxidant Feed Composition'!$F$11*'Oxidant Feed Composition'!$O$27-'Oxidant Feed Composition'!$J$15*18.015)</f>
        <v>2.1552548568652892</v>
      </c>
      <c r="DO64">
        <f>(BU64+BV64)/1000*(0.2*368.34+0.4*58.44)</f>
        <v>1.4924531986399567</v>
      </c>
      <c r="DP64">
        <f>BK64/1000*(B64*195.08+C64*106.42+D64*102.91)</f>
        <v>4.999938342565946E-2</v>
      </c>
      <c r="DQ64">
        <f>SUM(DM64:DO64)-DP64</f>
        <v>4.3041056125006927</v>
      </c>
      <c r="DR64">
        <f>DQ64*60*7200*0.33</f>
        <v>613593.29611809878</v>
      </c>
      <c r="DS64">
        <v>1.2</v>
      </c>
      <c r="DT64">
        <f>BM64/60*(AM64*4+AN64*2+AO64*3)*96485/DV64</f>
        <v>1405.2937722269342</v>
      </c>
      <c r="DU64">
        <f>BN64*BA64*(AP64*4+AQ64*2+AR64*3)*96485/DV64/60</f>
        <v>706.41004951793764</v>
      </c>
      <c r="DV64">
        <v>0.7</v>
      </c>
      <c r="DW64">
        <f>0.499*((BK64/3.78541*15)^(-0.146))*BK64/3.78541*15*300*(1+(A64-2)/9)</f>
        <v>44032.441905260595</v>
      </c>
      <c r="DX64">
        <f>0.248*((BK64/3.78541*15)^(-0.144))*BK64/3.78541*15*300*(1+(A64-2)/3)</f>
        <v>41526.098972294596</v>
      </c>
      <c r="DY64">
        <f>0.105*((BK64/3.78541*15)^(-0.144))*BK64/3.78541*15*300*(1+(A64-2)/3)</f>
        <v>17581.614484237631</v>
      </c>
      <c r="DZ64">
        <f>0.058*((BK64/3.78541*15)^(-0.151))*BK64/3.78541*15*300*(1+(A64-2)/3)</f>
        <v>9313.4716969742931</v>
      </c>
      <c r="EA64">
        <f>0.056*((BK64/3.78541*15)^(-0.144))*BK64/3.78541*15*300*(1+(A64-2)/3)</f>
        <v>9376.8610582600722</v>
      </c>
      <c r="EB64">
        <f>DS64*DT64/(3.6*10^6)*3600*7200*0.07</f>
        <v>849.92167344284985</v>
      </c>
      <c r="EC64">
        <f>0.499*((BM64/3.78541*15)^(-0.146))*BM64/3.78541*15*300*(1+(AF64-2)/9)</f>
        <v>33427.93439946045</v>
      </c>
      <c r="ED64">
        <f>0.248*((BM64/3.78541*15)^(-0.144))*BM64/3.78541*15*300*(1+(AF64-2)/3)</f>
        <v>27155.857449524232</v>
      </c>
      <c r="EE64">
        <f>0.105*((BM64/3.78541*15)^(-0.144))*BM64/3.78541*15*300*(1+(AF64-2)/3)</f>
        <v>11497.439645967921</v>
      </c>
      <c r="EF64">
        <f>0.058*((BM64/3.78541*15)^(-0.151))*BM64/3.78541*15*300*(1+(AF64-2)/3)</f>
        <v>6093.9049790871513</v>
      </c>
      <c r="EG64">
        <f>0.056*((BM64/3.78541*15)^(-0.144))*BM64/3.78541*15*300*(1+(AF64-2)/3)</f>
        <v>6131.9678111828907</v>
      </c>
      <c r="EH64">
        <f>DS64*DU64/(3.6*10^6)*3600*7200*0.07</f>
        <v>427.23679794844873</v>
      </c>
      <c r="EI64">
        <f>SUM(DW64:EH64)</f>
        <v>207414.75087364111</v>
      </c>
      <c r="EJ64">
        <f>EI64+DR64+DL64</f>
        <v>16216111.775368111</v>
      </c>
      <c r="EK64">
        <f>EJ64+DF64</f>
        <v>16925923.647437233</v>
      </c>
      <c r="EL64">
        <f>EK64/(BK64*60*7200)</f>
        <v>0.39180378813512112</v>
      </c>
      <c r="EM64">
        <f>EK64/(BM64*(AM64*195.084/1000+AN64*106.42/1000+AO64*102.911/1000)*60*7200)</f>
        <v>1311.3214687906022</v>
      </c>
      <c r="EN64">
        <f>EK64/(BN64*BA64*(AP64*195.084/1000+AQ64*106.42/1000+AR64*102.911/1000)*60*7200)</f>
        <v>2403.6709658929631</v>
      </c>
    </row>
    <row r="65" spans="1:144">
      <c r="A65">
        <f>'Costing 100 Lmin Feed Orig'!A65</f>
        <v>9</v>
      </c>
      <c r="B65">
        <f>'Costing 100 Lmin Feed Orig'!B65</f>
        <v>1.54143585092054E-3</v>
      </c>
      <c r="C65">
        <f>'Costing 100 Lmin Feed Orig'!C65</f>
        <v>1.54143585092054E-3</v>
      </c>
      <c r="D65">
        <f>'Costing 100 Lmin Feed Orig'!D65</f>
        <v>3.4254130020456501E-4</v>
      </c>
      <c r="E65">
        <f>'Costing 100 Lmin Feed Orig'!E65</f>
        <v>0</v>
      </c>
      <c r="F65">
        <f>'Costing 100 Lmin Feed Orig'!F65</f>
        <v>0</v>
      </c>
      <c r="G65">
        <f>'Costing 100 Lmin Feed Orig'!G65</f>
        <v>0</v>
      </c>
      <c r="H65">
        <f>'Costing 100 Lmin Feed Orig'!H65</f>
        <v>1.7768596981705501E-5</v>
      </c>
      <c r="I65">
        <f>'Costing 100 Lmin Feed Orig'!I65</f>
        <v>1.5331283704498101E-9</v>
      </c>
      <c r="J65">
        <f>'Costing 100 Lmin Feed Orig'!J65</f>
        <v>3.3763247208936601E-4</v>
      </c>
      <c r="K65">
        <f>'Costing 100 Lmin Feed Orig'!K65</f>
        <v>0.13890601070001499</v>
      </c>
      <c r="L65">
        <f>'Costing 100 Lmin Feed Orig'!L65</f>
        <v>0.14052575540227799</v>
      </c>
      <c r="M65">
        <f>'Costing 100 Lmin Feed Orig'!M65</f>
        <v>4.4751616793740602E-4</v>
      </c>
      <c r="N65">
        <f>'Costing 100 Lmin Feed Orig'!N65</f>
        <v>-5.0090140368830299E-17</v>
      </c>
      <c r="O65">
        <f>'Costing 100 Lmin Feed Orig'!O65</f>
        <v>-6.2343793322261397E-15</v>
      </c>
      <c r="P65">
        <f>'Costing 100 Lmin Feed Orig'!P65</f>
        <v>1.7787691892340301E-20</v>
      </c>
      <c r="Q65">
        <f>'Costing 100 Lmin Feed Orig'!Q65</f>
        <v>0.10969051996097</v>
      </c>
      <c r="R65">
        <f>'Costing 100 Lmin Feed Orig'!R65</f>
        <v>98.566938318892298</v>
      </c>
      <c r="S65">
        <f>'Costing 100 Lmin Feed Orig'!S65</f>
        <v>500</v>
      </c>
      <c r="T65">
        <f>'Costing 100 Lmin Feed Orig'!T65</f>
        <v>95</v>
      </c>
      <c r="U65">
        <f>'Costing 100 Lmin Feed Orig'!U65</f>
        <v>1</v>
      </c>
      <c r="V65">
        <f>'Costing 100 Lmin Feed Orig'!V65</f>
        <v>0.1</v>
      </c>
      <c r="W65">
        <f>'Costing 100 Lmin Feed Orig'!W65</f>
        <v>91.165581160141301</v>
      </c>
      <c r="X65" t="str">
        <f>'Costing 100 Lmin Feed Orig'!X65</f>
        <v>ddFc</v>
      </c>
      <c r="Y65">
        <f>'Costing 100 Lmin Feed Orig'!Y65</f>
        <v>1</v>
      </c>
      <c r="Z65">
        <f>'Costing 100 Lmin Feed Orig'!Z65</f>
        <v>0.28318429382522198</v>
      </c>
      <c r="AA65">
        <f>'Costing 100 Lmin Feed Orig'!AA65</f>
        <v>0.56945642916197003</v>
      </c>
      <c r="AB65">
        <f>'Costing 100 Lmin Feed Orig'!AB65</f>
        <v>3.7698628972227502E-3</v>
      </c>
      <c r="AC65">
        <f>'Costing 100 Lmin Feed Orig'!AC65</f>
        <v>1822.2107908876901</v>
      </c>
      <c r="AD65">
        <f>'Costing 100 Lmin Feed Orig'!AD65</f>
        <v>2662.6059073104898</v>
      </c>
      <c r="AE65">
        <f>'Costing 100 Lmin Feed Orig'!AE65</f>
        <v>2401.5030938442701</v>
      </c>
      <c r="AF65">
        <f>'Costing 100 Lmin Feed Orig'!AF65</f>
        <v>7</v>
      </c>
      <c r="AG65">
        <f>'Costing 100 Lmin Feed Orig'!AG65</f>
        <v>1.6497485970141401E-3</v>
      </c>
      <c r="AH65">
        <f>'Costing 100 Lmin Feed Orig'!AH65</f>
        <v>1.6689858606617799E-3</v>
      </c>
      <c r="AI65">
        <f>'Costing 100 Lmin Feed Orig'!AI65</f>
        <v>5.3150268046377499E-6</v>
      </c>
      <c r="AJ65">
        <f>'Costing 100 Lmin Feed Orig'!AJ65</f>
        <v>0</v>
      </c>
      <c r="AK65">
        <f>'Costing 100 Lmin Feed Orig'!AK65</f>
        <v>0</v>
      </c>
      <c r="AL65">
        <f>'Costing 100 Lmin Feed Orig'!AL65</f>
        <v>0</v>
      </c>
      <c r="AM65">
        <f>'Costing 100 Lmin Feed Orig'!AM65</f>
        <v>1.6126074648206801E-3</v>
      </c>
      <c r="AN65">
        <f>'Costing 100 Lmin Feed Orig'!AN65</f>
        <v>7.9594180322832604E-5</v>
      </c>
      <c r="AO65">
        <f>'Costing 100 Lmin Feed Orig'!AO65</f>
        <v>5.2798967729928503E-6</v>
      </c>
      <c r="AP65">
        <f>'Costing 100 Lmin Feed Orig'!AP65</f>
        <v>1.73979110112154E-3</v>
      </c>
      <c r="AQ65">
        <f>'Costing 100 Lmin Feed Orig'!AQ65</f>
        <v>7.4451405715099297E-2</v>
      </c>
      <c r="AR65">
        <f>'Costing 100 Lmin Feed Orig'!AR65</f>
        <v>1.64558571126931E-6</v>
      </c>
      <c r="AS65">
        <f>'Costing 100 Lmin Feed Orig'!AS65</f>
        <v>-4.4791102250807402E-18</v>
      </c>
      <c r="AT65">
        <f>'Costing 100 Lmin Feed Orig'!AT65</f>
        <v>-1.7100036664441299E-15</v>
      </c>
      <c r="AU65">
        <f>'Costing 100 Lmin Feed Orig'!AU65</f>
        <v>-4.5064799771888903E-21</v>
      </c>
      <c r="AV65">
        <f>'Costing 100 Lmin Feed Orig'!AV65</f>
        <v>0.19716526171033899</v>
      </c>
      <c r="AW65">
        <f>'Costing 100 Lmin Feed Orig'!AW65</f>
        <v>99.339043189504693</v>
      </c>
      <c r="AX65">
        <f>'Costing 100 Lmin Feed Orig'!AX65</f>
        <v>500</v>
      </c>
      <c r="AY65">
        <f>'Costing 100 Lmin Feed Orig'!AY65</f>
        <v>95</v>
      </c>
      <c r="AZ65">
        <f>'Costing 100 Lmin Feed Orig'!AZ65</f>
        <v>0.92357542033771201</v>
      </c>
      <c r="BA65">
        <f>'Costing 100 Lmin Feed Orig'!BA65</f>
        <v>0.1</v>
      </c>
      <c r="BB65">
        <f>'Costing 100 Lmin Feed Orig'!BB65</f>
        <v>46.842705065081802</v>
      </c>
      <c r="BC65" t="str">
        <f>'Costing 100 Lmin Feed Orig'!BC65</f>
        <v>coeFc</v>
      </c>
      <c r="BD65">
        <f>'Costing 100 Lmin Feed Orig'!BD65</f>
        <v>1</v>
      </c>
      <c r="BE65">
        <f>'Costing 100 Lmin Feed Orig'!BE65</f>
        <v>1.8775014999999999E-2</v>
      </c>
      <c r="BF65">
        <f>'Costing 100 Lmin Feed Orig'!BF65</f>
        <v>0.10492961100000001</v>
      </c>
      <c r="BG65">
        <f>'Costing 100 Lmin Feed Orig'!BG65</f>
        <v>1.814625E-3</v>
      </c>
      <c r="BH65">
        <f>'Costing 100 Lmin Feed Orig'!BH65</f>
        <v>285.1951444</v>
      </c>
      <c r="BI65">
        <f>'Costing 100 Lmin Feed Orig'!BI65</f>
        <v>2169.8944889999998</v>
      </c>
      <c r="BJ65">
        <f>'Costing 100 Lmin Feed Orig'!BJ65</f>
        <v>866.49409060000005</v>
      </c>
      <c r="BK65">
        <f>'Costing 100 Lmin Feed Orig'!BK65</f>
        <v>100</v>
      </c>
      <c r="BL65">
        <f>'Costing 100 Lmin Feed Orig'!BL65</f>
        <v>10.969051996096999</v>
      </c>
      <c r="BM65">
        <f>'Costing 100 Lmin Feed Orig'!BM65</f>
        <v>92.357542033771196</v>
      </c>
      <c r="BN65">
        <f>'Costing 100 Lmin Feed Orig'!BN65</f>
        <v>19.716526171033898</v>
      </c>
      <c r="BO65">
        <f t="shared" si="1"/>
        <v>241.31914391413397</v>
      </c>
      <c r="BP65">
        <f t="shared" si="2"/>
        <v>354.89747107861018</v>
      </c>
      <c r="BQ65">
        <f t="shared" si="3"/>
        <v>24.1319143914134</v>
      </c>
      <c r="BR65">
        <f t="shared" si="4"/>
        <v>35.489747107861021</v>
      </c>
      <c r="BS65">
        <f>1.2*0.5*BL65*V65/'Oxidant Feed Composition'!$N$22</f>
        <v>6.5814311976581994</v>
      </c>
      <c r="BT65">
        <f>1.2*0.5*BN65*BA65/'Oxidant Feed Composition'!$N$22</f>
        <v>11.829915702620339</v>
      </c>
      <c r="BU65">
        <f t="shared" si="5"/>
        <v>5.4845259980484995</v>
      </c>
      <c r="BV65">
        <f t="shared" si="6"/>
        <v>9.8582630855169491</v>
      </c>
      <c r="BW65">
        <f t="shared" si="7"/>
        <v>86.873016035722699</v>
      </c>
      <c r="BX65">
        <f t="shared" si="0"/>
        <v>35.100966387510397</v>
      </c>
      <c r="BY65">
        <f t="shared" si="8"/>
        <v>206.65318805973638</v>
      </c>
      <c r="BZ65">
        <f t="shared" si="9"/>
        <v>63.092883747308477</v>
      </c>
      <c r="CA65">
        <f t="shared" si="10"/>
        <v>59.149578513101694</v>
      </c>
      <c r="CB65">
        <f>BO65*'Reagent cost'!$G$11*'Reagent cost'!$H$11</f>
        <v>3185.4126996665682</v>
      </c>
      <c r="CC65">
        <f>BP65*'Reagent cost'!$G$11*'Reagent cost'!$H$11</f>
        <v>4684.6466182376553</v>
      </c>
      <c r="CD65">
        <f>BQ65*'Reagent cost'!$C$18/1000*'Reagent cost'!$H$18</f>
        <v>3848.5686313477631</v>
      </c>
      <c r="CE65">
        <f>BR65*'Ligand cost'!$B$56*'Ligand cost'!$J$56</f>
        <v>36133.095729900335</v>
      </c>
      <c r="CF65">
        <f t="shared" si="11"/>
        <v>10</v>
      </c>
      <c r="CG65">
        <f t="shared" si="12"/>
        <v>2.1938103992193998</v>
      </c>
      <c r="CH65">
        <f t="shared" si="12"/>
        <v>3.9433052342067798</v>
      </c>
      <c r="CI65">
        <f>7963.6*(BX65/1000)^0.6*1.7*('CAPEX+OPEX'!$G$116/'CAPEX+OPEX'!$G$115)</f>
        <v>2140.0916471558648</v>
      </c>
      <c r="CJ65">
        <f>7963.6*(BY65/1000)^0.6*1.7*('CAPEX+OPEX'!$G$116/'CAPEX+OPEX'!$G$115)</f>
        <v>6199.9215410229135</v>
      </c>
      <c r="CK65">
        <f>7963.6*(BZ65/1000)^0.6*1.7*('CAPEX+OPEX'!$G$116/'CAPEX+OPEX'!$G$115)</f>
        <v>3042.489965836156</v>
      </c>
      <c r="CL65">
        <f>7963.6*(CA65/1000)^0.6*1.7*('CAPEX+OPEX'!$G$116/'CAPEX+OPEX'!$G$115)</f>
        <v>2926.927199045761</v>
      </c>
      <c r="CM65">
        <f>'Costing 100 Lmin Feed Orig'!DE65</f>
        <v>39625.826528698344</v>
      </c>
      <c r="CN65">
        <f>'Costing 100 Lmin Feed Orig'!DF65</f>
        <v>4586243.4239371875</v>
      </c>
      <c r="CO65">
        <f>'Costing 100 Lmin Feed Orig'!DG65</f>
        <v>11794834.586807497</v>
      </c>
      <c r="CP65">
        <f>'Costing 100 Lmin Feed Orig'!DH65</f>
        <v>2275209.1661185985</v>
      </c>
      <c r="CQ65">
        <f>'Costing 100 Lmin Feed Orig'!DI65</f>
        <v>14083914.336508472</v>
      </c>
      <c r="CR65">
        <f>'Costing 100 Lmin Feed Orig'!DJ65</f>
        <v>1662824.8986326549</v>
      </c>
      <c r="CS65">
        <f>CN65*(BK65/10000)^0.72*((A65+1)/3)^0.6*('CAPEX+OPEX'!$G$116/'CAPEX+OPEX'!$G$114)</f>
        <v>800322.53402245743</v>
      </c>
      <c r="CT65">
        <f>CO65*(BK65/10000)^0.72*((A65+1)/3)^0.6*('CAPEX+OPEX'!$G$116/'CAPEX+OPEX'!$G$114)</f>
        <v>2058257.9318883498</v>
      </c>
      <c r="CU65">
        <f>CP65*(BK65/10000)^0.72*((A65+1)/3)^0.6*('CAPEX+OPEX'!$G$116/'CAPEX+OPEX'!$G$114)</f>
        <v>397035.437708179</v>
      </c>
      <c r="CV65">
        <f>CQ65*(BK65/10000)^0.72*((A65+1)/3)^0.6*('CAPEX+OPEX'!$G$116/'CAPEX+OPEX'!$G$114)</f>
        <v>2457713.856163613</v>
      </c>
      <c r="CW65">
        <f>CR65*(BK65/10000)^0.72*((A65+1)/3)^0.6*('CAPEX+OPEX'!$G$116/'CAPEX+OPEX'!$G$114)</f>
        <v>290171.30437591631</v>
      </c>
      <c r="CX65">
        <f t="shared" si="13"/>
        <v>6003501.064158516</v>
      </c>
      <c r="CY65">
        <f>CN65*(BM65/10000)^0.72*((AF65+1)/3)^0.6*('CAPEX+OPEX'!$G$116/'CAPEX+OPEX'!$G$114)</f>
        <v>661087.79766298935</v>
      </c>
      <c r="CZ65">
        <f>CO65*(BM65/10000)^0.72*((AF65+1)/3)^0.6*('CAPEX+OPEX'!$G$116/'CAPEX+OPEX'!$G$114)</f>
        <v>1700176.0482434032</v>
      </c>
      <c r="DA65">
        <f>CP65*(BM65/10000)^0.72*((AF65+1)/3)^0.6*('CAPEX+OPEX'!$G$116/'CAPEX+OPEX'!$G$114)</f>
        <v>327961.88030524191</v>
      </c>
      <c r="DB65">
        <f>CQ65*(BM65/10000)^0.72*((AF65+1)/3)^0.6*('CAPEX+OPEX'!$G$116/'CAPEX+OPEX'!$G$114)</f>
        <v>2030137.3151282831</v>
      </c>
      <c r="DC65">
        <f>CR65*(BM65/10000)^0.72*((AF65+1)/3)^0.6*('CAPEX+OPEX'!$G$116/'CAPEX+OPEX'!$G$114)</f>
        <v>239689.25077085066</v>
      </c>
      <c r="DD65">
        <f t="shared" si="14"/>
        <v>4959052.2921107681</v>
      </c>
      <c r="DE65">
        <f>CX65+DD65+1.15*(SUM(CI65:CL65)+SUM(CB65:CE65))</f>
        <v>11034038.683406331</v>
      </c>
      <c r="DF65">
        <f t="shared" si="15"/>
        <v>735602.57889375533</v>
      </c>
      <c r="DG65">
        <f>(BS65+BT65)*'Oxidant Feed Composition'!$N$29*60*7200</f>
        <v>9184895.1404814906</v>
      </c>
      <c r="DH65">
        <f>((CG65+CH65)*'Reagent cost'!$C$17/1000*'Reagent cost'!$H$17+(CG65+CH65)*0.5*'Reagent cost'!$C$16/1000*'Reagent cost'!$H$16*0.5)*60*7200</f>
        <v>3109512.9986965712</v>
      </c>
      <c r="DI65">
        <f>CF65*'Reagent cost'!$C$17/1000*'Reagent cost'!$H$17*60*7200</f>
        <v>504921.59999999998</v>
      </c>
      <c r="DJ65">
        <f t="shared" si="16"/>
        <v>78.70059317904223</v>
      </c>
      <c r="DK65">
        <f t="shared" si="17"/>
        <v>799.63328722496203</v>
      </c>
      <c r="DL65">
        <f t="shared" si="18"/>
        <v>15360249.687670158</v>
      </c>
      <c r="DM65">
        <f>BK65*(B65*(409.81+2)/1000+C65*(248.2+2*22.99)/1000+D65*(315.6+3*22.99)/1000+0.1*58.44/1000)</f>
        <v>0.70639694042110623</v>
      </c>
      <c r="DN65">
        <f>(BS65+BT65)/1000*('Oxidant Feed Composition'!$B$11*'Oxidant Feed Composition'!$O$20+'Oxidant Feed Composition'!$D$11*'Oxidant Feed Composition'!$O$21+'Oxidant Feed Composition'!$F$11*'Oxidant Feed Composition'!$O$27-'Oxidant Feed Composition'!$J$15*18.015)</f>
        <v>2.1501606785294545</v>
      </c>
      <c r="DO65">
        <f>(BU65+BV65)/1000*(0.2*368.34+0.4*58.44)</f>
        <v>1.4889256238255253</v>
      </c>
      <c r="DP65">
        <f>BK65/1000*(B65*195.08+C65*106.42+D65*102.91)</f>
        <v>4.999938342565946E-2</v>
      </c>
      <c r="DQ65">
        <f>SUM(DM65:DO65)-DP65</f>
        <v>4.2954838593504263</v>
      </c>
      <c r="DR65">
        <f>DQ65*60*7200*0.33</f>
        <v>612364.17898899678</v>
      </c>
      <c r="DS65">
        <v>1.2</v>
      </c>
      <c r="DT65">
        <f>BM65/60*(AM65*4+AN65*2+AO65*3)*96485/DV65</f>
        <v>1405.7198464932956</v>
      </c>
      <c r="DU65">
        <f>BN65*BA65*(AP65*4+AQ65*2+AR65*3)*96485/DV65/60</f>
        <v>705.98397525229223</v>
      </c>
      <c r="DV65">
        <v>0.7</v>
      </c>
      <c r="DW65">
        <f>0.499*((BK65/3.78541*15)^(-0.146))*BK65/3.78541*15*300*(1+(A65-2)/9)</f>
        <v>44032.441905260595</v>
      </c>
      <c r="DX65">
        <f>0.248*((BK65/3.78541*15)^(-0.144))*BK65/3.78541*15*300*(1+(A65-2)/3)</f>
        <v>41526.098972294596</v>
      </c>
      <c r="DY65">
        <f>0.105*((BK65/3.78541*15)^(-0.144))*BK65/3.78541*15*300*(1+(A65-2)/3)</f>
        <v>17581.614484237631</v>
      </c>
      <c r="DZ65">
        <f>0.058*((BK65/3.78541*15)^(-0.151))*BK65/3.78541*15*300*(1+(A65-2)/3)</f>
        <v>9313.4716969742931</v>
      </c>
      <c r="EA65">
        <f>0.056*((BK65/3.78541*15)^(-0.144))*BK65/3.78541*15*300*(1+(A65-2)/3)</f>
        <v>9376.8610582600722</v>
      </c>
      <c r="EB65">
        <f>DS65*DT65/(3.6*10^6)*3600*7200*0.07</f>
        <v>850.17936315914517</v>
      </c>
      <c r="EC65">
        <f>0.499*((BM65/3.78541*15)^(-0.146))*BM65/3.78541*15*300*(1+(AF65-2)/9)</f>
        <v>35999.313968649723</v>
      </c>
      <c r="ED65">
        <f>0.248*((BM65/3.78541*15)^(-0.144))*BM65/3.78541*15*300*(1+(AF65-2)/3)</f>
        <v>31035.265656599127</v>
      </c>
      <c r="EE65">
        <f>0.105*((BM65/3.78541*15)^(-0.144))*BM65/3.78541*15*300*(1+(AF65-2)/3)</f>
        <v>13139.93102396334</v>
      </c>
      <c r="EF65">
        <f>0.058*((BM65/3.78541*15)^(-0.151))*BM65/3.78541*15*300*(1+(AF65-2)/3)</f>
        <v>6964.46283324246</v>
      </c>
      <c r="EG65">
        <f>0.056*((BM65/3.78541*15)^(-0.144))*BM65/3.78541*15*300*(1+(AF65-2)/3)</f>
        <v>7007.963212780448</v>
      </c>
      <c r="EH65">
        <f>DS65*DU65/(3.6*10^6)*3600*7200*0.07</f>
        <v>426.97910823258638</v>
      </c>
      <c r="EI65">
        <f>SUM(DW65:EH65)</f>
        <v>217254.58328365404</v>
      </c>
      <c r="EJ65">
        <f>EI65+DR65+DL65</f>
        <v>16189868.449942809</v>
      </c>
      <c r="EK65">
        <f>EJ65+DF65</f>
        <v>16925471.028836563</v>
      </c>
      <c r="EL65">
        <f>EK65/(BK65*60*7200)</f>
        <v>0.3917933108526982</v>
      </c>
      <c r="EM65">
        <f>EK65/(BM65*(AM65*195.084/1000+AN65*106.42/1000+AO65*102.911/1000)*60*7200)</f>
        <v>1310.8887054960671</v>
      </c>
      <c r="EN65">
        <f>EK65/(BN65*BA65*(AP65*195.084/1000+AQ65*106.42/1000+AR65*102.911/1000)*60*7200)</f>
        <v>2404.9440768494965</v>
      </c>
    </row>
    <row r="66" spans="1:144">
      <c r="A66">
        <f>'Costing 100 Lmin Feed Orig'!A66</f>
        <v>9</v>
      </c>
      <c r="B66">
        <f>'Costing 100 Lmin Feed Orig'!B66</f>
        <v>1.54143585092054E-3</v>
      </c>
      <c r="C66">
        <f>'Costing 100 Lmin Feed Orig'!C66</f>
        <v>1.54143585092054E-3</v>
      </c>
      <c r="D66">
        <f>'Costing 100 Lmin Feed Orig'!D66</f>
        <v>3.4254130020456501E-4</v>
      </c>
      <c r="E66">
        <f>'Costing 100 Lmin Feed Orig'!E66</f>
        <v>0</v>
      </c>
      <c r="F66">
        <f>'Costing 100 Lmin Feed Orig'!F66</f>
        <v>0</v>
      </c>
      <c r="G66">
        <f>'Costing 100 Lmin Feed Orig'!G66</f>
        <v>0</v>
      </c>
      <c r="H66">
        <f>'Costing 100 Lmin Feed Orig'!H66</f>
        <v>1.7768596981705501E-5</v>
      </c>
      <c r="I66">
        <f>'Costing 100 Lmin Feed Orig'!I66</f>
        <v>1.5331283704498101E-9</v>
      </c>
      <c r="J66">
        <f>'Costing 100 Lmin Feed Orig'!J66</f>
        <v>3.3763247208936601E-4</v>
      </c>
      <c r="K66">
        <f>'Costing 100 Lmin Feed Orig'!K66</f>
        <v>0.13890601070001499</v>
      </c>
      <c r="L66">
        <f>'Costing 100 Lmin Feed Orig'!L66</f>
        <v>0.14052575540227799</v>
      </c>
      <c r="M66">
        <f>'Costing 100 Lmin Feed Orig'!M66</f>
        <v>4.4751616793740602E-4</v>
      </c>
      <c r="N66">
        <f>'Costing 100 Lmin Feed Orig'!N66</f>
        <v>-5.0090140368830299E-17</v>
      </c>
      <c r="O66">
        <f>'Costing 100 Lmin Feed Orig'!O66</f>
        <v>-6.2343793322261397E-15</v>
      </c>
      <c r="P66">
        <f>'Costing 100 Lmin Feed Orig'!P66</f>
        <v>1.7787691892340301E-20</v>
      </c>
      <c r="Q66">
        <f>'Costing 100 Lmin Feed Orig'!Q66</f>
        <v>0.10969051996097</v>
      </c>
      <c r="R66">
        <f>'Costing 100 Lmin Feed Orig'!R66</f>
        <v>98.566938318892298</v>
      </c>
      <c r="S66">
        <f>'Costing 100 Lmin Feed Orig'!S66</f>
        <v>500</v>
      </c>
      <c r="T66">
        <f>'Costing 100 Lmin Feed Orig'!T66</f>
        <v>95</v>
      </c>
      <c r="U66">
        <f>'Costing 100 Lmin Feed Orig'!U66</f>
        <v>1</v>
      </c>
      <c r="V66">
        <f>'Costing 100 Lmin Feed Orig'!V66</f>
        <v>0.1</v>
      </c>
      <c r="W66">
        <f>'Costing 100 Lmin Feed Orig'!W66</f>
        <v>91.165581160141301</v>
      </c>
      <c r="X66" t="str">
        <f>'Costing 100 Lmin Feed Orig'!X66</f>
        <v>ddFc</v>
      </c>
      <c r="Y66">
        <f>'Costing 100 Lmin Feed Orig'!Y66</f>
        <v>1</v>
      </c>
      <c r="Z66">
        <f>'Costing 100 Lmin Feed Orig'!Z66</f>
        <v>0.28318429382522198</v>
      </c>
      <c r="AA66">
        <f>'Costing 100 Lmin Feed Orig'!AA66</f>
        <v>0.56945642916197003</v>
      </c>
      <c r="AB66">
        <f>'Costing 100 Lmin Feed Orig'!AB66</f>
        <v>3.7698628972227502E-3</v>
      </c>
      <c r="AC66">
        <f>'Costing 100 Lmin Feed Orig'!AC66</f>
        <v>1822.2107908876901</v>
      </c>
      <c r="AD66">
        <f>'Costing 100 Lmin Feed Orig'!AD66</f>
        <v>2662.6059073104898</v>
      </c>
      <c r="AE66">
        <f>'Costing 100 Lmin Feed Orig'!AE66</f>
        <v>2401.5030938442701</v>
      </c>
      <c r="AF66">
        <f>'Costing 100 Lmin Feed Orig'!AF66</f>
        <v>8</v>
      </c>
      <c r="AG66">
        <f>'Costing 100 Lmin Feed Orig'!AG66</f>
        <v>1.6497485970141401E-3</v>
      </c>
      <c r="AH66">
        <f>'Costing 100 Lmin Feed Orig'!AH66</f>
        <v>1.6689858606617799E-3</v>
      </c>
      <c r="AI66">
        <f>'Costing 100 Lmin Feed Orig'!AI66</f>
        <v>5.3150268046377499E-6</v>
      </c>
      <c r="AJ66">
        <f>'Costing 100 Lmin Feed Orig'!AJ66</f>
        <v>0</v>
      </c>
      <c r="AK66">
        <f>'Costing 100 Lmin Feed Orig'!AK66</f>
        <v>0</v>
      </c>
      <c r="AL66">
        <f>'Costing 100 Lmin Feed Orig'!AL66</f>
        <v>0</v>
      </c>
      <c r="AM66">
        <f>'Costing 100 Lmin Feed Orig'!AM66</f>
        <v>1.6127468294673999E-3</v>
      </c>
      <c r="AN66">
        <f>'Costing 100 Lmin Feed Orig'!AN66</f>
        <v>7.9601388937146201E-5</v>
      </c>
      <c r="AO66">
        <f>'Costing 100 Lmin Feed Orig'!AO66</f>
        <v>5.2800231400846897E-6</v>
      </c>
      <c r="AP66">
        <f>'Costing 100 Lmin Feed Orig'!AP66</f>
        <v>1.73508600246416E-3</v>
      </c>
      <c r="AQ66">
        <f>'Costing 100 Lmin Feed Orig'!AQ66</f>
        <v>7.4529378862327897E-2</v>
      </c>
      <c r="AR66">
        <f>'Costing 100 Lmin Feed Orig'!AR66</f>
        <v>1.6413910047206701E-6</v>
      </c>
      <c r="AS66">
        <f>'Costing 100 Lmin Feed Orig'!AS66</f>
        <v>5.1001480057440096E-15</v>
      </c>
      <c r="AT66">
        <f>'Costing 100 Lmin Feed Orig'!AT66</f>
        <v>-1.1878935335385401E-12</v>
      </c>
      <c r="AU66">
        <f>'Costing 100 Lmin Feed Orig'!AU66</f>
        <v>2.3339728163796199E-20</v>
      </c>
      <c r="AV66">
        <f>'Costing 100 Lmin Feed Orig'!AV66</f>
        <v>0.19695809292209099</v>
      </c>
      <c r="AW66">
        <f>'Costing 100 Lmin Feed Orig'!AW66</f>
        <v>99.341420733334502</v>
      </c>
      <c r="AX66">
        <f>'Costing 100 Lmin Feed Orig'!AX66</f>
        <v>500</v>
      </c>
      <c r="AY66">
        <f>'Costing 100 Lmin Feed Orig'!AY66</f>
        <v>95</v>
      </c>
      <c r="AZ66">
        <f>'Costing 100 Lmin Feed Orig'!AZ66</f>
        <v>0.92357542033771201</v>
      </c>
      <c r="BA66">
        <f>'Costing 100 Lmin Feed Orig'!BA66</f>
        <v>0.1</v>
      </c>
      <c r="BB66">
        <f>'Costing 100 Lmin Feed Orig'!BB66</f>
        <v>46.891976188205703</v>
      </c>
      <c r="BC66" t="str">
        <f>'Costing 100 Lmin Feed Orig'!BC66</f>
        <v>coeFc</v>
      </c>
      <c r="BD66">
        <f>'Costing 100 Lmin Feed Orig'!BD66</f>
        <v>1</v>
      </c>
      <c r="BE66">
        <f>'Costing 100 Lmin Feed Orig'!BE66</f>
        <v>1.8775014999999999E-2</v>
      </c>
      <c r="BF66">
        <f>'Costing 100 Lmin Feed Orig'!BF66</f>
        <v>0.10492961100000001</v>
      </c>
      <c r="BG66">
        <f>'Costing 100 Lmin Feed Orig'!BG66</f>
        <v>1.814625E-3</v>
      </c>
      <c r="BH66">
        <f>'Costing 100 Lmin Feed Orig'!BH66</f>
        <v>285.1951444</v>
      </c>
      <c r="BI66">
        <f>'Costing 100 Lmin Feed Orig'!BI66</f>
        <v>2169.8944889999998</v>
      </c>
      <c r="BJ66">
        <f>'Costing 100 Lmin Feed Orig'!BJ66</f>
        <v>866.49409060000005</v>
      </c>
      <c r="BK66">
        <f>'Costing 100 Lmin Feed Orig'!BK66</f>
        <v>100</v>
      </c>
      <c r="BL66">
        <f>'Costing 100 Lmin Feed Orig'!BL66</f>
        <v>10.969051996096999</v>
      </c>
      <c r="BM66">
        <f>'Costing 100 Lmin Feed Orig'!BM66</f>
        <v>92.357542033771196</v>
      </c>
      <c r="BN66">
        <f>'Costing 100 Lmin Feed Orig'!BN66</f>
        <v>19.695809292209098</v>
      </c>
      <c r="BO66">
        <f t="shared" si="1"/>
        <v>241.31914391413397</v>
      </c>
      <c r="BP66">
        <f t="shared" si="2"/>
        <v>393.916185844182</v>
      </c>
      <c r="BQ66">
        <f t="shared" si="3"/>
        <v>24.1319143914134</v>
      </c>
      <c r="BR66">
        <f t="shared" si="4"/>
        <v>39.391618584418204</v>
      </c>
      <c r="BS66">
        <f>1.2*0.5*BL66*V66/'Oxidant Feed Composition'!$N$22</f>
        <v>6.5814311976581994</v>
      </c>
      <c r="BT66">
        <f>1.2*0.5*BN66*BA66/'Oxidant Feed Composition'!$N$22</f>
        <v>11.817485575325458</v>
      </c>
      <c r="BU66">
        <f t="shared" si="5"/>
        <v>5.4845259980484995</v>
      </c>
      <c r="BV66">
        <f t="shared" si="6"/>
        <v>9.8479046461045492</v>
      </c>
      <c r="BW66">
        <f t="shared" si="7"/>
        <v>86.873016035722699</v>
      </c>
      <c r="BX66">
        <f t="shared" ref="BX66:BX101" si="19">(BS66+BL66)*2</f>
        <v>35.100966387510397</v>
      </c>
      <c r="BY66">
        <f t="shared" si="8"/>
        <v>206.65318805973638</v>
      </c>
      <c r="BZ66">
        <f t="shared" si="9"/>
        <v>63.026589735069109</v>
      </c>
      <c r="CA66">
        <f t="shared" si="10"/>
        <v>59.087427876627295</v>
      </c>
      <c r="CB66">
        <f>BO66*'Reagent cost'!$G$11*'Reagent cost'!$H$11</f>
        <v>3185.4126996665682</v>
      </c>
      <c r="CC66">
        <f>BP66*'Reagent cost'!$G$11*'Reagent cost'!$H$11</f>
        <v>5199.6936531432029</v>
      </c>
      <c r="CD66">
        <f>BQ66*'Reagent cost'!$C$18/1000*'Reagent cost'!$H$18</f>
        <v>3848.5686313477631</v>
      </c>
      <c r="CE66">
        <f>BR66*'Ligand cost'!$B$56*'Ligand cost'!$J$56</f>
        <v>40105.699286632342</v>
      </c>
      <c r="CF66">
        <f t="shared" si="11"/>
        <v>10</v>
      </c>
      <c r="CG66">
        <f t="shared" si="12"/>
        <v>2.1938103992193998</v>
      </c>
      <c r="CH66">
        <f t="shared" si="12"/>
        <v>3.9391618584418198</v>
      </c>
      <c r="CI66">
        <f>7963.6*(BX66/1000)^0.6*1.7*('CAPEX+OPEX'!$G$116/'CAPEX+OPEX'!$G$115)</f>
        <v>2140.0916471558648</v>
      </c>
      <c r="CJ66">
        <f>7963.6*(BY66/1000)^0.6*1.7*('CAPEX+OPEX'!$G$116/'CAPEX+OPEX'!$G$115)</f>
        <v>6199.9215410229135</v>
      </c>
      <c r="CK66">
        <f>7963.6*(BZ66/1000)^0.6*1.7*('CAPEX+OPEX'!$G$116/'CAPEX+OPEX'!$G$115)</f>
        <v>3040.5714489227012</v>
      </c>
      <c r="CL66">
        <f>7963.6*(CA66/1000)^0.6*1.7*('CAPEX+OPEX'!$G$116/'CAPEX+OPEX'!$G$115)</f>
        <v>2925.0815530785185</v>
      </c>
      <c r="CM66">
        <f>'Costing 100 Lmin Feed Orig'!DE66</f>
        <v>39625.826528698344</v>
      </c>
      <c r="CN66">
        <f>'Costing 100 Lmin Feed Orig'!DF66</f>
        <v>4586243.4239371875</v>
      </c>
      <c r="CO66">
        <f>'Costing 100 Lmin Feed Orig'!DG66</f>
        <v>11794834.586807497</v>
      </c>
      <c r="CP66">
        <f>'Costing 100 Lmin Feed Orig'!DH66</f>
        <v>2275209.1661185985</v>
      </c>
      <c r="CQ66">
        <f>'Costing 100 Lmin Feed Orig'!DI66</f>
        <v>14083914.336508472</v>
      </c>
      <c r="CR66">
        <f>'Costing 100 Lmin Feed Orig'!DJ66</f>
        <v>1662824.8986326549</v>
      </c>
      <c r="CS66">
        <f>CN66*(BK66/10000)^0.72*((A66+1)/3)^0.6*('CAPEX+OPEX'!$G$116/'CAPEX+OPEX'!$G$114)</f>
        <v>800322.53402245743</v>
      </c>
      <c r="CT66">
        <f>CO66*(BK66/10000)^0.72*((A66+1)/3)^0.6*('CAPEX+OPEX'!$G$116/'CAPEX+OPEX'!$G$114)</f>
        <v>2058257.9318883498</v>
      </c>
      <c r="CU66">
        <f>CP66*(BK66/10000)^0.72*((A66+1)/3)^0.6*('CAPEX+OPEX'!$G$116/'CAPEX+OPEX'!$G$114)</f>
        <v>397035.437708179</v>
      </c>
      <c r="CV66">
        <f>CQ66*(BK66/10000)^0.72*((A66+1)/3)^0.6*('CAPEX+OPEX'!$G$116/'CAPEX+OPEX'!$G$114)</f>
        <v>2457713.856163613</v>
      </c>
      <c r="CW66">
        <f>CR66*(BK66/10000)^0.72*((A66+1)/3)^0.6*('CAPEX+OPEX'!$G$116/'CAPEX+OPEX'!$G$114)</f>
        <v>290171.30437591631</v>
      </c>
      <c r="CX66">
        <f t="shared" si="13"/>
        <v>6003501.064158516</v>
      </c>
      <c r="CY66">
        <f>CN66*(BM66/10000)^0.72*((AF66+1)/3)^0.6*('CAPEX+OPEX'!$G$116/'CAPEX+OPEX'!$G$114)</f>
        <v>709497.14876377874</v>
      </c>
      <c r="CZ66">
        <f>CO66*(BM66/10000)^0.72*((AF66+1)/3)^0.6*('CAPEX+OPEX'!$G$116/'CAPEX+OPEX'!$G$114)</f>
        <v>1824674.5181040205</v>
      </c>
      <c r="DA66">
        <f>CP66*(BM66/10000)^0.72*((AF66+1)/3)^0.6*('CAPEX+OPEX'!$G$116/'CAPEX+OPEX'!$G$114)</f>
        <v>351977.48287345789</v>
      </c>
      <c r="DB66">
        <f>CQ66*(BM66/10000)^0.72*((AF66+1)/3)^0.6*('CAPEX+OPEX'!$G$116/'CAPEX+OPEX'!$G$114)</f>
        <v>2178797.7962599574</v>
      </c>
      <c r="DC66">
        <f>CR66*(BM66/10000)^0.72*((AF66+1)/3)^0.6*('CAPEX+OPEX'!$G$116/'CAPEX+OPEX'!$G$114)</f>
        <v>257240.93019477848</v>
      </c>
      <c r="DD66">
        <f t="shared" si="14"/>
        <v>5322187.8761959933</v>
      </c>
      <c r="DE66">
        <f>CX66+DD66+1.15*(SUM(CI66:CL66)+SUM(CB66:CE66))</f>
        <v>11402330.736884624</v>
      </c>
      <c r="DF66">
        <f t="shared" si="15"/>
        <v>760155.38245897496</v>
      </c>
      <c r="DG66">
        <f>(BS66+BT66)*'Oxidant Feed Composition'!$N$29*60*7200</f>
        <v>9178694.1049785111</v>
      </c>
      <c r="DH66">
        <f>((CG66+CH66)*'Reagent cost'!$C$17/1000*'Reagent cost'!$H$17+(CG66+CH66)*0.5*'Reagent cost'!$C$16/1000*'Reagent cost'!$H$16*0.5)*60*7200</f>
        <v>3107413.6605759962</v>
      </c>
      <c r="DI66">
        <f>CF66*'Reagent cost'!$C$17/1000*'Reagent cost'!$H$17*60*7200</f>
        <v>504921.59999999998</v>
      </c>
      <c r="DJ66">
        <f t="shared" si="16"/>
        <v>83.851063528097711</v>
      </c>
      <c r="DK66">
        <f t="shared" si="17"/>
        <v>879.08535835960208</v>
      </c>
      <c r="DL66">
        <f t="shared" si="18"/>
        <v>15350390.762371672</v>
      </c>
      <c r="DM66">
        <f>BK66*(B66*(409.81+2)/1000+C66*(248.2+2*22.99)/1000+D66*(315.6+3*22.99)/1000+0.1*58.44/1000)</f>
        <v>0.70639694042110623</v>
      </c>
      <c r="DN66">
        <f>(BS66+BT66)/1000*('Oxidant Feed Composition'!$B$11*'Oxidant Feed Composition'!$O$20+'Oxidant Feed Composition'!$D$11*'Oxidant Feed Composition'!$O$21+'Oxidant Feed Composition'!$F$11*'Oxidant Feed Composition'!$O$27-'Oxidant Feed Composition'!$J$15*18.015)</f>
        <v>2.1487090318311806</v>
      </c>
      <c r="DO66">
        <f>(BU66+BV66)/1000*(0.2*368.34+0.4*58.44)</f>
        <v>1.4879203994311885</v>
      </c>
      <c r="DP66">
        <f>BK66/1000*(B66*195.08+C66*106.42+D66*102.91)</f>
        <v>4.999938342565946E-2</v>
      </c>
      <c r="DQ66">
        <f>SUM(DM66:DO66)-DP66</f>
        <v>4.2930269882578154</v>
      </c>
      <c r="DR66">
        <f>DQ66*60*7200*0.33</f>
        <v>612013.92744603415</v>
      </c>
      <c r="DS66">
        <v>1.2</v>
      </c>
      <c r="DT66">
        <f>BM66/60*(AM66*4+AN66*2+AO66*3)*96485/DV66</f>
        <v>1405.8412615116492</v>
      </c>
      <c r="DU66">
        <f>BN66*BA66*(AP66*4+AQ66*2+AR66*3)*96485/DV66/60</f>
        <v>705.86256077424412</v>
      </c>
      <c r="DV66">
        <v>0.7</v>
      </c>
      <c r="DW66">
        <f>0.499*((BK66/3.78541*15)^(-0.146))*BK66/3.78541*15*300*(1+(A66-2)/9)</f>
        <v>44032.441905260595</v>
      </c>
      <c r="DX66">
        <f>0.248*((BK66/3.78541*15)^(-0.144))*BK66/3.78541*15*300*(1+(A66-2)/3)</f>
        <v>41526.098972294596</v>
      </c>
      <c r="DY66">
        <f>0.105*((BK66/3.78541*15)^(-0.144))*BK66/3.78541*15*300*(1+(A66-2)/3)</f>
        <v>17581.614484237631</v>
      </c>
      <c r="DZ66">
        <f>0.058*((BK66/3.78541*15)^(-0.151))*BK66/3.78541*15*300*(1+(A66-2)/3)</f>
        <v>9313.4716969742931</v>
      </c>
      <c r="EA66">
        <f>0.056*((BK66/3.78541*15)^(-0.144))*BK66/3.78541*15*300*(1+(A66-2)/3)</f>
        <v>9376.8610582600722</v>
      </c>
      <c r="EB66">
        <f>DS66*DT66/(3.6*10^6)*3600*7200*0.07</f>
        <v>850.25279496224562</v>
      </c>
      <c r="EC66">
        <f>0.499*((BM66/3.78541*15)^(-0.146))*BM66/3.78541*15*300*(1+(AF66-2)/9)</f>
        <v>38570.693537838983</v>
      </c>
      <c r="ED66">
        <f>0.248*((BM66/3.78541*15)^(-0.144))*BM66/3.78541*15*300*(1+(AF66-2)/3)</f>
        <v>34914.673863674019</v>
      </c>
      <c r="EE66">
        <f>0.105*((BM66/3.78541*15)^(-0.144))*BM66/3.78541*15*300*(1+(AF66-2)/3)</f>
        <v>14782.422401958756</v>
      </c>
      <c r="EF66">
        <f>0.058*((BM66/3.78541*15)^(-0.151))*BM66/3.78541*15*300*(1+(AF66-2)/3)</f>
        <v>7835.0206873977668</v>
      </c>
      <c r="EG66">
        <f>0.056*((BM66/3.78541*15)^(-0.144))*BM66/3.78541*15*300*(1+(AF66-2)/3)</f>
        <v>7883.9586143780034</v>
      </c>
      <c r="EH66">
        <f>DS66*DU66/(3.6*10^6)*3600*7200*0.07</f>
        <v>426.90567675626289</v>
      </c>
      <c r="EI66">
        <f>SUM(DW66:EH66)</f>
        <v>227094.41569399321</v>
      </c>
      <c r="EJ66">
        <f>EI66+DR66+DL66</f>
        <v>16189499.105511699</v>
      </c>
      <c r="EK66">
        <f>EJ66+DF66</f>
        <v>16949654.487970673</v>
      </c>
      <c r="EL66">
        <f>EK66/(BK66*60*7200)</f>
        <v>0.39235311314746929</v>
      </c>
      <c r="EM66">
        <f>EK66/(BM66*(AM66*195.084/1000+AN66*106.42/1000+AO66*102.911/1000)*60*7200)</f>
        <v>1312.648283794349</v>
      </c>
      <c r="EN66">
        <f>EK66/(BN66*BA66*(AP66*195.084/1000+AQ66*106.42/1000+AR66*102.911/1000)*60*7200)</f>
        <v>2408.7622305818604</v>
      </c>
    </row>
    <row r="67" spans="1:144">
      <c r="A67">
        <f>'Costing 100 Lmin Feed Orig'!A67</f>
        <v>9</v>
      </c>
      <c r="B67">
        <f>'Costing 100 Lmin Feed Orig'!B67</f>
        <v>1.54143585092054E-3</v>
      </c>
      <c r="C67">
        <f>'Costing 100 Lmin Feed Orig'!C67</f>
        <v>1.54143585092054E-3</v>
      </c>
      <c r="D67">
        <f>'Costing 100 Lmin Feed Orig'!D67</f>
        <v>3.4254130020456501E-4</v>
      </c>
      <c r="E67">
        <f>'Costing 100 Lmin Feed Orig'!E67</f>
        <v>0</v>
      </c>
      <c r="F67">
        <f>'Costing 100 Lmin Feed Orig'!F67</f>
        <v>0</v>
      </c>
      <c r="G67">
        <f>'Costing 100 Lmin Feed Orig'!G67</f>
        <v>0</v>
      </c>
      <c r="H67">
        <f>'Costing 100 Lmin Feed Orig'!H67</f>
        <v>1.7768596981705501E-5</v>
      </c>
      <c r="I67">
        <f>'Costing 100 Lmin Feed Orig'!I67</f>
        <v>1.5331283704498101E-9</v>
      </c>
      <c r="J67">
        <f>'Costing 100 Lmin Feed Orig'!J67</f>
        <v>3.3763247208936601E-4</v>
      </c>
      <c r="K67">
        <f>'Costing 100 Lmin Feed Orig'!K67</f>
        <v>0.13890601070001499</v>
      </c>
      <c r="L67">
        <f>'Costing 100 Lmin Feed Orig'!L67</f>
        <v>0.14052575540227799</v>
      </c>
      <c r="M67">
        <f>'Costing 100 Lmin Feed Orig'!M67</f>
        <v>4.4751616793740602E-4</v>
      </c>
      <c r="N67">
        <f>'Costing 100 Lmin Feed Orig'!N67</f>
        <v>-5.0090140368830299E-17</v>
      </c>
      <c r="O67">
        <f>'Costing 100 Lmin Feed Orig'!O67</f>
        <v>-6.2343793322261397E-15</v>
      </c>
      <c r="P67">
        <f>'Costing 100 Lmin Feed Orig'!P67</f>
        <v>1.7787691892340301E-20</v>
      </c>
      <c r="Q67">
        <f>'Costing 100 Lmin Feed Orig'!Q67</f>
        <v>0.10969051996097</v>
      </c>
      <c r="R67">
        <f>'Costing 100 Lmin Feed Orig'!R67</f>
        <v>98.566938318892298</v>
      </c>
      <c r="S67">
        <f>'Costing 100 Lmin Feed Orig'!S67</f>
        <v>500</v>
      </c>
      <c r="T67">
        <f>'Costing 100 Lmin Feed Orig'!T67</f>
        <v>95</v>
      </c>
      <c r="U67">
        <f>'Costing 100 Lmin Feed Orig'!U67</f>
        <v>1</v>
      </c>
      <c r="V67">
        <f>'Costing 100 Lmin Feed Orig'!V67</f>
        <v>0.1</v>
      </c>
      <c r="W67">
        <f>'Costing 100 Lmin Feed Orig'!W67</f>
        <v>91.165581160141301</v>
      </c>
      <c r="X67" t="str">
        <f>'Costing 100 Lmin Feed Orig'!X67</f>
        <v>ddFc</v>
      </c>
      <c r="Y67">
        <f>'Costing 100 Lmin Feed Orig'!Y67</f>
        <v>1</v>
      </c>
      <c r="Z67">
        <f>'Costing 100 Lmin Feed Orig'!Z67</f>
        <v>0.28318429382522198</v>
      </c>
      <c r="AA67">
        <f>'Costing 100 Lmin Feed Orig'!AA67</f>
        <v>0.56945642916197003</v>
      </c>
      <c r="AB67">
        <f>'Costing 100 Lmin Feed Orig'!AB67</f>
        <v>3.7698628972227502E-3</v>
      </c>
      <c r="AC67">
        <f>'Costing 100 Lmin Feed Orig'!AC67</f>
        <v>1822.2107908876901</v>
      </c>
      <c r="AD67">
        <f>'Costing 100 Lmin Feed Orig'!AD67</f>
        <v>2662.6059073104898</v>
      </c>
      <c r="AE67">
        <f>'Costing 100 Lmin Feed Orig'!AE67</f>
        <v>2401.5030938442701</v>
      </c>
      <c r="AF67">
        <f>'Costing 100 Lmin Feed Orig'!AF67</f>
        <v>9</v>
      </c>
      <c r="AG67">
        <f>'Costing 100 Lmin Feed Orig'!AG67</f>
        <v>1.6497485970141401E-3</v>
      </c>
      <c r="AH67">
        <f>'Costing 100 Lmin Feed Orig'!AH67</f>
        <v>1.6689858606617799E-3</v>
      </c>
      <c r="AI67">
        <f>'Costing 100 Lmin Feed Orig'!AI67</f>
        <v>5.3150268046377499E-6</v>
      </c>
      <c r="AJ67">
        <f>'Costing 100 Lmin Feed Orig'!AJ67</f>
        <v>0</v>
      </c>
      <c r="AK67">
        <f>'Costing 100 Lmin Feed Orig'!AK67</f>
        <v>0</v>
      </c>
      <c r="AL67">
        <f>'Costing 100 Lmin Feed Orig'!AL67</f>
        <v>0</v>
      </c>
      <c r="AM67">
        <f>'Costing 100 Lmin Feed Orig'!AM67</f>
        <v>1.6127861938138701E-3</v>
      </c>
      <c r="AN67">
        <f>'Costing 100 Lmin Feed Orig'!AN67</f>
        <v>7.9603425019377403E-5</v>
      </c>
      <c r="AO67">
        <f>'Costing 100 Lmin Feed Orig'!AO67</f>
        <v>5.2800588331914901E-6</v>
      </c>
      <c r="AP67">
        <f>'Costing 100 Lmin Feed Orig'!AP67</f>
        <v>1.7337552285219199E-3</v>
      </c>
      <c r="AQ67">
        <f>'Costing 100 Lmin Feed Orig'!AQ67</f>
        <v>7.4551432519081903E-2</v>
      </c>
      <c r="AR67">
        <f>'Costing 100 Lmin Feed Orig'!AR67</f>
        <v>1.64020458835788E-6</v>
      </c>
      <c r="AS67">
        <f>'Costing 100 Lmin Feed Orig'!AS67</f>
        <v>3.7486290113686297E-17</v>
      </c>
      <c r="AT67">
        <f>'Costing 100 Lmin Feed Orig'!AT67</f>
        <v>-4.9181578948287397E-15</v>
      </c>
      <c r="AU67">
        <f>'Costing 100 Lmin Feed Orig'!AU67</f>
        <v>-2.56756862136459E-21</v>
      </c>
      <c r="AV67">
        <f>'Costing 100 Lmin Feed Orig'!AV67</f>
        <v>0.19689957677272099</v>
      </c>
      <c r="AW67">
        <f>'Costing 100 Lmin Feed Orig'!AW67</f>
        <v>99.342092284167904</v>
      </c>
      <c r="AX67">
        <f>'Costing 100 Lmin Feed Orig'!AX67</f>
        <v>500</v>
      </c>
      <c r="AY67">
        <f>'Costing 100 Lmin Feed Orig'!AY67</f>
        <v>95</v>
      </c>
      <c r="AZ67">
        <f>'Costing 100 Lmin Feed Orig'!AZ67</f>
        <v>0.92357542033771201</v>
      </c>
      <c r="BA67">
        <f>'Costing 100 Lmin Feed Orig'!BA67</f>
        <v>0.1</v>
      </c>
      <c r="BB67">
        <f>'Costing 100 Lmin Feed Orig'!BB67</f>
        <v>46.905911910810303</v>
      </c>
      <c r="BC67" t="str">
        <f>'Costing 100 Lmin Feed Orig'!BC67</f>
        <v>coeFc</v>
      </c>
      <c r="BD67">
        <f>'Costing 100 Lmin Feed Orig'!BD67</f>
        <v>1</v>
      </c>
      <c r="BE67">
        <f>'Costing 100 Lmin Feed Orig'!BE67</f>
        <v>1.8775014999999999E-2</v>
      </c>
      <c r="BF67">
        <f>'Costing 100 Lmin Feed Orig'!BF67</f>
        <v>0.10492961100000001</v>
      </c>
      <c r="BG67">
        <f>'Costing 100 Lmin Feed Orig'!BG67</f>
        <v>1.814625E-3</v>
      </c>
      <c r="BH67">
        <f>'Costing 100 Lmin Feed Orig'!BH67</f>
        <v>285.1951444</v>
      </c>
      <c r="BI67">
        <f>'Costing 100 Lmin Feed Orig'!BI67</f>
        <v>2169.8944889999998</v>
      </c>
      <c r="BJ67">
        <f>'Costing 100 Lmin Feed Orig'!BJ67</f>
        <v>866.49409060000005</v>
      </c>
      <c r="BK67">
        <f>'Costing 100 Lmin Feed Orig'!BK67</f>
        <v>100</v>
      </c>
      <c r="BL67">
        <f>'Costing 100 Lmin Feed Orig'!BL67</f>
        <v>10.969051996096999</v>
      </c>
      <c r="BM67">
        <f>'Costing 100 Lmin Feed Orig'!BM67</f>
        <v>92.357542033771196</v>
      </c>
      <c r="BN67">
        <f>'Costing 100 Lmin Feed Orig'!BN67</f>
        <v>19.689957677272098</v>
      </c>
      <c r="BO67">
        <f t="shared" ref="BO67:BO101" si="20">(A67+2)*2*BL67</f>
        <v>241.31914391413397</v>
      </c>
      <c r="BP67">
        <f t="shared" ref="BP67:BP101" si="21">(AF67+2)*2*BN67</f>
        <v>433.17906889998613</v>
      </c>
      <c r="BQ67">
        <f t="shared" ref="BQ67:BQ101" si="22">BO67*V67</f>
        <v>24.1319143914134</v>
      </c>
      <c r="BR67">
        <f t="shared" ref="BR67:BR101" si="23">BP67*BA67</f>
        <v>43.317906889998618</v>
      </c>
      <c r="BS67">
        <f>1.2*0.5*BL67*V67/'Oxidant Feed Composition'!$N$22</f>
        <v>6.5814311976581994</v>
      </c>
      <c r="BT67">
        <f>1.2*0.5*BN67*BA67/'Oxidant Feed Composition'!$N$22</f>
        <v>11.813974606363256</v>
      </c>
      <c r="BU67">
        <f t="shared" ref="BU67:BU101" si="24">V67*BL67/0.2</f>
        <v>5.4845259980484995</v>
      </c>
      <c r="BV67">
        <f t="shared" ref="BV67:BV101" si="25">BA67*BN67/0.2</f>
        <v>9.8449788386360488</v>
      </c>
      <c r="BW67">
        <f t="shared" ref="BW67:BW101" si="26">BM67-BU67</f>
        <v>86.873016035722699</v>
      </c>
      <c r="BX67">
        <f t="shared" si="19"/>
        <v>35.100966387510397</v>
      </c>
      <c r="BY67">
        <f t="shared" ref="BY67:BY101" si="27">(BU67+BW67+BL67)*2</f>
        <v>206.65318805973638</v>
      </c>
      <c r="BZ67">
        <f t="shared" ref="BZ67:BZ101" si="28">(BT67+BN67)*2</f>
        <v>63.007864567270708</v>
      </c>
      <c r="CA67">
        <f t="shared" ref="CA67:CA101" si="29">(BV67+BN67)*2</f>
        <v>59.069873031816293</v>
      </c>
      <c r="CB67">
        <f>BO67*'Reagent cost'!$G$11*'Reagent cost'!$H$11</f>
        <v>3185.4126996665682</v>
      </c>
      <c r="CC67">
        <f>BP67*'Reagent cost'!$G$11*'Reagent cost'!$H$11</f>
        <v>5717.9637094798172</v>
      </c>
      <c r="CD67">
        <f>BQ67*'Reagent cost'!$C$18/1000*'Reagent cost'!$H$18</f>
        <v>3848.5686313477631</v>
      </c>
      <c r="CE67">
        <f>BR67*'Ligand cost'!$B$56*'Ligand cost'!$J$56</f>
        <v>44103.16229411884</v>
      </c>
      <c r="CF67">
        <f t="shared" ref="CF67:CF101" si="30">BK67*0.1</f>
        <v>10</v>
      </c>
      <c r="CG67">
        <f t="shared" ref="CG67:CH101" si="31">BU67*0.4</f>
        <v>2.1938103992193998</v>
      </c>
      <c r="CH67">
        <f t="shared" si="31"/>
        <v>3.9379915354544197</v>
      </c>
      <c r="CI67">
        <f>7963.6*(BX67/1000)^0.6*1.7*('CAPEX+OPEX'!$G$116/'CAPEX+OPEX'!$G$115)</f>
        <v>2140.0916471558648</v>
      </c>
      <c r="CJ67">
        <f>7963.6*(BY67/1000)^0.6*1.7*('CAPEX+OPEX'!$G$116/'CAPEX+OPEX'!$G$115)</f>
        <v>6199.9215410229135</v>
      </c>
      <c r="CK67">
        <f>7963.6*(BZ67/1000)^0.6*1.7*('CAPEX+OPEX'!$G$116/'CAPEX+OPEX'!$G$115)</f>
        <v>3040.029405372095</v>
      </c>
      <c r="CL67">
        <f>7963.6*(CA67/1000)^0.6*1.7*('CAPEX+OPEX'!$G$116/'CAPEX+OPEX'!$G$115)</f>
        <v>2924.5600979450091</v>
      </c>
      <c r="CM67">
        <f>'Costing 100 Lmin Feed Orig'!DE67</f>
        <v>39625.826528698344</v>
      </c>
      <c r="CN67">
        <f>'Costing 100 Lmin Feed Orig'!DF67</f>
        <v>4586243.4239371875</v>
      </c>
      <c r="CO67">
        <f>'Costing 100 Lmin Feed Orig'!DG67</f>
        <v>11794834.586807497</v>
      </c>
      <c r="CP67">
        <f>'Costing 100 Lmin Feed Orig'!DH67</f>
        <v>2275209.1661185985</v>
      </c>
      <c r="CQ67">
        <f>'Costing 100 Lmin Feed Orig'!DI67</f>
        <v>14083914.336508472</v>
      </c>
      <c r="CR67">
        <f>'Costing 100 Lmin Feed Orig'!DJ67</f>
        <v>1662824.8986326549</v>
      </c>
      <c r="CS67">
        <f>CN67*(BK67/10000)^0.72*((A67+1)/3)^0.6*('CAPEX+OPEX'!$G$116/'CAPEX+OPEX'!$G$114)</f>
        <v>800322.53402245743</v>
      </c>
      <c r="CT67">
        <f>CO67*(BK67/10000)^0.72*((A67+1)/3)^0.6*('CAPEX+OPEX'!$G$116/'CAPEX+OPEX'!$G$114)</f>
        <v>2058257.9318883498</v>
      </c>
      <c r="CU67">
        <f>CP67*(BK67/10000)^0.72*((A67+1)/3)^0.6*('CAPEX+OPEX'!$G$116/'CAPEX+OPEX'!$G$114)</f>
        <v>397035.437708179</v>
      </c>
      <c r="CV67">
        <f>CQ67*(BK67/10000)^0.72*((A67+1)/3)^0.6*('CAPEX+OPEX'!$G$116/'CAPEX+OPEX'!$G$114)</f>
        <v>2457713.856163613</v>
      </c>
      <c r="CW67">
        <f>CR67*(BK67/10000)^0.72*((A67+1)/3)^0.6*('CAPEX+OPEX'!$G$116/'CAPEX+OPEX'!$G$114)</f>
        <v>290171.30437591631</v>
      </c>
      <c r="CX67">
        <f t="shared" ref="CX67:CX101" si="32">SUM(CS67:CW67)</f>
        <v>6003501.064158516</v>
      </c>
      <c r="CY67">
        <f>CN67*(BM67/10000)^0.72*((AF67+1)/3)^0.6*('CAPEX+OPEX'!$G$116/'CAPEX+OPEX'!$G$114)</f>
        <v>755796.97409698786</v>
      </c>
      <c r="CZ67">
        <f>CO67*(BM67/10000)^0.72*((AF67+1)/3)^0.6*('CAPEX+OPEX'!$G$116/'CAPEX+OPEX'!$G$114)</f>
        <v>1943747.740068865</v>
      </c>
      <c r="DA67">
        <f>CP67*(BM67/10000)^0.72*((AF67+1)/3)^0.6*('CAPEX+OPEX'!$G$116/'CAPEX+OPEX'!$G$114)</f>
        <v>374946.56175793061</v>
      </c>
      <c r="DB67">
        <f>CQ67*(BM67/10000)^0.72*((AF67+1)/3)^0.6*('CAPEX+OPEX'!$G$116/'CAPEX+OPEX'!$G$114)</f>
        <v>2320980.125785856</v>
      </c>
      <c r="DC67">
        <f>CR67*(BM67/10000)^0.72*((AF67+1)/3)^0.6*('CAPEX+OPEX'!$G$116/'CAPEX+OPEX'!$G$114)</f>
        <v>274027.76317546447</v>
      </c>
      <c r="DD67">
        <f t="shared" ref="DD67:DD101" si="33">SUM(CY67:DC67)</f>
        <v>5669499.1648851037</v>
      </c>
      <c r="DE67">
        <f>CX67+DD67+1.15*(SUM(CI67:CL67)+SUM(CB67:CE67))</f>
        <v>11754833.895573646</v>
      </c>
      <c r="DF67">
        <f t="shared" ref="DF67:DF101" si="34">DE67/15</f>
        <v>783655.59303824301</v>
      </c>
      <c r="DG67">
        <f>(BS67+BT67)*'Oxidant Feed Composition'!$N$29*60*7200</f>
        <v>9176942.5828365441</v>
      </c>
      <c r="DH67">
        <f>((CG67+CH67)*'Reagent cost'!$C$17/1000*'Reagent cost'!$H$17+(CG67+CH67)*0.5*'Reagent cost'!$C$16/1000*'Reagent cost'!$H$16*0.5)*60*7200</f>
        <v>3106820.6890956843</v>
      </c>
      <c r="DI67">
        <f>CF67*'Reagent cost'!$C$17/1000*'Reagent cost'!$H$17*60*7200</f>
        <v>504921.59999999998</v>
      </c>
      <c r="DJ67">
        <f t="shared" ref="DJ67:DJ101" si="35">(CB67+CC67)*0.01</f>
        <v>89.033764091463851</v>
      </c>
      <c r="DK67">
        <f t="shared" ref="DK67:DK101" si="36">(CD67+CE67)*0.02</f>
        <v>959.03461850933206</v>
      </c>
      <c r="DL67">
        <f t="shared" ref="DL67:DL101" si="37">SUM(DG67:DK67)*1.2</f>
        <v>15347679.528377797</v>
      </c>
      <c r="DM67">
        <f>BK67*(B67*(409.81+2)/1000+C67*(248.2+2*22.99)/1000+D67*(315.6+3*22.99)/1000+0.1*58.44/1000)</f>
        <v>0.70639694042110623</v>
      </c>
      <c r="DN67">
        <f>(BS67+BT67)/1000*('Oxidant Feed Composition'!$B$11*'Oxidant Feed Composition'!$O$20+'Oxidant Feed Composition'!$D$11*'Oxidant Feed Composition'!$O$21+'Oxidant Feed Composition'!$F$11*'Oxidant Feed Composition'!$O$27-'Oxidant Feed Composition'!$J$15*18.015)</f>
        <v>2.1482990049359758</v>
      </c>
      <c r="DO67">
        <f>(BU67+BV67)/1000*(0.2*368.34+0.4*58.44)</f>
        <v>1.4876364673712152</v>
      </c>
      <c r="DP67">
        <f>BK67/1000*(B67*195.08+C67*106.42+D67*102.91)</f>
        <v>4.999938342565946E-2</v>
      </c>
      <c r="DQ67">
        <f>SUM(DM67:DO67)-DP67</f>
        <v>4.2923330293026369</v>
      </c>
      <c r="DR67">
        <f>DQ67*60*7200*0.33</f>
        <v>611914.99665738398</v>
      </c>
      <c r="DS67">
        <v>1.2</v>
      </c>
      <c r="DT67">
        <f>BM67/60*(AM67*4+AN67*2+AO67*3)*96485/DV67</f>
        <v>1405.875555868555</v>
      </c>
      <c r="DU67">
        <f>BN67*BA67*(AP67*4+AQ67*2+AR67*3)*96485/DV67/60</f>
        <v>705.82826587847319</v>
      </c>
      <c r="DV67">
        <v>0.7</v>
      </c>
      <c r="DW67">
        <f>0.499*((BK67/3.78541*15)^(-0.146))*BK67/3.78541*15*300*(1+(A67-2)/9)</f>
        <v>44032.441905260595</v>
      </c>
      <c r="DX67">
        <f>0.248*((BK67/3.78541*15)^(-0.144))*BK67/3.78541*15*300*(1+(A67-2)/3)</f>
        <v>41526.098972294596</v>
      </c>
      <c r="DY67">
        <f>0.105*((BK67/3.78541*15)^(-0.144))*BK67/3.78541*15*300*(1+(A67-2)/3)</f>
        <v>17581.614484237631</v>
      </c>
      <c r="DZ67">
        <f>0.058*((BK67/3.78541*15)^(-0.151))*BK67/3.78541*15*300*(1+(A67-2)/3)</f>
        <v>9313.4716969742931</v>
      </c>
      <c r="EA67">
        <f>0.056*((BK67/3.78541*15)^(-0.144))*BK67/3.78541*15*300*(1+(A67-2)/3)</f>
        <v>9376.8610582600722</v>
      </c>
      <c r="EB67">
        <f>DS67*DT67/(3.6*10^6)*3600*7200*0.07</f>
        <v>850.27353618930215</v>
      </c>
      <c r="EC67">
        <f>0.499*((BM67/3.78541*15)^(-0.146))*BM67/3.78541*15*300*(1+(AF67-2)/9)</f>
        <v>41142.073107028249</v>
      </c>
      <c r="ED67">
        <f>0.248*((BM67/3.78541*15)^(-0.144))*BM67/3.78541*15*300*(1+(AF67-2)/3)</f>
        <v>38794.082070748911</v>
      </c>
      <c r="EE67">
        <f>0.105*((BM67/3.78541*15)^(-0.144))*BM67/3.78541*15*300*(1+(AF67-2)/3)</f>
        <v>16424.913779954175</v>
      </c>
      <c r="EF67">
        <f>0.058*((BM67/3.78541*15)^(-0.151))*BM67/3.78541*15*300*(1+(AF67-2)/3)</f>
        <v>8705.5785415530754</v>
      </c>
      <c r="EG67">
        <f>0.056*((BM67/3.78541*15)^(-0.144))*BM67/3.78541*15*300*(1+(AF67-2)/3)</f>
        <v>8759.9540159755597</v>
      </c>
      <c r="EH67">
        <f>DS67*DU67/(3.6*10^6)*3600*7200*0.07</f>
        <v>426.88493520330059</v>
      </c>
      <c r="EI67">
        <f>SUM(DW67:EH67)</f>
        <v>236934.24810367974</v>
      </c>
      <c r="EJ67">
        <f>EI67+DR67+DL67</f>
        <v>16196528.773138862</v>
      </c>
      <c r="EK67">
        <f>EJ67+DF67</f>
        <v>16980184.366177104</v>
      </c>
      <c r="EL67">
        <f>EK67/(BK67*60*7200)</f>
        <v>0.3930598232911367</v>
      </c>
      <c r="EM67">
        <f>EK67/(BM67*(AM67*195.084/1000+AN67*106.42/1000+AO67*102.911/1000)*60*7200)</f>
        <v>1314.9805406126081</v>
      </c>
      <c r="EN67">
        <f>EK67/(BN67*BA67*(AP67*195.084/1000+AQ67*106.42/1000+AR67*102.911/1000)*60*7200)</f>
        <v>2413.2090101702975</v>
      </c>
    </row>
    <row r="68" spans="1:144">
      <c r="A68">
        <f>'Costing 100 Lmin Feed Orig'!A68</f>
        <v>9</v>
      </c>
      <c r="B68">
        <f>'Costing 100 Lmin Feed Orig'!B68</f>
        <v>1.54143585092054E-3</v>
      </c>
      <c r="C68">
        <f>'Costing 100 Lmin Feed Orig'!C68</f>
        <v>1.54143585092054E-3</v>
      </c>
      <c r="D68">
        <f>'Costing 100 Lmin Feed Orig'!D68</f>
        <v>3.4254130020456501E-4</v>
      </c>
      <c r="E68">
        <f>'Costing 100 Lmin Feed Orig'!E68</f>
        <v>0</v>
      </c>
      <c r="F68">
        <f>'Costing 100 Lmin Feed Orig'!F68</f>
        <v>0</v>
      </c>
      <c r="G68">
        <f>'Costing 100 Lmin Feed Orig'!G68</f>
        <v>0</v>
      </c>
      <c r="H68">
        <f>'Costing 100 Lmin Feed Orig'!H68</f>
        <v>1.7768596981705501E-5</v>
      </c>
      <c r="I68">
        <f>'Costing 100 Lmin Feed Orig'!I68</f>
        <v>1.5331283704498101E-9</v>
      </c>
      <c r="J68">
        <f>'Costing 100 Lmin Feed Orig'!J68</f>
        <v>3.3763247208936601E-4</v>
      </c>
      <c r="K68">
        <f>'Costing 100 Lmin Feed Orig'!K68</f>
        <v>0.13890601070001499</v>
      </c>
      <c r="L68">
        <f>'Costing 100 Lmin Feed Orig'!L68</f>
        <v>0.14052575540227799</v>
      </c>
      <c r="M68">
        <f>'Costing 100 Lmin Feed Orig'!M68</f>
        <v>4.4751616793740602E-4</v>
      </c>
      <c r="N68">
        <f>'Costing 100 Lmin Feed Orig'!N68</f>
        <v>-5.0090140368830299E-17</v>
      </c>
      <c r="O68">
        <f>'Costing 100 Lmin Feed Orig'!O68</f>
        <v>-6.2343793322261397E-15</v>
      </c>
      <c r="P68">
        <f>'Costing 100 Lmin Feed Orig'!P68</f>
        <v>1.7787691892340301E-20</v>
      </c>
      <c r="Q68">
        <f>'Costing 100 Lmin Feed Orig'!Q68</f>
        <v>0.10969051996097</v>
      </c>
      <c r="R68">
        <f>'Costing 100 Lmin Feed Orig'!R68</f>
        <v>98.566938318892298</v>
      </c>
      <c r="S68">
        <f>'Costing 100 Lmin Feed Orig'!S68</f>
        <v>500</v>
      </c>
      <c r="T68">
        <f>'Costing 100 Lmin Feed Orig'!T68</f>
        <v>95</v>
      </c>
      <c r="U68">
        <f>'Costing 100 Lmin Feed Orig'!U68</f>
        <v>1</v>
      </c>
      <c r="V68">
        <f>'Costing 100 Lmin Feed Orig'!V68</f>
        <v>0.1</v>
      </c>
      <c r="W68">
        <f>'Costing 100 Lmin Feed Orig'!W68</f>
        <v>91.165581160141301</v>
      </c>
      <c r="X68" t="str">
        <f>'Costing 100 Lmin Feed Orig'!X68</f>
        <v>ddFc</v>
      </c>
      <c r="Y68">
        <f>'Costing 100 Lmin Feed Orig'!Y68</f>
        <v>1</v>
      </c>
      <c r="Z68">
        <f>'Costing 100 Lmin Feed Orig'!Z68</f>
        <v>0.28318429382522198</v>
      </c>
      <c r="AA68">
        <f>'Costing 100 Lmin Feed Orig'!AA68</f>
        <v>0.56945642916197003</v>
      </c>
      <c r="AB68">
        <f>'Costing 100 Lmin Feed Orig'!AB68</f>
        <v>3.7698628972227502E-3</v>
      </c>
      <c r="AC68">
        <f>'Costing 100 Lmin Feed Orig'!AC68</f>
        <v>1822.2107908876901</v>
      </c>
      <c r="AD68">
        <f>'Costing 100 Lmin Feed Orig'!AD68</f>
        <v>2662.6059073104898</v>
      </c>
      <c r="AE68">
        <f>'Costing 100 Lmin Feed Orig'!AE68</f>
        <v>2401.5030938442701</v>
      </c>
      <c r="AF68">
        <f>'Costing 100 Lmin Feed Orig'!AF68</f>
        <v>10</v>
      </c>
      <c r="AG68">
        <f>'Costing 100 Lmin Feed Orig'!AG68</f>
        <v>1.6497485970141401E-3</v>
      </c>
      <c r="AH68">
        <f>'Costing 100 Lmin Feed Orig'!AH68</f>
        <v>1.6689858606617799E-3</v>
      </c>
      <c r="AI68">
        <f>'Costing 100 Lmin Feed Orig'!AI68</f>
        <v>5.3150268046377499E-6</v>
      </c>
      <c r="AJ68">
        <f>'Costing 100 Lmin Feed Orig'!AJ68</f>
        <v>0</v>
      </c>
      <c r="AK68">
        <f>'Costing 100 Lmin Feed Orig'!AK68</f>
        <v>0</v>
      </c>
      <c r="AL68">
        <f>'Costing 100 Lmin Feed Orig'!AL68</f>
        <v>0</v>
      </c>
      <c r="AM68">
        <f>'Costing 100 Lmin Feed Orig'!AM68</f>
        <v>1.61279727507717E-3</v>
      </c>
      <c r="AN68">
        <f>'Costing 100 Lmin Feed Orig'!AN68</f>
        <v>7.9603998227522496E-5</v>
      </c>
      <c r="AO68">
        <f>'Costing 100 Lmin Feed Orig'!AO68</f>
        <v>5.28006888098894E-6</v>
      </c>
      <c r="AP68">
        <f>'Costing 100 Lmin Feed Orig'!AP68</f>
        <v>1.7333804651433E-3</v>
      </c>
      <c r="AQ68">
        <f>'Costing 100 Lmin Feed Orig'!AQ68</f>
        <v>7.4557643117945299E-2</v>
      </c>
      <c r="AR68">
        <f>'Costing 100 Lmin Feed Orig'!AR68</f>
        <v>1.6398704779534299E-6</v>
      </c>
      <c r="AS68">
        <f>'Costing 100 Lmin Feed Orig'!AS68</f>
        <v>6.2399223158329797E-15</v>
      </c>
      <c r="AT68">
        <f>'Costing 100 Lmin Feed Orig'!AT68</f>
        <v>-6.4600451724072805E-13</v>
      </c>
      <c r="AU68">
        <f>'Costing 100 Lmin Feed Orig'!AU68</f>
        <v>5.9854789124336998E-20</v>
      </c>
      <c r="AV68">
        <f>'Costing 100 Lmin Feed Orig'!AV68</f>
        <v>0.19688310425783201</v>
      </c>
      <c r="AW68">
        <f>'Costing 100 Lmin Feed Orig'!AW68</f>
        <v>99.342281329262306</v>
      </c>
      <c r="AX68">
        <f>'Costing 100 Lmin Feed Orig'!AX68</f>
        <v>500</v>
      </c>
      <c r="AY68">
        <f>'Costing 100 Lmin Feed Orig'!AY68</f>
        <v>95</v>
      </c>
      <c r="AZ68">
        <f>'Costing 100 Lmin Feed Orig'!AZ68</f>
        <v>0.92357542033771201</v>
      </c>
      <c r="BA68">
        <f>'Costing 100 Lmin Feed Orig'!BA68</f>
        <v>0.1</v>
      </c>
      <c r="BB68">
        <f>'Costing 100 Lmin Feed Orig'!BB68</f>
        <v>46.909836363013902</v>
      </c>
      <c r="BC68" t="str">
        <f>'Costing 100 Lmin Feed Orig'!BC68</f>
        <v>coeFc</v>
      </c>
      <c r="BD68">
        <f>'Costing 100 Lmin Feed Orig'!BD68</f>
        <v>1</v>
      </c>
      <c r="BE68">
        <f>'Costing 100 Lmin Feed Orig'!BE68</f>
        <v>1.8775014999999999E-2</v>
      </c>
      <c r="BF68">
        <f>'Costing 100 Lmin Feed Orig'!BF68</f>
        <v>0.10492961100000001</v>
      </c>
      <c r="BG68">
        <f>'Costing 100 Lmin Feed Orig'!BG68</f>
        <v>1.814625E-3</v>
      </c>
      <c r="BH68">
        <f>'Costing 100 Lmin Feed Orig'!BH68</f>
        <v>285.1951444</v>
      </c>
      <c r="BI68">
        <f>'Costing 100 Lmin Feed Orig'!BI68</f>
        <v>2169.8944889999998</v>
      </c>
      <c r="BJ68">
        <f>'Costing 100 Lmin Feed Orig'!BJ68</f>
        <v>866.49409060000005</v>
      </c>
      <c r="BK68">
        <f>'Costing 100 Lmin Feed Orig'!BK68</f>
        <v>100</v>
      </c>
      <c r="BL68">
        <f>'Costing 100 Lmin Feed Orig'!BL68</f>
        <v>10.969051996096999</v>
      </c>
      <c r="BM68">
        <f>'Costing 100 Lmin Feed Orig'!BM68</f>
        <v>92.357542033771196</v>
      </c>
      <c r="BN68">
        <f>'Costing 100 Lmin Feed Orig'!BN68</f>
        <v>19.6883104257832</v>
      </c>
      <c r="BO68">
        <f t="shared" si="20"/>
        <v>241.31914391413397</v>
      </c>
      <c r="BP68">
        <f t="shared" si="21"/>
        <v>472.51945021879681</v>
      </c>
      <c r="BQ68">
        <f t="shared" si="22"/>
        <v>24.1319143914134</v>
      </c>
      <c r="BR68">
        <f t="shared" si="23"/>
        <v>47.251945021879685</v>
      </c>
      <c r="BS68">
        <f>1.2*0.5*BL68*V68/'Oxidant Feed Composition'!$N$22</f>
        <v>6.5814311976581994</v>
      </c>
      <c r="BT68">
        <f>1.2*0.5*BN68*BA68/'Oxidant Feed Composition'!$N$22</f>
        <v>11.812986255469919</v>
      </c>
      <c r="BU68">
        <f t="shared" si="24"/>
        <v>5.4845259980484995</v>
      </c>
      <c r="BV68">
        <f t="shared" si="25"/>
        <v>9.8441552128916001</v>
      </c>
      <c r="BW68">
        <f t="shared" si="26"/>
        <v>86.873016035722699</v>
      </c>
      <c r="BX68">
        <f t="shared" si="19"/>
        <v>35.100966387510397</v>
      </c>
      <c r="BY68">
        <f t="shared" si="27"/>
        <v>206.65318805973638</v>
      </c>
      <c r="BZ68">
        <f t="shared" si="28"/>
        <v>63.002593362506239</v>
      </c>
      <c r="CA68">
        <f t="shared" si="29"/>
        <v>59.064931277349601</v>
      </c>
      <c r="CB68">
        <f>BO68*'Reagent cost'!$G$11*'Reagent cost'!$H$11</f>
        <v>3185.4126996665682</v>
      </c>
      <c r="CC68">
        <f>BP68*'Reagent cost'!$G$11*'Reagent cost'!$H$11</f>
        <v>6237.2567428881175</v>
      </c>
      <c r="CD68">
        <f>BQ68*'Reagent cost'!$C$18/1000*'Reagent cost'!$H$18</f>
        <v>3848.5686313477631</v>
      </c>
      <c r="CE68">
        <f>BR68*'Ligand cost'!$B$56*'Ligand cost'!$J$56</f>
        <v>48108.515614679709</v>
      </c>
      <c r="CF68">
        <f t="shared" si="30"/>
        <v>10</v>
      </c>
      <c r="CG68">
        <f t="shared" si="31"/>
        <v>2.1938103992193998</v>
      </c>
      <c r="CH68">
        <f t="shared" si="31"/>
        <v>3.9376620851566404</v>
      </c>
      <c r="CI68">
        <f>7963.6*(BX68/1000)^0.6*1.7*('CAPEX+OPEX'!$G$116/'CAPEX+OPEX'!$G$115)</f>
        <v>2140.0916471558648</v>
      </c>
      <c r="CJ68">
        <f>7963.6*(BY68/1000)^0.6*1.7*('CAPEX+OPEX'!$G$116/'CAPEX+OPEX'!$G$115)</f>
        <v>6199.9215410229135</v>
      </c>
      <c r="CK68">
        <f>7963.6*(BZ68/1000)^0.6*1.7*('CAPEX+OPEX'!$G$116/'CAPEX+OPEX'!$G$115)</f>
        <v>3039.8768064634182</v>
      </c>
      <c r="CL68">
        <f>7963.6*(CA68/1000)^0.6*1.7*('CAPEX+OPEX'!$G$116/'CAPEX+OPEX'!$G$115)</f>
        <v>2924.413295194181</v>
      </c>
      <c r="CM68">
        <f>'Costing 100 Lmin Feed Orig'!DE68</f>
        <v>39625.826528698344</v>
      </c>
      <c r="CN68">
        <f>'Costing 100 Lmin Feed Orig'!DF68</f>
        <v>4586243.4239371875</v>
      </c>
      <c r="CO68">
        <f>'Costing 100 Lmin Feed Orig'!DG68</f>
        <v>11794834.586807497</v>
      </c>
      <c r="CP68">
        <f>'Costing 100 Lmin Feed Orig'!DH68</f>
        <v>2275209.1661185985</v>
      </c>
      <c r="CQ68">
        <f>'Costing 100 Lmin Feed Orig'!DI68</f>
        <v>14083914.336508472</v>
      </c>
      <c r="CR68">
        <f>'Costing 100 Lmin Feed Orig'!DJ68</f>
        <v>1662824.8986326549</v>
      </c>
      <c r="CS68">
        <f>CN68*(BK68/10000)^0.72*((A68+1)/3)^0.6*('CAPEX+OPEX'!$G$116/'CAPEX+OPEX'!$G$114)</f>
        <v>800322.53402245743</v>
      </c>
      <c r="CT68">
        <f>CO68*(BK68/10000)^0.72*((A68+1)/3)^0.6*('CAPEX+OPEX'!$G$116/'CAPEX+OPEX'!$G$114)</f>
        <v>2058257.9318883498</v>
      </c>
      <c r="CU68">
        <f>CP68*(BK68/10000)^0.72*((A68+1)/3)^0.6*('CAPEX+OPEX'!$G$116/'CAPEX+OPEX'!$G$114)</f>
        <v>397035.437708179</v>
      </c>
      <c r="CV68">
        <f>CQ68*(BK68/10000)^0.72*((A68+1)/3)^0.6*('CAPEX+OPEX'!$G$116/'CAPEX+OPEX'!$G$114)</f>
        <v>2457713.856163613</v>
      </c>
      <c r="CW68">
        <f>CR68*(BK68/10000)^0.72*((A68+1)/3)^0.6*('CAPEX+OPEX'!$G$116/'CAPEX+OPEX'!$G$114)</f>
        <v>290171.30437591631</v>
      </c>
      <c r="CX68">
        <f t="shared" si="32"/>
        <v>6003501.064158516</v>
      </c>
      <c r="CY68">
        <f>CN68*(BM68/10000)^0.72*((AF68+1)/3)^0.6*('CAPEX+OPEX'!$G$116/'CAPEX+OPEX'!$G$114)</f>
        <v>800277.78225224779</v>
      </c>
      <c r="CZ68">
        <f>CO68*(BM68/10000)^0.72*((AF68+1)/3)^0.6*('CAPEX+OPEX'!$G$116/'CAPEX+OPEX'!$G$114)</f>
        <v>2058142.8399321893</v>
      </c>
      <c r="DA68">
        <f>CP68*(BM68/10000)^0.72*((AF68+1)/3)^0.6*('CAPEX+OPEX'!$G$116/'CAPEX+OPEX'!$G$114)</f>
        <v>397013.23661059892</v>
      </c>
      <c r="DB68">
        <f>CQ68*(BM68/10000)^0.72*((AF68+1)/3)^0.6*('CAPEX+OPEX'!$G$116/'CAPEX+OPEX'!$G$114)</f>
        <v>2457576.4277631165</v>
      </c>
      <c r="DC68">
        <f>CR68*(BM68/10000)^0.72*((AF68+1)/3)^0.6*('CAPEX+OPEX'!$G$116/'CAPEX+OPEX'!$G$114)</f>
        <v>290155.07881811575</v>
      </c>
      <c r="DD68">
        <f t="shared" si="33"/>
        <v>6003165.3653762685</v>
      </c>
      <c r="DE68">
        <f>CX68+DD68+1.15*(SUM(CI68:CL68)+SUM(CB68:CE68))</f>
        <v>12093703.095059967</v>
      </c>
      <c r="DF68">
        <f t="shared" si="34"/>
        <v>806246.87300399772</v>
      </c>
      <c r="DG68">
        <f>(BS68+BT68)*'Oxidant Feed Composition'!$N$29*60*7200</f>
        <v>9176449.5228031576</v>
      </c>
      <c r="DH68">
        <f>((CG68+CH68)*'Reagent cost'!$C$17/1000*'Reagent cost'!$H$17+(CG68+CH68)*0.5*'Reagent cost'!$C$16/1000*'Reagent cost'!$H$16*0.5)*60*7200</f>
        <v>3106653.7654063557</v>
      </c>
      <c r="DI68">
        <f>CF68*'Reagent cost'!$C$17/1000*'Reagent cost'!$H$17*60*7200</f>
        <v>504921.59999999998</v>
      </c>
      <c r="DJ68">
        <f t="shared" si="35"/>
        <v>94.226694425546853</v>
      </c>
      <c r="DK68">
        <f t="shared" si="36"/>
        <v>1039.1416849205496</v>
      </c>
      <c r="DL68">
        <f t="shared" si="37"/>
        <v>15346989.907906631</v>
      </c>
      <c r="DM68">
        <f>BK68*(B68*(409.81+2)/1000+C68*(248.2+2*22.99)/1000+D68*(315.6+3*22.99)/1000+0.1*58.44/1000)</f>
        <v>0.70639694042110623</v>
      </c>
      <c r="DN68">
        <f>(BS68+BT68)/1000*('Oxidant Feed Composition'!$B$11*'Oxidant Feed Composition'!$O$20+'Oxidant Feed Composition'!$D$11*'Oxidant Feed Composition'!$O$21+'Oxidant Feed Composition'!$F$11*'Oxidant Feed Composition'!$O$27-'Oxidant Feed Composition'!$J$15*18.015)</f>
        <v>2.1481835808315388</v>
      </c>
      <c r="DO68">
        <f>(BU68+BV68)/1000*(0.2*368.34+0.4*58.44)</f>
        <v>1.4875565394344712</v>
      </c>
      <c r="DP68">
        <f>BK68/1000*(B68*195.08+C68*106.42+D68*102.91)</f>
        <v>4.999938342565946E-2</v>
      </c>
      <c r="DQ68">
        <f>SUM(DM68:DO68)-DP68</f>
        <v>4.2921376772614561</v>
      </c>
      <c r="DR68">
        <f>DQ68*60*7200*0.33</f>
        <v>611887.14727039333</v>
      </c>
      <c r="DS68">
        <v>1.2</v>
      </c>
      <c r="DT68">
        <f>BM68/60*(AM68*4+AN68*2+AO68*3)*96485/DV68</f>
        <v>1405.8852099213232</v>
      </c>
      <c r="DU68">
        <f>BN68*BA68*(AP68*4+AQ68*2+AR68*3)*96485/DV68/60</f>
        <v>705.81861211455293</v>
      </c>
      <c r="DV68">
        <v>0.7</v>
      </c>
      <c r="DW68">
        <f>0.499*((BK68/3.78541*15)^(-0.146))*BK68/3.78541*15*300*(1+(A68-2)/9)</f>
        <v>44032.441905260595</v>
      </c>
      <c r="DX68">
        <f>0.248*((BK68/3.78541*15)^(-0.144))*BK68/3.78541*15*300*(1+(A68-2)/3)</f>
        <v>41526.098972294596</v>
      </c>
      <c r="DY68">
        <f>0.105*((BK68/3.78541*15)^(-0.144))*BK68/3.78541*15*300*(1+(A68-2)/3)</f>
        <v>17581.614484237631</v>
      </c>
      <c r="DZ68">
        <f>0.058*((BK68/3.78541*15)^(-0.151))*BK68/3.78541*15*300*(1+(A68-2)/3)</f>
        <v>9313.4716969742931</v>
      </c>
      <c r="EA68">
        <f>0.056*((BK68/3.78541*15)^(-0.144))*BK68/3.78541*15*300*(1+(A68-2)/3)</f>
        <v>9376.8610582600722</v>
      </c>
      <c r="EB68">
        <f>DS68*DT68/(3.6*10^6)*3600*7200*0.07</f>
        <v>850.27937496041636</v>
      </c>
      <c r="EC68">
        <f>0.499*((BM68/3.78541*15)^(-0.146))*BM68/3.78541*15*300*(1+(AF68-2)/9)</f>
        <v>43713.452676217516</v>
      </c>
      <c r="ED68">
        <f>0.248*((BM68/3.78541*15)^(-0.144))*BM68/3.78541*15*300*(1+(AF68-2)/3)</f>
        <v>42673.490277823796</v>
      </c>
      <c r="EE68">
        <f>0.105*((BM68/3.78541*15)^(-0.144))*BM68/3.78541*15*300*(1+(AF68-2)/3)</f>
        <v>18067.40515794959</v>
      </c>
      <c r="EF68">
        <f>0.058*((BM68/3.78541*15)^(-0.151))*BM68/3.78541*15*300*(1+(AF68-2)/3)</f>
        <v>9576.1363957083813</v>
      </c>
      <c r="EG68">
        <f>0.056*((BM68/3.78541*15)^(-0.144))*BM68/3.78541*15*300*(1+(AF68-2)/3)</f>
        <v>9635.9494175731143</v>
      </c>
      <c r="EH68">
        <f>DS68*DU68/(3.6*10^6)*3600*7200*0.07</f>
        <v>426.87909660688166</v>
      </c>
      <c r="EI68">
        <f>SUM(DW68:EH68)</f>
        <v>246774.08051386688</v>
      </c>
      <c r="EJ68">
        <f>EI68+DR68+DL68</f>
        <v>16205651.13569089</v>
      </c>
      <c r="EK68">
        <f>EJ68+DF68</f>
        <v>17011898.008694887</v>
      </c>
      <c r="EL68">
        <f>EK68/(BK68*60*7200)</f>
        <v>0.39379393538645574</v>
      </c>
      <c r="EM68">
        <f>EK68/(BM68*(AM68*195.084/1000+AN68*106.42/1000+AO68*102.911/1000)*60*7200)</f>
        <v>1317.4274582997034</v>
      </c>
      <c r="EN68">
        <f>EK68/(BN68*BA68*(AP68*195.084/1000+AQ68*106.42/1000+AR68*102.911/1000)*60*7200)</f>
        <v>2417.7466116209812</v>
      </c>
    </row>
    <row r="69" spans="1:144">
      <c r="A69">
        <f>'Costing 100 Lmin Feed Orig'!A69</f>
        <v>9</v>
      </c>
      <c r="B69">
        <f>'Costing 100 Lmin Feed Orig'!B69</f>
        <v>1.54143585092054E-3</v>
      </c>
      <c r="C69">
        <f>'Costing 100 Lmin Feed Orig'!C69</f>
        <v>1.54143585092054E-3</v>
      </c>
      <c r="D69">
        <f>'Costing 100 Lmin Feed Orig'!D69</f>
        <v>3.4254130020456501E-4</v>
      </c>
      <c r="E69">
        <f>'Costing 100 Lmin Feed Orig'!E69</f>
        <v>0</v>
      </c>
      <c r="F69">
        <f>'Costing 100 Lmin Feed Orig'!F69</f>
        <v>0</v>
      </c>
      <c r="G69">
        <f>'Costing 100 Lmin Feed Orig'!G69</f>
        <v>0</v>
      </c>
      <c r="H69">
        <f>'Costing 100 Lmin Feed Orig'!H69</f>
        <v>1.7768596981705501E-5</v>
      </c>
      <c r="I69">
        <f>'Costing 100 Lmin Feed Orig'!I69</f>
        <v>1.5331283704498101E-9</v>
      </c>
      <c r="J69">
        <f>'Costing 100 Lmin Feed Orig'!J69</f>
        <v>3.3763247208936601E-4</v>
      </c>
      <c r="K69">
        <f>'Costing 100 Lmin Feed Orig'!K69</f>
        <v>0.13890601070001499</v>
      </c>
      <c r="L69">
        <f>'Costing 100 Lmin Feed Orig'!L69</f>
        <v>0.14052575540227799</v>
      </c>
      <c r="M69">
        <f>'Costing 100 Lmin Feed Orig'!M69</f>
        <v>4.4751616793740602E-4</v>
      </c>
      <c r="N69">
        <f>'Costing 100 Lmin Feed Orig'!N69</f>
        <v>-5.0090140368830299E-17</v>
      </c>
      <c r="O69">
        <f>'Costing 100 Lmin Feed Orig'!O69</f>
        <v>-6.2343793322261397E-15</v>
      </c>
      <c r="P69">
        <f>'Costing 100 Lmin Feed Orig'!P69</f>
        <v>1.7787691892340301E-20</v>
      </c>
      <c r="Q69">
        <f>'Costing 100 Lmin Feed Orig'!Q69</f>
        <v>0.10969051996097</v>
      </c>
      <c r="R69">
        <f>'Costing 100 Lmin Feed Orig'!R69</f>
        <v>98.566938318892298</v>
      </c>
      <c r="S69">
        <f>'Costing 100 Lmin Feed Orig'!S69</f>
        <v>500</v>
      </c>
      <c r="T69">
        <f>'Costing 100 Lmin Feed Orig'!T69</f>
        <v>95</v>
      </c>
      <c r="U69">
        <f>'Costing 100 Lmin Feed Orig'!U69</f>
        <v>1</v>
      </c>
      <c r="V69">
        <f>'Costing 100 Lmin Feed Orig'!V69</f>
        <v>0.1</v>
      </c>
      <c r="W69">
        <f>'Costing 100 Lmin Feed Orig'!W69</f>
        <v>91.165581160141301</v>
      </c>
      <c r="X69" t="str">
        <f>'Costing 100 Lmin Feed Orig'!X69</f>
        <v>ddFc</v>
      </c>
      <c r="Y69">
        <f>'Costing 100 Lmin Feed Orig'!Y69</f>
        <v>1</v>
      </c>
      <c r="Z69">
        <f>'Costing 100 Lmin Feed Orig'!Z69</f>
        <v>0.28318429382522198</v>
      </c>
      <c r="AA69">
        <f>'Costing 100 Lmin Feed Orig'!AA69</f>
        <v>0.56945642916197003</v>
      </c>
      <c r="AB69">
        <f>'Costing 100 Lmin Feed Orig'!AB69</f>
        <v>3.7698628972227502E-3</v>
      </c>
      <c r="AC69">
        <f>'Costing 100 Lmin Feed Orig'!AC69</f>
        <v>1822.2107908876901</v>
      </c>
      <c r="AD69">
        <f>'Costing 100 Lmin Feed Orig'!AD69</f>
        <v>2662.6059073104898</v>
      </c>
      <c r="AE69">
        <f>'Costing 100 Lmin Feed Orig'!AE69</f>
        <v>2401.5030938442701</v>
      </c>
      <c r="AF69">
        <f>'Costing 100 Lmin Feed Orig'!AF69</f>
        <v>11</v>
      </c>
      <c r="AG69">
        <f>'Costing 100 Lmin Feed Orig'!AG69</f>
        <v>1.6497485970141401E-3</v>
      </c>
      <c r="AH69">
        <f>'Costing 100 Lmin Feed Orig'!AH69</f>
        <v>1.6689858606617799E-3</v>
      </c>
      <c r="AI69">
        <f>'Costing 100 Lmin Feed Orig'!AI69</f>
        <v>5.3150268046377499E-6</v>
      </c>
      <c r="AJ69">
        <f>'Costing 100 Lmin Feed Orig'!AJ69</f>
        <v>0</v>
      </c>
      <c r="AK69">
        <f>'Costing 100 Lmin Feed Orig'!AK69</f>
        <v>0</v>
      </c>
      <c r="AL69">
        <f>'Costing 100 Lmin Feed Orig'!AL69</f>
        <v>0</v>
      </c>
      <c r="AM69">
        <f>'Costing 100 Lmin Feed Orig'!AM69</f>
        <v>1.6128003908315799E-3</v>
      </c>
      <c r="AN69">
        <f>'Costing 100 Lmin Feed Orig'!AN69</f>
        <v>7.9604159390225403E-5</v>
      </c>
      <c r="AO69">
        <f>'Costing 100 Lmin Feed Orig'!AO69</f>
        <v>5.2800717061551003E-6</v>
      </c>
      <c r="AP69">
        <f>'Costing 100 Lmin Feed Orig'!AP69</f>
        <v>1.7332750811688499E-3</v>
      </c>
      <c r="AQ69">
        <f>'Costing 100 Lmin Feed Orig'!AQ69</f>
        <v>7.4559389546738394E-2</v>
      </c>
      <c r="AR69">
        <f>'Costing 100 Lmin Feed Orig'!AR69</f>
        <v>1.63977652565795E-6</v>
      </c>
      <c r="AS69">
        <f>'Costing 100 Lmin Feed Orig'!AS69</f>
        <v>2.01441375516017E-15</v>
      </c>
      <c r="AT69">
        <f>'Costing 100 Lmin Feed Orig'!AT69</f>
        <v>-2.0058065451633499E-13</v>
      </c>
      <c r="AU69">
        <f>'Costing 100 Lmin Feed Orig'!AU69</f>
        <v>1.2288595180087699E-20</v>
      </c>
      <c r="AV69">
        <f>'Costing 100 Lmin Feed Orig'!AV69</f>
        <v>0.196878472577803</v>
      </c>
      <c r="AW69">
        <f>'Costing 100 Lmin Feed Orig'!AW69</f>
        <v>99.342334483578696</v>
      </c>
      <c r="AX69">
        <f>'Costing 100 Lmin Feed Orig'!AX69</f>
        <v>500</v>
      </c>
      <c r="AY69">
        <f>'Costing 100 Lmin Feed Orig'!AY69</f>
        <v>95</v>
      </c>
      <c r="AZ69">
        <f>'Costing 100 Lmin Feed Orig'!AZ69</f>
        <v>0.92357542033771201</v>
      </c>
      <c r="BA69">
        <f>'Costing 100 Lmin Feed Orig'!BA69</f>
        <v>0.1</v>
      </c>
      <c r="BB69">
        <f>'Costing 100 Lmin Feed Orig'!BB69</f>
        <v>46.9109399440677</v>
      </c>
      <c r="BC69" t="str">
        <f>'Costing 100 Lmin Feed Orig'!BC69</f>
        <v>coeFc</v>
      </c>
      <c r="BD69">
        <f>'Costing 100 Lmin Feed Orig'!BD69</f>
        <v>1</v>
      </c>
      <c r="BE69">
        <f>'Costing 100 Lmin Feed Orig'!BE69</f>
        <v>1.8775014999999999E-2</v>
      </c>
      <c r="BF69">
        <f>'Costing 100 Lmin Feed Orig'!BF69</f>
        <v>0.10492961100000001</v>
      </c>
      <c r="BG69">
        <f>'Costing 100 Lmin Feed Orig'!BG69</f>
        <v>1.814625E-3</v>
      </c>
      <c r="BH69">
        <f>'Costing 100 Lmin Feed Orig'!BH69</f>
        <v>285.1951444</v>
      </c>
      <c r="BI69">
        <f>'Costing 100 Lmin Feed Orig'!BI69</f>
        <v>2169.8944889999998</v>
      </c>
      <c r="BJ69">
        <f>'Costing 100 Lmin Feed Orig'!BJ69</f>
        <v>866.49409060000005</v>
      </c>
      <c r="BK69">
        <f>'Costing 100 Lmin Feed Orig'!BK69</f>
        <v>100</v>
      </c>
      <c r="BL69">
        <f>'Costing 100 Lmin Feed Orig'!BL69</f>
        <v>10.969051996096999</v>
      </c>
      <c r="BM69">
        <f>'Costing 100 Lmin Feed Orig'!BM69</f>
        <v>92.357542033771196</v>
      </c>
      <c r="BN69">
        <f>'Costing 100 Lmin Feed Orig'!BN69</f>
        <v>19.687847257780298</v>
      </c>
      <c r="BO69">
        <f t="shared" si="20"/>
        <v>241.31914391413397</v>
      </c>
      <c r="BP69">
        <f t="shared" si="21"/>
        <v>511.88402870228776</v>
      </c>
      <c r="BQ69">
        <f t="shared" si="22"/>
        <v>24.1319143914134</v>
      </c>
      <c r="BR69">
        <f t="shared" si="23"/>
        <v>51.188402870228778</v>
      </c>
      <c r="BS69">
        <f>1.2*0.5*BL69*V69/'Oxidant Feed Composition'!$N$22</f>
        <v>6.5814311976581994</v>
      </c>
      <c r="BT69">
        <f>1.2*0.5*BN69*BA69/'Oxidant Feed Composition'!$N$22</f>
        <v>11.812708354668176</v>
      </c>
      <c r="BU69">
        <f t="shared" si="24"/>
        <v>5.4845259980484995</v>
      </c>
      <c r="BV69">
        <f t="shared" si="25"/>
        <v>9.843923628890149</v>
      </c>
      <c r="BW69">
        <f t="shared" si="26"/>
        <v>86.873016035722699</v>
      </c>
      <c r="BX69">
        <f t="shared" si="19"/>
        <v>35.100966387510397</v>
      </c>
      <c r="BY69">
        <f t="shared" si="27"/>
        <v>206.65318805973638</v>
      </c>
      <c r="BZ69">
        <f t="shared" si="28"/>
        <v>63.001111224896945</v>
      </c>
      <c r="CA69">
        <f t="shared" si="29"/>
        <v>59.063541773340894</v>
      </c>
      <c r="CB69">
        <f>BO69*'Reagent cost'!$G$11*'Reagent cost'!$H$11</f>
        <v>3185.4126996665682</v>
      </c>
      <c r="CC69">
        <f>BP69*'Reagent cost'!$G$11*'Reagent cost'!$H$11</f>
        <v>6756.8691788701981</v>
      </c>
      <c r="CD69">
        <f>BQ69*'Reagent cost'!$C$18/1000*'Reagent cost'!$H$18</f>
        <v>3848.5686313477631</v>
      </c>
      <c r="CE69">
        <f>BR69*'Ligand cost'!$B$56*'Ligand cost'!$J$56</f>
        <v>52116.332515680107</v>
      </c>
      <c r="CF69">
        <f t="shared" si="30"/>
        <v>10</v>
      </c>
      <c r="CG69">
        <f t="shared" si="31"/>
        <v>2.1938103992193998</v>
      </c>
      <c r="CH69">
        <f t="shared" si="31"/>
        <v>3.93756945155606</v>
      </c>
      <c r="CI69">
        <f>7963.6*(BX69/1000)^0.6*1.7*('CAPEX+OPEX'!$G$116/'CAPEX+OPEX'!$G$115)</f>
        <v>2140.0916471558648</v>
      </c>
      <c r="CJ69">
        <f>7963.6*(BY69/1000)^0.6*1.7*('CAPEX+OPEX'!$G$116/'CAPEX+OPEX'!$G$115)</f>
        <v>6199.9215410229135</v>
      </c>
      <c r="CK69">
        <f>7963.6*(BZ69/1000)^0.6*1.7*('CAPEX+OPEX'!$G$116/'CAPEX+OPEX'!$G$115)</f>
        <v>3039.833898354078</v>
      </c>
      <c r="CL69">
        <f>7963.6*(CA69/1000)^0.6*1.7*('CAPEX+OPEX'!$G$116/'CAPEX+OPEX'!$G$115)</f>
        <v>2924.3720168617306</v>
      </c>
      <c r="CM69">
        <f>'Costing 100 Lmin Feed Orig'!DE69</f>
        <v>39625.826528698344</v>
      </c>
      <c r="CN69">
        <f>'Costing 100 Lmin Feed Orig'!DF69</f>
        <v>4586243.4239371875</v>
      </c>
      <c r="CO69">
        <f>'Costing 100 Lmin Feed Orig'!DG69</f>
        <v>11794834.586807497</v>
      </c>
      <c r="CP69">
        <f>'Costing 100 Lmin Feed Orig'!DH69</f>
        <v>2275209.1661185985</v>
      </c>
      <c r="CQ69">
        <f>'Costing 100 Lmin Feed Orig'!DI69</f>
        <v>14083914.336508472</v>
      </c>
      <c r="CR69">
        <f>'Costing 100 Lmin Feed Orig'!DJ69</f>
        <v>1662824.8986326549</v>
      </c>
      <c r="CS69">
        <f>CN69*(BK69/10000)^0.72*((A69+1)/3)^0.6*('CAPEX+OPEX'!$G$116/'CAPEX+OPEX'!$G$114)</f>
        <v>800322.53402245743</v>
      </c>
      <c r="CT69">
        <f>CO69*(BK69/10000)^0.72*((A69+1)/3)^0.6*('CAPEX+OPEX'!$G$116/'CAPEX+OPEX'!$G$114)</f>
        <v>2058257.9318883498</v>
      </c>
      <c r="CU69">
        <f>CP69*(BK69/10000)^0.72*((A69+1)/3)^0.6*('CAPEX+OPEX'!$G$116/'CAPEX+OPEX'!$G$114)</f>
        <v>397035.437708179</v>
      </c>
      <c r="CV69">
        <f>CQ69*(BK69/10000)^0.72*((A69+1)/3)^0.6*('CAPEX+OPEX'!$G$116/'CAPEX+OPEX'!$G$114)</f>
        <v>2457713.856163613</v>
      </c>
      <c r="CW69">
        <f>CR69*(BK69/10000)^0.72*((A69+1)/3)^0.6*('CAPEX+OPEX'!$G$116/'CAPEX+OPEX'!$G$114)</f>
        <v>290171.30437591631</v>
      </c>
      <c r="CX69">
        <f t="shared" si="32"/>
        <v>6003501.064158516</v>
      </c>
      <c r="CY69">
        <f>CN69*(BM69/10000)^0.72*((AF69+1)/3)^0.6*('CAPEX+OPEX'!$G$116/'CAPEX+OPEX'!$G$114)</f>
        <v>843167.57420412218</v>
      </c>
      <c r="CZ69">
        <f>CO69*(BM69/10000)^0.72*((AF69+1)/3)^0.6*('CAPEX+OPEX'!$G$116/'CAPEX+OPEX'!$G$114)</f>
        <v>2168446.1873067734</v>
      </c>
      <c r="DA69">
        <f>CP69*(BM69/10000)^0.72*((AF69+1)/3)^0.6*('CAPEX+OPEX'!$G$116/'CAPEX+OPEX'!$G$114)</f>
        <v>418290.61741260858</v>
      </c>
      <c r="DB69">
        <f>CQ69*(BM69/10000)^0.72*((AF69+1)/3)^0.6*('CAPEX+OPEX'!$G$116/'CAPEX+OPEX'!$G$114)</f>
        <v>2589286.8713492746</v>
      </c>
      <c r="DC69">
        <f>CR69*(BM69/10000)^0.72*((AF69+1)/3)^0.6*('CAPEX+OPEX'!$G$116/'CAPEX+OPEX'!$G$114)</f>
        <v>305705.5429697822</v>
      </c>
      <c r="DD69">
        <f t="shared" si="33"/>
        <v>6324896.7932425607</v>
      </c>
      <c r="DE69">
        <f>CX69+DD69+1.15*(SUM(CI69:CL69)+SUM(CB69:CE69))</f>
        <v>12420640.96984938</v>
      </c>
      <c r="DF69">
        <f t="shared" si="34"/>
        <v>828042.73132329201</v>
      </c>
      <c r="DG69">
        <f>(BS69+BT69)*'Oxidant Feed Composition'!$N$29*60*7200</f>
        <v>9176310.8860300146</v>
      </c>
      <c r="DH69">
        <f>((CG69+CH69)*'Reagent cost'!$C$17/1000*'Reagent cost'!$H$17+(CG69+CH69)*0.5*'Reagent cost'!$C$16/1000*'Reagent cost'!$H$16*0.5)*60*7200</f>
        <v>3106606.8304287004</v>
      </c>
      <c r="DI69">
        <f>CF69*'Reagent cost'!$C$17/1000*'Reagent cost'!$H$17*60*7200</f>
        <v>504921.59999999998</v>
      </c>
      <c r="DJ69">
        <f t="shared" si="35"/>
        <v>99.422818785367667</v>
      </c>
      <c r="DK69">
        <f t="shared" si="36"/>
        <v>1119.2980229405575</v>
      </c>
      <c r="DL69">
        <f t="shared" si="37"/>
        <v>15346869.644760529</v>
      </c>
      <c r="DM69">
        <f>BK69*(B69*(409.81+2)/1000+C69*(248.2+2*22.99)/1000+D69*(315.6+3*22.99)/1000+0.1*58.44/1000)</f>
        <v>0.70639694042110623</v>
      </c>
      <c r="DN69">
        <f>(BS69+BT69)/1000*('Oxidant Feed Composition'!$B$11*'Oxidant Feed Composition'!$O$20+'Oxidant Feed Composition'!$D$11*'Oxidant Feed Composition'!$O$21+'Oxidant Feed Composition'!$F$11*'Oxidant Feed Composition'!$O$27-'Oxidant Feed Composition'!$J$15*18.015)</f>
        <v>2.1481511263142412</v>
      </c>
      <c r="DO69">
        <f>(BU69+BV69)/1000*(0.2*368.34+0.4*58.44)</f>
        <v>1.4875340655966343</v>
      </c>
      <c r="DP69">
        <f>BK69/1000*(B69*195.08+C69*106.42+D69*102.91)</f>
        <v>4.999938342565946E-2</v>
      </c>
      <c r="DQ69">
        <f>SUM(DM69:DO69)-DP69</f>
        <v>4.2920827489063216</v>
      </c>
      <c r="DR69">
        <f>DQ69*60*7200*0.33</f>
        <v>611879.31668408518</v>
      </c>
      <c r="DS69">
        <v>1.2</v>
      </c>
      <c r="DT69">
        <f>BM69/60*(AM69*4+AN69*2+AO69*3)*96485/DV69</f>
        <v>1405.8879243789322</v>
      </c>
      <c r="DU69">
        <f>BN69*BA69*(AP69*4+AQ69*2+AR69*3)*96485/DV69/60</f>
        <v>705.81589745617578</v>
      </c>
      <c r="DV69">
        <v>0.7</v>
      </c>
      <c r="DW69">
        <f>0.499*((BK69/3.78541*15)^(-0.146))*BK69/3.78541*15*300*(1+(A69-2)/9)</f>
        <v>44032.441905260595</v>
      </c>
      <c r="DX69">
        <f>0.248*((BK69/3.78541*15)^(-0.144))*BK69/3.78541*15*300*(1+(A69-2)/3)</f>
        <v>41526.098972294596</v>
      </c>
      <c r="DY69">
        <f>0.105*((BK69/3.78541*15)^(-0.144))*BK69/3.78541*15*300*(1+(A69-2)/3)</f>
        <v>17581.614484237631</v>
      </c>
      <c r="DZ69">
        <f>0.058*((BK69/3.78541*15)^(-0.151))*BK69/3.78541*15*300*(1+(A69-2)/3)</f>
        <v>9313.4716969742931</v>
      </c>
      <c r="EA69">
        <f>0.056*((BK69/3.78541*15)^(-0.144))*BK69/3.78541*15*300*(1+(A69-2)/3)</f>
        <v>9376.8610582600722</v>
      </c>
      <c r="EB69">
        <f>DS69*DT69/(3.6*10^6)*3600*7200*0.07</f>
        <v>850.28101666437828</v>
      </c>
      <c r="EC69">
        <f>0.499*((BM69/3.78541*15)^(-0.146))*BM69/3.78541*15*300*(1+(AF69-2)/9)</f>
        <v>46284.832245406782</v>
      </c>
      <c r="ED69">
        <f>0.248*((BM69/3.78541*15)^(-0.144))*BM69/3.78541*15*300*(1+(AF69-2)/3)</f>
        <v>46552.898484898687</v>
      </c>
      <c r="EE69">
        <f>0.105*((BM69/3.78541*15)^(-0.144))*BM69/3.78541*15*300*(1+(AF69-2)/3)</f>
        <v>19709.896535945009</v>
      </c>
      <c r="EF69">
        <f>0.058*((BM69/3.78541*15)^(-0.151))*BM69/3.78541*15*300*(1+(AF69-2)/3)</f>
        <v>10446.694249863689</v>
      </c>
      <c r="EG69">
        <f>0.056*((BM69/3.78541*15)^(-0.144))*BM69/3.78541*15*300*(1+(AF69-2)/3)</f>
        <v>10511.944819170671</v>
      </c>
      <c r="EH69">
        <f>DS69*DU69/(3.6*10^6)*3600*7200*0.07</f>
        <v>426.8774547814952</v>
      </c>
      <c r="EI69">
        <f>SUM(DW69:EH69)</f>
        <v>256613.91292375789</v>
      </c>
      <c r="EJ69">
        <f>EI69+DR69+DL69</f>
        <v>16215362.874368371</v>
      </c>
      <c r="EK69">
        <f>EJ69+DF69</f>
        <v>17043405.605691664</v>
      </c>
      <c r="EL69">
        <f>EK69/(BK69*60*7200)</f>
        <v>0.39452327790952924</v>
      </c>
      <c r="EM69">
        <f>EK69/(BM69*(AM69*195.084/1000+AN69*106.42/1000+AO69*102.911/1000)*60*7200)</f>
        <v>1319.8649049613962</v>
      </c>
      <c r="EN69">
        <f>EK69/(BN69*BA69*(AP69*195.084/1000+AQ69*106.42/1000+AR69*102.911/1000)*60*7200)</f>
        <v>2422.2330892015725</v>
      </c>
    </row>
    <row r="70" spans="1:144">
      <c r="A70">
        <f>'Costing 100 Lmin Feed Orig'!A70</f>
        <v>9</v>
      </c>
      <c r="B70">
        <f>'Costing 100 Lmin Feed Orig'!B70</f>
        <v>1.54143585092054E-3</v>
      </c>
      <c r="C70">
        <f>'Costing 100 Lmin Feed Orig'!C70</f>
        <v>1.54143585092054E-3</v>
      </c>
      <c r="D70">
        <f>'Costing 100 Lmin Feed Orig'!D70</f>
        <v>3.4254130020456501E-4</v>
      </c>
      <c r="E70">
        <f>'Costing 100 Lmin Feed Orig'!E70</f>
        <v>0</v>
      </c>
      <c r="F70">
        <f>'Costing 100 Lmin Feed Orig'!F70</f>
        <v>0</v>
      </c>
      <c r="G70">
        <f>'Costing 100 Lmin Feed Orig'!G70</f>
        <v>0</v>
      </c>
      <c r="H70">
        <f>'Costing 100 Lmin Feed Orig'!H70</f>
        <v>1.7768596981705501E-5</v>
      </c>
      <c r="I70">
        <f>'Costing 100 Lmin Feed Orig'!I70</f>
        <v>1.5331283704498101E-9</v>
      </c>
      <c r="J70">
        <f>'Costing 100 Lmin Feed Orig'!J70</f>
        <v>3.3763247208936601E-4</v>
      </c>
      <c r="K70">
        <f>'Costing 100 Lmin Feed Orig'!K70</f>
        <v>0.13890601070001499</v>
      </c>
      <c r="L70">
        <f>'Costing 100 Lmin Feed Orig'!L70</f>
        <v>0.14052575540227799</v>
      </c>
      <c r="M70">
        <f>'Costing 100 Lmin Feed Orig'!M70</f>
        <v>4.4751616793740602E-4</v>
      </c>
      <c r="N70">
        <f>'Costing 100 Lmin Feed Orig'!N70</f>
        <v>-5.0090140368830299E-17</v>
      </c>
      <c r="O70">
        <f>'Costing 100 Lmin Feed Orig'!O70</f>
        <v>-6.2343793322261397E-15</v>
      </c>
      <c r="P70">
        <f>'Costing 100 Lmin Feed Orig'!P70</f>
        <v>1.7787691892340301E-20</v>
      </c>
      <c r="Q70">
        <f>'Costing 100 Lmin Feed Orig'!Q70</f>
        <v>0.10969051996097</v>
      </c>
      <c r="R70">
        <f>'Costing 100 Lmin Feed Orig'!R70</f>
        <v>98.566938318892298</v>
      </c>
      <c r="S70">
        <f>'Costing 100 Lmin Feed Orig'!S70</f>
        <v>500</v>
      </c>
      <c r="T70">
        <f>'Costing 100 Lmin Feed Orig'!T70</f>
        <v>95</v>
      </c>
      <c r="U70">
        <f>'Costing 100 Lmin Feed Orig'!U70</f>
        <v>1</v>
      </c>
      <c r="V70">
        <f>'Costing 100 Lmin Feed Orig'!V70</f>
        <v>0.1</v>
      </c>
      <c r="W70">
        <f>'Costing 100 Lmin Feed Orig'!W70</f>
        <v>91.165581160141301</v>
      </c>
      <c r="X70" t="str">
        <f>'Costing 100 Lmin Feed Orig'!X70</f>
        <v>ddFc</v>
      </c>
      <c r="Y70">
        <f>'Costing 100 Lmin Feed Orig'!Y70</f>
        <v>1</v>
      </c>
      <c r="Z70">
        <f>'Costing 100 Lmin Feed Orig'!Z70</f>
        <v>0.28318429382522198</v>
      </c>
      <c r="AA70">
        <f>'Costing 100 Lmin Feed Orig'!AA70</f>
        <v>0.56945642916197003</v>
      </c>
      <c r="AB70">
        <f>'Costing 100 Lmin Feed Orig'!AB70</f>
        <v>3.7698628972227502E-3</v>
      </c>
      <c r="AC70">
        <f>'Costing 100 Lmin Feed Orig'!AC70</f>
        <v>1822.2107908876901</v>
      </c>
      <c r="AD70">
        <f>'Costing 100 Lmin Feed Orig'!AD70</f>
        <v>2662.6059073104898</v>
      </c>
      <c r="AE70">
        <f>'Costing 100 Lmin Feed Orig'!AE70</f>
        <v>2401.5030938442701</v>
      </c>
      <c r="AF70">
        <f>'Costing 100 Lmin Feed Orig'!AF70</f>
        <v>12</v>
      </c>
      <c r="AG70">
        <f>'Costing 100 Lmin Feed Orig'!AG70</f>
        <v>1.6497485970141401E-3</v>
      </c>
      <c r="AH70">
        <f>'Costing 100 Lmin Feed Orig'!AH70</f>
        <v>1.6689858606617799E-3</v>
      </c>
      <c r="AI70">
        <f>'Costing 100 Lmin Feed Orig'!AI70</f>
        <v>5.3150268046377499E-6</v>
      </c>
      <c r="AJ70">
        <f>'Costing 100 Lmin Feed Orig'!AJ70</f>
        <v>0</v>
      </c>
      <c r="AK70">
        <f>'Costing 100 Lmin Feed Orig'!AK70</f>
        <v>0</v>
      </c>
      <c r="AL70">
        <f>'Costing 100 Lmin Feed Orig'!AL70</f>
        <v>0</v>
      </c>
      <c r="AM70">
        <f>'Costing 100 Lmin Feed Orig'!AM70</f>
        <v>1.61280126654258E-3</v>
      </c>
      <c r="AN70">
        <f>'Costing 100 Lmin Feed Orig'!AN70</f>
        <v>7.9604204686258806E-5</v>
      </c>
      <c r="AO70">
        <f>'Costing 100 Lmin Feed Orig'!AO70</f>
        <v>5.2800725001932601E-6</v>
      </c>
      <c r="AP70">
        <f>'Costing 100 Lmin Feed Orig'!AP70</f>
        <v>1.7332454612020299E-3</v>
      </c>
      <c r="AQ70">
        <f>'Costing 100 Lmin Feed Orig'!AQ70</f>
        <v>7.4559880410390605E-2</v>
      </c>
      <c r="AR70">
        <f>'Costing 100 Lmin Feed Orig'!AR70</f>
        <v>1.63975011876007E-6</v>
      </c>
      <c r="AS70">
        <f>'Costing 100 Lmin Feed Orig'!AS70</f>
        <v>3.97766672030619E-16</v>
      </c>
      <c r="AT70">
        <f>'Costing 100 Lmin Feed Orig'!AT70</f>
        <v>-3.8874068894467698E-14</v>
      </c>
      <c r="AU70">
        <f>'Costing 100 Lmin Feed Orig'!AU70</f>
        <v>-3.3087224502121099E-21</v>
      </c>
      <c r="AV70">
        <f>'Costing 100 Lmin Feed Orig'!AV70</f>
        <v>0.196877170799345</v>
      </c>
      <c r="AW70">
        <f>'Costing 100 Lmin Feed Orig'!AW70</f>
        <v>99.3423494230736</v>
      </c>
      <c r="AX70">
        <f>'Costing 100 Lmin Feed Orig'!AX70</f>
        <v>500</v>
      </c>
      <c r="AY70">
        <f>'Costing 100 Lmin Feed Orig'!AY70</f>
        <v>95</v>
      </c>
      <c r="AZ70">
        <f>'Costing 100 Lmin Feed Orig'!AZ70</f>
        <v>0.92357542033771201</v>
      </c>
      <c r="BA70">
        <f>'Costing 100 Lmin Feed Orig'!BA70</f>
        <v>0.1</v>
      </c>
      <c r="BB70">
        <f>'Costing 100 Lmin Feed Orig'!BB70</f>
        <v>46.911250125541898</v>
      </c>
      <c r="BC70" t="str">
        <f>'Costing 100 Lmin Feed Orig'!BC70</f>
        <v>coeFc</v>
      </c>
      <c r="BD70">
        <f>'Costing 100 Lmin Feed Orig'!BD70</f>
        <v>1</v>
      </c>
      <c r="BE70">
        <f>'Costing 100 Lmin Feed Orig'!BE70</f>
        <v>1.8775014999999999E-2</v>
      </c>
      <c r="BF70">
        <f>'Costing 100 Lmin Feed Orig'!BF70</f>
        <v>0.10492961100000001</v>
      </c>
      <c r="BG70">
        <f>'Costing 100 Lmin Feed Orig'!BG70</f>
        <v>1.814625E-3</v>
      </c>
      <c r="BH70">
        <f>'Costing 100 Lmin Feed Orig'!BH70</f>
        <v>285.1951444</v>
      </c>
      <c r="BI70">
        <f>'Costing 100 Lmin Feed Orig'!BI70</f>
        <v>2169.8944889999998</v>
      </c>
      <c r="BJ70">
        <f>'Costing 100 Lmin Feed Orig'!BJ70</f>
        <v>866.49409060000005</v>
      </c>
      <c r="BK70">
        <f>'Costing 100 Lmin Feed Orig'!BK70</f>
        <v>100</v>
      </c>
      <c r="BL70">
        <f>'Costing 100 Lmin Feed Orig'!BL70</f>
        <v>10.969051996096999</v>
      </c>
      <c r="BM70">
        <f>'Costing 100 Lmin Feed Orig'!BM70</f>
        <v>92.357542033771196</v>
      </c>
      <c r="BN70">
        <f>'Costing 100 Lmin Feed Orig'!BN70</f>
        <v>19.687717079934501</v>
      </c>
      <c r="BO70">
        <f t="shared" si="20"/>
        <v>241.31914391413397</v>
      </c>
      <c r="BP70">
        <f t="shared" si="21"/>
        <v>551.25607823816608</v>
      </c>
      <c r="BQ70">
        <f t="shared" si="22"/>
        <v>24.1319143914134</v>
      </c>
      <c r="BR70">
        <f t="shared" si="23"/>
        <v>55.125607823816608</v>
      </c>
      <c r="BS70">
        <f>1.2*0.5*BL70*V70/'Oxidant Feed Composition'!$N$22</f>
        <v>6.5814311976581994</v>
      </c>
      <c r="BT70">
        <f>1.2*0.5*BN70*BA70/'Oxidant Feed Composition'!$N$22</f>
        <v>11.812630247960699</v>
      </c>
      <c r="BU70">
        <f t="shared" si="24"/>
        <v>5.4845259980484995</v>
      </c>
      <c r="BV70">
        <f t="shared" si="25"/>
        <v>9.8438585399672505</v>
      </c>
      <c r="BW70">
        <f t="shared" si="26"/>
        <v>86.873016035722699</v>
      </c>
      <c r="BX70">
        <f t="shared" si="19"/>
        <v>35.100966387510397</v>
      </c>
      <c r="BY70">
        <f t="shared" si="27"/>
        <v>206.65318805973638</v>
      </c>
      <c r="BZ70">
        <f t="shared" si="28"/>
        <v>63.000694655790397</v>
      </c>
      <c r="CA70">
        <f t="shared" si="29"/>
        <v>59.063151239803503</v>
      </c>
      <c r="CB70">
        <f>BO70*'Reagent cost'!$G$11*'Reagent cost'!$H$11</f>
        <v>3185.4126996665682</v>
      </c>
      <c r="CC70">
        <f>BP70*'Reagent cost'!$G$11*'Reagent cost'!$H$11</f>
        <v>7276.5802327437923</v>
      </c>
      <c r="CD70">
        <f>BQ70*'Reagent cost'!$C$18/1000*'Reagent cost'!$H$18</f>
        <v>3848.5686313477631</v>
      </c>
      <c r="CE70">
        <f>BR70*'Ligand cost'!$B$56*'Ligand cost'!$J$56</f>
        <v>56124.910065242737</v>
      </c>
      <c r="CF70">
        <f t="shared" si="30"/>
        <v>10</v>
      </c>
      <c r="CG70">
        <f t="shared" si="31"/>
        <v>2.1938103992193998</v>
      </c>
      <c r="CH70">
        <f t="shared" si="31"/>
        <v>3.9375434159869003</v>
      </c>
      <c r="CI70">
        <f>7963.6*(BX70/1000)^0.6*1.7*('CAPEX+OPEX'!$G$116/'CAPEX+OPEX'!$G$115)</f>
        <v>2140.0916471558648</v>
      </c>
      <c r="CJ70">
        <f>7963.6*(BY70/1000)^0.6*1.7*('CAPEX+OPEX'!$G$116/'CAPEX+OPEX'!$G$115)</f>
        <v>6199.9215410229135</v>
      </c>
      <c r="CK70">
        <f>7963.6*(BZ70/1000)^0.6*1.7*('CAPEX+OPEX'!$G$116/'CAPEX+OPEX'!$G$115)</f>
        <v>3039.8218385423597</v>
      </c>
      <c r="CL70">
        <f>7963.6*(CA70/1000)^0.6*1.7*('CAPEX+OPEX'!$G$116/'CAPEX+OPEX'!$G$115)</f>
        <v>2924.3604151173263</v>
      </c>
      <c r="CM70">
        <f>'Costing 100 Lmin Feed Orig'!DE70</f>
        <v>39625.826528698344</v>
      </c>
      <c r="CN70">
        <f>'Costing 100 Lmin Feed Orig'!DF70</f>
        <v>4586243.4239371875</v>
      </c>
      <c r="CO70">
        <f>'Costing 100 Lmin Feed Orig'!DG70</f>
        <v>11794834.586807497</v>
      </c>
      <c r="CP70">
        <f>'Costing 100 Lmin Feed Orig'!DH70</f>
        <v>2275209.1661185985</v>
      </c>
      <c r="CQ70">
        <f>'Costing 100 Lmin Feed Orig'!DI70</f>
        <v>14083914.336508472</v>
      </c>
      <c r="CR70">
        <f>'Costing 100 Lmin Feed Orig'!DJ70</f>
        <v>1662824.8986326549</v>
      </c>
      <c r="CS70">
        <f>CN70*(BK70/10000)^0.72*((A70+1)/3)^0.6*('CAPEX+OPEX'!$G$116/'CAPEX+OPEX'!$G$114)</f>
        <v>800322.53402245743</v>
      </c>
      <c r="CT70">
        <f>CO70*(BK70/10000)^0.72*((A70+1)/3)^0.6*('CAPEX+OPEX'!$G$116/'CAPEX+OPEX'!$G$114)</f>
        <v>2058257.9318883498</v>
      </c>
      <c r="CU70">
        <f>CP70*(BK70/10000)^0.72*((A70+1)/3)^0.6*('CAPEX+OPEX'!$G$116/'CAPEX+OPEX'!$G$114)</f>
        <v>397035.437708179</v>
      </c>
      <c r="CV70">
        <f>CQ70*(BK70/10000)^0.72*((A70+1)/3)^0.6*('CAPEX+OPEX'!$G$116/'CAPEX+OPEX'!$G$114)</f>
        <v>2457713.856163613</v>
      </c>
      <c r="CW70">
        <f>CR70*(BK70/10000)^0.72*((A70+1)/3)^0.6*('CAPEX+OPEX'!$G$116/'CAPEX+OPEX'!$G$114)</f>
        <v>290171.30437591631</v>
      </c>
      <c r="CX70">
        <f t="shared" si="32"/>
        <v>6003501.064158516</v>
      </c>
      <c r="CY70">
        <f>CN70*(BM70/10000)^0.72*((AF70+1)/3)^0.6*('CAPEX+OPEX'!$G$116/'CAPEX+OPEX'!$G$114)</f>
        <v>884649.34487489494</v>
      </c>
      <c r="CZ70">
        <f>CO70*(BM70/10000)^0.72*((AF70+1)/3)^0.6*('CAPEX+OPEX'!$G$116/'CAPEX+OPEX'!$G$114)</f>
        <v>2275128.4058902822</v>
      </c>
      <c r="DA70">
        <f>CP70*(BM70/10000)^0.72*((AF70+1)/3)^0.6*('CAPEX+OPEX'!$G$116/'CAPEX+OPEX'!$G$114)</f>
        <v>438869.48689964274</v>
      </c>
      <c r="DB70">
        <f>CQ70*(BM70/10000)^0.72*((AF70+1)/3)^0.6*('CAPEX+OPEX'!$G$116/'CAPEX+OPEX'!$G$114)</f>
        <v>2716673.4164254861</v>
      </c>
      <c r="DC70">
        <f>CR70*(BM70/10000)^0.72*((AF70+1)/3)^0.6*('CAPEX+OPEX'!$G$116/'CAPEX+OPEX'!$G$114)</f>
        <v>320745.50372518308</v>
      </c>
      <c r="DD70">
        <f t="shared" si="33"/>
        <v>6636066.157815489</v>
      </c>
      <c r="DE70">
        <f>CX70+DD70+1.15*(SUM(CI70:CL70)+SUM(CB70:CE70))</f>
        <v>12737017.83910547</v>
      </c>
      <c r="DF70">
        <f t="shared" si="34"/>
        <v>849134.52260703139</v>
      </c>
      <c r="DG70">
        <f>(BS70+BT70)*'Oxidant Feed Composition'!$N$29*60*7200</f>
        <v>9176271.9208243825</v>
      </c>
      <c r="DH70">
        <f>((CG70+CH70)*'Reagent cost'!$C$17/1000*'Reagent cost'!$H$17+(CG70+CH70)*0.5*'Reagent cost'!$C$16/1000*'Reagent cost'!$H$16*0.5)*60*7200</f>
        <v>3106593.6388993948</v>
      </c>
      <c r="DI70">
        <f>CF70*'Reagent cost'!$C$17/1000*'Reagent cost'!$H$17*60*7200</f>
        <v>504921.59999999998</v>
      </c>
      <c r="DJ70">
        <f t="shared" si="35"/>
        <v>104.61992932410362</v>
      </c>
      <c r="DK70">
        <f t="shared" si="36"/>
        <v>1199.4695739318101</v>
      </c>
      <c r="DL70">
        <f t="shared" si="37"/>
        <v>15346909.49907244</v>
      </c>
      <c r="DM70">
        <f>BK70*(B70*(409.81+2)/1000+C70*(248.2+2*22.99)/1000+D70*(315.6+3*22.99)/1000+0.1*58.44/1000)</f>
        <v>0.70639694042110623</v>
      </c>
      <c r="DN70">
        <f>(BS70+BT70)/1000*('Oxidant Feed Composition'!$B$11*'Oxidant Feed Composition'!$O$20+'Oxidant Feed Composition'!$D$11*'Oxidant Feed Composition'!$O$21+'Oxidant Feed Composition'!$F$11*'Oxidant Feed Composition'!$O$27-'Oxidant Feed Composition'!$J$15*18.015)</f>
        <v>2.1481420046583377</v>
      </c>
      <c r="DO70">
        <f>(BU70+BV70)/1000*(0.2*368.34+0.4*58.44)</f>
        <v>1.4875277491072005</v>
      </c>
      <c r="DP70">
        <f>BK70/1000*(B70*195.08+C70*106.42+D70*102.91)</f>
        <v>4.999938342565946E-2</v>
      </c>
      <c r="DQ70">
        <f>SUM(DM70:DO70)-DP70</f>
        <v>4.2920673107609844</v>
      </c>
      <c r="DR70">
        <f>DQ70*60*7200*0.33</f>
        <v>611877.11582208599</v>
      </c>
      <c r="DS70">
        <v>1.2</v>
      </c>
      <c r="DT70">
        <f>BM70/60*(AM70*4+AN70*2+AO70*3)*96485/DV70</f>
        <v>1405.8886873017445</v>
      </c>
      <c r="DU70">
        <f>BN70*BA70*(AP70*4+AQ70*2+AR70*3)*96485/DV70/60</f>
        <v>705.8151344605501</v>
      </c>
      <c r="DV70">
        <v>0.7</v>
      </c>
      <c r="DW70">
        <f>0.499*((BK70/3.78541*15)^(-0.146))*BK70/3.78541*15*300*(1+(A70-2)/9)</f>
        <v>44032.441905260595</v>
      </c>
      <c r="DX70">
        <f>0.248*((BK70/3.78541*15)^(-0.144))*BK70/3.78541*15*300*(1+(A70-2)/3)</f>
        <v>41526.098972294596</v>
      </c>
      <c r="DY70">
        <f>0.105*((BK70/3.78541*15)^(-0.144))*BK70/3.78541*15*300*(1+(A70-2)/3)</f>
        <v>17581.614484237631</v>
      </c>
      <c r="DZ70">
        <f>0.058*((BK70/3.78541*15)^(-0.151))*BK70/3.78541*15*300*(1+(A70-2)/3)</f>
        <v>9313.4716969742931</v>
      </c>
      <c r="EA70">
        <f>0.056*((BK70/3.78541*15)^(-0.144))*BK70/3.78541*15*300*(1+(A70-2)/3)</f>
        <v>9376.8610582600722</v>
      </c>
      <c r="EB70">
        <f>DS70*DT70/(3.6*10^6)*3600*7200*0.07</f>
        <v>850.28147808009521</v>
      </c>
      <c r="EC70">
        <f>0.499*((BM70/3.78541*15)^(-0.146))*BM70/3.78541*15*300*(1+(AF70-2)/9)</f>
        <v>48856.211814596048</v>
      </c>
      <c r="ED70">
        <f>0.248*((BM70/3.78541*15)^(-0.144))*BM70/3.78541*15*300*(1+(AF70-2)/3)</f>
        <v>50432.306691973587</v>
      </c>
      <c r="EE70">
        <f>0.105*((BM70/3.78541*15)^(-0.144))*BM70/3.78541*15*300*(1+(AF70-2)/3)</f>
        <v>21352.387913940427</v>
      </c>
      <c r="EF70">
        <f>0.058*((BM70/3.78541*15)^(-0.151))*BM70/3.78541*15*300*(1+(AF70-2)/3)</f>
        <v>11317.252104018999</v>
      </c>
      <c r="EG70">
        <f>0.056*((BM70/3.78541*15)^(-0.144))*BM70/3.78541*15*300*(1+(AF70-2)/3)</f>
        <v>11387.940220768229</v>
      </c>
      <c r="EH70">
        <f>DS70*DU70/(3.6*10^6)*3600*7200*0.07</f>
        <v>426.87699332174071</v>
      </c>
      <c r="EI70">
        <f>SUM(DW70:EH70)</f>
        <v>266453.74533372629</v>
      </c>
      <c r="EJ70">
        <f>EI70+DR70+DL70</f>
        <v>16225240.360228252</v>
      </c>
      <c r="EK70">
        <f>EJ70+DF70</f>
        <v>17074374.882835284</v>
      </c>
      <c r="EL70">
        <f>EK70/(BK70*60*7200)</f>
        <v>0.39524015932489082</v>
      </c>
      <c r="EM70">
        <f>EK70/(BM70*(AM70*195.084/1000+AN70*106.42/1000+AO70*102.911/1000)*60*7200)</f>
        <v>1322.2624906350795</v>
      </c>
      <c r="EN70">
        <f>EK70/(BN70*BA70*(AP70*195.084/1000+AQ70*106.42/1000+AR70*102.911/1000)*60*7200)</f>
        <v>2426.6369054323045</v>
      </c>
    </row>
    <row r="71" spans="1:144">
      <c r="A71">
        <f>'Costing 100 Lmin Feed Orig'!A71</f>
        <v>9</v>
      </c>
      <c r="B71">
        <f>'Costing 100 Lmin Feed Orig'!B71</f>
        <v>1.54143585092054E-3</v>
      </c>
      <c r="C71">
        <f>'Costing 100 Lmin Feed Orig'!C71</f>
        <v>1.54143585092054E-3</v>
      </c>
      <c r="D71">
        <f>'Costing 100 Lmin Feed Orig'!D71</f>
        <v>3.4254130020456501E-4</v>
      </c>
      <c r="E71">
        <f>'Costing 100 Lmin Feed Orig'!E71</f>
        <v>0</v>
      </c>
      <c r="F71">
        <f>'Costing 100 Lmin Feed Orig'!F71</f>
        <v>0</v>
      </c>
      <c r="G71">
        <f>'Costing 100 Lmin Feed Orig'!G71</f>
        <v>0</v>
      </c>
      <c r="H71">
        <f>'Costing 100 Lmin Feed Orig'!H71</f>
        <v>1.7768596981705501E-5</v>
      </c>
      <c r="I71">
        <f>'Costing 100 Lmin Feed Orig'!I71</f>
        <v>1.5331283704498101E-9</v>
      </c>
      <c r="J71">
        <f>'Costing 100 Lmin Feed Orig'!J71</f>
        <v>3.3763247208936601E-4</v>
      </c>
      <c r="K71">
        <f>'Costing 100 Lmin Feed Orig'!K71</f>
        <v>0.13890601070001499</v>
      </c>
      <c r="L71">
        <f>'Costing 100 Lmin Feed Orig'!L71</f>
        <v>0.14052575540227799</v>
      </c>
      <c r="M71">
        <f>'Costing 100 Lmin Feed Orig'!M71</f>
        <v>4.4751616793740602E-4</v>
      </c>
      <c r="N71">
        <f>'Costing 100 Lmin Feed Orig'!N71</f>
        <v>-5.0090140368830299E-17</v>
      </c>
      <c r="O71">
        <f>'Costing 100 Lmin Feed Orig'!O71</f>
        <v>-6.2343793322261397E-15</v>
      </c>
      <c r="P71">
        <f>'Costing 100 Lmin Feed Orig'!P71</f>
        <v>1.7787691892340301E-20</v>
      </c>
      <c r="Q71">
        <f>'Costing 100 Lmin Feed Orig'!Q71</f>
        <v>0.10969051996097</v>
      </c>
      <c r="R71">
        <f>'Costing 100 Lmin Feed Orig'!R71</f>
        <v>98.566938318892298</v>
      </c>
      <c r="S71">
        <f>'Costing 100 Lmin Feed Orig'!S71</f>
        <v>500</v>
      </c>
      <c r="T71">
        <f>'Costing 100 Lmin Feed Orig'!T71</f>
        <v>95</v>
      </c>
      <c r="U71">
        <f>'Costing 100 Lmin Feed Orig'!U71</f>
        <v>1</v>
      </c>
      <c r="V71">
        <f>'Costing 100 Lmin Feed Orig'!V71</f>
        <v>0.1</v>
      </c>
      <c r="W71">
        <f>'Costing 100 Lmin Feed Orig'!W71</f>
        <v>91.165581160141301</v>
      </c>
      <c r="X71" t="str">
        <f>'Costing 100 Lmin Feed Orig'!X71</f>
        <v>ddFc</v>
      </c>
      <c r="Y71">
        <f>'Costing 100 Lmin Feed Orig'!Y71</f>
        <v>1</v>
      </c>
      <c r="Z71">
        <f>'Costing 100 Lmin Feed Orig'!Z71</f>
        <v>0.28318429382522198</v>
      </c>
      <c r="AA71">
        <f>'Costing 100 Lmin Feed Orig'!AA71</f>
        <v>0.56945642916197003</v>
      </c>
      <c r="AB71">
        <f>'Costing 100 Lmin Feed Orig'!AB71</f>
        <v>3.7698628972227502E-3</v>
      </c>
      <c r="AC71">
        <f>'Costing 100 Lmin Feed Orig'!AC71</f>
        <v>1822.2107908876901</v>
      </c>
      <c r="AD71">
        <f>'Costing 100 Lmin Feed Orig'!AD71</f>
        <v>2662.6059073104898</v>
      </c>
      <c r="AE71">
        <f>'Costing 100 Lmin Feed Orig'!AE71</f>
        <v>2401.5030938442701</v>
      </c>
      <c r="AF71">
        <f>'Costing 100 Lmin Feed Orig'!AF71</f>
        <v>13</v>
      </c>
      <c r="AG71">
        <f>'Costing 100 Lmin Feed Orig'!AG71</f>
        <v>1.6497485970141401E-3</v>
      </c>
      <c r="AH71">
        <f>'Costing 100 Lmin Feed Orig'!AH71</f>
        <v>1.6689858606617799E-3</v>
      </c>
      <c r="AI71">
        <f>'Costing 100 Lmin Feed Orig'!AI71</f>
        <v>5.3150268046377499E-6</v>
      </c>
      <c r="AJ71">
        <f>'Costing 100 Lmin Feed Orig'!AJ71</f>
        <v>0</v>
      </c>
      <c r="AK71">
        <f>'Costing 100 Lmin Feed Orig'!AK71</f>
        <v>0</v>
      </c>
      <c r="AL71">
        <f>'Costing 100 Lmin Feed Orig'!AL71</f>
        <v>0</v>
      </c>
      <c r="AM71">
        <f>'Costing 100 Lmin Feed Orig'!AM71</f>
        <v>1.6128015126361699E-3</v>
      </c>
      <c r="AN71">
        <f>'Costing 100 Lmin Feed Orig'!AN71</f>
        <v>7.9604217415409805E-5</v>
      </c>
      <c r="AO71">
        <f>'Costing 100 Lmin Feed Orig'!AO71</f>
        <v>5.2800727233350599E-6</v>
      </c>
      <c r="AP71">
        <f>'Costing 100 Lmin Feed Orig'!AP71</f>
        <v>1.7332371372774599E-3</v>
      </c>
      <c r="AQ71">
        <f>'Costing 100 Lmin Feed Orig'!AQ71</f>
        <v>7.4560018354909094E-2</v>
      </c>
      <c r="AR71">
        <f>'Costing 100 Lmin Feed Orig'!AR71</f>
        <v>1.6397426977852001E-6</v>
      </c>
      <c r="AS71">
        <f>'Costing 100 Lmin Feed Orig'!AS71</f>
        <v>2.84603070277444E-19</v>
      </c>
      <c r="AT71">
        <f>'Costing 100 Lmin Feed Orig'!AT71</f>
        <v>-1.2576745200831801E-17</v>
      </c>
      <c r="AU71">
        <f>'Costing 100 Lmin Feed Orig'!AU71</f>
        <v>8.8673761665684492E-22</v>
      </c>
      <c r="AV71">
        <f>'Costing 100 Lmin Feed Orig'!AV71</f>
        <v>0.196876804972202</v>
      </c>
      <c r="AW71">
        <f>'Costing 100 Lmin Feed Orig'!AW71</f>
        <v>99.342353621393102</v>
      </c>
      <c r="AX71">
        <f>'Costing 100 Lmin Feed Orig'!AX71</f>
        <v>500</v>
      </c>
      <c r="AY71">
        <f>'Costing 100 Lmin Feed Orig'!AY71</f>
        <v>95</v>
      </c>
      <c r="AZ71">
        <f>'Costing 100 Lmin Feed Orig'!AZ71</f>
        <v>0.92357542033771201</v>
      </c>
      <c r="BA71">
        <f>'Costing 100 Lmin Feed Orig'!BA71</f>
        <v>0.1</v>
      </c>
      <c r="BB71">
        <f>'Costing 100 Lmin Feed Orig'!BB71</f>
        <v>46.911337293802198</v>
      </c>
      <c r="BC71" t="str">
        <f>'Costing 100 Lmin Feed Orig'!BC71</f>
        <v>coeFc</v>
      </c>
      <c r="BD71">
        <f>'Costing 100 Lmin Feed Orig'!BD71</f>
        <v>1</v>
      </c>
      <c r="BE71">
        <f>'Costing 100 Lmin Feed Orig'!BE71</f>
        <v>1.8775014999999999E-2</v>
      </c>
      <c r="BF71">
        <f>'Costing 100 Lmin Feed Orig'!BF71</f>
        <v>0.10492961100000001</v>
      </c>
      <c r="BG71">
        <f>'Costing 100 Lmin Feed Orig'!BG71</f>
        <v>1.814625E-3</v>
      </c>
      <c r="BH71">
        <f>'Costing 100 Lmin Feed Orig'!BH71</f>
        <v>285.1951444</v>
      </c>
      <c r="BI71">
        <f>'Costing 100 Lmin Feed Orig'!BI71</f>
        <v>2169.8944889999998</v>
      </c>
      <c r="BJ71">
        <f>'Costing 100 Lmin Feed Orig'!BJ71</f>
        <v>866.49409060000005</v>
      </c>
      <c r="BK71">
        <f>'Costing 100 Lmin Feed Orig'!BK71</f>
        <v>100</v>
      </c>
      <c r="BL71">
        <f>'Costing 100 Lmin Feed Orig'!BL71</f>
        <v>10.969051996096999</v>
      </c>
      <c r="BM71">
        <f>'Costing 100 Lmin Feed Orig'!BM71</f>
        <v>92.357542033771196</v>
      </c>
      <c r="BN71">
        <f>'Costing 100 Lmin Feed Orig'!BN71</f>
        <v>19.6876804972202</v>
      </c>
      <c r="BO71">
        <f t="shared" si="20"/>
        <v>241.31914391413397</v>
      </c>
      <c r="BP71">
        <f t="shared" si="21"/>
        <v>590.63041491660601</v>
      </c>
      <c r="BQ71">
        <f t="shared" si="22"/>
        <v>24.1319143914134</v>
      </c>
      <c r="BR71">
        <f t="shared" si="23"/>
        <v>59.063041491660606</v>
      </c>
      <c r="BS71">
        <f>1.2*0.5*BL71*V71/'Oxidant Feed Composition'!$N$22</f>
        <v>6.5814311976581994</v>
      </c>
      <c r="BT71">
        <f>1.2*0.5*BN71*BA71/'Oxidant Feed Composition'!$N$22</f>
        <v>11.812608298332119</v>
      </c>
      <c r="BU71">
        <f t="shared" si="24"/>
        <v>5.4845259980484995</v>
      </c>
      <c r="BV71">
        <f t="shared" si="25"/>
        <v>9.8438402486100998</v>
      </c>
      <c r="BW71">
        <f t="shared" si="26"/>
        <v>86.873016035722699</v>
      </c>
      <c r="BX71">
        <f t="shared" si="19"/>
        <v>35.100966387510397</v>
      </c>
      <c r="BY71">
        <f t="shared" si="27"/>
        <v>206.65318805973638</v>
      </c>
      <c r="BZ71">
        <f t="shared" si="28"/>
        <v>63.000577591104637</v>
      </c>
      <c r="CA71">
        <f t="shared" si="29"/>
        <v>59.063041491660599</v>
      </c>
      <c r="CB71">
        <f>BO71*'Reagent cost'!$G$11*'Reagent cost'!$H$11</f>
        <v>3185.4126996665682</v>
      </c>
      <c r="CC71">
        <f>BP71*'Reagent cost'!$G$11*'Reagent cost'!$H$11</f>
        <v>7796.3214768992002</v>
      </c>
      <c r="CD71">
        <f>BQ71*'Reagent cost'!$C$18/1000*'Reagent cost'!$H$18</f>
        <v>3848.5686313477631</v>
      </c>
      <c r="CE71">
        <f>BR71*'Ligand cost'!$B$56*'Ligand cost'!$J$56</f>
        <v>60133.720475132257</v>
      </c>
      <c r="CF71">
        <f t="shared" si="30"/>
        <v>10</v>
      </c>
      <c r="CG71">
        <f t="shared" si="31"/>
        <v>2.1938103992193998</v>
      </c>
      <c r="CH71">
        <f t="shared" si="31"/>
        <v>3.9375360994440403</v>
      </c>
      <c r="CI71">
        <f>7963.6*(BX71/1000)^0.6*1.7*('CAPEX+OPEX'!$G$116/'CAPEX+OPEX'!$G$115)</f>
        <v>2140.0916471558648</v>
      </c>
      <c r="CJ71">
        <f>7963.6*(BY71/1000)^0.6*1.7*('CAPEX+OPEX'!$G$116/'CAPEX+OPEX'!$G$115)</f>
        <v>6199.9215410229135</v>
      </c>
      <c r="CK71">
        <f>7963.6*(BZ71/1000)^0.6*1.7*('CAPEX+OPEX'!$G$116/'CAPEX+OPEX'!$G$115)</f>
        <v>3039.8184494757229</v>
      </c>
      <c r="CL71">
        <f>7963.6*(CA71/1000)^0.6*1.7*('CAPEX+OPEX'!$G$116/'CAPEX+OPEX'!$G$115)</f>
        <v>2924.3571547774636</v>
      </c>
      <c r="CM71">
        <f>'Costing 100 Lmin Feed Orig'!DE71</f>
        <v>39625.826528698344</v>
      </c>
      <c r="CN71">
        <f>'Costing 100 Lmin Feed Orig'!DF71</f>
        <v>4586243.4239371875</v>
      </c>
      <c r="CO71">
        <f>'Costing 100 Lmin Feed Orig'!DG71</f>
        <v>11794834.586807497</v>
      </c>
      <c r="CP71">
        <f>'Costing 100 Lmin Feed Orig'!DH71</f>
        <v>2275209.1661185985</v>
      </c>
      <c r="CQ71">
        <f>'Costing 100 Lmin Feed Orig'!DI71</f>
        <v>14083914.336508472</v>
      </c>
      <c r="CR71">
        <f>'Costing 100 Lmin Feed Orig'!DJ71</f>
        <v>1662824.8986326549</v>
      </c>
      <c r="CS71">
        <f>CN71*(BK71/10000)^0.72*((A71+1)/3)^0.6*('CAPEX+OPEX'!$G$116/'CAPEX+OPEX'!$G$114)</f>
        <v>800322.53402245743</v>
      </c>
      <c r="CT71">
        <f>CO71*(BK71/10000)^0.72*((A71+1)/3)^0.6*('CAPEX+OPEX'!$G$116/'CAPEX+OPEX'!$G$114)</f>
        <v>2058257.9318883498</v>
      </c>
      <c r="CU71">
        <f>CP71*(BK71/10000)^0.72*((A71+1)/3)^0.6*('CAPEX+OPEX'!$G$116/'CAPEX+OPEX'!$G$114)</f>
        <v>397035.437708179</v>
      </c>
      <c r="CV71">
        <f>CQ71*(BK71/10000)^0.72*((A71+1)/3)^0.6*('CAPEX+OPEX'!$G$116/'CAPEX+OPEX'!$G$114)</f>
        <v>2457713.856163613</v>
      </c>
      <c r="CW71">
        <f>CR71*(BK71/10000)^0.72*((A71+1)/3)^0.6*('CAPEX+OPEX'!$G$116/'CAPEX+OPEX'!$G$114)</f>
        <v>290171.30437591631</v>
      </c>
      <c r="CX71">
        <f t="shared" si="32"/>
        <v>6003501.064158516</v>
      </c>
      <c r="CY71">
        <f>CN71*(BM71/10000)^0.72*((AF71+1)/3)^0.6*('CAPEX+OPEX'!$G$116/'CAPEX+OPEX'!$G$114)</f>
        <v>924872.72116447624</v>
      </c>
      <c r="CZ71">
        <f>CO71*(BM71/10000)^0.72*((AF71+1)/3)^0.6*('CAPEX+OPEX'!$G$116/'CAPEX+OPEX'!$G$114)</f>
        <v>2378574.3039824599</v>
      </c>
      <c r="DA71">
        <f>CP71*(BM71/10000)^0.72*((AF71+1)/3)^0.6*('CAPEX+OPEX'!$G$116/'CAPEX+OPEX'!$G$114)</f>
        <v>458824.07412208192</v>
      </c>
      <c r="DB71">
        <f>CQ71*(BM71/10000)^0.72*((AF71+1)/3)^0.6*('CAPEX+OPEX'!$G$116/'CAPEX+OPEX'!$G$114)</f>
        <v>2840195.5528718065</v>
      </c>
      <c r="DC71">
        <f>CR71*(BM71/10000)^0.72*((AF71+1)/3)^0.6*('CAPEX+OPEX'!$G$116/'CAPEX+OPEX'!$G$114)</f>
        <v>335329.21100340848</v>
      </c>
      <c r="DD71">
        <f t="shared" si="33"/>
        <v>6937795.8631442329</v>
      </c>
      <c r="DE71">
        <f>CX71+DD71+1.15*(SUM(CI71:CL71)+SUM(CB71:CE71))</f>
        <v>13043955.371189548</v>
      </c>
      <c r="DF71">
        <f t="shared" si="34"/>
        <v>869597.0247459698</v>
      </c>
      <c r="DG71">
        <f>(BS71+BT71)*'Oxidant Feed Composition'!$N$29*60*7200</f>
        <v>9176260.9707815666</v>
      </c>
      <c r="DH71">
        <f>((CG71+CH71)*'Reagent cost'!$C$17/1000*'Reagent cost'!$H$17+(CG71+CH71)*0.5*'Reagent cost'!$C$16/1000*'Reagent cost'!$H$16*0.5)*60*7200</f>
        <v>3106589.9318020404</v>
      </c>
      <c r="DI71">
        <f>CF71*'Reagent cost'!$C$17/1000*'Reagent cost'!$H$17*60*7200</f>
        <v>504921.59999999998</v>
      </c>
      <c r="DJ71">
        <f t="shared" si="35"/>
        <v>109.8173417656577</v>
      </c>
      <c r="DK71">
        <f t="shared" si="36"/>
        <v>1279.6457821296005</v>
      </c>
      <c r="DL71">
        <f t="shared" si="37"/>
        <v>15346994.358849</v>
      </c>
      <c r="DM71">
        <f>BK71*(B71*(409.81+2)/1000+C71*(248.2+2*22.99)/1000+D71*(315.6+3*22.99)/1000+0.1*58.44/1000)</f>
        <v>0.70639694042110623</v>
      </c>
      <c r="DN71">
        <f>(BS71+BT71)/1000*('Oxidant Feed Composition'!$B$11*'Oxidant Feed Composition'!$O$20+'Oxidant Feed Composition'!$D$11*'Oxidant Feed Composition'!$O$21+'Oxidant Feed Composition'!$F$11*'Oxidant Feed Composition'!$O$27-'Oxidant Feed Composition'!$J$15*18.015)</f>
        <v>2.148139441281061</v>
      </c>
      <c r="DO71">
        <f>(BU71+BV71)/1000*(0.2*368.34+0.4*58.44)</f>
        <v>1.4875259740407372</v>
      </c>
      <c r="DP71">
        <f>BK71/1000*(B71*195.08+C71*106.42+D71*102.91)</f>
        <v>4.999938342565946E-2</v>
      </c>
      <c r="DQ71">
        <f>SUM(DM71:DO71)-DP71</f>
        <v>4.2920629723172441</v>
      </c>
      <c r="DR71">
        <f>DQ71*60*7200*0.33</f>
        <v>611876.4973335464</v>
      </c>
      <c r="DS71">
        <v>1.2</v>
      </c>
      <c r="DT71">
        <f>BM71/60*(AM71*4+AN71*2+AO71*3)*96485/DV71</f>
        <v>1405.8889016994299</v>
      </c>
      <c r="DU71">
        <f>BN71*BA71*(AP71*4+AQ71*2+AR71*3)*96485/DV71/60</f>
        <v>705.8149200453754</v>
      </c>
      <c r="DV71">
        <v>0.7</v>
      </c>
      <c r="DW71">
        <f>0.499*((BK71/3.78541*15)^(-0.146))*BK71/3.78541*15*300*(1+(A71-2)/9)</f>
        <v>44032.441905260595</v>
      </c>
      <c r="DX71">
        <f>0.248*((BK71/3.78541*15)^(-0.144))*BK71/3.78541*15*300*(1+(A71-2)/3)</f>
        <v>41526.098972294596</v>
      </c>
      <c r="DY71">
        <f>0.105*((BK71/3.78541*15)^(-0.144))*BK71/3.78541*15*300*(1+(A71-2)/3)</f>
        <v>17581.614484237631</v>
      </c>
      <c r="DZ71">
        <f>0.058*((BK71/3.78541*15)^(-0.151))*BK71/3.78541*15*300*(1+(A71-2)/3)</f>
        <v>9313.4716969742931</v>
      </c>
      <c r="EA71">
        <f>0.056*((BK71/3.78541*15)^(-0.144))*BK71/3.78541*15*300*(1+(A71-2)/3)</f>
        <v>9376.8610582600722</v>
      </c>
      <c r="EB71">
        <f>DS71*DT71/(3.6*10^6)*3600*7200*0.07</f>
        <v>850.28160774781531</v>
      </c>
      <c r="EC71">
        <f>0.499*((BM71/3.78541*15)^(-0.146))*BM71/3.78541*15*300*(1+(AF71-2)/9)</f>
        <v>51427.591383785315</v>
      </c>
      <c r="ED71">
        <f>0.248*((BM71/3.78541*15)^(-0.144))*BM71/3.78541*15*300*(1+(AF71-2)/3)</f>
        <v>54311.714899048464</v>
      </c>
      <c r="EE71">
        <f>0.105*((BM71/3.78541*15)^(-0.144))*BM71/3.78541*15*300*(1+(AF71-2)/3)</f>
        <v>22994.879291935842</v>
      </c>
      <c r="EF71">
        <f>0.058*((BM71/3.78541*15)^(-0.151))*BM71/3.78541*15*300*(1+(AF71-2)/3)</f>
        <v>12187.809958174303</v>
      </c>
      <c r="EG71">
        <f>0.056*((BM71/3.78541*15)^(-0.144))*BM71/3.78541*15*300*(1+(AF71-2)/3)</f>
        <v>12263.935622365781</v>
      </c>
      <c r="EH71">
        <f>DS71*DU71/(3.6*10^6)*3600*7200*0.07</f>
        <v>426.87686364344307</v>
      </c>
      <c r="EI71">
        <f>SUM(DW71:EH71)</f>
        <v>276293.57774372824</v>
      </c>
      <c r="EJ71">
        <f>EI71+DR71+DL71</f>
        <v>16235164.433926275</v>
      </c>
      <c r="EK71">
        <f>EJ71+DF71</f>
        <v>17104761.458672244</v>
      </c>
      <c r="EL71">
        <f>EK71/(BK71*60*7200)</f>
        <v>0.39594355228407974</v>
      </c>
      <c r="EM71">
        <f>EK71/(BM71*(AM71*195.084/1000+AN71*106.42/1000+AO71*102.911/1000)*60*7200)</f>
        <v>1324.6154656932258</v>
      </c>
      <c r="EN71">
        <f>EK71/(BN71*BA71*(AP71*195.084/1000+AQ71*106.42/1000+AR71*102.911/1000)*60*7200)</f>
        <v>2430.9561740235026</v>
      </c>
    </row>
    <row r="72" spans="1:144">
      <c r="A72">
        <f>'Costing 100 Lmin Feed Orig'!A72</f>
        <v>10</v>
      </c>
      <c r="B72">
        <f>'Costing 100 Lmin Feed Orig'!B72</f>
        <v>1.54143585092054E-3</v>
      </c>
      <c r="C72">
        <f>'Costing 100 Lmin Feed Orig'!C72</f>
        <v>1.54143585092054E-3</v>
      </c>
      <c r="D72">
        <f>'Costing 100 Lmin Feed Orig'!D72</f>
        <v>3.4254130020456501E-4</v>
      </c>
      <c r="E72">
        <f>'Costing 100 Lmin Feed Orig'!E72</f>
        <v>0</v>
      </c>
      <c r="F72">
        <f>'Costing 100 Lmin Feed Orig'!F72</f>
        <v>0</v>
      </c>
      <c r="G72">
        <f>'Costing 100 Lmin Feed Orig'!G72</f>
        <v>0</v>
      </c>
      <c r="H72">
        <f>'Costing 100 Lmin Feed Orig'!H72</f>
        <v>1.7770671970930099E-5</v>
      </c>
      <c r="I72">
        <f>'Costing 100 Lmin Feed Orig'!I72</f>
        <v>5.2649488631162003E-10</v>
      </c>
      <c r="J72">
        <f>'Costing 100 Lmin Feed Orig'!J72</f>
        <v>3.3765279177869602E-4</v>
      </c>
      <c r="K72">
        <f>'Costing 100 Lmin Feed Orig'!K72</f>
        <v>0.139053960209192</v>
      </c>
      <c r="L72">
        <f>'Costing 100 Lmin Feed Orig'!L72</f>
        <v>0.14067571356050099</v>
      </c>
      <c r="M72">
        <f>'Costing 100 Lmin Feed Orig'!M72</f>
        <v>4.4613899794023002E-4</v>
      </c>
      <c r="N72">
        <f>'Costing 100 Lmin Feed Orig'!N72</f>
        <v>-1.6046192152785399E-16</v>
      </c>
      <c r="O72">
        <f>'Costing 100 Lmin Feed Orig'!O72</f>
        <v>-5.9831913729046996E-14</v>
      </c>
      <c r="P72">
        <f>'Costing 100 Lmin Feed Orig'!P72</f>
        <v>-6.6915602833089703E-20</v>
      </c>
      <c r="Q72">
        <f>'Costing 100 Lmin Feed Orig'!Q72</f>
        <v>0.10957366310586</v>
      </c>
      <c r="R72">
        <f>'Costing 100 Lmin Feed Orig'!R72</f>
        <v>98.572870359588904</v>
      </c>
      <c r="S72">
        <f>'Costing 100 Lmin Feed Orig'!S72</f>
        <v>500</v>
      </c>
      <c r="T72">
        <f>'Costing 100 Lmin Feed Orig'!T72</f>
        <v>95</v>
      </c>
      <c r="U72">
        <f>'Costing 100 Lmin Feed Orig'!U72</f>
        <v>1</v>
      </c>
      <c r="V72">
        <f>'Costing 100 Lmin Feed Orig'!V72</f>
        <v>0.1</v>
      </c>
      <c r="W72">
        <f>'Costing 100 Lmin Feed Orig'!W72</f>
        <v>91.262806376555005</v>
      </c>
      <c r="X72" t="str">
        <f>'Costing 100 Lmin Feed Orig'!X72</f>
        <v>ddFc</v>
      </c>
      <c r="Y72">
        <f>'Costing 100 Lmin Feed Orig'!Y72</f>
        <v>1</v>
      </c>
      <c r="Z72">
        <f>'Costing 100 Lmin Feed Orig'!Z72</f>
        <v>0.28318429382522198</v>
      </c>
      <c r="AA72">
        <f>'Costing 100 Lmin Feed Orig'!AA72</f>
        <v>0.56945642916197003</v>
      </c>
      <c r="AB72">
        <f>'Costing 100 Lmin Feed Orig'!AB72</f>
        <v>3.7698628972227502E-3</v>
      </c>
      <c r="AC72">
        <f>'Costing 100 Lmin Feed Orig'!AC72</f>
        <v>1822.2107908876901</v>
      </c>
      <c r="AD72">
        <f>'Costing 100 Lmin Feed Orig'!AD72</f>
        <v>2662.6059073104898</v>
      </c>
      <c r="AE72">
        <f>'Costing 100 Lmin Feed Orig'!AE72</f>
        <v>2401.5030938442701</v>
      </c>
      <c r="AF72">
        <f>'Costing 100 Lmin Feed Orig'!AF72</f>
        <v>4</v>
      </c>
      <c r="AG72">
        <f>'Costing 100 Lmin Feed Orig'!AG72</f>
        <v>1.6497548842793E-3</v>
      </c>
      <c r="AH72">
        <f>'Costing 100 Lmin Feed Orig'!AH72</f>
        <v>1.66899558413707E-3</v>
      </c>
      <c r="AI72">
        <f>'Costing 100 Lmin Feed Orig'!AI72</f>
        <v>5.2930530695573503E-6</v>
      </c>
      <c r="AJ72">
        <f>'Costing 100 Lmin Feed Orig'!AJ72</f>
        <v>0</v>
      </c>
      <c r="AK72">
        <f>'Costing 100 Lmin Feed Orig'!AK72</f>
        <v>0</v>
      </c>
      <c r="AL72">
        <f>'Costing 100 Lmin Feed Orig'!AL72</f>
        <v>0</v>
      </c>
      <c r="AM72">
        <f>'Costing 100 Lmin Feed Orig'!AM72</f>
        <v>1.6048413033404E-3</v>
      </c>
      <c r="AN72">
        <f>'Costing 100 Lmin Feed Orig'!AN72</f>
        <v>7.9214281912587002E-5</v>
      </c>
      <c r="AO72">
        <f>'Costing 100 Lmin Feed Orig'!AO72</f>
        <v>5.2510498442721197E-6</v>
      </c>
      <c r="AP72">
        <f>'Costing 100 Lmin Feed Orig'!AP72</f>
        <v>1.9874301532163399E-3</v>
      </c>
      <c r="AQ72">
        <f>'Costing 100 Lmin Feed Orig'!AQ72</f>
        <v>7.0347971160411499E-2</v>
      </c>
      <c r="AR72">
        <f>'Costing 100 Lmin Feed Orig'!AR72</f>
        <v>1.8586466433211301E-6</v>
      </c>
      <c r="AS72">
        <f>'Costing 100 Lmin Feed Orig'!AS72</f>
        <v>-9.4990475988515606E-15</v>
      </c>
      <c r="AT72">
        <f>'Costing 100 Lmin Feed Orig'!AT72</f>
        <v>-1.2249511301132201E-13</v>
      </c>
      <c r="AU72">
        <f>'Costing 100 Lmin Feed Orig'!AU72</f>
        <v>-3.0412916494512601E-18</v>
      </c>
      <c r="AV72">
        <f>'Costing 100 Lmin Feed Orig'!AV72</f>
        <v>0.20871608876883399</v>
      </c>
      <c r="AW72">
        <f>'Costing 100 Lmin Feed Orig'!AW72</f>
        <v>99.206446171363694</v>
      </c>
      <c r="AX72">
        <f>'Costing 100 Lmin Feed Orig'!AX72</f>
        <v>500</v>
      </c>
      <c r="AY72">
        <f>'Costing 100 Lmin Feed Orig'!AY72</f>
        <v>95</v>
      </c>
      <c r="AZ72">
        <f>'Costing 100 Lmin Feed Orig'!AZ72</f>
        <v>0.92357064280818002</v>
      </c>
      <c r="BA72">
        <f>'Costing 100 Lmin Feed Orig'!BA72</f>
        <v>0.1</v>
      </c>
      <c r="BB72">
        <f>'Costing 100 Lmin Feed Orig'!BB72</f>
        <v>44.250093428642501</v>
      </c>
      <c r="BC72" t="str">
        <f>'Costing 100 Lmin Feed Orig'!BC72</f>
        <v>coeFc</v>
      </c>
      <c r="BD72">
        <f>'Costing 100 Lmin Feed Orig'!BD72</f>
        <v>1</v>
      </c>
      <c r="BE72">
        <f>'Costing 100 Lmin Feed Orig'!BE72</f>
        <v>1.8775014999999999E-2</v>
      </c>
      <c r="BF72">
        <f>'Costing 100 Lmin Feed Orig'!BF72</f>
        <v>0.10492961100000001</v>
      </c>
      <c r="BG72">
        <f>'Costing 100 Lmin Feed Orig'!BG72</f>
        <v>1.814625E-3</v>
      </c>
      <c r="BH72">
        <f>'Costing 100 Lmin Feed Orig'!BH72</f>
        <v>285.1951444</v>
      </c>
      <c r="BI72">
        <f>'Costing 100 Lmin Feed Orig'!BI72</f>
        <v>2169.8944889999998</v>
      </c>
      <c r="BJ72">
        <f>'Costing 100 Lmin Feed Orig'!BJ72</f>
        <v>866.49409060000005</v>
      </c>
      <c r="BK72">
        <f>'Costing 100 Lmin Feed Orig'!BK72</f>
        <v>100</v>
      </c>
      <c r="BL72">
        <f>'Costing 100 Lmin Feed Orig'!BL72</f>
        <v>10.957366310586</v>
      </c>
      <c r="BM72">
        <f>'Costing 100 Lmin Feed Orig'!BM72</f>
        <v>92.357064280818008</v>
      </c>
      <c r="BN72">
        <f>'Costing 100 Lmin Feed Orig'!BN72</f>
        <v>20.8716088768834</v>
      </c>
      <c r="BO72">
        <f t="shared" si="20"/>
        <v>262.97679145406403</v>
      </c>
      <c r="BP72">
        <f t="shared" si="21"/>
        <v>250.4593065226008</v>
      </c>
      <c r="BQ72">
        <f t="shared" si="22"/>
        <v>26.297679145406406</v>
      </c>
      <c r="BR72">
        <f t="shared" si="23"/>
        <v>25.045930652260083</v>
      </c>
      <c r="BS72">
        <f>1.2*0.5*BL72*V72/'Oxidant Feed Composition'!$N$22</f>
        <v>6.5744197863515996</v>
      </c>
      <c r="BT72">
        <f>1.2*0.5*BN72*BA72/'Oxidant Feed Composition'!$N$22</f>
        <v>12.52296532613004</v>
      </c>
      <c r="BU72">
        <f t="shared" si="24"/>
        <v>5.478683155293</v>
      </c>
      <c r="BV72">
        <f t="shared" si="25"/>
        <v>10.4358044384417</v>
      </c>
      <c r="BW72">
        <f t="shared" si="26"/>
        <v>86.87838112552501</v>
      </c>
      <c r="BX72">
        <f t="shared" si="19"/>
        <v>35.063572193875203</v>
      </c>
      <c r="BY72">
        <f t="shared" si="27"/>
        <v>206.62886118280801</v>
      </c>
      <c r="BZ72">
        <f t="shared" si="28"/>
        <v>66.789148406026882</v>
      </c>
      <c r="CA72">
        <f t="shared" si="29"/>
        <v>62.614826630650199</v>
      </c>
      <c r="CB72">
        <f>BO72*'Reagent cost'!$G$11*'Reagent cost'!$H$11</f>
        <v>3471.2936471936455</v>
      </c>
      <c r="CC72">
        <f>BP72*'Reagent cost'!$G$11*'Reagent cost'!$H$11</f>
        <v>3306.0628460983307</v>
      </c>
      <c r="CD72">
        <f>BQ72*'Reagent cost'!$C$18/1000*'Reagent cost'!$H$18</f>
        <v>4193.9657747282263</v>
      </c>
      <c r="CE72">
        <f>BR72*'Ligand cost'!$B$56*'Ligand cost'!$J$56</f>
        <v>25499.956569205955</v>
      </c>
      <c r="CF72">
        <f t="shared" si="30"/>
        <v>10</v>
      </c>
      <c r="CG72">
        <f t="shared" si="31"/>
        <v>2.1914732621172002</v>
      </c>
      <c r="CH72">
        <f t="shared" si="31"/>
        <v>4.1743217753766801</v>
      </c>
      <c r="CI72">
        <f>7963.6*(BX72/1000)^0.6*1.7*('CAPEX+OPEX'!$G$116/'CAPEX+OPEX'!$G$115)</f>
        <v>2138.7234102796551</v>
      </c>
      <c r="CJ72">
        <f>7963.6*(BY72/1000)^0.6*1.7*('CAPEX+OPEX'!$G$116/'CAPEX+OPEX'!$G$115)</f>
        <v>6199.4836239091055</v>
      </c>
      <c r="CK72">
        <f>7963.6*(BZ72/1000)^0.6*1.7*('CAPEX+OPEX'!$G$116/'CAPEX+OPEX'!$G$115)</f>
        <v>3148.2156354245658</v>
      </c>
      <c r="CL72">
        <f>7963.6*(CA72/1000)^0.6*1.7*('CAPEX+OPEX'!$G$116/'CAPEX+OPEX'!$G$115)</f>
        <v>3028.6370950291303</v>
      </c>
      <c r="CM72">
        <f>'Costing 100 Lmin Feed Orig'!DE72</f>
        <v>39625.826528698344</v>
      </c>
      <c r="CN72">
        <f>'Costing 100 Lmin Feed Orig'!DF72</f>
        <v>4586243.4239371875</v>
      </c>
      <c r="CO72">
        <f>'Costing 100 Lmin Feed Orig'!DG72</f>
        <v>11794834.586807497</v>
      </c>
      <c r="CP72">
        <f>'Costing 100 Lmin Feed Orig'!DH72</f>
        <v>2275209.1661185985</v>
      </c>
      <c r="CQ72">
        <f>'Costing 100 Lmin Feed Orig'!DI72</f>
        <v>14083914.336508472</v>
      </c>
      <c r="CR72">
        <f>'Costing 100 Lmin Feed Orig'!DJ72</f>
        <v>1662824.8986326549</v>
      </c>
      <c r="CS72">
        <f>CN72*(BK72/10000)^0.72*((A72+1)/3)^0.6*('CAPEX+OPEX'!$G$116/'CAPEX+OPEX'!$G$114)</f>
        <v>847423.79840727116</v>
      </c>
      <c r="CT72">
        <f>CO72*(BK72/10000)^0.72*((A72+1)/3)^0.6*('CAPEX+OPEX'!$G$116/'CAPEX+OPEX'!$G$114)</f>
        <v>2179392.2832288719</v>
      </c>
      <c r="CU72">
        <f>CP72*(BK72/10000)^0.72*((A72+1)/3)^0.6*('CAPEX+OPEX'!$G$116/'CAPEX+OPEX'!$G$114)</f>
        <v>420402.1059283549</v>
      </c>
      <c r="CV72">
        <f>CQ72*(BK72/10000)^0.72*((A72+1)/3)^0.6*('CAPEX+OPEX'!$G$116/'CAPEX+OPEX'!$G$114)</f>
        <v>2602357.3282642425</v>
      </c>
      <c r="CW72">
        <f>CR72*(BK72/10000)^0.72*((A72+1)/3)^0.6*('CAPEX+OPEX'!$G$116/'CAPEX+OPEX'!$G$114)</f>
        <v>307248.71347447456</v>
      </c>
      <c r="CX72">
        <f t="shared" si="32"/>
        <v>6356824.2293032147</v>
      </c>
      <c r="CY72">
        <f>CN72*(BM72/10000)^0.72*((AF72+1)/3)^0.6*('CAPEX+OPEX'!$G$116/'CAPEX+OPEX'!$G$114)</f>
        <v>498638.18596251757</v>
      </c>
      <c r="CZ72">
        <f>CO72*(BM72/10000)^0.72*((AF72+1)/3)^0.6*('CAPEX+OPEX'!$G$116/'CAPEX+OPEX'!$G$114)</f>
        <v>1282390.483548437</v>
      </c>
      <c r="DA72">
        <f>CP72*(BM72/10000)^0.72*((AF72+1)/3)^0.6*('CAPEX+OPEX'!$G$116/'CAPEX+OPEX'!$G$114)</f>
        <v>247371.55584836402</v>
      </c>
      <c r="DB72">
        <f>CQ72*(BM72/10000)^0.72*((AF72+1)/3)^0.6*('CAPEX+OPEX'!$G$116/'CAPEX+OPEX'!$G$114)</f>
        <v>1531270.1151783131</v>
      </c>
      <c r="DC72">
        <f>CR72*(BM72/10000)^0.72*((AF72+1)/3)^0.6*('CAPEX+OPEX'!$G$116/'CAPEX+OPEX'!$G$114)</f>
        <v>180790.22729144391</v>
      </c>
      <c r="DD72">
        <f t="shared" si="33"/>
        <v>3740460.5678290757</v>
      </c>
      <c r="DE72">
        <f>CX72+DD72+1.15*(SUM(CI72:CL72)+SUM(CB72:CE72))</f>
        <v>10155919.08652444</v>
      </c>
      <c r="DF72">
        <f t="shared" si="34"/>
        <v>677061.27243496268</v>
      </c>
      <c r="DG72">
        <f>(BS72+BT72)*'Oxidant Feed Composition'!$N$29*60*7200</f>
        <v>9527140.0112982765</v>
      </c>
      <c r="DH72">
        <f>((CG72+CH72)*'Reagent cost'!$C$17/1000*'Reagent cost'!$H$17+(CG72+CH72)*0.5*'Reagent cost'!$C$16/1000*'Reagent cost'!$H$16*0.5)*60*7200</f>
        <v>3225378.7607183508</v>
      </c>
      <c r="DI72">
        <f>CF72*'Reagent cost'!$C$17/1000*'Reagent cost'!$H$17*60*7200</f>
        <v>504921.59999999998</v>
      </c>
      <c r="DJ72">
        <f t="shared" si="35"/>
        <v>67.773564932919768</v>
      </c>
      <c r="DK72">
        <f t="shared" si="36"/>
        <v>593.87844687868358</v>
      </c>
      <c r="DL72">
        <f t="shared" si="37"/>
        <v>15909722.428834125</v>
      </c>
      <c r="DM72">
        <f>BK72*(B72*(409.81+2)/1000+C72*(248.2+2*22.99)/1000+D72*(315.6+3*22.99)/1000+0.1*58.44/1000)</f>
        <v>0.70639694042110623</v>
      </c>
      <c r="DN72">
        <f>(BS72+BT72)/1000*('Oxidant Feed Composition'!$B$11*'Oxidant Feed Composition'!$O$20+'Oxidant Feed Composition'!$D$11*'Oxidant Feed Composition'!$O$21+'Oxidant Feed Composition'!$F$11*'Oxidant Feed Composition'!$O$27-'Oxidant Feed Composition'!$J$15*18.015)</f>
        <v>2.230279335564016</v>
      </c>
      <c r="DO72">
        <f>(BU72+BV72)/1000*(0.2*368.34+0.4*58.44)</f>
        <v>1.54440553404639</v>
      </c>
      <c r="DP72">
        <f>BK72/1000*(B72*195.08+C72*106.42+D72*102.91)</f>
        <v>4.999938342565946E-2</v>
      </c>
      <c r="DQ72">
        <f>SUM(DM72:DO72)-DP72</f>
        <v>4.4310824266058519</v>
      </c>
      <c r="DR72">
        <f>DQ72*60*7200*0.33</f>
        <v>631695.11073693028</v>
      </c>
      <c r="DS72">
        <v>1.2</v>
      </c>
      <c r="DT72">
        <f>BM72/60*(AM72*4+AN72*2+AO72*3)*96485/DV72</f>
        <v>1398.9420736828372</v>
      </c>
      <c r="DU72">
        <f>BN72*BA72*(AP72*4+AQ72*2+AR72*3)*96485/DV72/60</f>
        <v>712.74630003990501</v>
      </c>
      <c r="DV72">
        <v>0.7</v>
      </c>
      <c r="DW72">
        <f>0.499*((BK72/3.78541*15)^(-0.146))*BK72/3.78541*15*300*(1+(A72-2)/9)</f>
        <v>46784.46952433938</v>
      </c>
      <c r="DX72">
        <f>0.248*((BK72/3.78541*15)^(-0.144))*BK72/3.78541*15*300*(1+(A72-2)/3)</f>
        <v>45678.708869524045</v>
      </c>
      <c r="DY72">
        <f>0.105*((BK72/3.78541*15)^(-0.144))*BK72/3.78541*15*300*(1+(A72-2)/3)</f>
        <v>19339.775932661389</v>
      </c>
      <c r="DZ72">
        <f>0.058*((BK72/3.78541*15)^(-0.151))*BK72/3.78541*15*300*(1+(A72-2)/3)</f>
        <v>10244.818866671721</v>
      </c>
      <c r="EA72">
        <f>0.056*((BK72/3.78541*15)^(-0.144))*BK72/3.78541*15*300*(1+(A72-2)/3)</f>
        <v>10314.547164086078</v>
      </c>
      <c r="EB72">
        <f>DS72*DT72/(3.6*10^6)*3600*7200*0.07</f>
        <v>846.08016616337989</v>
      </c>
      <c r="EC72">
        <f>0.499*((BM72/3.78541*15)^(-0.146))*BM72/3.78541*15*300*(1+(AF72-2)/9)</f>
        <v>28285.050307726531</v>
      </c>
      <c r="ED72">
        <f>0.248*((BM72/3.78541*15)^(-0.144))*BM72/3.78541*15*300*(1+(AF72-2)/3)</f>
        <v>19396.955145805132</v>
      </c>
      <c r="EE72">
        <f>0.105*((BM72/3.78541*15)^(-0.144))*BM72/3.78541*15*300*(1+(AF72-2)/3)</f>
        <v>8212.4205254416884</v>
      </c>
      <c r="EF72">
        <f>0.058*((BM72/3.78541*15)^(-0.151))*BM72/3.78541*15*300*(1+(AF72-2)/3)</f>
        <v>4352.7701543586227</v>
      </c>
      <c r="EG72">
        <f>0.056*((BM72/3.78541*15)^(-0.144))*BM72/3.78541*15*300*(1+(AF72-2)/3)</f>
        <v>4379.9576135689013</v>
      </c>
      <c r="EH72">
        <f>DS72*DU72/(3.6*10^6)*3600*7200*0.07</f>
        <v>431.06896226413448</v>
      </c>
      <c r="EI72">
        <f>SUM(DW72:EH72)</f>
        <v>198266.62323261102</v>
      </c>
      <c r="EJ72">
        <f>EI72+DR72+DL72</f>
        <v>16739684.162803667</v>
      </c>
      <c r="EK72">
        <f>EJ72+DF72</f>
        <v>17416745.43523863</v>
      </c>
      <c r="EL72">
        <f>EK72/(BK72*60*7200)</f>
        <v>0.40316540359348679</v>
      </c>
      <c r="EM72">
        <f>EK72/(BM72*(AM72*195.084/1000+AN72*106.42/1000+AO72*102.911/1000)*60*7200)</f>
        <v>1355.4729811518125</v>
      </c>
      <c r="EN72">
        <f>EK72/(BN72*BA72*(AP72*195.084/1000+AQ72*106.42/1000+AR72*102.911/1000)*60*7200)</f>
        <v>2453.0887827036481</v>
      </c>
    </row>
    <row r="73" spans="1:144">
      <c r="A73">
        <f>'Costing 100 Lmin Feed Orig'!A73</f>
        <v>10</v>
      </c>
      <c r="B73">
        <f>'Costing 100 Lmin Feed Orig'!B73</f>
        <v>1.54143585092054E-3</v>
      </c>
      <c r="C73">
        <f>'Costing 100 Lmin Feed Orig'!C73</f>
        <v>1.54143585092054E-3</v>
      </c>
      <c r="D73">
        <f>'Costing 100 Lmin Feed Orig'!D73</f>
        <v>3.4254130020456501E-4</v>
      </c>
      <c r="E73">
        <f>'Costing 100 Lmin Feed Orig'!E73</f>
        <v>0</v>
      </c>
      <c r="F73">
        <f>'Costing 100 Lmin Feed Orig'!F73</f>
        <v>0</v>
      </c>
      <c r="G73">
        <f>'Costing 100 Lmin Feed Orig'!G73</f>
        <v>0</v>
      </c>
      <c r="H73">
        <f>'Costing 100 Lmin Feed Orig'!H73</f>
        <v>1.7770671970930099E-5</v>
      </c>
      <c r="I73">
        <f>'Costing 100 Lmin Feed Orig'!I73</f>
        <v>5.2649488631162003E-10</v>
      </c>
      <c r="J73">
        <f>'Costing 100 Lmin Feed Orig'!J73</f>
        <v>3.3765279177869602E-4</v>
      </c>
      <c r="K73">
        <f>'Costing 100 Lmin Feed Orig'!K73</f>
        <v>0.139053960209192</v>
      </c>
      <c r="L73">
        <f>'Costing 100 Lmin Feed Orig'!L73</f>
        <v>0.14067571356050099</v>
      </c>
      <c r="M73">
        <f>'Costing 100 Lmin Feed Orig'!M73</f>
        <v>4.4613899794023002E-4</v>
      </c>
      <c r="N73">
        <f>'Costing 100 Lmin Feed Orig'!N73</f>
        <v>-1.6046192152785399E-16</v>
      </c>
      <c r="O73">
        <f>'Costing 100 Lmin Feed Orig'!O73</f>
        <v>-5.9831913729046996E-14</v>
      </c>
      <c r="P73">
        <f>'Costing 100 Lmin Feed Orig'!P73</f>
        <v>-6.6915602833089703E-20</v>
      </c>
      <c r="Q73">
        <f>'Costing 100 Lmin Feed Orig'!Q73</f>
        <v>0.10957366310586</v>
      </c>
      <c r="R73">
        <f>'Costing 100 Lmin Feed Orig'!R73</f>
        <v>98.572870359588904</v>
      </c>
      <c r="S73">
        <f>'Costing 100 Lmin Feed Orig'!S73</f>
        <v>500</v>
      </c>
      <c r="T73">
        <f>'Costing 100 Lmin Feed Orig'!T73</f>
        <v>95</v>
      </c>
      <c r="U73">
        <f>'Costing 100 Lmin Feed Orig'!U73</f>
        <v>1</v>
      </c>
      <c r="V73">
        <f>'Costing 100 Lmin Feed Orig'!V73</f>
        <v>0.1</v>
      </c>
      <c r="W73">
        <f>'Costing 100 Lmin Feed Orig'!W73</f>
        <v>91.262806376555005</v>
      </c>
      <c r="X73" t="str">
        <f>'Costing 100 Lmin Feed Orig'!X73</f>
        <v>ddFc</v>
      </c>
      <c r="Y73">
        <f>'Costing 100 Lmin Feed Orig'!Y73</f>
        <v>1</v>
      </c>
      <c r="Z73">
        <f>'Costing 100 Lmin Feed Orig'!Z73</f>
        <v>0.28318429382522198</v>
      </c>
      <c r="AA73">
        <f>'Costing 100 Lmin Feed Orig'!AA73</f>
        <v>0.56945642916197003</v>
      </c>
      <c r="AB73">
        <f>'Costing 100 Lmin Feed Orig'!AB73</f>
        <v>3.7698628972227502E-3</v>
      </c>
      <c r="AC73">
        <f>'Costing 100 Lmin Feed Orig'!AC73</f>
        <v>1822.2107908876901</v>
      </c>
      <c r="AD73">
        <f>'Costing 100 Lmin Feed Orig'!AD73</f>
        <v>2662.6059073104898</v>
      </c>
      <c r="AE73">
        <f>'Costing 100 Lmin Feed Orig'!AE73</f>
        <v>2401.5030938442701</v>
      </c>
      <c r="AF73">
        <f>'Costing 100 Lmin Feed Orig'!AF73</f>
        <v>5</v>
      </c>
      <c r="AG73">
        <f>'Costing 100 Lmin Feed Orig'!AG73</f>
        <v>1.6497548842793E-3</v>
      </c>
      <c r="AH73">
        <f>'Costing 100 Lmin Feed Orig'!AH73</f>
        <v>1.66899558413707E-3</v>
      </c>
      <c r="AI73">
        <f>'Costing 100 Lmin Feed Orig'!AI73</f>
        <v>5.2930530695573503E-6</v>
      </c>
      <c r="AJ73">
        <f>'Costing 100 Lmin Feed Orig'!AJ73</f>
        <v>0</v>
      </c>
      <c r="AK73">
        <f>'Costing 100 Lmin Feed Orig'!AK73</f>
        <v>0</v>
      </c>
      <c r="AL73">
        <f>'Costing 100 Lmin Feed Orig'!AL73</f>
        <v>0</v>
      </c>
      <c r="AM73">
        <f>'Costing 100 Lmin Feed Orig'!AM73</f>
        <v>1.6104435974931999E-3</v>
      </c>
      <c r="AN73">
        <f>'Costing 100 Lmin Feed Orig'!AN73</f>
        <v>7.9504080567360702E-5</v>
      </c>
      <c r="AO73">
        <f>'Costing 100 Lmin Feed Orig'!AO73</f>
        <v>5.2561088045772501E-6</v>
      </c>
      <c r="AP73">
        <f>'Costing 100 Lmin Feed Orig'!AP73</f>
        <v>1.81182114984423E-3</v>
      </c>
      <c r="AQ73">
        <f>'Costing 100 Lmin Feed Orig'!AQ73</f>
        <v>7.3258205444439506E-2</v>
      </c>
      <c r="AR73">
        <f>'Costing 100 Lmin Feed Orig'!AR73</f>
        <v>1.7027272859467399E-6</v>
      </c>
      <c r="AS73">
        <f>'Costing 100 Lmin Feed Orig'!AS73</f>
        <v>-4.4743668405761099E-17</v>
      </c>
      <c r="AT73">
        <f>'Costing 100 Lmin Feed Orig'!AT73</f>
        <v>1.8843433757798001E-16</v>
      </c>
      <c r="AU73">
        <f>'Costing 100 Lmin Feed Orig'!AU73</f>
        <v>-3.54364174417717E-20</v>
      </c>
      <c r="AV73">
        <f>'Costing 100 Lmin Feed Orig'!AV73</f>
        <v>0.200388158675712</v>
      </c>
      <c r="AW73">
        <f>'Costing 100 Lmin Feed Orig'!AW73</f>
        <v>99.302023529811606</v>
      </c>
      <c r="AX73">
        <f>'Costing 100 Lmin Feed Orig'!AX73</f>
        <v>500</v>
      </c>
      <c r="AY73">
        <f>'Costing 100 Lmin Feed Orig'!AY73</f>
        <v>95</v>
      </c>
      <c r="AZ73">
        <f>'Costing 100 Lmin Feed Orig'!AZ73</f>
        <v>0.92357064280818002</v>
      </c>
      <c r="BA73">
        <f>'Costing 100 Lmin Feed Orig'!BA73</f>
        <v>0.1</v>
      </c>
      <c r="BB73">
        <f>'Costing 100 Lmin Feed Orig'!BB73</f>
        <v>46.089082753776403</v>
      </c>
      <c r="BC73" t="str">
        <f>'Costing 100 Lmin Feed Orig'!BC73</f>
        <v>coeFc</v>
      </c>
      <c r="BD73">
        <f>'Costing 100 Lmin Feed Orig'!BD73</f>
        <v>1</v>
      </c>
      <c r="BE73">
        <f>'Costing 100 Lmin Feed Orig'!BE73</f>
        <v>1.8775014999999999E-2</v>
      </c>
      <c r="BF73">
        <f>'Costing 100 Lmin Feed Orig'!BF73</f>
        <v>0.10492961100000001</v>
      </c>
      <c r="BG73">
        <f>'Costing 100 Lmin Feed Orig'!BG73</f>
        <v>1.814625E-3</v>
      </c>
      <c r="BH73">
        <f>'Costing 100 Lmin Feed Orig'!BH73</f>
        <v>285.1951444</v>
      </c>
      <c r="BI73">
        <f>'Costing 100 Lmin Feed Orig'!BI73</f>
        <v>2169.8944889999998</v>
      </c>
      <c r="BJ73">
        <f>'Costing 100 Lmin Feed Orig'!BJ73</f>
        <v>866.49409060000005</v>
      </c>
      <c r="BK73">
        <f>'Costing 100 Lmin Feed Orig'!BK73</f>
        <v>100</v>
      </c>
      <c r="BL73">
        <f>'Costing 100 Lmin Feed Orig'!BL73</f>
        <v>10.957366310586</v>
      </c>
      <c r="BM73">
        <f>'Costing 100 Lmin Feed Orig'!BM73</f>
        <v>92.357064280818008</v>
      </c>
      <c r="BN73">
        <f>'Costing 100 Lmin Feed Orig'!BN73</f>
        <v>20.038815867571198</v>
      </c>
      <c r="BO73">
        <f t="shared" si="20"/>
        <v>262.97679145406403</v>
      </c>
      <c r="BP73">
        <f t="shared" si="21"/>
        <v>280.54342214599677</v>
      </c>
      <c r="BQ73">
        <f t="shared" si="22"/>
        <v>26.297679145406406</v>
      </c>
      <c r="BR73">
        <f t="shared" si="23"/>
        <v>28.054342214599679</v>
      </c>
      <c r="BS73">
        <f>1.2*0.5*BL73*V73/'Oxidant Feed Composition'!$N$22</f>
        <v>6.5744197863515996</v>
      </c>
      <c r="BT73">
        <f>1.2*0.5*BN73*BA73/'Oxidant Feed Composition'!$N$22</f>
        <v>12.023289520542718</v>
      </c>
      <c r="BU73">
        <f t="shared" si="24"/>
        <v>5.478683155293</v>
      </c>
      <c r="BV73">
        <f t="shared" si="25"/>
        <v>10.019407933785599</v>
      </c>
      <c r="BW73">
        <f t="shared" si="26"/>
        <v>86.87838112552501</v>
      </c>
      <c r="BX73">
        <f t="shared" si="19"/>
        <v>35.063572193875203</v>
      </c>
      <c r="BY73">
        <f t="shared" si="27"/>
        <v>206.62886118280801</v>
      </c>
      <c r="BZ73">
        <f t="shared" si="28"/>
        <v>64.124210776227841</v>
      </c>
      <c r="CA73">
        <f t="shared" si="29"/>
        <v>60.116447602713592</v>
      </c>
      <c r="CB73">
        <f>BO73*'Reagent cost'!$G$11*'Reagent cost'!$H$11</f>
        <v>3471.2936471936455</v>
      </c>
      <c r="CC73">
        <f>BP73*'Reagent cost'!$G$11*'Reagent cost'!$H$11</f>
        <v>3703.1731723271578</v>
      </c>
      <c r="CD73">
        <f>BQ73*'Reagent cost'!$C$18/1000*'Reagent cost'!$H$18</f>
        <v>4193.9657747282263</v>
      </c>
      <c r="CE73">
        <f>BR73*'Ligand cost'!$B$56*'Ligand cost'!$J$56</f>
        <v>28562.90380990009</v>
      </c>
      <c r="CF73">
        <f t="shared" si="30"/>
        <v>10</v>
      </c>
      <c r="CG73">
        <f t="shared" si="31"/>
        <v>2.1914732621172002</v>
      </c>
      <c r="CH73">
        <f t="shared" si="31"/>
        <v>4.0077631735142401</v>
      </c>
      <c r="CI73">
        <f>7963.6*(BX73/1000)^0.6*1.7*('CAPEX+OPEX'!$G$116/'CAPEX+OPEX'!$G$115)</f>
        <v>2138.7234102796551</v>
      </c>
      <c r="CJ73">
        <f>7963.6*(BY73/1000)^0.6*1.7*('CAPEX+OPEX'!$G$116/'CAPEX+OPEX'!$G$115)</f>
        <v>6199.4836239091055</v>
      </c>
      <c r="CK73">
        <f>7963.6*(BZ73/1000)^0.6*1.7*('CAPEX+OPEX'!$G$116/'CAPEX+OPEX'!$G$115)</f>
        <v>3072.2329850260039</v>
      </c>
      <c r="CL73">
        <f>7963.6*(CA73/1000)^0.6*1.7*('CAPEX+OPEX'!$G$116/'CAPEX+OPEX'!$G$115)</f>
        <v>2955.5404904044981</v>
      </c>
      <c r="CM73">
        <f>'Costing 100 Lmin Feed Orig'!DE73</f>
        <v>39625.826528698344</v>
      </c>
      <c r="CN73">
        <f>'Costing 100 Lmin Feed Orig'!DF73</f>
        <v>4586243.4239371875</v>
      </c>
      <c r="CO73">
        <f>'Costing 100 Lmin Feed Orig'!DG73</f>
        <v>11794834.586807497</v>
      </c>
      <c r="CP73">
        <f>'Costing 100 Lmin Feed Orig'!DH73</f>
        <v>2275209.1661185985</v>
      </c>
      <c r="CQ73">
        <f>'Costing 100 Lmin Feed Orig'!DI73</f>
        <v>14083914.336508472</v>
      </c>
      <c r="CR73">
        <f>'Costing 100 Lmin Feed Orig'!DJ73</f>
        <v>1662824.8986326549</v>
      </c>
      <c r="CS73">
        <f>CN73*(BK73/10000)^0.72*((A73+1)/3)^0.6*('CAPEX+OPEX'!$G$116/'CAPEX+OPEX'!$G$114)</f>
        <v>847423.79840727116</v>
      </c>
      <c r="CT73">
        <f>CO73*(BK73/10000)^0.72*((A73+1)/3)^0.6*('CAPEX+OPEX'!$G$116/'CAPEX+OPEX'!$G$114)</f>
        <v>2179392.2832288719</v>
      </c>
      <c r="CU73">
        <f>CP73*(BK73/10000)^0.72*((A73+1)/3)^0.6*('CAPEX+OPEX'!$G$116/'CAPEX+OPEX'!$G$114)</f>
        <v>420402.1059283549</v>
      </c>
      <c r="CV73">
        <f>CQ73*(BK73/10000)^0.72*((A73+1)/3)^0.6*('CAPEX+OPEX'!$G$116/'CAPEX+OPEX'!$G$114)</f>
        <v>2602357.3282642425</v>
      </c>
      <c r="CW73">
        <f>CR73*(BK73/10000)^0.72*((A73+1)/3)^0.6*('CAPEX+OPEX'!$G$116/'CAPEX+OPEX'!$G$114)</f>
        <v>307248.71347447456</v>
      </c>
      <c r="CX73">
        <f t="shared" si="32"/>
        <v>6356824.2293032147</v>
      </c>
      <c r="CY73">
        <f>CN73*(BM73/10000)^0.72*((AF73+1)/3)^0.6*('CAPEX+OPEX'!$G$116/'CAPEX+OPEX'!$G$114)</f>
        <v>556281.07027801778</v>
      </c>
      <c r="CZ73">
        <f>CO73*(BM73/10000)^0.72*((AF73+1)/3)^0.6*('CAPEX+OPEX'!$G$116/'CAPEX+OPEX'!$G$114)</f>
        <v>1430635.6207470505</v>
      </c>
      <c r="DA73">
        <f>CP73*(BM73/10000)^0.72*((AF73+1)/3)^0.6*('CAPEX+OPEX'!$G$116/'CAPEX+OPEX'!$G$114)</f>
        <v>275967.86150270962</v>
      </c>
      <c r="DB73">
        <f>CQ73*(BM73/10000)^0.72*((AF73+1)/3)^0.6*('CAPEX+OPEX'!$G$116/'CAPEX+OPEX'!$G$114)</f>
        <v>1708285.8925292303</v>
      </c>
      <c r="DC73">
        <f>CR73*(BM73/10000)^0.72*((AF73+1)/3)^0.6*('CAPEX+OPEX'!$G$116/'CAPEX+OPEX'!$G$114)</f>
        <v>201689.68996901164</v>
      </c>
      <c r="DD73">
        <f t="shared" si="33"/>
        <v>4172860.13502602</v>
      </c>
      <c r="DE73">
        <f>CX73+DD73+1.15*(SUM(CI73:CL73)+SUM(CB73:CE73))</f>
        <v>10592126.278780067</v>
      </c>
      <c r="DF73">
        <f t="shared" si="34"/>
        <v>706141.75191867119</v>
      </c>
      <c r="DG73">
        <f>(BS73+BT73)*'Oxidant Feed Composition'!$N$29*60*7200</f>
        <v>9277866.0226317681</v>
      </c>
      <c r="DH73">
        <f>((CG73+CH73)*'Reagent cost'!$C$17/1000*'Reagent cost'!$H$17+(CG73+CH73)*0.5*'Reagent cost'!$C$16/1000*'Reagent cost'!$H$16*0.5)*60*7200</f>
        <v>3140987.9542758055</v>
      </c>
      <c r="DI73">
        <f>CF73*'Reagent cost'!$C$17/1000*'Reagent cost'!$H$17*60*7200</f>
        <v>504921.59999999998</v>
      </c>
      <c r="DJ73">
        <f t="shared" si="35"/>
        <v>71.744668195208035</v>
      </c>
      <c r="DK73">
        <f t="shared" si="36"/>
        <v>655.13739169256633</v>
      </c>
      <c r="DL73">
        <f t="shared" si="37"/>
        <v>15509402.950760951</v>
      </c>
      <c r="DM73">
        <f>BK73*(B73*(409.81+2)/1000+C73*(248.2+2*22.99)/1000+D73*(315.6+3*22.99)/1000+0.1*58.44/1000)</f>
        <v>0.70639694042110623</v>
      </c>
      <c r="DN73">
        <f>(BS73+BT73)/1000*('Oxidant Feed Composition'!$B$11*'Oxidant Feed Composition'!$O$20+'Oxidant Feed Composition'!$D$11*'Oxidant Feed Composition'!$O$21+'Oxidant Feed Composition'!$F$11*'Oxidant Feed Composition'!$O$27-'Oxidant Feed Composition'!$J$15*18.015)</f>
        <v>2.1719249264593712</v>
      </c>
      <c r="DO73">
        <f>(BU73+BV73)/1000*(0.2*368.34+0.4*58.44)</f>
        <v>1.5039967516485435</v>
      </c>
      <c r="DP73">
        <f>BK73/1000*(B73*195.08+C73*106.42+D73*102.91)</f>
        <v>4.999938342565946E-2</v>
      </c>
      <c r="DQ73">
        <f>SUM(DM73:DO73)-DP73</f>
        <v>4.3323192351033608</v>
      </c>
      <c r="DR73">
        <f>DQ73*60*7200*0.33</f>
        <v>617615.43015633523</v>
      </c>
      <c r="DS73">
        <v>1.2</v>
      </c>
      <c r="DT73">
        <f>BM73/60*(AM73*4+AN73*2+AO73*3)*96485/DV73</f>
        <v>1403.8227843223513</v>
      </c>
      <c r="DU73">
        <f>BN73*BA73*(AP73*4+AQ73*2+AR73*3)*96485/DV73/60</f>
        <v>707.86558933533445</v>
      </c>
      <c r="DV73">
        <v>0.7</v>
      </c>
      <c r="DW73">
        <f>0.499*((BK73/3.78541*15)^(-0.146))*BK73/3.78541*15*300*(1+(A73-2)/9)</f>
        <v>46784.46952433938</v>
      </c>
      <c r="DX73">
        <f>0.248*((BK73/3.78541*15)^(-0.144))*BK73/3.78541*15*300*(1+(A73-2)/3)</f>
        <v>45678.708869524045</v>
      </c>
      <c r="DY73">
        <f>0.105*((BK73/3.78541*15)^(-0.144))*BK73/3.78541*15*300*(1+(A73-2)/3)</f>
        <v>19339.775932661389</v>
      </c>
      <c r="DZ73">
        <f>0.058*((BK73/3.78541*15)^(-0.151))*BK73/3.78541*15*300*(1+(A73-2)/3)</f>
        <v>10244.818866671721</v>
      </c>
      <c r="EA73">
        <f>0.056*((BK73/3.78541*15)^(-0.144))*BK73/3.78541*15*300*(1+(A73-2)/3)</f>
        <v>10314.547164086078</v>
      </c>
      <c r="EB73">
        <f>DS73*DT73/(3.6*10^6)*3600*7200*0.07</f>
        <v>849.03201995815812</v>
      </c>
      <c r="EC73">
        <f>0.499*((BM73/3.78541*15)^(-0.146))*BM73/3.78541*15*300*(1+(AF73-2)/9)</f>
        <v>30856.418517519851</v>
      </c>
      <c r="ED73">
        <f>0.248*((BM73/3.78541*15)^(-0.144))*BM73/3.78541*15*300*(1+(AF73-2)/3)</f>
        <v>23276.346174966162</v>
      </c>
      <c r="EE73">
        <f>0.105*((BM73/3.78541*15)^(-0.144))*BM73/3.78541*15*300*(1+(AF73-2)/3)</f>
        <v>9854.9046305300271</v>
      </c>
      <c r="EF73">
        <f>0.058*((BM73/3.78541*15)^(-0.151))*BM73/3.78541*15*300*(1+(AF73-2)/3)</f>
        <v>5223.3241852303481</v>
      </c>
      <c r="EG73">
        <f>0.056*((BM73/3.78541*15)^(-0.144))*BM73/3.78541*15*300*(1+(AF73-2)/3)</f>
        <v>5255.949136282682</v>
      </c>
      <c r="EH73">
        <f>DS73*DU73/(3.6*10^6)*3600*7200*0.07</f>
        <v>428.11710843001032</v>
      </c>
      <c r="EI73">
        <f>SUM(DW73:EH73)</f>
        <v>208106.41213019987</v>
      </c>
      <c r="EJ73">
        <f>EI73+DR73+DL73</f>
        <v>16335124.793047486</v>
      </c>
      <c r="EK73">
        <f>EJ73+DF73</f>
        <v>17041266.544966158</v>
      </c>
      <c r="EL73">
        <f>EK73/(BK73*60*7200)</f>
        <v>0.39447376261495737</v>
      </c>
      <c r="EM73">
        <f>EK73/(BM73*(AM73*195.084/1000+AN73*106.42/1000+AO73*102.911/1000)*60*7200)</f>
        <v>1321.63716202153</v>
      </c>
      <c r="EN73">
        <f>EK73/(BN73*BA73*(AP73*195.084/1000+AQ73*106.42/1000+AR73*102.911/1000)*60*7200)</f>
        <v>2415.464585687931</v>
      </c>
    </row>
    <row r="74" spans="1:144">
      <c r="A74">
        <f>'Costing 100 Lmin Feed Orig'!A74</f>
        <v>10</v>
      </c>
      <c r="B74">
        <f>'Costing 100 Lmin Feed Orig'!B74</f>
        <v>1.54143585092054E-3</v>
      </c>
      <c r="C74">
        <f>'Costing 100 Lmin Feed Orig'!C74</f>
        <v>1.54143585092054E-3</v>
      </c>
      <c r="D74">
        <f>'Costing 100 Lmin Feed Orig'!D74</f>
        <v>3.4254130020456501E-4</v>
      </c>
      <c r="E74">
        <f>'Costing 100 Lmin Feed Orig'!E74</f>
        <v>0</v>
      </c>
      <c r="F74">
        <f>'Costing 100 Lmin Feed Orig'!F74</f>
        <v>0</v>
      </c>
      <c r="G74">
        <f>'Costing 100 Lmin Feed Orig'!G74</f>
        <v>0</v>
      </c>
      <c r="H74">
        <f>'Costing 100 Lmin Feed Orig'!H74</f>
        <v>1.7770671970930099E-5</v>
      </c>
      <c r="I74">
        <f>'Costing 100 Lmin Feed Orig'!I74</f>
        <v>5.2649488631162003E-10</v>
      </c>
      <c r="J74">
        <f>'Costing 100 Lmin Feed Orig'!J74</f>
        <v>3.3765279177869602E-4</v>
      </c>
      <c r="K74">
        <f>'Costing 100 Lmin Feed Orig'!K74</f>
        <v>0.139053960209192</v>
      </c>
      <c r="L74">
        <f>'Costing 100 Lmin Feed Orig'!L74</f>
        <v>0.14067571356050099</v>
      </c>
      <c r="M74">
        <f>'Costing 100 Lmin Feed Orig'!M74</f>
        <v>4.4613899794023002E-4</v>
      </c>
      <c r="N74">
        <f>'Costing 100 Lmin Feed Orig'!N74</f>
        <v>-1.6046192152785399E-16</v>
      </c>
      <c r="O74">
        <f>'Costing 100 Lmin Feed Orig'!O74</f>
        <v>-5.9831913729046996E-14</v>
      </c>
      <c r="P74">
        <f>'Costing 100 Lmin Feed Orig'!P74</f>
        <v>-6.6915602833089703E-20</v>
      </c>
      <c r="Q74">
        <f>'Costing 100 Lmin Feed Orig'!Q74</f>
        <v>0.10957366310586</v>
      </c>
      <c r="R74">
        <f>'Costing 100 Lmin Feed Orig'!R74</f>
        <v>98.572870359588904</v>
      </c>
      <c r="S74">
        <f>'Costing 100 Lmin Feed Orig'!S74</f>
        <v>500</v>
      </c>
      <c r="T74">
        <f>'Costing 100 Lmin Feed Orig'!T74</f>
        <v>95</v>
      </c>
      <c r="U74">
        <f>'Costing 100 Lmin Feed Orig'!U74</f>
        <v>1</v>
      </c>
      <c r="V74">
        <f>'Costing 100 Lmin Feed Orig'!V74</f>
        <v>0.1</v>
      </c>
      <c r="W74">
        <f>'Costing 100 Lmin Feed Orig'!W74</f>
        <v>91.262806376555005</v>
      </c>
      <c r="X74" t="str">
        <f>'Costing 100 Lmin Feed Orig'!X74</f>
        <v>ddFc</v>
      </c>
      <c r="Y74">
        <f>'Costing 100 Lmin Feed Orig'!Y74</f>
        <v>1</v>
      </c>
      <c r="Z74">
        <f>'Costing 100 Lmin Feed Orig'!Z74</f>
        <v>0.28318429382522198</v>
      </c>
      <c r="AA74">
        <f>'Costing 100 Lmin Feed Orig'!AA74</f>
        <v>0.56945642916197003</v>
      </c>
      <c r="AB74">
        <f>'Costing 100 Lmin Feed Orig'!AB74</f>
        <v>3.7698628972227502E-3</v>
      </c>
      <c r="AC74">
        <f>'Costing 100 Lmin Feed Orig'!AC74</f>
        <v>1822.2107908876901</v>
      </c>
      <c r="AD74">
        <f>'Costing 100 Lmin Feed Orig'!AD74</f>
        <v>2662.6059073104898</v>
      </c>
      <c r="AE74">
        <f>'Costing 100 Lmin Feed Orig'!AE74</f>
        <v>2401.5030938442701</v>
      </c>
      <c r="AF74">
        <f>'Costing 100 Lmin Feed Orig'!AF74</f>
        <v>6</v>
      </c>
      <c r="AG74">
        <f>'Costing 100 Lmin Feed Orig'!AG74</f>
        <v>1.6497548842793E-3</v>
      </c>
      <c r="AH74">
        <f>'Costing 100 Lmin Feed Orig'!AH74</f>
        <v>1.66899558413707E-3</v>
      </c>
      <c r="AI74">
        <f>'Costing 100 Lmin Feed Orig'!AI74</f>
        <v>5.2930530695573503E-6</v>
      </c>
      <c r="AJ74">
        <f>'Costing 100 Lmin Feed Orig'!AJ74</f>
        <v>0</v>
      </c>
      <c r="AK74">
        <f>'Costing 100 Lmin Feed Orig'!AK74</f>
        <v>0</v>
      </c>
      <c r="AL74">
        <f>'Costing 100 Lmin Feed Orig'!AL74</f>
        <v>0</v>
      </c>
      <c r="AM74">
        <f>'Costing 100 Lmin Feed Orig'!AM74</f>
        <v>1.6121253228941501E-3</v>
      </c>
      <c r="AN74">
        <f>'Costing 100 Lmin Feed Orig'!AN74</f>
        <v>7.9591074029532495E-5</v>
      </c>
      <c r="AO74">
        <f>'Costing 100 Lmin Feed Orig'!AO74</f>
        <v>5.2576273786285902E-6</v>
      </c>
      <c r="AP74">
        <f>'Costing 100 Lmin Feed Orig'!AP74</f>
        <v>1.75622111317691E-3</v>
      </c>
      <c r="AQ74">
        <f>'Costing 100 Lmin Feed Orig'!AQ74</f>
        <v>7.4179598573032607E-2</v>
      </c>
      <c r="AR74">
        <f>'Costing 100 Lmin Feed Orig'!AR74</f>
        <v>1.65336358086057E-6</v>
      </c>
      <c r="AS74">
        <f>'Costing 100 Lmin Feed Orig'!AS74</f>
        <v>-1.84991995680339E-18</v>
      </c>
      <c r="AT74">
        <f>'Costing 100 Lmin Feed Orig'!AT74</f>
        <v>-1.4875253806501101E-16</v>
      </c>
      <c r="AU74">
        <f>'Costing 100 Lmin Feed Orig'!AU74</f>
        <v>-2.54771628666332E-21</v>
      </c>
      <c r="AV74">
        <f>'Costing 100 Lmin Feed Orig'!AV74</f>
        <v>0.19788828374922501</v>
      </c>
      <c r="AW74">
        <f>'Costing 100 Lmin Feed Orig'!AW74</f>
        <v>99.330713475508006</v>
      </c>
      <c r="AX74">
        <f>'Costing 100 Lmin Feed Orig'!AX74</f>
        <v>500</v>
      </c>
      <c r="AY74">
        <f>'Costing 100 Lmin Feed Orig'!AY74</f>
        <v>95</v>
      </c>
      <c r="AZ74">
        <f>'Costing 100 Lmin Feed Orig'!AZ74</f>
        <v>0.92357064280818002</v>
      </c>
      <c r="BA74">
        <f>'Costing 100 Lmin Feed Orig'!BA74</f>
        <v>0.1</v>
      </c>
      <c r="BB74">
        <f>'Costing 100 Lmin Feed Orig'!BB74</f>
        <v>46.671315012190298</v>
      </c>
      <c r="BC74" t="str">
        <f>'Costing 100 Lmin Feed Orig'!BC74</f>
        <v>coeFc</v>
      </c>
      <c r="BD74">
        <f>'Costing 100 Lmin Feed Orig'!BD74</f>
        <v>1</v>
      </c>
      <c r="BE74">
        <f>'Costing 100 Lmin Feed Orig'!BE74</f>
        <v>1.8775014999999999E-2</v>
      </c>
      <c r="BF74">
        <f>'Costing 100 Lmin Feed Orig'!BF74</f>
        <v>0.10492961100000001</v>
      </c>
      <c r="BG74">
        <f>'Costing 100 Lmin Feed Orig'!BG74</f>
        <v>1.814625E-3</v>
      </c>
      <c r="BH74">
        <f>'Costing 100 Lmin Feed Orig'!BH74</f>
        <v>285.1951444</v>
      </c>
      <c r="BI74">
        <f>'Costing 100 Lmin Feed Orig'!BI74</f>
        <v>2169.8944889999998</v>
      </c>
      <c r="BJ74">
        <f>'Costing 100 Lmin Feed Orig'!BJ74</f>
        <v>866.49409060000005</v>
      </c>
      <c r="BK74">
        <f>'Costing 100 Lmin Feed Orig'!BK74</f>
        <v>100</v>
      </c>
      <c r="BL74">
        <f>'Costing 100 Lmin Feed Orig'!BL74</f>
        <v>10.957366310586</v>
      </c>
      <c r="BM74">
        <f>'Costing 100 Lmin Feed Orig'!BM74</f>
        <v>92.357064280818008</v>
      </c>
      <c r="BN74">
        <f>'Costing 100 Lmin Feed Orig'!BN74</f>
        <v>19.788828374922502</v>
      </c>
      <c r="BO74">
        <f t="shared" si="20"/>
        <v>262.97679145406403</v>
      </c>
      <c r="BP74">
        <f t="shared" si="21"/>
        <v>316.62125399876004</v>
      </c>
      <c r="BQ74">
        <f t="shared" si="22"/>
        <v>26.297679145406406</v>
      </c>
      <c r="BR74">
        <f t="shared" si="23"/>
        <v>31.662125399876004</v>
      </c>
      <c r="BS74">
        <f>1.2*0.5*BL74*V74/'Oxidant Feed Composition'!$N$22</f>
        <v>6.5744197863515996</v>
      </c>
      <c r="BT74">
        <f>1.2*0.5*BN74*BA74/'Oxidant Feed Composition'!$N$22</f>
        <v>11.873297024953501</v>
      </c>
      <c r="BU74">
        <f t="shared" si="24"/>
        <v>5.478683155293</v>
      </c>
      <c r="BV74">
        <f t="shared" si="25"/>
        <v>9.8944141874612512</v>
      </c>
      <c r="BW74">
        <f t="shared" si="26"/>
        <v>86.87838112552501</v>
      </c>
      <c r="BX74">
        <f t="shared" si="19"/>
        <v>35.063572193875203</v>
      </c>
      <c r="BY74">
        <f t="shared" si="27"/>
        <v>206.62886118280801</v>
      </c>
      <c r="BZ74">
        <f t="shared" si="28"/>
        <v>63.324250799752008</v>
      </c>
      <c r="CA74">
        <f t="shared" si="29"/>
        <v>59.366485124767507</v>
      </c>
      <c r="CB74">
        <f>BO74*'Reagent cost'!$G$11*'Reagent cost'!$H$11</f>
        <v>3471.2936471936455</v>
      </c>
      <c r="CC74">
        <f>BP74*'Reagent cost'!$G$11*'Reagent cost'!$H$11</f>
        <v>4179.4005527836325</v>
      </c>
      <c r="CD74">
        <f>BQ74*'Reagent cost'!$C$18/1000*'Reagent cost'!$H$18</f>
        <v>4193.9657747282263</v>
      </c>
      <c r="CE74">
        <f>BR74*'Ligand cost'!$B$56*'Ligand cost'!$J$56</f>
        <v>32236.087921641458</v>
      </c>
      <c r="CF74">
        <f t="shared" si="30"/>
        <v>10</v>
      </c>
      <c r="CG74">
        <f t="shared" si="31"/>
        <v>2.1914732621172002</v>
      </c>
      <c r="CH74">
        <f t="shared" si="31"/>
        <v>3.9577656749845005</v>
      </c>
      <c r="CI74">
        <f>7963.6*(BX74/1000)^0.6*1.7*('CAPEX+OPEX'!$G$116/'CAPEX+OPEX'!$G$115)</f>
        <v>2138.7234102796551</v>
      </c>
      <c r="CJ74">
        <f>7963.6*(BY74/1000)^0.6*1.7*('CAPEX+OPEX'!$G$116/'CAPEX+OPEX'!$G$115)</f>
        <v>6199.4836239091055</v>
      </c>
      <c r="CK74">
        <f>7963.6*(BZ74/1000)^0.6*1.7*('CAPEX+OPEX'!$G$116/'CAPEX+OPEX'!$G$115)</f>
        <v>3049.1793085902286</v>
      </c>
      <c r="CL74">
        <f>7963.6*(CA74/1000)^0.6*1.7*('CAPEX+OPEX'!$G$116/'CAPEX+OPEX'!$G$115)</f>
        <v>2933.3624607789084</v>
      </c>
      <c r="CM74">
        <f>'Costing 100 Lmin Feed Orig'!DE74</f>
        <v>39625.826528698344</v>
      </c>
      <c r="CN74">
        <f>'Costing 100 Lmin Feed Orig'!DF74</f>
        <v>4586243.4239371875</v>
      </c>
      <c r="CO74">
        <f>'Costing 100 Lmin Feed Orig'!DG74</f>
        <v>11794834.586807497</v>
      </c>
      <c r="CP74">
        <f>'Costing 100 Lmin Feed Orig'!DH74</f>
        <v>2275209.1661185985</v>
      </c>
      <c r="CQ74">
        <f>'Costing 100 Lmin Feed Orig'!DI74</f>
        <v>14083914.336508472</v>
      </c>
      <c r="CR74">
        <f>'Costing 100 Lmin Feed Orig'!DJ74</f>
        <v>1662824.8986326549</v>
      </c>
      <c r="CS74">
        <f>CN74*(BK74/10000)^0.72*((A74+1)/3)^0.6*('CAPEX+OPEX'!$G$116/'CAPEX+OPEX'!$G$114)</f>
        <v>847423.79840727116</v>
      </c>
      <c r="CT74">
        <f>CO74*(BK74/10000)^0.72*((A74+1)/3)^0.6*('CAPEX+OPEX'!$G$116/'CAPEX+OPEX'!$G$114)</f>
        <v>2179392.2832288719</v>
      </c>
      <c r="CU74">
        <f>CP74*(BK74/10000)^0.72*((A74+1)/3)^0.6*('CAPEX+OPEX'!$G$116/'CAPEX+OPEX'!$G$114)</f>
        <v>420402.1059283549</v>
      </c>
      <c r="CV74">
        <f>CQ74*(BK74/10000)^0.72*((A74+1)/3)^0.6*('CAPEX+OPEX'!$G$116/'CAPEX+OPEX'!$G$114)</f>
        <v>2602357.3282642425</v>
      </c>
      <c r="CW74">
        <f>CR74*(BK74/10000)^0.72*((A74+1)/3)^0.6*('CAPEX+OPEX'!$G$116/'CAPEX+OPEX'!$G$114)</f>
        <v>307248.71347447456</v>
      </c>
      <c r="CX74">
        <f t="shared" si="32"/>
        <v>6356824.2293032147</v>
      </c>
      <c r="CY74">
        <f>CN74*(BM74/10000)^0.72*((AF74+1)/3)^0.6*('CAPEX+OPEX'!$G$116/'CAPEX+OPEX'!$G$114)</f>
        <v>610186.16339219559</v>
      </c>
      <c r="CZ74">
        <f>CO74*(BM74/10000)^0.72*((AF74+1)/3)^0.6*('CAPEX+OPEX'!$G$116/'CAPEX+OPEX'!$G$114)</f>
        <v>1569267.9605286056</v>
      </c>
      <c r="DA74">
        <f>CP74*(BM74/10000)^0.72*((AF74+1)/3)^0.6*('CAPEX+OPEX'!$G$116/'CAPEX+OPEX'!$G$114)</f>
        <v>302709.87029223994</v>
      </c>
      <c r="DB74">
        <f>CQ74*(BM74/10000)^0.72*((AF74+1)/3)^0.6*('CAPEX+OPEX'!$G$116/'CAPEX+OPEX'!$G$114)</f>
        <v>1873823.2710641536</v>
      </c>
      <c r="DC74">
        <f>CR74*(BM74/10000)^0.72*((AF74+1)/3)^0.6*('CAPEX+OPEX'!$G$116/'CAPEX+OPEX'!$G$114)</f>
        <v>221233.94933508278</v>
      </c>
      <c r="DD74">
        <f t="shared" si="33"/>
        <v>4577221.2146122772</v>
      </c>
      <c r="DE74">
        <f>CX74+DD74+1.15*(SUM(CI74:CL74)+SUM(CB74:CE74))</f>
        <v>11001207.165120382</v>
      </c>
      <c r="DF74">
        <f t="shared" si="34"/>
        <v>733413.81100802543</v>
      </c>
      <c r="DG74">
        <f>(BS74+BT74)*'Oxidant Feed Composition'!$N$29*60*7200</f>
        <v>9203039.0503679831</v>
      </c>
      <c r="DH74">
        <f>((CG74+CH74)*'Reagent cost'!$C$17/1000*'Reagent cost'!$H$17+(CG74+CH74)*0.5*'Reagent cost'!$C$16/1000*'Reagent cost'!$H$16*0.5)*60*7200</f>
        <v>3115655.5537041468</v>
      </c>
      <c r="DI74">
        <f>CF74*'Reagent cost'!$C$17/1000*'Reagent cost'!$H$17*60*7200</f>
        <v>504921.59999999998</v>
      </c>
      <c r="DJ74">
        <f t="shared" si="35"/>
        <v>76.506941999772778</v>
      </c>
      <c r="DK74">
        <f t="shared" si="36"/>
        <v>728.60107392739371</v>
      </c>
      <c r="DL74">
        <f t="shared" si="37"/>
        <v>15389305.574505668</v>
      </c>
      <c r="DM74">
        <f>BK74*(B74*(409.81+2)/1000+C74*(248.2+2*22.99)/1000+D74*(315.6+3*22.99)/1000+0.1*58.44/1000)</f>
        <v>0.70639694042110623</v>
      </c>
      <c r="DN74">
        <f>(BS74+BT74)/1000*('Oxidant Feed Composition'!$B$11*'Oxidant Feed Composition'!$O$20+'Oxidant Feed Composition'!$D$11*'Oxidant Feed Composition'!$O$21+'Oxidant Feed Composition'!$F$11*'Oxidant Feed Composition'!$O$27-'Oxidant Feed Composition'!$J$15*18.015)</f>
        <v>2.1544081218585323</v>
      </c>
      <c r="DO74">
        <f>(BU74+BV74)/1000*(0.2*368.34+0.4*58.44)</f>
        <v>1.4918668585302435</v>
      </c>
      <c r="DP74">
        <f>BK74/1000*(B74*195.08+C74*106.42+D74*102.91)</f>
        <v>4.999938342565946E-2</v>
      </c>
      <c r="DQ74">
        <f>SUM(DM74:DO74)-DP74</f>
        <v>4.3026725373842218</v>
      </c>
      <c r="DR74">
        <f>DQ74*60*7200*0.33</f>
        <v>613388.99692949466</v>
      </c>
      <c r="DS74">
        <v>1.2</v>
      </c>
      <c r="DT74">
        <f>BM74/60*(AM74*4+AN74*2+AO74*3)*96485/DV74</f>
        <v>1405.2879011413529</v>
      </c>
      <c r="DU74">
        <f>BN74*BA74*(AP74*4+AQ74*2+AR74*3)*96485/DV74/60</f>
        <v>706.40047251644887</v>
      </c>
      <c r="DV74">
        <v>0.7</v>
      </c>
      <c r="DW74">
        <f>0.499*((BK74/3.78541*15)^(-0.146))*BK74/3.78541*15*300*(1+(A74-2)/9)</f>
        <v>46784.46952433938</v>
      </c>
      <c r="DX74">
        <f>0.248*((BK74/3.78541*15)^(-0.144))*BK74/3.78541*15*300*(1+(A74-2)/3)</f>
        <v>45678.708869524045</v>
      </c>
      <c r="DY74">
        <f>0.105*((BK74/3.78541*15)^(-0.144))*BK74/3.78541*15*300*(1+(A74-2)/3)</f>
        <v>19339.775932661389</v>
      </c>
      <c r="DZ74">
        <f>0.058*((BK74/3.78541*15)^(-0.151))*BK74/3.78541*15*300*(1+(A74-2)/3)</f>
        <v>10244.818866671721</v>
      </c>
      <c r="EA74">
        <f>0.056*((BK74/3.78541*15)^(-0.144))*BK74/3.78541*15*300*(1+(A74-2)/3)</f>
        <v>10314.547164086078</v>
      </c>
      <c r="EB74">
        <f>DS74*DT74/(3.6*10^6)*3600*7200*0.07</f>
        <v>849.91812261029031</v>
      </c>
      <c r="EC74">
        <f>0.499*((BM74/3.78541*15)^(-0.146))*BM74/3.78541*15*300*(1+(AF74-2)/9)</f>
        <v>33427.786727313171</v>
      </c>
      <c r="ED74">
        <f>0.248*((BM74/3.78541*15)^(-0.144))*BM74/3.78541*15*300*(1+(AF74-2)/3)</f>
        <v>27155.737204127185</v>
      </c>
      <c r="EE74">
        <f>0.105*((BM74/3.78541*15)^(-0.144))*BM74/3.78541*15*300*(1+(AF74-2)/3)</f>
        <v>11497.388735618364</v>
      </c>
      <c r="EF74">
        <f>0.058*((BM74/3.78541*15)^(-0.151))*BM74/3.78541*15*300*(1+(AF74-2)/3)</f>
        <v>6093.8782161020717</v>
      </c>
      <c r="EG74">
        <f>0.056*((BM74/3.78541*15)^(-0.144))*BM74/3.78541*15*300*(1+(AF74-2)/3)</f>
        <v>6131.9406589964619</v>
      </c>
      <c r="EH74">
        <f>DS74*DU74/(3.6*10^6)*3600*7200*0.07</f>
        <v>427.23100577794827</v>
      </c>
      <c r="EI74">
        <f>SUM(DW74:EH74)</f>
        <v>217946.20102782812</v>
      </c>
      <c r="EJ74">
        <f>EI74+DR74+DL74</f>
        <v>16220640.77246299</v>
      </c>
      <c r="EK74">
        <f>EJ74+DF74</f>
        <v>16954054.583471015</v>
      </c>
      <c r="EL74">
        <f>EK74/(BK74*60*7200)</f>
        <v>0.39245496720997719</v>
      </c>
      <c r="EM74">
        <f>EK74/(BM74*(AM74*195.084/1000+AN74*106.42/1000+AO74*102.911/1000)*60*7200)</f>
        <v>1313.5017325398294</v>
      </c>
      <c r="EN74">
        <f>EK74/(BN74*BA74*(AP74*195.084/1000+AQ74*106.42/1000+AR74*102.911/1000)*60*7200)</f>
        <v>2407.6983246771433</v>
      </c>
    </row>
    <row r="75" spans="1:144">
      <c r="A75">
        <f>'Costing 100 Lmin Feed Orig'!A75</f>
        <v>10</v>
      </c>
      <c r="B75">
        <f>'Costing 100 Lmin Feed Orig'!B75</f>
        <v>1.54143585092054E-3</v>
      </c>
      <c r="C75">
        <f>'Costing 100 Lmin Feed Orig'!C75</f>
        <v>1.54143585092054E-3</v>
      </c>
      <c r="D75">
        <f>'Costing 100 Lmin Feed Orig'!D75</f>
        <v>3.4254130020456501E-4</v>
      </c>
      <c r="E75">
        <f>'Costing 100 Lmin Feed Orig'!E75</f>
        <v>0</v>
      </c>
      <c r="F75">
        <f>'Costing 100 Lmin Feed Orig'!F75</f>
        <v>0</v>
      </c>
      <c r="G75">
        <f>'Costing 100 Lmin Feed Orig'!G75</f>
        <v>0</v>
      </c>
      <c r="H75">
        <f>'Costing 100 Lmin Feed Orig'!H75</f>
        <v>1.7770671970930099E-5</v>
      </c>
      <c r="I75">
        <f>'Costing 100 Lmin Feed Orig'!I75</f>
        <v>5.2649488631162003E-10</v>
      </c>
      <c r="J75">
        <f>'Costing 100 Lmin Feed Orig'!J75</f>
        <v>3.3765279177869602E-4</v>
      </c>
      <c r="K75">
        <f>'Costing 100 Lmin Feed Orig'!K75</f>
        <v>0.139053960209192</v>
      </c>
      <c r="L75">
        <f>'Costing 100 Lmin Feed Orig'!L75</f>
        <v>0.14067571356050099</v>
      </c>
      <c r="M75">
        <f>'Costing 100 Lmin Feed Orig'!M75</f>
        <v>4.4613899794023002E-4</v>
      </c>
      <c r="N75">
        <f>'Costing 100 Lmin Feed Orig'!N75</f>
        <v>-1.6046192152785399E-16</v>
      </c>
      <c r="O75">
        <f>'Costing 100 Lmin Feed Orig'!O75</f>
        <v>-5.9831913729046996E-14</v>
      </c>
      <c r="P75">
        <f>'Costing 100 Lmin Feed Orig'!P75</f>
        <v>-6.6915602833089703E-20</v>
      </c>
      <c r="Q75">
        <f>'Costing 100 Lmin Feed Orig'!Q75</f>
        <v>0.10957366310586</v>
      </c>
      <c r="R75">
        <f>'Costing 100 Lmin Feed Orig'!R75</f>
        <v>98.572870359588904</v>
      </c>
      <c r="S75">
        <f>'Costing 100 Lmin Feed Orig'!S75</f>
        <v>500</v>
      </c>
      <c r="T75">
        <f>'Costing 100 Lmin Feed Orig'!T75</f>
        <v>95</v>
      </c>
      <c r="U75">
        <f>'Costing 100 Lmin Feed Orig'!U75</f>
        <v>1</v>
      </c>
      <c r="V75">
        <f>'Costing 100 Lmin Feed Orig'!V75</f>
        <v>0.1</v>
      </c>
      <c r="W75">
        <f>'Costing 100 Lmin Feed Orig'!W75</f>
        <v>91.262806376555005</v>
      </c>
      <c r="X75" t="str">
        <f>'Costing 100 Lmin Feed Orig'!X75</f>
        <v>ddFc</v>
      </c>
      <c r="Y75">
        <f>'Costing 100 Lmin Feed Orig'!Y75</f>
        <v>1</v>
      </c>
      <c r="Z75">
        <f>'Costing 100 Lmin Feed Orig'!Z75</f>
        <v>0.28318429382522198</v>
      </c>
      <c r="AA75">
        <f>'Costing 100 Lmin Feed Orig'!AA75</f>
        <v>0.56945642916197003</v>
      </c>
      <c r="AB75">
        <f>'Costing 100 Lmin Feed Orig'!AB75</f>
        <v>3.7698628972227502E-3</v>
      </c>
      <c r="AC75">
        <f>'Costing 100 Lmin Feed Orig'!AC75</f>
        <v>1822.2107908876901</v>
      </c>
      <c r="AD75">
        <f>'Costing 100 Lmin Feed Orig'!AD75</f>
        <v>2662.6059073104898</v>
      </c>
      <c r="AE75">
        <f>'Costing 100 Lmin Feed Orig'!AE75</f>
        <v>2401.5030938442701</v>
      </c>
      <c r="AF75">
        <f>'Costing 100 Lmin Feed Orig'!AF75</f>
        <v>7</v>
      </c>
      <c r="AG75">
        <f>'Costing 100 Lmin Feed Orig'!AG75</f>
        <v>1.6497548842793E-3</v>
      </c>
      <c r="AH75">
        <f>'Costing 100 Lmin Feed Orig'!AH75</f>
        <v>1.66899558413707E-3</v>
      </c>
      <c r="AI75">
        <f>'Costing 100 Lmin Feed Orig'!AI75</f>
        <v>5.2930530695573503E-6</v>
      </c>
      <c r="AJ75">
        <f>'Costing 100 Lmin Feed Orig'!AJ75</f>
        <v>0</v>
      </c>
      <c r="AK75">
        <f>'Costing 100 Lmin Feed Orig'!AK75</f>
        <v>0</v>
      </c>
      <c r="AL75">
        <f>'Costing 100 Lmin Feed Orig'!AL75</f>
        <v>0</v>
      </c>
      <c r="AM75">
        <f>'Costing 100 Lmin Feed Orig'!AM75</f>
        <v>1.6126141989109301E-3</v>
      </c>
      <c r="AN75">
        <f>'Costing 100 Lmin Feed Orig'!AN75</f>
        <v>7.9616362695628595E-5</v>
      </c>
      <c r="AO75">
        <f>'Costing 100 Lmin Feed Orig'!AO75</f>
        <v>5.2580688259994502E-6</v>
      </c>
      <c r="AP75">
        <f>'Costing 100 Lmin Feed Orig'!AP75</f>
        <v>1.7397937197708099E-3</v>
      </c>
      <c r="AQ75">
        <f>'Costing 100 Lmin Feed Orig'!AQ75</f>
        <v>7.4451829856534701E-2</v>
      </c>
      <c r="AR75">
        <f>'Costing 100 Lmin Feed Orig'!AR75</f>
        <v>1.63877878475564E-6</v>
      </c>
      <c r="AS75">
        <f>'Costing 100 Lmin Feed Orig'!AS75</f>
        <v>-4.3300324263639803E-18</v>
      </c>
      <c r="AT75">
        <f>'Costing 100 Lmin Feed Orig'!AT75</f>
        <v>-1.6727071117106299E-15</v>
      </c>
      <c r="AU75">
        <f>'Costing 100 Lmin Feed Orig'!AU75</f>
        <v>-5.3336605897419202E-21</v>
      </c>
      <c r="AV75">
        <f>'Costing 100 Lmin Feed Orig'!AV75</f>
        <v>0.197161573065819</v>
      </c>
      <c r="AW75">
        <f>'Costing 100 Lmin Feed Orig'!AW75</f>
        <v>99.339053602936502</v>
      </c>
      <c r="AX75">
        <f>'Costing 100 Lmin Feed Orig'!AX75</f>
        <v>500</v>
      </c>
      <c r="AY75">
        <f>'Costing 100 Lmin Feed Orig'!AY75</f>
        <v>95</v>
      </c>
      <c r="AZ75">
        <f>'Costing 100 Lmin Feed Orig'!AZ75</f>
        <v>0.92357064280818002</v>
      </c>
      <c r="BA75">
        <f>'Costing 100 Lmin Feed Orig'!BA75</f>
        <v>0.1</v>
      </c>
      <c r="BB75">
        <f>'Costing 100 Lmin Feed Orig'!BB75</f>
        <v>46.843339117600799</v>
      </c>
      <c r="BC75" t="str">
        <f>'Costing 100 Lmin Feed Orig'!BC75</f>
        <v>coeFc</v>
      </c>
      <c r="BD75">
        <f>'Costing 100 Lmin Feed Orig'!BD75</f>
        <v>1</v>
      </c>
      <c r="BE75">
        <f>'Costing 100 Lmin Feed Orig'!BE75</f>
        <v>1.8775014999999999E-2</v>
      </c>
      <c r="BF75">
        <f>'Costing 100 Lmin Feed Orig'!BF75</f>
        <v>0.10492961100000001</v>
      </c>
      <c r="BG75">
        <f>'Costing 100 Lmin Feed Orig'!BG75</f>
        <v>1.814625E-3</v>
      </c>
      <c r="BH75">
        <f>'Costing 100 Lmin Feed Orig'!BH75</f>
        <v>285.1951444</v>
      </c>
      <c r="BI75">
        <f>'Costing 100 Lmin Feed Orig'!BI75</f>
        <v>2169.8944889999998</v>
      </c>
      <c r="BJ75">
        <f>'Costing 100 Lmin Feed Orig'!BJ75</f>
        <v>866.49409060000005</v>
      </c>
      <c r="BK75">
        <f>'Costing 100 Lmin Feed Orig'!BK75</f>
        <v>100</v>
      </c>
      <c r="BL75">
        <f>'Costing 100 Lmin Feed Orig'!BL75</f>
        <v>10.957366310586</v>
      </c>
      <c r="BM75">
        <f>'Costing 100 Lmin Feed Orig'!BM75</f>
        <v>92.357064280818008</v>
      </c>
      <c r="BN75">
        <f>'Costing 100 Lmin Feed Orig'!BN75</f>
        <v>19.716157306581898</v>
      </c>
      <c r="BO75">
        <f t="shared" si="20"/>
        <v>262.97679145406403</v>
      </c>
      <c r="BP75">
        <f t="shared" si="21"/>
        <v>354.89083151847416</v>
      </c>
      <c r="BQ75">
        <f t="shared" si="22"/>
        <v>26.297679145406406</v>
      </c>
      <c r="BR75">
        <f t="shared" si="23"/>
        <v>35.489083151847417</v>
      </c>
      <c r="BS75">
        <f>1.2*0.5*BL75*V75/'Oxidant Feed Composition'!$N$22</f>
        <v>6.5744197863515996</v>
      </c>
      <c r="BT75">
        <f>1.2*0.5*BN75*BA75/'Oxidant Feed Composition'!$N$22</f>
        <v>11.829694383949137</v>
      </c>
      <c r="BU75">
        <f t="shared" si="24"/>
        <v>5.478683155293</v>
      </c>
      <c r="BV75">
        <f t="shared" si="25"/>
        <v>9.8580786532909492</v>
      </c>
      <c r="BW75">
        <f t="shared" si="26"/>
        <v>86.87838112552501</v>
      </c>
      <c r="BX75">
        <f t="shared" si="19"/>
        <v>35.063572193875203</v>
      </c>
      <c r="BY75">
        <f t="shared" si="27"/>
        <v>206.62886118280801</v>
      </c>
      <c r="BZ75">
        <f t="shared" si="28"/>
        <v>63.091703381062075</v>
      </c>
      <c r="CA75">
        <f t="shared" si="29"/>
        <v>59.148471919745695</v>
      </c>
      <c r="CB75">
        <f>BO75*'Reagent cost'!$G$11*'Reagent cost'!$H$11</f>
        <v>3471.2936471936455</v>
      </c>
      <c r="CC75">
        <f>BP75*'Reagent cost'!$G$11*'Reagent cost'!$H$11</f>
        <v>4684.5589760438597</v>
      </c>
      <c r="CD75">
        <f>BQ75*'Reagent cost'!$C$18/1000*'Reagent cost'!$H$18</f>
        <v>4193.9657747282263</v>
      </c>
      <c r="CE75">
        <f>BR75*'Ligand cost'!$B$56*'Ligand cost'!$J$56</f>
        <v>36132.419737870092</v>
      </c>
      <c r="CF75">
        <f t="shared" si="30"/>
        <v>10</v>
      </c>
      <c r="CG75">
        <f t="shared" si="31"/>
        <v>2.1914732621172002</v>
      </c>
      <c r="CH75">
        <f t="shared" si="31"/>
        <v>3.9432314613163797</v>
      </c>
      <c r="CI75">
        <f>7963.6*(BX75/1000)^0.6*1.7*('CAPEX+OPEX'!$G$116/'CAPEX+OPEX'!$G$115)</f>
        <v>2138.7234102796551</v>
      </c>
      <c r="CJ75">
        <f>7963.6*(BY75/1000)^0.6*1.7*('CAPEX+OPEX'!$G$116/'CAPEX+OPEX'!$G$115)</f>
        <v>6199.4836239091055</v>
      </c>
      <c r="CK75">
        <f>7963.6*(BZ75/1000)^0.6*1.7*('CAPEX+OPEX'!$G$116/'CAPEX+OPEX'!$G$115)</f>
        <v>3042.4558136558958</v>
      </c>
      <c r="CL75">
        <f>7963.6*(CA75/1000)^0.6*1.7*('CAPEX+OPEX'!$G$116/'CAPEX+OPEX'!$G$115)</f>
        <v>2926.8943440663093</v>
      </c>
      <c r="CM75">
        <f>'Costing 100 Lmin Feed Orig'!DE75</f>
        <v>39625.826528698344</v>
      </c>
      <c r="CN75">
        <f>'Costing 100 Lmin Feed Orig'!DF75</f>
        <v>4586243.4239371875</v>
      </c>
      <c r="CO75">
        <f>'Costing 100 Lmin Feed Orig'!DG75</f>
        <v>11794834.586807497</v>
      </c>
      <c r="CP75">
        <f>'Costing 100 Lmin Feed Orig'!DH75</f>
        <v>2275209.1661185985</v>
      </c>
      <c r="CQ75">
        <f>'Costing 100 Lmin Feed Orig'!DI75</f>
        <v>14083914.336508472</v>
      </c>
      <c r="CR75">
        <f>'Costing 100 Lmin Feed Orig'!DJ75</f>
        <v>1662824.8986326549</v>
      </c>
      <c r="CS75">
        <f>CN75*(BK75/10000)^0.72*((A75+1)/3)^0.6*('CAPEX+OPEX'!$G$116/'CAPEX+OPEX'!$G$114)</f>
        <v>847423.79840727116</v>
      </c>
      <c r="CT75">
        <f>CO75*(BK75/10000)^0.72*((A75+1)/3)^0.6*('CAPEX+OPEX'!$G$116/'CAPEX+OPEX'!$G$114)</f>
        <v>2179392.2832288719</v>
      </c>
      <c r="CU75">
        <f>CP75*(BK75/10000)^0.72*((A75+1)/3)^0.6*('CAPEX+OPEX'!$G$116/'CAPEX+OPEX'!$G$114)</f>
        <v>420402.1059283549</v>
      </c>
      <c r="CV75">
        <f>CQ75*(BK75/10000)^0.72*((A75+1)/3)^0.6*('CAPEX+OPEX'!$G$116/'CAPEX+OPEX'!$G$114)</f>
        <v>2602357.3282642425</v>
      </c>
      <c r="CW75">
        <f>CR75*(BK75/10000)^0.72*((A75+1)/3)^0.6*('CAPEX+OPEX'!$G$116/'CAPEX+OPEX'!$G$114)</f>
        <v>307248.71347447456</v>
      </c>
      <c r="CX75">
        <f t="shared" si="32"/>
        <v>6356824.2293032147</v>
      </c>
      <c r="CY75">
        <f>CN75*(BM75/10000)^0.72*((AF75+1)/3)^0.6*('CAPEX+OPEX'!$G$116/'CAPEX+OPEX'!$G$114)</f>
        <v>661085.33546503587</v>
      </c>
      <c r="CZ75">
        <f>CO75*(BM75/10000)^0.72*((AF75+1)/3)^0.6*('CAPEX+OPEX'!$G$116/'CAPEX+OPEX'!$G$114)</f>
        <v>1700169.715998274</v>
      </c>
      <c r="DA75">
        <f>CP75*(BM75/10000)^0.72*((AF75+1)/3)^0.6*('CAPEX+OPEX'!$G$116/'CAPEX+OPEX'!$G$114)</f>
        <v>327960.6588229012</v>
      </c>
      <c r="DB75">
        <f>CQ75*(BM75/10000)^0.72*((AF75+1)/3)^0.6*('CAPEX+OPEX'!$G$116/'CAPEX+OPEX'!$G$114)</f>
        <v>2030129.7539541693</v>
      </c>
      <c r="DC75">
        <f>CR75*(BM75/10000)^0.72*((AF75+1)/3)^0.6*('CAPEX+OPEX'!$G$116/'CAPEX+OPEX'!$G$114)</f>
        <v>239688.35805677422</v>
      </c>
      <c r="DD75">
        <f t="shared" si="33"/>
        <v>4959033.822297154</v>
      </c>
      <c r="DE75">
        <f>CX75+DD75+1.15*(SUM(CI75:CL75)+SUM(CB75:CE75))</f>
        <v>11388066.316227278</v>
      </c>
      <c r="DF75">
        <f t="shared" si="34"/>
        <v>759204.42108181852</v>
      </c>
      <c r="DG75">
        <f>(BS75+BT75)*'Oxidant Feed Composition'!$N$29*60*7200</f>
        <v>9181286.9380623344</v>
      </c>
      <c r="DH75">
        <f>((CG75+CH75)*'Reagent cost'!$C$17/1000*'Reagent cost'!$H$17+(CG75+CH75)*0.5*'Reagent cost'!$C$16/1000*'Reagent cost'!$H$16*0.5)*60*7200</f>
        <v>3108291.4548299625</v>
      </c>
      <c r="DI75">
        <f>CF75*'Reagent cost'!$C$17/1000*'Reagent cost'!$H$17*60*7200</f>
        <v>504921.59999999998</v>
      </c>
      <c r="DJ75">
        <f t="shared" si="35"/>
        <v>81.558526232375058</v>
      </c>
      <c r="DK75">
        <f t="shared" si="36"/>
        <v>806.52771025196637</v>
      </c>
      <c r="DL75">
        <f t="shared" si="37"/>
        <v>15354465.694954537</v>
      </c>
      <c r="DM75">
        <f>BK75*(B75*(409.81+2)/1000+C75*(248.2+2*22.99)/1000+D75*(315.6+3*22.99)/1000+0.1*58.44/1000)</f>
        <v>0.70639694042110623</v>
      </c>
      <c r="DN75">
        <f>(BS75+BT75)/1000*('Oxidant Feed Composition'!$B$11*'Oxidant Feed Composition'!$O$20+'Oxidant Feed Composition'!$D$11*'Oxidant Feed Composition'!$O$21+'Oxidant Feed Composition'!$F$11*'Oxidant Feed Composition'!$O$27-'Oxidant Feed Composition'!$J$15*18.015)</f>
        <v>2.1493160074860529</v>
      </c>
      <c r="DO75">
        <f>(BU75+BV75)/1000*(0.2*368.34+0.4*58.44)</f>
        <v>1.4883407129522206</v>
      </c>
      <c r="DP75">
        <f>BK75/1000*(B75*195.08+C75*106.42+D75*102.91)</f>
        <v>4.999938342565946E-2</v>
      </c>
      <c r="DQ75">
        <f>SUM(DM75:DO75)-DP75</f>
        <v>4.2940542774337196</v>
      </c>
      <c r="DR75">
        <f>DQ75*60*7200*0.33</f>
        <v>612160.37779095117</v>
      </c>
      <c r="DS75">
        <v>1.2</v>
      </c>
      <c r="DT75">
        <f>BM75/60*(AM75*4+AN75*2+AO75*3)*96485/DV75</f>
        <v>1405.7138091362219</v>
      </c>
      <c r="DU75">
        <f>BN75*BA75*(AP75*4+AQ75*2+AR75*3)*96485/DV75/60</f>
        <v>705.97456452228209</v>
      </c>
      <c r="DV75">
        <v>0.7</v>
      </c>
      <c r="DW75">
        <f>0.499*((BK75/3.78541*15)^(-0.146))*BK75/3.78541*15*300*(1+(A75-2)/9)</f>
        <v>46784.46952433938</v>
      </c>
      <c r="DX75">
        <f>0.248*((BK75/3.78541*15)^(-0.144))*BK75/3.78541*15*300*(1+(A75-2)/3)</f>
        <v>45678.708869524045</v>
      </c>
      <c r="DY75">
        <f>0.105*((BK75/3.78541*15)^(-0.144))*BK75/3.78541*15*300*(1+(A75-2)/3)</f>
        <v>19339.775932661389</v>
      </c>
      <c r="DZ75">
        <f>0.058*((BK75/3.78541*15)^(-0.151))*BK75/3.78541*15*300*(1+(A75-2)/3)</f>
        <v>10244.818866671721</v>
      </c>
      <c r="EA75">
        <f>0.056*((BK75/3.78541*15)^(-0.144))*BK75/3.78541*15*300*(1+(A75-2)/3)</f>
        <v>10314.547164086078</v>
      </c>
      <c r="EB75">
        <f>DS75*DT75/(3.6*10^6)*3600*7200*0.07</f>
        <v>850.17571176558715</v>
      </c>
      <c r="EC75">
        <f>0.499*((BM75/3.78541*15)^(-0.146))*BM75/3.78541*15*300*(1+(AF75-2)/9)</f>
        <v>35999.15493710649</v>
      </c>
      <c r="ED75">
        <f>0.248*((BM75/3.78541*15)^(-0.144))*BM75/3.78541*15*300*(1+(AF75-2)/3)</f>
        <v>31035.128233288218</v>
      </c>
      <c r="EE75">
        <f>0.105*((BM75/3.78541*15)^(-0.144))*BM75/3.78541*15*300*(1+(AF75-2)/3)</f>
        <v>13139.872840706705</v>
      </c>
      <c r="EF75">
        <f>0.058*((BM75/3.78541*15)^(-0.151))*BM75/3.78541*15*300*(1+(AF75-2)/3)</f>
        <v>6964.4322469737981</v>
      </c>
      <c r="EG75">
        <f>0.056*((BM75/3.78541*15)^(-0.144))*BM75/3.78541*15*300*(1+(AF75-2)/3)</f>
        <v>7007.9321817102436</v>
      </c>
      <c r="EH75">
        <f>DS75*DU75/(3.6*10^6)*3600*7200*0.07</f>
        <v>426.97341662307616</v>
      </c>
      <c r="EI75">
        <f>SUM(DW75:EH75)</f>
        <v>227785.98992545673</v>
      </c>
      <c r="EJ75">
        <f>EI75+DR75+DL75</f>
        <v>16194412.062670944</v>
      </c>
      <c r="EK75">
        <f>EJ75+DF75</f>
        <v>16953616.483752761</v>
      </c>
      <c r="EL75">
        <f>EK75/(BK75*60*7200)</f>
        <v>0.3924448260127954</v>
      </c>
      <c r="EM75">
        <f>EK75/(BM75*(AM75*195.084/1000+AN75*106.42/1000+AO75*102.911/1000)*60*7200)</f>
        <v>1313.0695872361016</v>
      </c>
      <c r="EN75">
        <f>EK75/(BN75*BA75*(AP75*195.084/1000+AQ75*106.42/1000+AR75*102.911/1000)*60*7200)</f>
        <v>2408.9752349462356</v>
      </c>
    </row>
    <row r="76" spans="1:144">
      <c r="A76">
        <f>'Costing 100 Lmin Feed Orig'!A76</f>
        <v>10</v>
      </c>
      <c r="B76">
        <f>'Costing 100 Lmin Feed Orig'!B76</f>
        <v>1.54143585092054E-3</v>
      </c>
      <c r="C76">
        <f>'Costing 100 Lmin Feed Orig'!C76</f>
        <v>1.54143585092054E-3</v>
      </c>
      <c r="D76">
        <f>'Costing 100 Lmin Feed Orig'!D76</f>
        <v>3.4254130020456501E-4</v>
      </c>
      <c r="E76">
        <f>'Costing 100 Lmin Feed Orig'!E76</f>
        <v>0</v>
      </c>
      <c r="F76">
        <f>'Costing 100 Lmin Feed Orig'!F76</f>
        <v>0</v>
      </c>
      <c r="G76">
        <f>'Costing 100 Lmin Feed Orig'!G76</f>
        <v>0</v>
      </c>
      <c r="H76">
        <f>'Costing 100 Lmin Feed Orig'!H76</f>
        <v>1.7770671970930099E-5</v>
      </c>
      <c r="I76">
        <f>'Costing 100 Lmin Feed Orig'!I76</f>
        <v>5.2649488631162003E-10</v>
      </c>
      <c r="J76">
        <f>'Costing 100 Lmin Feed Orig'!J76</f>
        <v>3.3765279177869602E-4</v>
      </c>
      <c r="K76">
        <f>'Costing 100 Lmin Feed Orig'!K76</f>
        <v>0.139053960209192</v>
      </c>
      <c r="L76">
        <f>'Costing 100 Lmin Feed Orig'!L76</f>
        <v>0.14067571356050099</v>
      </c>
      <c r="M76">
        <f>'Costing 100 Lmin Feed Orig'!M76</f>
        <v>4.4613899794023002E-4</v>
      </c>
      <c r="N76">
        <f>'Costing 100 Lmin Feed Orig'!N76</f>
        <v>-1.6046192152785399E-16</v>
      </c>
      <c r="O76">
        <f>'Costing 100 Lmin Feed Orig'!O76</f>
        <v>-5.9831913729046996E-14</v>
      </c>
      <c r="P76">
        <f>'Costing 100 Lmin Feed Orig'!P76</f>
        <v>-6.6915602833089703E-20</v>
      </c>
      <c r="Q76">
        <f>'Costing 100 Lmin Feed Orig'!Q76</f>
        <v>0.10957366310586</v>
      </c>
      <c r="R76">
        <f>'Costing 100 Lmin Feed Orig'!R76</f>
        <v>98.572870359588904</v>
      </c>
      <c r="S76">
        <f>'Costing 100 Lmin Feed Orig'!S76</f>
        <v>500</v>
      </c>
      <c r="T76">
        <f>'Costing 100 Lmin Feed Orig'!T76</f>
        <v>95</v>
      </c>
      <c r="U76">
        <f>'Costing 100 Lmin Feed Orig'!U76</f>
        <v>1</v>
      </c>
      <c r="V76">
        <f>'Costing 100 Lmin Feed Orig'!V76</f>
        <v>0.1</v>
      </c>
      <c r="W76">
        <f>'Costing 100 Lmin Feed Orig'!W76</f>
        <v>91.262806376555005</v>
      </c>
      <c r="X76" t="str">
        <f>'Costing 100 Lmin Feed Orig'!X76</f>
        <v>ddFc</v>
      </c>
      <c r="Y76">
        <f>'Costing 100 Lmin Feed Orig'!Y76</f>
        <v>1</v>
      </c>
      <c r="Z76">
        <f>'Costing 100 Lmin Feed Orig'!Z76</f>
        <v>0.28318429382522198</v>
      </c>
      <c r="AA76">
        <f>'Costing 100 Lmin Feed Orig'!AA76</f>
        <v>0.56945642916197003</v>
      </c>
      <c r="AB76">
        <f>'Costing 100 Lmin Feed Orig'!AB76</f>
        <v>3.7698628972227502E-3</v>
      </c>
      <c r="AC76">
        <f>'Costing 100 Lmin Feed Orig'!AC76</f>
        <v>1822.2107908876901</v>
      </c>
      <c r="AD76">
        <f>'Costing 100 Lmin Feed Orig'!AD76</f>
        <v>2662.6059073104898</v>
      </c>
      <c r="AE76">
        <f>'Costing 100 Lmin Feed Orig'!AE76</f>
        <v>2401.5030938442701</v>
      </c>
      <c r="AF76">
        <f>'Costing 100 Lmin Feed Orig'!AF76</f>
        <v>8</v>
      </c>
      <c r="AG76">
        <f>'Costing 100 Lmin Feed Orig'!AG76</f>
        <v>1.6497548842793E-3</v>
      </c>
      <c r="AH76">
        <f>'Costing 100 Lmin Feed Orig'!AH76</f>
        <v>1.66899558413707E-3</v>
      </c>
      <c r="AI76">
        <f>'Costing 100 Lmin Feed Orig'!AI76</f>
        <v>5.2930530695573503E-6</v>
      </c>
      <c r="AJ76">
        <f>'Costing 100 Lmin Feed Orig'!AJ76</f>
        <v>0</v>
      </c>
      <c r="AK76">
        <f>'Costing 100 Lmin Feed Orig'!AK76</f>
        <v>0</v>
      </c>
      <c r="AL76">
        <f>'Costing 100 Lmin Feed Orig'!AL76</f>
        <v>0</v>
      </c>
      <c r="AM76">
        <f>'Costing 100 Lmin Feed Orig'!AM76</f>
        <v>1.61275350560018E-3</v>
      </c>
      <c r="AN76">
        <f>'Costing 100 Lmin Feed Orig'!AN76</f>
        <v>7.9623568834895101E-5</v>
      </c>
      <c r="AO76">
        <f>'Costing 100 Lmin Feed Orig'!AO76</f>
        <v>5.2581946177476304E-6</v>
      </c>
      <c r="AP76">
        <f>'Costing 100 Lmin Feed Orig'!AP76</f>
        <v>1.7350904900191701E-3</v>
      </c>
      <c r="AQ76">
        <f>'Costing 100 Lmin Feed Orig'!AQ76</f>
        <v>7.4529770779203794E-2</v>
      </c>
      <c r="AR76">
        <f>'Costing 100 Lmin Feed Orig'!AR76</f>
        <v>1.63460309858261E-6</v>
      </c>
      <c r="AS76">
        <f>'Costing 100 Lmin Feed Orig'!AS76</f>
        <v>5.0504644411898598E-15</v>
      </c>
      <c r="AT76">
        <f>'Costing 100 Lmin Feed Orig'!AT76</f>
        <v>-1.17550023534529E-12</v>
      </c>
      <c r="AU76">
        <f>'Costing 100 Lmin Feed Orig'!AU76</f>
        <v>2.20162391837113E-20</v>
      </c>
      <c r="AV76">
        <f>'Costing 100 Lmin Feed Orig'!AV76</f>
        <v>0.19695449478278201</v>
      </c>
      <c r="AW76">
        <f>'Costing 100 Lmin Feed Orig'!AW76</f>
        <v>99.341430147182905</v>
      </c>
      <c r="AX76">
        <f>'Costing 100 Lmin Feed Orig'!AX76</f>
        <v>500</v>
      </c>
      <c r="AY76">
        <f>'Costing 100 Lmin Feed Orig'!AY76</f>
        <v>95</v>
      </c>
      <c r="AZ76">
        <f>'Costing 100 Lmin Feed Orig'!AZ76</f>
        <v>0.92357064280818002</v>
      </c>
      <c r="BA76">
        <f>'Costing 100 Lmin Feed Orig'!BA76</f>
        <v>0.1</v>
      </c>
      <c r="BB76">
        <f>'Costing 100 Lmin Feed Orig'!BB76</f>
        <v>46.8925902821751</v>
      </c>
      <c r="BC76" t="str">
        <f>'Costing 100 Lmin Feed Orig'!BC76</f>
        <v>coeFc</v>
      </c>
      <c r="BD76">
        <f>'Costing 100 Lmin Feed Orig'!BD76</f>
        <v>1</v>
      </c>
      <c r="BE76">
        <f>'Costing 100 Lmin Feed Orig'!BE76</f>
        <v>1.8775014999999999E-2</v>
      </c>
      <c r="BF76">
        <f>'Costing 100 Lmin Feed Orig'!BF76</f>
        <v>0.10492961100000001</v>
      </c>
      <c r="BG76">
        <f>'Costing 100 Lmin Feed Orig'!BG76</f>
        <v>1.814625E-3</v>
      </c>
      <c r="BH76">
        <f>'Costing 100 Lmin Feed Orig'!BH76</f>
        <v>285.1951444</v>
      </c>
      <c r="BI76">
        <f>'Costing 100 Lmin Feed Orig'!BI76</f>
        <v>2169.8944889999998</v>
      </c>
      <c r="BJ76">
        <f>'Costing 100 Lmin Feed Orig'!BJ76</f>
        <v>866.49409060000005</v>
      </c>
      <c r="BK76">
        <f>'Costing 100 Lmin Feed Orig'!BK76</f>
        <v>100</v>
      </c>
      <c r="BL76">
        <f>'Costing 100 Lmin Feed Orig'!BL76</f>
        <v>10.957366310586</v>
      </c>
      <c r="BM76">
        <f>'Costing 100 Lmin Feed Orig'!BM76</f>
        <v>92.357064280818008</v>
      </c>
      <c r="BN76">
        <f>'Costing 100 Lmin Feed Orig'!BN76</f>
        <v>19.695449478278203</v>
      </c>
      <c r="BO76">
        <f t="shared" si="20"/>
        <v>262.97679145406403</v>
      </c>
      <c r="BP76">
        <f t="shared" si="21"/>
        <v>393.90898956556407</v>
      </c>
      <c r="BQ76">
        <f t="shared" si="22"/>
        <v>26.297679145406406</v>
      </c>
      <c r="BR76">
        <f t="shared" si="23"/>
        <v>39.390898956556413</v>
      </c>
      <c r="BS76">
        <f>1.2*0.5*BL76*V76/'Oxidant Feed Composition'!$N$22</f>
        <v>6.5744197863515996</v>
      </c>
      <c r="BT76">
        <f>1.2*0.5*BN76*BA76/'Oxidant Feed Composition'!$N$22</f>
        <v>11.817269686966922</v>
      </c>
      <c r="BU76">
        <f t="shared" si="24"/>
        <v>5.478683155293</v>
      </c>
      <c r="BV76">
        <f t="shared" si="25"/>
        <v>9.8477247391391014</v>
      </c>
      <c r="BW76">
        <f t="shared" si="26"/>
        <v>86.87838112552501</v>
      </c>
      <c r="BX76">
        <f t="shared" si="19"/>
        <v>35.063572193875203</v>
      </c>
      <c r="BY76">
        <f t="shared" si="27"/>
        <v>206.62886118280801</v>
      </c>
      <c r="BZ76">
        <f t="shared" si="28"/>
        <v>63.025438330490246</v>
      </c>
      <c r="CA76">
        <f t="shared" si="29"/>
        <v>59.086348434834605</v>
      </c>
      <c r="CB76">
        <f>BO76*'Reagent cost'!$G$11*'Reagent cost'!$H$11</f>
        <v>3471.2936471936455</v>
      </c>
      <c r="CC76">
        <f>BP76*'Reagent cost'!$G$11*'Reagent cost'!$H$11</f>
        <v>5199.5986622654455</v>
      </c>
      <c r="CD76">
        <f>BQ76*'Reagent cost'!$C$18/1000*'Reagent cost'!$H$18</f>
        <v>4193.9657747282263</v>
      </c>
      <c r="CE76">
        <f>BR76*'Ligand cost'!$B$56*'Ligand cost'!$J$56</f>
        <v>40104.966613549579</v>
      </c>
      <c r="CF76">
        <f t="shared" si="30"/>
        <v>10</v>
      </c>
      <c r="CG76">
        <f t="shared" si="31"/>
        <v>2.1914732621172002</v>
      </c>
      <c r="CH76">
        <f t="shared" si="31"/>
        <v>3.9390898956556408</v>
      </c>
      <c r="CI76">
        <f>7963.6*(BX76/1000)^0.6*1.7*('CAPEX+OPEX'!$G$116/'CAPEX+OPEX'!$G$115)</f>
        <v>2138.7234102796551</v>
      </c>
      <c r="CJ76">
        <f>7963.6*(BY76/1000)^0.6*1.7*('CAPEX+OPEX'!$G$116/'CAPEX+OPEX'!$G$115)</f>
        <v>6199.4836239091055</v>
      </c>
      <c r="CK76">
        <f>7963.6*(BZ76/1000)^0.6*1.7*('CAPEX+OPEX'!$G$116/'CAPEX+OPEX'!$G$115)</f>
        <v>3040.5381206969964</v>
      </c>
      <c r="CL76">
        <f>7963.6*(CA76/1000)^0.6*1.7*('CAPEX+OPEX'!$G$116/'CAPEX+OPEX'!$G$115)</f>
        <v>2925.049490757392</v>
      </c>
      <c r="CM76">
        <f>'Costing 100 Lmin Feed Orig'!DE76</f>
        <v>39625.826528698344</v>
      </c>
      <c r="CN76">
        <f>'Costing 100 Lmin Feed Orig'!DF76</f>
        <v>4586243.4239371875</v>
      </c>
      <c r="CO76">
        <f>'Costing 100 Lmin Feed Orig'!DG76</f>
        <v>11794834.586807497</v>
      </c>
      <c r="CP76">
        <f>'Costing 100 Lmin Feed Orig'!DH76</f>
        <v>2275209.1661185985</v>
      </c>
      <c r="CQ76">
        <f>'Costing 100 Lmin Feed Orig'!DI76</f>
        <v>14083914.336508472</v>
      </c>
      <c r="CR76">
        <f>'Costing 100 Lmin Feed Orig'!DJ76</f>
        <v>1662824.8986326549</v>
      </c>
      <c r="CS76">
        <f>CN76*(BK76/10000)^0.72*((A76+1)/3)^0.6*('CAPEX+OPEX'!$G$116/'CAPEX+OPEX'!$G$114)</f>
        <v>847423.79840727116</v>
      </c>
      <c r="CT76">
        <f>CO76*(BK76/10000)^0.72*((A76+1)/3)^0.6*('CAPEX+OPEX'!$G$116/'CAPEX+OPEX'!$G$114)</f>
        <v>2179392.2832288719</v>
      </c>
      <c r="CU76">
        <f>CP76*(BK76/10000)^0.72*((A76+1)/3)^0.6*('CAPEX+OPEX'!$G$116/'CAPEX+OPEX'!$G$114)</f>
        <v>420402.1059283549</v>
      </c>
      <c r="CV76">
        <f>CQ76*(BK76/10000)^0.72*((A76+1)/3)^0.6*('CAPEX+OPEX'!$G$116/'CAPEX+OPEX'!$G$114)</f>
        <v>2602357.3282642425</v>
      </c>
      <c r="CW76">
        <f>CR76*(BK76/10000)^0.72*((A76+1)/3)^0.6*('CAPEX+OPEX'!$G$116/'CAPEX+OPEX'!$G$114)</f>
        <v>307248.71347447456</v>
      </c>
      <c r="CX76">
        <f t="shared" si="32"/>
        <v>6356824.2293032147</v>
      </c>
      <c r="CY76">
        <f>CN76*(BM76/10000)^0.72*((AF76+1)/3)^0.6*('CAPEX+OPEX'!$G$116/'CAPEX+OPEX'!$G$114)</f>
        <v>709494.50626692141</v>
      </c>
      <c r="CZ76">
        <f>CO76*(BM76/10000)^0.72*((AF76+1)/3)^0.6*('CAPEX+OPEX'!$G$116/'CAPEX+OPEX'!$G$114)</f>
        <v>1824667.7221687753</v>
      </c>
      <c r="DA76">
        <f>CP76*(BM76/10000)^0.72*((AF76+1)/3)^0.6*('CAPEX+OPEX'!$G$116/'CAPEX+OPEX'!$G$114)</f>
        <v>351976.17194586084</v>
      </c>
      <c r="DB76">
        <f>CQ76*(BM76/10000)^0.72*((AF76+1)/3)^0.6*('CAPEX+OPEX'!$G$116/'CAPEX+OPEX'!$G$114)</f>
        <v>2178789.6814051773</v>
      </c>
      <c r="DC76">
        <f>CR76*(BM76/10000)^0.72*((AF76+1)/3)^0.6*('CAPEX+OPEX'!$G$116/'CAPEX+OPEX'!$G$114)</f>
        <v>257239.97211009727</v>
      </c>
      <c r="DD76">
        <f t="shared" si="33"/>
        <v>5322168.0538968323</v>
      </c>
      <c r="DE76">
        <f>CX76+DD76+1.15*(SUM(CI76:CL76)+SUM(CB76:CE76))</f>
        <v>11756356.945444934</v>
      </c>
      <c r="DF76">
        <f t="shared" si="34"/>
        <v>783757.12969632889</v>
      </c>
      <c r="DG76">
        <f>(BS76+BT76)*'Oxidant Feed Composition'!$N$29*60*7200</f>
        <v>9175088.6115872525</v>
      </c>
      <c r="DH76">
        <f>((CG76+CH76)*'Reagent cost'!$C$17/1000*'Reagent cost'!$H$17+(CG76+CH76)*0.5*'Reagent cost'!$C$16/1000*'Reagent cost'!$H$16*0.5)*60*7200</f>
        <v>3106193.0338409757</v>
      </c>
      <c r="DI76">
        <f>CF76*'Reagent cost'!$C$17/1000*'Reagent cost'!$H$17*60*7200</f>
        <v>504921.59999999998</v>
      </c>
      <c r="DJ76">
        <f t="shared" si="35"/>
        <v>86.708923094590901</v>
      </c>
      <c r="DK76">
        <f t="shared" si="36"/>
        <v>885.97864776555616</v>
      </c>
      <c r="DL76">
        <f t="shared" si="37"/>
        <v>15344611.119598905</v>
      </c>
      <c r="DM76">
        <f>BK76*(B76*(409.81+2)/1000+C76*(248.2+2*22.99)/1000+D76*(315.6+3*22.99)/1000+0.1*58.44/1000)</f>
        <v>0.70639694042110623</v>
      </c>
      <c r="DN76">
        <f>(BS76+BT76)/1000*('Oxidant Feed Composition'!$B$11*'Oxidant Feed Composition'!$O$20+'Oxidant Feed Composition'!$D$11*'Oxidant Feed Composition'!$O$21+'Oxidant Feed Composition'!$F$11*'Oxidant Feed Composition'!$O$27-'Oxidant Feed Composition'!$J$15*18.015)</f>
        <v>2.1478649949643454</v>
      </c>
      <c r="DO76">
        <f>(BU76+BV76)/1000*(0.2*368.34+0.4*58.44)</f>
        <v>1.4873359277072689</v>
      </c>
      <c r="DP76">
        <f>BK76/1000*(B76*195.08+C76*106.42+D76*102.91)</f>
        <v>4.999938342565946E-2</v>
      </c>
      <c r="DQ76">
        <f>SUM(DM76:DO76)-DP76</f>
        <v>4.2915984796670603</v>
      </c>
      <c r="DR76">
        <f>DQ76*60*7200*0.33</f>
        <v>611810.2792613362</v>
      </c>
      <c r="DS76">
        <v>1.2</v>
      </c>
      <c r="DT76">
        <f>BM76/60*(AM76*4+AN76*2+AO76*3)*96485/DV76</f>
        <v>1405.8351729230828</v>
      </c>
      <c r="DU76">
        <f>BN76*BA76*(AP76*4+AQ76*2+AR76*3)*96485/DV76/60</f>
        <v>705.85320127009629</v>
      </c>
      <c r="DV76">
        <v>0.7</v>
      </c>
      <c r="DW76">
        <f>0.499*((BK76/3.78541*15)^(-0.146))*BK76/3.78541*15*300*(1+(A76-2)/9)</f>
        <v>46784.46952433938</v>
      </c>
      <c r="DX76">
        <f>0.248*((BK76/3.78541*15)^(-0.144))*BK76/3.78541*15*300*(1+(A76-2)/3)</f>
        <v>45678.708869524045</v>
      </c>
      <c r="DY76">
        <f>0.105*((BK76/3.78541*15)^(-0.144))*BK76/3.78541*15*300*(1+(A76-2)/3)</f>
        <v>19339.775932661389</v>
      </c>
      <c r="DZ76">
        <f>0.058*((BK76/3.78541*15)^(-0.151))*BK76/3.78541*15*300*(1+(A76-2)/3)</f>
        <v>10244.818866671721</v>
      </c>
      <c r="EA76">
        <f>0.056*((BK76/3.78541*15)^(-0.144))*BK76/3.78541*15*300*(1+(A76-2)/3)</f>
        <v>10314.547164086078</v>
      </c>
      <c r="EB76">
        <f>DS76*DT76/(3.6*10^6)*3600*7200*0.07</f>
        <v>850.24911258388056</v>
      </c>
      <c r="EC76">
        <f>0.499*((BM76/3.78541*15)^(-0.146))*BM76/3.78541*15*300*(1+(AF76-2)/9)</f>
        <v>38570.52314689981</v>
      </c>
      <c r="ED76">
        <f>0.248*((BM76/3.78541*15)^(-0.144))*BM76/3.78541*15*300*(1+(AF76-2)/3)</f>
        <v>34914.519262449241</v>
      </c>
      <c r="EE76">
        <f>0.105*((BM76/3.78541*15)^(-0.144))*BM76/3.78541*15*300*(1+(AF76-2)/3)</f>
        <v>14782.35694579504</v>
      </c>
      <c r="EF76">
        <f>0.058*((BM76/3.78541*15)^(-0.151))*BM76/3.78541*15*300*(1+(AF76-2)/3)</f>
        <v>7834.9862778455226</v>
      </c>
      <c r="EG76">
        <f>0.056*((BM76/3.78541*15)^(-0.144))*BM76/3.78541*15*300*(1+(AF76-2)/3)</f>
        <v>7883.9237044240235</v>
      </c>
      <c r="EH76">
        <f>DS76*DU76/(3.6*10^6)*3600*7200*0.07</f>
        <v>426.90001612815422</v>
      </c>
      <c r="EI76">
        <f>SUM(DW76:EH76)</f>
        <v>237625.77882340824</v>
      </c>
      <c r="EJ76">
        <f>EI76+DR76+DL76</f>
        <v>16194047.17768365</v>
      </c>
      <c r="EK76">
        <f>EJ76+DF76</f>
        <v>16977804.30737998</v>
      </c>
      <c r="EL76">
        <f>EK76/(BK76*60*7200)</f>
        <v>0.39300472933749953</v>
      </c>
      <c r="EM76">
        <f>EK76/(BM76*(AM76*195.084/1000+AN76*106.42/1000+AO76*102.911/1000)*60*7200)</f>
        <v>1314.8293642410879</v>
      </c>
      <c r="EN76">
        <f>EK76/(BN76*BA76*(AP76*195.084/1000+AQ76*106.42/1000+AR76*102.911/1000)*60*7200)</f>
        <v>2412.7945378192944</v>
      </c>
    </row>
    <row r="77" spans="1:144">
      <c r="A77">
        <f>'Costing 100 Lmin Feed Orig'!A77</f>
        <v>10</v>
      </c>
      <c r="B77">
        <f>'Costing 100 Lmin Feed Orig'!B77</f>
        <v>1.54143585092054E-3</v>
      </c>
      <c r="C77">
        <f>'Costing 100 Lmin Feed Orig'!C77</f>
        <v>1.54143585092054E-3</v>
      </c>
      <c r="D77">
        <f>'Costing 100 Lmin Feed Orig'!D77</f>
        <v>3.4254130020456501E-4</v>
      </c>
      <c r="E77">
        <f>'Costing 100 Lmin Feed Orig'!E77</f>
        <v>0</v>
      </c>
      <c r="F77">
        <f>'Costing 100 Lmin Feed Orig'!F77</f>
        <v>0</v>
      </c>
      <c r="G77">
        <f>'Costing 100 Lmin Feed Orig'!G77</f>
        <v>0</v>
      </c>
      <c r="H77">
        <f>'Costing 100 Lmin Feed Orig'!H77</f>
        <v>1.7770671970930099E-5</v>
      </c>
      <c r="I77">
        <f>'Costing 100 Lmin Feed Orig'!I77</f>
        <v>5.2649488631162003E-10</v>
      </c>
      <c r="J77">
        <f>'Costing 100 Lmin Feed Orig'!J77</f>
        <v>3.3765279177869602E-4</v>
      </c>
      <c r="K77">
        <f>'Costing 100 Lmin Feed Orig'!K77</f>
        <v>0.139053960209192</v>
      </c>
      <c r="L77">
        <f>'Costing 100 Lmin Feed Orig'!L77</f>
        <v>0.14067571356050099</v>
      </c>
      <c r="M77">
        <f>'Costing 100 Lmin Feed Orig'!M77</f>
        <v>4.4613899794023002E-4</v>
      </c>
      <c r="N77">
        <f>'Costing 100 Lmin Feed Orig'!N77</f>
        <v>-1.6046192152785399E-16</v>
      </c>
      <c r="O77">
        <f>'Costing 100 Lmin Feed Orig'!O77</f>
        <v>-5.9831913729046996E-14</v>
      </c>
      <c r="P77">
        <f>'Costing 100 Lmin Feed Orig'!P77</f>
        <v>-6.6915602833089703E-20</v>
      </c>
      <c r="Q77">
        <f>'Costing 100 Lmin Feed Orig'!Q77</f>
        <v>0.10957366310586</v>
      </c>
      <c r="R77">
        <f>'Costing 100 Lmin Feed Orig'!R77</f>
        <v>98.572870359588904</v>
      </c>
      <c r="S77">
        <f>'Costing 100 Lmin Feed Orig'!S77</f>
        <v>500</v>
      </c>
      <c r="T77">
        <f>'Costing 100 Lmin Feed Orig'!T77</f>
        <v>95</v>
      </c>
      <c r="U77">
        <f>'Costing 100 Lmin Feed Orig'!U77</f>
        <v>1</v>
      </c>
      <c r="V77">
        <f>'Costing 100 Lmin Feed Orig'!V77</f>
        <v>0.1</v>
      </c>
      <c r="W77">
        <f>'Costing 100 Lmin Feed Orig'!W77</f>
        <v>91.262806376555005</v>
      </c>
      <c r="X77" t="str">
        <f>'Costing 100 Lmin Feed Orig'!X77</f>
        <v>ddFc</v>
      </c>
      <c r="Y77">
        <f>'Costing 100 Lmin Feed Orig'!Y77</f>
        <v>1</v>
      </c>
      <c r="Z77">
        <f>'Costing 100 Lmin Feed Orig'!Z77</f>
        <v>0.28318429382522198</v>
      </c>
      <c r="AA77">
        <f>'Costing 100 Lmin Feed Orig'!AA77</f>
        <v>0.56945642916197003</v>
      </c>
      <c r="AB77">
        <f>'Costing 100 Lmin Feed Orig'!AB77</f>
        <v>3.7698628972227502E-3</v>
      </c>
      <c r="AC77">
        <f>'Costing 100 Lmin Feed Orig'!AC77</f>
        <v>1822.2107908876901</v>
      </c>
      <c r="AD77">
        <f>'Costing 100 Lmin Feed Orig'!AD77</f>
        <v>2662.6059073104898</v>
      </c>
      <c r="AE77">
        <f>'Costing 100 Lmin Feed Orig'!AE77</f>
        <v>2401.5030938442701</v>
      </c>
      <c r="AF77">
        <f>'Costing 100 Lmin Feed Orig'!AF77</f>
        <v>9</v>
      </c>
      <c r="AG77">
        <f>'Costing 100 Lmin Feed Orig'!AG77</f>
        <v>1.6497548842793E-3</v>
      </c>
      <c r="AH77">
        <f>'Costing 100 Lmin Feed Orig'!AH77</f>
        <v>1.66899558413707E-3</v>
      </c>
      <c r="AI77">
        <f>'Costing 100 Lmin Feed Orig'!AI77</f>
        <v>5.2930530695573503E-6</v>
      </c>
      <c r="AJ77">
        <f>'Costing 100 Lmin Feed Orig'!AJ77</f>
        <v>0</v>
      </c>
      <c r="AK77">
        <f>'Costing 100 Lmin Feed Orig'!AK77</f>
        <v>0</v>
      </c>
      <c r="AL77">
        <f>'Costing 100 Lmin Feed Orig'!AL77</f>
        <v>0</v>
      </c>
      <c r="AM77">
        <f>'Costing 100 Lmin Feed Orig'!AM77</f>
        <v>1.6127928524710801E-3</v>
      </c>
      <c r="AN77">
        <f>'Costing 100 Lmin Feed Orig'!AN77</f>
        <v>7.9625604160899597E-5</v>
      </c>
      <c r="AO77">
        <f>'Costing 100 Lmin Feed Orig'!AO77</f>
        <v>5.2582301473474496E-6</v>
      </c>
      <c r="AP77">
        <f>'Costing 100 Lmin Feed Orig'!AP77</f>
        <v>1.73376028278021E-3</v>
      </c>
      <c r="AQ77">
        <f>'Costing 100 Lmin Feed Orig'!AQ77</f>
        <v>7.4551814690152901E-2</v>
      </c>
      <c r="AR77">
        <f>'Costing 100 Lmin Feed Orig'!AR77</f>
        <v>1.6334220957110999E-6</v>
      </c>
      <c r="AS77">
        <f>'Costing 100 Lmin Feed Orig'!AS77</f>
        <v>3.7072938035426199E-17</v>
      </c>
      <c r="AT77">
        <f>'Costing 100 Lmin Feed Orig'!AT77</f>
        <v>-4.8554910092590799E-15</v>
      </c>
      <c r="AU77">
        <f>'Costing 100 Lmin Feed Orig'!AU77</f>
        <v>-3.3748968992163501E-22</v>
      </c>
      <c r="AV77">
        <f>'Costing 100 Lmin Feed Orig'!AV77</f>
        <v>0.19689600584133801</v>
      </c>
      <c r="AW77">
        <f>'Costing 100 Lmin Feed Orig'!AW77</f>
        <v>99.342101396825598</v>
      </c>
      <c r="AX77">
        <f>'Costing 100 Lmin Feed Orig'!AX77</f>
        <v>500</v>
      </c>
      <c r="AY77">
        <f>'Costing 100 Lmin Feed Orig'!AY77</f>
        <v>95</v>
      </c>
      <c r="AZ77">
        <f>'Costing 100 Lmin Feed Orig'!AZ77</f>
        <v>0.92357064280818002</v>
      </c>
      <c r="BA77">
        <f>'Costing 100 Lmin Feed Orig'!BA77</f>
        <v>0.1</v>
      </c>
      <c r="BB77">
        <f>'Costing 100 Lmin Feed Orig'!BB77</f>
        <v>46.906519960207</v>
      </c>
      <c r="BC77" t="str">
        <f>'Costing 100 Lmin Feed Orig'!BC77</f>
        <v>coeFc</v>
      </c>
      <c r="BD77">
        <f>'Costing 100 Lmin Feed Orig'!BD77</f>
        <v>1</v>
      </c>
      <c r="BE77">
        <f>'Costing 100 Lmin Feed Orig'!BE77</f>
        <v>1.8775014999999999E-2</v>
      </c>
      <c r="BF77">
        <f>'Costing 100 Lmin Feed Orig'!BF77</f>
        <v>0.10492961100000001</v>
      </c>
      <c r="BG77">
        <f>'Costing 100 Lmin Feed Orig'!BG77</f>
        <v>1.814625E-3</v>
      </c>
      <c r="BH77">
        <f>'Costing 100 Lmin Feed Orig'!BH77</f>
        <v>285.1951444</v>
      </c>
      <c r="BI77">
        <f>'Costing 100 Lmin Feed Orig'!BI77</f>
        <v>2169.8944889999998</v>
      </c>
      <c r="BJ77">
        <f>'Costing 100 Lmin Feed Orig'!BJ77</f>
        <v>866.49409060000005</v>
      </c>
      <c r="BK77">
        <f>'Costing 100 Lmin Feed Orig'!BK77</f>
        <v>100</v>
      </c>
      <c r="BL77">
        <f>'Costing 100 Lmin Feed Orig'!BL77</f>
        <v>10.957366310586</v>
      </c>
      <c r="BM77">
        <f>'Costing 100 Lmin Feed Orig'!BM77</f>
        <v>92.357064280818008</v>
      </c>
      <c r="BN77">
        <f>'Costing 100 Lmin Feed Orig'!BN77</f>
        <v>19.6896005841338</v>
      </c>
      <c r="BO77">
        <f t="shared" si="20"/>
        <v>262.97679145406403</v>
      </c>
      <c r="BP77">
        <f t="shared" si="21"/>
        <v>433.17121285094356</v>
      </c>
      <c r="BQ77">
        <f t="shared" si="22"/>
        <v>26.297679145406406</v>
      </c>
      <c r="BR77">
        <f t="shared" si="23"/>
        <v>43.317121285094359</v>
      </c>
      <c r="BS77">
        <f>1.2*0.5*BL77*V77/'Oxidant Feed Composition'!$N$22</f>
        <v>6.5744197863515996</v>
      </c>
      <c r="BT77">
        <f>1.2*0.5*BN77*BA77/'Oxidant Feed Composition'!$N$22</f>
        <v>11.81376035048028</v>
      </c>
      <c r="BU77">
        <f t="shared" si="24"/>
        <v>5.478683155293</v>
      </c>
      <c r="BV77">
        <f t="shared" si="25"/>
        <v>9.8448002920668998</v>
      </c>
      <c r="BW77">
        <f t="shared" si="26"/>
        <v>86.87838112552501</v>
      </c>
      <c r="BX77">
        <f t="shared" si="19"/>
        <v>35.063572193875203</v>
      </c>
      <c r="BY77">
        <f t="shared" si="27"/>
        <v>206.62886118280801</v>
      </c>
      <c r="BZ77">
        <f t="shared" si="28"/>
        <v>63.006721869228159</v>
      </c>
      <c r="CA77">
        <f t="shared" si="29"/>
        <v>59.068801752401399</v>
      </c>
      <c r="CB77">
        <f>BO77*'Reagent cost'!$G$11*'Reagent cost'!$H$11</f>
        <v>3471.2936471936455</v>
      </c>
      <c r="CC77">
        <f>BP77*'Reagent cost'!$G$11*'Reagent cost'!$H$11</f>
        <v>5717.8600096324553</v>
      </c>
      <c r="CD77">
        <f>BQ77*'Reagent cost'!$C$18/1000*'Reagent cost'!$H$18</f>
        <v>4193.9657747282263</v>
      </c>
      <c r="CE77">
        <f>BR77*'Ligand cost'!$B$56*'Ligand cost'!$J$56</f>
        <v>44102.36244797946</v>
      </c>
      <c r="CF77">
        <f t="shared" si="30"/>
        <v>10</v>
      </c>
      <c r="CG77">
        <f t="shared" si="31"/>
        <v>2.1914732621172002</v>
      </c>
      <c r="CH77">
        <f t="shared" si="31"/>
        <v>3.9379201168267599</v>
      </c>
      <c r="CI77">
        <f>7963.6*(BX77/1000)^0.6*1.7*('CAPEX+OPEX'!$G$116/'CAPEX+OPEX'!$G$115)</f>
        <v>2138.7234102796551</v>
      </c>
      <c r="CJ77">
        <f>7963.6*(BY77/1000)^0.6*1.7*('CAPEX+OPEX'!$G$116/'CAPEX+OPEX'!$G$115)</f>
        <v>6199.4836239091055</v>
      </c>
      <c r="CK77">
        <f>7963.6*(BZ77/1000)^0.6*1.7*('CAPEX+OPEX'!$G$116/'CAPEX+OPEX'!$G$115)</f>
        <v>3039.9963252325761</v>
      </c>
      <c r="CL77">
        <f>7963.6*(CA77/1000)^0.6*1.7*('CAPEX+OPEX'!$G$116/'CAPEX+OPEX'!$G$115)</f>
        <v>2924.5282742870195</v>
      </c>
      <c r="CM77">
        <f>'Costing 100 Lmin Feed Orig'!DE77</f>
        <v>39625.826528698344</v>
      </c>
      <c r="CN77">
        <f>'Costing 100 Lmin Feed Orig'!DF77</f>
        <v>4586243.4239371875</v>
      </c>
      <c r="CO77">
        <f>'Costing 100 Lmin Feed Orig'!DG77</f>
        <v>11794834.586807497</v>
      </c>
      <c r="CP77">
        <f>'Costing 100 Lmin Feed Orig'!DH77</f>
        <v>2275209.1661185985</v>
      </c>
      <c r="CQ77">
        <f>'Costing 100 Lmin Feed Orig'!DI77</f>
        <v>14083914.336508472</v>
      </c>
      <c r="CR77">
        <f>'Costing 100 Lmin Feed Orig'!DJ77</f>
        <v>1662824.8986326549</v>
      </c>
      <c r="CS77">
        <f>CN77*(BK77/10000)^0.72*((A77+1)/3)^0.6*('CAPEX+OPEX'!$G$116/'CAPEX+OPEX'!$G$114)</f>
        <v>847423.79840727116</v>
      </c>
      <c r="CT77">
        <f>CO77*(BK77/10000)^0.72*((A77+1)/3)^0.6*('CAPEX+OPEX'!$G$116/'CAPEX+OPEX'!$G$114)</f>
        <v>2179392.2832288719</v>
      </c>
      <c r="CU77">
        <f>CP77*(BK77/10000)^0.72*((A77+1)/3)^0.6*('CAPEX+OPEX'!$G$116/'CAPEX+OPEX'!$G$114)</f>
        <v>420402.1059283549</v>
      </c>
      <c r="CV77">
        <f>CQ77*(BK77/10000)^0.72*((A77+1)/3)^0.6*('CAPEX+OPEX'!$G$116/'CAPEX+OPEX'!$G$114)</f>
        <v>2602357.3282642425</v>
      </c>
      <c r="CW77">
        <f>CR77*(BK77/10000)^0.72*((A77+1)/3)^0.6*('CAPEX+OPEX'!$G$116/'CAPEX+OPEX'!$G$114)</f>
        <v>307248.71347447456</v>
      </c>
      <c r="CX77">
        <f t="shared" si="32"/>
        <v>6356824.2293032147</v>
      </c>
      <c r="CY77">
        <f>CN77*(BM77/10000)^0.72*((AF77+1)/3)^0.6*('CAPEX+OPEX'!$G$116/'CAPEX+OPEX'!$G$114)</f>
        <v>755794.15915808035</v>
      </c>
      <c r="CZ77">
        <f>CO77*(BM77/10000)^0.72*((AF77+1)/3)^0.6*('CAPEX+OPEX'!$G$116/'CAPEX+OPEX'!$G$114)</f>
        <v>1943740.5006496462</v>
      </c>
      <c r="DA77">
        <f>CP77*(BM77/10000)^0.72*((AF77+1)/3)^0.6*('CAPEX+OPEX'!$G$116/'CAPEX+OPEX'!$G$114)</f>
        <v>374945.16528281744</v>
      </c>
      <c r="DB77">
        <f>CQ77*(BM77/10000)^0.72*((AF77+1)/3)^0.6*('CAPEX+OPEX'!$G$116/'CAPEX+OPEX'!$G$114)</f>
        <v>2320971.4813780542</v>
      </c>
      <c r="DC77">
        <f>CR77*(BM77/10000)^0.72*((AF77+1)/3)^0.6*('CAPEX+OPEX'!$G$116/'CAPEX+OPEX'!$G$114)</f>
        <v>274026.74256882182</v>
      </c>
      <c r="DD77">
        <f t="shared" si="33"/>
        <v>5669478.0490374202</v>
      </c>
      <c r="DE77">
        <f>CX77+DD77+1.15*(SUM(CI77:CL77)+SUM(CB77:CE77))</f>
        <v>12108858.723880863</v>
      </c>
      <c r="DF77">
        <f t="shared" si="34"/>
        <v>807257.24825872423</v>
      </c>
      <c r="DG77">
        <f>(BS77+BT77)*'Oxidant Feed Composition'!$N$29*60*7200</f>
        <v>9173337.9038407169</v>
      </c>
      <c r="DH77">
        <f>((CG77+CH77)*'Reagent cost'!$C$17/1000*'Reagent cost'!$H$17+(CG77+CH77)*0.5*'Reagent cost'!$C$16/1000*'Reagent cost'!$H$16*0.5)*60*7200</f>
        <v>3105600.3380712895</v>
      </c>
      <c r="DI77">
        <f>CF77*'Reagent cost'!$C$17/1000*'Reagent cost'!$H$17*60*7200</f>
        <v>504921.59999999998</v>
      </c>
      <c r="DJ77">
        <f t="shared" si="35"/>
        <v>91.891536568261003</v>
      </c>
      <c r="DK77">
        <f t="shared" si="36"/>
        <v>965.92656445415378</v>
      </c>
      <c r="DL77">
        <f t="shared" si="37"/>
        <v>15341901.192015635</v>
      </c>
      <c r="DM77">
        <f>BK77*(B77*(409.81+2)/1000+C77*(248.2+2*22.99)/1000+D77*(315.6+3*22.99)/1000+0.1*58.44/1000)</f>
        <v>0.70639694042110623</v>
      </c>
      <c r="DN77">
        <f>(BS77+BT77)/1000*('Oxidant Feed Composition'!$B$11*'Oxidant Feed Composition'!$O$20+'Oxidant Feed Composition'!$D$11*'Oxidant Feed Composition'!$O$21+'Oxidant Feed Composition'!$F$11*'Oxidant Feed Composition'!$O$27-'Oxidant Feed Composition'!$J$15*18.015)</f>
        <v>2.1474551587170474</v>
      </c>
      <c r="DO77">
        <f>(BU77+BV77)/1000*(0.2*368.34+0.4*58.44)</f>
        <v>1.4870521276655941</v>
      </c>
      <c r="DP77">
        <f>BK77/1000*(B77*195.08+C77*106.42+D77*102.91)</f>
        <v>4.999938342565946E-2</v>
      </c>
      <c r="DQ77">
        <f>SUM(DM77:DO77)-DP77</f>
        <v>4.2909048433780876</v>
      </c>
      <c r="DR77">
        <f>DQ77*60*7200*0.33</f>
        <v>611711.39447198017</v>
      </c>
      <c r="DS77">
        <v>1.2</v>
      </c>
      <c r="DT77">
        <f>BM77/60*(AM77*4+AN77*2+AO77*3)*96485/DV77</f>
        <v>1405.8694518465684</v>
      </c>
      <c r="DU77">
        <f>BN77*BA77*(AP77*4+AQ77*2+AR77*3)*96485/DV77/60</f>
        <v>705.8189218133607</v>
      </c>
      <c r="DV77">
        <v>0.7</v>
      </c>
      <c r="DW77">
        <f>0.499*((BK77/3.78541*15)^(-0.146))*BK77/3.78541*15*300*(1+(A77-2)/9)</f>
        <v>46784.46952433938</v>
      </c>
      <c r="DX77">
        <f>0.248*((BK77/3.78541*15)^(-0.144))*BK77/3.78541*15*300*(1+(A77-2)/3)</f>
        <v>45678.708869524045</v>
      </c>
      <c r="DY77">
        <f>0.105*((BK77/3.78541*15)^(-0.144))*BK77/3.78541*15*300*(1+(A77-2)/3)</f>
        <v>19339.775932661389</v>
      </c>
      <c r="DZ77">
        <f>0.058*((BK77/3.78541*15)^(-0.151))*BK77/3.78541*15*300*(1+(A77-2)/3)</f>
        <v>10244.818866671721</v>
      </c>
      <c r="EA77">
        <f>0.056*((BK77/3.78541*15)^(-0.144))*BK77/3.78541*15*300*(1+(A77-2)/3)</f>
        <v>10314.547164086078</v>
      </c>
      <c r="EB77">
        <f>DS77*DT77/(3.6*10^6)*3600*7200*0.07</f>
        <v>850.26984447680456</v>
      </c>
      <c r="EC77">
        <f>0.499*((BM77/3.78541*15)^(-0.146))*BM77/3.78541*15*300*(1+(AF77-2)/9)</f>
        <v>41141.89135669313</v>
      </c>
      <c r="ED77">
        <f>0.248*((BM77/3.78541*15)^(-0.144))*BM77/3.78541*15*300*(1+(AF77-2)/3)</f>
        <v>38793.910291610271</v>
      </c>
      <c r="EE77">
        <f>0.105*((BM77/3.78541*15)^(-0.144))*BM77/3.78541*15*300*(1+(AF77-2)/3)</f>
        <v>16424.84105088338</v>
      </c>
      <c r="EF77">
        <f>0.058*((BM77/3.78541*15)^(-0.151))*BM77/3.78541*15*300*(1+(AF77-2)/3)</f>
        <v>8705.5403087172472</v>
      </c>
      <c r="EG77">
        <f>0.056*((BM77/3.78541*15)^(-0.144))*BM77/3.78541*15*300*(1+(AF77-2)/3)</f>
        <v>8759.9152271378043</v>
      </c>
      <c r="EH77">
        <f>DS77*DU77/(3.6*10^6)*3600*7200*0.07</f>
        <v>426.87928391272061</v>
      </c>
      <c r="EI77">
        <f>SUM(DW77:EH77)</f>
        <v>247465.56772071397</v>
      </c>
      <c r="EJ77">
        <f>EI77+DR77+DL77</f>
        <v>16201078.154208329</v>
      </c>
      <c r="EK77">
        <f>EJ77+DF77</f>
        <v>17008335.402467053</v>
      </c>
      <c r="EL77">
        <f>EK77/(BK77*60*7200)</f>
        <v>0.39371146764970033</v>
      </c>
      <c r="EM77">
        <f>EK77/(BM77*(AM77*195.084/1000+AN77*106.42/1000+AO77*102.911/1000)*60*7200)</f>
        <v>1317.1616783541672</v>
      </c>
      <c r="EN77">
        <f>EK77/(BN77*BA77*(AP77*195.084/1000+AQ77*106.42/1000+AR77*102.911/1000)*60*7200)</f>
        <v>2417.2416810574232</v>
      </c>
    </row>
    <row r="78" spans="1:144">
      <c r="A78">
        <f>'Costing 100 Lmin Feed Orig'!A78</f>
        <v>10</v>
      </c>
      <c r="B78">
        <f>'Costing 100 Lmin Feed Orig'!B78</f>
        <v>1.54143585092054E-3</v>
      </c>
      <c r="C78">
        <f>'Costing 100 Lmin Feed Orig'!C78</f>
        <v>1.54143585092054E-3</v>
      </c>
      <c r="D78">
        <f>'Costing 100 Lmin Feed Orig'!D78</f>
        <v>3.4254130020456501E-4</v>
      </c>
      <c r="E78">
        <f>'Costing 100 Lmin Feed Orig'!E78</f>
        <v>0</v>
      </c>
      <c r="F78">
        <f>'Costing 100 Lmin Feed Orig'!F78</f>
        <v>0</v>
      </c>
      <c r="G78">
        <f>'Costing 100 Lmin Feed Orig'!G78</f>
        <v>0</v>
      </c>
      <c r="H78">
        <f>'Costing 100 Lmin Feed Orig'!H78</f>
        <v>1.7770671970930099E-5</v>
      </c>
      <c r="I78">
        <f>'Costing 100 Lmin Feed Orig'!I78</f>
        <v>5.2649488631162003E-10</v>
      </c>
      <c r="J78">
        <f>'Costing 100 Lmin Feed Orig'!J78</f>
        <v>3.3765279177869602E-4</v>
      </c>
      <c r="K78">
        <f>'Costing 100 Lmin Feed Orig'!K78</f>
        <v>0.139053960209192</v>
      </c>
      <c r="L78">
        <f>'Costing 100 Lmin Feed Orig'!L78</f>
        <v>0.14067571356050099</v>
      </c>
      <c r="M78">
        <f>'Costing 100 Lmin Feed Orig'!M78</f>
        <v>4.4613899794023002E-4</v>
      </c>
      <c r="N78">
        <f>'Costing 100 Lmin Feed Orig'!N78</f>
        <v>-1.6046192152785399E-16</v>
      </c>
      <c r="O78">
        <f>'Costing 100 Lmin Feed Orig'!O78</f>
        <v>-5.9831913729046996E-14</v>
      </c>
      <c r="P78">
        <f>'Costing 100 Lmin Feed Orig'!P78</f>
        <v>-6.6915602833089703E-20</v>
      </c>
      <c r="Q78">
        <f>'Costing 100 Lmin Feed Orig'!Q78</f>
        <v>0.10957366310586</v>
      </c>
      <c r="R78">
        <f>'Costing 100 Lmin Feed Orig'!R78</f>
        <v>98.572870359588904</v>
      </c>
      <c r="S78">
        <f>'Costing 100 Lmin Feed Orig'!S78</f>
        <v>500</v>
      </c>
      <c r="T78">
        <f>'Costing 100 Lmin Feed Orig'!T78</f>
        <v>95</v>
      </c>
      <c r="U78">
        <f>'Costing 100 Lmin Feed Orig'!U78</f>
        <v>1</v>
      </c>
      <c r="V78">
        <f>'Costing 100 Lmin Feed Orig'!V78</f>
        <v>0.1</v>
      </c>
      <c r="W78">
        <f>'Costing 100 Lmin Feed Orig'!W78</f>
        <v>91.262806376555005</v>
      </c>
      <c r="X78" t="str">
        <f>'Costing 100 Lmin Feed Orig'!X78</f>
        <v>ddFc</v>
      </c>
      <c r="Y78">
        <f>'Costing 100 Lmin Feed Orig'!Y78</f>
        <v>1</v>
      </c>
      <c r="Z78">
        <f>'Costing 100 Lmin Feed Orig'!Z78</f>
        <v>0.28318429382522198</v>
      </c>
      <c r="AA78">
        <f>'Costing 100 Lmin Feed Orig'!AA78</f>
        <v>0.56945642916197003</v>
      </c>
      <c r="AB78">
        <f>'Costing 100 Lmin Feed Orig'!AB78</f>
        <v>3.7698628972227502E-3</v>
      </c>
      <c r="AC78">
        <f>'Costing 100 Lmin Feed Orig'!AC78</f>
        <v>1822.2107908876901</v>
      </c>
      <c r="AD78">
        <f>'Costing 100 Lmin Feed Orig'!AD78</f>
        <v>2662.6059073104898</v>
      </c>
      <c r="AE78">
        <f>'Costing 100 Lmin Feed Orig'!AE78</f>
        <v>2401.5030938442701</v>
      </c>
      <c r="AF78">
        <f>'Costing 100 Lmin Feed Orig'!AF78</f>
        <v>10</v>
      </c>
      <c r="AG78">
        <f>'Costing 100 Lmin Feed Orig'!AG78</f>
        <v>1.6497548842793E-3</v>
      </c>
      <c r="AH78">
        <f>'Costing 100 Lmin Feed Orig'!AH78</f>
        <v>1.66899558413707E-3</v>
      </c>
      <c r="AI78">
        <f>'Costing 100 Lmin Feed Orig'!AI78</f>
        <v>5.2930530695573503E-6</v>
      </c>
      <c r="AJ78">
        <f>'Costing 100 Lmin Feed Orig'!AJ78</f>
        <v>0</v>
      </c>
      <c r="AK78">
        <f>'Costing 100 Lmin Feed Orig'!AK78</f>
        <v>0</v>
      </c>
      <c r="AL78">
        <f>'Costing 100 Lmin Feed Orig'!AL78</f>
        <v>0</v>
      </c>
      <c r="AM78">
        <f>'Costing 100 Lmin Feed Orig'!AM78</f>
        <v>1.612803928521E-3</v>
      </c>
      <c r="AN78">
        <f>'Costing 100 Lmin Feed Orig'!AN78</f>
        <v>7.96261771409158E-5</v>
      </c>
      <c r="AO78">
        <f>'Costing 100 Lmin Feed Orig'!AO78</f>
        <v>5.2582401488513497E-6</v>
      </c>
      <c r="AP78">
        <f>'Costing 100 Lmin Feed Orig'!AP78</f>
        <v>1.7333856890078599E-3</v>
      </c>
      <c r="AQ78">
        <f>'Costing 100 Lmin Feed Orig'!AQ78</f>
        <v>7.4558022378498803E-2</v>
      </c>
      <c r="AR78">
        <f>'Costing 100 Lmin Feed Orig'!AR78</f>
        <v>1.6330895187087101E-6</v>
      </c>
      <c r="AS78">
        <f>'Costing 100 Lmin Feed Orig'!AS78</f>
        <v>6.1817751980698602E-15</v>
      </c>
      <c r="AT78">
        <f>'Costing 100 Lmin Feed Orig'!AT78</f>
        <v>-6.4017497899970799E-13</v>
      </c>
      <c r="AU78">
        <f>'Costing 100 Lmin Feed Orig'!AU78</f>
        <v>5.9603326218120902E-20</v>
      </c>
      <c r="AV78">
        <f>'Costing 100 Lmin Feed Orig'!AV78</f>
        <v>0.196879541421767</v>
      </c>
      <c r="AW78">
        <f>'Costing 100 Lmin Feed Orig'!AW78</f>
        <v>99.342290352117899</v>
      </c>
      <c r="AX78">
        <f>'Costing 100 Lmin Feed Orig'!AX78</f>
        <v>500</v>
      </c>
      <c r="AY78">
        <f>'Costing 100 Lmin Feed Orig'!AY78</f>
        <v>95</v>
      </c>
      <c r="AZ78">
        <f>'Costing 100 Lmin Feed Orig'!AZ78</f>
        <v>0.92357064280818002</v>
      </c>
      <c r="BA78">
        <f>'Costing 100 Lmin Feed Orig'!BA78</f>
        <v>0.1</v>
      </c>
      <c r="BB78">
        <f>'Costing 100 Lmin Feed Orig'!BB78</f>
        <v>46.910442605595598</v>
      </c>
      <c r="BC78" t="str">
        <f>'Costing 100 Lmin Feed Orig'!BC78</f>
        <v>coeFc</v>
      </c>
      <c r="BD78">
        <f>'Costing 100 Lmin Feed Orig'!BD78</f>
        <v>1</v>
      </c>
      <c r="BE78">
        <f>'Costing 100 Lmin Feed Orig'!BE78</f>
        <v>1.8775014999999999E-2</v>
      </c>
      <c r="BF78">
        <f>'Costing 100 Lmin Feed Orig'!BF78</f>
        <v>0.10492961100000001</v>
      </c>
      <c r="BG78">
        <f>'Costing 100 Lmin Feed Orig'!BG78</f>
        <v>1.814625E-3</v>
      </c>
      <c r="BH78">
        <f>'Costing 100 Lmin Feed Orig'!BH78</f>
        <v>285.1951444</v>
      </c>
      <c r="BI78">
        <f>'Costing 100 Lmin Feed Orig'!BI78</f>
        <v>2169.8944889999998</v>
      </c>
      <c r="BJ78">
        <f>'Costing 100 Lmin Feed Orig'!BJ78</f>
        <v>866.49409060000005</v>
      </c>
      <c r="BK78">
        <f>'Costing 100 Lmin Feed Orig'!BK78</f>
        <v>100</v>
      </c>
      <c r="BL78">
        <f>'Costing 100 Lmin Feed Orig'!BL78</f>
        <v>10.957366310586</v>
      </c>
      <c r="BM78">
        <f>'Costing 100 Lmin Feed Orig'!BM78</f>
        <v>92.357064280818008</v>
      </c>
      <c r="BN78">
        <f>'Costing 100 Lmin Feed Orig'!BN78</f>
        <v>19.6879541421767</v>
      </c>
      <c r="BO78">
        <f t="shared" si="20"/>
        <v>262.97679145406403</v>
      </c>
      <c r="BP78">
        <f t="shared" si="21"/>
        <v>472.5108994122408</v>
      </c>
      <c r="BQ78">
        <f t="shared" si="22"/>
        <v>26.297679145406406</v>
      </c>
      <c r="BR78">
        <f t="shared" si="23"/>
        <v>47.25108994122408</v>
      </c>
      <c r="BS78">
        <f>1.2*0.5*BL78*V78/'Oxidant Feed Composition'!$N$22</f>
        <v>6.5744197863515996</v>
      </c>
      <c r="BT78">
        <f>1.2*0.5*BN78*BA78/'Oxidant Feed Composition'!$N$22</f>
        <v>11.81277248530602</v>
      </c>
      <c r="BU78">
        <f t="shared" si="24"/>
        <v>5.478683155293</v>
      </c>
      <c r="BV78">
        <f t="shared" si="25"/>
        <v>9.8439770710883501</v>
      </c>
      <c r="BW78">
        <f t="shared" si="26"/>
        <v>86.87838112552501</v>
      </c>
      <c r="BX78">
        <f t="shared" si="19"/>
        <v>35.063572193875203</v>
      </c>
      <c r="BY78">
        <f t="shared" si="27"/>
        <v>206.62886118280801</v>
      </c>
      <c r="BZ78">
        <f t="shared" si="28"/>
        <v>63.00145325496544</v>
      </c>
      <c r="CA78">
        <f t="shared" si="29"/>
        <v>59.0638624265301</v>
      </c>
      <c r="CB78">
        <f>BO78*'Reagent cost'!$G$11*'Reagent cost'!$H$11</f>
        <v>3471.2936471936455</v>
      </c>
      <c r="CC78">
        <f>BP78*'Reagent cost'!$G$11*'Reagent cost'!$H$11</f>
        <v>6237.1438722415787</v>
      </c>
      <c r="CD78">
        <f>BQ78*'Reagent cost'!$C$18/1000*'Reagent cost'!$H$18</f>
        <v>4193.9657747282263</v>
      </c>
      <c r="CE78">
        <f>BR78*'Ligand cost'!$B$56*'Ligand cost'!$J$56</f>
        <v>48107.645033351197</v>
      </c>
      <c r="CF78">
        <f t="shared" si="30"/>
        <v>10</v>
      </c>
      <c r="CG78">
        <f t="shared" si="31"/>
        <v>2.1914732621172002</v>
      </c>
      <c r="CH78">
        <f t="shared" si="31"/>
        <v>3.93759082843534</v>
      </c>
      <c r="CI78">
        <f>7963.6*(BX78/1000)^0.6*1.7*('CAPEX+OPEX'!$G$116/'CAPEX+OPEX'!$G$115)</f>
        <v>2138.7234102796551</v>
      </c>
      <c r="CJ78">
        <f>7963.6*(BY78/1000)^0.6*1.7*('CAPEX+OPEX'!$G$116/'CAPEX+OPEX'!$G$115)</f>
        <v>6199.4836239091055</v>
      </c>
      <c r="CK78">
        <f>7963.6*(BZ78/1000)^0.6*1.7*('CAPEX+OPEX'!$G$116/'CAPEX+OPEX'!$G$115)</f>
        <v>3039.8438002124476</v>
      </c>
      <c r="CL78">
        <f>7963.6*(CA78/1000)^0.6*1.7*('CAPEX+OPEX'!$G$116/'CAPEX+OPEX'!$G$115)</f>
        <v>2924.3815426182359</v>
      </c>
      <c r="CM78">
        <f>'Costing 100 Lmin Feed Orig'!DE78</f>
        <v>39625.826528698344</v>
      </c>
      <c r="CN78">
        <f>'Costing 100 Lmin Feed Orig'!DF78</f>
        <v>4586243.4239371875</v>
      </c>
      <c r="CO78">
        <f>'Costing 100 Lmin Feed Orig'!DG78</f>
        <v>11794834.586807497</v>
      </c>
      <c r="CP78">
        <f>'Costing 100 Lmin Feed Orig'!DH78</f>
        <v>2275209.1661185985</v>
      </c>
      <c r="CQ78">
        <f>'Costing 100 Lmin Feed Orig'!DI78</f>
        <v>14083914.336508472</v>
      </c>
      <c r="CR78">
        <f>'Costing 100 Lmin Feed Orig'!DJ78</f>
        <v>1662824.8986326549</v>
      </c>
      <c r="CS78">
        <f>CN78*(BK78/10000)^0.72*((A78+1)/3)^0.6*('CAPEX+OPEX'!$G$116/'CAPEX+OPEX'!$G$114)</f>
        <v>847423.79840727116</v>
      </c>
      <c r="CT78">
        <f>CO78*(BK78/10000)^0.72*((A78+1)/3)^0.6*('CAPEX+OPEX'!$G$116/'CAPEX+OPEX'!$G$114)</f>
        <v>2179392.2832288719</v>
      </c>
      <c r="CU78">
        <f>CP78*(BK78/10000)^0.72*((A78+1)/3)^0.6*('CAPEX+OPEX'!$G$116/'CAPEX+OPEX'!$G$114)</f>
        <v>420402.1059283549</v>
      </c>
      <c r="CV78">
        <f>CQ78*(BK78/10000)^0.72*((A78+1)/3)^0.6*('CAPEX+OPEX'!$G$116/'CAPEX+OPEX'!$G$114)</f>
        <v>2602357.3282642425</v>
      </c>
      <c r="CW78">
        <f>CR78*(BK78/10000)^0.72*((A78+1)/3)^0.6*('CAPEX+OPEX'!$G$116/'CAPEX+OPEX'!$G$114)</f>
        <v>307248.71347447456</v>
      </c>
      <c r="CX78">
        <f t="shared" si="32"/>
        <v>6356824.2293032147</v>
      </c>
      <c r="CY78">
        <f>CN78*(BM78/10000)^0.72*((AF78+1)/3)^0.6*('CAPEX+OPEX'!$G$116/'CAPEX+OPEX'!$G$114)</f>
        <v>800274.80164615484</v>
      </c>
      <c r="CZ78">
        <f>CO78*(BM78/10000)^0.72*((AF78+1)/3)^0.6*('CAPEX+OPEX'!$G$116/'CAPEX+OPEX'!$G$114)</f>
        <v>2058135.1744524958</v>
      </c>
      <c r="DA78">
        <f>CP78*(BM78/10000)^0.72*((AF78+1)/3)^0.6*('CAPEX+OPEX'!$G$116/'CAPEX+OPEX'!$G$114)</f>
        <v>397011.75794894132</v>
      </c>
      <c r="DB78">
        <f>CQ78*(BM78/10000)^0.72*((AF78+1)/3)^0.6*('CAPEX+OPEX'!$G$116/'CAPEX+OPEX'!$G$114)</f>
        <v>2457567.2746072533</v>
      </c>
      <c r="DC78">
        <f>CR78*(BM78/10000)^0.72*((AF78+1)/3)^0.6*('CAPEX+OPEX'!$G$116/'CAPEX+OPEX'!$G$114)</f>
        <v>290153.99814586045</v>
      </c>
      <c r="DD78">
        <f t="shared" si="33"/>
        <v>6003143.0068007056</v>
      </c>
      <c r="DE78">
        <f>CX78+DD78+1.15*(SUM(CI78:CL78)+SUM(CB78:CE78))</f>
        <v>12447726.588914134</v>
      </c>
      <c r="DF78">
        <f t="shared" si="34"/>
        <v>829848.43926094228</v>
      </c>
      <c r="DG78">
        <f>(BS78+BT78)*'Oxidant Feed Composition'!$N$29*60*7200</f>
        <v>9172845.0861187056</v>
      </c>
      <c r="DH78">
        <f>((CG78+CH78)*'Reagent cost'!$C$17/1000*'Reagent cost'!$H$17+(CG78+CH78)*0.5*'Reagent cost'!$C$16/1000*'Reagent cost'!$H$16*0.5)*60*7200</f>
        <v>3105433.4964155997</v>
      </c>
      <c r="DI78">
        <f>CF78*'Reagent cost'!$C$17/1000*'Reagent cost'!$H$17*60*7200</f>
        <v>504921.59999999998</v>
      </c>
      <c r="DJ78">
        <f t="shared" si="35"/>
        <v>97.084375194352248</v>
      </c>
      <c r="DK78">
        <f t="shared" si="36"/>
        <v>1046.0322161615884</v>
      </c>
      <c r="DL78">
        <f t="shared" si="37"/>
        <v>15341211.958950793</v>
      </c>
      <c r="DM78">
        <f>BK78*(B78*(409.81+2)/1000+C78*(248.2+2*22.99)/1000+D78*(315.6+3*22.99)/1000+0.1*58.44/1000)</f>
        <v>0.70639694042110623</v>
      </c>
      <c r="DN78">
        <f>(BS78+BT78)/1000*('Oxidant Feed Composition'!$B$11*'Oxidant Feed Composition'!$O$20+'Oxidant Feed Composition'!$D$11*'Oxidant Feed Composition'!$O$21+'Oxidant Feed Composition'!$F$11*'Oxidant Feed Composition'!$O$27-'Oxidant Feed Composition'!$J$15*18.015)</f>
        <v>2.1473397913370893</v>
      </c>
      <c r="DO78">
        <f>(BU78+BV78)/1000*(0.2*368.34+0.4*58.44)</f>
        <v>1.4869722390089517</v>
      </c>
      <c r="DP78">
        <f>BK78/1000*(B78*195.08+C78*106.42+D78*102.91)</f>
        <v>4.999938342565946E-2</v>
      </c>
      <c r="DQ78">
        <f>SUM(DM78:DO78)-DP78</f>
        <v>4.2907095873414871</v>
      </c>
      <c r="DR78">
        <f>DQ78*60*7200*0.33</f>
        <v>611683.55877140246</v>
      </c>
      <c r="DS78">
        <v>1.2</v>
      </c>
      <c r="DT78">
        <f>BM78/60*(AM78*4+AN78*2+AO78*3)*96485/DV78</f>
        <v>1405.8791012986701</v>
      </c>
      <c r="DU78">
        <f>BN78*BA78*(AP78*4+AQ78*2+AR78*3)*96485/DV78/60</f>
        <v>705.80927264751585</v>
      </c>
      <c r="DV78">
        <v>0.7</v>
      </c>
      <c r="DW78">
        <f>0.499*((BK78/3.78541*15)^(-0.146))*BK78/3.78541*15*300*(1+(A78-2)/9)</f>
        <v>46784.46952433938</v>
      </c>
      <c r="DX78">
        <f>0.248*((BK78/3.78541*15)^(-0.144))*BK78/3.78541*15*300*(1+(A78-2)/3)</f>
        <v>45678.708869524045</v>
      </c>
      <c r="DY78">
        <f>0.105*((BK78/3.78541*15)^(-0.144))*BK78/3.78541*15*300*(1+(A78-2)/3)</f>
        <v>19339.775932661389</v>
      </c>
      <c r="DZ78">
        <f>0.058*((BK78/3.78541*15)^(-0.151))*BK78/3.78541*15*300*(1+(A78-2)/3)</f>
        <v>10244.818866671721</v>
      </c>
      <c r="EA78">
        <f>0.056*((BK78/3.78541*15)^(-0.144))*BK78/3.78541*15*300*(1+(A78-2)/3)</f>
        <v>10314.547164086078</v>
      </c>
      <c r="EB78">
        <f>DS78*DT78/(3.6*10^6)*3600*7200*0.07</f>
        <v>850.2756804654357</v>
      </c>
      <c r="EC78">
        <f>0.499*((BM78/3.78541*15)^(-0.146))*BM78/3.78541*15*300*(1+(AF78-2)/9)</f>
        <v>43713.259566486457</v>
      </c>
      <c r="ED78">
        <f>0.248*((BM78/3.78541*15)^(-0.144))*BM78/3.78541*15*300*(1+(AF78-2)/3)</f>
        <v>42673.301320771294</v>
      </c>
      <c r="EE78">
        <f>0.105*((BM78/3.78541*15)^(-0.144))*BM78/3.78541*15*300*(1+(AF78-2)/3)</f>
        <v>18067.325155971717</v>
      </c>
      <c r="EF78">
        <f>0.058*((BM78/3.78541*15)^(-0.151))*BM78/3.78541*15*300*(1+(AF78-2)/3)</f>
        <v>9576.0943395889717</v>
      </c>
      <c r="EG78">
        <f>0.056*((BM78/3.78541*15)^(-0.144))*BM78/3.78541*15*300*(1+(AF78-2)/3)</f>
        <v>9635.9067498515833</v>
      </c>
      <c r="EH78">
        <f>DS78*DU78/(3.6*10^6)*3600*7200*0.07</f>
        <v>426.87344809721759</v>
      </c>
      <c r="EI78">
        <f>SUM(DW78:EH78)</f>
        <v>257305.35661851533</v>
      </c>
      <c r="EJ78">
        <f>EI78+DR78+DL78</f>
        <v>16210200.874340711</v>
      </c>
      <c r="EK78">
        <f>EJ78+DF78</f>
        <v>17040049.313601654</v>
      </c>
      <c r="EL78">
        <f>EK78/(BK78*60*7200)</f>
        <v>0.39444558596300128</v>
      </c>
      <c r="EM78">
        <f>EK78/(BM78*(AM78*195.084/1000+AN78*106.42/1000+AO78*102.911/1000)*60*7200)</f>
        <v>1319.6086081440271</v>
      </c>
      <c r="EN78">
        <f>EK78/(BN78*BA78*(AP78*195.084/1000+AQ78*106.42/1000+AR78*102.911/1000)*60*7200)</f>
        <v>2421.7794168483701</v>
      </c>
    </row>
    <row r="79" spans="1:144">
      <c r="A79">
        <f>'Costing 100 Lmin Feed Orig'!A79</f>
        <v>10</v>
      </c>
      <c r="B79">
        <f>'Costing 100 Lmin Feed Orig'!B79</f>
        <v>1.54143585092054E-3</v>
      </c>
      <c r="C79">
        <f>'Costing 100 Lmin Feed Orig'!C79</f>
        <v>1.54143585092054E-3</v>
      </c>
      <c r="D79">
        <f>'Costing 100 Lmin Feed Orig'!D79</f>
        <v>3.4254130020456501E-4</v>
      </c>
      <c r="E79">
        <f>'Costing 100 Lmin Feed Orig'!E79</f>
        <v>0</v>
      </c>
      <c r="F79">
        <f>'Costing 100 Lmin Feed Orig'!F79</f>
        <v>0</v>
      </c>
      <c r="G79">
        <f>'Costing 100 Lmin Feed Orig'!G79</f>
        <v>0</v>
      </c>
      <c r="H79">
        <f>'Costing 100 Lmin Feed Orig'!H79</f>
        <v>1.7770671970930099E-5</v>
      </c>
      <c r="I79">
        <f>'Costing 100 Lmin Feed Orig'!I79</f>
        <v>5.2649488631162003E-10</v>
      </c>
      <c r="J79">
        <f>'Costing 100 Lmin Feed Orig'!J79</f>
        <v>3.3765279177869602E-4</v>
      </c>
      <c r="K79">
        <f>'Costing 100 Lmin Feed Orig'!K79</f>
        <v>0.139053960209192</v>
      </c>
      <c r="L79">
        <f>'Costing 100 Lmin Feed Orig'!L79</f>
        <v>0.14067571356050099</v>
      </c>
      <c r="M79">
        <f>'Costing 100 Lmin Feed Orig'!M79</f>
        <v>4.4613899794023002E-4</v>
      </c>
      <c r="N79">
        <f>'Costing 100 Lmin Feed Orig'!N79</f>
        <v>-1.6046192152785399E-16</v>
      </c>
      <c r="O79">
        <f>'Costing 100 Lmin Feed Orig'!O79</f>
        <v>-5.9831913729046996E-14</v>
      </c>
      <c r="P79">
        <f>'Costing 100 Lmin Feed Orig'!P79</f>
        <v>-6.6915602833089703E-20</v>
      </c>
      <c r="Q79">
        <f>'Costing 100 Lmin Feed Orig'!Q79</f>
        <v>0.10957366310586</v>
      </c>
      <c r="R79">
        <f>'Costing 100 Lmin Feed Orig'!R79</f>
        <v>98.572870359588904</v>
      </c>
      <c r="S79">
        <f>'Costing 100 Lmin Feed Orig'!S79</f>
        <v>500</v>
      </c>
      <c r="T79">
        <f>'Costing 100 Lmin Feed Orig'!T79</f>
        <v>95</v>
      </c>
      <c r="U79">
        <f>'Costing 100 Lmin Feed Orig'!U79</f>
        <v>1</v>
      </c>
      <c r="V79">
        <f>'Costing 100 Lmin Feed Orig'!V79</f>
        <v>0.1</v>
      </c>
      <c r="W79">
        <f>'Costing 100 Lmin Feed Orig'!W79</f>
        <v>91.262806376555005</v>
      </c>
      <c r="X79" t="str">
        <f>'Costing 100 Lmin Feed Orig'!X79</f>
        <v>ddFc</v>
      </c>
      <c r="Y79">
        <f>'Costing 100 Lmin Feed Orig'!Y79</f>
        <v>1</v>
      </c>
      <c r="Z79">
        <f>'Costing 100 Lmin Feed Orig'!Z79</f>
        <v>0.28318429382522198</v>
      </c>
      <c r="AA79">
        <f>'Costing 100 Lmin Feed Orig'!AA79</f>
        <v>0.56945642916197003</v>
      </c>
      <c r="AB79">
        <f>'Costing 100 Lmin Feed Orig'!AB79</f>
        <v>3.7698628972227502E-3</v>
      </c>
      <c r="AC79">
        <f>'Costing 100 Lmin Feed Orig'!AC79</f>
        <v>1822.2107908876901</v>
      </c>
      <c r="AD79">
        <f>'Costing 100 Lmin Feed Orig'!AD79</f>
        <v>2662.6059073104898</v>
      </c>
      <c r="AE79">
        <f>'Costing 100 Lmin Feed Orig'!AE79</f>
        <v>2401.5030938442701</v>
      </c>
      <c r="AF79">
        <f>'Costing 100 Lmin Feed Orig'!AF79</f>
        <v>11</v>
      </c>
      <c r="AG79">
        <f>'Costing 100 Lmin Feed Orig'!AG79</f>
        <v>1.6497548842793E-3</v>
      </c>
      <c r="AH79">
        <f>'Costing 100 Lmin Feed Orig'!AH79</f>
        <v>1.66899558413707E-3</v>
      </c>
      <c r="AI79">
        <f>'Costing 100 Lmin Feed Orig'!AI79</f>
        <v>5.2930530695573503E-6</v>
      </c>
      <c r="AJ79">
        <f>'Costing 100 Lmin Feed Orig'!AJ79</f>
        <v>0</v>
      </c>
      <c r="AK79">
        <f>'Costing 100 Lmin Feed Orig'!AK79</f>
        <v>0</v>
      </c>
      <c r="AL79">
        <f>'Costing 100 Lmin Feed Orig'!AL79</f>
        <v>0</v>
      </c>
      <c r="AM79">
        <f>'Costing 100 Lmin Feed Orig'!AM79</f>
        <v>1.6128070427284199E-3</v>
      </c>
      <c r="AN79">
        <f>'Costing 100 Lmin Feed Orig'!AN79</f>
        <v>7.9626338235286499E-5</v>
      </c>
      <c r="AO79">
        <f>'Costing 100 Lmin Feed Orig'!AO79</f>
        <v>5.2582429609278296E-6</v>
      </c>
      <c r="AP79">
        <f>'Costing 100 Lmin Feed Orig'!AP79</f>
        <v>1.73328035546949E-3</v>
      </c>
      <c r="AQ79">
        <f>'Costing 100 Lmin Feed Orig'!AQ79</f>
        <v>7.4559767943401897E-2</v>
      </c>
      <c r="AR79">
        <f>'Costing 100 Lmin Feed Orig'!AR79</f>
        <v>1.6329960000428399E-6</v>
      </c>
      <c r="AS79">
        <f>'Costing 100 Lmin Feed Orig'!AS79</f>
        <v>1.9974730962150899E-15</v>
      </c>
      <c r="AT79">
        <f>'Costing 100 Lmin Feed Orig'!AT79</f>
        <v>-1.98872819254236E-13</v>
      </c>
      <c r="AU79">
        <f>'Costing 100 Lmin Feed Orig'!AU79</f>
        <v>1.25797627557064E-20</v>
      </c>
      <c r="AV79">
        <f>'Costing 100 Lmin Feed Orig'!AV79</f>
        <v>0.19687491213897099</v>
      </c>
      <c r="AW79">
        <f>'Costing 100 Lmin Feed Orig'!AW79</f>
        <v>99.342343479801301</v>
      </c>
      <c r="AX79">
        <f>'Costing 100 Lmin Feed Orig'!AX79</f>
        <v>500</v>
      </c>
      <c r="AY79">
        <f>'Costing 100 Lmin Feed Orig'!AY79</f>
        <v>95</v>
      </c>
      <c r="AZ79">
        <f>'Costing 100 Lmin Feed Orig'!AZ79</f>
        <v>0.92357064280818002</v>
      </c>
      <c r="BA79">
        <f>'Costing 100 Lmin Feed Orig'!BA79</f>
        <v>0.1</v>
      </c>
      <c r="BB79">
        <f>'Costing 100 Lmin Feed Orig'!BB79</f>
        <v>46.911545649668199</v>
      </c>
      <c r="BC79" t="str">
        <f>'Costing 100 Lmin Feed Orig'!BC79</f>
        <v>coeFc</v>
      </c>
      <c r="BD79">
        <f>'Costing 100 Lmin Feed Orig'!BD79</f>
        <v>1</v>
      </c>
      <c r="BE79">
        <f>'Costing 100 Lmin Feed Orig'!BE79</f>
        <v>1.8775014999999999E-2</v>
      </c>
      <c r="BF79">
        <f>'Costing 100 Lmin Feed Orig'!BF79</f>
        <v>0.10492961100000001</v>
      </c>
      <c r="BG79">
        <f>'Costing 100 Lmin Feed Orig'!BG79</f>
        <v>1.814625E-3</v>
      </c>
      <c r="BH79">
        <f>'Costing 100 Lmin Feed Orig'!BH79</f>
        <v>285.1951444</v>
      </c>
      <c r="BI79">
        <f>'Costing 100 Lmin Feed Orig'!BI79</f>
        <v>2169.8944889999998</v>
      </c>
      <c r="BJ79">
        <f>'Costing 100 Lmin Feed Orig'!BJ79</f>
        <v>866.49409060000005</v>
      </c>
      <c r="BK79">
        <f>'Costing 100 Lmin Feed Orig'!BK79</f>
        <v>100</v>
      </c>
      <c r="BL79">
        <f>'Costing 100 Lmin Feed Orig'!BL79</f>
        <v>10.957366310586</v>
      </c>
      <c r="BM79">
        <f>'Costing 100 Lmin Feed Orig'!BM79</f>
        <v>92.357064280818008</v>
      </c>
      <c r="BN79">
        <f>'Costing 100 Lmin Feed Orig'!BN79</f>
        <v>19.687491213897097</v>
      </c>
      <c r="BO79">
        <f t="shared" si="20"/>
        <v>262.97679145406403</v>
      </c>
      <c r="BP79">
        <f t="shared" si="21"/>
        <v>511.87477156132451</v>
      </c>
      <c r="BQ79">
        <f t="shared" si="22"/>
        <v>26.297679145406406</v>
      </c>
      <c r="BR79">
        <f t="shared" si="23"/>
        <v>51.187477156132452</v>
      </c>
      <c r="BS79">
        <f>1.2*0.5*BL79*V79/'Oxidant Feed Composition'!$N$22</f>
        <v>6.5744197863515996</v>
      </c>
      <c r="BT79">
        <f>1.2*0.5*BN79*BA79/'Oxidant Feed Composition'!$N$22</f>
        <v>11.812494728338258</v>
      </c>
      <c r="BU79">
        <f t="shared" si="24"/>
        <v>5.478683155293</v>
      </c>
      <c r="BV79">
        <f t="shared" si="25"/>
        <v>9.8437456069485485</v>
      </c>
      <c r="BW79">
        <f t="shared" si="26"/>
        <v>86.87838112552501</v>
      </c>
      <c r="BX79">
        <f t="shared" si="19"/>
        <v>35.063572193875203</v>
      </c>
      <c r="BY79">
        <f t="shared" si="27"/>
        <v>206.62886118280801</v>
      </c>
      <c r="BZ79">
        <f t="shared" si="28"/>
        <v>62.99997188447071</v>
      </c>
      <c r="CA79">
        <f t="shared" si="29"/>
        <v>59.062473641691291</v>
      </c>
      <c r="CB79">
        <f>BO79*'Reagent cost'!$G$11*'Reagent cost'!$H$11</f>
        <v>3471.2936471936455</v>
      </c>
      <c r="CC79">
        <f>BP79*'Reagent cost'!$G$11*'Reagent cost'!$H$11</f>
        <v>6756.7469846094846</v>
      </c>
      <c r="CD79">
        <f>BQ79*'Reagent cost'!$C$18/1000*'Reagent cost'!$H$18</f>
        <v>4193.9657747282263</v>
      </c>
      <c r="CE79">
        <f>BR79*'Ligand cost'!$B$56*'Ligand cost'!$J$56</f>
        <v>52115.390020486797</v>
      </c>
      <c r="CF79">
        <f t="shared" si="30"/>
        <v>10</v>
      </c>
      <c r="CG79">
        <f t="shared" si="31"/>
        <v>2.1914732621172002</v>
      </c>
      <c r="CH79">
        <f t="shared" si="31"/>
        <v>3.9374982427794194</v>
      </c>
      <c r="CI79">
        <f>7963.6*(BX79/1000)^0.6*1.7*('CAPEX+OPEX'!$G$116/'CAPEX+OPEX'!$G$115)</f>
        <v>2138.7234102796551</v>
      </c>
      <c r="CJ79">
        <f>7963.6*(BY79/1000)^0.6*1.7*('CAPEX+OPEX'!$G$116/'CAPEX+OPEX'!$G$115)</f>
        <v>6199.4836239091055</v>
      </c>
      <c r="CK79">
        <f>7963.6*(BZ79/1000)^0.6*1.7*('CAPEX+OPEX'!$G$116/'CAPEX+OPEX'!$G$115)</f>
        <v>3039.8009140008598</v>
      </c>
      <c r="CL79">
        <f>7963.6*(CA79/1000)^0.6*1.7*('CAPEX+OPEX'!$G$116/'CAPEX+OPEX'!$G$115)</f>
        <v>2924.3402853517946</v>
      </c>
      <c r="CM79">
        <f>'Costing 100 Lmin Feed Orig'!DE79</f>
        <v>39625.826528698344</v>
      </c>
      <c r="CN79">
        <f>'Costing 100 Lmin Feed Orig'!DF79</f>
        <v>4586243.4239371875</v>
      </c>
      <c r="CO79">
        <f>'Costing 100 Lmin Feed Orig'!DG79</f>
        <v>11794834.586807497</v>
      </c>
      <c r="CP79">
        <f>'Costing 100 Lmin Feed Orig'!DH79</f>
        <v>2275209.1661185985</v>
      </c>
      <c r="CQ79">
        <f>'Costing 100 Lmin Feed Orig'!DI79</f>
        <v>14083914.336508472</v>
      </c>
      <c r="CR79">
        <f>'Costing 100 Lmin Feed Orig'!DJ79</f>
        <v>1662824.8986326549</v>
      </c>
      <c r="CS79">
        <f>CN79*(BK79/10000)^0.72*((A79+1)/3)^0.6*('CAPEX+OPEX'!$G$116/'CAPEX+OPEX'!$G$114)</f>
        <v>847423.79840727116</v>
      </c>
      <c r="CT79">
        <f>CO79*(BK79/10000)^0.72*((A79+1)/3)^0.6*('CAPEX+OPEX'!$G$116/'CAPEX+OPEX'!$G$114)</f>
        <v>2179392.2832288719</v>
      </c>
      <c r="CU79">
        <f>CP79*(BK79/10000)^0.72*((A79+1)/3)^0.6*('CAPEX+OPEX'!$G$116/'CAPEX+OPEX'!$G$114)</f>
        <v>420402.1059283549</v>
      </c>
      <c r="CV79">
        <f>CQ79*(BK79/10000)^0.72*((A79+1)/3)^0.6*('CAPEX+OPEX'!$G$116/'CAPEX+OPEX'!$G$114)</f>
        <v>2602357.3282642425</v>
      </c>
      <c r="CW79">
        <f>CR79*(BK79/10000)^0.72*((A79+1)/3)^0.6*('CAPEX+OPEX'!$G$116/'CAPEX+OPEX'!$G$114)</f>
        <v>307248.71347447456</v>
      </c>
      <c r="CX79">
        <f t="shared" si="32"/>
        <v>6356824.2293032147</v>
      </c>
      <c r="CY79">
        <f>CN79*(BM79/10000)^0.72*((AF79+1)/3)^0.6*('CAPEX+OPEX'!$G$116/'CAPEX+OPEX'!$G$114)</f>
        <v>843164.43385652674</v>
      </c>
      <c r="CZ79">
        <f>CO79*(BM79/10000)^0.72*((AF79+1)/3)^0.6*('CAPEX+OPEX'!$G$116/'CAPEX+OPEX'!$G$114)</f>
        <v>2168438.1110061919</v>
      </c>
      <c r="DA79">
        <f>CP79*(BM79/10000)^0.72*((AF79+1)/3)^0.6*('CAPEX+OPEX'!$G$116/'CAPEX+OPEX'!$G$114)</f>
        <v>418289.05950410414</v>
      </c>
      <c r="DB79">
        <f>CQ79*(BM79/10000)^0.72*((AF79+1)/3)^0.6*('CAPEX+OPEX'!$G$116/'CAPEX+OPEX'!$G$114)</f>
        <v>2589277.2276425567</v>
      </c>
      <c r="DC79">
        <f>CR79*(BM79/10000)^0.72*((AF79+1)/3)^0.6*('CAPEX+OPEX'!$G$116/'CAPEX+OPEX'!$G$114)</f>
        <v>305704.40438037703</v>
      </c>
      <c r="DD79">
        <f t="shared" si="33"/>
        <v>6324873.2363897571</v>
      </c>
      <c r="DE79">
        <f>CX79+DD79+1.15*(SUM(CI79:CL79)+SUM(CB79:CE79))</f>
        <v>12774663.172052614</v>
      </c>
      <c r="DF79">
        <f t="shared" si="34"/>
        <v>851644.21147017425</v>
      </c>
      <c r="DG79">
        <f>(BS79+BT79)*'Oxidant Feed Composition'!$N$29*60*7200</f>
        <v>9172706.5211002305</v>
      </c>
      <c r="DH79">
        <f>((CG79+CH79)*'Reagent cost'!$C$17/1000*'Reagent cost'!$H$17+(CG79+CH79)*0.5*'Reagent cost'!$C$16/1000*'Reagent cost'!$H$16*0.5)*60*7200</f>
        <v>3105386.5857302267</v>
      </c>
      <c r="DI79">
        <f>CF79*'Reagent cost'!$C$17/1000*'Reagent cost'!$H$17*60*7200</f>
        <v>504921.59999999998</v>
      </c>
      <c r="DJ79">
        <f t="shared" si="35"/>
        <v>102.28040631803131</v>
      </c>
      <c r="DK79">
        <f t="shared" si="36"/>
        <v>1126.1871159043005</v>
      </c>
      <c r="DL79">
        <f t="shared" si="37"/>
        <v>15341091.809223214</v>
      </c>
      <c r="DM79">
        <f>BK79*(B79*(409.81+2)/1000+C79*(248.2+2*22.99)/1000+D79*(315.6+3*22.99)/1000+0.1*58.44/1000)</f>
        <v>0.70639694042110623</v>
      </c>
      <c r="DN79">
        <f>(BS79+BT79)/1000*('Oxidant Feed Composition'!$B$11*'Oxidant Feed Composition'!$O$20+'Oxidant Feed Composition'!$D$11*'Oxidant Feed Composition'!$O$21+'Oxidant Feed Composition'!$F$11*'Oxidant Feed Composition'!$O$27-'Oxidant Feed Composition'!$J$15*18.015)</f>
        <v>2.1473073536173777</v>
      </c>
      <c r="DO79">
        <f>(BU79+BV79)/1000*(0.2*368.34+0.4*58.44)</f>
        <v>1.4869497768029687</v>
      </c>
      <c r="DP79">
        <f>BK79/1000*(B79*195.08+C79*106.42+D79*102.91)</f>
        <v>4.999938342565946E-2</v>
      </c>
      <c r="DQ79">
        <f>SUM(DM79:DO79)-DP79</f>
        <v>4.2906546874157927</v>
      </c>
      <c r="DR79">
        <f>DQ79*60*7200*0.33</f>
        <v>611675.73223799537</v>
      </c>
      <c r="DS79">
        <v>1.2</v>
      </c>
      <c r="DT79">
        <f>BM79/60*(AM79*4+AN79*2+AO79*3)*96485/DV79</f>
        <v>1405.8818143920212</v>
      </c>
      <c r="DU79">
        <f>BN79*BA79*(AP79*4+AQ79*2+AR79*3)*96485/DV79/60</f>
        <v>705.80655935524931</v>
      </c>
      <c r="DV79">
        <v>0.7</v>
      </c>
      <c r="DW79">
        <f>0.499*((BK79/3.78541*15)^(-0.146))*BK79/3.78541*15*300*(1+(A79-2)/9)</f>
        <v>46784.46952433938</v>
      </c>
      <c r="DX79">
        <f>0.248*((BK79/3.78541*15)^(-0.144))*BK79/3.78541*15*300*(1+(A79-2)/3)</f>
        <v>45678.708869524045</v>
      </c>
      <c r="DY79">
        <f>0.105*((BK79/3.78541*15)^(-0.144))*BK79/3.78541*15*300*(1+(A79-2)/3)</f>
        <v>19339.775932661389</v>
      </c>
      <c r="DZ79">
        <f>0.058*((BK79/3.78541*15)^(-0.151))*BK79/3.78541*15*300*(1+(A79-2)/3)</f>
        <v>10244.818866671721</v>
      </c>
      <c r="EA79">
        <f>0.056*((BK79/3.78541*15)^(-0.144))*BK79/3.78541*15*300*(1+(A79-2)/3)</f>
        <v>10314.547164086078</v>
      </c>
      <c r="EB79">
        <f>DS79*DT79/(3.6*10^6)*3600*7200*0.07</f>
        <v>850.27732134429448</v>
      </c>
      <c r="EC79">
        <f>0.499*((BM79/3.78541*15)^(-0.146))*BM79/3.78541*15*300*(1+(AF79-2)/9)</f>
        <v>46284.627776279776</v>
      </c>
      <c r="ED79">
        <f>0.248*((BM79/3.78541*15)^(-0.144))*BM79/3.78541*15*300*(1+(AF79-2)/3)</f>
        <v>46552.692349932324</v>
      </c>
      <c r="EE79">
        <f>0.105*((BM79/3.78541*15)^(-0.144))*BM79/3.78541*15*300*(1+(AF79-2)/3)</f>
        <v>19709.809261060054</v>
      </c>
      <c r="EF79">
        <f>0.058*((BM79/3.78541*15)^(-0.151))*BM79/3.78541*15*300*(1+(AF79-2)/3)</f>
        <v>10446.648370460696</v>
      </c>
      <c r="EG79">
        <f>0.056*((BM79/3.78541*15)^(-0.144))*BM79/3.78541*15*300*(1+(AF79-2)/3)</f>
        <v>10511.898272565364</v>
      </c>
      <c r="EH79">
        <f>DS79*DU79/(3.6*10^6)*3600*7200*0.07</f>
        <v>426.87180709805483</v>
      </c>
      <c r="EI79">
        <f>SUM(DW79:EH79)</f>
        <v>267145.14551602321</v>
      </c>
      <c r="EJ79">
        <f>EI79+DR79+DL79</f>
        <v>16219912.686977234</v>
      </c>
      <c r="EK79">
        <f>EJ79+DF79</f>
        <v>17071556.898447409</v>
      </c>
      <c r="EL79">
        <f>EK79/(BK79*60*7200)</f>
        <v>0.39517492820480116</v>
      </c>
      <c r="EM79">
        <f>EK79/(BM79*(AM79*195.084/1000+AN79*106.42/1000+AO79*102.911/1000)*60*7200)</f>
        <v>1322.0460529077272</v>
      </c>
      <c r="EN79">
        <f>EK79/(BN79*BA79*(AP79*195.084/1000+AQ79*106.42/1000+AR79*102.911/1000)*60*7200)</f>
        <v>2426.2659618072416</v>
      </c>
    </row>
    <row r="80" spans="1:144">
      <c r="A80">
        <f>'Costing 100 Lmin Feed Orig'!A80</f>
        <v>10</v>
      </c>
      <c r="B80">
        <f>'Costing 100 Lmin Feed Orig'!B80</f>
        <v>1.54143585092054E-3</v>
      </c>
      <c r="C80">
        <f>'Costing 100 Lmin Feed Orig'!C80</f>
        <v>1.54143585092054E-3</v>
      </c>
      <c r="D80">
        <f>'Costing 100 Lmin Feed Orig'!D80</f>
        <v>3.4254130020456501E-4</v>
      </c>
      <c r="E80">
        <f>'Costing 100 Lmin Feed Orig'!E80</f>
        <v>0</v>
      </c>
      <c r="F80">
        <f>'Costing 100 Lmin Feed Orig'!F80</f>
        <v>0</v>
      </c>
      <c r="G80">
        <f>'Costing 100 Lmin Feed Orig'!G80</f>
        <v>0</v>
      </c>
      <c r="H80">
        <f>'Costing 100 Lmin Feed Orig'!H80</f>
        <v>1.7770671970930099E-5</v>
      </c>
      <c r="I80">
        <f>'Costing 100 Lmin Feed Orig'!I80</f>
        <v>5.2649488631162003E-10</v>
      </c>
      <c r="J80">
        <f>'Costing 100 Lmin Feed Orig'!J80</f>
        <v>3.3765279177869602E-4</v>
      </c>
      <c r="K80">
        <f>'Costing 100 Lmin Feed Orig'!K80</f>
        <v>0.139053960209192</v>
      </c>
      <c r="L80">
        <f>'Costing 100 Lmin Feed Orig'!L80</f>
        <v>0.14067571356050099</v>
      </c>
      <c r="M80">
        <f>'Costing 100 Lmin Feed Orig'!M80</f>
        <v>4.4613899794023002E-4</v>
      </c>
      <c r="N80">
        <f>'Costing 100 Lmin Feed Orig'!N80</f>
        <v>-1.6046192152785399E-16</v>
      </c>
      <c r="O80">
        <f>'Costing 100 Lmin Feed Orig'!O80</f>
        <v>-5.9831913729046996E-14</v>
      </c>
      <c r="P80">
        <f>'Costing 100 Lmin Feed Orig'!P80</f>
        <v>-6.6915602833089703E-20</v>
      </c>
      <c r="Q80">
        <f>'Costing 100 Lmin Feed Orig'!Q80</f>
        <v>0.10957366310586</v>
      </c>
      <c r="R80">
        <f>'Costing 100 Lmin Feed Orig'!R80</f>
        <v>98.572870359588904</v>
      </c>
      <c r="S80">
        <f>'Costing 100 Lmin Feed Orig'!S80</f>
        <v>500</v>
      </c>
      <c r="T80">
        <f>'Costing 100 Lmin Feed Orig'!T80</f>
        <v>95</v>
      </c>
      <c r="U80">
        <f>'Costing 100 Lmin Feed Orig'!U80</f>
        <v>1</v>
      </c>
      <c r="V80">
        <f>'Costing 100 Lmin Feed Orig'!V80</f>
        <v>0.1</v>
      </c>
      <c r="W80">
        <f>'Costing 100 Lmin Feed Orig'!W80</f>
        <v>91.262806376555005</v>
      </c>
      <c r="X80" t="str">
        <f>'Costing 100 Lmin Feed Orig'!X80</f>
        <v>ddFc</v>
      </c>
      <c r="Y80">
        <f>'Costing 100 Lmin Feed Orig'!Y80</f>
        <v>1</v>
      </c>
      <c r="Z80">
        <f>'Costing 100 Lmin Feed Orig'!Z80</f>
        <v>0.28318429382522198</v>
      </c>
      <c r="AA80">
        <f>'Costing 100 Lmin Feed Orig'!AA80</f>
        <v>0.56945642916197003</v>
      </c>
      <c r="AB80">
        <f>'Costing 100 Lmin Feed Orig'!AB80</f>
        <v>3.7698628972227502E-3</v>
      </c>
      <c r="AC80">
        <f>'Costing 100 Lmin Feed Orig'!AC80</f>
        <v>1822.2107908876901</v>
      </c>
      <c r="AD80">
        <f>'Costing 100 Lmin Feed Orig'!AD80</f>
        <v>2662.6059073104898</v>
      </c>
      <c r="AE80">
        <f>'Costing 100 Lmin Feed Orig'!AE80</f>
        <v>2401.5030938442701</v>
      </c>
      <c r="AF80">
        <f>'Costing 100 Lmin Feed Orig'!AF80</f>
        <v>12</v>
      </c>
      <c r="AG80">
        <f>'Costing 100 Lmin Feed Orig'!AG80</f>
        <v>1.6497548842793E-3</v>
      </c>
      <c r="AH80">
        <f>'Costing 100 Lmin Feed Orig'!AH80</f>
        <v>1.66899558413707E-3</v>
      </c>
      <c r="AI80">
        <f>'Costing 100 Lmin Feed Orig'!AI80</f>
        <v>5.2930530695573503E-6</v>
      </c>
      <c r="AJ80">
        <f>'Costing 100 Lmin Feed Orig'!AJ80</f>
        <v>0</v>
      </c>
      <c r="AK80">
        <f>'Costing 100 Lmin Feed Orig'!AK80</f>
        <v>0</v>
      </c>
      <c r="AL80">
        <f>'Costing 100 Lmin Feed Orig'!AL80</f>
        <v>0</v>
      </c>
      <c r="AM80">
        <f>'Costing 100 Lmin Feed Orig'!AM80</f>
        <v>1.6128079179820701E-3</v>
      </c>
      <c r="AN80">
        <f>'Costing 100 Lmin Feed Orig'!AN80</f>
        <v>7.9626383510946294E-5</v>
      </c>
      <c r="AO80">
        <f>'Costing 100 Lmin Feed Orig'!AO80</f>
        <v>5.2582437512666399E-6</v>
      </c>
      <c r="AP80">
        <f>'Costing 100 Lmin Feed Orig'!AP80</f>
        <v>1.7332507504425E-3</v>
      </c>
      <c r="AQ80">
        <f>'Costing 100 Lmin Feed Orig'!AQ80</f>
        <v>7.4560258551583894E-2</v>
      </c>
      <c r="AR80">
        <f>'Costing 100 Lmin Feed Orig'!AR80</f>
        <v>1.6329697157021899E-6</v>
      </c>
      <c r="AS80">
        <f>'Costing 100 Lmin Feed Orig'!AS80</f>
        <v>3.9110560493341098E-16</v>
      </c>
      <c r="AT80">
        <f>'Costing 100 Lmin Feed Orig'!AT80</f>
        <v>-3.8191238366236302E-14</v>
      </c>
      <c r="AU80">
        <f>'Costing 100 Lmin Feed Orig'!AU80</f>
        <v>-3.3021050053116801E-21</v>
      </c>
      <c r="AV80">
        <f>'Costing 100 Lmin Feed Orig'!AV80</f>
        <v>0.19687361106780901</v>
      </c>
      <c r="AW80">
        <f>'Costing 100 Lmin Feed Orig'!AW80</f>
        <v>99.342358411425806</v>
      </c>
      <c r="AX80">
        <f>'Costing 100 Lmin Feed Orig'!AX80</f>
        <v>500</v>
      </c>
      <c r="AY80">
        <f>'Costing 100 Lmin Feed Orig'!AY80</f>
        <v>95</v>
      </c>
      <c r="AZ80">
        <f>'Costing 100 Lmin Feed Orig'!AZ80</f>
        <v>0.92357064280818002</v>
      </c>
      <c r="BA80">
        <f>'Costing 100 Lmin Feed Orig'!BA80</f>
        <v>0.1</v>
      </c>
      <c r="BB80">
        <f>'Costing 100 Lmin Feed Orig'!BB80</f>
        <v>46.911855672219602</v>
      </c>
      <c r="BC80" t="str">
        <f>'Costing 100 Lmin Feed Orig'!BC80</f>
        <v>coeFc</v>
      </c>
      <c r="BD80">
        <f>'Costing 100 Lmin Feed Orig'!BD80</f>
        <v>1</v>
      </c>
      <c r="BE80">
        <f>'Costing 100 Lmin Feed Orig'!BE80</f>
        <v>1.8775014999999999E-2</v>
      </c>
      <c r="BF80">
        <f>'Costing 100 Lmin Feed Orig'!BF80</f>
        <v>0.10492961100000001</v>
      </c>
      <c r="BG80">
        <f>'Costing 100 Lmin Feed Orig'!BG80</f>
        <v>1.814625E-3</v>
      </c>
      <c r="BH80">
        <f>'Costing 100 Lmin Feed Orig'!BH80</f>
        <v>285.1951444</v>
      </c>
      <c r="BI80">
        <f>'Costing 100 Lmin Feed Orig'!BI80</f>
        <v>2169.8944889999998</v>
      </c>
      <c r="BJ80">
        <f>'Costing 100 Lmin Feed Orig'!BJ80</f>
        <v>866.49409060000005</v>
      </c>
      <c r="BK80">
        <f>'Costing 100 Lmin Feed Orig'!BK80</f>
        <v>100</v>
      </c>
      <c r="BL80">
        <f>'Costing 100 Lmin Feed Orig'!BL80</f>
        <v>10.957366310586</v>
      </c>
      <c r="BM80">
        <f>'Costing 100 Lmin Feed Orig'!BM80</f>
        <v>92.357064280818008</v>
      </c>
      <c r="BN80">
        <f>'Costing 100 Lmin Feed Orig'!BN80</f>
        <v>19.687361106780902</v>
      </c>
      <c r="BO80">
        <f t="shared" si="20"/>
        <v>262.97679145406403</v>
      </c>
      <c r="BP80">
        <f t="shared" si="21"/>
        <v>551.2461109898652</v>
      </c>
      <c r="BQ80">
        <f t="shared" si="22"/>
        <v>26.297679145406406</v>
      </c>
      <c r="BR80">
        <f t="shared" si="23"/>
        <v>55.12461109898652</v>
      </c>
      <c r="BS80">
        <f>1.2*0.5*BL80*V80/'Oxidant Feed Composition'!$N$22</f>
        <v>6.5744197863515996</v>
      </c>
      <c r="BT80">
        <f>1.2*0.5*BN80*BA80/'Oxidant Feed Composition'!$N$22</f>
        <v>11.812416664068541</v>
      </c>
      <c r="BU80">
        <f t="shared" si="24"/>
        <v>5.478683155293</v>
      </c>
      <c r="BV80">
        <f t="shared" si="25"/>
        <v>9.8436805533904508</v>
      </c>
      <c r="BW80">
        <f t="shared" si="26"/>
        <v>86.87838112552501</v>
      </c>
      <c r="BX80">
        <f t="shared" si="19"/>
        <v>35.063572193875203</v>
      </c>
      <c r="BY80">
        <f t="shared" si="27"/>
        <v>206.62886118280801</v>
      </c>
      <c r="BZ80">
        <f t="shared" si="28"/>
        <v>62.999555541698882</v>
      </c>
      <c r="CA80">
        <f t="shared" si="29"/>
        <v>59.062083320342708</v>
      </c>
      <c r="CB80">
        <f>BO80*'Reagent cost'!$G$11*'Reagent cost'!$H$11</f>
        <v>3471.2936471936455</v>
      </c>
      <c r="CC80">
        <f>BP80*'Reagent cost'!$G$11*'Reagent cost'!$H$11</f>
        <v>7276.4486650662202</v>
      </c>
      <c r="CD80">
        <f>BQ80*'Reagent cost'!$C$18/1000*'Reagent cost'!$H$18</f>
        <v>4193.9657747282263</v>
      </c>
      <c r="CE80">
        <f>BR80*'Ligand cost'!$B$56*'Ligand cost'!$J$56</f>
        <v>56123.895272052112</v>
      </c>
      <c r="CF80">
        <f t="shared" si="30"/>
        <v>10</v>
      </c>
      <c r="CG80">
        <f t="shared" si="31"/>
        <v>2.1914732621172002</v>
      </c>
      <c r="CH80">
        <f t="shared" si="31"/>
        <v>3.9374722213561806</v>
      </c>
      <c r="CI80">
        <f>7963.6*(BX80/1000)^0.6*1.7*('CAPEX+OPEX'!$G$116/'CAPEX+OPEX'!$G$115)</f>
        <v>2138.7234102796551</v>
      </c>
      <c r="CJ80">
        <f>7963.6*(BY80/1000)^0.6*1.7*('CAPEX+OPEX'!$G$116/'CAPEX+OPEX'!$G$115)</f>
        <v>6199.4836239091055</v>
      </c>
      <c r="CK80">
        <f>7963.6*(BZ80/1000)^0.6*1.7*('CAPEX+OPEX'!$G$116/'CAPEX+OPEX'!$G$115)</f>
        <v>3039.7888606544216</v>
      </c>
      <c r="CL80">
        <f>7963.6*(CA80/1000)^0.6*1.7*('CAPEX+OPEX'!$G$116/'CAPEX+OPEX'!$G$115)</f>
        <v>2924.3286898271026</v>
      </c>
      <c r="CM80">
        <f>'Costing 100 Lmin Feed Orig'!DE80</f>
        <v>39625.826528698344</v>
      </c>
      <c r="CN80">
        <f>'Costing 100 Lmin Feed Orig'!DF80</f>
        <v>4586243.4239371875</v>
      </c>
      <c r="CO80">
        <f>'Costing 100 Lmin Feed Orig'!DG80</f>
        <v>11794834.586807497</v>
      </c>
      <c r="CP80">
        <f>'Costing 100 Lmin Feed Orig'!DH80</f>
        <v>2275209.1661185985</v>
      </c>
      <c r="CQ80">
        <f>'Costing 100 Lmin Feed Orig'!DI80</f>
        <v>14083914.336508472</v>
      </c>
      <c r="CR80">
        <f>'Costing 100 Lmin Feed Orig'!DJ80</f>
        <v>1662824.8986326549</v>
      </c>
      <c r="CS80">
        <f>CN80*(BK80/10000)^0.72*((A80+1)/3)^0.6*('CAPEX+OPEX'!$G$116/'CAPEX+OPEX'!$G$114)</f>
        <v>847423.79840727116</v>
      </c>
      <c r="CT80">
        <f>CO80*(BK80/10000)^0.72*((A80+1)/3)^0.6*('CAPEX+OPEX'!$G$116/'CAPEX+OPEX'!$G$114)</f>
        <v>2179392.2832288719</v>
      </c>
      <c r="CU80">
        <f>CP80*(BK80/10000)^0.72*((A80+1)/3)^0.6*('CAPEX+OPEX'!$G$116/'CAPEX+OPEX'!$G$114)</f>
        <v>420402.1059283549</v>
      </c>
      <c r="CV80">
        <f>CQ80*(BK80/10000)^0.72*((A80+1)/3)^0.6*('CAPEX+OPEX'!$G$116/'CAPEX+OPEX'!$G$114)</f>
        <v>2602357.3282642425</v>
      </c>
      <c r="CW80">
        <f>CR80*(BK80/10000)^0.72*((A80+1)/3)^0.6*('CAPEX+OPEX'!$G$116/'CAPEX+OPEX'!$G$114)</f>
        <v>307248.71347447456</v>
      </c>
      <c r="CX80">
        <f t="shared" si="32"/>
        <v>6356824.2293032147</v>
      </c>
      <c r="CY80">
        <f>CN80*(BM80/10000)^0.72*((AF80+1)/3)^0.6*('CAPEX+OPEX'!$G$116/'CAPEX+OPEX'!$G$114)</f>
        <v>884646.05002992239</v>
      </c>
      <c r="CZ80">
        <f>CO80*(BM80/10000)^0.72*((AF80+1)/3)^0.6*('CAPEX+OPEX'!$G$116/'CAPEX+OPEX'!$G$114)</f>
        <v>2275119.9322555778</v>
      </c>
      <c r="DA80">
        <f>CP80*(BM80/10000)^0.72*((AF80+1)/3)^0.6*('CAPEX+OPEX'!$G$116/'CAPEX+OPEX'!$G$114)</f>
        <v>438867.85234587191</v>
      </c>
      <c r="DB80">
        <f>CQ80*(BM80/10000)^0.72*((AF80+1)/3)^0.6*('CAPEX+OPEX'!$G$116/'CAPEX+OPEX'!$G$114)</f>
        <v>2716663.2982721184</v>
      </c>
      <c r="DC80">
        <f>CR80*(BM80/10000)^0.72*((AF80+1)/3)^0.6*('CAPEX+OPEX'!$G$116/'CAPEX+OPEX'!$G$114)</f>
        <v>320744.30911997985</v>
      </c>
      <c r="DD80">
        <f t="shared" si="33"/>
        <v>6636041.4420234701</v>
      </c>
      <c r="DE80">
        <f>CX80+DD80+1.15*(SUM(CI80:CL80)+SUM(CB80:CE80))</f>
        <v>13091038.788461953</v>
      </c>
      <c r="DF80">
        <f t="shared" si="34"/>
        <v>872735.91923079686</v>
      </c>
      <c r="DG80">
        <f>(BS80+BT80)*'Oxidant Feed Composition'!$N$29*60*7200</f>
        <v>9172667.5770655852</v>
      </c>
      <c r="DH80">
        <f>((CG80+CH80)*'Reagent cost'!$C$17/1000*'Reagent cost'!$H$17+(CG80+CH80)*0.5*'Reagent cost'!$C$16/1000*'Reagent cost'!$H$16*0.5)*60*7200</f>
        <v>3105373.4013682818</v>
      </c>
      <c r="DI80">
        <f>CF80*'Reagent cost'!$C$17/1000*'Reagent cost'!$H$17*60*7200</f>
        <v>504921.59999999998</v>
      </c>
      <c r="DJ80">
        <f t="shared" si="35"/>
        <v>107.47742312259867</v>
      </c>
      <c r="DK80">
        <f t="shared" si="36"/>
        <v>1206.3572209356068</v>
      </c>
      <c r="DL80">
        <f t="shared" si="37"/>
        <v>15341131.695693506</v>
      </c>
      <c r="DM80">
        <f>BK80*(B80*(409.81+2)/1000+C80*(248.2+2*22.99)/1000+D80*(315.6+3*22.99)/1000+0.1*58.44/1000)</f>
        <v>0.70639694042110623</v>
      </c>
      <c r="DN80">
        <f>(BS80+BT80)/1000*('Oxidant Feed Composition'!$B$11*'Oxidant Feed Composition'!$O$20+'Oxidant Feed Composition'!$D$11*'Oxidant Feed Composition'!$O$21+'Oxidant Feed Composition'!$F$11*'Oxidant Feed Composition'!$O$27-'Oxidant Feed Composition'!$J$15*18.015)</f>
        <v>2.1472982369175488</v>
      </c>
      <c r="DO80">
        <f>(BU80+BV80)/1000*(0.2*368.34+0.4*58.44)</f>
        <v>1.4869434637454768</v>
      </c>
      <c r="DP80">
        <f>BK80/1000*(B80*195.08+C80*106.42+D80*102.91)</f>
        <v>4.999938342565946E-2</v>
      </c>
      <c r="DQ80">
        <f>SUM(DM80:DO80)-DP80</f>
        <v>4.290639257658472</v>
      </c>
      <c r="DR80">
        <f>DQ80*60*7200*0.33</f>
        <v>611673.5325717919</v>
      </c>
      <c r="DS80">
        <v>1.2</v>
      </c>
      <c r="DT80">
        <f>BM80/60*(AM80*4+AN80*2+AO80*3)*96485/DV80</f>
        <v>1405.8825769117466</v>
      </c>
      <c r="DU80">
        <f>BN80*BA80*(AP80*4+AQ80*2+AR80*3)*96485/DV80/60</f>
        <v>705.80579676317939</v>
      </c>
      <c r="DV80">
        <v>0.7</v>
      </c>
      <c r="DW80">
        <f>0.499*((BK80/3.78541*15)^(-0.146))*BK80/3.78541*15*300*(1+(A80-2)/9)</f>
        <v>46784.46952433938</v>
      </c>
      <c r="DX80">
        <f>0.248*((BK80/3.78541*15)^(-0.144))*BK80/3.78541*15*300*(1+(A80-2)/3)</f>
        <v>45678.708869524045</v>
      </c>
      <c r="DY80">
        <f>0.105*((BK80/3.78541*15)^(-0.144))*BK80/3.78541*15*300*(1+(A80-2)/3)</f>
        <v>19339.775932661389</v>
      </c>
      <c r="DZ80">
        <f>0.058*((BK80/3.78541*15)^(-0.151))*BK80/3.78541*15*300*(1+(A80-2)/3)</f>
        <v>10244.818866671721</v>
      </c>
      <c r="EA80">
        <f>0.056*((BK80/3.78541*15)^(-0.144))*BK80/3.78541*15*300*(1+(A80-2)/3)</f>
        <v>10314.547164086078</v>
      </c>
      <c r="EB80">
        <f>DS80*DT80/(3.6*10^6)*3600*7200*0.07</f>
        <v>850.27778251622431</v>
      </c>
      <c r="EC80">
        <f>0.499*((BM80/3.78541*15)^(-0.146))*BM80/3.78541*15*300*(1+(AF80-2)/9)</f>
        <v>48855.995986073096</v>
      </c>
      <c r="ED80">
        <f>0.248*((BM80/3.78541*15)^(-0.144))*BM80/3.78541*15*300*(1+(AF80-2)/3)</f>
        <v>50432.083379093361</v>
      </c>
      <c r="EE80">
        <f>0.105*((BM80/3.78541*15)^(-0.144))*BM80/3.78541*15*300*(1+(AF80-2)/3)</f>
        <v>21352.293366148395</v>
      </c>
      <c r="EF80">
        <f>0.058*((BM80/3.78541*15)^(-0.151))*BM80/3.78541*15*300*(1+(AF80-2)/3)</f>
        <v>11317.202401332423</v>
      </c>
      <c r="EG80">
        <f>0.056*((BM80/3.78541*15)^(-0.144))*BM80/3.78541*15*300*(1+(AF80-2)/3)</f>
        <v>11387.889795279147</v>
      </c>
      <c r="EH80">
        <f>DS80*DU80/(3.6*10^6)*3600*7200*0.07</f>
        <v>426.87134588237086</v>
      </c>
      <c r="EI80">
        <f>SUM(DW80:EH80)</f>
        <v>276984.93441360764</v>
      </c>
      <c r="EJ80">
        <f>EI80+DR80+DL80</f>
        <v>16229790.162678905</v>
      </c>
      <c r="EK80">
        <f>EJ80+DF80</f>
        <v>17102526.081909701</v>
      </c>
      <c r="EL80">
        <f>EK80/(BK80*60*7200)</f>
        <v>0.39589180745161345</v>
      </c>
      <c r="EM80">
        <f>EK80/(BM80*(AM80*195.084/1000+AN80*106.42/1000+AO80*102.911/1000)*60*7200)</f>
        <v>1324.4436324672461</v>
      </c>
      <c r="EN80">
        <f>EK80/(BN80*BA80*(AP80*195.084/1000+AQ80*106.42/1000+AR80*102.911/1000)*60*7200)</f>
        <v>2430.6698254935895</v>
      </c>
    </row>
    <row r="81" spans="1:144">
      <c r="A81">
        <f>'Costing 100 Lmin Feed Orig'!A81</f>
        <v>10</v>
      </c>
      <c r="B81">
        <f>'Costing 100 Lmin Feed Orig'!B81</f>
        <v>1.54143585092054E-3</v>
      </c>
      <c r="C81">
        <f>'Costing 100 Lmin Feed Orig'!C81</f>
        <v>1.54143585092054E-3</v>
      </c>
      <c r="D81">
        <f>'Costing 100 Lmin Feed Orig'!D81</f>
        <v>3.4254130020456501E-4</v>
      </c>
      <c r="E81">
        <f>'Costing 100 Lmin Feed Orig'!E81</f>
        <v>0</v>
      </c>
      <c r="F81">
        <f>'Costing 100 Lmin Feed Orig'!F81</f>
        <v>0</v>
      </c>
      <c r="G81">
        <f>'Costing 100 Lmin Feed Orig'!G81</f>
        <v>0</v>
      </c>
      <c r="H81">
        <f>'Costing 100 Lmin Feed Orig'!H81</f>
        <v>1.7770671970930099E-5</v>
      </c>
      <c r="I81">
        <f>'Costing 100 Lmin Feed Orig'!I81</f>
        <v>5.2649488631162003E-10</v>
      </c>
      <c r="J81">
        <f>'Costing 100 Lmin Feed Orig'!J81</f>
        <v>3.3765279177869602E-4</v>
      </c>
      <c r="K81">
        <f>'Costing 100 Lmin Feed Orig'!K81</f>
        <v>0.139053960209192</v>
      </c>
      <c r="L81">
        <f>'Costing 100 Lmin Feed Orig'!L81</f>
        <v>0.14067571356050099</v>
      </c>
      <c r="M81">
        <f>'Costing 100 Lmin Feed Orig'!M81</f>
        <v>4.4613899794023002E-4</v>
      </c>
      <c r="N81">
        <f>'Costing 100 Lmin Feed Orig'!N81</f>
        <v>-1.6046192152785399E-16</v>
      </c>
      <c r="O81">
        <f>'Costing 100 Lmin Feed Orig'!O81</f>
        <v>-5.9831913729046996E-14</v>
      </c>
      <c r="P81">
        <f>'Costing 100 Lmin Feed Orig'!P81</f>
        <v>-6.6915602833089703E-20</v>
      </c>
      <c r="Q81">
        <f>'Costing 100 Lmin Feed Orig'!Q81</f>
        <v>0.10957366310586</v>
      </c>
      <c r="R81">
        <f>'Costing 100 Lmin Feed Orig'!R81</f>
        <v>98.572870359588904</v>
      </c>
      <c r="S81">
        <f>'Costing 100 Lmin Feed Orig'!S81</f>
        <v>500</v>
      </c>
      <c r="T81">
        <f>'Costing 100 Lmin Feed Orig'!T81</f>
        <v>95</v>
      </c>
      <c r="U81">
        <f>'Costing 100 Lmin Feed Orig'!U81</f>
        <v>1</v>
      </c>
      <c r="V81">
        <f>'Costing 100 Lmin Feed Orig'!V81</f>
        <v>0.1</v>
      </c>
      <c r="W81">
        <f>'Costing 100 Lmin Feed Orig'!W81</f>
        <v>91.262806376555005</v>
      </c>
      <c r="X81" t="str">
        <f>'Costing 100 Lmin Feed Orig'!X81</f>
        <v>ddFc</v>
      </c>
      <c r="Y81">
        <f>'Costing 100 Lmin Feed Orig'!Y81</f>
        <v>1</v>
      </c>
      <c r="Z81">
        <f>'Costing 100 Lmin Feed Orig'!Z81</f>
        <v>0.28318429382522198</v>
      </c>
      <c r="AA81">
        <f>'Costing 100 Lmin Feed Orig'!AA81</f>
        <v>0.56945642916197003</v>
      </c>
      <c r="AB81">
        <f>'Costing 100 Lmin Feed Orig'!AB81</f>
        <v>3.7698628972227502E-3</v>
      </c>
      <c r="AC81">
        <f>'Costing 100 Lmin Feed Orig'!AC81</f>
        <v>1822.2107908876901</v>
      </c>
      <c r="AD81">
        <f>'Costing 100 Lmin Feed Orig'!AD81</f>
        <v>2662.6059073104898</v>
      </c>
      <c r="AE81">
        <f>'Costing 100 Lmin Feed Orig'!AE81</f>
        <v>2401.5030938442701</v>
      </c>
      <c r="AF81">
        <f>'Costing 100 Lmin Feed Orig'!AF81</f>
        <v>13</v>
      </c>
      <c r="AG81">
        <f>'Costing 100 Lmin Feed Orig'!AG81</f>
        <v>1.6497548842793E-3</v>
      </c>
      <c r="AH81">
        <f>'Costing 100 Lmin Feed Orig'!AH81</f>
        <v>1.66899558413707E-3</v>
      </c>
      <c r="AI81">
        <f>'Costing 100 Lmin Feed Orig'!AI81</f>
        <v>5.2930530695573503E-6</v>
      </c>
      <c r="AJ81">
        <f>'Costing 100 Lmin Feed Orig'!AJ81</f>
        <v>0</v>
      </c>
      <c r="AK81">
        <f>'Costing 100 Lmin Feed Orig'!AK81</f>
        <v>0</v>
      </c>
      <c r="AL81">
        <f>'Costing 100 Lmin Feed Orig'!AL81</f>
        <v>0</v>
      </c>
      <c r="AM81">
        <f>'Costing 100 Lmin Feed Orig'!AM81</f>
        <v>1.6128081639407901E-3</v>
      </c>
      <c r="AN81">
        <f>'Costing 100 Lmin Feed Orig'!AN81</f>
        <v>7.96263962340472E-5</v>
      </c>
      <c r="AO81">
        <f>'Costing 100 Lmin Feed Orig'!AO81</f>
        <v>5.2582439733631299E-6</v>
      </c>
      <c r="AP81">
        <f>'Costing 100 Lmin Feed Orig'!AP81</f>
        <v>1.7332424309303299E-3</v>
      </c>
      <c r="AQ81">
        <f>'Costing 100 Lmin Feed Orig'!AQ81</f>
        <v>7.4560396420763494E-2</v>
      </c>
      <c r="AR81">
        <f>'Costing 100 Lmin Feed Orig'!AR81</f>
        <v>1.63296232935881E-6</v>
      </c>
      <c r="AS81">
        <f>'Costing 100 Lmin Feed Orig'!AS81</f>
        <v>5.2177229550864901E-19</v>
      </c>
      <c r="AT81">
        <f>'Costing 100 Lmin Feed Orig'!AT81</f>
        <v>-1.32272665043231E-17</v>
      </c>
      <c r="AU81">
        <f>'Costing 100 Lmin Feed Orig'!AU81</f>
        <v>8.0732827785175501E-22</v>
      </c>
      <c r="AV81">
        <f>'Costing 100 Lmin Feed Orig'!AV81</f>
        <v>0.19687324544888599</v>
      </c>
      <c r="AW81">
        <f>'Costing 100 Lmin Feed Orig'!AW81</f>
        <v>99.3423626074255</v>
      </c>
      <c r="AX81">
        <f>'Costing 100 Lmin Feed Orig'!AX81</f>
        <v>500</v>
      </c>
      <c r="AY81">
        <f>'Costing 100 Lmin Feed Orig'!AY81</f>
        <v>95</v>
      </c>
      <c r="AZ81">
        <f>'Costing 100 Lmin Feed Orig'!AZ81</f>
        <v>0.92357064280818002</v>
      </c>
      <c r="BA81">
        <f>'Costing 100 Lmin Feed Orig'!BA81</f>
        <v>0.1</v>
      </c>
      <c r="BB81">
        <f>'Costing 100 Lmin Feed Orig'!BB81</f>
        <v>46.9119427935657</v>
      </c>
      <c r="BC81" t="str">
        <f>'Costing 100 Lmin Feed Orig'!BC81</f>
        <v>coeFc</v>
      </c>
      <c r="BD81">
        <f>'Costing 100 Lmin Feed Orig'!BD81</f>
        <v>1</v>
      </c>
      <c r="BE81">
        <f>'Costing 100 Lmin Feed Orig'!BE81</f>
        <v>1.8775014999999999E-2</v>
      </c>
      <c r="BF81">
        <f>'Costing 100 Lmin Feed Orig'!BF81</f>
        <v>0.10492961100000001</v>
      </c>
      <c r="BG81">
        <f>'Costing 100 Lmin Feed Orig'!BG81</f>
        <v>1.814625E-3</v>
      </c>
      <c r="BH81">
        <f>'Costing 100 Lmin Feed Orig'!BH81</f>
        <v>285.1951444</v>
      </c>
      <c r="BI81">
        <f>'Costing 100 Lmin Feed Orig'!BI81</f>
        <v>2169.8944889999998</v>
      </c>
      <c r="BJ81">
        <f>'Costing 100 Lmin Feed Orig'!BJ81</f>
        <v>866.49409060000005</v>
      </c>
      <c r="BK81">
        <f>'Costing 100 Lmin Feed Orig'!BK81</f>
        <v>100</v>
      </c>
      <c r="BL81">
        <f>'Costing 100 Lmin Feed Orig'!BL81</f>
        <v>10.957366310586</v>
      </c>
      <c r="BM81">
        <f>'Costing 100 Lmin Feed Orig'!BM81</f>
        <v>92.357064280818008</v>
      </c>
      <c r="BN81">
        <f>'Costing 100 Lmin Feed Orig'!BN81</f>
        <v>19.6873245448886</v>
      </c>
      <c r="BO81">
        <f t="shared" si="20"/>
        <v>262.97679145406403</v>
      </c>
      <c r="BP81">
        <f t="shared" si="21"/>
        <v>590.61973634665799</v>
      </c>
      <c r="BQ81">
        <f t="shared" si="22"/>
        <v>26.297679145406406</v>
      </c>
      <c r="BR81">
        <f t="shared" si="23"/>
        <v>59.061973634665804</v>
      </c>
      <c r="BS81">
        <f>1.2*0.5*BL81*V81/'Oxidant Feed Composition'!$N$22</f>
        <v>6.5744197863515996</v>
      </c>
      <c r="BT81">
        <f>1.2*0.5*BN81*BA81/'Oxidant Feed Composition'!$N$22</f>
        <v>11.812394726933158</v>
      </c>
      <c r="BU81">
        <f t="shared" si="24"/>
        <v>5.478683155293</v>
      </c>
      <c r="BV81">
        <f t="shared" si="25"/>
        <v>9.8436622724443001</v>
      </c>
      <c r="BW81">
        <f t="shared" si="26"/>
        <v>86.87838112552501</v>
      </c>
      <c r="BX81">
        <f t="shared" si="19"/>
        <v>35.063572193875203</v>
      </c>
      <c r="BY81">
        <f t="shared" si="27"/>
        <v>206.62886118280801</v>
      </c>
      <c r="BZ81">
        <f t="shared" si="28"/>
        <v>62.999438543643521</v>
      </c>
      <c r="CA81">
        <f t="shared" si="29"/>
        <v>59.061973634665804</v>
      </c>
      <c r="CB81">
        <f>BO81*'Reagent cost'!$G$11*'Reagent cost'!$H$11</f>
        <v>3471.2936471936455</v>
      </c>
      <c r="CC81">
        <f>BP81*'Reagent cost'!$G$11*'Reagent cost'!$H$11</f>
        <v>7796.1805197758858</v>
      </c>
      <c r="CD81">
        <f>BQ81*'Reagent cost'!$C$18/1000*'Reagent cost'!$H$18</f>
        <v>4193.9657747282263</v>
      </c>
      <c r="CE81">
        <f>BR81*'Ligand cost'!$B$56*'Ligand cost'!$J$56</f>
        <v>60132.633260312105</v>
      </c>
      <c r="CF81">
        <f t="shared" si="30"/>
        <v>10</v>
      </c>
      <c r="CG81">
        <f t="shared" si="31"/>
        <v>2.1914732621172002</v>
      </c>
      <c r="CH81">
        <f t="shared" si="31"/>
        <v>3.9374649089777201</v>
      </c>
      <c r="CI81">
        <f>7963.6*(BX81/1000)^0.6*1.7*('CAPEX+OPEX'!$G$116/'CAPEX+OPEX'!$G$115)</f>
        <v>2138.7234102796551</v>
      </c>
      <c r="CJ81">
        <f>7963.6*(BY81/1000)^0.6*1.7*('CAPEX+OPEX'!$G$116/'CAPEX+OPEX'!$G$115)</f>
        <v>6199.4836239091055</v>
      </c>
      <c r="CK81">
        <f>7963.6*(BZ81/1000)^0.6*1.7*('CAPEX+OPEX'!$G$116/'CAPEX+OPEX'!$G$115)</f>
        <v>3039.7854734922639</v>
      </c>
      <c r="CL81">
        <f>7963.6*(CA81/1000)^0.6*1.7*('CAPEX+OPEX'!$G$116/'CAPEX+OPEX'!$G$115)</f>
        <v>2924.3254313193802</v>
      </c>
      <c r="CM81">
        <f>'Costing 100 Lmin Feed Orig'!DE81</f>
        <v>39625.826528698344</v>
      </c>
      <c r="CN81">
        <f>'Costing 100 Lmin Feed Orig'!DF81</f>
        <v>4586243.4239371875</v>
      </c>
      <c r="CO81">
        <f>'Costing 100 Lmin Feed Orig'!DG81</f>
        <v>11794834.586807497</v>
      </c>
      <c r="CP81">
        <f>'Costing 100 Lmin Feed Orig'!DH81</f>
        <v>2275209.1661185985</v>
      </c>
      <c r="CQ81">
        <f>'Costing 100 Lmin Feed Orig'!DI81</f>
        <v>14083914.336508472</v>
      </c>
      <c r="CR81">
        <f>'Costing 100 Lmin Feed Orig'!DJ81</f>
        <v>1662824.8986326549</v>
      </c>
      <c r="CS81">
        <f>CN81*(BK81/10000)^0.72*((A81+1)/3)^0.6*('CAPEX+OPEX'!$G$116/'CAPEX+OPEX'!$G$114)</f>
        <v>847423.79840727116</v>
      </c>
      <c r="CT81">
        <f>CO81*(BK81/10000)^0.72*((A81+1)/3)^0.6*('CAPEX+OPEX'!$G$116/'CAPEX+OPEX'!$G$114)</f>
        <v>2179392.2832288719</v>
      </c>
      <c r="CU81">
        <f>CP81*(BK81/10000)^0.72*((A81+1)/3)^0.6*('CAPEX+OPEX'!$G$116/'CAPEX+OPEX'!$G$114)</f>
        <v>420402.1059283549</v>
      </c>
      <c r="CV81">
        <f>CQ81*(BK81/10000)^0.72*((A81+1)/3)^0.6*('CAPEX+OPEX'!$G$116/'CAPEX+OPEX'!$G$114)</f>
        <v>2602357.3282642425</v>
      </c>
      <c r="CW81">
        <f>CR81*(BK81/10000)^0.72*((A81+1)/3)^0.6*('CAPEX+OPEX'!$G$116/'CAPEX+OPEX'!$G$114)</f>
        <v>307248.71347447456</v>
      </c>
      <c r="CX81">
        <f t="shared" si="32"/>
        <v>6356824.2293032147</v>
      </c>
      <c r="CY81">
        <f>CN81*(BM81/10000)^0.72*((AF81+1)/3)^0.6*('CAPEX+OPEX'!$G$116/'CAPEX+OPEX'!$G$114)</f>
        <v>924869.27650897147</v>
      </c>
      <c r="CZ81">
        <f>CO81*(BM81/10000)^0.72*((AF81+1)/3)^0.6*('CAPEX+OPEX'!$G$116/'CAPEX+OPEX'!$G$114)</f>
        <v>2378565.4450671924</v>
      </c>
      <c r="DA81">
        <f>CP81*(BM81/10000)^0.72*((AF81+1)/3)^0.6*('CAPEX+OPEX'!$G$116/'CAPEX+OPEX'!$G$114)</f>
        <v>458822.36524816178</v>
      </c>
      <c r="DB81">
        <f>CQ81*(BM81/10000)^0.72*((AF81+1)/3)^0.6*('CAPEX+OPEX'!$G$116/'CAPEX+OPEX'!$G$114)</f>
        <v>2840184.9746646415</v>
      </c>
      <c r="DC81">
        <f>CR81*(BM81/10000)^0.72*((AF81+1)/3)^0.6*('CAPEX+OPEX'!$G$116/'CAPEX+OPEX'!$G$114)</f>
        <v>335327.96208170697</v>
      </c>
      <c r="DD81">
        <f t="shared" si="33"/>
        <v>6937770.0235706745</v>
      </c>
      <c r="DE81">
        <f>CX81+DD81+1.15*(SUM(CI81:CL81)+SUM(CB81:CE81))</f>
        <v>13397975.102686051</v>
      </c>
      <c r="DF81">
        <f t="shared" si="34"/>
        <v>893198.34017907013</v>
      </c>
      <c r="DG81">
        <f>(BS81+BT81)*'Oxidant Feed Composition'!$N$29*60*7200</f>
        <v>9172656.6332552657</v>
      </c>
      <c r="DH81">
        <f>((CG81+CH81)*'Reagent cost'!$C$17/1000*'Reagent cost'!$H$17+(CG81+CH81)*0.5*'Reagent cost'!$C$16/1000*'Reagent cost'!$H$16*0.5)*60*7200</f>
        <v>3105369.6963809184</v>
      </c>
      <c r="DI81">
        <f>CF81*'Reagent cost'!$C$17/1000*'Reagent cost'!$H$17*60*7200</f>
        <v>504921.59999999998</v>
      </c>
      <c r="DJ81">
        <f t="shared" si="35"/>
        <v>112.67474166969532</v>
      </c>
      <c r="DK81">
        <f t="shared" si="36"/>
        <v>1286.5319807008066</v>
      </c>
      <c r="DL81">
        <f t="shared" si="37"/>
        <v>15341216.563630266</v>
      </c>
      <c r="DM81">
        <f>BK81*(B81*(409.81+2)/1000+C81*(248.2+2*22.99)/1000+D81*(315.6+3*22.99)/1000+0.1*58.44/1000)</f>
        <v>0.70639694042110623</v>
      </c>
      <c r="DN81">
        <f>(BS81+BT81)/1000*('Oxidant Feed Composition'!$B$11*'Oxidant Feed Composition'!$O$20+'Oxidant Feed Composition'!$D$11*'Oxidant Feed Composition'!$O$21+'Oxidant Feed Composition'!$F$11*'Oxidant Feed Composition'!$O$27-'Oxidant Feed Composition'!$J$15*18.015)</f>
        <v>2.1472956749992838</v>
      </c>
      <c r="DO81">
        <f>(BU81+BV81)/1000*(0.2*368.34+0.4*58.44)</f>
        <v>1.4869416896893384</v>
      </c>
      <c r="DP81">
        <f>BK81/1000*(B81*195.08+C81*106.42+D81*102.91)</f>
        <v>4.999938342565946E-2</v>
      </c>
      <c r="DQ81">
        <f>SUM(DM81:DO81)-DP81</f>
        <v>4.2906349216840685</v>
      </c>
      <c r="DR81">
        <f>DQ81*60*7200*0.33</f>
        <v>611672.91443528072</v>
      </c>
      <c r="DS81">
        <v>1.2</v>
      </c>
      <c r="DT81">
        <f>BM81/60*(AM81*4+AN81*2+AO81*3)*96485/DV81</f>
        <v>1405.8827911906292</v>
      </c>
      <c r="DU81">
        <f>BN81*BA81*(AP81*4+AQ81*2+AR81*3)*96485/DV81/60</f>
        <v>705.80558246711394</v>
      </c>
      <c r="DV81">
        <v>0.7</v>
      </c>
      <c r="DW81">
        <f>0.499*((BK81/3.78541*15)^(-0.146))*BK81/3.78541*15*300*(1+(A81-2)/9)</f>
        <v>46784.46952433938</v>
      </c>
      <c r="DX81">
        <f>0.248*((BK81/3.78541*15)^(-0.144))*BK81/3.78541*15*300*(1+(A81-2)/3)</f>
        <v>45678.708869524045</v>
      </c>
      <c r="DY81">
        <f>0.105*((BK81/3.78541*15)^(-0.144))*BK81/3.78541*15*300*(1+(A81-2)/3)</f>
        <v>19339.775932661389</v>
      </c>
      <c r="DZ81">
        <f>0.058*((BK81/3.78541*15)^(-0.151))*BK81/3.78541*15*300*(1+(A81-2)/3)</f>
        <v>10244.818866671721</v>
      </c>
      <c r="EA81">
        <f>0.056*((BK81/3.78541*15)^(-0.144))*BK81/3.78541*15*300*(1+(A81-2)/3)</f>
        <v>10314.547164086078</v>
      </c>
      <c r="EB81">
        <f>DS81*DT81/(3.6*10^6)*3600*7200*0.07</f>
        <v>850.27791211209262</v>
      </c>
      <c r="EC81">
        <f>0.499*((BM81/3.78541*15)^(-0.146))*BM81/3.78541*15*300*(1+(AF81-2)/9)</f>
        <v>51427.364195866423</v>
      </c>
      <c r="ED81">
        <f>0.248*((BM81/3.78541*15)^(-0.144))*BM81/3.78541*15*300*(1+(AF81-2)/3)</f>
        <v>54311.474408254369</v>
      </c>
      <c r="EE81">
        <f>0.105*((BM81/3.78541*15)^(-0.144))*BM81/3.78541*15*300*(1+(AF81-2)/3)</f>
        <v>22994.777471236728</v>
      </c>
      <c r="EF81">
        <f>0.058*((BM81/3.78541*15)^(-0.151))*BM81/3.78541*15*300*(1+(AF81-2)/3)</f>
        <v>12187.756432204143</v>
      </c>
      <c r="EG81">
        <f>0.056*((BM81/3.78541*15)^(-0.144))*BM81/3.78541*15*300*(1+(AF81-2)/3)</f>
        <v>12263.881317992924</v>
      </c>
      <c r="EH81">
        <f>DS81*DU81/(3.6*10^6)*3600*7200*0.07</f>
        <v>426.87121627611049</v>
      </c>
      <c r="EI81">
        <f>SUM(DW81:EH81)</f>
        <v>286824.72331122548</v>
      </c>
      <c r="EJ81">
        <f>EI81+DR81+DL81</f>
        <v>16239714.201376772</v>
      </c>
      <c r="EK81">
        <f>EJ81+DF81</f>
        <v>17132912.541555841</v>
      </c>
      <c r="EL81">
        <f>EK81/(BK81*60*7200)</f>
        <v>0.3965951977212</v>
      </c>
      <c r="EM81">
        <f>EK81/(BM81*(AM81*195.084/1000+AN81*106.42/1000+AO81*102.911/1000)*60*7200)</f>
        <v>1326.7966002167855</v>
      </c>
      <c r="EN81">
        <f>EK81/(BN81*BA81*(AP81*195.084/1000+AQ81*106.42/1000+AR81*102.911/1000)*60*7200)</f>
        <v>2434.9891352358968</v>
      </c>
    </row>
    <row r="82" spans="1:144">
      <c r="A82">
        <f>'Costing 100 Lmin Feed Orig'!A82</f>
        <v>11</v>
      </c>
      <c r="B82">
        <f>'Costing 100 Lmin Feed Orig'!B82</f>
        <v>1.54143585092054E-3</v>
      </c>
      <c r="C82">
        <f>'Costing 100 Lmin Feed Orig'!C82</f>
        <v>1.54143585092054E-3</v>
      </c>
      <c r="D82">
        <f>'Costing 100 Lmin Feed Orig'!D82</f>
        <v>3.4254130020456501E-4</v>
      </c>
      <c r="E82">
        <f>'Costing 100 Lmin Feed Orig'!E82</f>
        <v>0</v>
      </c>
      <c r="F82">
        <f>'Costing 100 Lmin Feed Orig'!F82</f>
        <v>0</v>
      </c>
      <c r="G82">
        <f>'Costing 100 Lmin Feed Orig'!G82</f>
        <v>0</v>
      </c>
      <c r="H82">
        <f>'Costing 100 Lmin Feed Orig'!H82</f>
        <v>1.7771367359861701E-5</v>
      </c>
      <c r="I82">
        <f>'Costing 100 Lmin Feed Orig'!I82</f>
        <v>1.8081057367328801E-10</v>
      </c>
      <c r="J82">
        <f>'Costing 100 Lmin Feed Orig'!J82</f>
        <v>3.3765941525589702E-4</v>
      </c>
      <c r="K82">
        <f>'Costing 100 Lmin Feed Orig'!K82</f>
        <v>0.139102253285185</v>
      </c>
      <c r="L82">
        <f>'Costing 100 Lmin Feed Orig'!L82</f>
        <v>0.14072466572308701</v>
      </c>
      <c r="M82">
        <f>'Costing 100 Lmin Feed Orig'!M82</f>
        <v>4.4568945720355099E-4</v>
      </c>
      <c r="N82">
        <f>'Costing 100 Lmin Feed Orig'!N82</f>
        <v>-8.03393809811758E-16</v>
      </c>
      <c r="O82">
        <f>'Costing 100 Lmin Feed Orig'!O82</f>
        <v>-8.4019770307808202E-13</v>
      </c>
      <c r="P82">
        <f>'Costing 100 Lmin Feed Orig'!P82</f>
        <v>-2.26157796916898E-19</v>
      </c>
      <c r="Q82">
        <f>'Costing 100 Lmin Feed Orig'!Q82</f>
        <v>0.10953557168033</v>
      </c>
      <c r="R82">
        <f>'Costing 100 Lmin Feed Orig'!R82</f>
        <v>98.5748039883795</v>
      </c>
      <c r="S82">
        <f>'Costing 100 Lmin Feed Orig'!S82</f>
        <v>500</v>
      </c>
      <c r="T82">
        <f>'Costing 100 Lmin Feed Orig'!T82</f>
        <v>95</v>
      </c>
      <c r="U82">
        <f>'Costing 100 Lmin Feed Orig'!U82</f>
        <v>1</v>
      </c>
      <c r="V82">
        <f>'Costing 100 Lmin Feed Orig'!V82</f>
        <v>0.1</v>
      </c>
      <c r="W82">
        <f>'Costing 100 Lmin Feed Orig'!W82</f>
        <v>91.294543376138293</v>
      </c>
      <c r="X82" t="str">
        <f>'Costing 100 Lmin Feed Orig'!X82</f>
        <v>ddFc</v>
      </c>
      <c r="Y82">
        <f>'Costing 100 Lmin Feed Orig'!Y82</f>
        <v>1</v>
      </c>
      <c r="Z82">
        <f>'Costing 100 Lmin Feed Orig'!Z82</f>
        <v>0.28318429382522198</v>
      </c>
      <c r="AA82">
        <f>'Costing 100 Lmin Feed Orig'!AA82</f>
        <v>0.56945642916197003</v>
      </c>
      <c r="AB82">
        <f>'Costing 100 Lmin Feed Orig'!AB82</f>
        <v>3.7698628972227502E-3</v>
      </c>
      <c r="AC82">
        <f>'Costing 100 Lmin Feed Orig'!AC82</f>
        <v>1822.2107908876901</v>
      </c>
      <c r="AD82">
        <f>'Costing 100 Lmin Feed Orig'!AD82</f>
        <v>2662.6059073104898</v>
      </c>
      <c r="AE82">
        <f>'Costing 100 Lmin Feed Orig'!AE82</f>
        <v>2401.5030938442701</v>
      </c>
      <c r="AF82">
        <f>'Costing 100 Lmin Feed Orig'!AF82</f>
        <v>4</v>
      </c>
      <c r="AG82">
        <f>'Costing 100 Lmin Feed Orig'!AG82</f>
        <v>1.6497569194096201E-3</v>
      </c>
      <c r="AH82">
        <f>'Costing 100 Lmin Feed Orig'!AH82</f>
        <v>1.6689987798565299E-3</v>
      </c>
      <c r="AI82">
        <f>'Costing 100 Lmin Feed Orig'!AI82</f>
        <v>5.28589040482341E-6</v>
      </c>
      <c r="AJ82">
        <f>'Costing 100 Lmin Feed Orig'!AJ82</f>
        <v>0</v>
      </c>
      <c r="AK82">
        <f>'Costing 100 Lmin Feed Orig'!AK82</f>
        <v>0</v>
      </c>
      <c r="AL82">
        <f>'Costing 100 Lmin Feed Orig'!AL82</f>
        <v>0</v>
      </c>
      <c r="AM82">
        <f>'Costing 100 Lmin Feed Orig'!AM82</f>
        <v>1.6048442786411501E-3</v>
      </c>
      <c r="AN82">
        <f>'Costing 100 Lmin Feed Orig'!AN82</f>
        <v>7.9221543426505204E-5</v>
      </c>
      <c r="AO82">
        <f>'Costing 100 Lmin Feed Orig'!AO82</f>
        <v>5.2439449251215197E-6</v>
      </c>
      <c r="AP82">
        <f>'Costing 100 Lmin Feed Orig'!AP82</f>
        <v>1.9874086219128402E-3</v>
      </c>
      <c r="AQ82">
        <f>'Costing 100 Lmin Feed Orig'!AQ82</f>
        <v>7.0348501715363707E-2</v>
      </c>
      <c r="AR82">
        <f>'Costing 100 Lmin Feed Orig'!AR82</f>
        <v>1.8561101411739801E-6</v>
      </c>
      <c r="AS82">
        <f>'Costing 100 Lmin Feed Orig'!AS82</f>
        <v>-9.4923594267000406E-15</v>
      </c>
      <c r="AT82">
        <f>'Costing 100 Lmin Feed Orig'!AT82</f>
        <v>-1.2240620843317799E-13</v>
      </c>
      <c r="AU82">
        <f>'Costing 100 Lmin Feed Orig'!AU82</f>
        <v>-3.0355146200531901E-18</v>
      </c>
      <c r="AV82">
        <f>'Costing 100 Lmin Feed Orig'!AV82</f>
        <v>0.20871362817040201</v>
      </c>
      <c r="AW82">
        <f>'Costing 100 Lmin Feed Orig'!AW82</f>
        <v>99.206463311013493</v>
      </c>
      <c r="AX82">
        <f>'Costing 100 Lmin Feed Orig'!AX82</f>
        <v>500</v>
      </c>
      <c r="AY82">
        <f>'Costing 100 Lmin Feed Orig'!AY82</f>
        <v>95</v>
      </c>
      <c r="AZ82">
        <f>'Costing 100 Lmin Feed Orig'!AZ82</f>
        <v>0.92356908198738696</v>
      </c>
      <c r="BA82">
        <f>'Costing 100 Lmin Feed Orig'!BA82</f>
        <v>0.1</v>
      </c>
      <c r="BB82">
        <f>'Costing 100 Lmin Feed Orig'!BB82</f>
        <v>44.250540325682302</v>
      </c>
      <c r="BC82" t="str">
        <f>'Costing 100 Lmin Feed Orig'!BC82</f>
        <v>coeFc</v>
      </c>
      <c r="BD82">
        <f>'Costing 100 Lmin Feed Orig'!BD82</f>
        <v>1</v>
      </c>
      <c r="BE82">
        <f>'Costing 100 Lmin Feed Orig'!BE82</f>
        <v>1.8775014999999999E-2</v>
      </c>
      <c r="BF82">
        <f>'Costing 100 Lmin Feed Orig'!BF82</f>
        <v>0.10492961100000001</v>
      </c>
      <c r="BG82">
        <f>'Costing 100 Lmin Feed Orig'!BG82</f>
        <v>1.814625E-3</v>
      </c>
      <c r="BH82">
        <f>'Costing 100 Lmin Feed Orig'!BH82</f>
        <v>285.1951444</v>
      </c>
      <c r="BI82">
        <f>'Costing 100 Lmin Feed Orig'!BI82</f>
        <v>2169.8944889999998</v>
      </c>
      <c r="BJ82">
        <f>'Costing 100 Lmin Feed Orig'!BJ82</f>
        <v>866.49409060000005</v>
      </c>
      <c r="BK82">
        <f>'Costing 100 Lmin Feed Orig'!BK82</f>
        <v>100</v>
      </c>
      <c r="BL82">
        <f>'Costing 100 Lmin Feed Orig'!BL82</f>
        <v>10.953557168032999</v>
      </c>
      <c r="BM82">
        <f>'Costing 100 Lmin Feed Orig'!BM82</f>
        <v>92.356908198738694</v>
      </c>
      <c r="BN82">
        <f>'Costing 100 Lmin Feed Orig'!BN82</f>
        <v>20.8713628170402</v>
      </c>
      <c r="BO82">
        <f t="shared" si="20"/>
        <v>284.79248636885796</v>
      </c>
      <c r="BP82">
        <f t="shared" si="21"/>
        <v>250.4563538044824</v>
      </c>
      <c r="BQ82">
        <f t="shared" si="22"/>
        <v>28.479248636885799</v>
      </c>
      <c r="BR82">
        <f t="shared" si="23"/>
        <v>25.045635380448243</v>
      </c>
      <c r="BS82">
        <f>1.2*0.5*BL82*V82/'Oxidant Feed Composition'!$N$22</f>
        <v>6.5721343008197994</v>
      </c>
      <c r="BT82">
        <f>1.2*0.5*BN82*BA82/'Oxidant Feed Composition'!$N$22</f>
        <v>12.52281769022412</v>
      </c>
      <c r="BU82">
        <f t="shared" si="24"/>
        <v>5.4767785840164995</v>
      </c>
      <c r="BV82">
        <f t="shared" si="25"/>
        <v>10.4356814085201</v>
      </c>
      <c r="BW82">
        <f t="shared" si="26"/>
        <v>86.880129614722193</v>
      </c>
      <c r="BX82">
        <f t="shared" si="19"/>
        <v>35.051382937705597</v>
      </c>
      <c r="BY82">
        <f t="shared" si="27"/>
        <v>206.62093073354339</v>
      </c>
      <c r="BZ82">
        <f t="shared" si="28"/>
        <v>66.788361014528647</v>
      </c>
      <c r="CA82">
        <f t="shared" si="29"/>
        <v>62.614088451120601</v>
      </c>
      <c r="CB82">
        <f>BO82*'Reagent cost'!$G$11*'Reagent cost'!$H$11</f>
        <v>3759.2608200689256</v>
      </c>
      <c r="CC82">
        <f>BP82*'Reagent cost'!$G$11*'Reagent cost'!$H$11</f>
        <v>3306.0238702191682</v>
      </c>
      <c r="CD82">
        <f>BQ82*'Reagent cost'!$C$18/1000*'Reagent cost'!$H$18</f>
        <v>4541.8834647976191</v>
      </c>
      <c r="CE82">
        <f>BR82*'Ligand cost'!$B$56*'Ligand cost'!$J$56</f>
        <v>25499.65594478586</v>
      </c>
      <c r="CF82">
        <f t="shared" si="30"/>
        <v>10</v>
      </c>
      <c r="CG82">
        <f t="shared" si="31"/>
        <v>2.1907114336065998</v>
      </c>
      <c r="CH82">
        <f t="shared" si="31"/>
        <v>4.1742725634080404</v>
      </c>
      <c r="CI82">
        <f>7963.6*(BX82/1000)^0.6*1.7*('CAPEX+OPEX'!$G$116/'CAPEX+OPEX'!$G$115)</f>
        <v>2138.2772847076108</v>
      </c>
      <c r="CJ82">
        <f>7963.6*(BY82/1000)^0.6*1.7*('CAPEX+OPEX'!$G$116/'CAPEX+OPEX'!$G$115)</f>
        <v>6199.3408604999822</v>
      </c>
      <c r="CK82">
        <f>7963.6*(BZ82/1000)^0.6*1.7*('CAPEX+OPEX'!$G$116/'CAPEX+OPEX'!$G$115)</f>
        <v>3148.193366381196</v>
      </c>
      <c r="CL82">
        <f>7963.6*(CA82/1000)^0.6*1.7*('CAPEX+OPEX'!$G$116/'CAPEX+OPEX'!$G$115)</f>
        <v>3028.6156718298857</v>
      </c>
      <c r="CM82">
        <f>'Costing 100 Lmin Feed Orig'!DE82</f>
        <v>39625.826528698344</v>
      </c>
      <c r="CN82">
        <f>'Costing 100 Lmin Feed Orig'!DF82</f>
        <v>4586243.4239371875</v>
      </c>
      <c r="CO82">
        <f>'Costing 100 Lmin Feed Orig'!DG82</f>
        <v>11794834.586807497</v>
      </c>
      <c r="CP82">
        <f>'Costing 100 Lmin Feed Orig'!DH82</f>
        <v>2275209.1661185985</v>
      </c>
      <c r="CQ82">
        <f>'Costing 100 Lmin Feed Orig'!DI82</f>
        <v>14083914.336508472</v>
      </c>
      <c r="CR82">
        <f>'Costing 100 Lmin Feed Orig'!DJ82</f>
        <v>1662824.8986326549</v>
      </c>
      <c r="CS82">
        <f>CN82*(BK82/10000)^0.72*((A82+1)/3)^0.6*('CAPEX+OPEX'!$G$116/'CAPEX+OPEX'!$G$114)</f>
        <v>892840.31653984461</v>
      </c>
      <c r="CT82">
        <f>CO82*(BK82/10000)^0.72*((A82+1)/3)^0.6*('CAPEX+OPEX'!$G$116/'CAPEX+OPEX'!$G$114)</f>
        <v>2296193.8284949926</v>
      </c>
      <c r="CU82">
        <f>CP82*(BK82/10000)^0.72*((A82+1)/3)^0.6*('CAPEX+OPEX'!$G$116/'CAPEX+OPEX'!$G$114)</f>
        <v>442932.9811560188</v>
      </c>
      <c r="CV82">
        <f>CQ82*(BK82/10000)^0.72*((A82+1)/3)^0.6*('CAPEX+OPEX'!$G$116/'CAPEX+OPEX'!$G$114)</f>
        <v>2741827.1059701391</v>
      </c>
      <c r="CW82">
        <f>CR82*(BK82/10000)^0.72*((A82+1)/3)^0.6*('CAPEX+OPEX'!$G$116/'CAPEX+OPEX'!$G$114)</f>
        <v>323715.28756992728</v>
      </c>
      <c r="CX82">
        <f t="shared" si="32"/>
        <v>6697509.5197309218</v>
      </c>
      <c r="CY82">
        <f>CN82*(BM82/10000)^0.72*((AF82+1)/3)^0.6*('CAPEX+OPEX'!$G$116/'CAPEX+OPEX'!$G$114)</f>
        <v>498637.57922471326</v>
      </c>
      <c r="CZ82">
        <f>CO82*(BM82/10000)^0.72*((AF82+1)/3)^0.6*('CAPEX+OPEX'!$G$116/'CAPEX+OPEX'!$G$114)</f>
        <v>1282388.9231489168</v>
      </c>
      <c r="DA82">
        <f>CP82*(BM82/10000)^0.72*((AF82+1)/3)^0.6*('CAPEX+OPEX'!$G$116/'CAPEX+OPEX'!$G$114)</f>
        <v>247371.254849205</v>
      </c>
      <c r="DB82">
        <f>CQ82*(BM82/10000)^0.72*((AF82+1)/3)^0.6*('CAPEX+OPEX'!$G$116/'CAPEX+OPEX'!$G$114)</f>
        <v>1531268.2519446225</v>
      </c>
      <c r="DC82">
        <f>CR82*(BM82/10000)^0.72*((AF82+1)/3)^0.6*('CAPEX+OPEX'!$G$116/'CAPEX+OPEX'!$G$114)</f>
        <v>180790.00730775911</v>
      </c>
      <c r="DD82">
        <f t="shared" si="33"/>
        <v>3740456.016475217</v>
      </c>
      <c r="DE82">
        <f>CX82+DD82+1.15*(SUM(CI82:CL82)+SUM(CB82:CE82))</f>
        <v>10497329.975181922</v>
      </c>
      <c r="DF82">
        <f t="shared" si="34"/>
        <v>699821.99834546144</v>
      </c>
      <c r="DG82">
        <f>(BS82+BT82)*'Oxidant Feed Composition'!$N$29*60*7200</f>
        <v>9525926.1965029482</v>
      </c>
      <c r="DH82">
        <f>((CG82+CH82)*'Reagent cost'!$C$17/1000*'Reagent cost'!$H$17+(CG82+CH82)*0.5*'Reagent cost'!$C$16/1000*'Reagent cost'!$H$16*0.5)*60*7200</f>
        <v>3224967.8281136369</v>
      </c>
      <c r="DI82">
        <f>CF82*'Reagent cost'!$C$17/1000*'Reagent cost'!$H$17*60*7200</f>
        <v>504921.59999999998</v>
      </c>
      <c r="DJ82">
        <f t="shared" si="35"/>
        <v>70.652846902880938</v>
      </c>
      <c r="DK82">
        <f t="shared" si="36"/>
        <v>600.83078819166963</v>
      </c>
      <c r="DL82">
        <f t="shared" si="37"/>
        <v>15907784.529902013</v>
      </c>
      <c r="DM82">
        <f>BK82*(B82*(409.81+2)/1000+C82*(248.2+2*22.99)/1000+D82*(315.6+3*22.99)/1000+0.1*58.44/1000)</f>
        <v>0.70639694042110623</v>
      </c>
      <c r="DN82">
        <f>(BS82+BT82)/1000*('Oxidant Feed Composition'!$B$11*'Oxidant Feed Composition'!$O$20+'Oxidant Feed Composition'!$D$11*'Oxidant Feed Composition'!$O$21+'Oxidant Feed Composition'!$F$11*'Oxidant Feed Composition'!$O$27-'Oxidant Feed Composition'!$J$15*18.015)</f>
        <v>2.2299951845961479</v>
      </c>
      <c r="DO82">
        <f>(BU82+BV82)/1000*(0.2*368.34+0.4*58.44)</f>
        <v>1.5442087675157219</v>
      </c>
      <c r="DP82">
        <f>BK82/1000*(B82*195.08+C82*106.42+D82*102.91)</f>
        <v>4.999938342565946E-2</v>
      </c>
      <c r="DQ82">
        <f>SUM(DM82:DO82)-DP82</f>
        <v>4.4306015091073165</v>
      </c>
      <c r="DR82">
        <f>DQ82*60*7200*0.33</f>
        <v>631626.55113833898</v>
      </c>
      <c r="DS82">
        <v>1.2</v>
      </c>
      <c r="DT82">
        <f>BM82/60*(AM82*4+AN82*2+AO82*3)*96485/DV82</f>
        <v>1398.9407935581069</v>
      </c>
      <c r="DU82">
        <f>BN82*BA82*(AP82*4+AQ82*2+AR82*3)*96485/DV82/60</f>
        <v>712.74253559444992</v>
      </c>
      <c r="DV82">
        <v>0.7</v>
      </c>
      <c r="DW82">
        <f>0.499*((BK82/3.78541*15)^(-0.146))*BK82/3.78541*15*300*(1+(A82-2)/9)</f>
        <v>49536.497143418172</v>
      </c>
      <c r="DX82">
        <f>0.248*((BK82/3.78541*15)^(-0.144))*BK82/3.78541*15*300*(1+(A82-2)/3)</f>
        <v>49831.318766753509</v>
      </c>
      <c r="DY82">
        <f>0.105*((BK82/3.78541*15)^(-0.144))*BK82/3.78541*15*300*(1+(A82-2)/3)</f>
        <v>21097.937381085154</v>
      </c>
      <c r="DZ82">
        <f>0.058*((BK82/3.78541*15)^(-0.151))*BK82/3.78541*15*300*(1+(A82-2)/3)</f>
        <v>11176.166036369152</v>
      </c>
      <c r="EA82">
        <f>0.056*((BK82/3.78541*15)^(-0.144))*BK82/3.78541*15*300*(1+(A82-2)/3)</f>
        <v>11252.233269912085</v>
      </c>
      <c r="EB82">
        <f>DS82*DT82/(3.6*10^6)*3600*7200*0.07</f>
        <v>846.07939194394294</v>
      </c>
      <c r="EC82">
        <f>0.499*((BM82/3.78541*15)^(-0.146))*BM82/3.78541*15*300*(1+(AF82-2)/9)</f>
        <v>28285.00948539532</v>
      </c>
      <c r="ED82">
        <f>0.248*((BM82/3.78541*15)^(-0.144))*BM82/3.78541*15*300*(1+(AF82-2)/3)</f>
        <v>19396.927085634903</v>
      </c>
      <c r="EE82">
        <f>0.105*((BM82/3.78541*15)^(-0.144))*BM82/3.78541*15*300*(1+(AF82-2)/3)</f>
        <v>8212.4086451276798</v>
      </c>
      <c r="EF82">
        <f>0.058*((BM82/3.78541*15)^(-0.151))*BM82/3.78541*15*300*(1+(AF82-2)/3)</f>
        <v>4352.763909014071</v>
      </c>
      <c r="EG82">
        <f>0.056*((BM82/3.78541*15)^(-0.144))*BM82/3.78541*15*300*(1+(AF82-2)/3)</f>
        <v>4379.9512774014302</v>
      </c>
      <c r="EH82">
        <f>DS82*DU82/(3.6*10^6)*3600*7200*0.07</f>
        <v>431.06668552752325</v>
      </c>
      <c r="EI82">
        <f>SUM(DW82:EH82)</f>
        <v>208798.35907758295</v>
      </c>
      <c r="EJ82">
        <f>EI82+DR82+DL82</f>
        <v>16748209.440117935</v>
      </c>
      <c r="EK82">
        <f>EJ82+DF82</f>
        <v>17448031.438463397</v>
      </c>
      <c r="EL82">
        <f>EK82/(BK82*60*7200)</f>
        <v>0.40388961663109718</v>
      </c>
      <c r="EM82">
        <f>EK82/(BM82*(AM82*195.084/1000+AN82*106.42/1000+AO82*102.911/1000)*60*7200)</f>
        <v>1357.9075129660093</v>
      </c>
      <c r="EN82">
        <f>EK82/(BN82*BA82*(AP82*195.084/1000+AQ82*106.42/1000+AR82*102.911/1000)*60*7200)</f>
        <v>2457.508052309518</v>
      </c>
    </row>
    <row r="83" spans="1:144">
      <c r="A83">
        <f>'Costing 100 Lmin Feed Orig'!A83</f>
        <v>11</v>
      </c>
      <c r="B83">
        <f>'Costing 100 Lmin Feed Orig'!B83</f>
        <v>1.54143585092054E-3</v>
      </c>
      <c r="C83">
        <f>'Costing 100 Lmin Feed Orig'!C83</f>
        <v>1.54143585092054E-3</v>
      </c>
      <c r="D83">
        <f>'Costing 100 Lmin Feed Orig'!D83</f>
        <v>3.4254130020456501E-4</v>
      </c>
      <c r="E83">
        <f>'Costing 100 Lmin Feed Orig'!E83</f>
        <v>0</v>
      </c>
      <c r="F83">
        <f>'Costing 100 Lmin Feed Orig'!F83</f>
        <v>0</v>
      </c>
      <c r="G83">
        <f>'Costing 100 Lmin Feed Orig'!G83</f>
        <v>0</v>
      </c>
      <c r="H83">
        <f>'Costing 100 Lmin Feed Orig'!H83</f>
        <v>1.7771367359861701E-5</v>
      </c>
      <c r="I83">
        <f>'Costing 100 Lmin Feed Orig'!I83</f>
        <v>1.8081057367328801E-10</v>
      </c>
      <c r="J83">
        <f>'Costing 100 Lmin Feed Orig'!J83</f>
        <v>3.3765941525589702E-4</v>
      </c>
      <c r="K83">
        <f>'Costing 100 Lmin Feed Orig'!K83</f>
        <v>0.139102253285185</v>
      </c>
      <c r="L83">
        <f>'Costing 100 Lmin Feed Orig'!L83</f>
        <v>0.14072466572308701</v>
      </c>
      <c r="M83">
        <f>'Costing 100 Lmin Feed Orig'!M83</f>
        <v>4.4568945720355099E-4</v>
      </c>
      <c r="N83">
        <f>'Costing 100 Lmin Feed Orig'!N83</f>
        <v>-8.03393809811758E-16</v>
      </c>
      <c r="O83">
        <f>'Costing 100 Lmin Feed Orig'!O83</f>
        <v>-8.4019770307808202E-13</v>
      </c>
      <c r="P83">
        <f>'Costing 100 Lmin Feed Orig'!P83</f>
        <v>-2.26157796916898E-19</v>
      </c>
      <c r="Q83">
        <f>'Costing 100 Lmin Feed Orig'!Q83</f>
        <v>0.10953557168033</v>
      </c>
      <c r="R83">
        <f>'Costing 100 Lmin Feed Orig'!R83</f>
        <v>98.5748039883795</v>
      </c>
      <c r="S83">
        <f>'Costing 100 Lmin Feed Orig'!S83</f>
        <v>500</v>
      </c>
      <c r="T83">
        <f>'Costing 100 Lmin Feed Orig'!T83</f>
        <v>95</v>
      </c>
      <c r="U83">
        <f>'Costing 100 Lmin Feed Orig'!U83</f>
        <v>1</v>
      </c>
      <c r="V83">
        <f>'Costing 100 Lmin Feed Orig'!V83</f>
        <v>0.1</v>
      </c>
      <c r="W83">
        <f>'Costing 100 Lmin Feed Orig'!W83</f>
        <v>91.294543376138293</v>
      </c>
      <c r="X83" t="str">
        <f>'Costing 100 Lmin Feed Orig'!X83</f>
        <v>ddFc</v>
      </c>
      <c r="Y83">
        <f>'Costing 100 Lmin Feed Orig'!Y83</f>
        <v>1</v>
      </c>
      <c r="Z83">
        <f>'Costing 100 Lmin Feed Orig'!Z83</f>
        <v>0.28318429382522198</v>
      </c>
      <c r="AA83">
        <f>'Costing 100 Lmin Feed Orig'!AA83</f>
        <v>0.56945642916197003</v>
      </c>
      <c r="AB83">
        <f>'Costing 100 Lmin Feed Orig'!AB83</f>
        <v>3.7698628972227502E-3</v>
      </c>
      <c r="AC83">
        <f>'Costing 100 Lmin Feed Orig'!AC83</f>
        <v>1822.2107908876901</v>
      </c>
      <c r="AD83">
        <f>'Costing 100 Lmin Feed Orig'!AD83</f>
        <v>2662.6059073104898</v>
      </c>
      <c r="AE83">
        <f>'Costing 100 Lmin Feed Orig'!AE83</f>
        <v>2401.5030938442701</v>
      </c>
      <c r="AF83">
        <f>'Costing 100 Lmin Feed Orig'!AF83</f>
        <v>5</v>
      </c>
      <c r="AG83">
        <f>'Costing 100 Lmin Feed Orig'!AG83</f>
        <v>1.6497569194096201E-3</v>
      </c>
      <c r="AH83">
        <f>'Costing 100 Lmin Feed Orig'!AH83</f>
        <v>1.6689987798565299E-3</v>
      </c>
      <c r="AI83">
        <f>'Costing 100 Lmin Feed Orig'!AI83</f>
        <v>5.28589040482341E-6</v>
      </c>
      <c r="AJ83">
        <f>'Costing 100 Lmin Feed Orig'!AJ83</f>
        <v>0</v>
      </c>
      <c r="AK83">
        <f>'Costing 100 Lmin Feed Orig'!AK83</f>
        <v>0</v>
      </c>
      <c r="AL83">
        <f>'Costing 100 Lmin Feed Orig'!AL83</f>
        <v>0</v>
      </c>
      <c r="AM83">
        <f>'Costing 100 Lmin Feed Orig'!AM83</f>
        <v>1.6104460290619601E-3</v>
      </c>
      <c r="AN83">
        <f>'Costing 100 Lmin Feed Orig'!AN83</f>
        <v>7.9511320807382698E-5</v>
      </c>
      <c r="AO83">
        <f>'Costing 100 Lmin Feed Orig'!AO83</f>
        <v>5.2489965417355999E-6</v>
      </c>
      <c r="AP83">
        <f>'Costing 100 Lmin Feed Orig'!AP83</f>
        <v>1.8118142403982199E-3</v>
      </c>
      <c r="AQ83">
        <f>'Costing 100 Lmin Feed Orig'!AQ83</f>
        <v>7.3258478446211001E-2</v>
      </c>
      <c r="AR83">
        <f>'Costing 100 Lmin Feed Orig'!AR83</f>
        <v>1.7004149724062101E-6</v>
      </c>
      <c r="AS83">
        <f>'Costing 100 Lmin Feed Orig'!AS83</f>
        <v>-4.4892746204477899E-17</v>
      </c>
      <c r="AT83">
        <f>'Costing 100 Lmin Feed Orig'!AT83</f>
        <v>1.89301699315969E-16</v>
      </c>
      <c r="AU83">
        <f>'Costing 100 Lmin Feed Orig'!AU83</f>
        <v>-3.52775987641615E-20</v>
      </c>
      <c r="AV83">
        <f>'Costing 100 Lmin Feed Orig'!AV83</f>
        <v>0.200386563373979</v>
      </c>
      <c r="AW83">
        <f>'Costing 100 Lmin Feed Orig'!AW83</f>
        <v>99.302031251836993</v>
      </c>
      <c r="AX83">
        <f>'Costing 100 Lmin Feed Orig'!AX83</f>
        <v>500</v>
      </c>
      <c r="AY83">
        <f>'Costing 100 Lmin Feed Orig'!AY83</f>
        <v>95</v>
      </c>
      <c r="AZ83">
        <f>'Costing 100 Lmin Feed Orig'!AZ83</f>
        <v>0.92356908198738696</v>
      </c>
      <c r="BA83">
        <f>'Costing 100 Lmin Feed Orig'!BA83</f>
        <v>0.1</v>
      </c>
      <c r="BB83">
        <f>'Costing 100 Lmin Feed Orig'!BB83</f>
        <v>46.089371784062003</v>
      </c>
      <c r="BC83" t="str">
        <f>'Costing 100 Lmin Feed Orig'!BC83</f>
        <v>coeFc</v>
      </c>
      <c r="BD83">
        <f>'Costing 100 Lmin Feed Orig'!BD83</f>
        <v>1</v>
      </c>
      <c r="BE83">
        <f>'Costing 100 Lmin Feed Orig'!BE83</f>
        <v>1.8775014999999999E-2</v>
      </c>
      <c r="BF83">
        <f>'Costing 100 Lmin Feed Orig'!BF83</f>
        <v>0.10492961100000001</v>
      </c>
      <c r="BG83">
        <f>'Costing 100 Lmin Feed Orig'!BG83</f>
        <v>1.814625E-3</v>
      </c>
      <c r="BH83">
        <f>'Costing 100 Lmin Feed Orig'!BH83</f>
        <v>285.1951444</v>
      </c>
      <c r="BI83">
        <f>'Costing 100 Lmin Feed Orig'!BI83</f>
        <v>2169.8944889999998</v>
      </c>
      <c r="BJ83">
        <f>'Costing 100 Lmin Feed Orig'!BJ83</f>
        <v>866.49409060000005</v>
      </c>
      <c r="BK83">
        <f>'Costing 100 Lmin Feed Orig'!BK83</f>
        <v>100</v>
      </c>
      <c r="BL83">
        <f>'Costing 100 Lmin Feed Orig'!BL83</f>
        <v>10.953557168032999</v>
      </c>
      <c r="BM83">
        <f>'Costing 100 Lmin Feed Orig'!BM83</f>
        <v>92.356908198738694</v>
      </c>
      <c r="BN83">
        <f>'Costing 100 Lmin Feed Orig'!BN83</f>
        <v>20.038656337397899</v>
      </c>
      <c r="BO83">
        <f t="shared" si="20"/>
        <v>284.79248636885796</v>
      </c>
      <c r="BP83">
        <f t="shared" si="21"/>
        <v>280.5411887235706</v>
      </c>
      <c r="BQ83">
        <f t="shared" si="22"/>
        <v>28.479248636885799</v>
      </c>
      <c r="BR83">
        <f t="shared" si="23"/>
        <v>28.054118872357062</v>
      </c>
      <c r="BS83">
        <f>1.2*0.5*BL83*V83/'Oxidant Feed Composition'!$N$22</f>
        <v>6.5721343008197994</v>
      </c>
      <c r="BT83">
        <f>1.2*0.5*BN83*BA83/'Oxidant Feed Composition'!$N$22</f>
        <v>12.023193802438739</v>
      </c>
      <c r="BU83">
        <f t="shared" si="24"/>
        <v>5.4767785840164995</v>
      </c>
      <c r="BV83">
        <f t="shared" si="25"/>
        <v>10.01932816869895</v>
      </c>
      <c r="BW83">
        <f t="shared" si="26"/>
        <v>86.880129614722193</v>
      </c>
      <c r="BX83">
        <f t="shared" si="19"/>
        <v>35.051382937705597</v>
      </c>
      <c r="BY83">
        <f t="shared" si="27"/>
        <v>206.62093073354339</v>
      </c>
      <c r="BZ83">
        <f t="shared" si="28"/>
        <v>64.123700279673272</v>
      </c>
      <c r="CA83">
        <f t="shared" si="29"/>
        <v>60.115969012193702</v>
      </c>
      <c r="CB83">
        <f>BO83*'Reagent cost'!$G$11*'Reagent cost'!$H$11</f>
        <v>3759.2608200689256</v>
      </c>
      <c r="CC83">
        <f>BP83*'Reagent cost'!$G$11*'Reagent cost'!$H$11</f>
        <v>3703.1436911511319</v>
      </c>
      <c r="CD83">
        <f>BQ83*'Reagent cost'!$C$18/1000*'Reagent cost'!$H$18</f>
        <v>4541.8834647976191</v>
      </c>
      <c r="CE83">
        <f>BR83*'Ligand cost'!$B$56*'Ligand cost'!$J$56</f>
        <v>28562.676418969168</v>
      </c>
      <c r="CF83">
        <f t="shared" si="30"/>
        <v>10</v>
      </c>
      <c r="CG83">
        <f t="shared" si="31"/>
        <v>2.1907114336065998</v>
      </c>
      <c r="CH83">
        <f t="shared" si="31"/>
        <v>4.0077312674795804</v>
      </c>
      <c r="CI83">
        <f>7963.6*(BX83/1000)^0.6*1.7*('CAPEX+OPEX'!$G$116/'CAPEX+OPEX'!$G$115)</f>
        <v>2138.2772847076108</v>
      </c>
      <c r="CJ83">
        <f>7963.6*(BY83/1000)^0.6*1.7*('CAPEX+OPEX'!$G$116/'CAPEX+OPEX'!$G$115)</f>
        <v>6199.3408604999822</v>
      </c>
      <c r="CK83">
        <f>7963.6*(BZ83/1000)^0.6*1.7*('CAPEX+OPEX'!$G$116/'CAPEX+OPEX'!$G$115)</f>
        <v>3072.218310067838</v>
      </c>
      <c r="CL83">
        <f>7963.6*(CA83/1000)^0.6*1.7*('CAPEX+OPEX'!$G$116/'CAPEX+OPEX'!$G$115)</f>
        <v>2955.5263728446439</v>
      </c>
      <c r="CM83">
        <f>'Costing 100 Lmin Feed Orig'!DE83</f>
        <v>39625.826528698344</v>
      </c>
      <c r="CN83">
        <f>'Costing 100 Lmin Feed Orig'!DF83</f>
        <v>4586243.4239371875</v>
      </c>
      <c r="CO83">
        <f>'Costing 100 Lmin Feed Orig'!DG83</f>
        <v>11794834.586807497</v>
      </c>
      <c r="CP83">
        <f>'Costing 100 Lmin Feed Orig'!DH83</f>
        <v>2275209.1661185985</v>
      </c>
      <c r="CQ83">
        <f>'Costing 100 Lmin Feed Orig'!DI83</f>
        <v>14083914.336508472</v>
      </c>
      <c r="CR83">
        <f>'Costing 100 Lmin Feed Orig'!DJ83</f>
        <v>1662824.8986326549</v>
      </c>
      <c r="CS83">
        <f>CN83*(BK83/10000)^0.72*((A83+1)/3)^0.6*('CAPEX+OPEX'!$G$116/'CAPEX+OPEX'!$G$114)</f>
        <v>892840.31653984461</v>
      </c>
      <c r="CT83">
        <f>CO83*(BK83/10000)^0.72*((A83+1)/3)^0.6*('CAPEX+OPEX'!$G$116/'CAPEX+OPEX'!$G$114)</f>
        <v>2296193.8284949926</v>
      </c>
      <c r="CU83">
        <f>CP83*(BK83/10000)^0.72*((A83+1)/3)^0.6*('CAPEX+OPEX'!$G$116/'CAPEX+OPEX'!$G$114)</f>
        <v>442932.9811560188</v>
      </c>
      <c r="CV83">
        <f>CQ83*(BK83/10000)^0.72*((A83+1)/3)^0.6*('CAPEX+OPEX'!$G$116/'CAPEX+OPEX'!$G$114)</f>
        <v>2741827.1059701391</v>
      </c>
      <c r="CW83">
        <f>CR83*(BK83/10000)^0.72*((A83+1)/3)^0.6*('CAPEX+OPEX'!$G$116/'CAPEX+OPEX'!$G$114)</f>
        <v>323715.28756992728</v>
      </c>
      <c r="CX83">
        <f t="shared" si="32"/>
        <v>6697509.5197309218</v>
      </c>
      <c r="CY83">
        <f>CN83*(BM83/10000)^0.72*((AF83+1)/3)^0.6*('CAPEX+OPEX'!$G$116/'CAPEX+OPEX'!$G$114)</f>
        <v>556280.39340094617</v>
      </c>
      <c r="CZ83">
        <f>CO83*(BM83/10000)^0.72*((AF83+1)/3)^0.6*('CAPEX+OPEX'!$G$116/'CAPEX+OPEX'!$G$114)</f>
        <v>1430633.8799643754</v>
      </c>
      <c r="DA83">
        <f>CP83*(BM83/10000)^0.72*((AF83+1)/3)^0.6*('CAPEX+OPEX'!$G$116/'CAPEX+OPEX'!$G$114)</f>
        <v>275967.52570786065</v>
      </c>
      <c r="DB83">
        <f>CQ83*(BM83/10000)^0.72*((AF83+1)/3)^0.6*('CAPEX+OPEX'!$G$116/'CAPEX+OPEX'!$G$114)</f>
        <v>1708283.8139045672</v>
      </c>
      <c r="DC83">
        <f>CR83*(BM83/10000)^0.72*((AF83+1)/3)^0.6*('CAPEX+OPEX'!$G$116/'CAPEX+OPEX'!$G$114)</f>
        <v>201689.4445550761</v>
      </c>
      <c r="DD83">
        <f t="shared" si="33"/>
        <v>4172855.0575328255</v>
      </c>
      <c r="DE83">
        <f>CX83+DD83+1.15*(SUM(CI83:CL83)+SUM(CB83:CE83))</f>
        <v>10933536.75357032</v>
      </c>
      <c r="DF83">
        <f t="shared" si="34"/>
        <v>728902.45023802132</v>
      </c>
      <c r="DG83">
        <f>(BS83+BT83)*'Oxidant Feed Composition'!$N$29*60*7200</f>
        <v>9276678.1081450544</v>
      </c>
      <c r="DH83">
        <f>((CG83+CH83)*'Reagent cost'!$C$17/1000*'Reagent cost'!$H$17+(CG83+CH83)*0.5*'Reagent cost'!$C$16/1000*'Reagent cost'!$H$16*0.5)*60*7200</f>
        <v>3140585.7901268108</v>
      </c>
      <c r="DI83">
        <f>CF83*'Reagent cost'!$C$17/1000*'Reagent cost'!$H$17*60*7200</f>
        <v>504921.59999999998</v>
      </c>
      <c r="DJ83">
        <f t="shared" si="35"/>
        <v>74.624045112200577</v>
      </c>
      <c r="DK83">
        <f t="shared" si="36"/>
        <v>662.09119767533571</v>
      </c>
      <c r="DL83">
        <f t="shared" si="37"/>
        <v>15507506.656217584</v>
      </c>
      <c r="DM83">
        <f>BK83*(B83*(409.81+2)/1000+C83*(248.2+2*22.99)/1000+D83*(315.6+3*22.99)/1000+0.1*58.44/1000)</f>
        <v>0.70639694042110623</v>
      </c>
      <c r="DN83">
        <f>(BS83+BT83)/1000*('Oxidant Feed Composition'!$B$11*'Oxidant Feed Composition'!$O$20+'Oxidant Feed Composition'!$D$11*'Oxidant Feed Composition'!$O$21+'Oxidant Feed Composition'!$F$11*'Oxidant Feed Composition'!$O$27-'Oxidant Feed Composition'!$J$15*18.015)</f>
        <v>2.1716468386881207</v>
      </c>
      <c r="DO83">
        <f>(BU83+BV83)/1000*(0.2*368.34+0.4*58.44)</f>
        <v>1.5038041837105178</v>
      </c>
      <c r="DP83">
        <f>BK83/1000*(B83*195.08+C83*106.42+D83*102.91)</f>
        <v>4.999938342565946E-2</v>
      </c>
      <c r="DQ83">
        <f>SUM(DM83:DO83)-DP83</f>
        <v>4.3318485793940846</v>
      </c>
      <c r="DR83">
        <f>DQ83*60*7200*0.33</f>
        <v>617548.33347842062</v>
      </c>
      <c r="DS83">
        <v>1.2</v>
      </c>
      <c r="DT83">
        <f>BM83/60*(AM83*4+AN83*2+AO83*3)*96485/DV83</f>
        <v>1403.8210207975924</v>
      </c>
      <c r="DU83">
        <f>BN83*BA83*(AP83*4+AQ83*2+AR83*3)*96485/DV83/60</f>
        <v>707.86230828995599</v>
      </c>
      <c r="DV83">
        <v>0.7</v>
      </c>
      <c r="DW83">
        <f>0.499*((BK83/3.78541*15)^(-0.146))*BK83/3.78541*15*300*(1+(A83-2)/9)</f>
        <v>49536.497143418172</v>
      </c>
      <c r="DX83">
        <f>0.248*((BK83/3.78541*15)^(-0.144))*BK83/3.78541*15*300*(1+(A83-2)/3)</f>
        <v>49831.318766753509</v>
      </c>
      <c r="DY83">
        <f>0.105*((BK83/3.78541*15)^(-0.144))*BK83/3.78541*15*300*(1+(A83-2)/3)</f>
        <v>21097.937381085154</v>
      </c>
      <c r="DZ83">
        <f>0.058*((BK83/3.78541*15)^(-0.151))*BK83/3.78541*15*300*(1+(A83-2)/3)</f>
        <v>11176.166036369152</v>
      </c>
      <c r="EA83">
        <f>0.056*((BK83/3.78541*15)^(-0.144))*BK83/3.78541*15*300*(1+(A83-2)/3)</f>
        <v>11252.233269912085</v>
      </c>
      <c r="EB83">
        <f>DS83*DT83/(3.6*10^6)*3600*7200*0.07</f>
        <v>849.03095337838397</v>
      </c>
      <c r="EC83">
        <f>0.499*((BM83/3.78541*15)^(-0.146))*BM83/3.78541*15*300*(1+(AF83-2)/9)</f>
        <v>30856.373984067617</v>
      </c>
      <c r="ED83">
        <f>0.248*((BM83/3.78541*15)^(-0.144))*BM83/3.78541*15*300*(1+(AF83-2)/3)</f>
        <v>23276.312502761884</v>
      </c>
      <c r="EE83">
        <f>0.105*((BM83/3.78541*15)^(-0.144))*BM83/3.78541*15*300*(1+(AF83-2)/3)</f>
        <v>9854.8903741532158</v>
      </c>
      <c r="EF83">
        <f>0.058*((BM83/3.78541*15)^(-0.151))*BM83/3.78541*15*300*(1+(AF83-2)/3)</f>
        <v>5223.316690816886</v>
      </c>
      <c r="EG83">
        <f>0.056*((BM83/3.78541*15)^(-0.144))*BM83/3.78541*15*300*(1+(AF83-2)/3)</f>
        <v>5255.9415328817167</v>
      </c>
      <c r="EH83">
        <f>DS83*DU83/(3.6*10^6)*3600*7200*0.07</f>
        <v>428.11512405376538</v>
      </c>
      <c r="EI83">
        <f>SUM(DW83:EH83)</f>
        <v>218638.13375965157</v>
      </c>
      <c r="EJ83">
        <f>EI83+DR83+DL83</f>
        <v>16343693.123455657</v>
      </c>
      <c r="EK83">
        <f>EJ83+DF83</f>
        <v>17072595.573693678</v>
      </c>
      <c r="EL83">
        <f>EK83/(BK83*60*7200)</f>
        <v>0.3951989716132796</v>
      </c>
      <c r="EM83">
        <f>EK83/(BM83*(AM83*195.084/1000+AN83*106.42/1000+AO83*102.911/1000)*60*7200)</f>
        <v>1324.0670241513062</v>
      </c>
      <c r="EN83">
        <f>EK83/(BN83*BA83*(AP83*195.084/1000+AQ83*106.42/1000+AR83*102.911/1000)*60*7200)</f>
        <v>2419.9163367974456</v>
      </c>
    </row>
    <row r="84" spans="1:144">
      <c r="A84">
        <f>'Costing 100 Lmin Feed Orig'!A84</f>
        <v>11</v>
      </c>
      <c r="B84">
        <f>'Costing 100 Lmin Feed Orig'!B84</f>
        <v>1.54143585092054E-3</v>
      </c>
      <c r="C84">
        <f>'Costing 100 Lmin Feed Orig'!C84</f>
        <v>1.54143585092054E-3</v>
      </c>
      <c r="D84">
        <f>'Costing 100 Lmin Feed Orig'!D84</f>
        <v>3.4254130020456501E-4</v>
      </c>
      <c r="E84">
        <f>'Costing 100 Lmin Feed Orig'!E84</f>
        <v>0</v>
      </c>
      <c r="F84">
        <f>'Costing 100 Lmin Feed Orig'!F84</f>
        <v>0</v>
      </c>
      <c r="G84">
        <f>'Costing 100 Lmin Feed Orig'!G84</f>
        <v>0</v>
      </c>
      <c r="H84">
        <f>'Costing 100 Lmin Feed Orig'!H84</f>
        <v>1.7771367359861701E-5</v>
      </c>
      <c r="I84">
        <f>'Costing 100 Lmin Feed Orig'!I84</f>
        <v>1.8081057367328801E-10</v>
      </c>
      <c r="J84">
        <f>'Costing 100 Lmin Feed Orig'!J84</f>
        <v>3.3765941525589702E-4</v>
      </c>
      <c r="K84">
        <f>'Costing 100 Lmin Feed Orig'!K84</f>
        <v>0.139102253285185</v>
      </c>
      <c r="L84">
        <f>'Costing 100 Lmin Feed Orig'!L84</f>
        <v>0.14072466572308701</v>
      </c>
      <c r="M84">
        <f>'Costing 100 Lmin Feed Orig'!M84</f>
        <v>4.4568945720355099E-4</v>
      </c>
      <c r="N84">
        <f>'Costing 100 Lmin Feed Orig'!N84</f>
        <v>-8.03393809811758E-16</v>
      </c>
      <c r="O84">
        <f>'Costing 100 Lmin Feed Orig'!O84</f>
        <v>-8.4019770307808202E-13</v>
      </c>
      <c r="P84">
        <f>'Costing 100 Lmin Feed Orig'!P84</f>
        <v>-2.26157796916898E-19</v>
      </c>
      <c r="Q84">
        <f>'Costing 100 Lmin Feed Orig'!Q84</f>
        <v>0.10953557168033</v>
      </c>
      <c r="R84">
        <f>'Costing 100 Lmin Feed Orig'!R84</f>
        <v>98.5748039883795</v>
      </c>
      <c r="S84">
        <f>'Costing 100 Lmin Feed Orig'!S84</f>
        <v>500</v>
      </c>
      <c r="T84">
        <f>'Costing 100 Lmin Feed Orig'!T84</f>
        <v>95</v>
      </c>
      <c r="U84">
        <f>'Costing 100 Lmin Feed Orig'!U84</f>
        <v>1</v>
      </c>
      <c r="V84">
        <f>'Costing 100 Lmin Feed Orig'!V84</f>
        <v>0.1</v>
      </c>
      <c r="W84">
        <f>'Costing 100 Lmin Feed Orig'!W84</f>
        <v>91.294543376138293</v>
      </c>
      <c r="X84" t="str">
        <f>'Costing 100 Lmin Feed Orig'!X84</f>
        <v>ddFc</v>
      </c>
      <c r="Y84">
        <f>'Costing 100 Lmin Feed Orig'!Y84</f>
        <v>1</v>
      </c>
      <c r="Z84">
        <f>'Costing 100 Lmin Feed Orig'!Z84</f>
        <v>0.28318429382522198</v>
      </c>
      <c r="AA84">
        <f>'Costing 100 Lmin Feed Orig'!AA84</f>
        <v>0.56945642916197003</v>
      </c>
      <c r="AB84">
        <f>'Costing 100 Lmin Feed Orig'!AB84</f>
        <v>3.7698628972227502E-3</v>
      </c>
      <c r="AC84">
        <f>'Costing 100 Lmin Feed Orig'!AC84</f>
        <v>1822.2107908876901</v>
      </c>
      <c r="AD84">
        <f>'Costing 100 Lmin Feed Orig'!AD84</f>
        <v>2662.6059073104898</v>
      </c>
      <c r="AE84">
        <f>'Costing 100 Lmin Feed Orig'!AE84</f>
        <v>2401.5030938442701</v>
      </c>
      <c r="AF84">
        <f>'Costing 100 Lmin Feed Orig'!AF84</f>
        <v>6</v>
      </c>
      <c r="AG84">
        <f>'Costing 100 Lmin Feed Orig'!AG84</f>
        <v>1.6497569194096201E-3</v>
      </c>
      <c r="AH84">
        <f>'Costing 100 Lmin Feed Orig'!AH84</f>
        <v>1.6689987798565299E-3</v>
      </c>
      <c r="AI84">
        <f>'Costing 100 Lmin Feed Orig'!AI84</f>
        <v>5.28589040482341E-6</v>
      </c>
      <c r="AJ84">
        <f>'Costing 100 Lmin Feed Orig'!AJ84</f>
        <v>0</v>
      </c>
      <c r="AK84">
        <f>'Costing 100 Lmin Feed Orig'!AK84</f>
        <v>0</v>
      </c>
      <c r="AL84">
        <f>'Costing 100 Lmin Feed Orig'!AL84</f>
        <v>0</v>
      </c>
      <c r="AM84">
        <f>'Costing 100 Lmin Feed Orig'!AM84</f>
        <v>1.61212756517482E-3</v>
      </c>
      <c r="AN84">
        <f>'Costing 100 Lmin Feed Orig'!AN84</f>
        <v>7.9598306534484298E-5</v>
      </c>
      <c r="AO84">
        <f>'Costing 100 Lmin Feed Orig'!AO84</f>
        <v>5.2505128878875599E-6</v>
      </c>
      <c r="AP84">
        <f>'Costing 100 Lmin Feed Orig'!AP84</f>
        <v>1.7562199861538999E-3</v>
      </c>
      <c r="AQ84">
        <f>'Costing 100 Lmin Feed Orig'!AQ84</f>
        <v>7.4179770926534203E-2</v>
      </c>
      <c r="AR84">
        <f>'Costing 100 Lmin Feed Orig'!AR84</f>
        <v>1.6511232671055801E-6</v>
      </c>
      <c r="AS84">
        <f>'Costing 100 Lmin Feed Orig'!AS84</f>
        <v>-1.8702487475374901E-18</v>
      </c>
      <c r="AT84">
        <f>'Costing 100 Lmin Feed Orig'!AT84</f>
        <v>-1.4853569763051401E-16</v>
      </c>
      <c r="AU84">
        <f>'Costing 100 Lmin Feed Orig'!AU84</f>
        <v>-1.8925892415213202E-21</v>
      </c>
      <c r="AV84">
        <f>'Costing 100 Lmin Feed Orig'!AV84</f>
        <v>0.197886986940187</v>
      </c>
      <c r="AW84">
        <f>'Costing 100 Lmin Feed Orig'!AW84</f>
        <v>99.330717925903897</v>
      </c>
      <c r="AX84">
        <f>'Costing 100 Lmin Feed Orig'!AX84</f>
        <v>500</v>
      </c>
      <c r="AY84">
        <f>'Costing 100 Lmin Feed Orig'!AY84</f>
        <v>95</v>
      </c>
      <c r="AZ84">
        <f>'Costing 100 Lmin Feed Orig'!AZ84</f>
        <v>0.92356908198738696</v>
      </c>
      <c r="BA84">
        <f>'Costing 100 Lmin Feed Orig'!BA84</f>
        <v>0.1</v>
      </c>
      <c r="BB84">
        <f>'Costing 100 Lmin Feed Orig'!BB84</f>
        <v>46.671541988081501</v>
      </c>
      <c r="BC84" t="str">
        <f>'Costing 100 Lmin Feed Orig'!BC84</f>
        <v>coeFc</v>
      </c>
      <c r="BD84">
        <f>'Costing 100 Lmin Feed Orig'!BD84</f>
        <v>1</v>
      </c>
      <c r="BE84">
        <f>'Costing 100 Lmin Feed Orig'!BE84</f>
        <v>1.8775014999999999E-2</v>
      </c>
      <c r="BF84">
        <f>'Costing 100 Lmin Feed Orig'!BF84</f>
        <v>0.10492961100000001</v>
      </c>
      <c r="BG84">
        <f>'Costing 100 Lmin Feed Orig'!BG84</f>
        <v>1.814625E-3</v>
      </c>
      <c r="BH84">
        <f>'Costing 100 Lmin Feed Orig'!BH84</f>
        <v>285.1951444</v>
      </c>
      <c r="BI84">
        <f>'Costing 100 Lmin Feed Orig'!BI84</f>
        <v>2169.8944889999998</v>
      </c>
      <c r="BJ84">
        <f>'Costing 100 Lmin Feed Orig'!BJ84</f>
        <v>866.49409060000005</v>
      </c>
      <c r="BK84">
        <f>'Costing 100 Lmin Feed Orig'!BK84</f>
        <v>100</v>
      </c>
      <c r="BL84">
        <f>'Costing 100 Lmin Feed Orig'!BL84</f>
        <v>10.953557168032999</v>
      </c>
      <c r="BM84">
        <f>'Costing 100 Lmin Feed Orig'!BM84</f>
        <v>92.356908198738694</v>
      </c>
      <c r="BN84">
        <f>'Costing 100 Lmin Feed Orig'!BN84</f>
        <v>19.788698694018699</v>
      </c>
      <c r="BO84">
        <f t="shared" si="20"/>
        <v>284.79248636885796</v>
      </c>
      <c r="BP84">
        <f t="shared" si="21"/>
        <v>316.61917910429918</v>
      </c>
      <c r="BQ84">
        <f t="shared" si="22"/>
        <v>28.479248636885799</v>
      </c>
      <c r="BR84">
        <f t="shared" si="23"/>
        <v>31.661917910429921</v>
      </c>
      <c r="BS84">
        <f>1.2*0.5*BL84*V84/'Oxidant Feed Composition'!$N$22</f>
        <v>6.5721343008197994</v>
      </c>
      <c r="BT84">
        <f>1.2*0.5*BN84*BA84/'Oxidant Feed Composition'!$N$22</f>
        <v>11.873219216411218</v>
      </c>
      <c r="BU84">
        <f t="shared" si="24"/>
        <v>5.4767785840164995</v>
      </c>
      <c r="BV84">
        <f t="shared" si="25"/>
        <v>9.8943493470093493</v>
      </c>
      <c r="BW84">
        <f t="shared" si="26"/>
        <v>86.880129614722193</v>
      </c>
      <c r="BX84">
        <f t="shared" si="19"/>
        <v>35.051382937705597</v>
      </c>
      <c r="BY84">
        <f t="shared" si="27"/>
        <v>206.62093073354339</v>
      </c>
      <c r="BZ84">
        <f t="shared" si="28"/>
        <v>63.323835820859834</v>
      </c>
      <c r="CA84">
        <f t="shared" si="29"/>
        <v>59.366096082056096</v>
      </c>
      <c r="CB84">
        <f>BO84*'Reagent cost'!$G$11*'Reagent cost'!$H$11</f>
        <v>3759.2608200689256</v>
      </c>
      <c r="CC84">
        <f>BP84*'Reagent cost'!$G$11*'Reagent cost'!$H$11</f>
        <v>4179.373164176749</v>
      </c>
      <c r="CD84">
        <f>BQ84*'Reagent cost'!$C$18/1000*'Reagent cost'!$H$18</f>
        <v>4541.8834647976191</v>
      </c>
      <c r="CE84">
        <f>BR84*'Ligand cost'!$B$56*'Ligand cost'!$J$56</f>
        <v>32235.876670882313</v>
      </c>
      <c r="CF84">
        <f t="shared" si="30"/>
        <v>10</v>
      </c>
      <c r="CG84">
        <f t="shared" si="31"/>
        <v>2.1907114336065998</v>
      </c>
      <c r="CH84">
        <f t="shared" si="31"/>
        <v>3.9577397388037401</v>
      </c>
      <c r="CI84">
        <f>7963.6*(BX84/1000)^0.6*1.7*('CAPEX+OPEX'!$G$116/'CAPEX+OPEX'!$G$115)</f>
        <v>2138.2772847076108</v>
      </c>
      <c r="CJ84">
        <f>7963.6*(BY84/1000)^0.6*1.7*('CAPEX+OPEX'!$G$116/'CAPEX+OPEX'!$G$115)</f>
        <v>6199.3408604999822</v>
      </c>
      <c r="CK84">
        <f>7963.6*(BZ84/1000)^0.6*1.7*('CAPEX+OPEX'!$G$116/'CAPEX+OPEX'!$G$115)</f>
        <v>3049.1673193757256</v>
      </c>
      <c r="CL84">
        <f>7963.6*(CA84/1000)^0.6*1.7*('CAPEX+OPEX'!$G$116/'CAPEX+OPEX'!$G$115)</f>
        <v>2933.3509269502315</v>
      </c>
      <c r="CM84">
        <f>'Costing 100 Lmin Feed Orig'!DE84</f>
        <v>39625.826528698344</v>
      </c>
      <c r="CN84">
        <f>'Costing 100 Lmin Feed Orig'!DF84</f>
        <v>4586243.4239371875</v>
      </c>
      <c r="CO84">
        <f>'Costing 100 Lmin Feed Orig'!DG84</f>
        <v>11794834.586807497</v>
      </c>
      <c r="CP84">
        <f>'Costing 100 Lmin Feed Orig'!DH84</f>
        <v>2275209.1661185985</v>
      </c>
      <c r="CQ84">
        <f>'Costing 100 Lmin Feed Orig'!DI84</f>
        <v>14083914.336508472</v>
      </c>
      <c r="CR84">
        <f>'Costing 100 Lmin Feed Orig'!DJ84</f>
        <v>1662824.8986326549</v>
      </c>
      <c r="CS84">
        <f>CN84*(BK84/10000)^0.72*((A84+1)/3)^0.6*('CAPEX+OPEX'!$G$116/'CAPEX+OPEX'!$G$114)</f>
        <v>892840.31653984461</v>
      </c>
      <c r="CT84">
        <f>CO84*(BK84/10000)^0.72*((A84+1)/3)^0.6*('CAPEX+OPEX'!$G$116/'CAPEX+OPEX'!$G$114)</f>
        <v>2296193.8284949926</v>
      </c>
      <c r="CU84">
        <f>CP84*(BK84/10000)^0.72*((A84+1)/3)^0.6*('CAPEX+OPEX'!$G$116/'CAPEX+OPEX'!$G$114)</f>
        <v>442932.9811560188</v>
      </c>
      <c r="CV84">
        <f>CQ84*(BK84/10000)^0.72*((A84+1)/3)^0.6*('CAPEX+OPEX'!$G$116/'CAPEX+OPEX'!$G$114)</f>
        <v>2741827.1059701391</v>
      </c>
      <c r="CW84">
        <f>CR84*(BK84/10000)^0.72*((A84+1)/3)^0.6*('CAPEX+OPEX'!$G$116/'CAPEX+OPEX'!$G$114)</f>
        <v>323715.28756992728</v>
      </c>
      <c r="CX84">
        <f t="shared" si="32"/>
        <v>6697509.5197309218</v>
      </c>
      <c r="CY84">
        <f>CN84*(BM84/10000)^0.72*((AF84+1)/3)^0.6*('CAPEX+OPEX'!$G$116/'CAPEX+OPEX'!$G$114)</f>
        <v>610185.42092396237</v>
      </c>
      <c r="CZ84">
        <f>CO84*(BM84/10000)^0.72*((AF84+1)/3)^0.6*('CAPEX+OPEX'!$G$116/'CAPEX+OPEX'!$G$114)</f>
        <v>1569266.0510595285</v>
      </c>
      <c r="DA84">
        <f>CP84*(BM84/10000)^0.72*((AF84+1)/3)^0.6*('CAPEX+OPEX'!$G$116/'CAPEX+OPEX'!$G$114)</f>
        <v>302709.50195799035</v>
      </c>
      <c r="DB84">
        <f>CQ84*(BM84/10000)^0.72*((AF84+1)/3)^0.6*('CAPEX+OPEX'!$G$116/'CAPEX+OPEX'!$G$114)</f>
        <v>1873820.9910153144</v>
      </c>
      <c r="DC84">
        <f>CR84*(BM84/10000)^0.72*((AF84+1)/3)^0.6*('CAPEX+OPEX'!$G$116/'CAPEX+OPEX'!$G$114)</f>
        <v>221233.6801398939</v>
      </c>
      <c r="DD84">
        <f t="shared" si="33"/>
        <v>4577215.6450966895</v>
      </c>
      <c r="DE84">
        <f>CX84+DD84+1.15*(SUM(CI84:CL84)+SUM(CB84:CE84))</f>
        <v>11342617.174915789</v>
      </c>
      <c r="DF84">
        <f t="shared" si="34"/>
        <v>756174.47832771926</v>
      </c>
      <c r="DG84">
        <f>(BS84+BT84)*'Oxidant Feed Composition'!$N$29*60*7200</f>
        <v>9201860.0704501029</v>
      </c>
      <c r="DH84">
        <f>((CG84+CH84)*'Reagent cost'!$C$17/1000*'Reagent cost'!$H$17+(CG84+CH84)*0.5*'Reagent cost'!$C$16/1000*'Reagent cost'!$H$16*0.5)*60*7200</f>
        <v>3115256.4143210864</v>
      </c>
      <c r="DI84">
        <f>CF84*'Reagent cost'!$C$17/1000*'Reagent cost'!$H$17*60*7200</f>
        <v>504921.59999999998</v>
      </c>
      <c r="DJ84">
        <f t="shared" si="35"/>
        <v>79.386339842456749</v>
      </c>
      <c r="DK84">
        <f t="shared" si="36"/>
        <v>735.55520271359876</v>
      </c>
      <c r="DL84">
        <f t="shared" si="37"/>
        <v>15387423.631576493</v>
      </c>
      <c r="DM84">
        <f>BK84*(B84*(409.81+2)/1000+C84*(248.2+2*22.99)/1000+D84*(315.6+3*22.99)/1000+0.1*58.44/1000)</f>
        <v>0.70639694042110623</v>
      </c>
      <c r="DN84">
        <f>(BS84+BT84)/1000*('Oxidant Feed Composition'!$B$11*'Oxidant Feed Composition'!$O$20+'Oxidant Feed Composition'!$D$11*'Oxidant Feed Composition'!$O$21+'Oxidant Feed Composition'!$F$11*'Oxidant Feed Composition'!$O$27-'Oxidant Feed Composition'!$J$15*18.015)</f>
        <v>2.1541321256472061</v>
      </c>
      <c r="DO84">
        <f>(BU84+BV84)/1000*(0.2*368.34+0.4*58.44)</f>
        <v>1.4916757389384725</v>
      </c>
      <c r="DP84">
        <f>BK84/1000*(B84*195.08+C84*106.42+D84*102.91)</f>
        <v>4.999938342565946E-2</v>
      </c>
      <c r="DQ84">
        <f>SUM(DM84:DO84)-DP84</f>
        <v>4.3022054215811254</v>
      </c>
      <c r="DR84">
        <f>DQ84*60*7200*0.33</f>
        <v>613322.40490060532</v>
      </c>
      <c r="DS84">
        <v>1.2</v>
      </c>
      <c r="DT84">
        <f>BM84/60*(AM84*4+AN84*2+AO84*3)*96485/DV84</f>
        <v>1405.2859697967249</v>
      </c>
      <c r="DU84">
        <f>BN84*BA84*(AP84*4+AQ84*2+AR84*3)*96485/DV84/60</f>
        <v>706.39735929093831</v>
      </c>
      <c r="DV84">
        <v>0.7</v>
      </c>
      <c r="DW84">
        <f>0.499*((BK84/3.78541*15)^(-0.146))*BK84/3.78541*15*300*(1+(A84-2)/9)</f>
        <v>49536.497143418172</v>
      </c>
      <c r="DX84">
        <f>0.248*((BK84/3.78541*15)^(-0.144))*BK84/3.78541*15*300*(1+(A84-2)/3)</f>
        <v>49831.318766753509</v>
      </c>
      <c r="DY84">
        <f>0.105*((BK84/3.78541*15)^(-0.144))*BK84/3.78541*15*300*(1+(A84-2)/3)</f>
        <v>21097.937381085154</v>
      </c>
      <c r="DZ84">
        <f>0.058*((BK84/3.78541*15)^(-0.151))*BK84/3.78541*15*300*(1+(A84-2)/3)</f>
        <v>11176.166036369152</v>
      </c>
      <c r="EA84">
        <f>0.056*((BK84/3.78541*15)^(-0.144))*BK84/3.78541*15*300*(1+(A84-2)/3)</f>
        <v>11252.233269912085</v>
      </c>
      <c r="EB84">
        <f>DS84*DT84/(3.6*10^6)*3600*7200*0.07</f>
        <v>849.9169545330592</v>
      </c>
      <c r="EC84">
        <f>0.499*((BM84/3.78541*15)^(-0.146))*BM84/3.78541*15*300*(1+(AF84-2)/9)</f>
        <v>33427.738482739922</v>
      </c>
      <c r="ED84">
        <f>0.248*((BM84/3.78541*15)^(-0.144))*BM84/3.78541*15*300*(1+(AF84-2)/3)</f>
        <v>27155.697919888862</v>
      </c>
      <c r="EE84">
        <f>0.105*((BM84/3.78541*15)^(-0.144))*BM84/3.78541*15*300*(1+(AF84-2)/3)</f>
        <v>11497.37210317875</v>
      </c>
      <c r="EF84">
        <f>0.058*((BM84/3.78541*15)^(-0.151))*BM84/3.78541*15*300*(1+(AF84-2)/3)</f>
        <v>6093.8694726196991</v>
      </c>
      <c r="EG84">
        <f>0.056*((BM84/3.78541*15)^(-0.144))*BM84/3.78541*15*300*(1+(AF84-2)/3)</f>
        <v>6131.9317883620024</v>
      </c>
      <c r="EH84">
        <f>DS84*DU84/(3.6*10^6)*3600*7200*0.07</f>
        <v>427.22912289915951</v>
      </c>
      <c r="EI84">
        <f>SUM(DW84:EH84)</f>
        <v>228477.90844175953</v>
      </c>
      <c r="EJ84">
        <f>EI84+DR84+DL84</f>
        <v>16229223.944918858</v>
      </c>
      <c r="EK84">
        <f>EJ84+DF84</f>
        <v>16985398.423246577</v>
      </c>
      <c r="EL84">
        <f>EK84/(BK84*60*7200)</f>
        <v>0.39318051905663376</v>
      </c>
      <c r="EM84">
        <f>EK84/(BM84*(AM84*195.084/1000+AN84*106.42/1000+AO84*102.911/1000)*60*7200)</f>
        <v>1315.9303632443562</v>
      </c>
      <c r="EN84">
        <f>EK84/(BN84*BA84*(AP84*195.084/1000+AQ84*106.42/1000+AR84*102.911/1000)*60*7200)</f>
        <v>2412.1601294757488</v>
      </c>
    </row>
    <row r="85" spans="1:144">
      <c r="A85">
        <f>'Costing 100 Lmin Feed Orig'!A85</f>
        <v>11</v>
      </c>
      <c r="B85">
        <f>'Costing 100 Lmin Feed Orig'!B85</f>
        <v>1.54143585092054E-3</v>
      </c>
      <c r="C85">
        <f>'Costing 100 Lmin Feed Orig'!C85</f>
        <v>1.54143585092054E-3</v>
      </c>
      <c r="D85">
        <f>'Costing 100 Lmin Feed Orig'!D85</f>
        <v>3.4254130020456501E-4</v>
      </c>
      <c r="E85">
        <f>'Costing 100 Lmin Feed Orig'!E85</f>
        <v>0</v>
      </c>
      <c r="F85">
        <f>'Costing 100 Lmin Feed Orig'!F85</f>
        <v>0</v>
      </c>
      <c r="G85">
        <f>'Costing 100 Lmin Feed Orig'!G85</f>
        <v>0</v>
      </c>
      <c r="H85">
        <f>'Costing 100 Lmin Feed Orig'!H85</f>
        <v>1.7771367359861701E-5</v>
      </c>
      <c r="I85">
        <f>'Costing 100 Lmin Feed Orig'!I85</f>
        <v>1.8081057367328801E-10</v>
      </c>
      <c r="J85">
        <f>'Costing 100 Lmin Feed Orig'!J85</f>
        <v>3.3765941525589702E-4</v>
      </c>
      <c r="K85">
        <f>'Costing 100 Lmin Feed Orig'!K85</f>
        <v>0.139102253285185</v>
      </c>
      <c r="L85">
        <f>'Costing 100 Lmin Feed Orig'!L85</f>
        <v>0.14072466572308701</v>
      </c>
      <c r="M85">
        <f>'Costing 100 Lmin Feed Orig'!M85</f>
        <v>4.4568945720355099E-4</v>
      </c>
      <c r="N85">
        <f>'Costing 100 Lmin Feed Orig'!N85</f>
        <v>-8.03393809811758E-16</v>
      </c>
      <c r="O85">
        <f>'Costing 100 Lmin Feed Orig'!O85</f>
        <v>-8.4019770307808202E-13</v>
      </c>
      <c r="P85">
        <f>'Costing 100 Lmin Feed Orig'!P85</f>
        <v>-2.26157796916898E-19</v>
      </c>
      <c r="Q85">
        <f>'Costing 100 Lmin Feed Orig'!Q85</f>
        <v>0.10953557168033</v>
      </c>
      <c r="R85">
        <f>'Costing 100 Lmin Feed Orig'!R85</f>
        <v>98.5748039883795</v>
      </c>
      <c r="S85">
        <f>'Costing 100 Lmin Feed Orig'!S85</f>
        <v>500</v>
      </c>
      <c r="T85">
        <f>'Costing 100 Lmin Feed Orig'!T85</f>
        <v>95</v>
      </c>
      <c r="U85">
        <f>'Costing 100 Lmin Feed Orig'!U85</f>
        <v>1</v>
      </c>
      <c r="V85">
        <f>'Costing 100 Lmin Feed Orig'!V85</f>
        <v>0.1</v>
      </c>
      <c r="W85">
        <f>'Costing 100 Lmin Feed Orig'!W85</f>
        <v>91.294543376138293</v>
      </c>
      <c r="X85" t="str">
        <f>'Costing 100 Lmin Feed Orig'!X85</f>
        <v>ddFc</v>
      </c>
      <c r="Y85">
        <f>'Costing 100 Lmin Feed Orig'!Y85</f>
        <v>1</v>
      </c>
      <c r="Z85">
        <f>'Costing 100 Lmin Feed Orig'!Z85</f>
        <v>0.28318429382522198</v>
      </c>
      <c r="AA85">
        <f>'Costing 100 Lmin Feed Orig'!AA85</f>
        <v>0.56945642916197003</v>
      </c>
      <c r="AB85">
        <f>'Costing 100 Lmin Feed Orig'!AB85</f>
        <v>3.7698628972227502E-3</v>
      </c>
      <c r="AC85">
        <f>'Costing 100 Lmin Feed Orig'!AC85</f>
        <v>1822.2107908876901</v>
      </c>
      <c r="AD85">
        <f>'Costing 100 Lmin Feed Orig'!AD85</f>
        <v>2662.6059073104898</v>
      </c>
      <c r="AE85">
        <f>'Costing 100 Lmin Feed Orig'!AE85</f>
        <v>2401.5030938442701</v>
      </c>
      <c r="AF85">
        <f>'Costing 100 Lmin Feed Orig'!AF85</f>
        <v>7</v>
      </c>
      <c r="AG85">
        <f>'Costing 100 Lmin Feed Orig'!AG85</f>
        <v>1.6497569194096201E-3</v>
      </c>
      <c r="AH85">
        <f>'Costing 100 Lmin Feed Orig'!AH85</f>
        <v>1.6689987798565299E-3</v>
      </c>
      <c r="AI85">
        <f>'Costing 100 Lmin Feed Orig'!AI85</f>
        <v>5.28589040482341E-6</v>
      </c>
      <c r="AJ85">
        <f>'Costing 100 Lmin Feed Orig'!AJ85</f>
        <v>0</v>
      </c>
      <c r="AK85">
        <f>'Costing 100 Lmin Feed Orig'!AK85</f>
        <v>0</v>
      </c>
      <c r="AL85">
        <f>'Costing 100 Lmin Feed Orig'!AL85</f>
        <v>0</v>
      </c>
      <c r="AM85">
        <f>'Costing 100 Lmin Feed Orig'!AM85</f>
        <v>1.6126163799612099E-3</v>
      </c>
      <c r="AN85">
        <f>'Costing 100 Lmin Feed Orig'!AN85</f>
        <v>7.9623592631732702E-5</v>
      </c>
      <c r="AO85">
        <f>'Costing 100 Lmin Feed Orig'!AO85</f>
        <v>5.2509536820161704E-6</v>
      </c>
      <c r="AP85">
        <f>'Costing 100 Lmin Feed Orig'!AP85</f>
        <v>1.7397945404161699E-3</v>
      </c>
      <c r="AQ85">
        <f>'Costing 100 Lmin Feed Orig'!AQ85</f>
        <v>7.4451968508709498E-2</v>
      </c>
      <c r="AR85">
        <f>'Costing 100 Lmin Feed Orig'!AR85</f>
        <v>1.63655995585356E-6</v>
      </c>
      <c r="AS85">
        <f>'Costing 100 Lmin Feed Orig'!AS85</f>
        <v>-4.4791102250807402E-18</v>
      </c>
      <c r="AT85">
        <f>'Costing 100 Lmin Feed Orig'!AT85</f>
        <v>-1.66186508998578E-15</v>
      </c>
      <c r="AU85">
        <f>'Costing 100 Lmin Feed Orig'!AU85</f>
        <v>-5.8233515123733103E-21</v>
      </c>
      <c r="AV85">
        <f>'Costing 100 Lmin Feed Orig'!AV85</f>
        <v>0.19716037225109501</v>
      </c>
      <c r="AW85">
        <f>'Costing 100 Lmin Feed Orig'!AW85</f>
        <v>99.339056996426606</v>
      </c>
      <c r="AX85">
        <f>'Costing 100 Lmin Feed Orig'!AX85</f>
        <v>500</v>
      </c>
      <c r="AY85">
        <f>'Costing 100 Lmin Feed Orig'!AY85</f>
        <v>95</v>
      </c>
      <c r="AZ85">
        <f>'Costing 100 Lmin Feed Orig'!AZ85</f>
        <v>0.92356908198738696</v>
      </c>
      <c r="BA85">
        <f>'Costing 100 Lmin Feed Orig'!BA85</f>
        <v>0.1</v>
      </c>
      <c r="BB85">
        <f>'Costing 100 Lmin Feed Orig'!BB85</f>
        <v>46.8435452541733</v>
      </c>
      <c r="BC85" t="str">
        <f>'Costing 100 Lmin Feed Orig'!BC85</f>
        <v>coeFc</v>
      </c>
      <c r="BD85">
        <f>'Costing 100 Lmin Feed Orig'!BD85</f>
        <v>1</v>
      </c>
      <c r="BE85">
        <f>'Costing 100 Lmin Feed Orig'!BE85</f>
        <v>1.8775014999999999E-2</v>
      </c>
      <c r="BF85">
        <f>'Costing 100 Lmin Feed Orig'!BF85</f>
        <v>0.10492961100000001</v>
      </c>
      <c r="BG85">
        <f>'Costing 100 Lmin Feed Orig'!BG85</f>
        <v>1.814625E-3</v>
      </c>
      <c r="BH85">
        <f>'Costing 100 Lmin Feed Orig'!BH85</f>
        <v>285.1951444</v>
      </c>
      <c r="BI85">
        <f>'Costing 100 Lmin Feed Orig'!BI85</f>
        <v>2169.8944889999998</v>
      </c>
      <c r="BJ85">
        <f>'Costing 100 Lmin Feed Orig'!BJ85</f>
        <v>866.49409060000005</v>
      </c>
      <c r="BK85">
        <f>'Costing 100 Lmin Feed Orig'!BK85</f>
        <v>100</v>
      </c>
      <c r="BL85">
        <f>'Costing 100 Lmin Feed Orig'!BL85</f>
        <v>10.953557168032999</v>
      </c>
      <c r="BM85">
        <f>'Costing 100 Lmin Feed Orig'!BM85</f>
        <v>92.356908198738694</v>
      </c>
      <c r="BN85">
        <f>'Costing 100 Lmin Feed Orig'!BN85</f>
        <v>19.716037225109499</v>
      </c>
      <c r="BO85">
        <f t="shared" si="20"/>
        <v>284.79248636885796</v>
      </c>
      <c r="BP85">
        <f t="shared" si="21"/>
        <v>354.88867005197096</v>
      </c>
      <c r="BQ85">
        <f t="shared" si="22"/>
        <v>28.479248636885799</v>
      </c>
      <c r="BR85">
        <f t="shared" si="23"/>
        <v>35.4888670051971</v>
      </c>
      <c r="BS85">
        <f>1.2*0.5*BL85*V85/'Oxidant Feed Composition'!$N$22</f>
        <v>6.5721343008197994</v>
      </c>
      <c r="BT85">
        <f>1.2*0.5*BN85*BA85/'Oxidant Feed Composition'!$N$22</f>
        <v>11.829622335065698</v>
      </c>
      <c r="BU85">
        <f t="shared" si="24"/>
        <v>5.4767785840164995</v>
      </c>
      <c r="BV85">
        <f t="shared" si="25"/>
        <v>9.8580186125547495</v>
      </c>
      <c r="BW85">
        <f t="shared" si="26"/>
        <v>86.880129614722193</v>
      </c>
      <c r="BX85">
        <f t="shared" si="19"/>
        <v>35.051382937705597</v>
      </c>
      <c r="BY85">
        <f t="shared" si="27"/>
        <v>206.62093073354339</v>
      </c>
      <c r="BZ85">
        <f t="shared" si="28"/>
        <v>63.091319120350391</v>
      </c>
      <c r="CA85">
        <f t="shared" si="29"/>
        <v>59.148111675328494</v>
      </c>
      <c r="CB85">
        <f>BO85*'Reagent cost'!$G$11*'Reagent cost'!$H$11</f>
        <v>3759.2608200689256</v>
      </c>
      <c r="CC85">
        <f>BP85*'Reagent cost'!$G$11*'Reagent cost'!$H$11</f>
        <v>4684.5304446860173</v>
      </c>
      <c r="CD85">
        <f>BQ85*'Reagent cost'!$C$18/1000*'Reagent cost'!$H$18</f>
        <v>4541.8834647976191</v>
      </c>
      <c r="CE85">
        <f>BR85*'Ligand cost'!$B$56*'Ligand cost'!$J$56</f>
        <v>36132.199672971241</v>
      </c>
      <c r="CF85">
        <f t="shared" si="30"/>
        <v>10</v>
      </c>
      <c r="CG85">
        <f t="shared" si="31"/>
        <v>2.1907114336065998</v>
      </c>
      <c r="CH85">
        <f t="shared" si="31"/>
        <v>3.9432074450218999</v>
      </c>
      <c r="CI85">
        <f>7963.6*(BX85/1000)^0.6*1.7*('CAPEX+OPEX'!$G$116/'CAPEX+OPEX'!$G$115)</f>
        <v>2138.2772847076108</v>
      </c>
      <c r="CJ85">
        <f>7963.6*(BY85/1000)^0.6*1.7*('CAPEX+OPEX'!$G$116/'CAPEX+OPEX'!$G$115)</f>
        <v>6199.3408604999822</v>
      </c>
      <c r="CK85">
        <f>7963.6*(BZ85/1000)^0.6*1.7*('CAPEX+OPEX'!$G$116/'CAPEX+OPEX'!$G$115)</f>
        <v>3042.4446955760445</v>
      </c>
      <c r="CL85">
        <f>7963.6*(CA85/1000)^0.6*1.7*('CAPEX+OPEX'!$G$116/'CAPEX+OPEX'!$G$115)</f>
        <v>2926.8836482840111</v>
      </c>
      <c r="CM85">
        <f>'Costing 100 Lmin Feed Orig'!DE85</f>
        <v>39625.826528698344</v>
      </c>
      <c r="CN85">
        <f>'Costing 100 Lmin Feed Orig'!DF85</f>
        <v>4586243.4239371875</v>
      </c>
      <c r="CO85">
        <f>'Costing 100 Lmin Feed Orig'!DG85</f>
        <v>11794834.586807497</v>
      </c>
      <c r="CP85">
        <f>'Costing 100 Lmin Feed Orig'!DH85</f>
        <v>2275209.1661185985</v>
      </c>
      <c r="CQ85">
        <f>'Costing 100 Lmin Feed Orig'!DI85</f>
        <v>14083914.336508472</v>
      </c>
      <c r="CR85">
        <f>'Costing 100 Lmin Feed Orig'!DJ85</f>
        <v>1662824.8986326549</v>
      </c>
      <c r="CS85">
        <f>CN85*(BK85/10000)^0.72*((A85+1)/3)^0.6*('CAPEX+OPEX'!$G$116/'CAPEX+OPEX'!$G$114)</f>
        <v>892840.31653984461</v>
      </c>
      <c r="CT85">
        <f>CO85*(BK85/10000)^0.72*((A85+1)/3)^0.6*('CAPEX+OPEX'!$G$116/'CAPEX+OPEX'!$G$114)</f>
        <v>2296193.8284949926</v>
      </c>
      <c r="CU85">
        <f>CP85*(BK85/10000)^0.72*((A85+1)/3)^0.6*('CAPEX+OPEX'!$G$116/'CAPEX+OPEX'!$G$114)</f>
        <v>442932.9811560188</v>
      </c>
      <c r="CV85">
        <f>CQ85*(BK85/10000)^0.72*((A85+1)/3)^0.6*('CAPEX+OPEX'!$G$116/'CAPEX+OPEX'!$G$114)</f>
        <v>2741827.1059701391</v>
      </c>
      <c r="CW85">
        <f>CR85*(BK85/10000)^0.72*((A85+1)/3)^0.6*('CAPEX+OPEX'!$G$116/'CAPEX+OPEX'!$G$114)</f>
        <v>323715.28756992728</v>
      </c>
      <c r="CX85">
        <f t="shared" si="32"/>
        <v>6697509.5197309218</v>
      </c>
      <c r="CY85">
        <f>CN85*(BM85/10000)^0.72*((AF85+1)/3)^0.6*('CAPEX+OPEX'!$G$116/'CAPEX+OPEX'!$G$114)</f>
        <v>661084.53106321464</v>
      </c>
      <c r="CZ85">
        <f>CO85*(BM85/10000)^0.72*((AF85+1)/3)^0.6*('CAPEX+OPEX'!$G$116/'CAPEX+OPEX'!$G$114)</f>
        <v>1700167.6472492905</v>
      </c>
      <c r="DA85">
        <f>CP85*(BM85/10000)^0.72*((AF85+1)/3)^0.6*('CAPEX+OPEX'!$G$116/'CAPEX+OPEX'!$G$114)</f>
        <v>327960.2597637524</v>
      </c>
      <c r="DB85">
        <f>CQ85*(BM85/10000)^0.72*((AF85+1)/3)^0.6*('CAPEX+OPEX'!$G$116/'CAPEX+OPEX'!$G$114)</f>
        <v>2030127.2837132132</v>
      </c>
      <c r="DC85">
        <f>CR85*(BM85/10000)^0.72*((AF85+1)/3)^0.6*('CAPEX+OPEX'!$G$116/'CAPEX+OPEX'!$G$114)</f>
        <v>239688.06640645108</v>
      </c>
      <c r="DD85">
        <f t="shared" si="33"/>
        <v>4959027.788195922</v>
      </c>
      <c r="DE85">
        <f>CX85+DD85+1.15*(SUM(CI85:CL85)+SUM(CB85:CE85))</f>
        <v>11729475.851952175</v>
      </c>
      <c r="DF85">
        <f t="shared" si="34"/>
        <v>781965.05679681164</v>
      </c>
      <c r="DG85">
        <f>(BS85+BT85)*'Oxidant Feed Composition'!$N$29*60*7200</f>
        <v>9180110.8314737547</v>
      </c>
      <c r="DH85">
        <f>((CG85+CH85)*'Reagent cost'!$C$17/1000*'Reagent cost'!$H$17+(CG85+CH85)*0.5*'Reagent cost'!$C$16/1000*'Reagent cost'!$H$16*0.5)*60*7200</f>
        <v>3107893.2882021335</v>
      </c>
      <c r="DI85">
        <f>CF85*'Reagent cost'!$C$17/1000*'Reagent cost'!$H$17*60*7200</f>
        <v>504921.59999999998</v>
      </c>
      <c r="DJ85">
        <f t="shared" si="35"/>
        <v>84.437912647549425</v>
      </c>
      <c r="DK85">
        <f t="shared" si="36"/>
        <v>813.48166275537722</v>
      </c>
      <c r="DL85">
        <f t="shared" si="37"/>
        <v>15352588.367101546</v>
      </c>
      <c r="DM85">
        <f>BK85*(B85*(409.81+2)/1000+C85*(248.2+2*22.99)/1000+D85*(315.6+3*22.99)/1000+0.1*58.44/1000)</f>
        <v>0.70639694042110623</v>
      </c>
      <c r="DN85">
        <f>(BS85+BT85)/1000*('Oxidant Feed Composition'!$B$11*'Oxidant Feed Composition'!$O$20+'Oxidant Feed Composition'!$D$11*'Oxidant Feed Composition'!$O$21+'Oxidant Feed Composition'!$F$11*'Oxidant Feed Composition'!$O$27-'Oxidant Feed Composition'!$J$15*18.015)</f>
        <v>2.1490406839138352</v>
      </c>
      <c r="DO85">
        <f>(BU85+BV85)/1000*(0.2*368.34+0.4*58.44)</f>
        <v>1.4881500591440602</v>
      </c>
      <c r="DP85">
        <f>BK85/1000*(B85*195.08+C85*106.42+D85*102.91)</f>
        <v>4.999938342565946E-2</v>
      </c>
      <c r="DQ85">
        <f>SUM(DM85:DO85)-DP85</f>
        <v>4.2935883000533419</v>
      </c>
      <c r="DR85">
        <f>DQ85*60*7200*0.33</f>
        <v>612093.94805560447</v>
      </c>
      <c r="DS85">
        <v>1.2</v>
      </c>
      <c r="DT85">
        <f>BM85/60*(AM85*4+AN85*2+AO85*3)*96485/DV85</f>
        <v>1405.7118236014501</v>
      </c>
      <c r="DU85">
        <f>BN85*BA85*(AP85*4+AQ85*2+AR85*3)*96485/DV85/60</f>
        <v>705.97150548690695</v>
      </c>
      <c r="DV85">
        <v>0.7</v>
      </c>
      <c r="DW85">
        <f>0.499*((BK85/3.78541*15)^(-0.146))*BK85/3.78541*15*300*(1+(A85-2)/9)</f>
        <v>49536.497143418172</v>
      </c>
      <c r="DX85">
        <f>0.248*((BK85/3.78541*15)^(-0.144))*BK85/3.78541*15*300*(1+(A85-2)/3)</f>
        <v>49831.318766753509</v>
      </c>
      <c r="DY85">
        <f>0.105*((BK85/3.78541*15)^(-0.144))*BK85/3.78541*15*300*(1+(A85-2)/3)</f>
        <v>21097.937381085154</v>
      </c>
      <c r="DZ85">
        <f>0.058*((BK85/3.78541*15)^(-0.151))*BK85/3.78541*15*300*(1+(A85-2)/3)</f>
        <v>11176.166036369152</v>
      </c>
      <c r="EA85">
        <f>0.056*((BK85/3.78541*15)^(-0.144))*BK85/3.78541*15*300*(1+(A85-2)/3)</f>
        <v>11252.233269912085</v>
      </c>
      <c r="EB85">
        <f>DS85*DT85/(3.6*10^6)*3600*7200*0.07</f>
        <v>850.17451091415705</v>
      </c>
      <c r="EC85">
        <f>0.499*((BM85/3.78541*15)^(-0.146))*BM85/3.78541*15*300*(1+(AF85-2)/9)</f>
        <v>35999.102981412223</v>
      </c>
      <c r="ED85">
        <f>0.248*((BM85/3.78541*15)^(-0.144))*BM85/3.78541*15*300*(1+(AF85-2)/3)</f>
        <v>31035.083337015851</v>
      </c>
      <c r="EE85">
        <f>0.105*((BM85/3.78541*15)^(-0.144))*BM85/3.78541*15*300*(1+(AF85-2)/3)</f>
        <v>13139.85383220429</v>
      </c>
      <c r="EF85">
        <f>0.058*((BM85/3.78541*15)^(-0.151))*BM85/3.78541*15*300*(1+(AF85-2)/3)</f>
        <v>6964.4222544225158</v>
      </c>
      <c r="EG85">
        <f>0.056*((BM85/3.78541*15)^(-0.144))*BM85/3.78541*15*300*(1+(AF85-2)/3)</f>
        <v>7007.9220438422899</v>
      </c>
      <c r="EH85">
        <f>DS85*DU85/(3.6*10^6)*3600*7200*0.07</f>
        <v>426.97156651848138</v>
      </c>
      <c r="EI85">
        <f>SUM(DW85:EH85)</f>
        <v>238317.6831238679</v>
      </c>
      <c r="EJ85">
        <f>EI85+DR85+DL85</f>
        <v>16202999.998281019</v>
      </c>
      <c r="EK85">
        <f>EJ85+DF85</f>
        <v>16984965.055077832</v>
      </c>
      <c r="EL85">
        <f>EK85/(BK85*60*7200)</f>
        <v>0.39317048738606092</v>
      </c>
      <c r="EM85">
        <f>EK85/(BM85*(AM85*195.084/1000+AN85*106.42/1000+AO85*102.911/1000)*60*7200)</f>
        <v>1315.4978986350652</v>
      </c>
      <c r="EN85">
        <f>EK85/(BN85*BA85*(AP85*195.084/1000+AQ85*106.42/1000+AR85*102.911/1000)*60*7200)</f>
        <v>2413.4400289602395</v>
      </c>
    </row>
    <row r="86" spans="1:144">
      <c r="A86">
        <f>'Costing 100 Lmin Feed Orig'!A86</f>
        <v>11</v>
      </c>
      <c r="B86">
        <f>'Costing 100 Lmin Feed Orig'!B86</f>
        <v>1.54143585092054E-3</v>
      </c>
      <c r="C86">
        <f>'Costing 100 Lmin Feed Orig'!C86</f>
        <v>1.54143585092054E-3</v>
      </c>
      <c r="D86">
        <f>'Costing 100 Lmin Feed Orig'!D86</f>
        <v>3.4254130020456501E-4</v>
      </c>
      <c r="E86">
        <f>'Costing 100 Lmin Feed Orig'!E86</f>
        <v>0</v>
      </c>
      <c r="F86">
        <f>'Costing 100 Lmin Feed Orig'!F86</f>
        <v>0</v>
      </c>
      <c r="G86">
        <f>'Costing 100 Lmin Feed Orig'!G86</f>
        <v>0</v>
      </c>
      <c r="H86">
        <f>'Costing 100 Lmin Feed Orig'!H86</f>
        <v>1.7771367359861701E-5</v>
      </c>
      <c r="I86">
        <f>'Costing 100 Lmin Feed Orig'!I86</f>
        <v>1.8081057367328801E-10</v>
      </c>
      <c r="J86">
        <f>'Costing 100 Lmin Feed Orig'!J86</f>
        <v>3.3765941525589702E-4</v>
      </c>
      <c r="K86">
        <f>'Costing 100 Lmin Feed Orig'!K86</f>
        <v>0.139102253285185</v>
      </c>
      <c r="L86">
        <f>'Costing 100 Lmin Feed Orig'!L86</f>
        <v>0.14072466572308701</v>
      </c>
      <c r="M86">
        <f>'Costing 100 Lmin Feed Orig'!M86</f>
        <v>4.4568945720355099E-4</v>
      </c>
      <c r="N86">
        <f>'Costing 100 Lmin Feed Orig'!N86</f>
        <v>-8.03393809811758E-16</v>
      </c>
      <c r="O86">
        <f>'Costing 100 Lmin Feed Orig'!O86</f>
        <v>-8.4019770307808202E-13</v>
      </c>
      <c r="P86">
        <f>'Costing 100 Lmin Feed Orig'!P86</f>
        <v>-2.26157796916898E-19</v>
      </c>
      <c r="Q86">
        <f>'Costing 100 Lmin Feed Orig'!Q86</f>
        <v>0.10953557168033</v>
      </c>
      <c r="R86">
        <f>'Costing 100 Lmin Feed Orig'!R86</f>
        <v>98.5748039883795</v>
      </c>
      <c r="S86">
        <f>'Costing 100 Lmin Feed Orig'!S86</f>
        <v>500</v>
      </c>
      <c r="T86">
        <f>'Costing 100 Lmin Feed Orig'!T86</f>
        <v>95</v>
      </c>
      <c r="U86">
        <f>'Costing 100 Lmin Feed Orig'!U86</f>
        <v>1</v>
      </c>
      <c r="V86">
        <f>'Costing 100 Lmin Feed Orig'!V86</f>
        <v>0.1</v>
      </c>
      <c r="W86">
        <f>'Costing 100 Lmin Feed Orig'!W86</f>
        <v>91.294543376138293</v>
      </c>
      <c r="X86" t="str">
        <f>'Costing 100 Lmin Feed Orig'!X86</f>
        <v>ddFc</v>
      </c>
      <c r="Y86">
        <f>'Costing 100 Lmin Feed Orig'!Y86</f>
        <v>1</v>
      </c>
      <c r="Z86">
        <f>'Costing 100 Lmin Feed Orig'!Z86</f>
        <v>0.28318429382522198</v>
      </c>
      <c r="AA86">
        <f>'Costing 100 Lmin Feed Orig'!AA86</f>
        <v>0.56945642916197003</v>
      </c>
      <c r="AB86">
        <f>'Costing 100 Lmin Feed Orig'!AB86</f>
        <v>3.7698628972227502E-3</v>
      </c>
      <c r="AC86">
        <f>'Costing 100 Lmin Feed Orig'!AC86</f>
        <v>1822.2107908876901</v>
      </c>
      <c r="AD86">
        <f>'Costing 100 Lmin Feed Orig'!AD86</f>
        <v>2662.6059073104898</v>
      </c>
      <c r="AE86">
        <f>'Costing 100 Lmin Feed Orig'!AE86</f>
        <v>2401.5030938442701</v>
      </c>
      <c r="AF86">
        <f>'Costing 100 Lmin Feed Orig'!AF86</f>
        <v>8</v>
      </c>
      <c r="AG86">
        <f>'Costing 100 Lmin Feed Orig'!AG86</f>
        <v>1.6497569194096201E-3</v>
      </c>
      <c r="AH86">
        <f>'Costing 100 Lmin Feed Orig'!AH86</f>
        <v>1.6689987798565299E-3</v>
      </c>
      <c r="AI86">
        <f>'Costing 100 Lmin Feed Orig'!AI86</f>
        <v>5.28589040482341E-6</v>
      </c>
      <c r="AJ86">
        <f>'Costing 100 Lmin Feed Orig'!AJ86</f>
        <v>0</v>
      </c>
      <c r="AK86">
        <f>'Costing 100 Lmin Feed Orig'!AK86</f>
        <v>0</v>
      </c>
      <c r="AL86">
        <f>'Costing 100 Lmin Feed Orig'!AL86</f>
        <v>0</v>
      </c>
      <c r="AM86">
        <f>'Costing 100 Lmin Feed Orig'!AM86</f>
        <v>1.6127556677607399E-3</v>
      </c>
      <c r="AN86">
        <f>'Costing 100 Lmin Feed Orig'!AN86</f>
        <v>7.9630797964244996E-5</v>
      </c>
      <c r="AO86">
        <f>'Costing 100 Lmin Feed Orig'!AO86</f>
        <v>5.2510792863207299E-6</v>
      </c>
      <c r="AP86">
        <f>'Costing 100 Lmin Feed Orig'!AP86</f>
        <v>1.7350919198262601E-3</v>
      </c>
      <c r="AQ86">
        <f>'Costing 100 Lmin Feed Orig'!AQ86</f>
        <v>7.4529898928506394E-2</v>
      </c>
      <c r="AR86">
        <f>'Costing 100 Lmin Feed Orig'!AR86</f>
        <v>1.6323904665746701E-6</v>
      </c>
      <c r="AS86">
        <f>'Costing 100 Lmin Feed Orig'!AS86</f>
        <v>5.0343369338741403E-15</v>
      </c>
      <c r="AT86">
        <f>'Costing 100 Lmin Feed Orig'!AT86</f>
        <v>-1.17148695258362E-12</v>
      </c>
      <c r="AU86">
        <f>'Costing 100 Lmin Feed Orig'!AU86</f>
        <v>2.5583041985040001E-20</v>
      </c>
      <c r="AV86">
        <f>'Costing 100 Lmin Feed Orig'!AV86</f>
        <v>0.19695332346498701</v>
      </c>
      <c r="AW86">
        <f>'Costing 100 Lmin Feed Orig'!AW86</f>
        <v>99.341433214905294</v>
      </c>
      <c r="AX86">
        <f>'Costing 100 Lmin Feed Orig'!AX86</f>
        <v>500</v>
      </c>
      <c r="AY86">
        <f>'Costing 100 Lmin Feed Orig'!AY86</f>
        <v>95</v>
      </c>
      <c r="AZ86">
        <f>'Costing 100 Lmin Feed Orig'!AZ86</f>
        <v>0.92356908198738696</v>
      </c>
      <c r="BA86">
        <f>'Costing 100 Lmin Feed Orig'!BA86</f>
        <v>0.1</v>
      </c>
      <c r="BB86">
        <f>'Costing 100 Lmin Feed Orig'!BB86</f>
        <v>46.892789912812503</v>
      </c>
      <c r="BC86" t="str">
        <f>'Costing 100 Lmin Feed Orig'!BC86</f>
        <v>coeFc</v>
      </c>
      <c r="BD86">
        <f>'Costing 100 Lmin Feed Orig'!BD86</f>
        <v>1</v>
      </c>
      <c r="BE86">
        <f>'Costing 100 Lmin Feed Orig'!BE86</f>
        <v>1.8775014999999999E-2</v>
      </c>
      <c r="BF86">
        <f>'Costing 100 Lmin Feed Orig'!BF86</f>
        <v>0.10492961100000001</v>
      </c>
      <c r="BG86">
        <f>'Costing 100 Lmin Feed Orig'!BG86</f>
        <v>1.814625E-3</v>
      </c>
      <c r="BH86">
        <f>'Costing 100 Lmin Feed Orig'!BH86</f>
        <v>285.1951444</v>
      </c>
      <c r="BI86">
        <f>'Costing 100 Lmin Feed Orig'!BI86</f>
        <v>2169.8944889999998</v>
      </c>
      <c r="BJ86">
        <f>'Costing 100 Lmin Feed Orig'!BJ86</f>
        <v>866.49409060000005</v>
      </c>
      <c r="BK86">
        <f>'Costing 100 Lmin Feed Orig'!BK86</f>
        <v>100</v>
      </c>
      <c r="BL86">
        <f>'Costing 100 Lmin Feed Orig'!BL86</f>
        <v>10.953557168032999</v>
      </c>
      <c r="BM86">
        <f>'Costing 100 Lmin Feed Orig'!BM86</f>
        <v>92.356908198738694</v>
      </c>
      <c r="BN86">
        <f>'Costing 100 Lmin Feed Orig'!BN86</f>
        <v>19.695332346498702</v>
      </c>
      <c r="BO86">
        <f t="shared" si="20"/>
        <v>284.79248636885796</v>
      </c>
      <c r="BP86">
        <f t="shared" si="21"/>
        <v>393.90664692997404</v>
      </c>
      <c r="BQ86">
        <f t="shared" si="22"/>
        <v>28.479248636885799</v>
      </c>
      <c r="BR86">
        <f t="shared" si="23"/>
        <v>39.390664692997404</v>
      </c>
      <c r="BS86">
        <f>1.2*0.5*BL86*V86/'Oxidant Feed Composition'!$N$22</f>
        <v>6.5721343008197994</v>
      </c>
      <c r="BT86">
        <f>1.2*0.5*BN86*BA86/'Oxidant Feed Composition'!$N$22</f>
        <v>11.817199407899221</v>
      </c>
      <c r="BU86">
        <f t="shared" si="24"/>
        <v>5.4767785840164995</v>
      </c>
      <c r="BV86">
        <f t="shared" si="25"/>
        <v>9.8476661732493511</v>
      </c>
      <c r="BW86">
        <f t="shared" si="26"/>
        <v>86.880129614722193</v>
      </c>
      <c r="BX86">
        <f t="shared" si="19"/>
        <v>35.051382937705597</v>
      </c>
      <c r="BY86">
        <f t="shared" si="27"/>
        <v>206.62093073354339</v>
      </c>
      <c r="BZ86">
        <f t="shared" si="28"/>
        <v>63.025063508795846</v>
      </c>
      <c r="CA86">
        <f t="shared" si="29"/>
        <v>59.085997039496107</v>
      </c>
      <c r="CB86">
        <f>BO86*'Reagent cost'!$G$11*'Reagent cost'!$H$11</f>
        <v>3759.2608200689256</v>
      </c>
      <c r="CC86">
        <f>BP86*'Reagent cost'!$G$11*'Reagent cost'!$H$11</f>
        <v>5199.5677394756585</v>
      </c>
      <c r="CD86">
        <f>BQ86*'Reagent cost'!$C$18/1000*'Reagent cost'!$H$18</f>
        <v>4541.8834647976191</v>
      </c>
      <c r="CE86">
        <f>BR86*'Ligand cost'!$B$56*'Ligand cost'!$J$56</f>
        <v>40104.72810332357</v>
      </c>
      <c r="CF86">
        <f t="shared" si="30"/>
        <v>10</v>
      </c>
      <c r="CG86">
        <f t="shared" si="31"/>
        <v>2.1907114336065998</v>
      </c>
      <c r="CH86">
        <f t="shared" si="31"/>
        <v>3.9390664692997408</v>
      </c>
      <c r="CI86">
        <f>7963.6*(BX86/1000)^0.6*1.7*('CAPEX+OPEX'!$G$116/'CAPEX+OPEX'!$G$115)</f>
        <v>2138.2772847076108</v>
      </c>
      <c r="CJ86">
        <f>7963.6*(BY86/1000)^0.6*1.7*('CAPEX+OPEX'!$G$116/'CAPEX+OPEX'!$G$115)</f>
        <v>6199.3408604999822</v>
      </c>
      <c r="CK86">
        <f>7963.6*(BZ86/1000)^0.6*1.7*('CAPEX+OPEX'!$G$116/'CAPEX+OPEX'!$G$115)</f>
        <v>3040.5272711635121</v>
      </c>
      <c r="CL86">
        <f>7963.6*(CA86/1000)^0.6*1.7*('CAPEX+OPEX'!$G$116/'CAPEX+OPEX'!$G$115)</f>
        <v>2925.0390533212753</v>
      </c>
      <c r="CM86">
        <f>'Costing 100 Lmin Feed Orig'!DE86</f>
        <v>39625.826528698344</v>
      </c>
      <c r="CN86">
        <f>'Costing 100 Lmin Feed Orig'!DF86</f>
        <v>4586243.4239371875</v>
      </c>
      <c r="CO86">
        <f>'Costing 100 Lmin Feed Orig'!DG86</f>
        <v>11794834.586807497</v>
      </c>
      <c r="CP86">
        <f>'Costing 100 Lmin Feed Orig'!DH86</f>
        <v>2275209.1661185985</v>
      </c>
      <c r="CQ86">
        <f>'Costing 100 Lmin Feed Orig'!DI86</f>
        <v>14083914.336508472</v>
      </c>
      <c r="CR86">
        <f>'Costing 100 Lmin Feed Orig'!DJ86</f>
        <v>1662824.8986326549</v>
      </c>
      <c r="CS86">
        <f>CN86*(BK86/10000)^0.72*((A86+1)/3)^0.6*('CAPEX+OPEX'!$G$116/'CAPEX+OPEX'!$G$114)</f>
        <v>892840.31653984461</v>
      </c>
      <c r="CT86">
        <f>CO86*(BK86/10000)^0.72*((A86+1)/3)^0.6*('CAPEX+OPEX'!$G$116/'CAPEX+OPEX'!$G$114)</f>
        <v>2296193.8284949926</v>
      </c>
      <c r="CU86">
        <f>CP86*(BK86/10000)^0.72*((A86+1)/3)^0.6*('CAPEX+OPEX'!$G$116/'CAPEX+OPEX'!$G$114)</f>
        <v>442932.9811560188</v>
      </c>
      <c r="CV86">
        <f>CQ86*(BK86/10000)^0.72*((A86+1)/3)^0.6*('CAPEX+OPEX'!$G$116/'CAPEX+OPEX'!$G$114)</f>
        <v>2741827.1059701391</v>
      </c>
      <c r="CW86">
        <f>CR86*(BK86/10000)^0.72*((A86+1)/3)^0.6*('CAPEX+OPEX'!$G$116/'CAPEX+OPEX'!$G$114)</f>
        <v>323715.28756992728</v>
      </c>
      <c r="CX86">
        <f t="shared" si="32"/>
        <v>6697509.5197309218</v>
      </c>
      <c r="CY86">
        <f>CN86*(BM86/10000)^0.72*((AF86+1)/3)^0.6*('CAPEX+OPEX'!$G$116/'CAPEX+OPEX'!$G$114)</f>
        <v>709493.64296132035</v>
      </c>
      <c r="CZ86">
        <f>CO86*(BM86/10000)^0.72*((AF86+1)/3)^0.6*('CAPEX+OPEX'!$G$116/'CAPEX+OPEX'!$G$114)</f>
        <v>1824665.5019319013</v>
      </c>
      <c r="DA86">
        <f>CP86*(BM86/10000)^0.72*((AF86+1)/3)^0.6*('CAPEX+OPEX'!$G$116/'CAPEX+OPEX'!$G$114)</f>
        <v>351975.74366488325</v>
      </c>
      <c r="DB86">
        <f>CQ86*(BM86/10000)^0.72*((AF86+1)/3)^0.6*('CAPEX+OPEX'!$G$116/'CAPEX+OPEX'!$G$114)</f>
        <v>2178787.0302763539</v>
      </c>
      <c r="DC86">
        <f>CR86*(BM86/10000)^0.72*((AF86+1)/3)^0.6*('CAPEX+OPEX'!$G$116/'CAPEX+OPEX'!$G$114)</f>
        <v>257239.65910315106</v>
      </c>
      <c r="DD86">
        <f t="shared" si="33"/>
        <v>5322161.5779376104</v>
      </c>
      <c r="DE86">
        <f>CX86+DD86+1.15*(SUM(CI86:CL86)+SUM(CB86:CE86))</f>
        <v>12097766.015955495</v>
      </c>
      <c r="DF86">
        <f t="shared" si="34"/>
        <v>806517.734397033</v>
      </c>
      <c r="DG86">
        <f>(BS86+BT86)*'Oxidant Feed Composition'!$N$29*60*7200</f>
        <v>9173913.3879091982</v>
      </c>
      <c r="DH86">
        <f>((CG86+CH86)*'Reagent cost'!$C$17/1000*'Reagent cost'!$H$17+(CG86+CH86)*0.5*'Reagent cost'!$C$16/1000*'Reagent cost'!$H$16*0.5)*60*7200</f>
        <v>3105795.1661193091</v>
      </c>
      <c r="DI86">
        <f>CF86*'Reagent cost'!$C$17/1000*'Reagent cost'!$H$17*60*7200</f>
        <v>504921.59999999998</v>
      </c>
      <c r="DJ86">
        <f t="shared" si="35"/>
        <v>89.588285595445853</v>
      </c>
      <c r="DK86">
        <f t="shared" si="36"/>
        <v>892.93223136242375</v>
      </c>
      <c r="DL86">
        <f t="shared" si="37"/>
        <v>15342735.209454557</v>
      </c>
      <c r="DM86">
        <f>BK86*(B86*(409.81+2)/1000+C86*(248.2+2*22.99)/1000+D86*(315.6+3*22.99)/1000+0.1*58.44/1000)</f>
        <v>0.70639694042110623</v>
      </c>
      <c r="DN86">
        <f>(BS86+BT86)/1000*('Oxidant Feed Composition'!$B$11*'Oxidant Feed Composition'!$O$20+'Oxidant Feed Composition'!$D$11*'Oxidant Feed Composition'!$O$21+'Oxidant Feed Composition'!$F$11*'Oxidant Feed Composition'!$O$27-'Oxidant Feed Composition'!$J$15*18.015)</f>
        <v>2.1475898780792444</v>
      </c>
      <c r="DO86">
        <f>(BU86+BV86)/1000*(0.2*368.34+0.4*58.44)</f>
        <v>1.4871454170241072</v>
      </c>
      <c r="DP86">
        <f>BK86/1000*(B86*195.08+C86*106.42+D86*102.91)</f>
        <v>4.999938342565946E-2</v>
      </c>
      <c r="DQ86">
        <f>SUM(DM86:DO86)-DP86</f>
        <v>4.2911328520987979</v>
      </c>
      <c r="DR86">
        <f>DQ86*60*7200*0.33</f>
        <v>611743.89939520461</v>
      </c>
      <c r="DS86">
        <v>1.2</v>
      </c>
      <c r="DT86">
        <f>BM86/60*(AM86*4+AN86*2+AO86*3)*96485/DV86</f>
        <v>1405.8331706903878</v>
      </c>
      <c r="DU86">
        <f>BN86*BA86*(AP86*4+AQ86*2+AR86*3)*96485/DV86/60</f>
        <v>705.85015893081743</v>
      </c>
      <c r="DV86">
        <v>0.7</v>
      </c>
      <c r="DW86">
        <f>0.499*((BK86/3.78541*15)^(-0.146))*BK86/3.78541*15*300*(1+(A86-2)/9)</f>
        <v>49536.497143418172</v>
      </c>
      <c r="DX86">
        <f>0.248*((BK86/3.78541*15)^(-0.144))*BK86/3.78541*15*300*(1+(A86-2)/3)</f>
        <v>49831.318766753509</v>
      </c>
      <c r="DY86">
        <f>0.105*((BK86/3.78541*15)^(-0.144))*BK86/3.78541*15*300*(1+(A86-2)/3)</f>
        <v>21097.937381085154</v>
      </c>
      <c r="DZ86">
        <f>0.058*((BK86/3.78541*15)^(-0.151))*BK86/3.78541*15*300*(1+(A86-2)/3)</f>
        <v>11176.166036369152</v>
      </c>
      <c r="EA86">
        <f>0.056*((BK86/3.78541*15)^(-0.144))*BK86/3.78541*15*300*(1+(A86-2)/3)</f>
        <v>11252.233269912085</v>
      </c>
      <c r="EB86">
        <f>DS86*DT86/(3.6*10^6)*3600*7200*0.07</f>
        <v>850.24790163354669</v>
      </c>
      <c r="EC86">
        <f>0.499*((BM86/3.78541*15)^(-0.146))*BM86/3.78541*15*300*(1+(AF86-2)/9)</f>
        <v>38570.467480084517</v>
      </c>
      <c r="ED86">
        <f>0.248*((BM86/3.78541*15)^(-0.144))*BM86/3.78541*15*300*(1+(AF86-2)/3)</f>
        <v>34914.468754142828</v>
      </c>
      <c r="EE86">
        <f>0.105*((BM86/3.78541*15)^(-0.144))*BM86/3.78541*15*300*(1+(AF86-2)/3)</f>
        <v>14782.335561229824</v>
      </c>
      <c r="EF86">
        <f>0.058*((BM86/3.78541*15)^(-0.151))*BM86/3.78541*15*300*(1+(AF86-2)/3)</f>
        <v>7834.9750362253289</v>
      </c>
      <c r="EG86">
        <f>0.056*((BM86/3.78541*15)^(-0.144))*BM86/3.78541*15*300*(1+(AF86-2)/3)</f>
        <v>7883.9122993225756</v>
      </c>
      <c r="EH86">
        <f>DS86*DU86/(3.6*10^6)*3600*7200*0.07</f>
        <v>426.8981761213584</v>
      </c>
      <c r="EI86">
        <f>SUM(DW86:EH86)</f>
        <v>248157.45780629804</v>
      </c>
      <c r="EJ86">
        <f>EI86+DR86+DL86</f>
        <v>16202636.566656061</v>
      </c>
      <c r="EK86">
        <f>EJ86+DF86</f>
        <v>17009154.301053092</v>
      </c>
      <c r="EL86">
        <f>EK86/(BK86*60*7200)</f>
        <v>0.39373042363548821</v>
      </c>
      <c r="EM86">
        <f>EK86/(BM86*(AM86*195.084/1000+AN86*106.42/1000+AO86*102.911/1000)*60*7200)</f>
        <v>1317.2575921077507</v>
      </c>
      <c r="EN86">
        <f>EK86/(BN86*BA86*(AP86*195.084/1000+AQ86*106.42/1000+AR86*102.911/1000)*60*7200)</f>
        <v>2417.260205595604</v>
      </c>
    </row>
    <row r="87" spans="1:144">
      <c r="A87">
        <f>'Costing 100 Lmin Feed Orig'!A87</f>
        <v>11</v>
      </c>
      <c r="B87">
        <f>'Costing 100 Lmin Feed Orig'!B87</f>
        <v>1.54143585092054E-3</v>
      </c>
      <c r="C87">
        <f>'Costing 100 Lmin Feed Orig'!C87</f>
        <v>1.54143585092054E-3</v>
      </c>
      <c r="D87">
        <f>'Costing 100 Lmin Feed Orig'!D87</f>
        <v>3.4254130020456501E-4</v>
      </c>
      <c r="E87">
        <f>'Costing 100 Lmin Feed Orig'!E87</f>
        <v>0</v>
      </c>
      <c r="F87">
        <f>'Costing 100 Lmin Feed Orig'!F87</f>
        <v>0</v>
      </c>
      <c r="G87">
        <f>'Costing 100 Lmin Feed Orig'!G87</f>
        <v>0</v>
      </c>
      <c r="H87">
        <f>'Costing 100 Lmin Feed Orig'!H87</f>
        <v>1.7771367359861701E-5</v>
      </c>
      <c r="I87">
        <f>'Costing 100 Lmin Feed Orig'!I87</f>
        <v>1.8081057367328801E-10</v>
      </c>
      <c r="J87">
        <f>'Costing 100 Lmin Feed Orig'!J87</f>
        <v>3.3765941525589702E-4</v>
      </c>
      <c r="K87">
        <f>'Costing 100 Lmin Feed Orig'!K87</f>
        <v>0.139102253285185</v>
      </c>
      <c r="L87">
        <f>'Costing 100 Lmin Feed Orig'!L87</f>
        <v>0.14072466572308701</v>
      </c>
      <c r="M87">
        <f>'Costing 100 Lmin Feed Orig'!M87</f>
        <v>4.4568945720355099E-4</v>
      </c>
      <c r="N87">
        <f>'Costing 100 Lmin Feed Orig'!N87</f>
        <v>-8.03393809811758E-16</v>
      </c>
      <c r="O87">
        <f>'Costing 100 Lmin Feed Orig'!O87</f>
        <v>-8.4019770307808202E-13</v>
      </c>
      <c r="P87">
        <f>'Costing 100 Lmin Feed Orig'!P87</f>
        <v>-2.26157796916898E-19</v>
      </c>
      <c r="Q87">
        <f>'Costing 100 Lmin Feed Orig'!Q87</f>
        <v>0.10953557168033</v>
      </c>
      <c r="R87">
        <f>'Costing 100 Lmin Feed Orig'!R87</f>
        <v>98.5748039883795</v>
      </c>
      <c r="S87">
        <f>'Costing 100 Lmin Feed Orig'!S87</f>
        <v>500</v>
      </c>
      <c r="T87">
        <f>'Costing 100 Lmin Feed Orig'!T87</f>
        <v>95</v>
      </c>
      <c r="U87">
        <f>'Costing 100 Lmin Feed Orig'!U87</f>
        <v>1</v>
      </c>
      <c r="V87">
        <f>'Costing 100 Lmin Feed Orig'!V87</f>
        <v>0.1</v>
      </c>
      <c r="W87">
        <f>'Costing 100 Lmin Feed Orig'!W87</f>
        <v>91.294543376138293</v>
      </c>
      <c r="X87" t="str">
        <f>'Costing 100 Lmin Feed Orig'!X87</f>
        <v>ddFc</v>
      </c>
      <c r="Y87">
        <f>'Costing 100 Lmin Feed Orig'!Y87</f>
        <v>1</v>
      </c>
      <c r="Z87">
        <f>'Costing 100 Lmin Feed Orig'!Z87</f>
        <v>0.28318429382522198</v>
      </c>
      <c r="AA87">
        <f>'Costing 100 Lmin Feed Orig'!AA87</f>
        <v>0.56945642916197003</v>
      </c>
      <c r="AB87">
        <f>'Costing 100 Lmin Feed Orig'!AB87</f>
        <v>3.7698628972227502E-3</v>
      </c>
      <c r="AC87">
        <f>'Costing 100 Lmin Feed Orig'!AC87</f>
        <v>1822.2107908876901</v>
      </c>
      <c r="AD87">
        <f>'Costing 100 Lmin Feed Orig'!AD87</f>
        <v>2662.6059073104898</v>
      </c>
      <c r="AE87">
        <f>'Costing 100 Lmin Feed Orig'!AE87</f>
        <v>2401.5030938442701</v>
      </c>
      <c r="AF87">
        <f>'Costing 100 Lmin Feed Orig'!AF87</f>
        <v>9</v>
      </c>
      <c r="AG87">
        <f>'Costing 100 Lmin Feed Orig'!AG87</f>
        <v>1.6497569194096201E-3</v>
      </c>
      <c r="AH87">
        <f>'Costing 100 Lmin Feed Orig'!AH87</f>
        <v>1.6689987798565299E-3</v>
      </c>
      <c r="AI87">
        <f>'Costing 100 Lmin Feed Orig'!AI87</f>
        <v>5.28589040482341E-6</v>
      </c>
      <c r="AJ87">
        <f>'Costing 100 Lmin Feed Orig'!AJ87</f>
        <v>0</v>
      </c>
      <c r="AK87">
        <f>'Costing 100 Lmin Feed Orig'!AK87</f>
        <v>0</v>
      </c>
      <c r="AL87">
        <f>'Costing 100 Lmin Feed Orig'!AL87</f>
        <v>0</v>
      </c>
      <c r="AM87">
        <f>'Costing 100 Lmin Feed Orig'!AM87</f>
        <v>1.6127950089356499E-3</v>
      </c>
      <c r="AN87">
        <f>'Costing 100 Lmin Feed Orig'!AN87</f>
        <v>7.9632833043740095E-5</v>
      </c>
      <c r="AO87">
        <f>'Costing 100 Lmin Feed Orig'!AO87</f>
        <v>5.2511147626523301E-6</v>
      </c>
      <c r="AP87">
        <f>'Costing 100 Lmin Feed Orig'!AP87</f>
        <v>1.7337618973110201E-3</v>
      </c>
      <c r="AQ87">
        <f>'Costing 100 Lmin Feed Orig'!AQ87</f>
        <v>7.4551939662868896E-2</v>
      </c>
      <c r="AR87">
        <f>'Costing 100 Lmin Feed Orig'!AR87</f>
        <v>1.6312112273867399E-6</v>
      </c>
      <c r="AS87">
        <f>'Costing 100 Lmin Feed Orig'!AS87</f>
        <v>3.6795111228726801E-17</v>
      </c>
      <c r="AT87">
        <f>'Costing 100 Lmin Feed Orig'!AT87</f>
        <v>-4.8355416892853498E-15</v>
      </c>
      <c r="AU87">
        <f>'Costing 100 Lmin Feed Orig'!AU87</f>
        <v>-1.38304598418866E-21</v>
      </c>
      <c r="AV87">
        <f>'Costing 100 Lmin Feed Orig'!AV87</f>
        <v>0.19689484339142299</v>
      </c>
      <c r="AW87">
        <f>'Costing 100 Lmin Feed Orig'!AW87</f>
        <v>99.342104366383694</v>
      </c>
      <c r="AX87">
        <f>'Costing 100 Lmin Feed Orig'!AX87</f>
        <v>500</v>
      </c>
      <c r="AY87">
        <f>'Costing 100 Lmin Feed Orig'!AY87</f>
        <v>95</v>
      </c>
      <c r="AZ87">
        <f>'Costing 100 Lmin Feed Orig'!AZ87</f>
        <v>0.92356908198738696</v>
      </c>
      <c r="BA87">
        <f>'Costing 100 Lmin Feed Orig'!BA87</f>
        <v>0.1</v>
      </c>
      <c r="BB87">
        <f>'Costing 100 Lmin Feed Orig'!BB87</f>
        <v>46.906717620397401</v>
      </c>
      <c r="BC87" t="str">
        <f>'Costing 100 Lmin Feed Orig'!BC87</f>
        <v>coeFc</v>
      </c>
      <c r="BD87">
        <f>'Costing 100 Lmin Feed Orig'!BD87</f>
        <v>1</v>
      </c>
      <c r="BE87">
        <f>'Costing 100 Lmin Feed Orig'!BE87</f>
        <v>1.8775014999999999E-2</v>
      </c>
      <c r="BF87">
        <f>'Costing 100 Lmin Feed Orig'!BF87</f>
        <v>0.10492961100000001</v>
      </c>
      <c r="BG87">
        <f>'Costing 100 Lmin Feed Orig'!BG87</f>
        <v>1.814625E-3</v>
      </c>
      <c r="BH87">
        <f>'Costing 100 Lmin Feed Orig'!BH87</f>
        <v>285.1951444</v>
      </c>
      <c r="BI87">
        <f>'Costing 100 Lmin Feed Orig'!BI87</f>
        <v>2169.8944889999998</v>
      </c>
      <c r="BJ87">
        <f>'Costing 100 Lmin Feed Orig'!BJ87</f>
        <v>866.49409060000005</v>
      </c>
      <c r="BK87">
        <f>'Costing 100 Lmin Feed Orig'!BK87</f>
        <v>100</v>
      </c>
      <c r="BL87">
        <f>'Costing 100 Lmin Feed Orig'!BL87</f>
        <v>10.953557168032999</v>
      </c>
      <c r="BM87">
        <f>'Costing 100 Lmin Feed Orig'!BM87</f>
        <v>92.356908198738694</v>
      </c>
      <c r="BN87">
        <f>'Costing 100 Lmin Feed Orig'!BN87</f>
        <v>19.6894843391423</v>
      </c>
      <c r="BO87">
        <f t="shared" si="20"/>
        <v>284.79248636885796</v>
      </c>
      <c r="BP87">
        <f t="shared" si="21"/>
        <v>433.16865546113058</v>
      </c>
      <c r="BQ87">
        <f t="shared" si="22"/>
        <v>28.479248636885799</v>
      </c>
      <c r="BR87">
        <f t="shared" si="23"/>
        <v>43.316865546113064</v>
      </c>
      <c r="BS87">
        <f>1.2*0.5*BL87*V87/'Oxidant Feed Composition'!$N$22</f>
        <v>6.5721343008197994</v>
      </c>
      <c r="BT87">
        <f>1.2*0.5*BN87*BA87/'Oxidant Feed Composition'!$N$22</f>
        <v>11.81369060348538</v>
      </c>
      <c r="BU87">
        <f t="shared" si="24"/>
        <v>5.4767785840164995</v>
      </c>
      <c r="BV87">
        <f t="shared" si="25"/>
        <v>9.8447421695711501</v>
      </c>
      <c r="BW87">
        <f t="shared" si="26"/>
        <v>86.880129614722193</v>
      </c>
      <c r="BX87">
        <f t="shared" si="19"/>
        <v>35.051382937705597</v>
      </c>
      <c r="BY87">
        <f t="shared" si="27"/>
        <v>206.62093073354339</v>
      </c>
      <c r="BZ87">
        <f t="shared" si="28"/>
        <v>63.006349885255361</v>
      </c>
      <c r="CA87">
        <f t="shared" si="29"/>
        <v>59.068453017426904</v>
      </c>
      <c r="CB87">
        <f>BO87*'Reagent cost'!$G$11*'Reagent cost'!$H$11</f>
        <v>3759.2608200689256</v>
      </c>
      <c r="CC87">
        <f>BP87*'Reagent cost'!$G$11*'Reagent cost'!$H$11</f>
        <v>5717.8262520869239</v>
      </c>
      <c r="CD87">
        <f>BQ87*'Reagent cost'!$C$18/1000*'Reagent cost'!$H$18</f>
        <v>4541.8834647976191</v>
      </c>
      <c r="CE87">
        <f>BR87*'Ligand cost'!$B$56*'Ligand cost'!$J$56</f>
        <v>44102.102073030474</v>
      </c>
      <c r="CF87">
        <f t="shared" si="30"/>
        <v>10</v>
      </c>
      <c r="CG87">
        <f t="shared" si="31"/>
        <v>2.1907114336065998</v>
      </c>
      <c r="CH87">
        <f t="shared" si="31"/>
        <v>3.93789686782846</v>
      </c>
      <c r="CI87">
        <f>7963.6*(BX87/1000)^0.6*1.7*('CAPEX+OPEX'!$G$116/'CAPEX+OPEX'!$G$115)</f>
        <v>2138.2772847076108</v>
      </c>
      <c r="CJ87">
        <f>7963.6*(BY87/1000)^0.6*1.7*('CAPEX+OPEX'!$G$116/'CAPEX+OPEX'!$G$115)</f>
        <v>6199.3408604999822</v>
      </c>
      <c r="CK87">
        <f>7963.6*(BZ87/1000)^0.6*1.7*('CAPEX+OPEX'!$G$116/'CAPEX+OPEX'!$G$115)</f>
        <v>3039.9855565601665</v>
      </c>
      <c r="CL87">
        <f>7963.6*(CA87/1000)^0.6*1.7*('CAPEX+OPEX'!$G$116/'CAPEX+OPEX'!$G$115)</f>
        <v>2924.5179146406381</v>
      </c>
      <c r="CM87">
        <f>'Costing 100 Lmin Feed Orig'!DE87</f>
        <v>39625.826528698344</v>
      </c>
      <c r="CN87">
        <f>'Costing 100 Lmin Feed Orig'!DF87</f>
        <v>4586243.4239371875</v>
      </c>
      <c r="CO87">
        <f>'Costing 100 Lmin Feed Orig'!DG87</f>
        <v>11794834.586807497</v>
      </c>
      <c r="CP87">
        <f>'Costing 100 Lmin Feed Orig'!DH87</f>
        <v>2275209.1661185985</v>
      </c>
      <c r="CQ87">
        <f>'Costing 100 Lmin Feed Orig'!DI87</f>
        <v>14083914.336508472</v>
      </c>
      <c r="CR87">
        <f>'Costing 100 Lmin Feed Orig'!DJ87</f>
        <v>1662824.8986326549</v>
      </c>
      <c r="CS87">
        <f>CN87*(BK87/10000)^0.72*((A87+1)/3)^0.6*('CAPEX+OPEX'!$G$116/'CAPEX+OPEX'!$G$114)</f>
        <v>892840.31653984461</v>
      </c>
      <c r="CT87">
        <f>CO87*(BK87/10000)^0.72*((A87+1)/3)^0.6*('CAPEX+OPEX'!$G$116/'CAPEX+OPEX'!$G$114)</f>
        <v>2296193.8284949926</v>
      </c>
      <c r="CU87">
        <f>CP87*(BK87/10000)^0.72*((A87+1)/3)^0.6*('CAPEX+OPEX'!$G$116/'CAPEX+OPEX'!$G$114)</f>
        <v>442932.9811560188</v>
      </c>
      <c r="CV87">
        <f>CQ87*(BK87/10000)^0.72*((A87+1)/3)^0.6*('CAPEX+OPEX'!$G$116/'CAPEX+OPEX'!$G$114)</f>
        <v>2741827.1059701391</v>
      </c>
      <c r="CW87">
        <f>CR87*(BK87/10000)^0.72*((A87+1)/3)^0.6*('CAPEX+OPEX'!$G$116/'CAPEX+OPEX'!$G$114)</f>
        <v>323715.28756992728</v>
      </c>
      <c r="CX87">
        <f t="shared" si="32"/>
        <v>6697509.5197309218</v>
      </c>
      <c r="CY87">
        <f>CN87*(BM87/10000)^0.72*((AF87+1)/3)^0.6*('CAPEX+OPEX'!$G$116/'CAPEX+OPEX'!$G$114)</f>
        <v>755793.23951553891</v>
      </c>
      <c r="CZ87">
        <f>CO87*(BM87/10000)^0.72*((AF87+1)/3)^0.6*('CAPEX+OPEX'!$G$116/'CAPEX+OPEX'!$G$114)</f>
        <v>1943738.1355262429</v>
      </c>
      <c r="DA87">
        <f>CP87*(BM87/10000)^0.72*((AF87+1)/3)^0.6*('CAPEX+OPEX'!$G$116/'CAPEX+OPEX'!$G$114)</f>
        <v>374944.70905340556</v>
      </c>
      <c r="DB87">
        <f>CQ87*(BM87/10000)^0.72*((AF87+1)/3)^0.6*('CAPEX+OPEX'!$G$116/'CAPEX+OPEX'!$G$114)</f>
        <v>2320968.6572438823</v>
      </c>
      <c r="DC87">
        <f>CR87*(BM87/10000)^0.72*((AF87+1)/3)^0.6*('CAPEX+OPEX'!$G$116/'CAPEX+OPEX'!$G$114)</f>
        <v>274026.40913590638</v>
      </c>
      <c r="DD87">
        <f t="shared" si="33"/>
        <v>5669471.1504749758</v>
      </c>
      <c r="DE87">
        <f>CX87+DD87+1.15*(SUM(CI87:CL87)+SUM(CB87:CE87))</f>
        <v>12450267.34356625</v>
      </c>
      <c r="DF87">
        <f t="shared" si="34"/>
        <v>830017.82290441671</v>
      </c>
      <c r="DG87">
        <f>(BS87+BT87)*'Oxidant Feed Composition'!$N$29*60*7200</f>
        <v>9172162.9455985893</v>
      </c>
      <c r="DH87">
        <f>((CG87+CH87)*'Reagent cost'!$C$17/1000*'Reagent cost'!$H$17+(CG87+CH87)*0.5*'Reagent cost'!$C$16/1000*'Reagent cost'!$H$16*0.5)*60*7200</f>
        <v>3105202.5602119942</v>
      </c>
      <c r="DI87">
        <f>CF87*'Reagent cost'!$C$17/1000*'Reagent cost'!$H$17*60*7200</f>
        <v>504921.59999999998</v>
      </c>
      <c r="DJ87">
        <f t="shared" si="35"/>
        <v>94.770870721558495</v>
      </c>
      <c r="DK87">
        <f t="shared" si="36"/>
        <v>972.87971075656185</v>
      </c>
      <c r="DL87">
        <f t="shared" si="37"/>
        <v>15340025.707670471</v>
      </c>
      <c r="DM87">
        <f>BK87*(B87*(409.81+2)/1000+C87*(248.2+2*22.99)/1000+D87*(315.6+3*22.99)/1000+0.1*58.44/1000)</f>
        <v>0.70639694042110623</v>
      </c>
      <c r="DN87">
        <f>(BS87+BT87)/1000*('Oxidant Feed Composition'!$B$11*'Oxidant Feed Composition'!$O$20+'Oxidant Feed Composition'!$D$11*'Oxidant Feed Composition'!$O$21+'Oxidant Feed Composition'!$F$11*'Oxidant Feed Composition'!$O$27-'Oxidant Feed Composition'!$J$15*18.015)</f>
        <v>2.1471801039698244</v>
      </c>
      <c r="DO87">
        <f>(BU87+BV87)/1000*(0.2*368.34+0.4*58.44)</f>
        <v>1.4868616600111597</v>
      </c>
      <c r="DP87">
        <f>BK87/1000*(B87*195.08+C87*106.42+D87*102.91)</f>
        <v>4.999938342565946E-2</v>
      </c>
      <c r="DQ87">
        <f>SUM(DM87:DO87)-DP87</f>
        <v>4.2904393209764304</v>
      </c>
      <c r="DR87">
        <f>DQ87*60*7200*0.33</f>
        <v>611645.0295984</v>
      </c>
      <c r="DS87">
        <v>1.2</v>
      </c>
      <c r="DT87">
        <f>BM87/60*(AM87*4+AN87*2+AO87*3)*96485/DV87</f>
        <v>1405.8674445834067</v>
      </c>
      <c r="DU87">
        <f>BN87*BA87*(AP87*4+AQ87*2+AR87*3)*96485/DV87/60</f>
        <v>705.81588450637275</v>
      </c>
      <c r="DV87">
        <v>0.7</v>
      </c>
      <c r="DW87">
        <f>0.499*((BK87/3.78541*15)^(-0.146))*BK87/3.78541*15*300*(1+(A87-2)/9)</f>
        <v>49536.497143418172</v>
      </c>
      <c r="DX87">
        <f>0.248*((BK87/3.78541*15)^(-0.144))*BK87/3.78541*15*300*(1+(A87-2)/3)</f>
        <v>49831.318766753509</v>
      </c>
      <c r="DY87">
        <f>0.105*((BK87/3.78541*15)^(-0.144))*BK87/3.78541*15*300*(1+(A87-2)/3)</f>
        <v>21097.937381085154</v>
      </c>
      <c r="DZ87">
        <f>0.058*((BK87/3.78541*15)^(-0.151))*BK87/3.78541*15*300*(1+(A87-2)/3)</f>
        <v>11176.166036369152</v>
      </c>
      <c r="EA87">
        <f>0.056*((BK87/3.78541*15)^(-0.144))*BK87/3.78541*15*300*(1+(A87-2)/3)</f>
        <v>11252.233269912085</v>
      </c>
      <c r="EB87">
        <f>DS87*DT87/(3.6*10^6)*3600*7200*0.07</f>
        <v>850.26863048404448</v>
      </c>
      <c r="EC87">
        <f>0.499*((BM87/3.78541*15)^(-0.146))*BM87/3.78541*15*300*(1+(AF87-2)/9)</f>
        <v>41141.831978756825</v>
      </c>
      <c r="ED87">
        <f>0.248*((BM87/3.78541*15)^(-0.144))*BM87/3.78541*15*300*(1+(AF87-2)/3)</f>
        <v>38793.854171269806</v>
      </c>
      <c r="EE87">
        <f>0.105*((BM87/3.78541*15)^(-0.144))*BM87/3.78541*15*300*(1+(AF87-2)/3)</f>
        <v>16424.81729025536</v>
      </c>
      <c r="EF87">
        <f>0.058*((BM87/3.78541*15)^(-0.151))*BM87/3.78541*15*300*(1+(AF87-2)/3)</f>
        <v>8705.5278180281439</v>
      </c>
      <c r="EG87">
        <f>0.056*((BM87/3.78541*15)^(-0.144))*BM87/3.78541*15*300*(1+(AF87-2)/3)</f>
        <v>8759.9025548028621</v>
      </c>
      <c r="EH87">
        <f>DS87*DU87/(3.6*10^6)*3600*7200*0.07</f>
        <v>426.87744694945422</v>
      </c>
      <c r="EI87">
        <f>SUM(DW87:EH87)</f>
        <v>257997.23248808456</v>
      </c>
      <c r="EJ87">
        <f>EI87+DR87+DL87</f>
        <v>16209667.969756955</v>
      </c>
      <c r="EK87">
        <f>EJ87+DF87</f>
        <v>17039685.792661373</v>
      </c>
      <c r="EL87">
        <f>EK87/(BK87*60*7200)</f>
        <v>0.39443717112642068</v>
      </c>
      <c r="EM87">
        <f>EK87/(BM87*(AM87*195.084/1000+AN87*106.42/1000+AO87*102.911/1000)*60*7200)</f>
        <v>1319.5898830340113</v>
      </c>
      <c r="EN87">
        <f>EK87/(BN87*BA87*(AP87*195.084/1000+AQ87*106.42/1000+AR87*102.911/1000)*60*7200)</f>
        <v>2421.7076083438096</v>
      </c>
    </row>
    <row r="88" spans="1:144">
      <c r="A88">
        <f>'Costing 100 Lmin Feed Orig'!A88</f>
        <v>11</v>
      </c>
      <c r="B88">
        <f>'Costing 100 Lmin Feed Orig'!B88</f>
        <v>1.54143585092054E-3</v>
      </c>
      <c r="C88">
        <f>'Costing 100 Lmin Feed Orig'!C88</f>
        <v>1.54143585092054E-3</v>
      </c>
      <c r="D88">
        <f>'Costing 100 Lmin Feed Orig'!D88</f>
        <v>3.4254130020456501E-4</v>
      </c>
      <c r="E88">
        <f>'Costing 100 Lmin Feed Orig'!E88</f>
        <v>0</v>
      </c>
      <c r="F88">
        <f>'Costing 100 Lmin Feed Orig'!F88</f>
        <v>0</v>
      </c>
      <c r="G88">
        <f>'Costing 100 Lmin Feed Orig'!G88</f>
        <v>0</v>
      </c>
      <c r="H88">
        <f>'Costing 100 Lmin Feed Orig'!H88</f>
        <v>1.7771367359861701E-5</v>
      </c>
      <c r="I88">
        <f>'Costing 100 Lmin Feed Orig'!I88</f>
        <v>1.8081057367328801E-10</v>
      </c>
      <c r="J88">
        <f>'Costing 100 Lmin Feed Orig'!J88</f>
        <v>3.3765941525589702E-4</v>
      </c>
      <c r="K88">
        <f>'Costing 100 Lmin Feed Orig'!K88</f>
        <v>0.139102253285185</v>
      </c>
      <c r="L88">
        <f>'Costing 100 Lmin Feed Orig'!L88</f>
        <v>0.14072466572308701</v>
      </c>
      <c r="M88">
        <f>'Costing 100 Lmin Feed Orig'!M88</f>
        <v>4.4568945720355099E-4</v>
      </c>
      <c r="N88">
        <f>'Costing 100 Lmin Feed Orig'!N88</f>
        <v>-8.03393809811758E-16</v>
      </c>
      <c r="O88">
        <f>'Costing 100 Lmin Feed Orig'!O88</f>
        <v>-8.4019770307808202E-13</v>
      </c>
      <c r="P88">
        <f>'Costing 100 Lmin Feed Orig'!P88</f>
        <v>-2.26157796916898E-19</v>
      </c>
      <c r="Q88">
        <f>'Costing 100 Lmin Feed Orig'!Q88</f>
        <v>0.10953557168033</v>
      </c>
      <c r="R88">
        <f>'Costing 100 Lmin Feed Orig'!R88</f>
        <v>98.5748039883795</v>
      </c>
      <c r="S88">
        <f>'Costing 100 Lmin Feed Orig'!S88</f>
        <v>500</v>
      </c>
      <c r="T88">
        <f>'Costing 100 Lmin Feed Orig'!T88</f>
        <v>95</v>
      </c>
      <c r="U88">
        <f>'Costing 100 Lmin Feed Orig'!U88</f>
        <v>1</v>
      </c>
      <c r="V88">
        <f>'Costing 100 Lmin Feed Orig'!V88</f>
        <v>0.1</v>
      </c>
      <c r="W88">
        <f>'Costing 100 Lmin Feed Orig'!W88</f>
        <v>91.294543376138293</v>
      </c>
      <c r="X88" t="str">
        <f>'Costing 100 Lmin Feed Orig'!X88</f>
        <v>ddFc</v>
      </c>
      <c r="Y88">
        <f>'Costing 100 Lmin Feed Orig'!Y88</f>
        <v>1</v>
      </c>
      <c r="Z88">
        <f>'Costing 100 Lmin Feed Orig'!Z88</f>
        <v>0.28318429382522198</v>
      </c>
      <c r="AA88">
        <f>'Costing 100 Lmin Feed Orig'!AA88</f>
        <v>0.56945642916197003</v>
      </c>
      <c r="AB88">
        <f>'Costing 100 Lmin Feed Orig'!AB88</f>
        <v>3.7698628972227502E-3</v>
      </c>
      <c r="AC88">
        <f>'Costing 100 Lmin Feed Orig'!AC88</f>
        <v>1822.2107908876901</v>
      </c>
      <c r="AD88">
        <f>'Costing 100 Lmin Feed Orig'!AD88</f>
        <v>2662.6059073104898</v>
      </c>
      <c r="AE88">
        <f>'Costing 100 Lmin Feed Orig'!AE88</f>
        <v>2401.5030938442701</v>
      </c>
      <c r="AF88">
        <f>'Costing 100 Lmin Feed Orig'!AF88</f>
        <v>10</v>
      </c>
      <c r="AG88">
        <f>'Costing 100 Lmin Feed Orig'!AG88</f>
        <v>1.6497569194096201E-3</v>
      </c>
      <c r="AH88">
        <f>'Costing 100 Lmin Feed Orig'!AH88</f>
        <v>1.6689987798565299E-3</v>
      </c>
      <c r="AI88">
        <f>'Costing 100 Lmin Feed Orig'!AI88</f>
        <v>5.28589040482341E-6</v>
      </c>
      <c r="AJ88">
        <f>'Costing 100 Lmin Feed Orig'!AJ88</f>
        <v>0</v>
      </c>
      <c r="AK88">
        <f>'Costing 100 Lmin Feed Orig'!AK88</f>
        <v>0</v>
      </c>
      <c r="AL88">
        <f>'Costing 100 Lmin Feed Orig'!AL88</f>
        <v>0</v>
      </c>
      <c r="AM88">
        <f>'Costing 100 Lmin Feed Orig'!AM88</f>
        <v>1.61280608328623E-3</v>
      </c>
      <c r="AN88">
        <f>'Costing 100 Lmin Feed Orig'!AN88</f>
        <v>7.9633405949388404E-5</v>
      </c>
      <c r="AO88">
        <f>'Costing 100 Lmin Feed Orig'!AO88</f>
        <v>5.2511247490748196E-6</v>
      </c>
      <c r="AP88">
        <f>'Costing 100 Lmin Feed Orig'!AP88</f>
        <v>1.7333873588263201E-3</v>
      </c>
      <c r="AQ88">
        <f>'Costing 100 Lmin Feed Orig'!AQ88</f>
        <v>7.4558146402506298E-2</v>
      </c>
      <c r="AR88">
        <f>'Costing 100 Lmin Feed Orig'!AR88</f>
        <v>1.63087914994542E-6</v>
      </c>
      <c r="AS88">
        <f>'Costing 100 Lmin Feed Orig'!AS88</f>
        <v>6.1625306095082401E-15</v>
      </c>
      <c r="AT88">
        <f>'Costing 100 Lmin Feed Orig'!AT88</f>
        <v>-6.3828326304915498E-13</v>
      </c>
      <c r="AU88">
        <f>'Costing 100 Lmin Feed Orig'!AU88</f>
        <v>5.8087931335923803E-20</v>
      </c>
      <c r="AV88">
        <f>'Costing 100 Lmin Feed Orig'!AV88</f>
        <v>0.19687838161047699</v>
      </c>
      <c r="AW88">
        <f>'Costing 100 Lmin Feed Orig'!AW88</f>
        <v>99.342293292406097</v>
      </c>
      <c r="AX88">
        <f>'Costing 100 Lmin Feed Orig'!AX88</f>
        <v>500</v>
      </c>
      <c r="AY88">
        <f>'Costing 100 Lmin Feed Orig'!AY88</f>
        <v>95</v>
      </c>
      <c r="AZ88">
        <f>'Costing 100 Lmin Feed Orig'!AZ88</f>
        <v>0.92356908198738696</v>
      </c>
      <c r="BA88">
        <f>'Costing 100 Lmin Feed Orig'!BA88</f>
        <v>0.1</v>
      </c>
      <c r="BB88">
        <f>'Costing 100 Lmin Feed Orig'!BB88</f>
        <v>46.910639676765697</v>
      </c>
      <c r="BC88" t="str">
        <f>'Costing 100 Lmin Feed Orig'!BC88</f>
        <v>coeFc</v>
      </c>
      <c r="BD88">
        <f>'Costing 100 Lmin Feed Orig'!BD88</f>
        <v>1</v>
      </c>
      <c r="BE88">
        <f>'Costing 100 Lmin Feed Orig'!BE88</f>
        <v>1.8775014999999999E-2</v>
      </c>
      <c r="BF88">
        <f>'Costing 100 Lmin Feed Orig'!BF88</f>
        <v>0.10492961100000001</v>
      </c>
      <c r="BG88">
        <f>'Costing 100 Lmin Feed Orig'!BG88</f>
        <v>1.814625E-3</v>
      </c>
      <c r="BH88">
        <f>'Costing 100 Lmin Feed Orig'!BH88</f>
        <v>285.1951444</v>
      </c>
      <c r="BI88">
        <f>'Costing 100 Lmin Feed Orig'!BI88</f>
        <v>2169.8944889999998</v>
      </c>
      <c r="BJ88">
        <f>'Costing 100 Lmin Feed Orig'!BJ88</f>
        <v>866.49409060000005</v>
      </c>
      <c r="BK88">
        <f>'Costing 100 Lmin Feed Orig'!BK88</f>
        <v>100</v>
      </c>
      <c r="BL88">
        <f>'Costing 100 Lmin Feed Orig'!BL88</f>
        <v>10.953557168032999</v>
      </c>
      <c r="BM88">
        <f>'Costing 100 Lmin Feed Orig'!BM88</f>
        <v>92.356908198738694</v>
      </c>
      <c r="BN88">
        <f>'Costing 100 Lmin Feed Orig'!BN88</f>
        <v>19.687838161047701</v>
      </c>
      <c r="BO88">
        <f t="shared" si="20"/>
        <v>284.79248636885796</v>
      </c>
      <c r="BP88">
        <f t="shared" si="21"/>
        <v>472.50811586514482</v>
      </c>
      <c r="BQ88">
        <f t="shared" si="22"/>
        <v>28.479248636885799</v>
      </c>
      <c r="BR88">
        <f t="shared" si="23"/>
        <v>47.250811586514487</v>
      </c>
      <c r="BS88">
        <f>1.2*0.5*BL88*V88/'Oxidant Feed Composition'!$N$22</f>
        <v>6.5721343008197994</v>
      </c>
      <c r="BT88">
        <f>1.2*0.5*BN88*BA88/'Oxidant Feed Composition'!$N$22</f>
        <v>11.812702896628618</v>
      </c>
      <c r="BU88">
        <f t="shared" si="24"/>
        <v>5.4767785840164995</v>
      </c>
      <c r="BV88">
        <f t="shared" si="25"/>
        <v>9.8439190805238503</v>
      </c>
      <c r="BW88">
        <f t="shared" si="26"/>
        <v>86.880129614722193</v>
      </c>
      <c r="BX88">
        <f t="shared" si="19"/>
        <v>35.051382937705597</v>
      </c>
      <c r="BY88">
        <f t="shared" si="27"/>
        <v>206.62093073354339</v>
      </c>
      <c r="BZ88">
        <f t="shared" si="28"/>
        <v>63.001082115352638</v>
      </c>
      <c r="CA88">
        <f t="shared" si="29"/>
        <v>59.063514483143102</v>
      </c>
      <c r="CB88">
        <f>BO88*'Reagent cost'!$G$11*'Reagent cost'!$H$11</f>
        <v>3759.2608200689256</v>
      </c>
      <c r="CC88">
        <f>BP88*'Reagent cost'!$G$11*'Reagent cost'!$H$11</f>
        <v>6237.1071294199119</v>
      </c>
      <c r="CD88">
        <f>BQ88*'Reagent cost'!$C$18/1000*'Reagent cost'!$H$18</f>
        <v>4541.8834647976191</v>
      </c>
      <c r="CE88">
        <f>BR88*'Ligand cost'!$B$56*'Ligand cost'!$J$56</f>
        <v>48107.36163270205</v>
      </c>
      <c r="CF88">
        <f t="shared" si="30"/>
        <v>10</v>
      </c>
      <c r="CG88">
        <f t="shared" si="31"/>
        <v>2.1907114336065998</v>
      </c>
      <c r="CH88">
        <f t="shared" si="31"/>
        <v>3.9375676322095403</v>
      </c>
      <c r="CI88">
        <f>7963.6*(BX88/1000)^0.6*1.7*('CAPEX+OPEX'!$G$116/'CAPEX+OPEX'!$G$115)</f>
        <v>2138.2772847076108</v>
      </c>
      <c r="CJ88">
        <f>7963.6*(BY88/1000)^0.6*1.7*('CAPEX+OPEX'!$G$116/'CAPEX+OPEX'!$G$115)</f>
        <v>6199.3408604999822</v>
      </c>
      <c r="CK88">
        <f>7963.6*(BZ88/1000)^0.6*1.7*('CAPEX+OPEX'!$G$116/'CAPEX+OPEX'!$G$115)</f>
        <v>3039.8330556242968</v>
      </c>
      <c r="CL88">
        <f>7963.6*(CA88/1000)^0.6*1.7*('CAPEX+OPEX'!$G$116/'CAPEX+OPEX'!$G$115)</f>
        <v>2924.3712061413185</v>
      </c>
      <c r="CM88">
        <f>'Costing 100 Lmin Feed Orig'!DE88</f>
        <v>39625.826528698344</v>
      </c>
      <c r="CN88">
        <f>'Costing 100 Lmin Feed Orig'!DF88</f>
        <v>4586243.4239371875</v>
      </c>
      <c r="CO88">
        <f>'Costing 100 Lmin Feed Orig'!DG88</f>
        <v>11794834.586807497</v>
      </c>
      <c r="CP88">
        <f>'Costing 100 Lmin Feed Orig'!DH88</f>
        <v>2275209.1661185985</v>
      </c>
      <c r="CQ88">
        <f>'Costing 100 Lmin Feed Orig'!DI88</f>
        <v>14083914.336508472</v>
      </c>
      <c r="CR88">
        <f>'Costing 100 Lmin Feed Orig'!DJ88</f>
        <v>1662824.8986326549</v>
      </c>
      <c r="CS88">
        <f>CN88*(BK88/10000)^0.72*((A88+1)/3)^0.6*('CAPEX+OPEX'!$G$116/'CAPEX+OPEX'!$G$114)</f>
        <v>892840.31653984461</v>
      </c>
      <c r="CT88">
        <f>CO88*(BK88/10000)^0.72*((A88+1)/3)^0.6*('CAPEX+OPEX'!$G$116/'CAPEX+OPEX'!$G$114)</f>
        <v>2296193.8284949926</v>
      </c>
      <c r="CU88">
        <f>CP88*(BK88/10000)^0.72*((A88+1)/3)^0.6*('CAPEX+OPEX'!$G$116/'CAPEX+OPEX'!$G$114)</f>
        <v>442932.9811560188</v>
      </c>
      <c r="CV88">
        <f>CQ88*(BK88/10000)^0.72*((A88+1)/3)^0.6*('CAPEX+OPEX'!$G$116/'CAPEX+OPEX'!$G$114)</f>
        <v>2741827.1059701391</v>
      </c>
      <c r="CW88">
        <f>CR88*(BK88/10000)^0.72*((A88+1)/3)^0.6*('CAPEX+OPEX'!$G$116/'CAPEX+OPEX'!$G$114)</f>
        <v>323715.28756992728</v>
      </c>
      <c r="CX88">
        <f t="shared" si="32"/>
        <v>6697509.5197309218</v>
      </c>
      <c r="CY88">
        <f>CN88*(BM88/10000)^0.72*((AF88+1)/3)^0.6*('CAPEX+OPEX'!$G$116/'CAPEX+OPEX'!$G$114)</f>
        <v>800273.82788002607</v>
      </c>
      <c r="CZ88">
        <f>CO88*(BM88/10000)^0.72*((AF88+1)/3)^0.6*('CAPEX+OPEX'!$G$116/'CAPEX+OPEX'!$G$114)</f>
        <v>2058132.6701348326</v>
      </c>
      <c r="DA88">
        <f>CP88*(BM88/10000)^0.72*((AF88+1)/3)^0.6*('CAPEX+OPEX'!$G$116/'CAPEX+OPEX'!$G$114)</f>
        <v>397011.27486912702</v>
      </c>
      <c r="DB88">
        <f>CQ88*(BM88/10000)^0.72*((AF88+1)/3)^0.6*('CAPEX+OPEX'!$G$116/'CAPEX+OPEX'!$G$114)</f>
        <v>2457564.2842647284</v>
      </c>
      <c r="DC88">
        <f>CR88*(BM88/10000)^0.72*((AF88+1)/3)^0.6*('CAPEX+OPEX'!$G$116/'CAPEX+OPEX'!$G$114)</f>
        <v>290153.64508946665</v>
      </c>
      <c r="DD88">
        <f t="shared" si="33"/>
        <v>6003135.7022381816</v>
      </c>
      <c r="DE88">
        <f>CX88+DD88+1.15*(SUM(CI88:CL88)+SUM(CB88:CE88))</f>
        <v>12789134.772741159</v>
      </c>
      <c r="DF88">
        <f t="shared" si="34"/>
        <v>852608.9848494106</v>
      </c>
      <c r="DG88">
        <f>(BS88+BT88)*'Oxidant Feed Composition'!$N$29*60*7200</f>
        <v>9171670.2068566568</v>
      </c>
      <c r="DH88">
        <f>((CG88+CH88)*'Reagent cost'!$C$17/1000*'Reagent cost'!$H$17+(CG88+CH88)*0.5*'Reagent cost'!$C$16/1000*'Reagent cost'!$H$16*0.5)*60*7200</f>
        <v>3105035.7452947246</v>
      </c>
      <c r="DI88">
        <f>CF88*'Reagent cost'!$C$17/1000*'Reagent cost'!$H$17*60*7200</f>
        <v>504921.59999999998</v>
      </c>
      <c r="DJ88">
        <f t="shared" si="35"/>
        <v>99.963679494888382</v>
      </c>
      <c r="DK88">
        <f t="shared" si="36"/>
        <v>1052.9849019499934</v>
      </c>
      <c r="DL88">
        <f t="shared" si="37"/>
        <v>15339336.600879388</v>
      </c>
      <c r="DM88">
        <f>BK88*(B88*(409.81+2)/1000+C88*(248.2+2*22.99)/1000+D88*(315.6+3*22.99)/1000+0.1*58.44/1000)</f>
        <v>0.70639694042110623</v>
      </c>
      <c r="DN88">
        <f>(BS88+BT88)/1000*('Oxidant Feed Composition'!$B$11*'Oxidant Feed Composition'!$O$20+'Oxidant Feed Composition'!$D$11*'Oxidant Feed Composition'!$O$21+'Oxidant Feed Composition'!$F$11*'Oxidant Feed Composition'!$O$27-'Oxidant Feed Composition'!$J$15*18.015)</f>
        <v>2.1470647550789024</v>
      </c>
      <c r="DO88">
        <f>(BU88+BV88)/1000*(0.2*368.34+0.4*58.44)</f>
        <v>1.4867817841576538</v>
      </c>
      <c r="DP88">
        <f>BK88/1000*(B88*195.08+C88*106.42+D88*102.91)</f>
        <v>4.999938342565946E-2</v>
      </c>
      <c r="DQ88">
        <f>SUM(DM88:DO88)-DP88</f>
        <v>4.2902440962320023</v>
      </c>
      <c r="DR88">
        <f>DQ88*60*7200*0.33</f>
        <v>611617.19835883426</v>
      </c>
      <c r="DS88">
        <v>1.2</v>
      </c>
      <c r="DT88">
        <f>BM88/60*(AM88*4+AN88*2+AO88*3)*96485/DV88</f>
        <v>1405.8770925358626</v>
      </c>
      <c r="DU88">
        <f>BN88*BA88*(AP88*4+AQ88*2+AR88*3)*96485/DV88/60</f>
        <v>705.80623683932424</v>
      </c>
      <c r="DV88">
        <v>0.7</v>
      </c>
      <c r="DW88">
        <f>0.499*((BK88/3.78541*15)^(-0.146))*BK88/3.78541*15*300*(1+(A88-2)/9)</f>
        <v>49536.497143418172</v>
      </c>
      <c r="DX88">
        <f>0.248*((BK88/3.78541*15)^(-0.144))*BK88/3.78541*15*300*(1+(A88-2)/3)</f>
        <v>49831.318766753509</v>
      </c>
      <c r="DY88">
        <f>0.105*((BK88/3.78541*15)^(-0.144))*BK88/3.78541*15*300*(1+(A88-2)/3)</f>
        <v>21097.937381085154</v>
      </c>
      <c r="DZ88">
        <f>0.058*((BK88/3.78541*15)^(-0.151))*BK88/3.78541*15*300*(1+(A88-2)/3)</f>
        <v>11176.166036369152</v>
      </c>
      <c r="EA88">
        <f>0.056*((BK88/3.78541*15)^(-0.144))*BK88/3.78541*15*300*(1+(A88-2)/3)</f>
        <v>11252.233269912085</v>
      </c>
      <c r="EB88">
        <f>DS88*DT88/(3.6*10^6)*3600*7200*0.07</f>
        <v>850.27446556568964</v>
      </c>
      <c r="EC88">
        <f>0.499*((BM88/3.78541*15)^(-0.146))*BM88/3.78541*15*300*(1+(AF88-2)/9)</f>
        <v>43713.196477429126</v>
      </c>
      <c r="ED88">
        <f>0.248*((BM88/3.78541*15)^(-0.144))*BM88/3.78541*15*300*(1+(AF88-2)/3)</f>
        <v>42673.239588396784</v>
      </c>
      <c r="EE88">
        <f>0.105*((BM88/3.78541*15)^(-0.144))*BM88/3.78541*15*300*(1+(AF88-2)/3)</f>
        <v>18067.299019280894</v>
      </c>
      <c r="EF88">
        <f>0.058*((BM88/3.78541*15)^(-0.151))*BM88/3.78541*15*300*(1+(AF88-2)/3)</f>
        <v>9576.080599830957</v>
      </c>
      <c r="EG88">
        <f>0.056*((BM88/3.78541*15)^(-0.144))*BM88/3.78541*15*300*(1+(AF88-2)/3)</f>
        <v>9635.8928102831469</v>
      </c>
      <c r="EH88">
        <f>DS88*DU88/(3.6*10^6)*3600*7200*0.07</f>
        <v>426.87161204042332</v>
      </c>
      <c r="EI88">
        <f>SUM(DW88:EH88)</f>
        <v>267837.00717036513</v>
      </c>
      <c r="EJ88">
        <f>EI88+DR88+DL88</f>
        <v>16218790.806408588</v>
      </c>
      <c r="EK88">
        <f>EJ88+DF88</f>
        <v>17071399.791258</v>
      </c>
      <c r="EL88">
        <f>EK88/(BK88*60*7200)</f>
        <v>0.39517129146430557</v>
      </c>
      <c r="EM88">
        <f>EK88/(BM88*(AM88*195.084/1000+AN88*106.42/1000+AO88*102.911/1000)*60*7200)</f>
        <v>1322.0368050031923</v>
      </c>
      <c r="EN88">
        <f>EK88/(BN88*BA88*(AP88*195.084/1000+AQ88*106.42/1000+AR88*102.911/1000)*60*7200)</f>
        <v>2426.2454275596851</v>
      </c>
    </row>
    <row r="89" spans="1:144">
      <c r="A89">
        <f>'Costing 100 Lmin Feed Orig'!A89</f>
        <v>11</v>
      </c>
      <c r="B89">
        <f>'Costing 100 Lmin Feed Orig'!B89</f>
        <v>1.54143585092054E-3</v>
      </c>
      <c r="C89">
        <f>'Costing 100 Lmin Feed Orig'!C89</f>
        <v>1.54143585092054E-3</v>
      </c>
      <c r="D89">
        <f>'Costing 100 Lmin Feed Orig'!D89</f>
        <v>3.4254130020456501E-4</v>
      </c>
      <c r="E89">
        <f>'Costing 100 Lmin Feed Orig'!E89</f>
        <v>0</v>
      </c>
      <c r="F89">
        <f>'Costing 100 Lmin Feed Orig'!F89</f>
        <v>0</v>
      </c>
      <c r="G89">
        <f>'Costing 100 Lmin Feed Orig'!G89</f>
        <v>0</v>
      </c>
      <c r="H89">
        <f>'Costing 100 Lmin Feed Orig'!H89</f>
        <v>1.7771367359861701E-5</v>
      </c>
      <c r="I89">
        <f>'Costing 100 Lmin Feed Orig'!I89</f>
        <v>1.8081057367328801E-10</v>
      </c>
      <c r="J89">
        <f>'Costing 100 Lmin Feed Orig'!J89</f>
        <v>3.3765941525589702E-4</v>
      </c>
      <c r="K89">
        <f>'Costing 100 Lmin Feed Orig'!K89</f>
        <v>0.139102253285185</v>
      </c>
      <c r="L89">
        <f>'Costing 100 Lmin Feed Orig'!L89</f>
        <v>0.14072466572308701</v>
      </c>
      <c r="M89">
        <f>'Costing 100 Lmin Feed Orig'!M89</f>
        <v>4.4568945720355099E-4</v>
      </c>
      <c r="N89">
        <f>'Costing 100 Lmin Feed Orig'!N89</f>
        <v>-8.03393809811758E-16</v>
      </c>
      <c r="O89">
        <f>'Costing 100 Lmin Feed Orig'!O89</f>
        <v>-8.4019770307808202E-13</v>
      </c>
      <c r="P89">
        <f>'Costing 100 Lmin Feed Orig'!P89</f>
        <v>-2.26157796916898E-19</v>
      </c>
      <c r="Q89">
        <f>'Costing 100 Lmin Feed Orig'!Q89</f>
        <v>0.10953557168033</v>
      </c>
      <c r="R89">
        <f>'Costing 100 Lmin Feed Orig'!R89</f>
        <v>98.5748039883795</v>
      </c>
      <c r="S89">
        <f>'Costing 100 Lmin Feed Orig'!S89</f>
        <v>500</v>
      </c>
      <c r="T89">
        <f>'Costing 100 Lmin Feed Orig'!T89</f>
        <v>95</v>
      </c>
      <c r="U89">
        <f>'Costing 100 Lmin Feed Orig'!U89</f>
        <v>1</v>
      </c>
      <c r="V89">
        <f>'Costing 100 Lmin Feed Orig'!V89</f>
        <v>0.1</v>
      </c>
      <c r="W89">
        <f>'Costing 100 Lmin Feed Orig'!W89</f>
        <v>91.294543376138293</v>
      </c>
      <c r="X89" t="str">
        <f>'Costing 100 Lmin Feed Orig'!X89</f>
        <v>ddFc</v>
      </c>
      <c r="Y89">
        <f>'Costing 100 Lmin Feed Orig'!Y89</f>
        <v>1</v>
      </c>
      <c r="Z89">
        <f>'Costing 100 Lmin Feed Orig'!Z89</f>
        <v>0.28318429382522198</v>
      </c>
      <c r="AA89">
        <f>'Costing 100 Lmin Feed Orig'!AA89</f>
        <v>0.56945642916197003</v>
      </c>
      <c r="AB89">
        <f>'Costing 100 Lmin Feed Orig'!AB89</f>
        <v>3.7698628972227502E-3</v>
      </c>
      <c r="AC89">
        <f>'Costing 100 Lmin Feed Orig'!AC89</f>
        <v>1822.2107908876901</v>
      </c>
      <c r="AD89">
        <f>'Costing 100 Lmin Feed Orig'!AD89</f>
        <v>2662.6059073104898</v>
      </c>
      <c r="AE89">
        <f>'Costing 100 Lmin Feed Orig'!AE89</f>
        <v>2401.5030938442701</v>
      </c>
      <c r="AF89">
        <f>'Costing 100 Lmin Feed Orig'!AF89</f>
        <v>11</v>
      </c>
      <c r="AG89">
        <f>'Costing 100 Lmin Feed Orig'!AG89</f>
        <v>1.6497569194096201E-3</v>
      </c>
      <c r="AH89">
        <f>'Costing 100 Lmin Feed Orig'!AH89</f>
        <v>1.6689987798565299E-3</v>
      </c>
      <c r="AI89">
        <f>'Costing 100 Lmin Feed Orig'!AI89</f>
        <v>5.28589040482341E-6</v>
      </c>
      <c r="AJ89">
        <f>'Costing 100 Lmin Feed Orig'!AJ89</f>
        <v>0</v>
      </c>
      <c r="AK89">
        <f>'Costing 100 Lmin Feed Orig'!AK89</f>
        <v>0</v>
      </c>
      <c r="AL89">
        <f>'Costing 100 Lmin Feed Orig'!AL89</f>
        <v>0</v>
      </c>
      <c r="AM89">
        <f>'Costing 100 Lmin Feed Orig'!AM89</f>
        <v>1.6128091969893901E-3</v>
      </c>
      <c r="AN89">
        <f>'Costing 100 Lmin Feed Orig'!AN89</f>
        <v>7.9633567021484305E-5</v>
      </c>
      <c r="AO89">
        <f>'Costing 100 Lmin Feed Orig'!AO89</f>
        <v>5.2511275568870697E-6</v>
      </c>
      <c r="AP89">
        <f>'Costing 100 Lmin Feed Orig'!AP89</f>
        <v>1.7332820417295799E-3</v>
      </c>
      <c r="AQ89">
        <f>'Costing 100 Lmin Feed Orig'!AQ89</f>
        <v>7.4559891685805804E-2</v>
      </c>
      <c r="AR89">
        <f>'Costing 100 Lmin Feed Orig'!AR89</f>
        <v>1.63078577254671E-6</v>
      </c>
      <c r="AS89">
        <f>'Costing 100 Lmin Feed Orig'!AS89</f>
        <v>1.9922621495235798E-15</v>
      </c>
      <c r="AT89">
        <f>'Costing 100 Lmin Feed Orig'!AT89</f>
        <v>-1.9831944246540001E-13</v>
      </c>
      <c r="AU89">
        <f>'Costing 100 Lmin Feed Orig'!AU89</f>
        <v>1.2917252445628E-20</v>
      </c>
      <c r="AV89">
        <f>'Costing 100 Lmin Feed Orig'!AV89</f>
        <v>0.19687375310907501</v>
      </c>
      <c r="AW89">
        <f>'Costing 100 Lmin Feed Orig'!AW89</f>
        <v>99.3423464114084</v>
      </c>
      <c r="AX89">
        <f>'Costing 100 Lmin Feed Orig'!AX89</f>
        <v>500</v>
      </c>
      <c r="AY89">
        <f>'Costing 100 Lmin Feed Orig'!AY89</f>
        <v>95</v>
      </c>
      <c r="AZ89">
        <f>'Costing 100 Lmin Feed Orig'!AZ89</f>
        <v>0.92356908198738696</v>
      </c>
      <c r="BA89">
        <f>'Costing 100 Lmin Feed Orig'!BA89</f>
        <v>0.1</v>
      </c>
      <c r="BB89">
        <f>'Costing 100 Lmin Feed Orig'!BB89</f>
        <v>46.911742545777201</v>
      </c>
      <c r="BC89" t="str">
        <f>'Costing 100 Lmin Feed Orig'!BC89</f>
        <v>coeFc</v>
      </c>
      <c r="BD89">
        <f>'Costing 100 Lmin Feed Orig'!BD89</f>
        <v>1</v>
      </c>
      <c r="BE89">
        <f>'Costing 100 Lmin Feed Orig'!BE89</f>
        <v>1.8775014999999999E-2</v>
      </c>
      <c r="BF89">
        <f>'Costing 100 Lmin Feed Orig'!BF89</f>
        <v>0.10492961100000001</v>
      </c>
      <c r="BG89">
        <f>'Costing 100 Lmin Feed Orig'!BG89</f>
        <v>1.814625E-3</v>
      </c>
      <c r="BH89">
        <f>'Costing 100 Lmin Feed Orig'!BH89</f>
        <v>285.1951444</v>
      </c>
      <c r="BI89">
        <f>'Costing 100 Lmin Feed Orig'!BI89</f>
        <v>2169.8944889999998</v>
      </c>
      <c r="BJ89">
        <f>'Costing 100 Lmin Feed Orig'!BJ89</f>
        <v>866.49409060000005</v>
      </c>
      <c r="BK89">
        <f>'Costing 100 Lmin Feed Orig'!BK89</f>
        <v>100</v>
      </c>
      <c r="BL89">
        <f>'Costing 100 Lmin Feed Orig'!BL89</f>
        <v>10.953557168032999</v>
      </c>
      <c r="BM89">
        <f>'Costing 100 Lmin Feed Orig'!BM89</f>
        <v>92.356908198738694</v>
      </c>
      <c r="BN89">
        <f>'Costing 100 Lmin Feed Orig'!BN89</f>
        <v>19.687375310907502</v>
      </c>
      <c r="BO89">
        <f t="shared" si="20"/>
        <v>284.79248636885796</v>
      </c>
      <c r="BP89">
        <f t="shared" si="21"/>
        <v>511.87175808359507</v>
      </c>
      <c r="BQ89">
        <f t="shared" si="22"/>
        <v>28.479248636885799</v>
      </c>
      <c r="BR89">
        <f t="shared" si="23"/>
        <v>51.187175808359513</v>
      </c>
      <c r="BS89">
        <f>1.2*0.5*BL89*V89/'Oxidant Feed Composition'!$N$22</f>
        <v>6.5721343008197994</v>
      </c>
      <c r="BT89">
        <f>1.2*0.5*BN89*BA89/'Oxidant Feed Composition'!$N$22</f>
        <v>11.812425186544498</v>
      </c>
      <c r="BU89">
        <f t="shared" si="24"/>
        <v>5.4767785840164995</v>
      </c>
      <c r="BV89">
        <f t="shared" si="25"/>
        <v>9.8436876554537509</v>
      </c>
      <c r="BW89">
        <f t="shared" si="26"/>
        <v>86.880129614722193</v>
      </c>
      <c r="BX89">
        <f t="shared" si="19"/>
        <v>35.051382937705597</v>
      </c>
      <c r="BY89">
        <f t="shared" si="27"/>
        <v>206.62093073354339</v>
      </c>
      <c r="BZ89">
        <f t="shared" si="28"/>
        <v>62.999600994904</v>
      </c>
      <c r="CA89">
        <f t="shared" si="29"/>
        <v>59.062125932722509</v>
      </c>
      <c r="CB89">
        <f>BO89*'Reagent cost'!$G$11*'Reagent cost'!$H$11</f>
        <v>3759.2608200689256</v>
      </c>
      <c r="CC89">
        <f>BP89*'Reagent cost'!$G$11*'Reagent cost'!$H$11</f>
        <v>6756.7072067034551</v>
      </c>
      <c r="CD89">
        <f>BQ89*'Reagent cost'!$C$18/1000*'Reagent cost'!$H$18</f>
        <v>4541.8834647976191</v>
      </c>
      <c r="CE89">
        <f>BR89*'Ligand cost'!$B$56*'Ligand cost'!$J$56</f>
        <v>52115.083209962198</v>
      </c>
      <c r="CF89">
        <f t="shared" si="30"/>
        <v>10</v>
      </c>
      <c r="CG89">
        <f t="shared" si="31"/>
        <v>2.1907114336065998</v>
      </c>
      <c r="CH89">
        <f t="shared" si="31"/>
        <v>3.9374750621815005</v>
      </c>
      <c r="CI89">
        <f>7963.6*(BX89/1000)^0.6*1.7*('CAPEX+OPEX'!$G$116/'CAPEX+OPEX'!$G$115)</f>
        <v>2138.2772847076108</v>
      </c>
      <c r="CJ89">
        <f>7963.6*(BY89/1000)^0.6*1.7*('CAPEX+OPEX'!$G$116/'CAPEX+OPEX'!$G$115)</f>
        <v>6199.3408604999822</v>
      </c>
      <c r="CK89">
        <f>7963.6*(BZ89/1000)^0.6*1.7*('CAPEX+OPEX'!$G$116/'CAPEX+OPEX'!$G$115)</f>
        <v>3039.7901765506263</v>
      </c>
      <c r="CL89">
        <f>7963.6*(CA89/1000)^0.6*1.7*('CAPEX+OPEX'!$G$116/'CAPEX+OPEX'!$G$115)</f>
        <v>2924.3299557416776</v>
      </c>
      <c r="CM89">
        <f>'Costing 100 Lmin Feed Orig'!DE89</f>
        <v>39625.826528698344</v>
      </c>
      <c r="CN89">
        <f>'Costing 100 Lmin Feed Orig'!DF89</f>
        <v>4586243.4239371875</v>
      </c>
      <c r="CO89">
        <f>'Costing 100 Lmin Feed Orig'!DG89</f>
        <v>11794834.586807497</v>
      </c>
      <c r="CP89">
        <f>'Costing 100 Lmin Feed Orig'!DH89</f>
        <v>2275209.1661185985</v>
      </c>
      <c r="CQ89">
        <f>'Costing 100 Lmin Feed Orig'!DI89</f>
        <v>14083914.336508472</v>
      </c>
      <c r="CR89">
        <f>'Costing 100 Lmin Feed Orig'!DJ89</f>
        <v>1662824.8986326549</v>
      </c>
      <c r="CS89">
        <f>CN89*(BK89/10000)^0.72*((A89+1)/3)^0.6*('CAPEX+OPEX'!$G$116/'CAPEX+OPEX'!$G$114)</f>
        <v>892840.31653984461</v>
      </c>
      <c r="CT89">
        <f>CO89*(BK89/10000)^0.72*((A89+1)/3)^0.6*('CAPEX+OPEX'!$G$116/'CAPEX+OPEX'!$G$114)</f>
        <v>2296193.8284949926</v>
      </c>
      <c r="CU89">
        <f>CP89*(BK89/10000)^0.72*((A89+1)/3)^0.6*('CAPEX+OPEX'!$G$116/'CAPEX+OPEX'!$G$114)</f>
        <v>442932.9811560188</v>
      </c>
      <c r="CV89">
        <f>CQ89*(BK89/10000)^0.72*((A89+1)/3)^0.6*('CAPEX+OPEX'!$G$116/'CAPEX+OPEX'!$G$114)</f>
        <v>2741827.1059701391</v>
      </c>
      <c r="CW89">
        <f>CR89*(BK89/10000)^0.72*((A89+1)/3)^0.6*('CAPEX+OPEX'!$G$116/'CAPEX+OPEX'!$G$114)</f>
        <v>323715.28756992728</v>
      </c>
      <c r="CX89">
        <f t="shared" si="32"/>
        <v>6697509.5197309218</v>
      </c>
      <c r="CY89">
        <f>CN89*(BM89/10000)^0.72*((AF89+1)/3)^0.6*('CAPEX+OPEX'!$G$116/'CAPEX+OPEX'!$G$114)</f>
        <v>843163.40790273575</v>
      </c>
      <c r="CZ89">
        <f>CO89*(BM89/10000)^0.72*((AF89+1)/3)^0.6*('CAPEX+OPEX'!$G$116/'CAPEX+OPEX'!$G$114)</f>
        <v>2168435.4724730523</v>
      </c>
      <c r="DA89">
        <f>CP89*(BM89/10000)^0.72*((AF89+1)/3)^0.6*('CAPEX+OPEX'!$G$116/'CAPEX+OPEX'!$G$114)</f>
        <v>418288.55053428863</v>
      </c>
      <c r="DB89">
        <f>CQ89*(BM89/10000)^0.72*((AF89+1)/3)^0.6*('CAPEX+OPEX'!$G$116/'CAPEX+OPEX'!$G$114)</f>
        <v>2589274.0770367184</v>
      </c>
      <c r="DC89">
        <f>CR89*(BM89/10000)^0.72*((AF89+1)/3)^0.6*('CAPEX+OPEX'!$G$116/'CAPEX+OPEX'!$G$114)</f>
        <v>305704.0324024093</v>
      </c>
      <c r="DD89">
        <f t="shared" si="33"/>
        <v>6324865.5403492041</v>
      </c>
      <c r="DE89">
        <f>CX89+DD89+1.15*(SUM(CI89:CL89)+SUM(CB89:CE89))</f>
        <v>13116070.934006013</v>
      </c>
      <c r="DF89">
        <f t="shared" si="34"/>
        <v>874404.72893373424</v>
      </c>
      <c r="DG89">
        <f>(BS89+BT89)*'Oxidant Feed Composition'!$N$29*60*7200</f>
        <v>9171531.6652270891</v>
      </c>
      <c r="DH89">
        <f>((CG89+CH89)*'Reagent cost'!$C$17/1000*'Reagent cost'!$H$17+(CG89+CH89)*0.5*'Reagent cost'!$C$16/1000*'Reagent cost'!$H$16*0.5)*60*7200</f>
        <v>3104988.8425275818</v>
      </c>
      <c r="DI89">
        <f>CF89*'Reagent cost'!$C$17/1000*'Reagent cost'!$H$17*60*7200</f>
        <v>504921.59999999998</v>
      </c>
      <c r="DJ89">
        <f t="shared" si="35"/>
        <v>105.15968026772381</v>
      </c>
      <c r="DK89">
        <f t="shared" si="36"/>
        <v>1133.1393334951963</v>
      </c>
      <c r="DL89">
        <f t="shared" si="37"/>
        <v>15339216.48812212</v>
      </c>
      <c r="DM89">
        <f>BK89*(B89*(409.81+2)/1000+C89*(248.2+2*22.99)/1000+D89*(315.6+3*22.99)/1000+0.1*58.44/1000)</f>
        <v>0.70639694042110623</v>
      </c>
      <c r="DN89">
        <f>(BS89+BT89)/1000*('Oxidant Feed Composition'!$B$11*'Oxidant Feed Composition'!$O$20+'Oxidant Feed Composition'!$D$11*'Oxidant Feed Composition'!$O$21+'Oxidant Feed Composition'!$F$11*'Oxidant Feed Composition'!$O$27-'Oxidant Feed Composition'!$J$15*18.015)</f>
        <v>2.147032322834475</v>
      </c>
      <c r="DO89">
        <f>(BU89+BV89)/1000*(0.2*368.34+0.4*58.44)</f>
        <v>1.4867593257431508</v>
      </c>
      <c r="DP89">
        <f>BK89/1000*(B89*195.08+C89*106.42+D89*102.91)</f>
        <v>4.999938342565946E-2</v>
      </c>
      <c r="DQ89">
        <f>SUM(DM89:DO89)-DP89</f>
        <v>4.2901892055730722</v>
      </c>
      <c r="DR89">
        <f>DQ89*60*7200*0.33</f>
        <v>611609.3731464973</v>
      </c>
      <c r="DS89">
        <v>1.2</v>
      </c>
      <c r="DT89">
        <f>BM89/60*(AM89*4+AN89*2+AO89*3)*96485/DV89</f>
        <v>1405.879805184511</v>
      </c>
      <c r="DU89">
        <f>BN89*BA89*(AP89*4+AQ89*2+AR89*3)*96485/DV89/60</f>
        <v>705.8035239923704</v>
      </c>
      <c r="DV89">
        <v>0.7</v>
      </c>
      <c r="DW89">
        <f>0.499*((BK89/3.78541*15)^(-0.146))*BK89/3.78541*15*300*(1+(A89-2)/9)</f>
        <v>49536.497143418172</v>
      </c>
      <c r="DX89">
        <f>0.248*((BK89/3.78541*15)^(-0.144))*BK89/3.78541*15*300*(1+(A89-2)/3)</f>
        <v>49831.318766753509</v>
      </c>
      <c r="DY89">
        <f>0.105*((BK89/3.78541*15)^(-0.144))*BK89/3.78541*15*300*(1+(A89-2)/3)</f>
        <v>21097.937381085154</v>
      </c>
      <c r="DZ89">
        <f>0.058*((BK89/3.78541*15)^(-0.151))*BK89/3.78541*15*300*(1+(A89-2)/3)</f>
        <v>11176.166036369152</v>
      </c>
      <c r="EA89">
        <f>0.056*((BK89/3.78541*15)^(-0.144))*BK89/3.78541*15*300*(1+(A89-2)/3)</f>
        <v>11252.233269912085</v>
      </c>
      <c r="EB89">
        <f>DS89*DT89/(3.6*10^6)*3600*7200*0.07</f>
        <v>850.27610617559242</v>
      </c>
      <c r="EC89">
        <f>0.499*((BM89/3.78541*15)^(-0.146))*BM89/3.78541*15*300*(1+(AF89-2)/9)</f>
        <v>46284.560976101428</v>
      </c>
      <c r="ED89">
        <f>0.248*((BM89/3.78541*15)^(-0.144))*BM89/3.78541*15*300*(1+(AF89-2)/3)</f>
        <v>46552.625005523769</v>
      </c>
      <c r="EE89">
        <f>0.105*((BM89/3.78541*15)^(-0.144))*BM89/3.78541*15*300*(1+(AF89-2)/3)</f>
        <v>19709.780748306432</v>
      </c>
      <c r="EF89">
        <f>0.058*((BM89/3.78541*15)^(-0.151))*BM89/3.78541*15*300*(1+(AF89-2)/3)</f>
        <v>10446.633381633772</v>
      </c>
      <c r="EG89">
        <f>0.056*((BM89/3.78541*15)^(-0.144))*BM89/3.78541*15*300*(1+(AF89-2)/3)</f>
        <v>10511.883065763433</v>
      </c>
      <c r="EH89">
        <f>DS89*DU89/(3.6*10^6)*3600*7200*0.07</f>
        <v>426.86997131058564</v>
      </c>
      <c r="EI89">
        <f>SUM(DW89:EH89)</f>
        <v>277676.78185235313</v>
      </c>
      <c r="EJ89">
        <f>EI89+DR89+DL89</f>
        <v>16228502.643120971</v>
      </c>
      <c r="EK89">
        <f>EJ89+DF89</f>
        <v>17102907.372054704</v>
      </c>
      <c r="EL89">
        <f>EK89/(BK89*60*7200)</f>
        <v>0.39590063361237737</v>
      </c>
      <c r="EM89">
        <f>EK89/(BM89*(AM89*195.084/1000+AN89*106.42/1000+AO89*102.911/1000)*60*7200)</f>
        <v>1324.4742458573739</v>
      </c>
      <c r="EN89">
        <f>EK89/(BN89*BA89*(AP89*195.084/1000+AQ89*106.42/1000+AR89*102.911/1000)*60*7200)</f>
        <v>2430.7320055790019</v>
      </c>
    </row>
    <row r="90" spans="1:144">
      <c r="A90">
        <f>'Costing 100 Lmin Feed Orig'!A90</f>
        <v>11</v>
      </c>
      <c r="B90">
        <f>'Costing 100 Lmin Feed Orig'!B90</f>
        <v>1.54143585092054E-3</v>
      </c>
      <c r="C90">
        <f>'Costing 100 Lmin Feed Orig'!C90</f>
        <v>1.54143585092054E-3</v>
      </c>
      <c r="D90">
        <f>'Costing 100 Lmin Feed Orig'!D90</f>
        <v>3.4254130020456501E-4</v>
      </c>
      <c r="E90">
        <f>'Costing 100 Lmin Feed Orig'!E90</f>
        <v>0</v>
      </c>
      <c r="F90">
        <f>'Costing 100 Lmin Feed Orig'!F90</f>
        <v>0</v>
      </c>
      <c r="G90">
        <f>'Costing 100 Lmin Feed Orig'!G90</f>
        <v>0</v>
      </c>
      <c r="H90">
        <f>'Costing 100 Lmin Feed Orig'!H90</f>
        <v>1.7771367359861701E-5</v>
      </c>
      <c r="I90">
        <f>'Costing 100 Lmin Feed Orig'!I90</f>
        <v>1.8081057367328801E-10</v>
      </c>
      <c r="J90">
        <f>'Costing 100 Lmin Feed Orig'!J90</f>
        <v>3.3765941525589702E-4</v>
      </c>
      <c r="K90">
        <f>'Costing 100 Lmin Feed Orig'!K90</f>
        <v>0.139102253285185</v>
      </c>
      <c r="L90">
        <f>'Costing 100 Lmin Feed Orig'!L90</f>
        <v>0.14072466572308701</v>
      </c>
      <c r="M90">
        <f>'Costing 100 Lmin Feed Orig'!M90</f>
        <v>4.4568945720355099E-4</v>
      </c>
      <c r="N90">
        <f>'Costing 100 Lmin Feed Orig'!N90</f>
        <v>-8.03393809811758E-16</v>
      </c>
      <c r="O90">
        <f>'Costing 100 Lmin Feed Orig'!O90</f>
        <v>-8.4019770307808202E-13</v>
      </c>
      <c r="P90">
        <f>'Costing 100 Lmin Feed Orig'!P90</f>
        <v>-2.26157796916898E-19</v>
      </c>
      <c r="Q90">
        <f>'Costing 100 Lmin Feed Orig'!Q90</f>
        <v>0.10953557168033</v>
      </c>
      <c r="R90">
        <f>'Costing 100 Lmin Feed Orig'!R90</f>
        <v>98.5748039883795</v>
      </c>
      <c r="S90">
        <f>'Costing 100 Lmin Feed Orig'!S90</f>
        <v>500</v>
      </c>
      <c r="T90">
        <f>'Costing 100 Lmin Feed Orig'!T90</f>
        <v>95</v>
      </c>
      <c r="U90">
        <f>'Costing 100 Lmin Feed Orig'!U90</f>
        <v>1</v>
      </c>
      <c r="V90">
        <f>'Costing 100 Lmin Feed Orig'!V90</f>
        <v>0.1</v>
      </c>
      <c r="W90">
        <f>'Costing 100 Lmin Feed Orig'!W90</f>
        <v>91.294543376138293</v>
      </c>
      <c r="X90" t="str">
        <f>'Costing 100 Lmin Feed Orig'!X90</f>
        <v>ddFc</v>
      </c>
      <c r="Y90">
        <f>'Costing 100 Lmin Feed Orig'!Y90</f>
        <v>1</v>
      </c>
      <c r="Z90">
        <f>'Costing 100 Lmin Feed Orig'!Z90</f>
        <v>0.28318429382522198</v>
      </c>
      <c r="AA90">
        <f>'Costing 100 Lmin Feed Orig'!AA90</f>
        <v>0.56945642916197003</v>
      </c>
      <c r="AB90">
        <f>'Costing 100 Lmin Feed Orig'!AB90</f>
        <v>3.7698628972227502E-3</v>
      </c>
      <c r="AC90">
        <f>'Costing 100 Lmin Feed Orig'!AC90</f>
        <v>1822.2107908876901</v>
      </c>
      <c r="AD90">
        <f>'Costing 100 Lmin Feed Orig'!AD90</f>
        <v>2662.6059073104898</v>
      </c>
      <c r="AE90">
        <f>'Costing 100 Lmin Feed Orig'!AE90</f>
        <v>2401.5030938442701</v>
      </c>
      <c r="AF90">
        <f>'Costing 100 Lmin Feed Orig'!AF90</f>
        <v>12</v>
      </c>
      <c r="AG90">
        <f>'Costing 100 Lmin Feed Orig'!AG90</f>
        <v>1.6497569194096201E-3</v>
      </c>
      <c r="AH90">
        <f>'Costing 100 Lmin Feed Orig'!AH90</f>
        <v>1.6689987798565299E-3</v>
      </c>
      <c r="AI90">
        <f>'Costing 100 Lmin Feed Orig'!AI90</f>
        <v>5.28589040482341E-6</v>
      </c>
      <c r="AJ90">
        <f>'Costing 100 Lmin Feed Orig'!AJ90</f>
        <v>0</v>
      </c>
      <c r="AK90">
        <f>'Costing 100 Lmin Feed Orig'!AK90</f>
        <v>0</v>
      </c>
      <c r="AL90">
        <f>'Costing 100 Lmin Feed Orig'!AL90</f>
        <v>0</v>
      </c>
      <c r="AM90">
        <f>'Costing 100 Lmin Feed Orig'!AM90</f>
        <v>1.6128100720939401E-3</v>
      </c>
      <c r="AN90">
        <f>'Costing 100 Lmin Feed Orig'!AN90</f>
        <v>7.9633612290502494E-5</v>
      </c>
      <c r="AO90">
        <f>'Costing 100 Lmin Feed Orig'!AO90</f>
        <v>5.2511283460207698E-6</v>
      </c>
      <c r="AP90">
        <f>'Costing 100 Lmin Feed Orig'!AP90</f>
        <v>1.73325244157297E-3</v>
      </c>
      <c r="AQ90">
        <f>'Costing 100 Lmin Feed Orig'!AQ90</f>
        <v>7.4560382210708806E-2</v>
      </c>
      <c r="AR90">
        <f>'Costing 100 Lmin Feed Orig'!AR90</f>
        <v>1.63075952813163E-6</v>
      </c>
      <c r="AS90">
        <f>'Costing 100 Lmin Feed Orig'!AS90</f>
        <v>3.8857128235522602E-16</v>
      </c>
      <c r="AT90">
        <f>'Costing 100 Lmin Feed Orig'!AT90</f>
        <v>-3.7970928484787298E-14</v>
      </c>
      <c r="AU90">
        <f>'Costing 100 Lmin Feed Orig'!AU90</f>
        <v>-3.6660644748350096E-21</v>
      </c>
      <c r="AV90">
        <f>'Costing 100 Lmin Feed Orig'!AV90</f>
        <v>0.196872452268469</v>
      </c>
      <c r="AW90">
        <f>'Costing 100 Lmin Feed Orig'!AW90</f>
        <v>99.342361340467505</v>
      </c>
      <c r="AX90">
        <f>'Costing 100 Lmin Feed Orig'!AX90</f>
        <v>500</v>
      </c>
      <c r="AY90">
        <f>'Costing 100 Lmin Feed Orig'!AY90</f>
        <v>95</v>
      </c>
      <c r="AZ90">
        <f>'Costing 100 Lmin Feed Orig'!AZ90</f>
        <v>0.92356908198738696</v>
      </c>
      <c r="BA90">
        <f>'Costing 100 Lmin Feed Orig'!BA90</f>
        <v>0.1</v>
      </c>
      <c r="BB90">
        <f>'Costing 100 Lmin Feed Orig'!BB90</f>
        <v>46.912052516516702</v>
      </c>
      <c r="BC90" t="str">
        <f>'Costing 100 Lmin Feed Orig'!BC90</f>
        <v>coeFc</v>
      </c>
      <c r="BD90">
        <f>'Costing 100 Lmin Feed Orig'!BD90</f>
        <v>1</v>
      </c>
      <c r="BE90">
        <f>'Costing 100 Lmin Feed Orig'!BE90</f>
        <v>1.8775014999999999E-2</v>
      </c>
      <c r="BF90">
        <f>'Costing 100 Lmin Feed Orig'!BF90</f>
        <v>0.10492961100000001</v>
      </c>
      <c r="BG90">
        <f>'Costing 100 Lmin Feed Orig'!BG90</f>
        <v>1.814625E-3</v>
      </c>
      <c r="BH90">
        <f>'Costing 100 Lmin Feed Orig'!BH90</f>
        <v>285.1951444</v>
      </c>
      <c r="BI90">
        <f>'Costing 100 Lmin Feed Orig'!BI90</f>
        <v>2169.8944889999998</v>
      </c>
      <c r="BJ90">
        <f>'Costing 100 Lmin Feed Orig'!BJ90</f>
        <v>866.49409060000005</v>
      </c>
      <c r="BK90">
        <f>'Costing 100 Lmin Feed Orig'!BK90</f>
        <v>100</v>
      </c>
      <c r="BL90">
        <f>'Costing 100 Lmin Feed Orig'!BL90</f>
        <v>10.953557168032999</v>
      </c>
      <c r="BM90">
        <f>'Costing 100 Lmin Feed Orig'!BM90</f>
        <v>92.356908198738694</v>
      </c>
      <c r="BN90">
        <f>'Costing 100 Lmin Feed Orig'!BN90</f>
        <v>19.687245226846901</v>
      </c>
      <c r="BO90">
        <f t="shared" si="20"/>
        <v>284.79248636885796</v>
      </c>
      <c r="BP90">
        <f t="shared" si="21"/>
        <v>551.24286635171325</v>
      </c>
      <c r="BQ90">
        <f t="shared" si="22"/>
        <v>28.479248636885799</v>
      </c>
      <c r="BR90">
        <f t="shared" si="23"/>
        <v>55.12428663517133</v>
      </c>
      <c r="BS90">
        <f>1.2*0.5*BL90*V90/'Oxidant Feed Composition'!$N$22</f>
        <v>6.5721343008197994</v>
      </c>
      <c r="BT90">
        <f>1.2*0.5*BN90*BA90/'Oxidant Feed Composition'!$N$22</f>
        <v>11.812347136108141</v>
      </c>
      <c r="BU90">
        <f t="shared" si="24"/>
        <v>5.4767785840164995</v>
      </c>
      <c r="BV90">
        <f t="shared" si="25"/>
        <v>9.8436226134234506</v>
      </c>
      <c r="BW90">
        <f t="shared" si="26"/>
        <v>86.880129614722193</v>
      </c>
      <c r="BX90">
        <f t="shared" si="19"/>
        <v>35.051382937705597</v>
      </c>
      <c r="BY90">
        <f t="shared" si="27"/>
        <v>206.62093073354339</v>
      </c>
      <c r="BZ90">
        <f t="shared" si="28"/>
        <v>62.999184725910084</v>
      </c>
      <c r="CA90">
        <f t="shared" si="29"/>
        <v>59.061735680540707</v>
      </c>
      <c r="CB90">
        <f>BO90*'Reagent cost'!$G$11*'Reagent cost'!$H$11</f>
        <v>3759.2608200689256</v>
      </c>
      <c r="CC90">
        <f>BP90*'Reagent cost'!$G$11*'Reagent cost'!$H$11</f>
        <v>7276.4058358426155</v>
      </c>
      <c r="CD90">
        <f>BQ90*'Reagent cost'!$C$18/1000*'Reagent cost'!$H$18</f>
        <v>4541.8834647976191</v>
      </c>
      <c r="CE90">
        <f>BR90*'Ligand cost'!$B$56*'Ligand cost'!$J$56</f>
        <v>56123.564926443862</v>
      </c>
      <c r="CF90">
        <f t="shared" si="30"/>
        <v>10</v>
      </c>
      <c r="CG90">
        <f t="shared" si="31"/>
        <v>2.1907114336065998</v>
      </c>
      <c r="CH90">
        <f t="shared" si="31"/>
        <v>3.9374490453693802</v>
      </c>
      <c r="CI90">
        <f>7963.6*(BX90/1000)^0.6*1.7*('CAPEX+OPEX'!$G$116/'CAPEX+OPEX'!$G$115)</f>
        <v>2138.2772847076108</v>
      </c>
      <c r="CJ90">
        <f>7963.6*(BY90/1000)^0.6*1.7*('CAPEX+OPEX'!$G$116/'CAPEX+OPEX'!$G$115)</f>
        <v>6199.3408604999822</v>
      </c>
      <c r="CK90">
        <f>7963.6*(BZ90/1000)^0.6*1.7*('CAPEX+OPEX'!$G$116/'CAPEX+OPEX'!$G$115)</f>
        <v>3039.7781253117219</v>
      </c>
      <c r="CL90">
        <f>7963.6*(CA90/1000)^0.6*1.7*('CAPEX+OPEX'!$G$116/'CAPEX+OPEX'!$G$115)</f>
        <v>2924.3183622444676</v>
      </c>
      <c r="CM90">
        <f>'Costing 100 Lmin Feed Orig'!DE90</f>
        <v>39625.826528698344</v>
      </c>
      <c r="CN90">
        <f>'Costing 100 Lmin Feed Orig'!DF90</f>
        <v>4586243.4239371875</v>
      </c>
      <c r="CO90">
        <f>'Costing 100 Lmin Feed Orig'!DG90</f>
        <v>11794834.586807497</v>
      </c>
      <c r="CP90">
        <f>'Costing 100 Lmin Feed Orig'!DH90</f>
        <v>2275209.1661185985</v>
      </c>
      <c r="CQ90">
        <f>'Costing 100 Lmin Feed Orig'!DI90</f>
        <v>14083914.336508472</v>
      </c>
      <c r="CR90">
        <f>'Costing 100 Lmin Feed Orig'!DJ90</f>
        <v>1662824.8986326549</v>
      </c>
      <c r="CS90">
        <f>CN90*(BK90/10000)^0.72*((A90+1)/3)^0.6*('CAPEX+OPEX'!$G$116/'CAPEX+OPEX'!$G$114)</f>
        <v>892840.31653984461</v>
      </c>
      <c r="CT90">
        <f>CO90*(BK90/10000)^0.72*((A90+1)/3)^0.6*('CAPEX+OPEX'!$G$116/'CAPEX+OPEX'!$G$114)</f>
        <v>2296193.8284949926</v>
      </c>
      <c r="CU90">
        <f>CP90*(BK90/10000)^0.72*((A90+1)/3)^0.6*('CAPEX+OPEX'!$G$116/'CAPEX+OPEX'!$G$114)</f>
        <v>442932.9811560188</v>
      </c>
      <c r="CV90">
        <f>CQ90*(BK90/10000)^0.72*((A90+1)/3)^0.6*('CAPEX+OPEX'!$G$116/'CAPEX+OPEX'!$G$114)</f>
        <v>2741827.1059701391</v>
      </c>
      <c r="CW90">
        <f>CR90*(BK90/10000)^0.72*((A90+1)/3)^0.6*('CAPEX+OPEX'!$G$116/'CAPEX+OPEX'!$G$114)</f>
        <v>323715.28756992728</v>
      </c>
      <c r="CX90">
        <f t="shared" si="32"/>
        <v>6697509.5197309218</v>
      </c>
      <c r="CY90">
        <f>CN90*(BM90/10000)^0.72*((AF90+1)/3)^0.6*('CAPEX+OPEX'!$G$116/'CAPEX+OPEX'!$G$114)</f>
        <v>884644.97360172844</v>
      </c>
      <c r="CZ90">
        <f>CO90*(BM90/10000)^0.72*((AF90+1)/3)^0.6*('CAPEX+OPEX'!$G$116/'CAPEX+OPEX'!$G$114)</f>
        <v>2275117.1639130982</v>
      </c>
      <c r="DA90">
        <f>CP90*(BM90/10000)^0.72*((AF90+1)/3)^0.6*('CAPEX+OPEX'!$G$116/'CAPEX+OPEX'!$G$114)</f>
        <v>438867.31833599339</v>
      </c>
      <c r="DB90">
        <f>CQ90*(BM90/10000)^0.72*((AF90+1)/3)^0.6*('CAPEX+OPEX'!$G$116/'CAPEX+OPEX'!$G$114)</f>
        <v>2716659.9926642226</v>
      </c>
      <c r="DC90">
        <f>CR90*(BM90/10000)^0.72*((AF90+1)/3)^0.6*('CAPEX+OPEX'!$G$116/'CAPEX+OPEX'!$G$114)</f>
        <v>320743.91884161107</v>
      </c>
      <c r="DD90">
        <f t="shared" si="33"/>
        <v>6636033.3673566533</v>
      </c>
      <c r="DE90">
        <f>CX90+DD90+1.15*(SUM(CI90:CL90)+SUM(CB90:CE90))</f>
        <v>13432446.14121948</v>
      </c>
      <c r="DF90">
        <f t="shared" si="34"/>
        <v>895496.40941463201</v>
      </c>
      <c r="DG90">
        <f>(BS90+BT90)*'Oxidant Feed Composition'!$N$29*60*7200</f>
        <v>9171492.7280935124</v>
      </c>
      <c r="DH90">
        <f>((CG90+CH90)*'Reagent cost'!$C$17/1000*'Reagent cost'!$H$17+(CG90+CH90)*0.5*'Reagent cost'!$C$16/1000*'Reagent cost'!$H$16*0.5)*60*7200</f>
        <v>3104975.6605019686</v>
      </c>
      <c r="DI90">
        <f>CF90*'Reagent cost'!$C$17/1000*'Reagent cost'!$H$17*60*7200</f>
        <v>504921.59999999998</v>
      </c>
      <c r="DJ90">
        <f t="shared" si="35"/>
        <v>110.35666655911541</v>
      </c>
      <c r="DK90">
        <f t="shared" si="36"/>
        <v>1213.3089678248296</v>
      </c>
      <c r="DL90">
        <f t="shared" si="37"/>
        <v>15339256.385075837</v>
      </c>
      <c r="DM90">
        <f>BK90*(B90*(409.81+2)/1000+C90*(248.2+2*22.99)/1000+D90*(315.6+3*22.99)/1000+0.1*58.44/1000)</f>
        <v>0.70639694042110623</v>
      </c>
      <c r="DN90">
        <f>(BS90+BT90)/1000*('Oxidant Feed Composition'!$B$11*'Oxidant Feed Composition'!$O$20+'Oxidant Feed Composition'!$D$11*'Oxidant Feed Composition'!$O$21+'Oxidant Feed Composition'!$F$11*'Oxidant Feed Composition'!$O$27-'Oxidant Feed Composition'!$J$15*18.015)</f>
        <v>2.1470232077501685</v>
      </c>
      <c r="DO90">
        <f>(BU90+BV90)/1000*(0.2*368.34+0.4*58.44)</f>
        <v>1.4867530138043623</v>
      </c>
      <c r="DP90">
        <f>BK90/1000*(B90*195.08+C90*106.42+D90*102.91)</f>
        <v>4.999938342565946E-2</v>
      </c>
      <c r="DQ90">
        <f>SUM(DM90:DO90)-DP90</f>
        <v>4.2901737785499767</v>
      </c>
      <c r="DR90">
        <f>DQ90*60*7200*0.33</f>
        <v>611607.17387008481</v>
      </c>
      <c r="DS90">
        <v>1.2</v>
      </c>
      <c r="DT90">
        <f>BM90/60*(AM90*4+AN90*2+AO90*3)*96485/DV90</f>
        <v>1405.8805675728252</v>
      </c>
      <c r="DU90">
        <f>BN90*BA90*(AP90*4+AQ90*2+AR90*3)*96485/DV90/60</f>
        <v>705.80276153185252</v>
      </c>
      <c r="DV90">
        <v>0.7</v>
      </c>
      <c r="DW90">
        <f>0.499*((BK90/3.78541*15)^(-0.146))*BK90/3.78541*15*300*(1+(A90-2)/9)</f>
        <v>49536.497143418172</v>
      </c>
      <c r="DX90">
        <f>0.248*((BK90/3.78541*15)^(-0.144))*BK90/3.78541*15*300*(1+(A90-2)/3)</f>
        <v>49831.318766753509</v>
      </c>
      <c r="DY90">
        <f>0.105*((BK90/3.78541*15)^(-0.144))*BK90/3.78541*15*300*(1+(A90-2)/3)</f>
        <v>21097.937381085154</v>
      </c>
      <c r="DZ90">
        <f>0.058*((BK90/3.78541*15)^(-0.151))*BK90/3.78541*15*300*(1+(A90-2)/3)</f>
        <v>11176.166036369152</v>
      </c>
      <c r="EA90">
        <f>0.056*((BK90/3.78541*15)^(-0.144))*BK90/3.78541*15*300*(1+(A90-2)/3)</f>
        <v>11252.233269912085</v>
      </c>
      <c r="EB90">
        <f>DS90*DT90/(3.6*10^6)*3600*7200*0.07</f>
        <v>850.27656726804469</v>
      </c>
      <c r="EC90">
        <f>0.499*((BM90/3.78541*15)^(-0.146))*BM90/3.78541*15*300*(1+(AF90-2)/9)</f>
        <v>48855.925474773729</v>
      </c>
      <c r="ED90">
        <f>0.248*((BM90/3.78541*15)^(-0.144))*BM90/3.78541*15*300*(1+(AF90-2)/3)</f>
        <v>50432.010422650754</v>
      </c>
      <c r="EE90">
        <f>0.105*((BM90/3.78541*15)^(-0.144))*BM90/3.78541*15*300*(1+(AF90-2)/3)</f>
        <v>21352.262477331969</v>
      </c>
      <c r="EF90">
        <f>0.058*((BM90/3.78541*15)^(-0.151))*BM90/3.78541*15*300*(1+(AF90-2)/3)</f>
        <v>11317.186163436589</v>
      </c>
      <c r="EG90">
        <f>0.056*((BM90/3.78541*15)^(-0.144))*BM90/3.78541*15*300*(1+(AF90-2)/3)</f>
        <v>11387.873321243722</v>
      </c>
      <c r="EH90">
        <f>DS90*DU90/(3.6*10^6)*3600*7200*0.07</f>
        <v>426.86951017446444</v>
      </c>
      <c r="EI90">
        <f>SUM(DW90:EH90)</f>
        <v>287516.55653441726</v>
      </c>
      <c r="EJ90">
        <f>EI90+DR90+DL90</f>
        <v>16238380.115480339</v>
      </c>
      <c r="EK90">
        <f>EJ90+DF90</f>
        <v>17133876.524894971</v>
      </c>
      <c r="EL90">
        <f>EK90/(BK90*60*7200)</f>
        <v>0.39661751215034657</v>
      </c>
      <c r="EM90">
        <f>EK90/(BM90*(AM90*195.084/1000+AN90*106.42/1000+AO90*102.911/1000)*60*7200)</f>
        <v>1326.87182251578</v>
      </c>
      <c r="EN90">
        <f>EK90/(BN90*BA90*(AP90*195.084/1000+AQ90*106.42/1000+AR90*102.911/1000)*60*7200)</f>
        <v>2435.1358878065093</v>
      </c>
    </row>
    <row r="91" spans="1:144">
      <c r="A91">
        <f>'Costing 100 Lmin Feed Orig'!A91</f>
        <v>11</v>
      </c>
      <c r="B91">
        <f>'Costing 100 Lmin Feed Orig'!B91</f>
        <v>1.54143585092054E-3</v>
      </c>
      <c r="C91">
        <f>'Costing 100 Lmin Feed Orig'!C91</f>
        <v>1.54143585092054E-3</v>
      </c>
      <c r="D91">
        <f>'Costing 100 Lmin Feed Orig'!D91</f>
        <v>3.4254130020456501E-4</v>
      </c>
      <c r="E91">
        <f>'Costing 100 Lmin Feed Orig'!E91</f>
        <v>0</v>
      </c>
      <c r="F91">
        <f>'Costing 100 Lmin Feed Orig'!F91</f>
        <v>0</v>
      </c>
      <c r="G91">
        <f>'Costing 100 Lmin Feed Orig'!G91</f>
        <v>0</v>
      </c>
      <c r="H91">
        <f>'Costing 100 Lmin Feed Orig'!H91</f>
        <v>1.7771367359861701E-5</v>
      </c>
      <c r="I91">
        <f>'Costing 100 Lmin Feed Orig'!I91</f>
        <v>1.8081057367328801E-10</v>
      </c>
      <c r="J91">
        <f>'Costing 100 Lmin Feed Orig'!J91</f>
        <v>3.3765941525589702E-4</v>
      </c>
      <c r="K91">
        <f>'Costing 100 Lmin Feed Orig'!K91</f>
        <v>0.139102253285185</v>
      </c>
      <c r="L91">
        <f>'Costing 100 Lmin Feed Orig'!L91</f>
        <v>0.14072466572308701</v>
      </c>
      <c r="M91">
        <f>'Costing 100 Lmin Feed Orig'!M91</f>
        <v>4.4568945720355099E-4</v>
      </c>
      <c r="N91">
        <f>'Costing 100 Lmin Feed Orig'!N91</f>
        <v>-8.03393809811758E-16</v>
      </c>
      <c r="O91">
        <f>'Costing 100 Lmin Feed Orig'!O91</f>
        <v>-8.4019770307808202E-13</v>
      </c>
      <c r="P91">
        <f>'Costing 100 Lmin Feed Orig'!P91</f>
        <v>-2.26157796916898E-19</v>
      </c>
      <c r="Q91">
        <f>'Costing 100 Lmin Feed Orig'!Q91</f>
        <v>0.10953557168033</v>
      </c>
      <c r="R91">
        <f>'Costing 100 Lmin Feed Orig'!R91</f>
        <v>98.5748039883795</v>
      </c>
      <c r="S91">
        <f>'Costing 100 Lmin Feed Orig'!S91</f>
        <v>500</v>
      </c>
      <c r="T91">
        <f>'Costing 100 Lmin Feed Orig'!T91</f>
        <v>95</v>
      </c>
      <c r="U91">
        <f>'Costing 100 Lmin Feed Orig'!U91</f>
        <v>1</v>
      </c>
      <c r="V91">
        <f>'Costing 100 Lmin Feed Orig'!V91</f>
        <v>0.1</v>
      </c>
      <c r="W91">
        <f>'Costing 100 Lmin Feed Orig'!W91</f>
        <v>91.294543376138293</v>
      </c>
      <c r="X91" t="str">
        <f>'Costing 100 Lmin Feed Orig'!X91</f>
        <v>ddFc</v>
      </c>
      <c r="Y91">
        <f>'Costing 100 Lmin Feed Orig'!Y91</f>
        <v>1</v>
      </c>
      <c r="Z91">
        <f>'Costing 100 Lmin Feed Orig'!Z91</f>
        <v>0.28318429382522198</v>
      </c>
      <c r="AA91">
        <f>'Costing 100 Lmin Feed Orig'!AA91</f>
        <v>0.56945642916197003</v>
      </c>
      <c r="AB91">
        <f>'Costing 100 Lmin Feed Orig'!AB91</f>
        <v>3.7698628972227502E-3</v>
      </c>
      <c r="AC91">
        <f>'Costing 100 Lmin Feed Orig'!AC91</f>
        <v>1822.2107908876901</v>
      </c>
      <c r="AD91">
        <f>'Costing 100 Lmin Feed Orig'!AD91</f>
        <v>2662.6059073104898</v>
      </c>
      <c r="AE91">
        <f>'Costing 100 Lmin Feed Orig'!AE91</f>
        <v>2401.5030938442701</v>
      </c>
      <c r="AF91">
        <f>'Costing 100 Lmin Feed Orig'!AF91</f>
        <v>13</v>
      </c>
      <c r="AG91">
        <f>'Costing 100 Lmin Feed Orig'!AG91</f>
        <v>1.6497569194096201E-3</v>
      </c>
      <c r="AH91">
        <f>'Costing 100 Lmin Feed Orig'!AH91</f>
        <v>1.6689987798565299E-3</v>
      </c>
      <c r="AI91">
        <f>'Costing 100 Lmin Feed Orig'!AI91</f>
        <v>5.28589040482341E-6</v>
      </c>
      <c r="AJ91">
        <f>'Costing 100 Lmin Feed Orig'!AJ91</f>
        <v>0</v>
      </c>
      <c r="AK91">
        <f>'Costing 100 Lmin Feed Orig'!AK91</f>
        <v>0</v>
      </c>
      <c r="AL91">
        <f>'Costing 100 Lmin Feed Orig'!AL91</f>
        <v>0</v>
      </c>
      <c r="AM91">
        <f>'Costing 100 Lmin Feed Orig'!AM91</f>
        <v>1.6128103180087E-3</v>
      </c>
      <c r="AN91">
        <f>'Costing 100 Lmin Feed Orig'!AN91</f>
        <v>7.9633625011629096E-5</v>
      </c>
      <c r="AO91">
        <f>'Costing 100 Lmin Feed Orig'!AO91</f>
        <v>5.2511285677767398E-6</v>
      </c>
      <c r="AP91">
        <f>'Costing 100 Lmin Feed Orig'!AP91</f>
        <v>1.7332441234993001E-3</v>
      </c>
      <c r="AQ91">
        <f>'Costing 100 Lmin Feed Orig'!AQ91</f>
        <v>7.4560520055328497E-2</v>
      </c>
      <c r="AR91">
        <f>'Costing 100 Lmin Feed Orig'!AR91</f>
        <v>1.6307521530699199E-6</v>
      </c>
      <c r="AS91">
        <f>'Costing 100 Lmin Feed Orig'!AS91</f>
        <v>4.9466724119651101E-19</v>
      </c>
      <c r="AT91">
        <f>'Costing 100 Lmin Feed Orig'!AT91</f>
        <v>-1.2576745200831801E-17</v>
      </c>
      <c r="AU91">
        <f>'Costing 100 Lmin Feed Orig'!AU91</f>
        <v>1.39628087398951E-21</v>
      </c>
      <c r="AV91">
        <f>'Costing 100 Lmin Feed Orig'!AV91</f>
        <v>0.19687208671741999</v>
      </c>
      <c r="AW91">
        <f>'Costing 100 Lmin Feed Orig'!AW91</f>
        <v>99.342365535710996</v>
      </c>
      <c r="AX91">
        <f>'Costing 100 Lmin Feed Orig'!AX91</f>
        <v>500</v>
      </c>
      <c r="AY91">
        <f>'Costing 100 Lmin Feed Orig'!AY91</f>
        <v>95</v>
      </c>
      <c r="AZ91">
        <f>'Costing 100 Lmin Feed Orig'!AZ91</f>
        <v>0.92356908198738696</v>
      </c>
      <c r="BA91">
        <f>'Costing 100 Lmin Feed Orig'!BA91</f>
        <v>0.1</v>
      </c>
      <c r="BB91">
        <f>'Costing 100 Lmin Feed Orig'!BB91</f>
        <v>46.912139622567501</v>
      </c>
      <c r="BC91" t="str">
        <f>'Costing 100 Lmin Feed Orig'!BC91</f>
        <v>coeFc</v>
      </c>
      <c r="BD91">
        <f>'Costing 100 Lmin Feed Orig'!BD91</f>
        <v>1</v>
      </c>
      <c r="BE91">
        <f>'Costing 100 Lmin Feed Orig'!BE91</f>
        <v>1.8775014999999999E-2</v>
      </c>
      <c r="BF91">
        <f>'Costing 100 Lmin Feed Orig'!BF91</f>
        <v>0.10492961100000001</v>
      </c>
      <c r="BG91">
        <f>'Costing 100 Lmin Feed Orig'!BG91</f>
        <v>1.814625E-3</v>
      </c>
      <c r="BH91">
        <f>'Costing 100 Lmin Feed Orig'!BH91</f>
        <v>285.1951444</v>
      </c>
      <c r="BI91">
        <f>'Costing 100 Lmin Feed Orig'!BI91</f>
        <v>2169.8944889999998</v>
      </c>
      <c r="BJ91">
        <f>'Costing 100 Lmin Feed Orig'!BJ91</f>
        <v>866.49409060000005</v>
      </c>
      <c r="BK91">
        <f>'Costing 100 Lmin Feed Orig'!BK91</f>
        <v>100</v>
      </c>
      <c r="BL91">
        <f>'Costing 100 Lmin Feed Orig'!BL91</f>
        <v>10.953557168032999</v>
      </c>
      <c r="BM91">
        <f>'Costing 100 Lmin Feed Orig'!BM91</f>
        <v>92.356908198738694</v>
      </c>
      <c r="BN91">
        <f>'Costing 100 Lmin Feed Orig'!BN91</f>
        <v>19.687208671741999</v>
      </c>
      <c r="BO91">
        <f t="shared" si="20"/>
        <v>284.79248636885796</v>
      </c>
      <c r="BP91">
        <f t="shared" si="21"/>
        <v>590.61626015226</v>
      </c>
      <c r="BQ91">
        <f t="shared" si="22"/>
        <v>28.479248636885799</v>
      </c>
      <c r="BR91">
        <f t="shared" si="23"/>
        <v>59.061626015226004</v>
      </c>
      <c r="BS91">
        <f>1.2*0.5*BL91*V91/'Oxidant Feed Composition'!$N$22</f>
        <v>6.5721343008197994</v>
      </c>
      <c r="BT91">
        <f>1.2*0.5*BN91*BA91/'Oxidant Feed Composition'!$N$22</f>
        <v>11.8123252030452</v>
      </c>
      <c r="BU91">
        <f t="shared" si="24"/>
        <v>5.4767785840164995</v>
      </c>
      <c r="BV91">
        <f t="shared" si="25"/>
        <v>9.8436043358709995</v>
      </c>
      <c r="BW91">
        <f t="shared" si="26"/>
        <v>86.880129614722193</v>
      </c>
      <c r="BX91">
        <f t="shared" si="19"/>
        <v>35.051382937705597</v>
      </c>
      <c r="BY91">
        <f t="shared" si="27"/>
        <v>206.62093073354339</v>
      </c>
      <c r="BZ91">
        <f t="shared" si="28"/>
        <v>62.999067749574394</v>
      </c>
      <c r="CA91">
        <f t="shared" si="29"/>
        <v>59.061626015225997</v>
      </c>
      <c r="CB91">
        <f>BO91*'Reagent cost'!$G$11*'Reagent cost'!$H$11</f>
        <v>3759.2608200689256</v>
      </c>
      <c r="CC91">
        <f>BP91*'Reagent cost'!$G$11*'Reagent cost'!$H$11</f>
        <v>7796.1346340098326</v>
      </c>
      <c r="CD91">
        <f>BQ91*'Reagent cost'!$C$18/1000*'Reagent cost'!$H$18</f>
        <v>4541.8834647976191</v>
      </c>
      <c r="CE91">
        <f>BR91*'Ligand cost'!$B$56*'Ligand cost'!$J$56</f>
        <v>60132.279339320281</v>
      </c>
      <c r="CF91">
        <f t="shared" si="30"/>
        <v>10</v>
      </c>
      <c r="CG91">
        <f t="shared" si="31"/>
        <v>2.1907114336065998</v>
      </c>
      <c r="CH91">
        <f t="shared" si="31"/>
        <v>3.9374417343484001</v>
      </c>
      <c r="CI91">
        <f>7963.6*(BX91/1000)^0.6*1.7*('CAPEX+OPEX'!$G$116/'CAPEX+OPEX'!$G$115)</f>
        <v>2138.2772847076108</v>
      </c>
      <c r="CJ91">
        <f>7963.6*(BY91/1000)^0.6*1.7*('CAPEX+OPEX'!$G$116/'CAPEX+OPEX'!$G$115)</f>
        <v>6199.3408604999822</v>
      </c>
      <c r="CK91">
        <f>7963.6*(BZ91/1000)^0.6*1.7*('CAPEX+OPEX'!$G$116/'CAPEX+OPEX'!$G$115)</f>
        <v>3039.7747387703889</v>
      </c>
      <c r="CL91">
        <f>7963.6*(CA91/1000)^0.6*1.7*('CAPEX+OPEX'!$G$116/'CAPEX+OPEX'!$G$115)</f>
        <v>2924.3151043339894</v>
      </c>
      <c r="CM91">
        <f>'Costing 100 Lmin Feed Orig'!DE91</f>
        <v>39625.826528698344</v>
      </c>
      <c r="CN91">
        <f>'Costing 100 Lmin Feed Orig'!DF91</f>
        <v>4586243.4239371875</v>
      </c>
      <c r="CO91">
        <f>'Costing 100 Lmin Feed Orig'!DG91</f>
        <v>11794834.586807497</v>
      </c>
      <c r="CP91">
        <f>'Costing 100 Lmin Feed Orig'!DH91</f>
        <v>2275209.1661185985</v>
      </c>
      <c r="CQ91">
        <f>'Costing 100 Lmin Feed Orig'!DI91</f>
        <v>14083914.336508472</v>
      </c>
      <c r="CR91">
        <f>'Costing 100 Lmin Feed Orig'!DJ91</f>
        <v>1662824.8986326549</v>
      </c>
      <c r="CS91">
        <f>CN91*(BK91/10000)^0.72*((A91+1)/3)^0.6*('CAPEX+OPEX'!$G$116/'CAPEX+OPEX'!$G$114)</f>
        <v>892840.31653984461</v>
      </c>
      <c r="CT91">
        <f>CO91*(BK91/10000)^0.72*((A91+1)/3)^0.6*('CAPEX+OPEX'!$G$116/'CAPEX+OPEX'!$G$114)</f>
        <v>2296193.8284949926</v>
      </c>
      <c r="CU91">
        <f>CP91*(BK91/10000)^0.72*((A91+1)/3)^0.6*('CAPEX+OPEX'!$G$116/'CAPEX+OPEX'!$G$114)</f>
        <v>442932.9811560188</v>
      </c>
      <c r="CV91">
        <f>CQ91*(BK91/10000)^0.72*((A91+1)/3)^0.6*('CAPEX+OPEX'!$G$116/'CAPEX+OPEX'!$G$114)</f>
        <v>2741827.1059701391</v>
      </c>
      <c r="CW91">
        <f>CR91*(BK91/10000)^0.72*((A91+1)/3)^0.6*('CAPEX+OPEX'!$G$116/'CAPEX+OPEX'!$G$114)</f>
        <v>323715.28756992728</v>
      </c>
      <c r="CX91">
        <f t="shared" si="32"/>
        <v>6697509.5197309218</v>
      </c>
      <c r="CY91">
        <f>CN91*(BM91/10000)^0.72*((AF91+1)/3)^0.6*('CAPEX+OPEX'!$G$116/'CAPEX+OPEX'!$G$114)</f>
        <v>924868.15113757015</v>
      </c>
      <c r="CZ91">
        <f>CO91*(BM91/10000)^0.72*((AF91+1)/3)^0.6*('CAPEX+OPEX'!$G$116/'CAPEX+OPEX'!$G$114)</f>
        <v>2378562.5508532794</v>
      </c>
      <c r="DA91">
        <f>CP91*(BM91/10000)^0.72*((AF91+1)/3)^0.6*('CAPEX+OPEX'!$G$116/'CAPEX+OPEX'!$G$114)</f>
        <v>458821.80695783772</v>
      </c>
      <c r="DB91">
        <f>CQ91*(BM91/10000)^0.72*((AF91+1)/3)^0.6*('CAPEX+OPEX'!$G$116/'CAPEX+OPEX'!$G$114)</f>
        <v>2840181.5187568436</v>
      </c>
      <c r="DC91">
        <f>CR91*(BM91/10000)^0.72*((AF91+1)/3)^0.6*('CAPEX+OPEX'!$G$116/'CAPEX+OPEX'!$G$114)</f>
        <v>335327.55405809957</v>
      </c>
      <c r="DD91">
        <f t="shared" si="33"/>
        <v>6937761.5817636298</v>
      </c>
      <c r="DE91">
        <f>CX91+DD91+1.15*(SUM(CI91:CL91)+SUM(CB91:CE91))</f>
        <v>13739382.057678036</v>
      </c>
      <c r="DF91">
        <f t="shared" si="34"/>
        <v>915958.80384520243</v>
      </c>
      <c r="DG91">
        <f>(BS91+BT91)*'Oxidant Feed Composition'!$N$29*60*7200</f>
        <v>9171481.7863148171</v>
      </c>
      <c r="DH91">
        <f>((CG91+CH91)*'Reagent cost'!$C$17/1000*'Reagent cost'!$H$17+(CG91+CH91)*0.5*'Reagent cost'!$C$16/1000*'Reagent cost'!$H$16*0.5)*60*7200</f>
        <v>3104971.9562024046</v>
      </c>
      <c r="DI91">
        <f>CF91*'Reagent cost'!$C$17/1000*'Reagent cost'!$H$17*60*7200</f>
        <v>504921.59999999998</v>
      </c>
      <c r="DJ91">
        <f t="shared" si="35"/>
        <v>115.55395454078759</v>
      </c>
      <c r="DK91">
        <f t="shared" si="36"/>
        <v>1293.4832560823579</v>
      </c>
      <c r="DL91">
        <f t="shared" si="37"/>
        <v>15339341.255673414</v>
      </c>
      <c r="DM91">
        <f>BK91*(B91*(409.81+2)/1000+C91*(248.2+2*22.99)/1000+D91*(315.6+3*22.99)/1000+0.1*58.44/1000)</f>
        <v>0.70639694042110623</v>
      </c>
      <c r="DN91">
        <f>(BS91+BT91)/1000*('Oxidant Feed Composition'!$B$11*'Oxidant Feed Composition'!$O$20+'Oxidant Feed Composition'!$D$11*'Oxidant Feed Composition'!$O$21+'Oxidant Feed Composition'!$F$11*'Oxidant Feed Composition'!$O$27-'Oxidant Feed Composition'!$J$15*18.015)</f>
        <v>2.1470206463075021</v>
      </c>
      <c r="DO91">
        <f>(BU91+BV91)/1000*(0.2*368.34+0.4*58.44)</f>
        <v>1.4867512400775624</v>
      </c>
      <c r="DP91">
        <f>BK91/1000*(B91*195.08+C91*106.42+D91*102.91)</f>
        <v>4.999938342565946E-2</v>
      </c>
      <c r="DQ91">
        <f>SUM(DM91:DO91)-DP91</f>
        <v>4.2901694433805106</v>
      </c>
      <c r="DR91">
        <f>DQ91*60*7200*0.33</f>
        <v>611606.5558483256</v>
      </c>
      <c r="DS91">
        <v>1.2</v>
      </c>
      <c r="DT91">
        <f>BM91/60*(AM91*4+AN91*2+AO91*3)*96485/DV91</f>
        <v>1405.8807818129837</v>
      </c>
      <c r="DU91">
        <f>BN91*BA91*(AP91*4+AQ91*2+AR91*3)*96485/DV91/60</f>
        <v>705.80254727461261</v>
      </c>
      <c r="DV91">
        <v>0.7</v>
      </c>
      <c r="DW91">
        <f>0.499*((BK91/3.78541*15)^(-0.146))*BK91/3.78541*15*300*(1+(A91-2)/9)</f>
        <v>49536.497143418172</v>
      </c>
      <c r="DX91">
        <f>0.248*((BK91/3.78541*15)^(-0.144))*BK91/3.78541*15*300*(1+(A91-2)/3)</f>
        <v>49831.318766753509</v>
      </c>
      <c r="DY91">
        <f>0.105*((BK91/3.78541*15)^(-0.144))*BK91/3.78541*15*300*(1+(A91-2)/3)</f>
        <v>21097.937381085154</v>
      </c>
      <c r="DZ91">
        <f>0.058*((BK91/3.78541*15)^(-0.151))*BK91/3.78541*15*300*(1+(A91-2)/3)</f>
        <v>11176.166036369152</v>
      </c>
      <c r="EA91">
        <f>0.056*((BK91/3.78541*15)^(-0.144))*BK91/3.78541*15*300*(1+(A91-2)/3)</f>
        <v>11252.233269912085</v>
      </c>
      <c r="EB91">
        <f>DS91*DT91/(3.6*10^6)*3600*7200*0.07</f>
        <v>850.2766968404926</v>
      </c>
      <c r="EC91">
        <f>0.499*((BM91/3.78541*15)^(-0.146))*BM91/3.78541*15*300*(1+(AF91-2)/9)</f>
        <v>51427.28997344603</v>
      </c>
      <c r="ED91">
        <f>0.248*((BM91/3.78541*15)^(-0.144))*BM91/3.78541*15*300*(1+(AF91-2)/3)</f>
        <v>54311.395839777724</v>
      </c>
      <c r="EE91">
        <f>0.105*((BM91/3.78541*15)^(-0.144))*BM91/3.78541*15*300*(1+(AF91-2)/3)</f>
        <v>22994.7442063575</v>
      </c>
      <c r="EF91">
        <f>0.058*((BM91/3.78541*15)^(-0.151))*BM91/3.78541*15*300*(1+(AF91-2)/3)</f>
        <v>12187.738945239398</v>
      </c>
      <c r="EG91">
        <f>0.056*((BM91/3.78541*15)^(-0.144))*BM91/3.78541*15*300*(1+(AF91-2)/3)</f>
        <v>12263.863576724005</v>
      </c>
      <c r="EH91">
        <f>DS91*DU91/(3.6*10^6)*3600*7200*0.07</f>
        <v>426.86938059168574</v>
      </c>
      <c r="EI91">
        <f>SUM(DW91:EH91)</f>
        <v>297356.33121651493</v>
      </c>
      <c r="EJ91">
        <f>EI91+DR91+DL91</f>
        <v>16248304.142738255</v>
      </c>
      <c r="EK91">
        <f>EJ91+DF91</f>
        <v>17164262.946583457</v>
      </c>
      <c r="EL91">
        <f>EK91/(BK91*60*7200)</f>
        <v>0.39732090154128374</v>
      </c>
      <c r="EM91">
        <f>EK91/(BM91*(AM91*195.084/1000+AN91*106.42/1000+AO91*102.911/1000)*60*7200)</f>
        <v>1329.2247876441691</v>
      </c>
      <c r="EN91">
        <f>EK91/(BN91*BA91*(AP91*195.084/1000+AQ91*106.42/1000+AR91*102.911/1000)*60*7200)</f>
        <v>2439.4552117801427</v>
      </c>
    </row>
    <row r="92" spans="1:144">
      <c r="A92">
        <f>'Costing 100 Lmin Feed Orig'!A92</f>
        <v>12</v>
      </c>
      <c r="B92">
        <f>'Costing 100 Lmin Feed Orig'!B92</f>
        <v>1.54143585092054E-3</v>
      </c>
      <c r="C92">
        <f>'Costing 100 Lmin Feed Orig'!C92</f>
        <v>1.54143585092054E-3</v>
      </c>
      <c r="D92">
        <f>'Costing 100 Lmin Feed Orig'!D92</f>
        <v>3.4254130020456501E-4</v>
      </c>
      <c r="E92">
        <f>'Costing 100 Lmin Feed Orig'!E92</f>
        <v>0</v>
      </c>
      <c r="F92">
        <f>'Costing 100 Lmin Feed Orig'!F92</f>
        <v>0</v>
      </c>
      <c r="G92">
        <f>'Costing 100 Lmin Feed Orig'!G92</f>
        <v>0</v>
      </c>
      <c r="H92">
        <f>'Costing 100 Lmin Feed Orig'!H92</f>
        <v>1.7771599281349402E-5</v>
      </c>
      <c r="I92">
        <f>'Costing 100 Lmin Feed Orig'!I92</f>
        <v>6.3113732322488897E-11</v>
      </c>
      <c r="J92">
        <f>'Costing 100 Lmin Feed Orig'!J92</f>
        <v>3.37661562480901E-4</v>
      </c>
      <c r="K92">
        <f>'Costing 100 Lmin Feed Orig'!K92</f>
        <v>0.13911791568267901</v>
      </c>
      <c r="L92">
        <f>'Costing 100 Lmin Feed Orig'!L92</f>
        <v>0.140740543921716</v>
      </c>
      <c r="M92">
        <f>'Costing 100 Lmin Feed Orig'!M92</f>
        <v>4.45543656000266E-4</v>
      </c>
      <c r="N92">
        <f>'Costing 100 Lmin Feed Orig'!N92</f>
        <v>-4.7646348672047899E-15</v>
      </c>
      <c r="O92">
        <f>'Costing 100 Lmin Feed Orig'!O92</f>
        <v>-1.1300289697036E-11</v>
      </c>
      <c r="P92">
        <f>'Costing 100 Lmin Feed Orig'!P92</f>
        <v>-4.6756218688437302E-19</v>
      </c>
      <c r="Q92">
        <f>'Costing 100 Lmin Feed Orig'!Q92</f>
        <v>0.10952322309941399</v>
      </c>
      <c r="R92">
        <f>'Costing 100 Lmin Feed Orig'!R92</f>
        <v>98.575430839799395</v>
      </c>
      <c r="S92">
        <f>'Costing 100 Lmin Feed Orig'!S92</f>
        <v>500</v>
      </c>
      <c r="T92">
        <f>'Costing 100 Lmin Feed Orig'!T92</f>
        <v>95</v>
      </c>
      <c r="U92">
        <f>'Costing 100 Lmin Feed Orig'!U92</f>
        <v>1</v>
      </c>
      <c r="V92">
        <f>'Costing 100 Lmin Feed Orig'!V92</f>
        <v>0.1</v>
      </c>
      <c r="W92">
        <f>'Costing 100 Lmin Feed Orig'!W92</f>
        <v>91.304836700459305</v>
      </c>
      <c r="X92" t="str">
        <f>'Costing 100 Lmin Feed Orig'!X92</f>
        <v>ddFc</v>
      </c>
      <c r="Y92">
        <f>'Costing 100 Lmin Feed Orig'!Y92</f>
        <v>1</v>
      </c>
      <c r="Z92">
        <f>'Costing 100 Lmin Feed Orig'!Z92</f>
        <v>0.28318429382522198</v>
      </c>
      <c r="AA92">
        <f>'Costing 100 Lmin Feed Orig'!AA92</f>
        <v>0.56945642916197003</v>
      </c>
      <c r="AB92">
        <f>'Costing 100 Lmin Feed Orig'!AB92</f>
        <v>3.7698628972227502E-3</v>
      </c>
      <c r="AC92">
        <f>'Costing 100 Lmin Feed Orig'!AC92</f>
        <v>1822.2107908876901</v>
      </c>
      <c r="AD92">
        <f>'Costing 100 Lmin Feed Orig'!AD92</f>
        <v>2662.6059073104898</v>
      </c>
      <c r="AE92">
        <f>'Costing 100 Lmin Feed Orig'!AE92</f>
        <v>2401.5030938442701</v>
      </c>
      <c r="AF92">
        <f>'Costing 100 Lmin Feed Orig'!AF92</f>
        <v>4</v>
      </c>
      <c r="AG92">
        <f>'Costing 100 Lmin Feed Orig'!AG92</f>
        <v>1.6497575706444501E-3</v>
      </c>
      <c r="AH92">
        <f>'Costing 100 Lmin Feed Orig'!AH92</f>
        <v>1.66899983148883E-3</v>
      </c>
      <c r="AI92">
        <f>'Costing 100 Lmin Feed Orig'!AI92</f>
        <v>5.28356837386519E-6</v>
      </c>
      <c r="AJ92">
        <f>'Costing 100 Lmin Feed Orig'!AJ92</f>
        <v>0</v>
      </c>
      <c r="AK92">
        <f>'Costing 100 Lmin Feed Orig'!AK92</f>
        <v>0</v>
      </c>
      <c r="AL92">
        <f>'Costing 100 Lmin Feed Orig'!AL92</f>
        <v>0</v>
      </c>
      <c r="AM92">
        <f>'Costing 100 Lmin Feed Orig'!AM92</f>
        <v>1.6048452348297699E-3</v>
      </c>
      <c r="AN92">
        <f>'Costing 100 Lmin Feed Orig'!AN92</f>
        <v>7.9223897063492306E-5</v>
      </c>
      <c r="AO92">
        <f>'Costing 100 Lmin Feed Orig'!AO92</f>
        <v>5.2416416138490404E-6</v>
      </c>
      <c r="AP92">
        <f>'Costing 100 Lmin Feed Orig'!AP92</f>
        <v>1.9874016210830801E-3</v>
      </c>
      <c r="AQ92">
        <f>'Costing 100 Lmin Feed Orig'!AQ92</f>
        <v>7.0348673954820695E-2</v>
      </c>
      <c r="AR92">
        <f>'Costing 100 Lmin Feed Orig'!AR92</f>
        <v>1.85528784684309E-6</v>
      </c>
      <c r="AS92">
        <f>'Costing 100 Lmin Feed Orig'!AS92</f>
        <v>-9.4900622733470806E-15</v>
      </c>
      <c r="AT92">
        <f>'Costing 100 Lmin Feed Orig'!AT92</f>
        <v>-1.22378452857563E-13</v>
      </c>
      <c r="AU92">
        <f>'Costing 100 Lmin Feed Orig'!AU92</f>
        <v>-3.0328014676440201E-18</v>
      </c>
      <c r="AV92">
        <f>'Costing 100 Lmin Feed Orig'!AV92</f>
        <v>0.20871283207273</v>
      </c>
      <c r="AW92">
        <f>'Costing 100 Lmin Feed Orig'!AW92</f>
        <v>99.206468866315106</v>
      </c>
      <c r="AX92">
        <f>'Costing 100 Lmin Feed Orig'!AX92</f>
        <v>500</v>
      </c>
      <c r="AY92">
        <f>'Costing 100 Lmin Feed Orig'!AY92</f>
        <v>95</v>
      </c>
      <c r="AZ92">
        <f>'Costing 100 Lmin Feed Orig'!AZ92</f>
        <v>0.92356857683566096</v>
      </c>
      <c r="BA92">
        <f>'Costing 100 Lmin Feed Orig'!BA92</f>
        <v>0.1</v>
      </c>
      <c r="BB92">
        <f>'Costing 100 Lmin Feed Orig'!BB92</f>
        <v>44.250684908239002</v>
      </c>
      <c r="BC92" t="str">
        <f>'Costing 100 Lmin Feed Orig'!BC92</f>
        <v>coeFc</v>
      </c>
      <c r="BD92">
        <f>'Costing 100 Lmin Feed Orig'!BD92</f>
        <v>1</v>
      </c>
      <c r="BE92">
        <f>'Costing 100 Lmin Feed Orig'!BE92</f>
        <v>1.8775014999999999E-2</v>
      </c>
      <c r="BF92">
        <f>'Costing 100 Lmin Feed Orig'!BF92</f>
        <v>0.10492961100000001</v>
      </c>
      <c r="BG92">
        <f>'Costing 100 Lmin Feed Orig'!BG92</f>
        <v>1.814625E-3</v>
      </c>
      <c r="BH92">
        <f>'Costing 100 Lmin Feed Orig'!BH92</f>
        <v>285.1951444</v>
      </c>
      <c r="BI92">
        <f>'Costing 100 Lmin Feed Orig'!BI92</f>
        <v>2169.8944889999998</v>
      </c>
      <c r="BJ92">
        <f>'Costing 100 Lmin Feed Orig'!BJ92</f>
        <v>866.49409060000005</v>
      </c>
      <c r="BK92">
        <f>'Costing 100 Lmin Feed Orig'!BK92</f>
        <v>100</v>
      </c>
      <c r="BL92">
        <f>'Costing 100 Lmin Feed Orig'!BL92</f>
        <v>10.952322309941399</v>
      </c>
      <c r="BM92">
        <f>'Costing 100 Lmin Feed Orig'!BM92</f>
        <v>92.356857683566091</v>
      </c>
      <c r="BN92">
        <f>'Costing 100 Lmin Feed Orig'!BN92</f>
        <v>20.871283207272999</v>
      </c>
      <c r="BO92">
        <f t="shared" si="20"/>
        <v>306.6650246783592</v>
      </c>
      <c r="BP92">
        <f t="shared" si="21"/>
        <v>250.455398487276</v>
      </c>
      <c r="BQ92">
        <f t="shared" si="22"/>
        <v>30.666502467835922</v>
      </c>
      <c r="BR92">
        <f t="shared" si="23"/>
        <v>25.0455398487276</v>
      </c>
      <c r="BS92">
        <f>1.2*0.5*BL92*V92/'Oxidant Feed Composition'!$N$22</f>
        <v>6.5713933859648392</v>
      </c>
      <c r="BT92">
        <f>1.2*0.5*BN92*BA92/'Oxidant Feed Composition'!$N$22</f>
        <v>12.522769924363798</v>
      </c>
      <c r="BU92">
        <f t="shared" si="24"/>
        <v>5.4761611549706997</v>
      </c>
      <c r="BV92">
        <f t="shared" si="25"/>
        <v>10.435641603636499</v>
      </c>
      <c r="BW92">
        <f t="shared" si="26"/>
        <v>86.880696528595394</v>
      </c>
      <c r="BX92">
        <f t="shared" si="19"/>
        <v>35.047431391812481</v>
      </c>
      <c r="BY92">
        <f t="shared" si="27"/>
        <v>206.61835998701497</v>
      </c>
      <c r="BZ92">
        <f t="shared" si="28"/>
        <v>66.78810626327359</v>
      </c>
      <c r="CA92">
        <f t="shared" si="29"/>
        <v>62.613849621819</v>
      </c>
      <c r="CB92">
        <f>BO92*'Reagent cost'!$G$11*'Reagent cost'!$H$11</f>
        <v>4047.9783257543413</v>
      </c>
      <c r="CC92">
        <f>BP92*'Reagent cost'!$G$11*'Reagent cost'!$H$11</f>
        <v>3306.0112600320435</v>
      </c>
      <c r="CD92">
        <f>BQ92*'Reagent cost'!$C$18/1000*'Reagent cost'!$H$18</f>
        <v>4890.707695899031</v>
      </c>
      <c r="CE92">
        <f>BR92*'Ligand cost'!$B$56*'Ligand cost'!$J$56</f>
        <v>25499.558681291794</v>
      </c>
      <c r="CF92">
        <f t="shared" si="30"/>
        <v>10</v>
      </c>
      <c r="CG92">
        <f t="shared" si="31"/>
        <v>2.19046446198828</v>
      </c>
      <c r="CH92">
        <f t="shared" si="31"/>
        <v>4.1742566414546003</v>
      </c>
      <c r="CI92">
        <f>7963.6*(BX92/1000)^0.6*1.7*('CAPEX+OPEX'!$G$116/'CAPEX+OPEX'!$G$115)</f>
        <v>2138.1326451989207</v>
      </c>
      <c r="CJ92">
        <f>7963.6*(BY92/1000)^0.6*1.7*('CAPEX+OPEX'!$G$116/'CAPEX+OPEX'!$G$115)</f>
        <v>6199.2945816251477</v>
      </c>
      <c r="CK92">
        <f>7963.6*(BZ92/1000)^0.6*1.7*('CAPEX+OPEX'!$G$116/'CAPEX+OPEX'!$G$115)</f>
        <v>3148.1861614717395</v>
      </c>
      <c r="CL92">
        <f>7963.6*(CA92/1000)^0.6*1.7*('CAPEX+OPEX'!$G$116/'CAPEX+OPEX'!$G$115)</f>
        <v>3028.6087405841981</v>
      </c>
      <c r="CM92">
        <f>'Costing 100 Lmin Feed Orig'!DE92</f>
        <v>39625.826528698344</v>
      </c>
      <c r="CN92">
        <f>'Costing 100 Lmin Feed Orig'!DF92</f>
        <v>4586243.4239371875</v>
      </c>
      <c r="CO92">
        <f>'Costing 100 Lmin Feed Orig'!DG92</f>
        <v>11794834.586807497</v>
      </c>
      <c r="CP92">
        <f>'Costing 100 Lmin Feed Orig'!DH92</f>
        <v>2275209.1661185985</v>
      </c>
      <c r="CQ92">
        <f>'Costing 100 Lmin Feed Orig'!DI92</f>
        <v>14083914.336508472</v>
      </c>
      <c r="CR92">
        <f>'Costing 100 Lmin Feed Orig'!DJ92</f>
        <v>1662824.8986326549</v>
      </c>
      <c r="CS92">
        <f>CN92*(BK92/10000)^0.72*((A92+1)/3)^0.6*('CAPEX+OPEX'!$G$116/'CAPEX+OPEX'!$G$114)</f>
        <v>936765.86395108781</v>
      </c>
      <c r="CT92">
        <f>CO92*(BK92/10000)^0.72*((A92+1)/3)^0.6*('CAPEX+OPEX'!$G$116/'CAPEX+OPEX'!$G$114)</f>
        <v>2409160.916797909</v>
      </c>
      <c r="CU92">
        <f>CP92*(BK92/10000)^0.72*((A92+1)/3)^0.6*('CAPEX+OPEX'!$G$116/'CAPEX+OPEX'!$G$114)</f>
        <v>464724.19432521454</v>
      </c>
      <c r="CV92">
        <f>CQ92*(BK92/10000)^0.72*((A92+1)/3)^0.6*('CAPEX+OPEX'!$G$116/'CAPEX+OPEX'!$G$114)</f>
        <v>2876718.2553791031</v>
      </c>
      <c r="CW92">
        <f>CR92*(BK92/10000)^0.72*((A92+1)/3)^0.6*('CAPEX+OPEX'!$G$116/'CAPEX+OPEX'!$G$114)</f>
        <v>339641.28346021532</v>
      </c>
      <c r="CX92">
        <f t="shared" si="32"/>
        <v>7027010.5139135299</v>
      </c>
      <c r="CY92">
        <f>CN92*(BM92/10000)^0.72*((AF92+1)/3)^0.6*('CAPEX+OPEX'!$G$116/'CAPEX+OPEX'!$G$114)</f>
        <v>498637.38285704167</v>
      </c>
      <c r="CZ92">
        <f>CO92*(BM92/10000)^0.72*((AF92+1)/3)^0.6*('CAPEX+OPEX'!$G$116/'CAPEX+OPEX'!$G$114)</f>
        <v>1282388.4181333755</v>
      </c>
      <c r="DA92">
        <f>CP92*(BM92/10000)^0.72*((AF92+1)/3)^0.6*('CAPEX+OPEX'!$G$116/'CAPEX+OPEX'!$G$114)</f>
        <v>247371.15743232475</v>
      </c>
      <c r="DB92">
        <f>CQ92*(BM92/10000)^0.72*((AF92+1)/3)^0.6*('CAPEX+OPEX'!$G$116/'CAPEX+OPEX'!$G$114)</f>
        <v>1531267.648918309</v>
      </c>
      <c r="DC92">
        <f>CR92*(BM92/10000)^0.72*((AF92+1)/3)^0.6*('CAPEX+OPEX'!$G$116/'CAPEX+OPEX'!$G$114)</f>
        <v>180789.93611113401</v>
      </c>
      <c r="DD92">
        <f t="shared" si="33"/>
        <v>3740454.5434521851</v>
      </c>
      <c r="DE92">
        <f>CX92+DD92+1.15*(SUM(CI92:CL92)+SUM(CB92:CE92))</f>
        <v>10827562.307171352</v>
      </c>
      <c r="DF92">
        <f t="shared" si="34"/>
        <v>721837.48714475683</v>
      </c>
      <c r="DG92">
        <f>(BS92+BT92)*'Oxidant Feed Composition'!$N$29*60*7200</f>
        <v>9525532.7462188136</v>
      </c>
      <c r="DH92">
        <f>((CG92+CH92)*'Reagent cost'!$C$17/1000*'Reagent cost'!$H$17+(CG92+CH92)*0.5*'Reagent cost'!$C$16/1000*'Reagent cost'!$H$16*0.5)*60*7200</f>
        <v>3224834.6269443114</v>
      </c>
      <c r="DI92">
        <f>CF92*'Reagent cost'!$C$17/1000*'Reagent cost'!$H$17*60*7200</f>
        <v>504921.59999999998</v>
      </c>
      <c r="DJ92">
        <f t="shared" si="35"/>
        <v>73.539895857863854</v>
      </c>
      <c r="DK92">
        <f t="shared" si="36"/>
        <v>607.80532754381659</v>
      </c>
      <c r="DL92">
        <f t="shared" si="37"/>
        <v>15907164.382063832</v>
      </c>
      <c r="DM92">
        <f>BK92*(B92*(409.81+2)/1000+C92*(248.2+2*22.99)/1000+D92*(315.6+3*22.99)/1000+0.1*58.44/1000)</f>
        <v>0.70639694042110623</v>
      </c>
      <c r="DN92">
        <f>(BS92+BT92)/1000*('Oxidant Feed Composition'!$B$11*'Oxidant Feed Composition'!$O$20+'Oxidant Feed Composition'!$D$11*'Oxidant Feed Composition'!$O$21+'Oxidant Feed Composition'!$F$11*'Oxidant Feed Composition'!$O$27-'Oxidant Feed Composition'!$J$15*18.015)</f>
        <v>2.2299030788816068</v>
      </c>
      <c r="DO92">
        <f>(BU92+BV92)/1000*(0.2*368.34+0.4*58.44)</f>
        <v>1.5441449869062769</v>
      </c>
      <c r="DP92">
        <f>BK92/1000*(B92*195.08+C92*106.42+D92*102.91)</f>
        <v>4.999938342565946E-2</v>
      </c>
      <c r="DQ92">
        <f>SUM(DM92:DO92)-DP92</f>
        <v>4.4304456227833304</v>
      </c>
      <c r="DR92">
        <f>DQ92*60*7200*0.33</f>
        <v>631604.32798399171</v>
      </c>
      <c r="DS92">
        <v>1.2</v>
      </c>
      <c r="DT92">
        <f>BM92/60*(AM92*4+AN92*2+AO92*3)*96485/DV92</f>
        <v>1398.9403725553298</v>
      </c>
      <c r="DU92">
        <f>BN92*BA92*(AP92*4+AQ92*2+AR92*3)*96485/DV92/60</f>
        <v>712.74132254763572</v>
      </c>
      <c r="DV92">
        <v>0.7</v>
      </c>
      <c r="DW92">
        <f>0.499*((BK92/3.78541*15)^(-0.146))*BK92/3.78541*15*300*(1+(A92-2)/9)</f>
        <v>52288.524762496963</v>
      </c>
      <c r="DX92">
        <f>0.248*((BK92/3.78541*15)^(-0.144))*BK92/3.78541*15*300*(1+(A92-2)/3)</f>
        <v>53983.928663982973</v>
      </c>
      <c r="DY92">
        <f>0.105*((BK92/3.78541*15)^(-0.144))*BK92/3.78541*15*300*(1+(A92-2)/3)</f>
        <v>22856.098829508919</v>
      </c>
      <c r="DZ92">
        <f>0.058*((BK92/3.78541*15)^(-0.151))*BK92/3.78541*15*300*(1+(A92-2)/3)</f>
        <v>12107.513206066582</v>
      </c>
      <c r="EA92">
        <f>0.056*((BK92/3.78541*15)^(-0.144))*BK92/3.78541*15*300*(1+(A92-2)/3)</f>
        <v>12189.919375738094</v>
      </c>
      <c r="EB92">
        <f>DS92*DT92/(3.6*10^6)*3600*7200*0.07</f>
        <v>846.07913732146346</v>
      </c>
      <c r="EC92">
        <f>0.499*((BM92/3.78541*15)^(-0.146))*BM92/3.78541*15*300*(1+(AF92-2)/9)</f>
        <v>28284.996273452896</v>
      </c>
      <c r="ED92">
        <f>0.248*((BM92/3.78541*15)^(-0.144))*BM92/3.78541*15*300*(1+(AF92-2)/3)</f>
        <v>19396.918004101793</v>
      </c>
      <c r="EE92">
        <f>0.105*((BM92/3.78541*15)^(-0.144))*BM92/3.78541*15*300*(1+(AF92-2)/3)</f>
        <v>8212.4048001237406</v>
      </c>
      <c r="EF92">
        <f>0.058*((BM92/3.78541*15)^(-0.151))*BM92/3.78541*15*300*(1+(AF92-2)/3)</f>
        <v>4352.7618877396708</v>
      </c>
      <c r="EG92">
        <f>0.056*((BM92/3.78541*15)^(-0.144))*BM92/3.78541*15*300*(1+(AF92-2)/3)</f>
        <v>4379.9492267326632</v>
      </c>
      <c r="EH92">
        <f>DS92*DU92/(3.6*10^6)*3600*7200*0.07</f>
        <v>431.06595187681012</v>
      </c>
      <c r="EI92">
        <f>SUM(DW92:EH92)</f>
        <v>219330.16011914256</v>
      </c>
      <c r="EJ92">
        <f>EI92+DR92+DL92</f>
        <v>16758098.870166967</v>
      </c>
      <c r="EK92">
        <f>EJ92+DF92</f>
        <v>17479936.357311722</v>
      </c>
      <c r="EL92">
        <f>EK92/(BK92*60*7200)</f>
        <v>0.40462815641925282</v>
      </c>
      <c r="EM92">
        <f>EK92/(BM92*(AM92*195.084/1000+AN92*106.42/1000+AO92*102.911/1000)*60*7200)</f>
        <v>1360.3904390752866</v>
      </c>
      <c r="EN92">
        <f>EK92/(BN92*BA92*(AP92*195.084/1000+AQ92*106.42/1000+AR92*102.911/1000)*60*7200)</f>
        <v>2462.0058872338786</v>
      </c>
    </row>
    <row r="93" spans="1:144">
      <c r="A93">
        <f>'Costing 100 Lmin Feed Orig'!A93</f>
        <v>12</v>
      </c>
      <c r="B93">
        <f>'Costing 100 Lmin Feed Orig'!B93</f>
        <v>1.54143585092054E-3</v>
      </c>
      <c r="C93">
        <f>'Costing 100 Lmin Feed Orig'!C93</f>
        <v>1.54143585092054E-3</v>
      </c>
      <c r="D93">
        <f>'Costing 100 Lmin Feed Orig'!D93</f>
        <v>3.4254130020456501E-4</v>
      </c>
      <c r="E93">
        <f>'Costing 100 Lmin Feed Orig'!E93</f>
        <v>0</v>
      </c>
      <c r="F93">
        <f>'Costing 100 Lmin Feed Orig'!F93</f>
        <v>0</v>
      </c>
      <c r="G93">
        <f>'Costing 100 Lmin Feed Orig'!G93</f>
        <v>0</v>
      </c>
      <c r="H93">
        <f>'Costing 100 Lmin Feed Orig'!H93</f>
        <v>1.7771599281349402E-5</v>
      </c>
      <c r="I93">
        <f>'Costing 100 Lmin Feed Orig'!I93</f>
        <v>6.3113732322488897E-11</v>
      </c>
      <c r="J93">
        <f>'Costing 100 Lmin Feed Orig'!J93</f>
        <v>3.37661562480901E-4</v>
      </c>
      <c r="K93">
        <f>'Costing 100 Lmin Feed Orig'!K93</f>
        <v>0.13911791568267901</v>
      </c>
      <c r="L93">
        <f>'Costing 100 Lmin Feed Orig'!L93</f>
        <v>0.140740543921716</v>
      </c>
      <c r="M93">
        <f>'Costing 100 Lmin Feed Orig'!M93</f>
        <v>4.45543656000266E-4</v>
      </c>
      <c r="N93">
        <f>'Costing 100 Lmin Feed Orig'!N93</f>
        <v>-4.7646348672047899E-15</v>
      </c>
      <c r="O93">
        <f>'Costing 100 Lmin Feed Orig'!O93</f>
        <v>-1.1300289697036E-11</v>
      </c>
      <c r="P93">
        <f>'Costing 100 Lmin Feed Orig'!P93</f>
        <v>-4.6756218688437302E-19</v>
      </c>
      <c r="Q93">
        <f>'Costing 100 Lmin Feed Orig'!Q93</f>
        <v>0.10952322309941399</v>
      </c>
      <c r="R93">
        <f>'Costing 100 Lmin Feed Orig'!R93</f>
        <v>98.575430839799395</v>
      </c>
      <c r="S93">
        <f>'Costing 100 Lmin Feed Orig'!S93</f>
        <v>500</v>
      </c>
      <c r="T93">
        <f>'Costing 100 Lmin Feed Orig'!T93</f>
        <v>95</v>
      </c>
      <c r="U93">
        <f>'Costing 100 Lmin Feed Orig'!U93</f>
        <v>1</v>
      </c>
      <c r="V93">
        <f>'Costing 100 Lmin Feed Orig'!V93</f>
        <v>0.1</v>
      </c>
      <c r="W93">
        <f>'Costing 100 Lmin Feed Orig'!W93</f>
        <v>91.304836700459305</v>
      </c>
      <c r="X93" t="str">
        <f>'Costing 100 Lmin Feed Orig'!X93</f>
        <v>ddFc</v>
      </c>
      <c r="Y93">
        <f>'Costing 100 Lmin Feed Orig'!Y93</f>
        <v>1</v>
      </c>
      <c r="Z93">
        <f>'Costing 100 Lmin Feed Orig'!Z93</f>
        <v>0.28318429382522198</v>
      </c>
      <c r="AA93">
        <f>'Costing 100 Lmin Feed Orig'!AA93</f>
        <v>0.56945642916197003</v>
      </c>
      <c r="AB93">
        <f>'Costing 100 Lmin Feed Orig'!AB93</f>
        <v>3.7698628972227502E-3</v>
      </c>
      <c r="AC93">
        <f>'Costing 100 Lmin Feed Orig'!AC93</f>
        <v>1822.2107908876901</v>
      </c>
      <c r="AD93">
        <f>'Costing 100 Lmin Feed Orig'!AD93</f>
        <v>2662.6059073104898</v>
      </c>
      <c r="AE93">
        <f>'Costing 100 Lmin Feed Orig'!AE93</f>
        <v>2401.5030938442701</v>
      </c>
      <c r="AF93">
        <f>'Costing 100 Lmin Feed Orig'!AF93</f>
        <v>5</v>
      </c>
      <c r="AG93">
        <f>'Costing 100 Lmin Feed Orig'!AG93</f>
        <v>1.6497575706444501E-3</v>
      </c>
      <c r="AH93">
        <f>'Costing 100 Lmin Feed Orig'!AH93</f>
        <v>1.66899983148883E-3</v>
      </c>
      <c r="AI93">
        <f>'Costing 100 Lmin Feed Orig'!AI93</f>
        <v>5.28356837386519E-6</v>
      </c>
      <c r="AJ93">
        <f>'Costing 100 Lmin Feed Orig'!AJ93</f>
        <v>0</v>
      </c>
      <c r="AK93">
        <f>'Costing 100 Lmin Feed Orig'!AK93</f>
        <v>0</v>
      </c>
      <c r="AL93">
        <f>'Costing 100 Lmin Feed Orig'!AL93</f>
        <v>0</v>
      </c>
      <c r="AM93">
        <f>'Costing 100 Lmin Feed Orig'!AM93</f>
        <v>1.61044680899333E-3</v>
      </c>
      <c r="AN93">
        <f>'Costing 100 Lmin Feed Orig'!AN93</f>
        <v>7.9513667548027593E-5</v>
      </c>
      <c r="AO93">
        <f>'Costing 100 Lmin Feed Orig'!AO93</f>
        <v>5.2466908500710802E-6</v>
      </c>
      <c r="AP93">
        <f>'Costing 100 Lmin Feed Orig'!AP93</f>
        <v>1.8118119800337601E-3</v>
      </c>
      <c r="AQ93">
        <f>'Costing 100 Lmin Feed Orig'!AQ93</f>
        <v>7.3258567195411697E-2</v>
      </c>
      <c r="AR93">
        <f>'Costing 100 Lmin Feed Orig'!AR93</f>
        <v>1.6996653485653601E-6</v>
      </c>
      <c r="AS93">
        <f>'Costing 100 Lmin Feed Orig'!AS93</f>
        <v>-4.4472617862639699E-17</v>
      </c>
      <c r="AT93">
        <f>'Costing 100 Lmin Feed Orig'!AT93</f>
        <v>1.89518539750466E-16</v>
      </c>
      <c r="AU93">
        <f>'Costing 100 Lmin Feed Orig'!AU93</f>
        <v>-3.4807760176231399E-20</v>
      </c>
      <c r="AV93">
        <f>'Costing 100 Lmin Feed Orig'!AV93</f>
        <v>0.20038604773893701</v>
      </c>
      <c r="AW93">
        <f>'Costing 100 Lmin Feed Orig'!AW93</f>
        <v>99.302033754753197</v>
      </c>
      <c r="AX93">
        <f>'Costing 100 Lmin Feed Orig'!AX93</f>
        <v>500</v>
      </c>
      <c r="AY93">
        <f>'Costing 100 Lmin Feed Orig'!AY93</f>
        <v>95</v>
      </c>
      <c r="AZ93">
        <f>'Costing 100 Lmin Feed Orig'!AZ93</f>
        <v>0.92356857683566096</v>
      </c>
      <c r="BA93">
        <f>'Costing 100 Lmin Feed Orig'!BA93</f>
        <v>0.1</v>
      </c>
      <c r="BB93">
        <f>'Costing 100 Lmin Feed Orig'!BB93</f>
        <v>46.089465172689103</v>
      </c>
      <c r="BC93" t="str">
        <f>'Costing 100 Lmin Feed Orig'!BC93</f>
        <v>coeFc</v>
      </c>
      <c r="BD93">
        <f>'Costing 100 Lmin Feed Orig'!BD93</f>
        <v>1</v>
      </c>
      <c r="BE93">
        <f>'Costing 100 Lmin Feed Orig'!BE93</f>
        <v>1.8775014999999999E-2</v>
      </c>
      <c r="BF93">
        <f>'Costing 100 Lmin Feed Orig'!BF93</f>
        <v>0.10492961100000001</v>
      </c>
      <c r="BG93">
        <f>'Costing 100 Lmin Feed Orig'!BG93</f>
        <v>1.814625E-3</v>
      </c>
      <c r="BH93">
        <f>'Costing 100 Lmin Feed Orig'!BH93</f>
        <v>285.1951444</v>
      </c>
      <c r="BI93">
        <f>'Costing 100 Lmin Feed Orig'!BI93</f>
        <v>2169.8944889999998</v>
      </c>
      <c r="BJ93">
        <f>'Costing 100 Lmin Feed Orig'!BJ93</f>
        <v>866.49409060000005</v>
      </c>
      <c r="BK93">
        <f>'Costing 100 Lmin Feed Orig'!BK93</f>
        <v>100</v>
      </c>
      <c r="BL93">
        <f>'Costing 100 Lmin Feed Orig'!BL93</f>
        <v>10.952322309941399</v>
      </c>
      <c r="BM93">
        <f>'Costing 100 Lmin Feed Orig'!BM93</f>
        <v>92.356857683566091</v>
      </c>
      <c r="BN93">
        <f>'Costing 100 Lmin Feed Orig'!BN93</f>
        <v>20.038604773893702</v>
      </c>
      <c r="BO93">
        <f t="shared" si="20"/>
        <v>306.6650246783592</v>
      </c>
      <c r="BP93">
        <f t="shared" si="21"/>
        <v>280.54046683451185</v>
      </c>
      <c r="BQ93">
        <f t="shared" si="22"/>
        <v>30.666502467835922</v>
      </c>
      <c r="BR93">
        <f t="shared" si="23"/>
        <v>28.054046683451187</v>
      </c>
      <c r="BS93">
        <f>1.2*0.5*BL93*V93/'Oxidant Feed Composition'!$N$22</f>
        <v>6.5713933859648392</v>
      </c>
      <c r="BT93">
        <f>1.2*0.5*BN93*BA93/'Oxidant Feed Composition'!$N$22</f>
        <v>12.023162864336223</v>
      </c>
      <c r="BU93">
        <f t="shared" si="24"/>
        <v>5.4761611549706997</v>
      </c>
      <c r="BV93">
        <f t="shared" si="25"/>
        <v>10.019302386946851</v>
      </c>
      <c r="BW93">
        <f t="shared" si="26"/>
        <v>86.880696528595394</v>
      </c>
      <c r="BX93">
        <f t="shared" si="19"/>
        <v>35.047431391812481</v>
      </c>
      <c r="BY93">
        <f t="shared" si="27"/>
        <v>206.61835998701497</v>
      </c>
      <c r="BZ93">
        <f t="shared" si="28"/>
        <v>64.123535276459847</v>
      </c>
      <c r="CA93">
        <f t="shared" si="29"/>
        <v>60.115814321681107</v>
      </c>
      <c r="CB93">
        <f>BO93*'Reagent cost'!$G$11*'Reagent cost'!$H$11</f>
        <v>4047.9783257543413</v>
      </c>
      <c r="CC93">
        <f>BP93*'Reagent cost'!$G$11*'Reagent cost'!$H$11</f>
        <v>3703.1341622155564</v>
      </c>
      <c r="CD93">
        <f>BQ93*'Reagent cost'!$C$18/1000*'Reagent cost'!$H$18</f>
        <v>4890.707695899031</v>
      </c>
      <c r="CE93">
        <f>BR93*'Ligand cost'!$B$56*'Ligand cost'!$J$56</f>
        <v>28562.602921442158</v>
      </c>
      <c r="CF93">
        <f t="shared" si="30"/>
        <v>10</v>
      </c>
      <c r="CG93">
        <f t="shared" si="31"/>
        <v>2.19046446198828</v>
      </c>
      <c r="CH93">
        <f t="shared" si="31"/>
        <v>4.0077209547787405</v>
      </c>
      <c r="CI93">
        <f>7963.6*(BX93/1000)^0.6*1.7*('CAPEX+OPEX'!$G$116/'CAPEX+OPEX'!$G$115)</f>
        <v>2138.1326451989207</v>
      </c>
      <c r="CJ93">
        <f>7963.6*(BY93/1000)^0.6*1.7*('CAPEX+OPEX'!$G$116/'CAPEX+OPEX'!$G$115)</f>
        <v>6199.2945816251477</v>
      </c>
      <c r="CK93">
        <f>7963.6*(BZ93/1000)^0.6*1.7*('CAPEX+OPEX'!$G$116/'CAPEX+OPEX'!$G$115)</f>
        <v>3072.2135668030037</v>
      </c>
      <c r="CL93">
        <f>7963.6*(CA93/1000)^0.6*1.7*('CAPEX+OPEX'!$G$116/'CAPEX+OPEX'!$G$115)</f>
        <v>2955.5218097430356</v>
      </c>
      <c r="CM93">
        <f>'Costing 100 Lmin Feed Orig'!DE93</f>
        <v>39625.826528698344</v>
      </c>
      <c r="CN93">
        <f>'Costing 100 Lmin Feed Orig'!DF93</f>
        <v>4586243.4239371875</v>
      </c>
      <c r="CO93">
        <f>'Costing 100 Lmin Feed Orig'!DG93</f>
        <v>11794834.586807497</v>
      </c>
      <c r="CP93">
        <f>'Costing 100 Lmin Feed Orig'!DH93</f>
        <v>2275209.1661185985</v>
      </c>
      <c r="CQ93">
        <f>'Costing 100 Lmin Feed Orig'!DI93</f>
        <v>14083914.336508472</v>
      </c>
      <c r="CR93">
        <f>'Costing 100 Lmin Feed Orig'!DJ93</f>
        <v>1662824.8986326549</v>
      </c>
      <c r="CS93">
        <f>CN93*(BK93/10000)^0.72*((A93+1)/3)^0.6*('CAPEX+OPEX'!$G$116/'CAPEX+OPEX'!$G$114)</f>
        <v>936765.86395108781</v>
      </c>
      <c r="CT93">
        <f>CO93*(BK93/10000)^0.72*((A93+1)/3)^0.6*('CAPEX+OPEX'!$G$116/'CAPEX+OPEX'!$G$114)</f>
        <v>2409160.916797909</v>
      </c>
      <c r="CU93">
        <f>CP93*(BK93/10000)^0.72*((A93+1)/3)^0.6*('CAPEX+OPEX'!$G$116/'CAPEX+OPEX'!$G$114)</f>
        <v>464724.19432521454</v>
      </c>
      <c r="CV93">
        <f>CQ93*(BK93/10000)^0.72*((A93+1)/3)^0.6*('CAPEX+OPEX'!$G$116/'CAPEX+OPEX'!$G$114)</f>
        <v>2876718.2553791031</v>
      </c>
      <c r="CW93">
        <f>CR93*(BK93/10000)^0.72*((A93+1)/3)^0.6*('CAPEX+OPEX'!$G$116/'CAPEX+OPEX'!$G$114)</f>
        <v>339641.28346021532</v>
      </c>
      <c r="CX93">
        <f t="shared" si="32"/>
        <v>7027010.5139135299</v>
      </c>
      <c r="CY93">
        <f>CN93*(BM93/10000)^0.72*((AF93+1)/3)^0.6*('CAPEX+OPEX'!$G$116/'CAPEX+OPEX'!$G$114)</f>
        <v>556280.17433304957</v>
      </c>
      <c r="CZ93">
        <f>CO93*(BM93/10000)^0.72*((AF93+1)/3)^0.6*('CAPEX+OPEX'!$G$116/'CAPEX+OPEX'!$G$114)</f>
        <v>1430633.3165687236</v>
      </c>
      <c r="DA93">
        <f>CP93*(BM93/10000)^0.72*((AF93+1)/3)^0.6*('CAPEX+OPEX'!$G$116/'CAPEX+OPEX'!$G$114)</f>
        <v>275967.41702952847</v>
      </c>
      <c r="DB93">
        <f>CQ93*(BM93/10000)^0.72*((AF93+1)/3)^0.6*('CAPEX+OPEX'!$G$116/'CAPEX+OPEX'!$G$114)</f>
        <v>1708283.1411680363</v>
      </c>
      <c r="DC93">
        <f>CR93*(BM93/10000)^0.72*((AF93+1)/3)^0.6*('CAPEX+OPEX'!$G$116/'CAPEX+OPEX'!$G$114)</f>
        <v>201689.36512807687</v>
      </c>
      <c r="DD93">
        <f t="shared" si="33"/>
        <v>4172853.4142274149</v>
      </c>
      <c r="DE93">
        <f>CX93+DD93+1.15*(SUM(CI93:CL93)+SUM(CB93:CE93))</f>
        <v>11263768.951705929</v>
      </c>
      <c r="DF93">
        <f t="shared" si="34"/>
        <v>750917.93011372862</v>
      </c>
      <c r="DG93">
        <f>(BS93+BT93)*'Oxidant Feed Composition'!$N$29*60*7200</f>
        <v>9276293.0527486894</v>
      </c>
      <c r="DH93">
        <f>((CG93+CH93)*'Reagent cost'!$C$17/1000*'Reagent cost'!$H$17+(CG93+CH93)*0.5*'Reagent cost'!$C$16/1000*'Reagent cost'!$H$16*0.5)*60*7200</f>
        <v>3140455.4310163469</v>
      </c>
      <c r="DI93">
        <f>CF93*'Reagent cost'!$C$17/1000*'Reagent cost'!$H$17*60*7200</f>
        <v>504921.59999999998</v>
      </c>
      <c r="DJ93">
        <f t="shared" si="35"/>
        <v>77.511124879698983</v>
      </c>
      <c r="DK93">
        <f t="shared" si="36"/>
        <v>669.0662123468237</v>
      </c>
      <c r="DL93">
        <f t="shared" si="37"/>
        <v>15506899.993322713</v>
      </c>
      <c r="DM93">
        <f>BK93*(B93*(409.81+2)/1000+C93*(248.2+2*22.99)/1000+D93*(315.6+3*22.99)/1000+0.1*58.44/1000)</f>
        <v>0.70639694042110623</v>
      </c>
      <c r="DN93">
        <f>(BS93+BT93)/1000*('Oxidant Feed Composition'!$B$11*'Oxidant Feed Composition'!$O$20+'Oxidant Feed Composition'!$D$11*'Oxidant Feed Composition'!$O$21+'Oxidant Feed Composition'!$F$11*'Oxidant Feed Composition'!$O$27-'Oxidant Feed Composition'!$J$15*18.015)</f>
        <v>2.1715566981955337</v>
      </c>
      <c r="DO93">
        <f>(BU93+BV93)/1000*(0.2*368.34+0.4*58.44)</f>
        <v>1.5037417639618469</v>
      </c>
      <c r="DP93">
        <f>BK93/1000*(B93*195.08+C93*106.42+D93*102.91)</f>
        <v>4.999938342565946E-2</v>
      </c>
      <c r="DQ93">
        <f>SUM(DM93:DO93)-DP93</f>
        <v>4.3316960191528269</v>
      </c>
      <c r="DR93">
        <f>DQ93*60*7200*0.33</f>
        <v>617526.58449042705</v>
      </c>
      <c r="DS93">
        <v>1.2</v>
      </c>
      <c r="DT93">
        <f>BM93/60*(AM93*4+AN93*2+AO93*3)*96485/DV93</f>
        <v>1403.8204430995365</v>
      </c>
      <c r="DU93">
        <f>BN93*BA93*(AP93*4+AQ93*2+AR93*3)*96485/DV93/60</f>
        <v>707.86125193843873</v>
      </c>
      <c r="DV93">
        <v>0.7</v>
      </c>
      <c r="DW93">
        <f>0.499*((BK93/3.78541*15)^(-0.146))*BK93/3.78541*15*300*(1+(A93-2)/9)</f>
        <v>52288.524762496963</v>
      </c>
      <c r="DX93">
        <f>0.248*((BK93/3.78541*15)^(-0.144))*BK93/3.78541*15*300*(1+(A93-2)/3)</f>
        <v>53983.928663982973</v>
      </c>
      <c r="DY93">
        <f>0.105*((BK93/3.78541*15)^(-0.144))*BK93/3.78541*15*300*(1+(A93-2)/3)</f>
        <v>22856.098829508919</v>
      </c>
      <c r="DZ93">
        <f>0.058*((BK93/3.78541*15)^(-0.151))*BK93/3.78541*15*300*(1+(A93-2)/3)</f>
        <v>12107.513206066582</v>
      </c>
      <c r="EA93">
        <f>0.056*((BK93/3.78541*15)^(-0.144))*BK93/3.78541*15*300*(1+(A93-2)/3)</f>
        <v>12189.919375738094</v>
      </c>
      <c r="EB93">
        <f>DS93*DT93/(3.6*10^6)*3600*7200*0.07</f>
        <v>849.03060398659966</v>
      </c>
      <c r="EC93">
        <f>0.499*((BM93/3.78541*15)^(-0.146))*BM93/3.78541*15*300*(1+(AF93-2)/9)</f>
        <v>30856.35957103952</v>
      </c>
      <c r="ED93">
        <f>0.248*((BM93/3.78541*15)^(-0.144))*BM93/3.78541*15*300*(1+(AF93-2)/3)</f>
        <v>23276.301604922155</v>
      </c>
      <c r="EE93">
        <f>0.105*((BM93/3.78541*15)^(-0.144))*BM93/3.78541*15*300*(1+(AF93-2)/3)</f>
        <v>9854.8857601484906</v>
      </c>
      <c r="EF93">
        <f>0.058*((BM93/3.78541*15)^(-0.151))*BM93/3.78541*15*300*(1+(AF93-2)/3)</f>
        <v>5223.3142652876058</v>
      </c>
      <c r="EG93">
        <f>0.056*((BM93/3.78541*15)^(-0.144))*BM93/3.78541*15*300*(1+(AF93-2)/3)</f>
        <v>5255.9390720791962</v>
      </c>
      <c r="EH93">
        <f>DS93*DU93/(3.6*10^6)*3600*7200*0.07</f>
        <v>428.11448517236784</v>
      </c>
      <c r="EI93">
        <f>SUM(DW93:EH93)</f>
        <v>229169.93020042952</v>
      </c>
      <c r="EJ93">
        <f>EI93+DR93+DL93</f>
        <v>16353596.508013571</v>
      </c>
      <c r="EK93">
        <f>EJ93+DF93</f>
        <v>17104514.438127298</v>
      </c>
      <c r="EL93">
        <f>EK93/(BK93*60*7200)</f>
        <v>0.39593783421590967</v>
      </c>
      <c r="EM93">
        <f>EK93/(BM93*(AM93*195.084/1000+AN93*106.42/1000+AO93*102.911/1000)*60*7200)</f>
        <v>1326.5425450628802</v>
      </c>
      <c r="EN93">
        <f>EK93/(BN93*BA93*(AP93*195.084/1000+AQ93*106.42/1000+AR93*102.911/1000)*60*7200)</f>
        <v>2424.4441869047059</v>
      </c>
    </row>
    <row r="94" spans="1:144">
      <c r="A94">
        <f>'Costing 100 Lmin Feed Orig'!A94</f>
        <v>12</v>
      </c>
      <c r="B94">
        <f>'Costing 100 Lmin Feed Orig'!B94</f>
        <v>1.54143585092054E-3</v>
      </c>
      <c r="C94">
        <f>'Costing 100 Lmin Feed Orig'!C94</f>
        <v>1.54143585092054E-3</v>
      </c>
      <c r="D94">
        <f>'Costing 100 Lmin Feed Orig'!D94</f>
        <v>3.4254130020456501E-4</v>
      </c>
      <c r="E94">
        <f>'Costing 100 Lmin Feed Orig'!E94</f>
        <v>0</v>
      </c>
      <c r="F94">
        <f>'Costing 100 Lmin Feed Orig'!F94</f>
        <v>0</v>
      </c>
      <c r="G94">
        <f>'Costing 100 Lmin Feed Orig'!G94</f>
        <v>0</v>
      </c>
      <c r="H94">
        <f>'Costing 100 Lmin Feed Orig'!H94</f>
        <v>1.7771599281349402E-5</v>
      </c>
      <c r="I94">
        <f>'Costing 100 Lmin Feed Orig'!I94</f>
        <v>6.3113732322488897E-11</v>
      </c>
      <c r="J94">
        <f>'Costing 100 Lmin Feed Orig'!J94</f>
        <v>3.37661562480901E-4</v>
      </c>
      <c r="K94">
        <f>'Costing 100 Lmin Feed Orig'!K94</f>
        <v>0.13911791568267901</v>
      </c>
      <c r="L94">
        <f>'Costing 100 Lmin Feed Orig'!L94</f>
        <v>0.140740543921716</v>
      </c>
      <c r="M94">
        <f>'Costing 100 Lmin Feed Orig'!M94</f>
        <v>4.45543656000266E-4</v>
      </c>
      <c r="N94">
        <f>'Costing 100 Lmin Feed Orig'!N94</f>
        <v>-4.7646348672047899E-15</v>
      </c>
      <c r="O94">
        <f>'Costing 100 Lmin Feed Orig'!O94</f>
        <v>-1.1300289697036E-11</v>
      </c>
      <c r="P94">
        <f>'Costing 100 Lmin Feed Orig'!P94</f>
        <v>-4.6756218688437302E-19</v>
      </c>
      <c r="Q94">
        <f>'Costing 100 Lmin Feed Orig'!Q94</f>
        <v>0.10952322309941399</v>
      </c>
      <c r="R94">
        <f>'Costing 100 Lmin Feed Orig'!R94</f>
        <v>98.575430839799395</v>
      </c>
      <c r="S94">
        <f>'Costing 100 Lmin Feed Orig'!S94</f>
        <v>500</v>
      </c>
      <c r="T94">
        <f>'Costing 100 Lmin Feed Orig'!T94</f>
        <v>95</v>
      </c>
      <c r="U94">
        <f>'Costing 100 Lmin Feed Orig'!U94</f>
        <v>1</v>
      </c>
      <c r="V94">
        <f>'Costing 100 Lmin Feed Orig'!V94</f>
        <v>0.1</v>
      </c>
      <c r="W94">
        <f>'Costing 100 Lmin Feed Orig'!W94</f>
        <v>91.304836700459305</v>
      </c>
      <c r="X94" t="str">
        <f>'Costing 100 Lmin Feed Orig'!X94</f>
        <v>ddFc</v>
      </c>
      <c r="Y94">
        <f>'Costing 100 Lmin Feed Orig'!Y94</f>
        <v>1</v>
      </c>
      <c r="Z94">
        <f>'Costing 100 Lmin Feed Orig'!Z94</f>
        <v>0.28318429382522198</v>
      </c>
      <c r="AA94">
        <f>'Costing 100 Lmin Feed Orig'!AA94</f>
        <v>0.56945642916197003</v>
      </c>
      <c r="AB94">
        <f>'Costing 100 Lmin Feed Orig'!AB94</f>
        <v>3.7698628972227502E-3</v>
      </c>
      <c r="AC94">
        <f>'Costing 100 Lmin Feed Orig'!AC94</f>
        <v>1822.2107908876901</v>
      </c>
      <c r="AD94">
        <f>'Costing 100 Lmin Feed Orig'!AD94</f>
        <v>2662.6059073104898</v>
      </c>
      <c r="AE94">
        <f>'Costing 100 Lmin Feed Orig'!AE94</f>
        <v>2401.5030938442701</v>
      </c>
      <c r="AF94">
        <f>'Costing 100 Lmin Feed Orig'!AF94</f>
        <v>6</v>
      </c>
      <c r="AG94">
        <f>'Costing 100 Lmin Feed Orig'!AG94</f>
        <v>1.6497575706444501E-3</v>
      </c>
      <c r="AH94">
        <f>'Costing 100 Lmin Feed Orig'!AH94</f>
        <v>1.66899983148883E-3</v>
      </c>
      <c r="AI94">
        <f>'Costing 100 Lmin Feed Orig'!AI94</f>
        <v>5.28356837386519E-6</v>
      </c>
      <c r="AJ94">
        <f>'Costing 100 Lmin Feed Orig'!AJ94</f>
        <v>0</v>
      </c>
      <c r="AK94">
        <f>'Costing 100 Lmin Feed Orig'!AK94</f>
        <v>0</v>
      </c>
      <c r="AL94">
        <f>'Costing 100 Lmin Feed Orig'!AL94</f>
        <v>0</v>
      </c>
      <c r="AM94">
        <f>'Costing 100 Lmin Feed Orig'!AM94</f>
        <v>1.6121282837362799E-3</v>
      </c>
      <c r="AN94">
        <f>'Costing 100 Lmin Feed Orig'!AN94</f>
        <v>7.9600650767137996E-5</v>
      </c>
      <c r="AO94">
        <f>'Costing 100 Lmin Feed Orig'!AO94</f>
        <v>5.2482064740735796E-6</v>
      </c>
      <c r="AP94">
        <f>'Costing 100 Lmin Feed Orig'!AP94</f>
        <v>1.7562196007610399E-3</v>
      </c>
      <c r="AQ94">
        <f>'Costing 100 Lmin Feed Orig'!AQ94</f>
        <v>7.4179827043465804E-2</v>
      </c>
      <c r="AR94">
        <f>'Costing 100 Lmin Feed Orig'!AR94</f>
        <v>1.6503969816312101E-6</v>
      </c>
      <c r="AS94">
        <f>'Costing 100 Lmin Feed Orig'!AS94</f>
        <v>-1.9447876468958701E-18</v>
      </c>
      <c r="AT94">
        <f>'Costing 100 Lmin Feed Orig'!AT94</f>
        <v>-1.4658413372004E-16</v>
      </c>
      <c r="AU94">
        <f>'Costing 100 Lmin Feed Orig'!AU94</f>
        <v>-2.85211875208283E-21</v>
      </c>
      <c r="AV94">
        <f>'Costing 100 Lmin Feed Orig'!AV94</f>
        <v>0.19788656806963401</v>
      </c>
      <c r="AW94">
        <f>'Costing 100 Lmin Feed Orig'!AW94</f>
        <v>99.330719368248694</v>
      </c>
      <c r="AX94">
        <f>'Costing 100 Lmin Feed Orig'!AX94</f>
        <v>500</v>
      </c>
      <c r="AY94">
        <f>'Costing 100 Lmin Feed Orig'!AY94</f>
        <v>95</v>
      </c>
      <c r="AZ94">
        <f>'Costing 100 Lmin Feed Orig'!AZ94</f>
        <v>0.92356857683566096</v>
      </c>
      <c r="BA94">
        <f>'Costing 100 Lmin Feed Orig'!BA94</f>
        <v>0.1</v>
      </c>
      <c r="BB94">
        <f>'Costing 100 Lmin Feed Orig'!BB94</f>
        <v>46.671615251352797</v>
      </c>
      <c r="BC94" t="str">
        <f>'Costing 100 Lmin Feed Orig'!BC94</f>
        <v>coeFc</v>
      </c>
      <c r="BD94">
        <f>'Costing 100 Lmin Feed Orig'!BD94</f>
        <v>1</v>
      </c>
      <c r="BE94">
        <f>'Costing 100 Lmin Feed Orig'!BE94</f>
        <v>1.8775014999999999E-2</v>
      </c>
      <c r="BF94">
        <f>'Costing 100 Lmin Feed Orig'!BF94</f>
        <v>0.10492961100000001</v>
      </c>
      <c r="BG94">
        <f>'Costing 100 Lmin Feed Orig'!BG94</f>
        <v>1.814625E-3</v>
      </c>
      <c r="BH94">
        <f>'Costing 100 Lmin Feed Orig'!BH94</f>
        <v>285.1951444</v>
      </c>
      <c r="BI94">
        <f>'Costing 100 Lmin Feed Orig'!BI94</f>
        <v>2169.8944889999998</v>
      </c>
      <c r="BJ94">
        <f>'Costing 100 Lmin Feed Orig'!BJ94</f>
        <v>866.49409060000005</v>
      </c>
      <c r="BK94">
        <f>'Costing 100 Lmin Feed Orig'!BK94</f>
        <v>100</v>
      </c>
      <c r="BL94">
        <f>'Costing 100 Lmin Feed Orig'!BL94</f>
        <v>10.952322309941399</v>
      </c>
      <c r="BM94">
        <f>'Costing 100 Lmin Feed Orig'!BM94</f>
        <v>92.356857683566091</v>
      </c>
      <c r="BN94">
        <f>'Costing 100 Lmin Feed Orig'!BN94</f>
        <v>19.788656806963402</v>
      </c>
      <c r="BO94">
        <f t="shared" si="20"/>
        <v>306.6650246783592</v>
      </c>
      <c r="BP94">
        <f t="shared" si="21"/>
        <v>316.61850891141444</v>
      </c>
      <c r="BQ94">
        <f t="shared" si="22"/>
        <v>30.666502467835922</v>
      </c>
      <c r="BR94">
        <f t="shared" si="23"/>
        <v>31.661850891141444</v>
      </c>
      <c r="BS94">
        <f>1.2*0.5*BL94*V94/'Oxidant Feed Composition'!$N$22</f>
        <v>6.5713933859648392</v>
      </c>
      <c r="BT94">
        <f>1.2*0.5*BN94*BA94/'Oxidant Feed Composition'!$N$22</f>
        <v>11.87319408417804</v>
      </c>
      <c r="BU94">
        <f t="shared" si="24"/>
        <v>5.4761611549706997</v>
      </c>
      <c r="BV94">
        <f t="shared" si="25"/>
        <v>9.8943284034817012</v>
      </c>
      <c r="BW94">
        <f t="shared" si="26"/>
        <v>86.880696528595394</v>
      </c>
      <c r="BX94">
        <f t="shared" si="19"/>
        <v>35.047431391812481</v>
      </c>
      <c r="BY94">
        <f t="shared" si="27"/>
        <v>206.61835998701497</v>
      </c>
      <c r="BZ94">
        <f t="shared" si="28"/>
        <v>63.323701782282882</v>
      </c>
      <c r="CA94">
        <f t="shared" si="29"/>
        <v>59.365970420890207</v>
      </c>
      <c r="CB94">
        <f>BO94*'Reagent cost'!$G$11*'Reagent cost'!$H$11</f>
        <v>4047.9783257543413</v>
      </c>
      <c r="CC94">
        <f>BP94*'Reagent cost'!$G$11*'Reagent cost'!$H$11</f>
        <v>4179.3643176306714</v>
      </c>
      <c r="CD94">
        <f>BQ94*'Reagent cost'!$C$18/1000*'Reagent cost'!$H$18</f>
        <v>4890.707695899031</v>
      </c>
      <c r="CE94">
        <f>BR94*'Ligand cost'!$B$56*'Ligand cost'!$J$56</f>
        <v>32235.808436686144</v>
      </c>
      <c r="CF94">
        <f t="shared" si="30"/>
        <v>10</v>
      </c>
      <c r="CG94">
        <f t="shared" si="31"/>
        <v>2.19046446198828</v>
      </c>
      <c r="CH94">
        <f t="shared" si="31"/>
        <v>3.9577313613926806</v>
      </c>
      <c r="CI94">
        <f>7963.6*(BX94/1000)^0.6*1.7*('CAPEX+OPEX'!$G$116/'CAPEX+OPEX'!$G$115)</f>
        <v>2138.1326451989207</v>
      </c>
      <c r="CJ94">
        <f>7963.6*(BY94/1000)^0.6*1.7*('CAPEX+OPEX'!$G$116/'CAPEX+OPEX'!$G$115)</f>
        <v>6199.2945816251477</v>
      </c>
      <c r="CK94">
        <f>7963.6*(BZ94/1000)^0.6*1.7*('CAPEX+OPEX'!$G$116/'CAPEX+OPEX'!$G$115)</f>
        <v>3049.1634468413222</v>
      </c>
      <c r="CL94">
        <f>7963.6*(CA94/1000)^0.6*1.7*('CAPEX+OPEX'!$G$116/'CAPEX+OPEX'!$G$115)</f>
        <v>2933.3472015061366</v>
      </c>
      <c r="CM94">
        <f>'Costing 100 Lmin Feed Orig'!DE94</f>
        <v>39625.826528698344</v>
      </c>
      <c r="CN94">
        <f>'Costing 100 Lmin Feed Orig'!DF94</f>
        <v>4586243.4239371875</v>
      </c>
      <c r="CO94">
        <f>'Costing 100 Lmin Feed Orig'!DG94</f>
        <v>11794834.586807497</v>
      </c>
      <c r="CP94">
        <f>'Costing 100 Lmin Feed Orig'!DH94</f>
        <v>2275209.1661185985</v>
      </c>
      <c r="CQ94">
        <f>'Costing 100 Lmin Feed Orig'!DI94</f>
        <v>14083914.336508472</v>
      </c>
      <c r="CR94">
        <f>'Costing 100 Lmin Feed Orig'!DJ94</f>
        <v>1662824.8986326549</v>
      </c>
      <c r="CS94">
        <f>CN94*(BK94/10000)^0.72*((A94+1)/3)^0.6*('CAPEX+OPEX'!$G$116/'CAPEX+OPEX'!$G$114)</f>
        <v>936765.86395108781</v>
      </c>
      <c r="CT94">
        <f>CO94*(BK94/10000)^0.72*((A94+1)/3)^0.6*('CAPEX+OPEX'!$G$116/'CAPEX+OPEX'!$G$114)</f>
        <v>2409160.916797909</v>
      </c>
      <c r="CU94">
        <f>CP94*(BK94/10000)^0.72*((A94+1)/3)^0.6*('CAPEX+OPEX'!$G$116/'CAPEX+OPEX'!$G$114)</f>
        <v>464724.19432521454</v>
      </c>
      <c r="CV94">
        <f>CQ94*(BK94/10000)^0.72*((A94+1)/3)^0.6*('CAPEX+OPEX'!$G$116/'CAPEX+OPEX'!$G$114)</f>
        <v>2876718.2553791031</v>
      </c>
      <c r="CW94">
        <f>CR94*(BK94/10000)^0.72*((A94+1)/3)^0.6*('CAPEX+OPEX'!$G$116/'CAPEX+OPEX'!$G$114)</f>
        <v>339641.28346021532</v>
      </c>
      <c r="CX94">
        <f t="shared" si="32"/>
        <v>7027010.5139135299</v>
      </c>
      <c r="CY94">
        <f>CN94*(BM94/10000)^0.72*((AF94+1)/3)^0.6*('CAPEX+OPEX'!$G$116/'CAPEX+OPEX'!$G$114)</f>
        <v>610185.18062781263</v>
      </c>
      <c r="CZ94">
        <f>CO94*(BM94/10000)^0.72*((AF94+1)/3)^0.6*('CAPEX+OPEX'!$G$116/'CAPEX+OPEX'!$G$114)</f>
        <v>1569265.4330693621</v>
      </c>
      <c r="DA94">
        <f>CP94*(BM94/10000)^0.72*((AF94+1)/3)^0.6*('CAPEX+OPEX'!$G$116/'CAPEX+OPEX'!$G$114)</f>
        <v>302709.38274844305</v>
      </c>
      <c r="DB94">
        <f>CQ94*(BM94/10000)^0.72*((AF94+1)/3)^0.6*('CAPEX+OPEX'!$G$116/'CAPEX+OPEX'!$G$114)</f>
        <v>1873820.2530888517</v>
      </c>
      <c r="DC94">
        <f>CR94*(BM94/10000)^0.72*((AF94+1)/3)^0.6*('CAPEX+OPEX'!$G$116/'CAPEX+OPEX'!$G$114)</f>
        <v>221233.59301621036</v>
      </c>
      <c r="DD94">
        <f t="shared" si="33"/>
        <v>4577213.84255068</v>
      </c>
      <c r="DE94">
        <f>CX94+DD94+1.15*(SUM(CI94:CL94)+SUM(CB94:CE94))</f>
        <v>11672849.222613024</v>
      </c>
      <c r="DF94">
        <f t="shared" si="34"/>
        <v>778189.94817420153</v>
      </c>
      <c r="DG94">
        <f>(BS94+BT94)*'Oxidant Feed Composition'!$N$29*60*7200</f>
        <v>9201477.9114361349</v>
      </c>
      <c r="DH94">
        <f>((CG94+CH94)*'Reagent cost'!$C$17/1000*'Reagent cost'!$H$17+(CG94+CH94)*0.5*'Reagent cost'!$C$16/1000*'Reagent cost'!$H$16*0.5)*60*7200</f>
        <v>3115127.0357703981</v>
      </c>
      <c r="DI94">
        <f>CF94*'Reagent cost'!$C$17/1000*'Reagent cost'!$H$17*60*7200</f>
        <v>504921.59999999998</v>
      </c>
      <c r="DJ94">
        <f t="shared" si="35"/>
        <v>82.273426433850133</v>
      </c>
      <c r="DK94">
        <f t="shared" si="36"/>
        <v>742.5303226517035</v>
      </c>
      <c r="DL94">
        <f t="shared" si="37"/>
        <v>15386821.621146742</v>
      </c>
      <c r="DM94">
        <f>BK94*(B94*(409.81+2)/1000+C94*(248.2+2*22.99)/1000+D94*(315.6+3*22.99)/1000+0.1*58.44/1000)</f>
        <v>0.70639694042110623</v>
      </c>
      <c r="DN94">
        <f>(BS94+BT94)/1000*('Oxidant Feed Composition'!$B$11*'Oxidant Feed Composition'!$O$20+'Oxidant Feed Composition'!$D$11*'Oxidant Feed Composition'!$O$21+'Oxidant Feed Composition'!$F$11*'Oxidant Feed Composition'!$O$27-'Oxidant Feed Composition'!$J$15*18.015)</f>
        <v>2.1540426631903995</v>
      </c>
      <c r="DO94">
        <f>(BU94+BV94)/1000*(0.2*368.34+0.4*58.44)</f>
        <v>1.4916137887104548</v>
      </c>
      <c r="DP94">
        <f>BK94/1000*(B94*195.08+C94*106.42+D94*102.91)</f>
        <v>4.999938342565946E-2</v>
      </c>
      <c r="DQ94">
        <f>SUM(DM94:DO94)-DP94</f>
        <v>4.3020540088963006</v>
      </c>
      <c r="DR94">
        <f>DQ94*60*7200*0.33</f>
        <v>613300.81950825662</v>
      </c>
      <c r="DS94">
        <v>1.2</v>
      </c>
      <c r="DT94">
        <f>BM94/60*(AM94*4+AN94*2+AO94*3)*96485/DV94</f>
        <v>1405.285337690628</v>
      </c>
      <c r="DU94">
        <f>BN94*BA94*(AP94*4+AQ94*2+AR94*3)*96485/DV94/60</f>
        <v>706.39635734745946</v>
      </c>
      <c r="DV94">
        <v>0.7</v>
      </c>
      <c r="DW94">
        <f>0.499*((BK94/3.78541*15)^(-0.146))*BK94/3.78541*15*300*(1+(A94-2)/9)</f>
        <v>52288.524762496963</v>
      </c>
      <c r="DX94">
        <f>0.248*((BK94/3.78541*15)^(-0.144))*BK94/3.78541*15*300*(1+(A94-2)/3)</f>
        <v>53983.928663982973</v>
      </c>
      <c r="DY94">
        <f>0.105*((BK94/3.78541*15)^(-0.144))*BK94/3.78541*15*300*(1+(A94-2)/3)</f>
        <v>22856.098829508919</v>
      </c>
      <c r="DZ94">
        <f>0.058*((BK94/3.78541*15)^(-0.151))*BK94/3.78541*15*300*(1+(A94-2)/3)</f>
        <v>12107.513206066582</v>
      </c>
      <c r="EA94">
        <f>0.056*((BK94/3.78541*15)^(-0.144))*BK94/3.78541*15*300*(1+(A94-2)/3)</f>
        <v>12189.919375738094</v>
      </c>
      <c r="EB94">
        <f>DS94*DT94/(3.6*10^6)*3600*7200*0.07</f>
        <v>849.91657223529182</v>
      </c>
      <c r="EC94">
        <f>0.499*((BM94/3.78541*15)^(-0.146))*BM94/3.78541*15*300*(1+(AF94-2)/9)</f>
        <v>33427.722868626144</v>
      </c>
      <c r="ED94">
        <f>0.248*((BM94/3.78541*15)^(-0.144))*BM94/3.78541*15*300*(1+(AF94-2)/3)</f>
        <v>27155.685205742509</v>
      </c>
      <c r="EE94">
        <f>0.105*((BM94/3.78541*15)^(-0.144))*BM94/3.78541*15*300*(1+(AF94-2)/3)</f>
        <v>11497.366720173237</v>
      </c>
      <c r="EF94">
        <f>0.058*((BM94/3.78541*15)^(-0.151))*BM94/3.78541*15*300*(1+(AF94-2)/3)</f>
        <v>6093.8666428355391</v>
      </c>
      <c r="EG94">
        <f>0.056*((BM94/3.78541*15)^(-0.144))*BM94/3.78541*15*300*(1+(AF94-2)/3)</f>
        <v>6131.9289174257283</v>
      </c>
      <c r="EH94">
        <f>DS94*DU94/(3.6*10^6)*3600*7200*0.07</f>
        <v>427.22851692374354</v>
      </c>
      <c r="EI94">
        <f>SUM(DW94:EH94)</f>
        <v>239009.70028175577</v>
      </c>
      <c r="EJ94">
        <f>EI94+DR94+DL94</f>
        <v>16239132.140936755</v>
      </c>
      <c r="EK94">
        <f>EJ94+DF94</f>
        <v>17017322.089110956</v>
      </c>
      <c r="EL94">
        <f>EK94/(BK94*60*7200)</f>
        <v>0.39391949280349436</v>
      </c>
      <c r="EM94">
        <f>EK94/(BM94*(AM94*195.084/1000+AN94*106.42/1000+AO94*102.911/1000)*60*7200)</f>
        <v>1318.4037245621178</v>
      </c>
      <c r="EN94">
        <f>EK94/(BN94*BA94*(AP94*195.084/1000+AQ94*106.42/1000+AR94*102.911/1000)*60*7200)</f>
        <v>2416.697136291707</v>
      </c>
    </row>
    <row r="95" spans="1:144">
      <c r="A95">
        <f>'Costing 100 Lmin Feed Orig'!A95</f>
        <v>12</v>
      </c>
      <c r="B95">
        <f>'Costing 100 Lmin Feed Orig'!B95</f>
        <v>1.54143585092054E-3</v>
      </c>
      <c r="C95">
        <f>'Costing 100 Lmin Feed Orig'!C95</f>
        <v>1.54143585092054E-3</v>
      </c>
      <c r="D95">
        <f>'Costing 100 Lmin Feed Orig'!D95</f>
        <v>3.4254130020456501E-4</v>
      </c>
      <c r="E95">
        <f>'Costing 100 Lmin Feed Orig'!E95</f>
        <v>0</v>
      </c>
      <c r="F95">
        <f>'Costing 100 Lmin Feed Orig'!F95</f>
        <v>0</v>
      </c>
      <c r="G95">
        <f>'Costing 100 Lmin Feed Orig'!G95</f>
        <v>0</v>
      </c>
      <c r="H95">
        <f>'Costing 100 Lmin Feed Orig'!H95</f>
        <v>1.7771599281349402E-5</v>
      </c>
      <c r="I95">
        <f>'Costing 100 Lmin Feed Orig'!I95</f>
        <v>6.3113732322488897E-11</v>
      </c>
      <c r="J95">
        <f>'Costing 100 Lmin Feed Orig'!J95</f>
        <v>3.37661562480901E-4</v>
      </c>
      <c r="K95">
        <f>'Costing 100 Lmin Feed Orig'!K95</f>
        <v>0.13911791568267901</v>
      </c>
      <c r="L95">
        <f>'Costing 100 Lmin Feed Orig'!L95</f>
        <v>0.140740543921716</v>
      </c>
      <c r="M95">
        <f>'Costing 100 Lmin Feed Orig'!M95</f>
        <v>4.45543656000266E-4</v>
      </c>
      <c r="N95">
        <f>'Costing 100 Lmin Feed Orig'!N95</f>
        <v>-4.7646348672047899E-15</v>
      </c>
      <c r="O95">
        <f>'Costing 100 Lmin Feed Orig'!O95</f>
        <v>-1.1300289697036E-11</v>
      </c>
      <c r="P95">
        <f>'Costing 100 Lmin Feed Orig'!P95</f>
        <v>-4.6756218688437302E-19</v>
      </c>
      <c r="Q95">
        <f>'Costing 100 Lmin Feed Orig'!Q95</f>
        <v>0.10952322309941399</v>
      </c>
      <c r="R95">
        <f>'Costing 100 Lmin Feed Orig'!R95</f>
        <v>98.575430839799395</v>
      </c>
      <c r="S95">
        <f>'Costing 100 Lmin Feed Orig'!S95</f>
        <v>500</v>
      </c>
      <c r="T95">
        <f>'Costing 100 Lmin Feed Orig'!T95</f>
        <v>95</v>
      </c>
      <c r="U95">
        <f>'Costing 100 Lmin Feed Orig'!U95</f>
        <v>1</v>
      </c>
      <c r="V95">
        <f>'Costing 100 Lmin Feed Orig'!V95</f>
        <v>0.1</v>
      </c>
      <c r="W95">
        <f>'Costing 100 Lmin Feed Orig'!W95</f>
        <v>91.304836700459305</v>
      </c>
      <c r="X95" t="str">
        <f>'Costing 100 Lmin Feed Orig'!X95</f>
        <v>ddFc</v>
      </c>
      <c r="Y95">
        <f>'Costing 100 Lmin Feed Orig'!Y95</f>
        <v>1</v>
      </c>
      <c r="Z95">
        <f>'Costing 100 Lmin Feed Orig'!Z95</f>
        <v>0.28318429382522198</v>
      </c>
      <c r="AA95">
        <f>'Costing 100 Lmin Feed Orig'!AA95</f>
        <v>0.56945642916197003</v>
      </c>
      <c r="AB95">
        <f>'Costing 100 Lmin Feed Orig'!AB95</f>
        <v>3.7698628972227502E-3</v>
      </c>
      <c r="AC95">
        <f>'Costing 100 Lmin Feed Orig'!AC95</f>
        <v>1822.2107908876901</v>
      </c>
      <c r="AD95">
        <f>'Costing 100 Lmin Feed Orig'!AD95</f>
        <v>2662.6059073104898</v>
      </c>
      <c r="AE95">
        <f>'Costing 100 Lmin Feed Orig'!AE95</f>
        <v>2401.5030938442701</v>
      </c>
      <c r="AF95">
        <f>'Costing 100 Lmin Feed Orig'!AF95</f>
        <v>7</v>
      </c>
      <c r="AG95">
        <f>'Costing 100 Lmin Feed Orig'!AG95</f>
        <v>1.6497575706444501E-3</v>
      </c>
      <c r="AH95">
        <f>'Costing 100 Lmin Feed Orig'!AH95</f>
        <v>1.66899983148883E-3</v>
      </c>
      <c r="AI95">
        <f>'Costing 100 Lmin Feed Orig'!AI95</f>
        <v>5.28356837386519E-6</v>
      </c>
      <c r="AJ95">
        <f>'Costing 100 Lmin Feed Orig'!AJ95</f>
        <v>0</v>
      </c>
      <c r="AK95">
        <f>'Costing 100 Lmin Feed Orig'!AK95</f>
        <v>0</v>
      </c>
      <c r="AL95">
        <f>'Costing 100 Lmin Feed Orig'!AL95</f>
        <v>0</v>
      </c>
      <c r="AM95">
        <f>'Costing 100 Lmin Feed Orig'!AM95</f>
        <v>1.61261707866804E-3</v>
      </c>
      <c r="AN95">
        <f>'Costing 100 Lmin Feed Orig'!AN95</f>
        <v>7.9625936031329294E-5</v>
      </c>
      <c r="AO95">
        <f>'Costing 100 Lmin Feed Orig'!AO95</f>
        <v>5.2486470564610397E-6</v>
      </c>
      <c r="AP95">
        <f>'Costing 100 Lmin Feed Orig'!AP95</f>
        <v>1.7397947866492501E-3</v>
      </c>
      <c r="AQ95">
        <f>'Costing 100 Lmin Feed Orig'!AQ95</f>
        <v>7.4452013697398206E-2</v>
      </c>
      <c r="AR95">
        <f>'Costing 100 Lmin Feed Orig'!AR95</f>
        <v>1.6358406345626599E-6</v>
      </c>
      <c r="AS95">
        <f>'Costing 100 Lmin Feed Orig'!AS95</f>
        <v>-4.2216122091154298E-18</v>
      </c>
      <c r="AT95">
        <f>'Costing 100 Lmin Feed Orig'!AT95</f>
        <v>-1.65666091955785E-15</v>
      </c>
      <c r="AU95">
        <f>'Costing 100 Lmin Feed Orig'!AU95</f>
        <v>-4.3344264097778598E-21</v>
      </c>
      <c r="AV95">
        <f>'Costing 100 Lmin Feed Orig'!AV95</f>
        <v>0.19715998450427299</v>
      </c>
      <c r="AW95">
        <f>'Costing 100 Lmin Feed Orig'!AW95</f>
        <v>99.339058096098597</v>
      </c>
      <c r="AX95">
        <f>'Costing 100 Lmin Feed Orig'!AX95</f>
        <v>500</v>
      </c>
      <c r="AY95">
        <f>'Costing 100 Lmin Feed Orig'!AY95</f>
        <v>95</v>
      </c>
      <c r="AZ95">
        <f>'Costing 100 Lmin Feed Orig'!AZ95</f>
        <v>0.92356857683566096</v>
      </c>
      <c r="BA95">
        <f>'Costing 100 Lmin Feed Orig'!BA95</f>
        <v>0.1</v>
      </c>
      <c r="BB95">
        <f>'Costing 100 Lmin Feed Orig'!BB95</f>
        <v>46.843611758127501</v>
      </c>
      <c r="BC95" t="str">
        <f>'Costing 100 Lmin Feed Orig'!BC95</f>
        <v>coeFc</v>
      </c>
      <c r="BD95">
        <f>'Costing 100 Lmin Feed Orig'!BD95</f>
        <v>1</v>
      </c>
      <c r="BE95">
        <f>'Costing 100 Lmin Feed Orig'!BE95</f>
        <v>1.8775014999999999E-2</v>
      </c>
      <c r="BF95">
        <f>'Costing 100 Lmin Feed Orig'!BF95</f>
        <v>0.10492961100000001</v>
      </c>
      <c r="BG95">
        <f>'Costing 100 Lmin Feed Orig'!BG95</f>
        <v>1.814625E-3</v>
      </c>
      <c r="BH95">
        <f>'Costing 100 Lmin Feed Orig'!BH95</f>
        <v>285.1951444</v>
      </c>
      <c r="BI95">
        <f>'Costing 100 Lmin Feed Orig'!BI95</f>
        <v>2169.8944889999998</v>
      </c>
      <c r="BJ95">
        <f>'Costing 100 Lmin Feed Orig'!BJ95</f>
        <v>866.49409060000005</v>
      </c>
      <c r="BK95">
        <f>'Costing 100 Lmin Feed Orig'!BK95</f>
        <v>100</v>
      </c>
      <c r="BL95">
        <f>'Costing 100 Lmin Feed Orig'!BL95</f>
        <v>10.952322309941399</v>
      </c>
      <c r="BM95">
        <f>'Costing 100 Lmin Feed Orig'!BM95</f>
        <v>92.356857683566091</v>
      </c>
      <c r="BN95">
        <f>'Costing 100 Lmin Feed Orig'!BN95</f>
        <v>19.7159984504273</v>
      </c>
      <c r="BO95">
        <f t="shared" si="20"/>
        <v>306.6650246783592</v>
      </c>
      <c r="BP95">
        <f t="shared" si="21"/>
        <v>354.88797210769138</v>
      </c>
      <c r="BQ95">
        <f t="shared" si="22"/>
        <v>30.666502467835922</v>
      </c>
      <c r="BR95">
        <f t="shared" si="23"/>
        <v>35.488797210769143</v>
      </c>
      <c r="BS95">
        <f>1.2*0.5*BL95*V95/'Oxidant Feed Composition'!$N$22</f>
        <v>6.5713933859648392</v>
      </c>
      <c r="BT95">
        <f>1.2*0.5*BN95*BA95/'Oxidant Feed Composition'!$N$22</f>
        <v>11.82959907025638</v>
      </c>
      <c r="BU95">
        <f t="shared" si="24"/>
        <v>5.4761611549706997</v>
      </c>
      <c r="BV95">
        <f t="shared" si="25"/>
        <v>9.8579992252136499</v>
      </c>
      <c r="BW95">
        <f t="shared" si="26"/>
        <v>86.880696528595394</v>
      </c>
      <c r="BX95">
        <f t="shared" si="19"/>
        <v>35.047431391812481</v>
      </c>
      <c r="BY95">
        <f t="shared" si="27"/>
        <v>206.61835998701497</v>
      </c>
      <c r="BZ95">
        <f t="shared" si="28"/>
        <v>63.091195041367357</v>
      </c>
      <c r="CA95">
        <f t="shared" si="29"/>
        <v>59.147995351281899</v>
      </c>
      <c r="CB95">
        <f>BO95*'Reagent cost'!$G$11*'Reagent cost'!$H$11</f>
        <v>4047.9783257543413</v>
      </c>
      <c r="CC95">
        <f>BP95*'Reagent cost'!$G$11*'Reagent cost'!$H$11</f>
        <v>4684.5212318215263</v>
      </c>
      <c r="CD95">
        <f>BQ95*'Reagent cost'!$C$18/1000*'Reagent cost'!$H$18</f>
        <v>4890.707695899031</v>
      </c>
      <c r="CE95">
        <f>BR95*'Ligand cost'!$B$56*'Ligand cost'!$J$56</f>
        <v>36132.128613328605</v>
      </c>
      <c r="CF95">
        <f t="shared" si="30"/>
        <v>10</v>
      </c>
      <c r="CG95">
        <f t="shared" si="31"/>
        <v>2.19046446198828</v>
      </c>
      <c r="CH95">
        <f t="shared" si="31"/>
        <v>3.9431996900854602</v>
      </c>
      <c r="CI95">
        <f>7963.6*(BX95/1000)^0.6*1.7*('CAPEX+OPEX'!$G$116/'CAPEX+OPEX'!$G$115)</f>
        <v>2138.1326451989207</v>
      </c>
      <c r="CJ95">
        <f>7963.6*(BY95/1000)^0.6*1.7*('CAPEX+OPEX'!$G$116/'CAPEX+OPEX'!$G$115)</f>
        <v>6199.2945816251477</v>
      </c>
      <c r="CK95">
        <f>7963.6*(BZ95/1000)^0.6*1.7*('CAPEX+OPEX'!$G$116/'CAPEX+OPEX'!$G$115)</f>
        <v>3042.441105507577</v>
      </c>
      <c r="CL95">
        <f>7963.6*(CA95/1000)^0.6*1.7*('CAPEX+OPEX'!$G$116/'CAPEX+OPEX'!$G$115)</f>
        <v>2926.880194576961</v>
      </c>
      <c r="CM95">
        <f>'Costing 100 Lmin Feed Orig'!DE95</f>
        <v>39625.826528698344</v>
      </c>
      <c r="CN95">
        <f>'Costing 100 Lmin Feed Orig'!DF95</f>
        <v>4586243.4239371875</v>
      </c>
      <c r="CO95">
        <f>'Costing 100 Lmin Feed Orig'!DG95</f>
        <v>11794834.586807497</v>
      </c>
      <c r="CP95">
        <f>'Costing 100 Lmin Feed Orig'!DH95</f>
        <v>2275209.1661185985</v>
      </c>
      <c r="CQ95">
        <f>'Costing 100 Lmin Feed Orig'!DI95</f>
        <v>14083914.336508472</v>
      </c>
      <c r="CR95">
        <f>'Costing 100 Lmin Feed Orig'!DJ95</f>
        <v>1662824.8986326549</v>
      </c>
      <c r="CS95">
        <f>CN95*(BK95/10000)^0.72*((A95+1)/3)^0.6*('CAPEX+OPEX'!$G$116/'CAPEX+OPEX'!$G$114)</f>
        <v>936765.86395108781</v>
      </c>
      <c r="CT95">
        <f>CO95*(BK95/10000)^0.72*((A95+1)/3)^0.6*('CAPEX+OPEX'!$G$116/'CAPEX+OPEX'!$G$114)</f>
        <v>2409160.916797909</v>
      </c>
      <c r="CU95">
        <f>CP95*(BK95/10000)^0.72*((A95+1)/3)^0.6*('CAPEX+OPEX'!$G$116/'CAPEX+OPEX'!$G$114)</f>
        <v>464724.19432521454</v>
      </c>
      <c r="CV95">
        <f>CQ95*(BK95/10000)^0.72*((A95+1)/3)^0.6*('CAPEX+OPEX'!$G$116/'CAPEX+OPEX'!$G$114)</f>
        <v>2876718.2553791031</v>
      </c>
      <c r="CW95">
        <f>CR95*(BK95/10000)^0.72*((A95+1)/3)^0.6*('CAPEX+OPEX'!$G$116/'CAPEX+OPEX'!$G$114)</f>
        <v>339641.28346021532</v>
      </c>
      <c r="CX95">
        <f t="shared" si="32"/>
        <v>7027010.5139135299</v>
      </c>
      <c r="CY95">
        <f>CN95*(BM95/10000)^0.72*((AF95+1)/3)^0.6*('CAPEX+OPEX'!$G$116/'CAPEX+OPEX'!$G$114)</f>
        <v>661084.27072256745</v>
      </c>
      <c r="CZ95">
        <f>CO95*(BM95/10000)^0.72*((AF95+1)/3)^0.6*('CAPEX+OPEX'!$G$116/'CAPEX+OPEX'!$G$114)</f>
        <v>1700166.9777089746</v>
      </c>
      <c r="DA95">
        <f>CP95*(BM95/10000)^0.72*((AF95+1)/3)^0.6*('CAPEX+OPEX'!$G$116/'CAPEX+OPEX'!$G$114)</f>
        <v>327960.13061024435</v>
      </c>
      <c r="DB95">
        <f>CQ95*(BM95/10000)^0.72*((AF95+1)/3)^0.6*('CAPEX+OPEX'!$G$116/'CAPEX+OPEX'!$G$114)</f>
        <v>2030126.4842320178</v>
      </c>
      <c r="DC95">
        <f>CR95*(BM95/10000)^0.72*((AF95+1)/3)^0.6*('CAPEX+OPEX'!$G$116/'CAPEX+OPEX'!$G$114)</f>
        <v>239687.97201527501</v>
      </c>
      <c r="DD95">
        <f t="shared" si="33"/>
        <v>4959025.8352890788</v>
      </c>
      <c r="DE95">
        <f>CX95+DD95+1.15*(SUM(CI95:CL95)+SUM(CB95:CE95))</f>
        <v>12059707.746255377</v>
      </c>
      <c r="DF95">
        <f t="shared" si="34"/>
        <v>803980.51641702512</v>
      </c>
      <c r="DG95">
        <f>(BS95+BT95)*'Oxidant Feed Composition'!$N$29*60*7200</f>
        <v>9179729.604064215</v>
      </c>
      <c r="DH95">
        <f>((CG95+CH95)*'Reagent cost'!$C$17/1000*'Reagent cost'!$H$17+(CG95+CH95)*0.5*'Reagent cost'!$C$16/1000*'Reagent cost'!$H$16*0.5)*60*7200</f>
        <v>3107764.2250427529</v>
      </c>
      <c r="DI95">
        <f>CF95*'Reagent cost'!$C$17/1000*'Reagent cost'!$H$17*60*7200</f>
        <v>504921.59999999998</v>
      </c>
      <c r="DJ95">
        <f t="shared" si="35"/>
        <v>87.324995575758678</v>
      </c>
      <c r="DK95">
        <f t="shared" si="36"/>
        <v>820.45672618455274</v>
      </c>
      <c r="DL95">
        <f t="shared" si="37"/>
        <v>15351987.852994472</v>
      </c>
      <c r="DM95">
        <f>BK95*(B95*(409.81+2)/1000+C95*(248.2+2*22.99)/1000+D95*(315.6+3*22.99)/1000+0.1*58.44/1000)</f>
        <v>0.70639694042110623</v>
      </c>
      <c r="DN95">
        <f>(BS95+BT95)/1000*('Oxidant Feed Composition'!$B$11*'Oxidant Feed Composition'!$O$20+'Oxidant Feed Composition'!$D$11*'Oxidant Feed Composition'!$O$21+'Oxidant Feed Composition'!$F$11*'Oxidant Feed Composition'!$O$27-'Oxidant Feed Composition'!$J$15*18.015)</f>
        <v>2.1489514395432647</v>
      </c>
      <c r="DO95">
        <f>(BU95+BV95)/1000*(0.2*368.34+0.4*58.44)</f>
        <v>1.4880882599346101</v>
      </c>
      <c r="DP95">
        <f>BK95/1000*(B95*195.08+C95*106.42+D95*102.91)</f>
        <v>4.999938342565946E-2</v>
      </c>
      <c r="DQ95">
        <f>SUM(DM95:DO95)-DP95</f>
        <v>4.2934372564733208</v>
      </c>
      <c r="DR95">
        <f>DQ95*60*7200*0.33</f>
        <v>612072.41528283653</v>
      </c>
      <c r="DS95">
        <v>1.2</v>
      </c>
      <c r="DT95">
        <f>BM95/60*(AM95*4+AN95*2+AO95*3)*96485/DV95</f>
        <v>1405.7111739241</v>
      </c>
      <c r="DU95">
        <f>BN95*BA95*(AP95*4+AQ95*2+AR95*3)*96485/DV95/60</f>
        <v>705.9705211146869</v>
      </c>
      <c r="DV95">
        <v>0.7</v>
      </c>
      <c r="DW95">
        <f>0.499*((BK95/3.78541*15)^(-0.146))*BK95/3.78541*15*300*(1+(A95-2)/9)</f>
        <v>52288.524762496963</v>
      </c>
      <c r="DX95">
        <f>0.248*((BK95/3.78541*15)^(-0.144))*BK95/3.78541*15*300*(1+(A95-2)/3)</f>
        <v>53983.928663982973</v>
      </c>
      <c r="DY95">
        <f>0.105*((BK95/3.78541*15)^(-0.144))*BK95/3.78541*15*300*(1+(A95-2)/3)</f>
        <v>22856.098829508919</v>
      </c>
      <c r="DZ95">
        <f>0.058*((BK95/3.78541*15)^(-0.151))*BK95/3.78541*15*300*(1+(A95-2)/3)</f>
        <v>12107.513206066582</v>
      </c>
      <c r="EA95">
        <f>0.056*((BK95/3.78541*15)^(-0.144))*BK95/3.78541*15*300*(1+(A95-2)/3)</f>
        <v>12189.919375738094</v>
      </c>
      <c r="EB95">
        <f>DS95*DT95/(3.6*10^6)*3600*7200*0.07</f>
        <v>850.17411798929584</v>
      </c>
      <c r="EC95">
        <f>0.499*((BM95/3.78541*15)^(-0.146))*BM95/3.78541*15*300*(1+(AF95-2)/9)</f>
        <v>35999.086166212779</v>
      </c>
      <c r="ED95">
        <f>0.248*((BM95/3.78541*15)^(-0.144))*BM95/3.78541*15*300*(1+(AF95-2)/3)</f>
        <v>31035.068806562878</v>
      </c>
      <c r="EE95">
        <f>0.105*((BM95/3.78541*15)^(-0.144))*BM95/3.78541*15*300*(1+(AF95-2)/3)</f>
        <v>13139.847680197989</v>
      </c>
      <c r="EF95">
        <f>0.058*((BM95/3.78541*15)^(-0.151))*BM95/3.78541*15*300*(1+(AF95-2)/3)</f>
        <v>6964.4190203834751</v>
      </c>
      <c r="EG95">
        <f>0.056*((BM95/3.78541*15)^(-0.144))*BM95/3.78541*15*300*(1+(AF95-2)/3)</f>
        <v>7007.9187627722622</v>
      </c>
      <c r="EH95">
        <f>DS95*DU95/(3.6*10^6)*3600*7200*0.07</f>
        <v>426.97097117016267</v>
      </c>
      <c r="EI95">
        <f>SUM(DW95:EH95)</f>
        <v>248849.47036308239</v>
      </c>
      <c r="EJ95">
        <f>EI95+DR95+DL95</f>
        <v>16212909.73864039</v>
      </c>
      <c r="EK95">
        <f>EJ95+DF95</f>
        <v>17016890.255057417</v>
      </c>
      <c r="EL95">
        <f>EK95/(BK95*60*7200)</f>
        <v>0.39390949664484759</v>
      </c>
      <c r="EM95">
        <f>EK95/(BM95*(AM95*195.084/1000+AN95*106.42/1000+AO95*102.911/1000)*60*7200)</f>
        <v>1317.9706454277439</v>
      </c>
      <c r="EN95">
        <f>EK95/(BN95*BA95*(AP95*195.084/1000+AQ95*106.42/1000+AR95*102.911/1000)*60*7200)</f>
        <v>2417.9797233986314</v>
      </c>
    </row>
    <row r="96" spans="1:144">
      <c r="A96">
        <f>'Costing 100 Lmin Feed Orig'!A96</f>
        <v>12</v>
      </c>
      <c r="B96">
        <f>'Costing 100 Lmin Feed Orig'!B96</f>
        <v>1.54143585092054E-3</v>
      </c>
      <c r="C96">
        <f>'Costing 100 Lmin Feed Orig'!C96</f>
        <v>1.54143585092054E-3</v>
      </c>
      <c r="D96">
        <f>'Costing 100 Lmin Feed Orig'!D96</f>
        <v>3.4254130020456501E-4</v>
      </c>
      <c r="E96">
        <f>'Costing 100 Lmin Feed Orig'!E96</f>
        <v>0</v>
      </c>
      <c r="F96">
        <f>'Costing 100 Lmin Feed Orig'!F96</f>
        <v>0</v>
      </c>
      <c r="G96">
        <f>'Costing 100 Lmin Feed Orig'!G96</f>
        <v>0</v>
      </c>
      <c r="H96">
        <f>'Costing 100 Lmin Feed Orig'!H96</f>
        <v>1.7771599281349402E-5</v>
      </c>
      <c r="I96">
        <f>'Costing 100 Lmin Feed Orig'!I96</f>
        <v>6.3113732322488897E-11</v>
      </c>
      <c r="J96">
        <f>'Costing 100 Lmin Feed Orig'!J96</f>
        <v>3.37661562480901E-4</v>
      </c>
      <c r="K96">
        <f>'Costing 100 Lmin Feed Orig'!K96</f>
        <v>0.13911791568267901</v>
      </c>
      <c r="L96">
        <f>'Costing 100 Lmin Feed Orig'!L96</f>
        <v>0.140740543921716</v>
      </c>
      <c r="M96">
        <f>'Costing 100 Lmin Feed Orig'!M96</f>
        <v>4.45543656000266E-4</v>
      </c>
      <c r="N96">
        <f>'Costing 100 Lmin Feed Orig'!N96</f>
        <v>-4.7646348672047899E-15</v>
      </c>
      <c r="O96">
        <f>'Costing 100 Lmin Feed Orig'!O96</f>
        <v>-1.1300289697036E-11</v>
      </c>
      <c r="P96">
        <f>'Costing 100 Lmin Feed Orig'!P96</f>
        <v>-4.6756218688437302E-19</v>
      </c>
      <c r="Q96">
        <f>'Costing 100 Lmin Feed Orig'!Q96</f>
        <v>0.10952322309941399</v>
      </c>
      <c r="R96">
        <f>'Costing 100 Lmin Feed Orig'!R96</f>
        <v>98.575430839799395</v>
      </c>
      <c r="S96">
        <f>'Costing 100 Lmin Feed Orig'!S96</f>
        <v>500</v>
      </c>
      <c r="T96">
        <f>'Costing 100 Lmin Feed Orig'!T96</f>
        <v>95</v>
      </c>
      <c r="U96">
        <f>'Costing 100 Lmin Feed Orig'!U96</f>
        <v>1</v>
      </c>
      <c r="V96">
        <f>'Costing 100 Lmin Feed Orig'!V96</f>
        <v>0.1</v>
      </c>
      <c r="W96">
        <f>'Costing 100 Lmin Feed Orig'!W96</f>
        <v>91.304836700459305</v>
      </c>
      <c r="X96" t="str">
        <f>'Costing 100 Lmin Feed Orig'!X96</f>
        <v>ddFc</v>
      </c>
      <c r="Y96">
        <f>'Costing 100 Lmin Feed Orig'!Y96</f>
        <v>1</v>
      </c>
      <c r="Z96">
        <f>'Costing 100 Lmin Feed Orig'!Z96</f>
        <v>0.28318429382522198</v>
      </c>
      <c r="AA96">
        <f>'Costing 100 Lmin Feed Orig'!AA96</f>
        <v>0.56945642916197003</v>
      </c>
      <c r="AB96">
        <f>'Costing 100 Lmin Feed Orig'!AB96</f>
        <v>3.7698628972227502E-3</v>
      </c>
      <c r="AC96">
        <f>'Costing 100 Lmin Feed Orig'!AC96</f>
        <v>1822.2107908876901</v>
      </c>
      <c r="AD96">
        <f>'Costing 100 Lmin Feed Orig'!AD96</f>
        <v>2662.6059073104898</v>
      </c>
      <c r="AE96">
        <f>'Costing 100 Lmin Feed Orig'!AE96</f>
        <v>2401.5030938442701</v>
      </c>
      <c r="AF96">
        <f>'Costing 100 Lmin Feed Orig'!AF96</f>
        <v>8</v>
      </c>
      <c r="AG96">
        <f>'Costing 100 Lmin Feed Orig'!AG96</f>
        <v>1.6497575706444501E-3</v>
      </c>
      <c r="AH96">
        <f>'Costing 100 Lmin Feed Orig'!AH96</f>
        <v>1.66899983148883E-3</v>
      </c>
      <c r="AI96">
        <f>'Costing 100 Lmin Feed Orig'!AI96</f>
        <v>5.28356837386519E-6</v>
      </c>
      <c r="AJ96">
        <f>'Costing 100 Lmin Feed Orig'!AJ96</f>
        <v>0</v>
      </c>
      <c r="AK96">
        <f>'Costing 100 Lmin Feed Orig'!AK96</f>
        <v>0</v>
      </c>
      <c r="AL96">
        <f>'Costing 100 Lmin Feed Orig'!AL96</f>
        <v>0</v>
      </c>
      <c r="AM96">
        <f>'Costing 100 Lmin Feed Orig'!AM96</f>
        <v>1.6127563603415801E-3</v>
      </c>
      <c r="AN96">
        <f>'Costing 100 Lmin Feed Orig'!AN96</f>
        <v>7.96331411021806E-5</v>
      </c>
      <c r="AO96">
        <f>'Costing 100 Lmin Feed Orig'!AO96</f>
        <v>5.2487726000077404E-6</v>
      </c>
      <c r="AP96">
        <f>'Costing 100 Lmin Feed Orig'!AP96</f>
        <v>1.73509236363433E-3</v>
      </c>
      <c r="AQ96">
        <f>'Costing 100 Lmin Feed Orig'!AQ96</f>
        <v>7.4529940711020898E-2</v>
      </c>
      <c r="AR96">
        <f>'Costing 100 Lmin Feed Orig'!AR96</f>
        <v>1.63167315397143E-6</v>
      </c>
      <c r="AS96">
        <f>'Costing 100 Lmin Feed Orig'!AS96</f>
        <v>5.0297494034318102E-15</v>
      </c>
      <c r="AT96">
        <f>'Costing 100 Lmin Feed Orig'!AT96</f>
        <v>-1.17018894574272E-12</v>
      </c>
      <c r="AU96">
        <f>'Costing 100 Lmin Feed Orig'!AU96</f>
        <v>2.31875269310864E-20</v>
      </c>
      <c r="AV96">
        <f>'Costing 100 Lmin Feed Orig'!AV96</f>
        <v>0.19695294528304</v>
      </c>
      <c r="AW96">
        <f>'Costing 100 Lmin Feed Orig'!AW96</f>
        <v>99.341434208941706</v>
      </c>
      <c r="AX96">
        <f>'Costing 100 Lmin Feed Orig'!AX96</f>
        <v>500</v>
      </c>
      <c r="AY96">
        <f>'Costing 100 Lmin Feed Orig'!AY96</f>
        <v>95</v>
      </c>
      <c r="AZ96">
        <f>'Costing 100 Lmin Feed Orig'!AZ96</f>
        <v>0.92356857683566096</v>
      </c>
      <c r="BA96">
        <f>'Costing 100 Lmin Feed Orig'!BA96</f>
        <v>0.1</v>
      </c>
      <c r="BB96">
        <f>'Costing 100 Lmin Feed Orig'!BB96</f>
        <v>46.892854306311698</v>
      </c>
      <c r="BC96" t="str">
        <f>'Costing 100 Lmin Feed Orig'!BC96</f>
        <v>coeFc</v>
      </c>
      <c r="BD96">
        <f>'Costing 100 Lmin Feed Orig'!BD96</f>
        <v>1</v>
      </c>
      <c r="BE96">
        <f>'Costing 100 Lmin Feed Orig'!BE96</f>
        <v>1.8775014999999999E-2</v>
      </c>
      <c r="BF96">
        <f>'Costing 100 Lmin Feed Orig'!BF96</f>
        <v>0.10492961100000001</v>
      </c>
      <c r="BG96">
        <f>'Costing 100 Lmin Feed Orig'!BG96</f>
        <v>1.814625E-3</v>
      </c>
      <c r="BH96">
        <f>'Costing 100 Lmin Feed Orig'!BH96</f>
        <v>285.1951444</v>
      </c>
      <c r="BI96">
        <f>'Costing 100 Lmin Feed Orig'!BI96</f>
        <v>2169.8944889999998</v>
      </c>
      <c r="BJ96">
        <f>'Costing 100 Lmin Feed Orig'!BJ96</f>
        <v>866.49409060000005</v>
      </c>
      <c r="BK96">
        <f>'Costing 100 Lmin Feed Orig'!BK96</f>
        <v>100</v>
      </c>
      <c r="BL96">
        <f>'Costing 100 Lmin Feed Orig'!BL96</f>
        <v>10.952322309941399</v>
      </c>
      <c r="BM96">
        <f>'Costing 100 Lmin Feed Orig'!BM96</f>
        <v>92.356857683566091</v>
      </c>
      <c r="BN96">
        <f>'Costing 100 Lmin Feed Orig'!BN96</f>
        <v>19.695294528304</v>
      </c>
      <c r="BO96">
        <f t="shared" si="20"/>
        <v>306.6650246783592</v>
      </c>
      <c r="BP96">
        <f t="shared" si="21"/>
        <v>393.90589056608002</v>
      </c>
      <c r="BQ96">
        <f t="shared" si="22"/>
        <v>30.666502467835922</v>
      </c>
      <c r="BR96">
        <f t="shared" si="23"/>
        <v>39.390589056608007</v>
      </c>
      <c r="BS96">
        <f>1.2*0.5*BL96*V96/'Oxidant Feed Composition'!$N$22</f>
        <v>6.5713933859648392</v>
      </c>
      <c r="BT96">
        <f>1.2*0.5*BN96*BA96/'Oxidant Feed Composition'!$N$22</f>
        <v>11.8171767169824</v>
      </c>
      <c r="BU96">
        <f t="shared" si="24"/>
        <v>5.4761611549706997</v>
      </c>
      <c r="BV96">
        <f t="shared" si="25"/>
        <v>9.8476472641520001</v>
      </c>
      <c r="BW96">
        <f t="shared" si="26"/>
        <v>86.880696528595394</v>
      </c>
      <c r="BX96">
        <f t="shared" si="19"/>
        <v>35.047431391812481</v>
      </c>
      <c r="BY96">
        <f t="shared" si="27"/>
        <v>206.61835998701497</v>
      </c>
      <c r="BZ96">
        <f t="shared" si="28"/>
        <v>63.024942490572798</v>
      </c>
      <c r="CA96">
        <f t="shared" si="29"/>
        <v>59.085883584911997</v>
      </c>
      <c r="CB96">
        <f>BO96*'Reagent cost'!$G$11*'Reagent cost'!$H$11</f>
        <v>4047.9783257543413</v>
      </c>
      <c r="CC96">
        <f>BP96*'Reagent cost'!$G$11*'Reagent cost'!$H$11</f>
        <v>5199.5577554722568</v>
      </c>
      <c r="CD96">
        <f>BQ96*'Reagent cost'!$C$18/1000*'Reagent cost'!$H$18</f>
        <v>4890.707695899031</v>
      </c>
      <c r="CE96">
        <f>BR96*'Ligand cost'!$B$56*'Ligand cost'!$J$56</f>
        <v>40104.651095817979</v>
      </c>
      <c r="CF96">
        <f t="shared" si="30"/>
        <v>10</v>
      </c>
      <c r="CG96">
        <f t="shared" si="31"/>
        <v>2.19046446198828</v>
      </c>
      <c r="CH96">
        <f t="shared" si="31"/>
        <v>3.9390589056608003</v>
      </c>
      <c r="CI96">
        <f>7963.6*(BX96/1000)^0.6*1.7*('CAPEX+OPEX'!$G$116/'CAPEX+OPEX'!$G$115)</f>
        <v>2138.1326451989207</v>
      </c>
      <c r="CJ96">
        <f>7963.6*(BY96/1000)^0.6*1.7*('CAPEX+OPEX'!$G$116/'CAPEX+OPEX'!$G$115)</f>
        <v>6199.2945816251477</v>
      </c>
      <c r="CK96">
        <f>7963.6*(BZ96/1000)^0.6*1.7*('CAPEX+OPEX'!$G$116/'CAPEX+OPEX'!$G$115)</f>
        <v>3040.5237681823655</v>
      </c>
      <c r="CL96">
        <f>7963.6*(CA96/1000)^0.6*1.7*('CAPEX+OPEX'!$G$116/'CAPEX+OPEX'!$G$115)</f>
        <v>2925.0356833937126</v>
      </c>
      <c r="CM96">
        <f>'Costing 100 Lmin Feed Orig'!DE96</f>
        <v>39625.826528698344</v>
      </c>
      <c r="CN96">
        <f>'Costing 100 Lmin Feed Orig'!DF96</f>
        <v>4586243.4239371875</v>
      </c>
      <c r="CO96">
        <f>'Costing 100 Lmin Feed Orig'!DG96</f>
        <v>11794834.586807497</v>
      </c>
      <c r="CP96">
        <f>'Costing 100 Lmin Feed Orig'!DH96</f>
        <v>2275209.1661185985</v>
      </c>
      <c r="CQ96">
        <f>'Costing 100 Lmin Feed Orig'!DI96</f>
        <v>14083914.336508472</v>
      </c>
      <c r="CR96">
        <f>'Costing 100 Lmin Feed Orig'!DJ96</f>
        <v>1662824.8986326549</v>
      </c>
      <c r="CS96">
        <f>CN96*(BK96/10000)^0.72*((A96+1)/3)^0.6*('CAPEX+OPEX'!$G$116/'CAPEX+OPEX'!$G$114)</f>
        <v>936765.86395108781</v>
      </c>
      <c r="CT96">
        <f>CO96*(BK96/10000)^0.72*((A96+1)/3)^0.6*('CAPEX+OPEX'!$G$116/'CAPEX+OPEX'!$G$114)</f>
        <v>2409160.916797909</v>
      </c>
      <c r="CU96">
        <f>CP96*(BK96/10000)^0.72*((A96+1)/3)^0.6*('CAPEX+OPEX'!$G$116/'CAPEX+OPEX'!$G$114)</f>
        <v>464724.19432521454</v>
      </c>
      <c r="CV96">
        <f>CQ96*(BK96/10000)^0.72*((A96+1)/3)^0.6*('CAPEX+OPEX'!$G$116/'CAPEX+OPEX'!$G$114)</f>
        <v>2876718.2553791031</v>
      </c>
      <c r="CW96">
        <f>CR96*(BK96/10000)^0.72*((A96+1)/3)^0.6*('CAPEX+OPEX'!$G$116/'CAPEX+OPEX'!$G$114)</f>
        <v>339641.28346021532</v>
      </c>
      <c r="CX96">
        <f t="shared" si="32"/>
        <v>7027010.5139135299</v>
      </c>
      <c r="CY96">
        <f>CN96*(BM96/10000)^0.72*((AF96+1)/3)^0.6*('CAPEX+OPEX'!$G$116/'CAPEX+OPEX'!$G$114)</f>
        <v>709493.36355675769</v>
      </c>
      <c r="CZ96">
        <f>CO96*(BM96/10000)^0.72*((AF96+1)/3)^0.6*('CAPEX+OPEX'!$G$116/'CAPEX+OPEX'!$G$114)</f>
        <v>1824664.7833632834</v>
      </c>
      <c r="DA96">
        <f>CP96*(BM96/10000)^0.72*((AF96+1)/3)^0.6*('CAPEX+OPEX'!$G$116/'CAPEX+OPEX'!$G$114)</f>
        <v>351975.60505387571</v>
      </c>
      <c r="DB96">
        <f>CQ96*(BM96/10000)^0.72*((AF96+1)/3)^0.6*('CAPEX+OPEX'!$G$116/'CAPEX+OPEX'!$G$114)</f>
        <v>2178786.1722517004</v>
      </c>
      <c r="DC96">
        <f>CR96*(BM96/10000)^0.72*((AF96+1)/3)^0.6*('CAPEX+OPEX'!$G$116/'CAPEX+OPEX'!$G$114)</f>
        <v>257239.55780001023</v>
      </c>
      <c r="DD96">
        <f t="shared" si="33"/>
        <v>5322159.482025627</v>
      </c>
      <c r="DE96">
        <f>CX96+DD96+1.15*(SUM(CI96:CL96)+SUM(CB96:CE96))</f>
        <v>12427997.759723203</v>
      </c>
      <c r="DF96">
        <f t="shared" si="34"/>
        <v>828533.1839815469</v>
      </c>
      <c r="DG96">
        <f>(BS96+BT96)*'Oxidant Feed Composition'!$N$29*60*7200</f>
        <v>9173532.4467982389</v>
      </c>
      <c r="DH96">
        <f>((CG96+CH96)*'Reagent cost'!$C$17/1000*'Reagent cost'!$H$17+(CG96+CH96)*0.5*'Reagent cost'!$C$16/1000*'Reagent cost'!$H$16*0.5)*60*7200</f>
        <v>3105666.1998852747</v>
      </c>
      <c r="DI96">
        <f>CF96*'Reagent cost'!$C$17/1000*'Reagent cost'!$H$17*60*7200</f>
        <v>504921.59999999998</v>
      </c>
      <c r="DJ96">
        <f t="shared" si="35"/>
        <v>92.475360812265976</v>
      </c>
      <c r="DK96">
        <f t="shared" si="36"/>
        <v>899.90717583434014</v>
      </c>
      <c r="DL96">
        <f t="shared" si="37"/>
        <v>15342135.155064194</v>
      </c>
      <c r="DM96">
        <f>BK96*(B96*(409.81+2)/1000+C96*(248.2+2*22.99)/1000+D96*(315.6+3*22.99)/1000+0.1*58.44/1000)</f>
        <v>0.70639694042110623</v>
      </c>
      <c r="DN96">
        <f>(BS96+BT96)/1000*('Oxidant Feed Composition'!$B$11*'Oxidant Feed Composition'!$O$20+'Oxidant Feed Composition'!$D$11*'Oxidant Feed Composition'!$O$21+'Oxidant Feed Composition'!$F$11*'Oxidant Feed Composition'!$O$27-'Oxidant Feed Composition'!$J$15*18.015)</f>
        <v>2.1475007007304456</v>
      </c>
      <c r="DO96">
        <f>(BU96+BV96)/1000*(0.2*368.34+0.4*58.44)</f>
        <v>1.4870836642253431</v>
      </c>
      <c r="DP96">
        <f>BK96/1000*(B96*195.08+C96*106.42+D96*102.91)</f>
        <v>4.999938342565946E-2</v>
      </c>
      <c r="DQ96">
        <f>SUM(DM96:DO96)-DP96</f>
        <v>4.2909819219512348</v>
      </c>
      <c r="DR96">
        <f>DQ96*60*7200*0.33</f>
        <v>611722.38279336819</v>
      </c>
      <c r="DS96">
        <v>1.2</v>
      </c>
      <c r="DT96">
        <f>BM96/60*(AM96*4+AN96*2+AO96*3)*96485/DV96</f>
        <v>1405.8325155980081</v>
      </c>
      <c r="DU96">
        <f>BN96*BA96*(AP96*4+AQ96*2+AR96*3)*96485/DV96/60</f>
        <v>705.84917997303262</v>
      </c>
      <c r="DV96">
        <v>0.7</v>
      </c>
      <c r="DW96">
        <f>0.499*((BK96/3.78541*15)^(-0.146))*BK96/3.78541*15*300*(1+(A96-2)/9)</f>
        <v>52288.524762496963</v>
      </c>
      <c r="DX96">
        <f>0.248*((BK96/3.78541*15)^(-0.144))*BK96/3.78541*15*300*(1+(A96-2)/3)</f>
        <v>53983.928663982973</v>
      </c>
      <c r="DY96">
        <f>0.105*((BK96/3.78541*15)^(-0.144))*BK96/3.78541*15*300*(1+(A96-2)/3)</f>
        <v>22856.098829508919</v>
      </c>
      <c r="DZ96">
        <f>0.058*((BK96/3.78541*15)^(-0.151))*BK96/3.78541*15*300*(1+(A96-2)/3)</f>
        <v>12107.513206066582</v>
      </c>
      <c r="EA96">
        <f>0.056*((BK96/3.78541*15)^(-0.144))*BK96/3.78541*15*300*(1+(A96-2)/3)</f>
        <v>12189.919375738094</v>
      </c>
      <c r="EB96">
        <f>DS96*DT96/(3.6*10^6)*3600*7200*0.07</f>
        <v>850.24750543367531</v>
      </c>
      <c r="EC96">
        <f>0.499*((BM96/3.78541*15)^(-0.146))*BM96/3.78541*15*300*(1+(AF96-2)/9)</f>
        <v>38570.449463799399</v>
      </c>
      <c r="ED96">
        <f>0.248*((BM96/3.78541*15)^(-0.144))*BM96/3.78541*15*300*(1+(AF96-2)/3)</f>
        <v>34914.452407383229</v>
      </c>
      <c r="EE96">
        <f>0.105*((BM96/3.78541*15)^(-0.144))*BM96/3.78541*15*300*(1+(AF96-2)/3)</f>
        <v>14782.328640222735</v>
      </c>
      <c r="EF96">
        <f>0.058*((BM96/3.78541*15)^(-0.151))*BM96/3.78541*15*300*(1+(AF96-2)/3)</f>
        <v>7834.9713979314092</v>
      </c>
      <c r="EG96">
        <f>0.056*((BM96/3.78541*15)^(-0.144))*BM96/3.78541*15*300*(1+(AF96-2)/3)</f>
        <v>7883.9086081187943</v>
      </c>
      <c r="EH96">
        <f>DS96*DU96/(3.6*10^6)*3600*7200*0.07</f>
        <v>426.89758404769015</v>
      </c>
      <c r="EI96">
        <f>SUM(DW96:EH96)</f>
        <v>258689.24044473047</v>
      </c>
      <c r="EJ96">
        <f>EI96+DR96+DL96</f>
        <v>16212546.778302291</v>
      </c>
      <c r="EK96">
        <f>EJ96+DF96</f>
        <v>17041079.962283839</v>
      </c>
      <c r="EL96">
        <f>EK96/(BK96*60*7200)</f>
        <v>0.39446944357138514</v>
      </c>
      <c r="EM96">
        <f>EK96/(BM96*(AM96*195.084/1000+AN96*106.42/1000+AO96*102.911/1000)*60*7200)</f>
        <v>1319.7301662813677</v>
      </c>
      <c r="EN96">
        <f>EK96/(BN96*BA96*(AP96*195.084/1000+AQ96*106.42/1000+AR96*102.911/1000)*60*7200)</f>
        <v>2421.800673316025</v>
      </c>
    </row>
    <row r="97" spans="1:144">
      <c r="A97">
        <f>'Costing 100 Lmin Feed Orig'!A97</f>
        <v>12</v>
      </c>
      <c r="B97">
        <f>'Costing 100 Lmin Feed Orig'!B97</f>
        <v>1.54143585092054E-3</v>
      </c>
      <c r="C97">
        <f>'Costing 100 Lmin Feed Orig'!C97</f>
        <v>1.54143585092054E-3</v>
      </c>
      <c r="D97">
        <f>'Costing 100 Lmin Feed Orig'!D97</f>
        <v>3.4254130020456501E-4</v>
      </c>
      <c r="E97">
        <f>'Costing 100 Lmin Feed Orig'!E97</f>
        <v>0</v>
      </c>
      <c r="F97">
        <f>'Costing 100 Lmin Feed Orig'!F97</f>
        <v>0</v>
      </c>
      <c r="G97">
        <f>'Costing 100 Lmin Feed Orig'!G97</f>
        <v>0</v>
      </c>
      <c r="H97">
        <f>'Costing 100 Lmin Feed Orig'!H97</f>
        <v>1.7771599281349402E-5</v>
      </c>
      <c r="I97">
        <f>'Costing 100 Lmin Feed Orig'!I97</f>
        <v>6.3113732322488897E-11</v>
      </c>
      <c r="J97">
        <f>'Costing 100 Lmin Feed Orig'!J97</f>
        <v>3.37661562480901E-4</v>
      </c>
      <c r="K97">
        <f>'Costing 100 Lmin Feed Orig'!K97</f>
        <v>0.13911791568267901</v>
      </c>
      <c r="L97">
        <f>'Costing 100 Lmin Feed Orig'!L97</f>
        <v>0.140740543921716</v>
      </c>
      <c r="M97">
        <f>'Costing 100 Lmin Feed Orig'!M97</f>
        <v>4.45543656000266E-4</v>
      </c>
      <c r="N97">
        <f>'Costing 100 Lmin Feed Orig'!N97</f>
        <v>-4.7646348672047899E-15</v>
      </c>
      <c r="O97">
        <f>'Costing 100 Lmin Feed Orig'!O97</f>
        <v>-1.1300289697036E-11</v>
      </c>
      <c r="P97">
        <f>'Costing 100 Lmin Feed Orig'!P97</f>
        <v>-4.6756218688437302E-19</v>
      </c>
      <c r="Q97">
        <f>'Costing 100 Lmin Feed Orig'!Q97</f>
        <v>0.10952322309941399</v>
      </c>
      <c r="R97">
        <f>'Costing 100 Lmin Feed Orig'!R97</f>
        <v>98.575430839799395</v>
      </c>
      <c r="S97">
        <f>'Costing 100 Lmin Feed Orig'!S97</f>
        <v>500</v>
      </c>
      <c r="T97">
        <f>'Costing 100 Lmin Feed Orig'!T97</f>
        <v>95</v>
      </c>
      <c r="U97">
        <f>'Costing 100 Lmin Feed Orig'!U97</f>
        <v>1</v>
      </c>
      <c r="V97">
        <f>'Costing 100 Lmin Feed Orig'!V97</f>
        <v>0.1</v>
      </c>
      <c r="W97">
        <f>'Costing 100 Lmin Feed Orig'!W97</f>
        <v>91.304836700459305</v>
      </c>
      <c r="X97" t="str">
        <f>'Costing 100 Lmin Feed Orig'!X97</f>
        <v>ddFc</v>
      </c>
      <c r="Y97">
        <f>'Costing 100 Lmin Feed Orig'!Y97</f>
        <v>1</v>
      </c>
      <c r="Z97">
        <f>'Costing 100 Lmin Feed Orig'!Z97</f>
        <v>0.28318429382522198</v>
      </c>
      <c r="AA97">
        <f>'Costing 100 Lmin Feed Orig'!AA97</f>
        <v>0.56945642916197003</v>
      </c>
      <c r="AB97">
        <f>'Costing 100 Lmin Feed Orig'!AB97</f>
        <v>3.7698628972227502E-3</v>
      </c>
      <c r="AC97">
        <f>'Costing 100 Lmin Feed Orig'!AC97</f>
        <v>1822.2107908876901</v>
      </c>
      <c r="AD97">
        <f>'Costing 100 Lmin Feed Orig'!AD97</f>
        <v>2662.6059073104898</v>
      </c>
      <c r="AE97">
        <f>'Costing 100 Lmin Feed Orig'!AE97</f>
        <v>2401.5030938442701</v>
      </c>
      <c r="AF97">
        <f>'Costing 100 Lmin Feed Orig'!AF97</f>
        <v>9</v>
      </c>
      <c r="AG97">
        <f>'Costing 100 Lmin Feed Orig'!AG97</f>
        <v>1.6497575706444501E-3</v>
      </c>
      <c r="AH97">
        <f>'Costing 100 Lmin Feed Orig'!AH97</f>
        <v>1.66899983148883E-3</v>
      </c>
      <c r="AI97">
        <f>'Costing 100 Lmin Feed Orig'!AI97</f>
        <v>5.28356837386519E-6</v>
      </c>
      <c r="AJ97">
        <f>'Costing 100 Lmin Feed Orig'!AJ97</f>
        <v>0</v>
      </c>
      <c r="AK97">
        <f>'Costing 100 Lmin Feed Orig'!AK97</f>
        <v>0</v>
      </c>
      <c r="AL97">
        <f>'Costing 100 Lmin Feed Orig'!AL97</f>
        <v>0</v>
      </c>
      <c r="AM97">
        <f>'Costing 100 Lmin Feed Orig'!AM97</f>
        <v>1.6127956996690499E-3</v>
      </c>
      <c r="AN97">
        <f>'Costing 100 Lmin Feed Orig'!AN97</f>
        <v>7.9635176101710897E-5</v>
      </c>
      <c r="AO97">
        <f>'Costing 100 Lmin Feed Orig'!AO97</f>
        <v>5.24880805907295E-6</v>
      </c>
      <c r="AP97">
        <f>'Costing 100 Lmin Feed Orig'!AP97</f>
        <v>1.7337624010389399E-3</v>
      </c>
      <c r="AQ97">
        <f>'Costing 100 Lmin Feed Orig'!AQ97</f>
        <v>7.4551980415071106E-2</v>
      </c>
      <c r="AR97">
        <f>'Costing 100 Lmin Feed Orig'!AR97</f>
        <v>1.6304944864730899E-6</v>
      </c>
      <c r="AS97">
        <f>'Costing 100 Lmin Feed Orig'!AS97</f>
        <v>3.6971294081755701E-17</v>
      </c>
      <c r="AT97">
        <f>'Costing 100 Lmin Feed Orig'!AT97</f>
        <v>-4.8275185932089499E-15</v>
      </c>
      <c r="AU97">
        <f>'Costing 100 Lmin Feed Orig'!AU97</f>
        <v>-1.13158307797254E-21</v>
      </c>
      <c r="AV97">
        <f>'Costing 100 Lmin Feed Orig'!AV97</f>
        <v>0.19689446808536701</v>
      </c>
      <c r="AW97">
        <f>'Costing 100 Lmin Feed Orig'!AW97</f>
        <v>99.342105328584793</v>
      </c>
      <c r="AX97">
        <f>'Costing 100 Lmin Feed Orig'!AX97</f>
        <v>500</v>
      </c>
      <c r="AY97">
        <f>'Costing 100 Lmin Feed Orig'!AY97</f>
        <v>95</v>
      </c>
      <c r="AZ97">
        <f>'Costing 100 Lmin Feed Orig'!AZ97</f>
        <v>0.92356857683566096</v>
      </c>
      <c r="BA97">
        <f>'Costing 100 Lmin Feed Orig'!BA97</f>
        <v>0.1</v>
      </c>
      <c r="BB97">
        <f>'Costing 100 Lmin Feed Orig'!BB97</f>
        <v>46.906781374641298</v>
      </c>
      <c r="BC97" t="str">
        <f>'Costing 100 Lmin Feed Orig'!BC97</f>
        <v>coeFc</v>
      </c>
      <c r="BD97">
        <f>'Costing 100 Lmin Feed Orig'!BD97</f>
        <v>1</v>
      </c>
      <c r="BE97">
        <f>'Costing 100 Lmin Feed Orig'!BE97</f>
        <v>1.8775014999999999E-2</v>
      </c>
      <c r="BF97">
        <f>'Costing 100 Lmin Feed Orig'!BF97</f>
        <v>0.10492961100000001</v>
      </c>
      <c r="BG97">
        <f>'Costing 100 Lmin Feed Orig'!BG97</f>
        <v>1.814625E-3</v>
      </c>
      <c r="BH97">
        <f>'Costing 100 Lmin Feed Orig'!BH97</f>
        <v>285.1951444</v>
      </c>
      <c r="BI97">
        <f>'Costing 100 Lmin Feed Orig'!BI97</f>
        <v>2169.8944889999998</v>
      </c>
      <c r="BJ97">
        <f>'Costing 100 Lmin Feed Orig'!BJ97</f>
        <v>866.49409060000005</v>
      </c>
      <c r="BK97">
        <f>'Costing 100 Lmin Feed Orig'!BK97</f>
        <v>100</v>
      </c>
      <c r="BL97">
        <f>'Costing 100 Lmin Feed Orig'!BL97</f>
        <v>10.952322309941399</v>
      </c>
      <c r="BM97">
        <f>'Costing 100 Lmin Feed Orig'!BM97</f>
        <v>92.356857683566091</v>
      </c>
      <c r="BN97">
        <f>'Costing 100 Lmin Feed Orig'!BN97</f>
        <v>19.689446808536701</v>
      </c>
      <c r="BO97">
        <f t="shared" si="20"/>
        <v>306.6650246783592</v>
      </c>
      <c r="BP97">
        <f t="shared" si="21"/>
        <v>433.16782978780742</v>
      </c>
      <c r="BQ97">
        <f t="shared" si="22"/>
        <v>30.666502467835922</v>
      </c>
      <c r="BR97">
        <f t="shared" si="23"/>
        <v>43.316782978780743</v>
      </c>
      <c r="BS97">
        <f>1.2*0.5*BL97*V97/'Oxidant Feed Composition'!$N$22</f>
        <v>6.5713933859648392</v>
      </c>
      <c r="BT97">
        <f>1.2*0.5*BN97*BA97/'Oxidant Feed Composition'!$N$22</f>
        <v>11.813668085122019</v>
      </c>
      <c r="BU97">
        <f t="shared" si="24"/>
        <v>5.4761611549706997</v>
      </c>
      <c r="BV97">
        <f t="shared" si="25"/>
        <v>9.8447234042683505</v>
      </c>
      <c r="BW97">
        <f t="shared" si="26"/>
        <v>86.880696528595394</v>
      </c>
      <c r="BX97">
        <f t="shared" si="19"/>
        <v>35.047431391812481</v>
      </c>
      <c r="BY97">
        <f t="shared" si="27"/>
        <v>206.61835998701497</v>
      </c>
      <c r="BZ97">
        <f t="shared" si="28"/>
        <v>63.006229787317437</v>
      </c>
      <c r="CA97">
        <f t="shared" si="29"/>
        <v>59.068340425610103</v>
      </c>
      <c r="CB97">
        <f>BO97*'Reagent cost'!$G$11*'Reagent cost'!$H$11</f>
        <v>4047.9783257543413</v>
      </c>
      <c r="CC97">
        <f>BP97*'Reagent cost'!$G$11*'Reagent cost'!$H$11</f>
        <v>5717.8153531990583</v>
      </c>
      <c r="CD97">
        <f>BQ97*'Reagent cost'!$C$18/1000*'Reagent cost'!$H$18</f>
        <v>4890.707695899031</v>
      </c>
      <c r="CE97">
        <f>BR97*'Ligand cost'!$B$56*'Ligand cost'!$J$56</f>
        <v>44102.018008939682</v>
      </c>
      <c r="CF97">
        <f t="shared" si="30"/>
        <v>10</v>
      </c>
      <c r="CG97">
        <f t="shared" si="31"/>
        <v>2.19046446198828</v>
      </c>
      <c r="CH97">
        <f t="shared" si="31"/>
        <v>3.9378893617073403</v>
      </c>
      <c r="CI97">
        <f>7963.6*(BX97/1000)^0.6*1.7*('CAPEX+OPEX'!$G$116/'CAPEX+OPEX'!$G$115)</f>
        <v>2138.1326451989207</v>
      </c>
      <c r="CJ97">
        <f>7963.6*(BY97/1000)^0.6*1.7*('CAPEX+OPEX'!$G$116/'CAPEX+OPEX'!$G$115)</f>
        <v>6199.2945816251477</v>
      </c>
      <c r="CK97">
        <f>7963.6*(BZ97/1000)^0.6*1.7*('CAPEX+OPEX'!$G$116/'CAPEX+OPEX'!$G$115)</f>
        <v>3039.9820798045407</v>
      </c>
      <c r="CL97">
        <f>7963.6*(CA97/1000)^0.6*1.7*('CAPEX+OPEX'!$G$116/'CAPEX+OPEX'!$G$115)</f>
        <v>2924.5145699424716</v>
      </c>
      <c r="CM97">
        <f>'Costing 100 Lmin Feed Orig'!DE97</f>
        <v>39625.826528698344</v>
      </c>
      <c r="CN97">
        <f>'Costing 100 Lmin Feed Orig'!DF97</f>
        <v>4586243.4239371875</v>
      </c>
      <c r="CO97">
        <f>'Costing 100 Lmin Feed Orig'!DG97</f>
        <v>11794834.586807497</v>
      </c>
      <c r="CP97">
        <f>'Costing 100 Lmin Feed Orig'!DH97</f>
        <v>2275209.1661185985</v>
      </c>
      <c r="CQ97">
        <f>'Costing 100 Lmin Feed Orig'!DI97</f>
        <v>14083914.336508472</v>
      </c>
      <c r="CR97">
        <f>'Costing 100 Lmin Feed Orig'!DJ97</f>
        <v>1662824.8986326549</v>
      </c>
      <c r="CS97">
        <f>CN97*(BK97/10000)^0.72*((A97+1)/3)^0.6*('CAPEX+OPEX'!$G$116/'CAPEX+OPEX'!$G$114)</f>
        <v>936765.86395108781</v>
      </c>
      <c r="CT97">
        <f>CO97*(BK97/10000)^0.72*((A97+1)/3)^0.6*('CAPEX+OPEX'!$G$116/'CAPEX+OPEX'!$G$114)</f>
        <v>2409160.916797909</v>
      </c>
      <c r="CU97">
        <f>CP97*(BK97/10000)^0.72*((A97+1)/3)^0.6*('CAPEX+OPEX'!$G$116/'CAPEX+OPEX'!$G$114)</f>
        <v>464724.19432521454</v>
      </c>
      <c r="CV97">
        <f>CQ97*(BK97/10000)^0.72*((A97+1)/3)^0.6*('CAPEX+OPEX'!$G$116/'CAPEX+OPEX'!$G$114)</f>
        <v>2876718.2553791031</v>
      </c>
      <c r="CW97">
        <f>CR97*(BK97/10000)^0.72*((A97+1)/3)^0.6*('CAPEX+OPEX'!$G$116/'CAPEX+OPEX'!$G$114)</f>
        <v>339641.28346021532</v>
      </c>
      <c r="CX97">
        <f t="shared" si="32"/>
        <v>7027010.5139135299</v>
      </c>
      <c r="CY97">
        <f>CN97*(BM97/10000)^0.72*((AF97+1)/3)^0.6*('CAPEX+OPEX'!$G$116/'CAPEX+OPEX'!$G$114)</f>
        <v>755792.94187780574</v>
      </c>
      <c r="CZ97">
        <f>CO97*(BM97/10000)^0.72*((AF97+1)/3)^0.6*('CAPEX+OPEX'!$G$116/'CAPEX+OPEX'!$G$114)</f>
        <v>1943737.3700658206</v>
      </c>
      <c r="DA97">
        <f>CP97*(BM97/10000)^0.72*((AF97+1)/3)^0.6*('CAPEX+OPEX'!$G$116/'CAPEX+OPEX'!$G$114)</f>
        <v>374944.56139702629</v>
      </c>
      <c r="DB97">
        <f>CQ97*(BM97/10000)^0.72*((AF97+1)/3)^0.6*('CAPEX+OPEX'!$G$116/'CAPEX+OPEX'!$G$114)</f>
        <v>2320967.7432269086</v>
      </c>
      <c r="DC97">
        <f>CR97*(BM97/10000)^0.72*((AF97+1)/3)^0.6*('CAPEX+OPEX'!$G$116/'CAPEX+OPEX'!$G$114)</f>
        <v>274026.30122200225</v>
      </c>
      <c r="DD97">
        <f t="shared" si="33"/>
        <v>5669468.9177895635</v>
      </c>
      <c r="DE97">
        <f>CX97+DD97+1.15*(SUM(CI97:CL97)+SUM(CB97:CE97))</f>
        <v>12780498.941452513</v>
      </c>
      <c r="DF97">
        <f t="shared" si="34"/>
        <v>852033.2627635008</v>
      </c>
      <c r="DG97">
        <f>(BS97+BT97)*'Oxidant Feed Composition'!$N$29*60*7200</f>
        <v>9171782.0905696191</v>
      </c>
      <c r="DH97">
        <f>((CG97+CH97)*'Reagent cost'!$C$17/1000*'Reagent cost'!$H$17+(CG97+CH97)*0.5*'Reagent cost'!$C$16/1000*'Reagent cost'!$H$16*0.5)*60*7200</f>
        <v>3105073.6231207079</v>
      </c>
      <c r="DI97">
        <f>CF97*'Reagent cost'!$C$17/1000*'Reagent cost'!$H$17*60*7200</f>
        <v>504921.59999999998</v>
      </c>
      <c r="DJ97">
        <f t="shared" si="35"/>
        <v>97.657936789534006</v>
      </c>
      <c r="DK97">
        <f t="shared" si="36"/>
        <v>979.85451409677421</v>
      </c>
      <c r="DL97">
        <f t="shared" si="37"/>
        <v>15339425.791369453</v>
      </c>
      <c r="DM97">
        <f>BK97*(B97*(409.81+2)/1000+C97*(248.2+2*22.99)/1000+D97*(315.6+3*22.99)/1000+0.1*58.44/1000)</f>
        <v>0.70639694042110623</v>
      </c>
      <c r="DN97">
        <f>(BS97+BT97)/1000*('Oxidant Feed Composition'!$B$11*'Oxidant Feed Composition'!$O$20+'Oxidant Feed Composition'!$D$11*'Oxidant Feed Composition'!$O$21+'Oxidant Feed Composition'!$F$11*'Oxidant Feed Composition'!$O$27-'Oxidant Feed Composition'!$J$15*18.015)</f>
        <v>2.1470909467726016</v>
      </c>
      <c r="DO97">
        <f>(BU97+BV97)/1000*(0.2*368.34+0.4*58.44)</f>
        <v>1.4867999211667944</v>
      </c>
      <c r="DP97">
        <f>BK97/1000*(B97*195.08+C97*106.42+D97*102.91)</f>
        <v>4.999938342565946E-2</v>
      </c>
      <c r="DQ97">
        <f>SUM(DM97:DO97)-DP97</f>
        <v>4.2902884249348423</v>
      </c>
      <c r="DR97">
        <f>DQ97*60*7200*0.33</f>
        <v>611623.51785871107</v>
      </c>
      <c r="DS97">
        <v>1.2</v>
      </c>
      <c r="DT97">
        <f>BM97/60*(AM97*4+AN97*2+AO97*3)*96485/DV97</f>
        <v>1405.8667878594886</v>
      </c>
      <c r="DU97">
        <f>BN97*BA97*(AP97*4+AQ97*2+AR97*3)*96485/DV97/60</f>
        <v>705.81490718071291</v>
      </c>
      <c r="DV97">
        <v>0.7</v>
      </c>
      <c r="DW97">
        <f>0.499*((BK97/3.78541*15)^(-0.146))*BK97/3.78541*15*300*(1+(A97-2)/9)</f>
        <v>52288.524762496963</v>
      </c>
      <c r="DX97">
        <f>0.248*((BK97/3.78541*15)^(-0.144))*BK97/3.78541*15*300*(1+(A97-2)/3)</f>
        <v>53983.928663982973</v>
      </c>
      <c r="DY97">
        <f>0.105*((BK97/3.78541*15)^(-0.144))*BK97/3.78541*15*300*(1+(A97-2)/3)</f>
        <v>22856.098829508919</v>
      </c>
      <c r="DZ97">
        <f>0.058*((BK97/3.78541*15)^(-0.151))*BK97/3.78541*15*300*(1+(A97-2)/3)</f>
        <v>12107.513206066582</v>
      </c>
      <c r="EA97">
        <f>0.056*((BK97/3.78541*15)^(-0.144))*BK97/3.78541*15*300*(1+(A97-2)/3)</f>
        <v>12189.919375738094</v>
      </c>
      <c r="EB97">
        <f>DS97*DT97/(3.6*10^6)*3600*7200*0.07</f>
        <v>850.26823329741865</v>
      </c>
      <c r="EC97">
        <f>0.499*((BM97/3.78541*15)^(-0.146))*BM97/3.78541*15*300*(1+(AF97-2)/9)</f>
        <v>41141.812761386027</v>
      </c>
      <c r="ED97">
        <f>0.248*((BM97/3.78541*15)^(-0.144))*BM97/3.78541*15*300*(1+(AF97-2)/3)</f>
        <v>38793.836008203594</v>
      </c>
      <c r="EE97">
        <f>0.105*((BM97/3.78541*15)^(-0.144))*BM97/3.78541*15*300*(1+(AF97-2)/3)</f>
        <v>16424.809600247485</v>
      </c>
      <c r="EF97">
        <f>0.058*((BM97/3.78541*15)^(-0.151))*BM97/3.78541*15*300*(1+(AF97-2)/3)</f>
        <v>8705.5237754793434</v>
      </c>
      <c r="EG97">
        <f>0.056*((BM97/3.78541*15)^(-0.144))*BM97/3.78541*15*300*(1+(AF97-2)/3)</f>
        <v>8759.8984534653282</v>
      </c>
      <c r="EH97">
        <f>DS97*DU97/(3.6*10^6)*3600*7200*0.07</f>
        <v>426.87685586289518</v>
      </c>
      <c r="EI97">
        <f>SUM(DW97:EH97)</f>
        <v>268529.01052573568</v>
      </c>
      <c r="EJ97">
        <f>EI97+DR97+DL97</f>
        <v>16219578.3197539</v>
      </c>
      <c r="EK97">
        <f>EJ97+DF97</f>
        <v>17071611.5825174</v>
      </c>
      <c r="EL97">
        <f>EK97/(BK97*60*7200)</f>
        <v>0.39517619403975462</v>
      </c>
      <c r="EM97">
        <f>EK97/(BM97*(AM97*195.084/1000+AN97*106.42/1000+AO97*102.911/1000)*60*7200)</f>
        <v>1322.0624085998518</v>
      </c>
      <c r="EN97">
        <f>EK97/(BN97*BA97*(AP97*195.084/1000+AQ97*106.42/1000+AR97*102.911/1000)*60*7200)</f>
        <v>2426.2482985970951</v>
      </c>
    </row>
    <row r="98" spans="1:144">
      <c r="A98">
        <f>'Costing 100 Lmin Feed Orig'!A98</f>
        <v>12</v>
      </c>
      <c r="B98">
        <f>'Costing 100 Lmin Feed Orig'!B98</f>
        <v>1.54143585092054E-3</v>
      </c>
      <c r="C98">
        <f>'Costing 100 Lmin Feed Orig'!C98</f>
        <v>1.54143585092054E-3</v>
      </c>
      <c r="D98">
        <f>'Costing 100 Lmin Feed Orig'!D98</f>
        <v>3.4254130020456501E-4</v>
      </c>
      <c r="E98">
        <f>'Costing 100 Lmin Feed Orig'!E98</f>
        <v>0</v>
      </c>
      <c r="F98">
        <f>'Costing 100 Lmin Feed Orig'!F98</f>
        <v>0</v>
      </c>
      <c r="G98">
        <f>'Costing 100 Lmin Feed Orig'!G98</f>
        <v>0</v>
      </c>
      <c r="H98">
        <f>'Costing 100 Lmin Feed Orig'!H98</f>
        <v>1.7771599281349402E-5</v>
      </c>
      <c r="I98">
        <f>'Costing 100 Lmin Feed Orig'!I98</f>
        <v>6.3113732322488897E-11</v>
      </c>
      <c r="J98">
        <f>'Costing 100 Lmin Feed Orig'!J98</f>
        <v>3.37661562480901E-4</v>
      </c>
      <c r="K98">
        <f>'Costing 100 Lmin Feed Orig'!K98</f>
        <v>0.13911791568267901</v>
      </c>
      <c r="L98">
        <f>'Costing 100 Lmin Feed Orig'!L98</f>
        <v>0.140740543921716</v>
      </c>
      <c r="M98">
        <f>'Costing 100 Lmin Feed Orig'!M98</f>
        <v>4.45543656000266E-4</v>
      </c>
      <c r="N98">
        <f>'Costing 100 Lmin Feed Orig'!N98</f>
        <v>-4.7646348672047899E-15</v>
      </c>
      <c r="O98">
        <f>'Costing 100 Lmin Feed Orig'!O98</f>
        <v>-1.1300289697036E-11</v>
      </c>
      <c r="P98">
        <f>'Costing 100 Lmin Feed Orig'!P98</f>
        <v>-4.6756218688437302E-19</v>
      </c>
      <c r="Q98">
        <f>'Costing 100 Lmin Feed Orig'!Q98</f>
        <v>0.10952322309941399</v>
      </c>
      <c r="R98">
        <f>'Costing 100 Lmin Feed Orig'!R98</f>
        <v>98.575430839799395</v>
      </c>
      <c r="S98">
        <f>'Costing 100 Lmin Feed Orig'!S98</f>
        <v>500</v>
      </c>
      <c r="T98">
        <f>'Costing 100 Lmin Feed Orig'!T98</f>
        <v>95</v>
      </c>
      <c r="U98">
        <f>'Costing 100 Lmin Feed Orig'!U98</f>
        <v>1</v>
      </c>
      <c r="V98">
        <f>'Costing 100 Lmin Feed Orig'!V98</f>
        <v>0.1</v>
      </c>
      <c r="W98">
        <f>'Costing 100 Lmin Feed Orig'!W98</f>
        <v>91.304836700459305</v>
      </c>
      <c r="X98" t="str">
        <f>'Costing 100 Lmin Feed Orig'!X98</f>
        <v>ddFc</v>
      </c>
      <c r="Y98">
        <f>'Costing 100 Lmin Feed Orig'!Y98</f>
        <v>1</v>
      </c>
      <c r="Z98">
        <f>'Costing 100 Lmin Feed Orig'!Z98</f>
        <v>0.28318429382522198</v>
      </c>
      <c r="AA98">
        <f>'Costing 100 Lmin Feed Orig'!AA98</f>
        <v>0.56945642916197003</v>
      </c>
      <c r="AB98">
        <f>'Costing 100 Lmin Feed Orig'!AB98</f>
        <v>3.7698628972227502E-3</v>
      </c>
      <c r="AC98">
        <f>'Costing 100 Lmin Feed Orig'!AC98</f>
        <v>1822.2107908876901</v>
      </c>
      <c r="AD98">
        <f>'Costing 100 Lmin Feed Orig'!AD98</f>
        <v>2662.6059073104898</v>
      </c>
      <c r="AE98">
        <f>'Costing 100 Lmin Feed Orig'!AE98</f>
        <v>2401.5030938442701</v>
      </c>
      <c r="AF98">
        <f>'Costing 100 Lmin Feed Orig'!AF98</f>
        <v>10</v>
      </c>
      <c r="AG98">
        <f>'Costing 100 Lmin Feed Orig'!AG98</f>
        <v>1.6497575706444501E-3</v>
      </c>
      <c r="AH98">
        <f>'Costing 100 Lmin Feed Orig'!AH98</f>
        <v>1.66899983148883E-3</v>
      </c>
      <c r="AI98">
        <f>'Costing 100 Lmin Feed Orig'!AI98</f>
        <v>5.28356837386519E-6</v>
      </c>
      <c r="AJ98">
        <f>'Costing 100 Lmin Feed Orig'!AJ98</f>
        <v>0</v>
      </c>
      <c r="AK98">
        <f>'Costing 100 Lmin Feed Orig'!AK98</f>
        <v>0</v>
      </c>
      <c r="AL98">
        <f>'Costing 100 Lmin Feed Orig'!AL98</f>
        <v>0</v>
      </c>
      <c r="AM98">
        <f>'Costing 100 Lmin Feed Orig'!AM98</f>
        <v>1.61280677346842E-3</v>
      </c>
      <c r="AN98">
        <f>'Costing 100 Lmin Feed Orig'!AN98</f>
        <v>7.9635748983234095E-5</v>
      </c>
      <c r="AO98">
        <f>'Costing 100 Lmin Feed Orig'!AO98</f>
        <v>5.2488180406069303E-6</v>
      </c>
      <c r="AP98">
        <f>'Costing 100 Lmin Feed Orig'!AP98</f>
        <v>1.73338788049E-3</v>
      </c>
      <c r="AQ98">
        <f>'Costing 100 Lmin Feed Orig'!AQ98</f>
        <v>7.4558186846967897E-2</v>
      </c>
      <c r="AR98">
        <f>'Costing 100 Lmin Feed Orig'!AR98</f>
        <v>1.6301625709626699E-6</v>
      </c>
      <c r="AS98">
        <f>'Costing 100 Lmin Feed Orig'!AS98</f>
        <v>6.15638453844297E-15</v>
      </c>
      <c r="AT98">
        <f>'Costing 100 Lmin Feed Orig'!AT98</f>
        <v>-6.3767177302387295E-13</v>
      </c>
      <c r="AU98">
        <f>'Costing 100 Lmin Feed Orig'!AU98</f>
        <v>5.9788614675332804E-20</v>
      </c>
      <c r="AV98">
        <f>'Costing 100 Lmin Feed Orig'!AV98</f>
        <v>0.19687800716022599</v>
      </c>
      <c r="AW98">
        <f>'Costing 100 Lmin Feed Orig'!AW98</f>
        <v>99.342294245113806</v>
      </c>
      <c r="AX98">
        <f>'Costing 100 Lmin Feed Orig'!AX98</f>
        <v>500</v>
      </c>
      <c r="AY98">
        <f>'Costing 100 Lmin Feed Orig'!AY98</f>
        <v>95</v>
      </c>
      <c r="AZ98">
        <f>'Costing 100 Lmin Feed Orig'!AZ98</f>
        <v>0.92356857683566096</v>
      </c>
      <c r="BA98">
        <f>'Costing 100 Lmin Feed Orig'!BA98</f>
        <v>0.1</v>
      </c>
      <c r="BB98">
        <f>'Costing 100 Lmin Feed Orig'!BB98</f>
        <v>46.910703239901501</v>
      </c>
      <c r="BC98" t="str">
        <f>'Costing 100 Lmin Feed Orig'!BC98</f>
        <v>coeFc</v>
      </c>
      <c r="BD98">
        <f>'Costing 100 Lmin Feed Orig'!BD98</f>
        <v>1</v>
      </c>
      <c r="BE98">
        <f>'Costing 100 Lmin Feed Orig'!BE98</f>
        <v>1.8775014999999999E-2</v>
      </c>
      <c r="BF98">
        <f>'Costing 100 Lmin Feed Orig'!BF98</f>
        <v>0.10492961100000001</v>
      </c>
      <c r="BG98">
        <f>'Costing 100 Lmin Feed Orig'!BG98</f>
        <v>1.814625E-3</v>
      </c>
      <c r="BH98">
        <f>'Costing 100 Lmin Feed Orig'!BH98</f>
        <v>285.1951444</v>
      </c>
      <c r="BI98">
        <f>'Costing 100 Lmin Feed Orig'!BI98</f>
        <v>2169.8944889999998</v>
      </c>
      <c r="BJ98">
        <f>'Costing 100 Lmin Feed Orig'!BJ98</f>
        <v>866.49409060000005</v>
      </c>
      <c r="BK98">
        <f>'Costing 100 Lmin Feed Orig'!BK98</f>
        <v>100</v>
      </c>
      <c r="BL98">
        <f>'Costing 100 Lmin Feed Orig'!BL98</f>
        <v>10.952322309941399</v>
      </c>
      <c r="BM98">
        <f>'Costing 100 Lmin Feed Orig'!BM98</f>
        <v>92.356857683566091</v>
      </c>
      <c r="BN98">
        <f>'Costing 100 Lmin Feed Orig'!BN98</f>
        <v>19.687800716022601</v>
      </c>
      <c r="BO98">
        <f t="shared" si="20"/>
        <v>306.6650246783592</v>
      </c>
      <c r="BP98">
        <f t="shared" si="21"/>
        <v>472.50721718454241</v>
      </c>
      <c r="BQ98">
        <f t="shared" si="22"/>
        <v>30.666502467835922</v>
      </c>
      <c r="BR98">
        <f t="shared" si="23"/>
        <v>47.250721718454244</v>
      </c>
      <c r="BS98">
        <f>1.2*0.5*BL98*V98/'Oxidant Feed Composition'!$N$22</f>
        <v>6.5713933859648392</v>
      </c>
      <c r="BT98">
        <f>1.2*0.5*BN98*BA98/'Oxidant Feed Composition'!$N$22</f>
        <v>11.812680429613559</v>
      </c>
      <c r="BU98">
        <f t="shared" si="24"/>
        <v>5.4761611549706997</v>
      </c>
      <c r="BV98">
        <f t="shared" si="25"/>
        <v>9.8439003580113003</v>
      </c>
      <c r="BW98">
        <f t="shared" si="26"/>
        <v>86.880696528595394</v>
      </c>
      <c r="BX98">
        <f t="shared" si="19"/>
        <v>35.047431391812481</v>
      </c>
      <c r="BY98">
        <f t="shared" si="27"/>
        <v>206.61835998701497</v>
      </c>
      <c r="BZ98">
        <f t="shared" si="28"/>
        <v>63.000962291272316</v>
      </c>
      <c r="CA98">
        <f t="shared" si="29"/>
        <v>59.063402148067802</v>
      </c>
      <c r="CB98">
        <f>BO98*'Reagent cost'!$G$11*'Reagent cost'!$H$11</f>
        <v>4047.9783257543413</v>
      </c>
      <c r="CC98">
        <f>BP98*'Reagent cost'!$G$11*'Reagent cost'!$H$11</f>
        <v>6237.0952668359596</v>
      </c>
      <c r="CD98">
        <f>BQ98*'Reagent cost'!$C$18/1000*'Reagent cost'!$H$18</f>
        <v>4890.707695899031</v>
      </c>
      <c r="CE98">
        <f>BR98*'Ligand cost'!$B$56*'Ligand cost'!$J$56</f>
        <v>48107.270135537699</v>
      </c>
      <c r="CF98">
        <f t="shared" si="30"/>
        <v>10</v>
      </c>
      <c r="CG98">
        <f t="shared" si="31"/>
        <v>2.19046446198828</v>
      </c>
      <c r="CH98">
        <f t="shared" si="31"/>
        <v>3.9375601432045202</v>
      </c>
      <c r="CI98">
        <f>7963.6*(BX98/1000)^0.6*1.7*('CAPEX+OPEX'!$G$116/'CAPEX+OPEX'!$G$115)</f>
        <v>2138.1326451989207</v>
      </c>
      <c r="CJ98">
        <f>7963.6*(BY98/1000)^0.6*1.7*('CAPEX+OPEX'!$G$116/'CAPEX+OPEX'!$G$115)</f>
        <v>6199.2945816251477</v>
      </c>
      <c r="CK98">
        <f>7963.6*(BZ98/1000)^0.6*1.7*('CAPEX+OPEX'!$G$116/'CAPEX+OPEX'!$G$115)</f>
        <v>3039.8295866806543</v>
      </c>
      <c r="CL98">
        <f>7963.6*(CA98/1000)^0.6*1.7*('CAPEX+OPEX'!$G$116/'CAPEX+OPEX'!$G$115)</f>
        <v>2924.3678689584149</v>
      </c>
      <c r="CM98">
        <f>'Costing 100 Lmin Feed Orig'!DE98</f>
        <v>39625.826528698344</v>
      </c>
      <c r="CN98">
        <f>'Costing 100 Lmin Feed Orig'!DF98</f>
        <v>4586243.4239371875</v>
      </c>
      <c r="CO98">
        <f>'Costing 100 Lmin Feed Orig'!DG98</f>
        <v>11794834.586807497</v>
      </c>
      <c r="CP98">
        <f>'Costing 100 Lmin Feed Orig'!DH98</f>
        <v>2275209.1661185985</v>
      </c>
      <c r="CQ98">
        <f>'Costing 100 Lmin Feed Orig'!DI98</f>
        <v>14083914.336508472</v>
      </c>
      <c r="CR98">
        <f>'Costing 100 Lmin Feed Orig'!DJ98</f>
        <v>1662824.8986326549</v>
      </c>
      <c r="CS98">
        <f>CN98*(BK98/10000)^0.72*((A98+1)/3)^0.6*('CAPEX+OPEX'!$G$116/'CAPEX+OPEX'!$G$114)</f>
        <v>936765.86395108781</v>
      </c>
      <c r="CT98">
        <f>CO98*(BK98/10000)^0.72*((A98+1)/3)^0.6*('CAPEX+OPEX'!$G$116/'CAPEX+OPEX'!$G$114)</f>
        <v>2409160.916797909</v>
      </c>
      <c r="CU98">
        <f>CP98*(BK98/10000)^0.72*((A98+1)/3)^0.6*('CAPEX+OPEX'!$G$116/'CAPEX+OPEX'!$G$114)</f>
        <v>464724.19432521454</v>
      </c>
      <c r="CV98">
        <f>CQ98*(BK98/10000)^0.72*((A98+1)/3)^0.6*('CAPEX+OPEX'!$G$116/'CAPEX+OPEX'!$G$114)</f>
        <v>2876718.2553791031</v>
      </c>
      <c r="CW98">
        <f>CR98*(BK98/10000)^0.72*((A98+1)/3)^0.6*('CAPEX+OPEX'!$G$116/'CAPEX+OPEX'!$G$114)</f>
        <v>339641.28346021532</v>
      </c>
      <c r="CX98">
        <f t="shared" si="32"/>
        <v>7027010.5139135299</v>
      </c>
      <c r="CY98">
        <f>CN98*(BM98/10000)^0.72*((AF98+1)/3)^0.6*('CAPEX+OPEX'!$G$116/'CAPEX+OPEX'!$G$114)</f>
        <v>800273.51272546337</v>
      </c>
      <c r="CZ98">
        <f>CO98*(BM98/10000)^0.72*((AF98+1)/3)^0.6*('CAPEX+OPEX'!$G$116/'CAPEX+OPEX'!$G$114)</f>
        <v>2058131.8596248808</v>
      </c>
      <c r="DA98">
        <f>CP98*(BM98/10000)^0.72*((AF98+1)/3)^0.6*('CAPEX+OPEX'!$G$116/'CAPEX+OPEX'!$G$114)</f>
        <v>397011.11852274858</v>
      </c>
      <c r="DB98">
        <f>CQ98*(BM98/10000)^0.72*((AF98+1)/3)^0.6*('CAPEX+OPEX'!$G$116/'CAPEX+OPEX'!$G$114)</f>
        <v>2457563.3164552483</v>
      </c>
      <c r="DC98">
        <f>CR98*(BM98/10000)^0.72*((AF98+1)/3)^0.6*('CAPEX+OPEX'!$G$116/'CAPEX+OPEX'!$G$114)</f>
        <v>290153.53082452138</v>
      </c>
      <c r="DD98">
        <f t="shared" si="33"/>
        <v>6003133.3381528631</v>
      </c>
      <c r="DE98">
        <f>CX98+DD98+1.15*(SUM(CI98:CL98)+SUM(CB98:CE98))</f>
        <v>13119366.229588857</v>
      </c>
      <c r="DF98">
        <f t="shared" si="34"/>
        <v>874624.41530592379</v>
      </c>
      <c r="DG98">
        <f>(BS98+BT98)*'Oxidant Feed Composition'!$N$29*60*7200</f>
        <v>9171289.3774438873</v>
      </c>
      <c r="DH98">
        <f>((CG98+CH98)*'Reagent cost'!$C$17/1000*'Reagent cost'!$H$17+(CG98+CH98)*0.5*'Reagent cost'!$C$16/1000*'Reagent cost'!$H$16*0.5)*60*7200</f>
        <v>3104906.8168757092</v>
      </c>
      <c r="DI98">
        <f>CF98*'Reagent cost'!$C$17/1000*'Reagent cost'!$H$17*60*7200</f>
        <v>504921.59999999998</v>
      </c>
      <c r="DJ98">
        <f t="shared" si="35"/>
        <v>102.85073592590301</v>
      </c>
      <c r="DK98">
        <f t="shared" si="36"/>
        <v>1059.9595566287346</v>
      </c>
      <c r="DL98">
        <f t="shared" si="37"/>
        <v>15338736.725534579</v>
      </c>
      <c r="DM98">
        <f>BK98*(B98*(409.81+2)/1000+C98*(248.2+2*22.99)/1000+D98*(315.6+3*22.99)/1000+0.1*58.44/1000)</f>
        <v>0.70639694042110623</v>
      </c>
      <c r="DN98">
        <f>(BS98+BT98)/1000*('Oxidant Feed Composition'!$B$11*'Oxidant Feed Composition'!$O$20+'Oxidant Feed Composition'!$D$11*'Oxidant Feed Composition'!$O$21+'Oxidant Feed Composition'!$F$11*'Oxidant Feed Composition'!$O$27-'Oxidant Feed Composition'!$J$15*18.015)</f>
        <v>2.1469756038783676</v>
      </c>
      <c r="DO98">
        <f>(BU98+BV98)/1000*(0.2*368.34+0.4*58.44)</f>
        <v>1.4867200494658253</v>
      </c>
      <c r="DP98">
        <f>BK98/1000*(B98*195.08+C98*106.42+D98*102.91)</f>
        <v>4.999938342565946E-2</v>
      </c>
      <c r="DQ98">
        <f>SUM(DM98:DO98)-DP98</f>
        <v>4.2900932103396388</v>
      </c>
      <c r="DR98">
        <f>DQ98*60*7200*0.33</f>
        <v>611595.68806601898</v>
      </c>
      <c r="DS98">
        <v>1.2</v>
      </c>
      <c r="DT98">
        <f>BM98/60*(AM98*4+AN98*2+AO98*3)*96485/DV98</f>
        <v>1405.8764353255226</v>
      </c>
      <c r="DU98">
        <f>BN98*BA98*(AP98*4+AQ98*2+AR98*3)*96485/DV98/60</f>
        <v>705.8052599998191</v>
      </c>
      <c r="DV98">
        <v>0.7</v>
      </c>
      <c r="DW98">
        <f>0.499*((BK98/3.78541*15)^(-0.146))*BK98/3.78541*15*300*(1+(A98-2)/9)</f>
        <v>52288.524762496963</v>
      </c>
      <c r="DX98">
        <f>0.248*((BK98/3.78541*15)^(-0.144))*BK98/3.78541*15*300*(1+(A98-2)/3)</f>
        <v>53983.928663982973</v>
      </c>
      <c r="DY98">
        <f>0.105*((BK98/3.78541*15)^(-0.144))*BK98/3.78541*15*300*(1+(A98-2)/3)</f>
        <v>22856.098829508919</v>
      </c>
      <c r="DZ98">
        <f>0.058*((BK98/3.78541*15)^(-0.151))*BK98/3.78541*15*300*(1+(A98-2)/3)</f>
        <v>12107.513206066582</v>
      </c>
      <c r="EA98">
        <f>0.056*((BK98/3.78541*15)^(-0.144))*BK98/3.78541*15*300*(1+(A98-2)/3)</f>
        <v>12189.919375738094</v>
      </c>
      <c r="EB98">
        <f>DS98*DT98/(3.6*10^6)*3600*7200*0.07</f>
        <v>850.27406808487626</v>
      </c>
      <c r="EC98">
        <f>0.499*((BM98/3.78541*15)^(-0.146))*BM98/3.78541*15*300*(1+(AF98-2)/9)</f>
        <v>43713.176058972655</v>
      </c>
      <c r="ED98">
        <f>0.248*((BM98/3.78541*15)^(-0.144))*BM98/3.78541*15*300*(1+(AF98-2)/3)</f>
        <v>42673.219609023952</v>
      </c>
      <c r="EE98">
        <f>0.105*((BM98/3.78541*15)^(-0.144))*BM98/3.78541*15*300*(1+(AF98-2)/3)</f>
        <v>18067.290560272231</v>
      </c>
      <c r="EF98">
        <f>0.058*((BM98/3.78541*15)^(-0.151))*BM98/3.78541*15*300*(1+(AF98-2)/3)</f>
        <v>9576.0761530272775</v>
      </c>
      <c r="EG98">
        <f>0.056*((BM98/3.78541*15)^(-0.144))*BM98/3.78541*15*300*(1+(AF98-2)/3)</f>
        <v>9635.8882988118585</v>
      </c>
      <c r="EH98">
        <f>DS98*DU98/(3.6*10^6)*3600*7200*0.07</f>
        <v>426.87102124789061</v>
      </c>
      <c r="EI98">
        <f>SUM(DW98:EH98)</f>
        <v>278368.78060723428</v>
      </c>
      <c r="EJ98">
        <f>EI98+DR98+DL98</f>
        <v>16228701.194207832</v>
      </c>
      <c r="EK98">
        <f>EJ98+DF98</f>
        <v>17103325.609513756</v>
      </c>
      <c r="EL98">
        <f>EK98/(BK98*60*7200)</f>
        <v>0.39591031503504065</v>
      </c>
      <c r="EM98">
        <f>EK98/(BM98*(AM98*195.084/1000+AN98*106.42/1000+AO98*102.911/1000)*60*7200)</f>
        <v>1324.5093164767395</v>
      </c>
      <c r="EN98">
        <f>EK98/(BN98*BA98*(AP98*195.084/1000+AQ98*106.42/1000+AR98*102.911/1000)*60*7200)</f>
        <v>2430.7861837870159</v>
      </c>
    </row>
    <row r="99" spans="1:144">
      <c r="A99">
        <f>'Costing 100 Lmin Feed Orig'!A99</f>
        <v>12</v>
      </c>
      <c r="B99">
        <f>'Costing 100 Lmin Feed Orig'!B99</f>
        <v>1.54143585092054E-3</v>
      </c>
      <c r="C99">
        <f>'Costing 100 Lmin Feed Orig'!C99</f>
        <v>1.54143585092054E-3</v>
      </c>
      <c r="D99">
        <f>'Costing 100 Lmin Feed Orig'!D99</f>
        <v>3.4254130020456501E-4</v>
      </c>
      <c r="E99">
        <f>'Costing 100 Lmin Feed Orig'!E99</f>
        <v>0</v>
      </c>
      <c r="F99">
        <f>'Costing 100 Lmin Feed Orig'!F99</f>
        <v>0</v>
      </c>
      <c r="G99">
        <f>'Costing 100 Lmin Feed Orig'!G99</f>
        <v>0</v>
      </c>
      <c r="H99">
        <f>'Costing 100 Lmin Feed Orig'!H99</f>
        <v>1.7771599281349402E-5</v>
      </c>
      <c r="I99">
        <f>'Costing 100 Lmin Feed Orig'!I99</f>
        <v>6.3113732322488897E-11</v>
      </c>
      <c r="J99">
        <f>'Costing 100 Lmin Feed Orig'!J99</f>
        <v>3.37661562480901E-4</v>
      </c>
      <c r="K99">
        <f>'Costing 100 Lmin Feed Orig'!K99</f>
        <v>0.13911791568267901</v>
      </c>
      <c r="L99">
        <f>'Costing 100 Lmin Feed Orig'!L99</f>
        <v>0.140740543921716</v>
      </c>
      <c r="M99">
        <f>'Costing 100 Lmin Feed Orig'!M99</f>
        <v>4.45543656000266E-4</v>
      </c>
      <c r="N99">
        <f>'Costing 100 Lmin Feed Orig'!N99</f>
        <v>-4.7646348672047899E-15</v>
      </c>
      <c r="O99">
        <f>'Costing 100 Lmin Feed Orig'!O99</f>
        <v>-1.1300289697036E-11</v>
      </c>
      <c r="P99">
        <f>'Costing 100 Lmin Feed Orig'!P99</f>
        <v>-4.6756218688437302E-19</v>
      </c>
      <c r="Q99">
        <f>'Costing 100 Lmin Feed Orig'!Q99</f>
        <v>0.10952322309941399</v>
      </c>
      <c r="R99">
        <f>'Costing 100 Lmin Feed Orig'!R99</f>
        <v>98.575430839799395</v>
      </c>
      <c r="S99">
        <f>'Costing 100 Lmin Feed Orig'!S99</f>
        <v>500</v>
      </c>
      <c r="T99">
        <f>'Costing 100 Lmin Feed Orig'!T99</f>
        <v>95</v>
      </c>
      <c r="U99">
        <f>'Costing 100 Lmin Feed Orig'!U99</f>
        <v>1</v>
      </c>
      <c r="V99">
        <f>'Costing 100 Lmin Feed Orig'!V99</f>
        <v>0.1</v>
      </c>
      <c r="W99">
        <f>'Costing 100 Lmin Feed Orig'!W99</f>
        <v>91.304836700459305</v>
      </c>
      <c r="X99" t="str">
        <f>'Costing 100 Lmin Feed Orig'!X99</f>
        <v>ddFc</v>
      </c>
      <c r="Y99">
        <f>'Costing 100 Lmin Feed Orig'!Y99</f>
        <v>1</v>
      </c>
      <c r="Z99">
        <f>'Costing 100 Lmin Feed Orig'!Z99</f>
        <v>0.28318429382522198</v>
      </c>
      <c r="AA99">
        <f>'Costing 100 Lmin Feed Orig'!AA99</f>
        <v>0.56945642916197003</v>
      </c>
      <c r="AB99">
        <f>'Costing 100 Lmin Feed Orig'!AB99</f>
        <v>3.7698628972227502E-3</v>
      </c>
      <c r="AC99">
        <f>'Costing 100 Lmin Feed Orig'!AC99</f>
        <v>1822.2107908876901</v>
      </c>
      <c r="AD99">
        <f>'Costing 100 Lmin Feed Orig'!AD99</f>
        <v>2662.6059073104898</v>
      </c>
      <c r="AE99">
        <f>'Costing 100 Lmin Feed Orig'!AE99</f>
        <v>2401.5030938442701</v>
      </c>
      <c r="AF99">
        <f>'Costing 100 Lmin Feed Orig'!AF99</f>
        <v>11</v>
      </c>
      <c r="AG99">
        <f>'Costing 100 Lmin Feed Orig'!AG99</f>
        <v>1.6497575706444501E-3</v>
      </c>
      <c r="AH99">
        <f>'Costing 100 Lmin Feed Orig'!AH99</f>
        <v>1.66899983148883E-3</v>
      </c>
      <c r="AI99">
        <f>'Costing 100 Lmin Feed Orig'!AI99</f>
        <v>5.28356837386519E-6</v>
      </c>
      <c r="AJ99">
        <f>'Costing 100 Lmin Feed Orig'!AJ99</f>
        <v>0</v>
      </c>
      <c r="AK99">
        <f>'Costing 100 Lmin Feed Orig'!AK99</f>
        <v>0</v>
      </c>
      <c r="AL99">
        <f>'Costing 100 Lmin Feed Orig'!AL99</f>
        <v>0</v>
      </c>
      <c r="AM99">
        <f>'Costing 100 Lmin Feed Orig'!AM99</f>
        <v>1.61280988700799E-3</v>
      </c>
      <c r="AN99">
        <f>'Costing 100 Lmin Feed Orig'!AN99</f>
        <v>7.9635910048100197E-5</v>
      </c>
      <c r="AO99">
        <f>'Costing 100 Lmin Feed Orig'!AO99</f>
        <v>5.2488208470369598E-6</v>
      </c>
      <c r="AP99">
        <f>'Costing 100 Lmin Feed Orig'!AP99</f>
        <v>1.73328256872752E-3</v>
      </c>
      <c r="AQ99">
        <f>'Costing 100 Lmin Feed Orig'!AQ99</f>
        <v>7.4559932038912993E-2</v>
      </c>
      <c r="AR99">
        <f>'Costing 100 Lmin Feed Orig'!AR99</f>
        <v>1.6300692393553599E-6</v>
      </c>
      <c r="AS99">
        <f>'Costing 100 Lmin Feed Orig'!AS99</f>
        <v>1.9909814357073302E-15</v>
      </c>
      <c r="AT99">
        <f>'Costing 100 Lmin Feed Orig'!AT99</f>
        <v>-1.9813924806433201E-13</v>
      </c>
      <c r="AU99">
        <f>'Costing 100 Lmin Feed Orig'!AU99</f>
        <v>1.5438498952689699E-20</v>
      </c>
      <c r="AV99">
        <f>'Costing 100 Lmin Feed Orig'!AV99</f>
        <v>0.19687337891228299</v>
      </c>
      <c r="AW99">
        <f>'Costing 100 Lmin Feed Orig'!AW99</f>
        <v>99.342347361300298</v>
      </c>
      <c r="AX99">
        <f>'Costing 100 Lmin Feed Orig'!AX99</f>
        <v>500</v>
      </c>
      <c r="AY99">
        <f>'Costing 100 Lmin Feed Orig'!AY99</f>
        <v>95</v>
      </c>
      <c r="AZ99">
        <f>'Costing 100 Lmin Feed Orig'!AZ99</f>
        <v>0.92356857683566096</v>
      </c>
      <c r="BA99">
        <f>'Costing 100 Lmin Feed Orig'!BA99</f>
        <v>0.1</v>
      </c>
      <c r="BB99">
        <f>'Costing 100 Lmin Feed Orig'!BB99</f>
        <v>46.911806052109903</v>
      </c>
      <c r="BC99" t="str">
        <f>'Costing 100 Lmin Feed Orig'!BC99</f>
        <v>coeFc</v>
      </c>
      <c r="BD99">
        <f>'Costing 100 Lmin Feed Orig'!BD99</f>
        <v>1</v>
      </c>
      <c r="BE99">
        <f>'Costing 100 Lmin Feed Orig'!BE99</f>
        <v>1.8775014999999999E-2</v>
      </c>
      <c r="BF99">
        <f>'Costing 100 Lmin Feed Orig'!BF99</f>
        <v>0.10492961100000001</v>
      </c>
      <c r="BG99">
        <f>'Costing 100 Lmin Feed Orig'!BG99</f>
        <v>1.814625E-3</v>
      </c>
      <c r="BH99">
        <f>'Costing 100 Lmin Feed Orig'!BH99</f>
        <v>285.1951444</v>
      </c>
      <c r="BI99">
        <f>'Costing 100 Lmin Feed Orig'!BI99</f>
        <v>2169.8944889999998</v>
      </c>
      <c r="BJ99">
        <f>'Costing 100 Lmin Feed Orig'!BJ99</f>
        <v>866.49409060000005</v>
      </c>
      <c r="BK99">
        <f>'Costing 100 Lmin Feed Orig'!BK99</f>
        <v>100</v>
      </c>
      <c r="BL99">
        <f>'Costing 100 Lmin Feed Orig'!BL99</f>
        <v>10.952322309941399</v>
      </c>
      <c r="BM99">
        <f>'Costing 100 Lmin Feed Orig'!BM99</f>
        <v>92.356857683566091</v>
      </c>
      <c r="BN99">
        <f>'Costing 100 Lmin Feed Orig'!BN99</f>
        <v>19.687337891228299</v>
      </c>
      <c r="BO99">
        <f t="shared" si="20"/>
        <v>306.6650246783592</v>
      </c>
      <c r="BP99">
        <f t="shared" si="21"/>
        <v>511.87078517193578</v>
      </c>
      <c r="BQ99">
        <f t="shared" si="22"/>
        <v>30.666502467835922</v>
      </c>
      <c r="BR99">
        <f t="shared" si="23"/>
        <v>51.187078517193584</v>
      </c>
      <c r="BS99">
        <f>1.2*0.5*BL99*V99/'Oxidant Feed Composition'!$N$22</f>
        <v>6.5713933859648392</v>
      </c>
      <c r="BT99">
        <f>1.2*0.5*BN99*BA99/'Oxidant Feed Composition'!$N$22</f>
        <v>11.812402734736979</v>
      </c>
      <c r="BU99">
        <f t="shared" si="24"/>
        <v>5.4761611549706997</v>
      </c>
      <c r="BV99">
        <f t="shared" si="25"/>
        <v>9.8436689456141497</v>
      </c>
      <c r="BW99">
        <f t="shared" si="26"/>
        <v>86.880696528595394</v>
      </c>
      <c r="BX99">
        <f t="shared" si="19"/>
        <v>35.047431391812481</v>
      </c>
      <c r="BY99">
        <f t="shared" si="27"/>
        <v>206.61835998701497</v>
      </c>
      <c r="BZ99">
        <f t="shared" si="28"/>
        <v>62.999481251930561</v>
      </c>
      <c r="CA99">
        <f t="shared" si="29"/>
        <v>59.062013673684902</v>
      </c>
      <c r="CB99">
        <f>BO99*'Reagent cost'!$G$11*'Reagent cost'!$H$11</f>
        <v>4047.9783257543413</v>
      </c>
      <c r="CC99">
        <f>BP99*'Reagent cost'!$G$11*'Reagent cost'!$H$11</f>
        <v>6756.6943642695524</v>
      </c>
      <c r="CD99">
        <f>BQ99*'Reagent cost'!$C$18/1000*'Reagent cost'!$H$18</f>
        <v>4890.707695899031</v>
      </c>
      <c r="CE99">
        <f>BR99*'Ligand cost'!$B$56*'Ligand cost'!$J$56</f>
        <v>52114.984155128099</v>
      </c>
      <c r="CF99">
        <f t="shared" si="30"/>
        <v>10</v>
      </c>
      <c r="CG99">
        <f t="shared" si="31"/>
        <v>2.19046446198828</v>
      </c>
      <c r="CH99">
        <f t="shared" si="31"/>
        <v>3.9374675782456601</v>
      </c>
      <c r="CI99">
        <f>7963.6*(BX99/1000)^0.6*1.7*('CAPEX+OPEX'!$G$116/'CAPEX+OPEX'!$G$115)</f>
        <v>2138.1326451989207</v>
      </c>
      <c r="CJ99">
        <f>7963.6*(BY99/1000)^0.6*1.7*('CAPEX+OPEX'!$G$116/'CAPEX+OPEX'!$G$115)</f>
        <v>6199.2945816251477</v>
      </c>
      <c r="CK99">
        <f>7963.6*(BZ99/1000)^0.6*1.7*('CAPEX+OPEX'!$G$116/'CAPEX+OPEX'!$G$115)</f>
        <v>3039.7867099224536</v>
      </c>
      <c r="CL99">
        <f>7963.6*(CA99/1000)^0.6*1.7*('CAPEX+OPEX'!$G$116/'CAPEX+OPEX'!$G$115)</f>
        <v>2924.3266207862953</v>
      </c>
      <c r="CM99">
        <f>'Costing 100 Lmin Feed Orig'!DE99</f>
        <v>39625.826528698344</v>
      </c>
      <c r="CN99">
        <f>'Costing 100 Lmin Feed Orig'!DF99</f>
        <v>4586243.4239371875</v>
      </c>
      <c r="CO99">
        <f>'Costing 100 Lmin Feed Orig'!DG99</f>
        <v>11794834.586807497</v>
      </c>
      <c r="CP99">
        <f>'Costing 100 Lmin Feed Orig'!DH99</f>
        <v>2275209.1661185985</v>
      </c>
      <c r="CQ99">
        <f>'Costing 100 Lmin Feed Orig'!DI99</f>
        <v>14083914.336508472</v>
      </c>
      <c r="CR99">
        <f>'Costing 100 Lmin Feed Orig'!DJ99</f>
        <v>1662824.8986326549</v>
      </c>
      <c r="CS99">
        <f>CN99*(BK99/10000)^0.72*((A99+1)/3)^0.6*('CAPEX+OPEX'!$G$116/'CAPEX+OPEX'!$G$114)</f>
        <v>936765.86395108781</v>
      </c>
      <c r="CT99">
        <f>CO99*(BK99/10000)^0.72*((A99+1)/3)^0.6*('CAPEX+OPEX'!$G$116/'CAPEX+OPEX'!$G$114)</f>
        <v>2409160.916797909</v>
      </c>
      <c r="CU99">
        <f>CP99*(BK99/10000)^0.72*((A99+1)/3)^0.6*('CAPEX+OPEX'!$G$116/'CAPEX+OPEX'!$G$114)</f>
        <v>464724.19432521454</v>
      </c>
      <c r="CV99">
        <f>CQ99*(BK99/10000)^0.72*((A99+1)/3)^0.6*('CAPEX+OPEX'!$G$116/'CAPEX+OPEX'!$G$114)</f>
        <v>2876718.2553791031</v>
      </c>
      <c r="CW99">
        <f>CR99*(BK99/10000)^0.72*((A99+1)/3)^0.6*('CAPEX+OPEX'!$G$116/'CAPEX+OPEX'!$G$114)</f>
        <v>339641.28346021532</v>
      </c>
      <c r="CX99">
        <f t="shared" si="32"/>
        <v>7027010.5139135299</v>
      </c>
      <c r="CY99">
        <f>CN99*(BM99/10000)^0.72*((AF99+1)/3)^0.6*('CAPEX+OPEX'!$G$116/'CAPEX+OPEX'!$G$114)</f>
        <v>843163.07585789578</v>
      </c>
      <c r="CZ99">
        <f>CO99*(BM99/10000)^0.72*((AF99+1)/3)^0.6*('CAPEX+OPEX'!$G$116/'CAPEX+OPEX'!$G$114)</f>
        <v>2168434.6185249295</v>
      </c>
      <c r="DA99">
        <f>CP99*(BM99/10000)^0.72*((AF99+1)/3)^0.6*('CAPEX+OPEX'!$G$116/'CAPEX+OPEX'!$G$114)</f>
        <v>418288.3858087401</v>
      </c>
      <c r="DB99">
        <f>CQ99*(BM99/10000)^0.72*((AF99+1)/3)^0.6*('CAPEX+OPEX'!$G$116/'CAPEX+OPEX'!$G$114)</f>
        <v>2589273.0573588139</v>
      </c>
      <c r="DC99">
        <f>CR99*(BM99/10000)^0.72*((AF99+1)/3)^0.6*('CAPEX+OPEX'!$G$116/'CAPEX+OPEX'!$G$114)</f>
        <v>305703.91201359074</v>
      </c>
      <c r="DD99">
        <f t="shared" si="33"/>
        <v>6324863.0495639704</v>
      </c>
      <c r="DE99">
        <f>CX99+DD99+1.15*(SUM(CI99:CL99)+SUM(CB99:CE99))</f>
        <v>13446302.254340872</v>
      </c>
      <c r="DF99">
        <f t="shared" si="34"/>
        <v>896420.15028939152</v>
      </c>
      <c r="DG99">
        <f>(BS99+BT99)*'Oxidant Feed Composition'!$N$29*60*7200</f>
        <v>9171150.8434009291</v>
      </c>
      <c r="DH99">
        <f>((CG99+CH99)*'Reagent cost'!$C$17/1000*'Reagent cost'!$H$17+(CG99+CH99)*0.5*'Reagent cost'!$C$16/1000*'Reagent cost'!$H$16*0.5)*60*7200</f>
        <v>3104859.9166769851</v>
      </c>
      <c r="DI99">
        <f>CF99*'Reagent cost'!$C$17/1000*'Reagent cost'!$H$17*60*7200</f>
        <v>504921.59999999998</v>
      </c>
      <c r="DJ99">
        <f t="shared" si="35"/>
        <v>108.04672690023894</v>
      </c>
      <c r="DK99">
        <f t="shared" si="36"/>
        <v>1140.1138370205426</v>
      </c>
      <c r="DL99">
        <f t="shared" si="37"/>
        <v>15338616.624770202</v>
      </c>
      <c r="DM99">
        <f>BK99*(B99*(409.81+2)/1000+C99*(248.2+2*22.99)/1000+D99*(315.6+3*22.99)/1000+0.1*58.44/1000)</f>
        <v>0.70639694042110623</v>
      </c>
      <c r="DN99">
        <f>(BS99+BT99)/1000*('Oxidant Feed Composition'!$B$11*'Oxidant Feed Composition'!$O$20+'Oxidant Feed Composition'!$D$11*'Oxidant Feed Composition'!$O$21+'Oxidant Feed Composition'!$F$11*'Oxidant Feed Composition'!$O$27-'Oxidant Feed Composition'!$J$15*18.015)</f>
        <v>2.1469431734099458</v>
      </c>
      <c r="DO99">
        <f>(BU99+BV99)/1000*(0.2*368.34+0.4*58.44)</f>
        <v>1.4866975922811561</v>
      </c>
      <c r="DP99">
        <f>BK99/1000*(B99*195.08+C99*106.42+D99*102.91)</f>
        <v>4.999938342565946E-2</v>
      </c>
      <c r="DQ99">
        <f>SUM(DM99:DO99)-DP99</f>
        <v>4.2900383226865477</v>
      </c>
      <c r="DR99">
        <f>DQ99*60*7200*0.33</f>
        <v>611587.86328219436</v>
      </c>
      <c r="DS99">
        <v>1.2</v>
      </c>
      <c r="DT99">
        <f>BM99/60*(AM99*4+AN99*2+AO99*3)*96485/DV99</f>
        <v>1405.8791478299054</v>
      </c>
      <c r="DU99">
        <f>BN99*BA99*(AP99*4+AQ99*2+AR99*3)*96485/DV99/60</f>
        <v>705.80254729732212</v>
      </c>
      <c r="DV99">
        <v>0.7</v>
      </c>
      <c r="DW99">
        <f>0.499*((BK99/3.78541*15)^(-0.146))*BK99/3.78541*15*300*(1+(A99-2)/9)</f>
        <v>52288.524762496963</v>
      </c>
      <c r="DX99">
        <f>0.248*((BK99/3.78541*15)^(-0.144))*BK99/3.78541*15*300*(1+(A99-2)/3)</f>
        <v>53983.928663982973</v>
      </c>
      <c r="DY99">
        <f>0.105*((BK99/3.78541*15)^(-0.144))*BK99/3.78541*15*300*(1+(A99-2)/3)</f>
        <v>22856.098829508919</v>
      </c>
      <c r="DZ99">
        <f>0.058*((BK99/3.78541*15)^(-0.151))*BK99/3.78541*15*300*(1+(A99-2)/3)</f>
        <v>12107.513206066582</v>
      </c>
      <c r="EA99">
        <f>0.056*((BK99/3.78541*15)^(-0.144))*BK99/3.78541*15*300*(1+(A99-2)/3)</f>
        <v>12189.919375738094</v>
      </c>
      <c r="EB99">
        <f>DS99*DT99/(3.6*10^6)*3600*7200*0.07</f>
        <v>850.27570860752689</v>
      </c>
      <c r="EC99">
        <f>0.499*((BM99/3.78541*15)^(-0.146))*BM99/3.78541*15*300*(1+(AF99-2)/9)</f>
        <v>46284.539356559282</v>
      </c>
      <c r="ED99">
        <f>0.248*((BM99/3.78541*15)^(-0.144))*BM99/3.78541*15*300*(1+(AF99-2)/3)</f>
        <v>46552.60320984431</v>
      </c>
      <c r="EE99">
        <f>0.105*((BM99/3.78541*15)^(-0.144))*BM99/3.78541*15*300*(1+(AF99-2)/3)</f>
        <v>19709.771520296981</v>
      </c>
      <c r="EF99">
        <f>0.058*((BM99/3.78541*15)^(-0.151))*BM99/3.78541*15*300*(1+(AF99-2)/3)</f>
        <v>10446.628530575212</v>
      </c>
      <c r="EG99">
        <f>0.056*((BM99/3.78541*15)^(-0.144))*BM99/3.78541*15*300*(1+(AF99-2)/3)</f>
        <v>10511.878144158392</v>
      </c>
      <c r="EH99">
        <f>DS99*DU99/(3.6*10^6)*3600*7200*0.07</f>
        <v>426.86938060542042</v>
      </c>
      <c r="EI99">
        <f>SUM(DW99:EH99)</f>
        <v>288208.55068844062</v>
      </c>
      <c r="EJ99">
        <f>EI99+DR99+DL99</f>
        <v>16238413.038740836</v>
      </c>
      <c r="EK99">
        <f>EJ99+DF99</f>
        <v>17134833.189030226</v>
      </c>
      <c r="EL99">
        <f>EK99/(BK99*60*7200)</f>
        <v>0.39663965715347749</v>
      </c>
      <c r="EM99">
        <f>EK99/(BM99*(AM99*195.084/1000+AN99*106.42/1000+AO99*102.911/1000)*60*7200)</f>
        <v>1326.9467528231928</v>
      </c>
      <c r="EN99">
        <f>EK99/(BN99*BA99*(AP99*195.084/1000+AQ99*106.42/1000+AR99*102.911/1000)*60*7200)</f>
        <v>2435.2727834399757</v>
      </c>
    </row>
    <row r="100" spans="1:144">
      <c r="A100">
        <f>'Costing 100 Lmin Feed Orig'!A100</f>
        <v>12</v>
      </c>
      <c r="B100">
        <f>'Costing 100 Lmin Feed Orig'!B100</f>
        <v>1.54143585092054E-3</v>
      </c>
      <c r="C100">
        <f>'Costing 100 Lmin Feed Orig'!C100</f>
        <v>1.54143585092054E-3</v>
      </c>
      <c r="D100">
        <f>'Costing 100 Lmin Feed Orig'!D100</f>
        <v>3.4254130020456501E-4</v>
      </c>
      <c r="E100">
        <f>'Costing 100 Lmin Feed Orig'!E100</f>
        <v>0</v>
      </c>
      <c r="F100">
        <f>'Costing 100 Lmin Feed Orig'!F100</f>
        <v>0</v>
      </c>
      <c r="G100">
        <f>'Costing 100 Lmin Feed Orig'!G100</f>
        <v>0</v>
      </c>
      <c r="H100">
        <f>'Costing 100 Lmin Feed Orig'!H100</f>
        <v>1.7771599281349402E-5</v>
      </c>
      <c r="I100">
        <f>'Costing 100 Lmin Feed Orig'!I100</f>
        <v>6.3113732322488897E-11</v>
      </c>
      <c r="J100">
        <f>'Costing 100 Lmin Feed Orig'!J100</f>
        <v>3.37661562480901E-4</v>
      </c>
      <c r="K100">
        <f>'Costing 100 Lmin Feed Orig'!K100</f>
        <v>0.13911791568267901</v>
      </c>
      <c r="L100">
        <f>'Costing 100 Lmin Feed Orig'!L100</f>
        <v>0.140740543921716</v>
      </c>
      <c r="M100">
        <f>'Costing 100 Lmin Feed Orig'!M100</f>
        <v>4.45543656000266E-4</v>
      </c>
      <c r="N100">
        <f>'Costing 100 Lmin Feed Orig'!N100</f>
        <v>-4.7646348672047899E-15</v>
      </c>
      <c r="O100">
        <f>'Costing 100 Lmin Feed Orig'!O100</f>
        <v>-1.1300289697036E-11</v>
      </c>
      <c r="P100">
        <f>'Costing 100 Lmin Feed Orig'!P100</f>
        <v>-4.6756218688437302E-19</v>
      </c>
      <c r="Q100">
        <f>'Costing 100 Lmin Feed Orig'!Q100</f>
        <v>0.10952322309941399</v>
      </c>
      <c r="R100">
        <f>'Costing 100 Lmin Feed Orig'!R100</f>
        <v>98.575430839799395</v>
      </c>
      <c r="S100">
        <f>'Costing 100 Lmin Feed Orig'!S100</f>
        <v>500</v>
      </c>
      <c r="T100">
        <f>'Costing 100 Lmin Feed Orig'!T100</f>
        <v>95</v>
      </c>
      <c r="U100">
        <f>'Costing 100 Lmin Feed Orig'!U100</f>
        <v>1</v>
      </c>
      <c r="V100">
        <f>'Costing 100 Lmin Feed Orig'!V100</f>
        <v>0.1</v>
      </c>
      <c r="W100">
        <f>'Costing 100 Lmin Feed Orig'!W100</f>
        <v>91.304836700459305</v>
      </c>
      <c r="X100" t="str">
        <f>'Costing 100 Lmin Feed Orig'!X100</f>
        <v>ddFc</v>
      </c>
      <c r="Y100">
        <f>'Costing 100 Lmin Feed Orig'!Y100</f>
        <v>1</v>
      </c>
      <c r="Z100">
        <f>'Costing 100 Lmin Feed Orig'!Z100</f>
        <v>0.28318429382522198</v>
      </c>
      <c r="AA100">
        <f>'Costing 100 Lmin Feed Orig'!AA100</f>
        <v>0.56945642916197003</v>
      </c>
      <c r="AB100">
        <f>'Costing 100 Lmin Feed Orig'!AB100</f>
        <v>3.7698628972227502E-3</v>
      </c>
      <c r="AC100">
        <f>'Costing 100 Lmin Feed Orig'!AC100</f>
        <v>1822.2107908876901</v>
      </c>
      <c r="AD100">
        <f>'Costing 100 Lmin Feed Orig'!AD100</f>
        <v>2662.6059073104898</v>
      </c>
      <c r="AE100">
        <f>'Costing 100 Lmin Feed Orig'!AE100</f>
        <v>2401.5030938442701</v>
      </c>
      <c r="AF100">
        <f>'Costing 100 Lmin Feed Orig'!AF100</f>
        <v>12</v>
      </c>
      <c r="AG100">
        <f>'Costing 100 Lmin Feed Orig'!AG100</f>
        <v>1.6497575706444501E-3</v>
      </c>
      <c r="AH100">
        <f>'Costing 100 Lmin Feed Orig'!AH100</f>
        <v>1.66899983148883E-3</v>
      </c>
      <c r="AI100">
        <f>'Costing 100 Lmin Feed Orig'!AI100</f>
        <v>5.28356837386519E-6</v>
      </c>
      <c r="AJ100">
        <f>'Costing 100 Lmin Feed Orig'!AJ100</f>
        <v>0</v>
      </c>
      <c r="AK100">
        <f>'Costing 100 Lmin Feed Orig'!AK100</f>
        <v>0</v>
      </c>
      <c r="AL100">
        <f>'Costing 100 Lmin Feed Orig'!AL100</f>
        <v>0</v>
      </c>
      <c r="AM100">
        <f>'Costing 100 Lmin Feed Orig'!AM100</f>
        <v>1.6128107620641699E-3</v>
      </c>
      <c r="AN100">
        <f>'Costing 100 Lmin Feed Orig'!AN100</f>
        <v>7.9635955314965296E-5</v>
      </c>
      <c r="AO100">
        <f>'Costing 100 Lmin Feed Orig'!AO100</f>
        <v>5.2488216357800397E-6</v>
      </c>
      <c r="AP100">
        <f>'Costing 100 Lmin Feed Orig'!AP100</f>
        <v>1.7332529701511801E-3</v>
      </c>
      <c r="AQ100">
        <f>'Costing 100 Lmin Feed Orig'!AQ100</f>
        <v>7.4560422536797497E-2</v>
      </c>
      <c r="AR100">
        <f>'Costing 100 Lmin Feed Orig'!AR100</f>
        <v>1.6300430078820901E-6</v>
      </c>
      <c r="AS100">
        <f>'Costing 100 Lmin Feed Orig'!AS100</f>
        <v>3.8848996719229E-16</v>
      </c>
      <c r="AT100">
        <f>'Costing 100 Lmin Feed Orig'!AT100</f>
        <v>-3.7900455343575703E-14</v>
      </c>
      <c r="AU100">
        <f>'Costing 100 Lmin Feed Orig'!AU100</f>
        <v>-2.53448139686247E-21</v>
      </c>
      <c r="AV100">
        <f>'Costing 100 Lmin Feed Orig'!AV100</f>
        <v>0.19687207814646801</v>
      </c>
      <c r="AW100">
        <f>'Costing 100 Lmin Feed Orig'!AW100</f>
        <v>99.342362289527202</v>
      </c>
      <c r="AX100">
        <f>'Costing 100 Lmin Feed Orig'!AX100</f>
        <v>500</v>
      </c>
      <c r="AY100">
        <f>'Costing 100 Lmin Feed Orig'!AY100</f>
        <v>95</v>
      </c>
      <c r="AZ100">
        <f>'Costing 100 Lmin Feed Orig'!AZ100</f>
        <v>0.92356857683566096</v>
      </c>
      <c r="BA100">
        <f>'Costing 100 Lmin Feed Orig'!BA100</f>
        <v>0.1</v>
      </c>
      <c r="BB100">
        <f>'Costing 100 Lmin Feed Orig'!BB100</f>
        <v>46.912116006036399</v>
      </c>
      <c r="BC100" t="str">
        <f>'Costing 100 Lmin Feed Orig'!BC100</f>
        <v>coeFc</v>
      </c>
      <c r="BD100">
        <f>'Costing 100 Lmin Feed Orig'!BD100</f>
        <v>1</v>
      </c>
      <c r="BE100">
        <f>'Costing 100 Lmin Feed Orig'!BE100</f>
        <v>1.8775014999999999E-2</v>
      </c>
      <c r="BF100">
        <f>'Costing 100 Lmin Feed Orig'!BF100</f>
        <v>0.10492961100000001</v>
      </c>
      <c r="BG100">
        <f>'Costing 100 Lmin Feed Orig'!BG100</f>
        <v>1.814625E-3</v>
      </c>
      <c r="BH100">
        <f>'Costing 100 Lmin Feed Orig'!BH100</f>
        <v>285.1951444</v>
      </c>
      <c r="BI100">
        <f>'Costing 100 Lmin Feed Orig'!BI100</f>
        <v>2169.8944889999998</v>
      </c>
      <c r="BJ100">
        <f>'Costing 100 Lmin Feed Orig'!BJ100</f>
        <v>866.49409060000005</v>
      </c>
      <c r="BK100">
        <f>'Costing 100 Lmin Feed Orig'!BK100</f>
        <v>100</v>
      </c>
      <c r="BL100">
        <f>'Costing 100 Lmin Feed Orig'!BL100</f>
        <v>10.952322309941399</v>
      </c>
      <c r="BM100">
        <f>'Costing 100 Lmin Feed Orig'!BM100</f>
        <v>92.356857683566091</v>
      </c>
      <c r="BN100">
        <f>'Costing 100 Lmin Feed Orig'!BN100</f>
        <v>19.687207814646801</v>
      </c>
      <c r="BO100">
        <f t="shared" si="20"/>
        <v>306.6650246783592</v>
      </c>
      <c r="BP100">
        <f t="shared" si="21"/>
        <v>551.24181881011043</v>
      </c>
      <c r="BQ100">
        <f t="shared" si="22"/>
        <v>30.666502467835922</v>
      </c>
      <c r="BR100">
        <f t="shared" si="23"/>
        <v>55.124181881011047</v>
      </c>
      <c r="BS100">
        <f>1.2*0.5*BL100*V100/'Oxidant Feed Composition'!$N$22</f>
        <v>6.5713933859648392</v>
      </c>
      <c r="BT100">
        <f>1.2*0.5*BN100*BA100/'Oxidant Feed Composition'!$N$22</f>
        <v>11.812324688788079</v>
      </c>
      <c r="BU100">
        <f t="shared" si="24"/>
        <v>5.4761611549706997</v>
      </c>
      <c r="BV100">
        <f t="shared" si="25"/>
        <v>9.8436039073234003</v>
      </c>
      <c r="BW100">
        <f t="shared" si="26"/>
        <v>86.880696528595394</v>
      </c>
      <c r="BX100">
        <f t="shared" si="19"/>
        <v>35.047431391812481</v>
      </c>
      <c r="BY100">
        <f t="shared" si="27"/>
        <v>206.61835998701497</v>
      </c>
      <c r="BZ100">
        <f t="shared" si="28"/>
        <v>62.999065006869756</v>
      </c>
      <c r="CA100">
        <f t="shared" si="29"/>
        <v>59.061623443940405</v>
      </c>
      <c r="CB100">
        <f>BO100*'Reagent cost'!$G$11*'Reagent cost'!$H$11</f>
        <v>4047.9783257543413</v>
      </c>
      <c r="CC100">
        <f>BP100*'Reagent cost'!$G$11*'Reagent cost'!$H$11</f>
        <v>7276.3920082934583</v>
      </c>
      <c r="CD100">
        <f>BQ100*'Reagent cost'!$C$18/1000*'Reagent cost'!$H$18</f>
        <v>4890.707695899031</v>
      </c>
      <c r="CE100">
        <f>BR100*'Ligand cost'!$B$56*'Ligand cost'!$J$56</f>
        <v>56123.458273328237</v>
      </c>
      <c r="CF100">
        <f t="shared" si="30"/>
        <v>10</v>
      </c>
      <c r="CG100">
        <f t="shared" si="31"/>
        <v>2.19046446198828</v>
      </c>
      <c r="CH100">
        <f t="shared" si="31"/>
        <v>3.9374415629293602</v>
      </c>
      <c r="CI100">
        <f>7963.6*(BX100/1000)^0.6*1.7*('CAPEX+OPEX'!$G$116/'CAPEX+OPEX'!$G$115)</f>
        <v>2138.1326451989207</v>
      </c>
      <c r="CJ100">
        <f>7963.6*(BY100/1000)^0.6*1.7*('CAPEX+OPEX'!$G$116/'CAPEX+OPEX'!$G$115)</f>
        <v>6199.2945816251477</v>
      </c>
      <c r="CK100">
        <f>7963.6*(BZ100/1000)^0.6*1.7*('CAPEX+OPEX'!$G$116/'CAPEX+OPEX'!$G$115)</f>
        <v>3039.7746593672682</v>
      </c>
      <c r="CL100">
        <f>7963.6*(CA100/1000)^0.6*1.7*('CAPEX+OPEX'!$G$116/'CAPEX+OPEX'!$G$115)</f>
        <v>2924.3150279468332</v>
      </c>
      <c r="CM100">
        <f>'Costing 100 Lmin Feed Orig'!DE100</f>
        <v>39625.826528698344</v>
      </c>
      <c r="CN100">
        <f>'Costing 100 Lmin Feed Orig'!DF100</f>
        <v>4586243.4239371875</v>
      </c>
      <c r="CO100">
        <f>'Costing 100 Lmin Feed Orig'!DG100</f>
        <v>11794834.586807497</v>
      </c>
      <c r="CP100">
        <f>'Costing 100 Lmin Feed Orig'!DH100</f>
        <v>2275209.1661185985</v>
      </c>
      <c r="CQ100">
        <f>'Costing 100 Lmin Feed Orig'!DI100</f>
        <v>14083914.336508472</v>
      </c>
      <c r="CR100">
        <f>'Costing 100 Lmin Feed Orig'!DJ100</f>
        <v>1662824.8986326549</v>
      </c>
      <c r="CS100">
        <f>CN100*(BK100/10000)^0.72*((A100+1)/3)^0.6*('CAPEX+OPEX'!$G$116/'CAPEX+OPEX'!$G$114)</f>
        <v>936765.86395108781</v>
      </c>
      <c r="CT100">
        <f>CO100*(BK100/10000)^0.72*((A100+1)/3)^0.6*('CAPEX+OPEX'!$G$116/'CAPEX+OPEX'!$G$114)</f>
        <v>2409160.916797909</v>
      </c>
      <c r="CU100">
        <f>CP100*(BK100/10000)^0.72*((A100+1)/3)^0.6*('CAPEX+OPEX'!$G$116/'CAPEX+OPEX'!$G$114)</f>
        <v>464724.19432521454</v>
      </c>
      <c r="CV100">
        <f>CQ100*(BK100/10000)^0.72*((A100+1)/3)^0.6*('CAPEX+OPEX'!$G$116/'CAPEX+OPEX'!$G$114)</f>
        <v>2876718.2553791031</v>
      </c>
      <c r="CW100">
        <f>CR100*(BK100/10000)^0.72*((A100+1)/3)^0.6*('CAPEX+OPEX'!$G$116/'CAPEX+OPEX'!$G$114)</f>
        <v>339641.28346021532</v>
      </c>
      <c r="CX100">
        <f t="shared" si="32"/>
        <v>7027010.5139135299</v>
      </c>
      <c r="CY100">
        <f>CN100*(BM100/10000)^0.72*((AF100+1)/3)^0.6*('CAPEX+OPEX'!$G$116/'CAPEX+OPEX'!$G$114)</f>
        <v>884644.62522109901</v>
      </c>
      <c r="CZ100">
        <f>CO100*(BM100/10000)^0.72*((AF100+1)/3)^0.6*('CAPEX+OPEX'!$G$116/'CAPEX+OPEX'!$G$114)</f>
        <v>2275116.2679528282</v>
      </c>
      <c r="DA100">
        <f>CP100*(BM100/10000)^0.72*((AF100+1)/3)^0.6*('CAPEX+OPEX'!$G$116/'CAPEX+OPEX'!$G$114)</f>
        <v>438867.14550635306</v>
      </c>
      <c r="DB100">
        <f>CQ100*(BM100/10000)^0.72*((AF100+1)/3)^0.6*('CAPEX+OPEX'!$G$116/'CAPEX+OPEX'!$G$114)</f>
        <v>2716658.9228206738</v>
      </c>
      <c r="DC100">
        <f>CR100*(BM100/10000)^0.72*((AF100+1)/3)^0.6*('CAPEX+OPEX'!$G$116/'CAPEX+OPEX'!$G$114)</f>
        <v>320743.79252995877</v>
      </c>
      <c r="DD100">
        <f t="shared" si="33"/>
        <v>6636030.7540309131</v>
      </c>
      <c r="DE100">
        <f>CX100+DD100+1.15*(SUM(CI100:CL100)+SUM(CB100:CE100))</f>
        <v>13762677.329144469</v>
      </c>
      <c r="DF100">
        <f t="shared" si="34"/>
        <v>917511.82194296457</v>
      </c>
      <c r="DG100">
        <f>(BS100+BT100)*'Oxidant Feed Composition'!$N$29*60*7200</f>
        <v>9171111.9085060153</v>
      </c>
      <c r="DH100">
        <f>((CG100+CH100)*'Reagent cost'!$C$17/1000*'Reagent cost'!$H$17+(CG100+CH100)*0.5*'Reagent cost'!$C$16/1000*'Reagent cost'!$H$16*0.5)*60*7200</f>
        <v>3104846.7354092649</v>
      </c>
      <c r="DI100">
        <f>CF100*'Reagent cost'!$C$17/1000*'Reagent cost'!$H$17*60*7200</f>
        <v>504921.59999999998</v>
      </c>
      <c r="DJ100">
        <f t="shared" si="35"/>
        <v>113.24370334047799</v>
      </c>
      <c r="DK100">
        <f t="shared" si="36"/>
        <v>1220.2833193845454</v>
      </c>
      <c r="DL100">
        <f t="shared" si="37"/>
        <v>15338656.525125606</v>
      </c>
      <c r="DM100">
        <f>BK100*(B100*(409.81+2)/1000+C100*(248.2+2*22.99)/1000+D100*(315.6+3*22.99)/1000+0.1*58.44/1000)</f>
        <v>0.70639694042110623</v>
      </c>
      <c r="DN100">
        <f>(BS100+BT100)/1000*('Oxidant Feed Composition'!$B$11*'Oxidant Feed Composition'!$O$20+'Oxidant Feed Composition'!$D$11*'Oxidant Feed Composition'!$O$21+'Oxidant Feed Composition'!$F$11*'Oxidant Feed Composition'!$O$27-'Oxidant Feed Composition'!$J$15*18.015)</f>
        <v>2.146934058849705</v>
      </c>
      <c r="DO100">
        <f>(BU100+BV100)/1000*(0.2*368.34+0.4*58.44)</f>
        <v>1.4866912807052686</v>
      </c>
      <c r="DP100">
        <f>BK100/1000*(B100*195.08+C100*106.42+D100*102.91)</f>
        <v>4.999938342565946E-2</v>
      </c>
      <c r="DQ100">
        <f>SUM(DM100:DO100)-DP100</f>
        <v>4.2900228965504201</v>
      </c>
      <c r="DR100">
        <f>DQ100*60*7200*0.33</f>
        <v>611585.66413222789</v>
      </c>
      <c r="DS100">
        <v>1.2</v>
      </c>
      <c r="DT100">
        <f>BM100/60*(AM100*4+AN100*2+AO100*3)*96485/DV100</f>
        <v>1405.8799101755899</v>
      </c>
      <c r="DU100">
        <f>BN100*BA100*(AP100*4+AQ100*2+AR100*3)*96485/DV100/60</f>
        <v>705.80178487948251</v>
      </c>
      <c r="DV100">
        <v>0.7</v>
      </c>
      <c r="DW100">
        <f>0.499*((BK100/3.78541*15)^(-0.146))*BK100/3.78541*15*300*(1+(A100-2)/9)</f>
        <v>52288.524762496963</v>
      </c>
      <c r="DX100">
        <f>0.248*((BK100/3.78541*15)^(-0.144))*BK100/3.78541*15*300*(1+(A100-2)/3)</f>
        <v>53983.928663982973</v>
      </c>
      <c r="DY100">
        <f>0.105*((BK100/3.78541*15)^(-0.144))*BK100/3.78541*15*300*(1+(A100-2)/3)</f>
        <v>22856.098829508919</v>
      </c>
      <c r="DZ100">
        <f>0.058*((BK100/3.78541*15)^(-0.151))*BK100/3.78541*15*300*(1+(A100-2)/3)</f>
        <v>12107.513206066582</v>
      </c>
      <c r="EA100">
        <f>0.056*((BK100/3.78541*15)^(-0.144))*BK100/3.78541*15*300*(1+(A100-2)/3)</f>
        <v>12189.919375738094</v>
      </c>
      <c r="EB100">
        <f>DS100*DT100/(3.6*10^6)*3600*7200*0.07</f>
        <v>850.27616967419681</v>
      </c>
      <c r="EC100">
        <f>0.499*((BM100/3.78541*15)^(-0.146))*BM100/3.78541*15*300*(1+(AF100-2)/9)</f>
        <v>48855.90265414591</v>
      </c>
      <c r="ED100">
        <f>0.248*((BM100/3.78541*15)^(-0.144))*BM100/3.78541*15*300*(1+(AF100-2)/3)</f>
        <v>50431.986810664675</v>
      </c>
      <c r="EE100">
        <f>0.105*((BM100/3.78541*15)^(-0.144))*BM100/3.78541*15*300*(1+(AF100-2)/3)</f>
        <v>21352.252480321731</v>
      </c>
      <c r="EF100">
        <f>0.058*((BM100/3.78541*15)^(-0.151))*BM100/3.78541*15*300*(1+(AF100-2)/3)</f>
        <v>11317.180908123148</v>
      </c>
      <c r="EG100">
        <f>0.056*((BM100/3.78541*15)^(-0.144))*BM100/3.78541*15*300*(1+(AF100-2)/3)</f>
        <v>11387.867989504926</v>
      </c>
      <c r="EH100">
        <f>DS100*DU100/(3.6*10^6)*3600*7200*0.07</f>
        <v>426.86891949511096</v>
      </c>
      <c r="EI100">
        <f>SUM(DW100:EH100)</f>
        <v>298048.32076972321</v>
      </c>
      <c r="EJ100">
        <f>EI100+DR100+DL100</f>
        <v>16248290.510027558</v>
      </c>
      <c r="EK100">
        <f>EJ100+DF100</f>
        <v>17165802.33197052</v>
      </c>
      <c r="EL100">
        <f>EK100/(BK100*60*7200)</f>
        <v>0.39735653546228056</v>
      </c>
      <c r="EM100">
        <f>EK100/(BM100*(AM100*195.084/1000+AN100*106.42/1000+AO100*102.911/1000)*60*7200)</f>
        <v>1329.3443276391397</v>
      </c>
      <c r="EN100">
        <f>EK100/(BN100*BA100*(AP100*195.084/1000+AQ100*106.42/1000+AR100*102.911/1000)*60*7200)</f>
        <v>2439.6766747160291</v>
      </c>
    </row>
    <row r="101" spans="1:144">
      <c r="A101">
        <f>'Costing 100 Lmin Feed Orig'!A101</f>
        <v>12</v>
      </c>
      <c r="B101">
        <f>'Costing 100 Lmin Feed Orig'!B101</f>
        <v>1.54143585092054E-3</v>
      </c>
      <c r="C101">
        <f>'Costing 100 Lmin Feed Orig'!C101</f>
        <v>1.54143585092054E-3</v>
      </c>
      <c r="D101">
        <f>'Costing 100 Lmin Feed Orig'!D101</f>
        <v>3.4254130020456501E-4</v>
      </c>
      <c r="E101">
        <f>'Costing 100 Lmin Feed Orig'!E101</f>
        <v>0</v>
      </c>
      <c r="F101">
        <f>'Costing 100 Lmin Feed Orig'!F101</f>
        <v>0</v>
      </c>
      <c r="G101">
        <f>'Costing 100 Lmin Feed Orig'!G101</f>
        <v>0</v>
      </c>
      <c r="H101">
        <f>'Costing 100 Lmin Feed Orig'!H101</f>
        <v>1.7771599281349402E-5</v>
      </c>
      <c r="I101">
        <f>'Costing 100 Lmin Feed Orig'!I101</f>
        <v>6.3113732322488897E-11</v>
      </c>
      <c r="J101">
        <f>'Costing 100 Lmin Feed Orig'!J101</f>
        <v>3.37661562480901E-4</v>
      </c>
      <c r="K101">
        <f>'Costing 100 Lmin Feed Orig'!K101</f>
        <v>0.13911791568267901</v>
      </c>
      <c r="L101">
        <f>'Costing 100 Lmin Feed Orig'!L101</f>
        <v>0.140740543921716</v>
      </c>
      <c r="M101">
        <f>'Costing 100 Lmin Feed Orig'!M101</f>
        <v>4.45543656000266E-4</v>
      </c>
      <c r="N101">
        <f>'Costing 100 Lmin Feed Orig'!N101</f>
        <v>-4.7646348672047899E-15</v>
      </c>
      <c r="O101">
        <f>'Costing 100 Lmin Feed Orig'!O101</f>
        <v>-1.1300289697036E-11</v>
      </c>
      <c r="P101">
        <f>'Costing 100 Lmin Feed Orig'!P101</f>
        <v>-4.6756218688437302E-19</v>
      </c>
      <c r="Q101">
        <f>'Costing 100 Lmin Feed Orig'!Q101</f>
        <v>0.10952322309941399</v>
      </c>
      <c r="R101">
        <f>'Costing 100 Lmin Feed Orig'!R101</f>
        <v>98.575430839799395</v>
      </c>
      <c r="S101">
        <f>'Costing 100 Lmin Feed Orig'!S101</f>
        <v>500</v>
      </c>
      <c r="T101">
        <f>'Costing 100 Lmin Feed Orig'!T101</f>
        <v>95</v>
      </c>
      <c r="U101">
        <f>'Costing 100 Lmin Feed Orig'!U101</f>
        <v>1</v>
      </c>
      <c r="V101">
        <f>'Costing 100 Lmin Feed Orig'!V101</f>
        <v>0.1</v>
      </c>
      <c r="W101">
        <f>'Costing 100 Lmin Feed Orig'!W101</f>
        <v>91.304836700459305</v>
      </c>
      <c r="X101" t="str">
        <f>'Costing 100 Lmin Feed Orig'!X101</f>
        <v>ddFc</v>
      </c>
      <c r="Y101">
        <f>'Costing 100 Lmin Feed Orig'!Y101</f>
        <v>1</v>
      </c>
      <c r="Z101">
        <f>'Costing 100 Lmin Feed Orig'!Z101</f>
        <v>0.28318429382522198</v>
      </c>
      <c r="AA101">
        <f>'Costing 100 Lmin Feed Orig'!AA101</f>
        <v>0.56945642916197003</v>
      </c>
      <c r="AB101">
        <f>'Costing 100 Lmin Feed Orig'!AB101</f>
        <v>3.7698628972227502E-3</v>
      </c>
      <c r="AC101">
        <f>'Costing 100 Lmin Feed Orig'!AC101</f>
        <v>1822.2107908876901</v>
      </c>
      <c r="AD101">
        <f>'Costing 100 Lmin Feed Orig'!AD101</f>
        <v>2662.6059073104898</v>
      </c>
      <c r="AE101">
        <f>'Costing 100 Lmin Feed Orig'!AE101</f>
        <v>2401.5030938442701</v>
      </c>
      <c r="AF101">
        <f>'Costing 100 Lmin Feed Orig'!AF101</f>
        <v>13</v>
      </c>
      <c r="AG101">
        <f>'Costing 100 Lmin Feed Orig'!AG101</f>
        <v>1.6497575706444501E-3</v>
      </c>
      <c r="AH101">
        <f>'Costing 100 Lmin Feed Orig'!AH101</f>
        <v>1.66899983148883E-3</v>
      </c>
      <c r="AI101">
        <f>'Costing 100 Lmin Feed Orig'!AI101</f>
        <v>5.28356837386519E-6</v>
      </c>
      <c r="AJ101">
        <f>'Costing 100 Lmin Feed Orig'!AJ101</f>
        <v>0</v>
      </c>
      <c r="AK101">
        <f>'Costing 100 Lmin Feed Orig'!AK101</f>
        <v>0</v>
      </c>
      <c r="AL101">
        <f>'Costing 100 Lmin Feed Orig'!AL101</f>
        <v>0</v>
      </c>
      <c r="AM101">
        <f>'Costing 100 Lmin Feed Orig'!AM101</f>
        <v>1.61281100796467E-3</v>
      </c>
      <c r="AN101">
        <f>'Costing 100 Lmin Feed Orig'!AN101</f>
        <v>7.9635968035451799E-5</v>
      </c>
      <c r="AO101">
        <f>'Costing 100 Lmin Feed Orig'!AO101</f>
        <v>5.2488218574256396E-6</v>
      </c>
      <c r="AP101">
        <f>'Costing 100 Lmin Feed Orig'!AP101</f>
        <v>1.73324465254427E-3</v>
      </c>
      <c r="AQ101">
        <f>'Costing 100 Lmin Feed Orig'!AQ101</f>
        <v>7.4560560373448506E-2</v>
      </c>
      <c r="AR101">
        <f>'Costing 100 Lmin Feed Orig'!AR101</f>
        <v>1.6300356364773401E-6</v>
      </c>
      <c r="AS101">
        <f>'Costing 100 Lmin Feed Orig'!AS101</f>
        <v>-7.4538899358378406E-20</v>
      </c>
      <c r="AT101">
        <f>'Costing 100 Lmin Feed Orig'!AT101</f>
        <v>-1.34441069388202E-17</v>
      </c>
      <c r="AU101">
        <f>'Costing 100 Lmin Feed Orig'!AU101</f>
        <v>3.44107134822059E-22</v>
      </c>
      <c r="AV101">
        <f>'Costing 100 Lmin Feed Orig'!AV101</f>
        <v>0.19687171261743899</v>
      </c>
      <c r="AW101">
        <f>'Costing 100 Lmin Feed Orig'!AW101</f>
        <v>99.3423664845254</v>
      </c>
      <c r="AX101">
        <f>'Costing 100 Lmin Feed Orig'!AX101</f>
        <v>500</v>
      </c>
      <c r="AY101">
        <f>'Costing 100 Lmin Feed Orig'!AY101</f>
        <v>95</v>
      </c>
      <c r="AZ101">
        <f>'Costing 100 Lmin Feed Orig'!AZ101</f>
        <v>0.92356857683566096</v>
      </c>
      <c r="BA101">
        <f>'Costing 100 Lmin Feed Orig'!BA101</f>
        <v>0.1</v>
      </c>
      <c r="BB101">
        <f>'Costing 100 Lmin Feed Orig'!BB101</f>
        <v>46.912203107123602</v>
      </c>
      <c r="BC101" t="str">
        <f>'Costing 100 Lmin Feed Orig'!BC101</f>
        <v>coeFc</v>
      </c>
      <c r="BD101">
        <f>'Costing 100 Lmin Feed Orig'!BD101</f>
        <v>1</v>
      </c>
      <c r="BE101">
        <f>'Costing 100 Lmin Feed Orig'!BE101</f>
        <v>1.8775014999999999E-2</v>
      </c>
      <c r="BF101">
        <f>'Costing 100 Lmin Feed Orig'!BF101</f>
        <v>0.10492961100000001</v>
      </c>
      <c r="BG101">
        <f>'Costing 100 Lmin Feed Orig'!BG101</f>
        <v>1.814625E-3</v>
      </c>
      <c r="BH101">
        <f>'Costing 100 Lmin Feed Orig'!BH101</f>
        <v>285.1951444</v>
      </c>
      <c r="BI101">
        <f>'Costing 100 Lmin Feed Orig'!BI101</f>
        <v>2169.8944889999998</v>
      </c>
      <c r="BJ101">
        <f>'Costing 100 Lmin Feed Orig'!BJ101</f>
        <v>866.49409060000005</v>
      </c>
      <c r="BK101">
        <f>'Costing 100 Lmin Feed Orig'!BK101</f>
        <v>100</v>
      </c>
      <c r="BL101">
        <f>'Costing 100 Lmin Feed Orig'!BL101</f>
        <v>10.952322309941399</v>
      </c>
      <c r="BM101">
        <f>'Costing 100 Lmin Feed Orig'!BM101</f>
        <v>92.356857683566091</v>
      </c>
      <c r="BN101">
        <f>'Costing 100 Lmin Feed Orig'!BN101</f>
        <v>19.687171261743899</v>
      </c>
      <c r="BO101">
        <f t="shared" si="20"/>
        <v>306.6650246783592</v>
      </c>
      <c r="BP101">
        <f t="shared" si="21"/>
        <v>590.61513785231693</v>
      </c>
      <c r="BQ101">
        <f t="shared" si="22"/>
        <v>30.666502467835922</v>
      </c>
      <c r="BR101">
        <f t="shared" si="23"/>
        <v>59.061513785231696</v>
      </c>
      <c r="BS101">
        <f>1.2*0.5*BL101*V101/'Oxidant Feed Composition'!$N$22</f>
        <v>6.5713933859648392</v>
      </c>
      <c r="BT101">
        <f>1.2*0.5*BN101*BA101/'Oxidant Feed Composition'!$N$22</f>
        <v>11.812302757046339</v>
      </c>
      <c r="BU101">
        <f t="shared" si="24"/>
        <v>5.4761611549706997</v>
      </c>
      <c r="BV101">
        <f t="shared" si="25"/>
        <v>9.8435856308719494</v>
      </c>
      <c r="BW101">
        <f t="shared" si="26"/>
        <v>86.880696528595394</v>
      </c>
      <c r="BX101">
        <f t="shared" si="19"/>
        <v>35.047431391812481</v>
      </c>
      <c r="BY101">
        <f t="shared" si="27"/>
        <v>206.61835998701497</v>
      </c>
      <c r="BZ101">
        <f t="shared" si="28"/>
        <v>62.998948037580476</v>
      </c>
      <c r="CA101">
        <f t="shared" si="29"/>
        <v>59.061513785231696</v>
      </c>
      <c r="CB101">
        <f>BO101*'Reagent cost'!$G$11*'Reagent cost'!$H$11</f>
        <v>4047.9783257543413</v>
      </c>
      <c r="CC101">
        <f>BP101*'Reagent cost'!$G$11*'Reagent cost'!$H$11</f>
        <v>7796.1198196505838</v>
      </c>
      <c r="CD101">
        <f>BQ101*'Reagent cost'!$C$18/1000*'Reagent cost'!$H$18</f>
        <v>4890.707695899031</v>
      </c>
      <c r="CE101">
        <f>BR101*'Ligand cost'!$B$56*'Ligand cost'!$J$56</f>
        <v>60132.165074850724</v>
      </c>
      <c r="CF101">
        <f t="shared" si="30"/>
        <v>10</v>
      </c>
      <c r="CG101">
        <f t="shared" si="31"/>
        <v>2.19046446198828</v>
      </c>
      <c r="CH101">
        <f t="shared" si="31"/>
        <v>3.9374342523487798</v>
      </c>
      <c r="CI101">
        <f>7963.6*(BX101/1000)^0.6*1.7*('CAPEX+OPEX'!$G$116/'CAPEX+OPEX'!$G$115)</f>
        <v>2138.1326451989207</v>
      </c>
      <c r="CJ101">
        <f>7963.6*(BY101/1000)^0.6*1.7*('CAPEX+OPEX'!$G$116/'CAPEX+OPEX'!$G$115)</f>
        <v>6199.2945816251477</v>
      </c>
      <c r="CK101">
        <f>7963.6*(BZ101/1000)^0.6*1.7*('CAPEX+OPEX'!$G$116/'CAPEX+OPEX'!$G$115)</f>
        <v>3039.7712730273583</v>
      </c>
      <c r="CL101">
        <f>7963.6*(CA101/1000)^0.6*1.7*('CAPEX+OPEX'!$G$116/'CAPEX+OPEX'!$G$115)</f>
        <v>2924.3117702301279</v>
      </c>
      <c r="CM101">
        <f>'Costing 100 Lmin Feed Orig'!DE101</f>
        <v>39625.826528698344</v>
      </c>
      <c r="CN101">
        <f>'Costing 100 Lmin Feed Orig'!DF101</f>
        <v>4586243.4239371875</v>
      </c>
      <c r="CO101">
        <f>'Costing 100 Lmin Feed Orig'!DG101</f>
        <v>11794834.586807497</v>
      </c>
      <c r="CP101">
        <f>'Costing 100 Lmin Feed Orig'!DH101</f>
        <v>2275209.1661185985</v>
      </c>
      <c r="CQ101">
        <f>'Costing 100 Lmin Feed Orig'!DI101</f>
        <v>14083914.336508472</v>
      </c>
      <c r="CR101">
        <f>'Costing 100 Lmin Feed Orig'!DJ101</f>
        <v>1662824.8986326549</v>
      </c>
      <c r="CS101">
        <f>CN101*(BK101/10000)^0.72*((A101+1)/3)^0.6*('CAPEX+OPEX'!$G$116/'CAPEX+OPEX'!$G$114)</f>
        <v>936765.86395108781</v>
      </c>
      <c r="CT101">
        <f>CO101*(BK101/10000)^0.72*((A101+1)/3)^0.6*('CAPEX+OPEX'!$G$116/'CAPEX+OPEX'!$G$114)</f>
        <v>2409160.916797909</v>
      </c>
      <c r="CU101">
        <f>CP101*(BK101/10000)^0.72*((A101+1)/3)^0.6*('CAPEX+OPEX'!$G$116/'CAPEX+OPEX'!$G$114)</f>
        <v>464724.19432521454</v>
      </c>
      <c r="CV101">
        <f>CQ101*(BK101/10000)^0.72*((A101+1)/3)^0.6*('CAPEX+OPEX'!$G$116/'CAPEX+OPEX'!$G$114)</f>
        <v>2876718.2553791031</v>
      </c>
      <c r="CW101">
        <f>CR101*(BK101/10000)^0.72*((A101+1)/3)^0.6*('CAPEX+OPEX'!$G$116/'CAPEX+OPEX'!$G$114)</f>
        <v>339641.28346021532</v>
      </c>
      <c r="CX101">
        <f t="shared" si="32"/>
        <v>7027010.5139135299</v>
      </c>
      <c r="CY101">
        <f>CN101*(BM101/10000)^0.72*((AF101+1)/3)^0.6*('CAPEX+OPEX'!$G$116/'CAPEX+OPEX'!$G$114)</f>
        <v>924867.78691671521</v>
      </c>
      <c r="CZ101">
        <f>CO101*(BM101/10000)^0.72*((AF101+1)/3)^0.6*('CAPEX+OPEX'!$G$116/'CAPEX+OPEX'!$G$114)</f>
        <v>2378561.6141553461</v>
      </c>
      <c r="DA101">
        <f>CP101*(BM101/10000)^0.72*((AF101+1)/3)^0.6*('CAPEX+OPEX'!$G$116/'CAPEX+OPEX'!$G$114)</f>
        <v>458821.62626995199</v>
      </c>
      <c r="DB101">
        <f>CQ101*(BM101/10000)^0.72*((AF101+1)/3)^0.6*('CAPEX+OPEX'!$G$116/'CAPEX+OPEX'!$G$114)</f>
        <v>2840180.400269479</v>
      </c>
      <c r="DC101">
        <f>CR101*(BM101/10000)^0.72*((AF101+1)/3)^0.6*('CAPEX+OPEX'!$G$116/'CAPEX+OPEX'!$G$114)</f>
        <v>335327.4220032891</v>
      </c>
      <c r="DD101">
        <f t="shared" si="33"/>
        <v>6937758.8496147813</v>
      </c>
      <c r="DE101">
        <f>CX101+DD101+1.15*(SUM(CI101:CL101)+SUM(CB101:CE101))</f>
        <v>14069613.116892483</v>
      </c>
      <c r="DF101">
        <f t="shared" si="34"/>
        <v>937974.20779283217</v>
      </c>
      <c r="DG101">
        <f>(BS101+BT101)*'Oxidant Feed Composition'!$N$29*60*7200</f>
        <v>9171100.967386432</v>
      </c>
      <c r="DH101">
        <f>((CG101+CH101)*'Reagent cost'!$C$17/1000*'Reagent cost'!$H$17+(CG101+CH101)*0.5*'Reagent cost'!$C$16/1000*'Reagent cost'!$H$16*0.5)*60*7200</f>
        <v>3104843.0313328383</v>
      </c>
      <c r="DI101">
        <f>CF101*'Reagent cost'!$C$17/1000*'Reagent cost'!$H$17*60*7200</f>
        <v>504921.59999999998</v>
      </c>
      <c r="DJ101">
        <f t="shared" si="35"/>
        <v>118.44098145404925</v>
      </c>
      <c r="DK101">
        <f t="shared" si="36"/>
        <v>1300.4574554149951</v>
      </c>
      <c r="DL101">
        <f t="shared" si="37"/>
        <v>15338741.396587366</v>
      </c>
      <c r="DM101">
        <f>BK101*(B101*(409.81+2)/1000+C101*(248.2+2*22.99)/1000+D101*(315.6+3*22.99)/1000+0.1*58.44/1000)</f>
        <v>0.70639694042110623</v>
      </c>
      <c r="DN101">
        <f>(BS101+BT101)/1000*('Oxidant Feed Composition'!$B$11*'Oxidant Feed Composition'!$O$20+'Oxidant Feed Composition'!$D$11*'Oxidant Feed Composition'!$O$21+'Oxidant Feed Composition'!$F$11*'Oxidant Feed Composition'!$O$27-'Oxidant Feed Composition'!$J$15*18.015)</f>
        <v>2.1469314975613343</v>
      </c>
      <c r="DO101">
        <f>(BU101+BV101)/1000*(0.2*368.34+0.4*58.44)</f>
        <v>1.4866895070853141</v>
      </c>
      <c r="DP101">
        <f>BK101/1000*(B101*195.08+C101*106.42+D101*102.91)</f>
        <v>4.999938342565946E-2</v>
      </c>
      <c r="DQ101">
        <f>SUM(DM101:DO101)-DP101</f>
        <v>4.2900185616420945</v>
      </c>
      <c r="DR101">
        <f>DQ101*60*7200*0.33</f>
        <v>611585.04614769702</v>
      </c>
      <c r="DS101">
        <v>1.2</v>
      </c>
      <c r="DT101">
        <f>BM101/60*(AM101*4+AN101*2+AO101*3)*96485/DV101</f>
        <v>1405.8801244031877</v>
      </c>
      <c r="DU101">
        <f>BN101*BA101*(AP101*4+AQ101*2+AR101*3)*96485/DV101/60</f>
        <v>705.80157063484023</v>
      </c>
      <c r="DV101">
        <v>0.7</v>
      </c>
      <c r="DW101">
        <f>0.499*((BK101/3.78541*15)^(-0.146))*BK101/3.78541*15*300*(1+(A101-2)/9)</f>
        <v>52288.524762496963</v>
      </c>
      <c r="DX101">
        <f>0.248*((BK101/3.78541*15)^(-0.144))*BK101/3.78541*15*300*(1+(A101-2)/3)</f>
        <v>53983.928663982973</v>
      </c>
      <c r="DY101">
        <f>0.105*((BK101/3.78541*15)^(-0.144))*BK101/3.78541*15*300*(1+(A101-2)/3)</f>
        <v>22856.098829508919</v>
      </c>
      <c r="DZ101">
        <f>0.058*((BK101/3.78541*15)^(-0.151))*BK101/3.78541*15*300*(1+(A101-2)/3)</f>
        <v>12107.513206066582</v>
      </c>
      <c r="EA101">
        <f>0.056*((BK101/3.78541*15)^(-0.144))*BK101/3.78541*15*300*(1+(A101-2)/3)</f>
        <v>12189.919375738094</v>
      </c>
      <c r="EB101">
        <f>DS101*DT101/(3.6*10^6)*3600*7200*0.07</f>
        <v>850.27629923904806</v>
      </c>
      <c r="EC101">
        <f>0.499*((BM101/3.78541*15)^(-0.146))*BM101/3.78541*15*300*(1+(AF101-2)/9)</f>
        <v>51427.265951732537</v>
      </c>
      <c r="ED101">
        <f>0.248*((BM101/3.78541*15)^(-0.144))*BM101/3.78541*15*300*(1+(AF101-2)/3)</f>
        <v>54311.370411485019</v>
      </c>
      <c r="EE101">
        <f>0.105*((BM101/3.78541*15)^(-0.144))*BM101/3.78541*15*300*(1+(AF101-2)/3)</f>
        <v>22994.733440346474</v>
      </c>
      <c r="EF101">
        <f>0.058*((BM101/3.78541*15)^(-0.151))*BM101/3.78541*15*300*(1+(AF101-2)/3)</f>
        <v>12187.733285671078</v>
      </c>
      <c r="EG101">
        <f>0.056*((BM101/3.78541*15)^(-0.144))*BM101/3.78541*15*300*(1+(AF101-2)/3)</f>
        <v>12263.857834851457</v>
      </c>
      <c r="EH101">
        <f>DS101*DU101/(3.6*10^6)*3600*7200*0.07</f>
        <v>426.86878991995138</v>
      </c>
      <c r="EI101">
        <f>SUM(DW101:EH101)</f>
        <v>307888.0908510391</v>
      </c>
      <c r="EJ101">
        <f>EI101+DR101+DL101</f>
        <v>16258214.533586102</v>
      </c>
      <c r="EK101">
        <f>EJ101+DF101</f>
        <v>17196188.741378933</v>
      </c>
      <c r="EL101">
        <f>EK101/(BK101*60*7200)</f>
        <v>0.39805992456895678</v>
      </c>
      <c r="EM101">
        <f>EK101/(BM101*(AM101*195.084/1000+AN101*106.42/1000+AO101*102.911/1000)*60*7200)</f>
        <v>1331.6972916728666</v>
      </c>
      <c r="EN101">
        <f>EK101/(BN101*BA101*(AP101*195.084/1000+AQ101*106.42/1000+AR101*102.911/1000)*60*7200)</f>
        <v>2443.9960041272457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F53C-5896-4545-8279-5D639B6F85B0}">
  <dimension ref="A1:CI101"/>
  <sheetViews>
    <sheetView topLeftCell="BZ79" zoomScale="85" zoomScaleNormal="85" workbookViewId="0">
      <selection activeCell="CI2" sqref="CI2:CI101"/>
    </sheetView>
  </sheetViews>
  <sheetFormatPr defaultColWidth="8.85546875" defaultRowHeight="15"/>
  <cols>
    <col min="1" max="1" width="8.85546875" style="61"/>
    <col min="2" max="2" width="12.85546875" style="61" bestFit="1" customWidth="1"/>
    <col min="3" max="4" width="13.5703125" style="61" bestFit="1" customWidth="1"/>
    <col min="5" max="25" width="8.85546875" style="61"/>
    <col min="26" max="26" width="31.140625" style="61" bestFit="1" customWidth="1"/>
    <col min="27" max="28" width="31.7109375" style="61" bestFit="1" customWidth="1"/>
    <col min="29" max="29" width="15.140625" style="61" customWidth="1"/>
    <col min="30" max="30" width="22" style="61" bestFit="1" customWidth="1"/>
    <col min="31" max="31" width="22.5703125" style="61" bestFit="1" customWidth="1"/>
    <col min="32" max="32" width="24.28515625" style="61" bestFit="1" customWidth="1"/>
    <col min="33" max="33" width="22.5703125" style="61" bestFit="1" customWidth="1"/>
    <col min="34" max="34" width="31.140625" style="61" customWidth="1"/>
    <col min="35" max="35" width="32.42578125" style="61" bestFit="1" customWidth="1"/>
    <col min="36" max="36" width="30.42578125" style="61" customWidth="1"/>
    <col min="37" max="37" width="30.140625" style="61" bestFit="1" customWidth="1"/>
    <col min="38" max="38" width="33.5703125" style="61" customWidth="1"/>
    <col min="39" max="39" width="35.28515625" style="61" bestFit="1" customWidth="1"/>
    <col min="40" max="40" width="28.5703125" style="61" customWidth="1"/>
    <col min="41" max="41" width="30.85546875" style="61" bestFit="1" customWidth="1"/>
    <col min="42" max="42" width="32.7109375" style="61" bestFit="1" customWidth="1"/>
    <col min="43" max="43" width="32.5703125" style="61" customWidth="1"/>
    <col min="44" max="44" width="20.85546875" style="61" customWidth="1"/>
    <col min="45" max="45" width="26.85546875" style="61" bestFit="1" customWidth="1"/>
    <col min="46" max="47" width="28.28515625" style="61" bestFit="1" customWidth="1"/>
    <col min="48" max="48" width="37.28515625" style="61" customWidth="1"/>
    <col min="49" max="50" width="34.5703125" style="61" bestFit="1" customWidth="1"/>
    <col min="51" max="51" width="31.28515625" style="61" bestFit="1" customWidth="1"/>
    <col min="52" max="53" width="29.85546875" style="61" bestFit="1" customWidth="1"/>
    <col min="54" max="54" width="23.28515625" style="61" bestFit="1" customWidth="1"/>
    <col min="55" max="55" width="25.140625" style="61" bestFit="1" customWidth="1"/>
    <col min="56" max="56" width="18.85546875" style="61" bestFit="1" customWidth="1"/>
    <col min="57" max="57" width="16.7109375" style="61" bestFit="1" customWidth="1"/>
    <col min="58" max="58" width="34.140625" style="61" bestFit="1" customWidth="1"/>
    <col min="59" max="60" width="35.5703125" style="61" bestFit="1" customWidth="1"/>
    <col min="61" max="61" width="32.28515625" style="61" bestFit="1" customWidth="1"/>
    <col min="62" max="62" width="33.28515625" style="61" bestFit="1" customWidth="1"/>
    <col min="63" max="63" width="33.140625" style="61" bestFit="1" customWidth="1"/>
    <col min="64" max="64" width="41.85546875" style="61" bestFit="1" customWidth="1"/>
    <col min="65" max="65" width="20" style="61" bestFit="1" customWidth="1"/>
    <col min="66" max="66" width="26.7109375" style="61" bestFit="1" customWidth="1"/>
    <col min="67" max="67" width="43" style="61" customWidth="1"/>
    <col min="68" max="68" width="40.5703125" style="61" bestFit="1" customWidth="1"/>
    <col min="69" max="69" width="26" style="61" bestFit="1" customWidth="1"/>
    <col min="70" max="70" width="48" style="61" bestFit="1" customWidth="1"/>
    <col min="71" max="71" width="43.85546875" style="61" bestFit="1" customWidth="1"/>
    <col min="72" max="72" width="33" style="61" bestFit="1" customWidth="1"/>
    <col min="73" max="73" width="27.140625" style="61" bestFit="1" customWidth="1"/>
    <col min="74" max="74" width="46.140625" style="61" bestFit="1" customWidth="1"/>
    <col min="75" max="75" width="43.5703125" style="61" bestFit="1" customWidth="1"/>
    <col min="76" max="76" width="26.28515625" style="61" bestFit="1" customWidth="1"/>
    <col min="77" max="77" width="51.140625" style="61" bestFit="1" customWidth="1"/>
    <col min="78" max="78" width="31.85546875" style="61" bestFit="1" customWidth="1"/>
    <col min="79" max="79" width="27.140625" style="61" bestFit="1" customWidth="1"/>
    <col min="80" max="81" width="30.28515625" style="61" bestFit="1" customWidth="1"/>
    <col min="82" max="82" width="25" style="61" bestFit="1" customWidth="1"/>
    <col min="83" max="83" width="22.28515625" style="61" bestFit="1" customWidth="1"/>
    <col min="84" max="85" width="31.5703125" style="61" bestFit="1" customWidth="1"/>
    <col min="86" max="87" width="33.28515625" style="61" bestFit="1" customWidth="1"/>
    <col min="88" max="16384" width="8.85546875" style="61"/>
  </cols>
  <sheetData>
    <row r="1" spans="1:87">
      <c r="A1" s="61" t="s">
        <v>261</v>
      </c>
      <c r="B1" s="61" t="s">
        <v>262</v>
      </c>
      <c r="C1" s="61" t="s">
        <v>263</v>
      </c>
      <c r="D1" s="61" t="s">
        <v>264</v>
      </c>
      <c r="E1" s="61" t="s">
        <v>265</v>
      </c>
      <c r="F1" s="61" t="s">
        <v>266</v>
      </c>
      <c r="G1" s="61" t="s">
        <v>267</v>
      </c>
      <c r="H1" s="61" t="s">
        <v>268</v>
      </c>
      <c r="I1" s="61" t="s">
        <v>269</v>
      </c>
      <c r="J1" s="61" t="s">
        <v>270</v>
      </c>
      <c r="K1" s="61" t="s">
        <v>271</v>
      </c>
      <c r="L1" s="61" t="s">
        <v>272</v>
      </c>
      <c r="M1" s="61" t="s">
        <v>273</v>
      </c>
      <c r="N1" s="61" t="s">
        <v>284</v>
      </c>
      <c r="O1" s="61" t="s">
        <v>282</v>
      </c>
      <c r="P1" s="61" t="s">
        <v>292</v>
      </c>
      <c r="Q1" s="61" t="s">
        <v>293</v>
      </c>
      <c r="R1" s="61" t="s">
        <v>294</v>
      </c>
      <c r="S1" s="61" t="s">
        <v>295</v>
      </c>
      <c r="T1" s="61" t="s">
        <v>296</v>
      </c>
      <c r="U1" s="61" t="s">
        <v>297</v>
      </c>
      <c r="V1" s="61" t="s">
        <v>298</v>
      </c>
      <c r="W1" s="61" t="s">
        <v>299</v>
      </c>
      <c r="X1" s="61" t="s">
        <v>300</v>
      </c>
      <c r="Y1" s="61" t="s">
        <v>301</v>
      </c>
      <c r="Z1" s="61" t="s">
        <v>302</v>
      </c>
      <c r="AA1" s="61" t="s">
        <v>303</v>
      </c>
      <c r="AB1" s="61" t="s">
        <v>304</v>
      </c>
      <c r="AC1" s="61" t="s">
        <v>313</v>
      </c>
      <c r="AD1" s="61" t="s">
        <v>324</v>
      </c>
      <c r="AE1" s="61" t="s">
        <v>325</v>
      </c>
      <c r="AF1" s="61" t="s">
        <v>326</v>
      </c>
      <c r="AG1" s="61" t="s">
        <v>327</v>
      </c>
      <c r="AH1" s="61" t="s">
        <v>479</v>
      </c>
      <c r="AI1" s="61" t="s">
        <v>480</v>
      </c>
      <c r="AJ1" s="61" t="s">
        <v>481</v>
      </c>
      <c r="AK1" s="61" t="s">
        <v>482</v>
      </c>
      <c r="AL1" s="61" t="s">
        <v>483</v>
      </c>
      <c r="AM1" s="61" t="s">
        <v>484</v>
      </c>
      <c r="AN1" s="61" t="s">
        <v>485</v>
      </c>
      <c r="AO1" s="61" t="s">
        <v>486</v>
      </c>
      <c r="AP1" s="61" t="s">
        <v>487</v>
      </c>
      <c r="AQ1" s="61" t="s">
        <v>488</v>
      </c>
      <c r="AR1" s="61" t="s">
        <v>489</v>
      </c>
      <c r="AS1" s="61" t="s">
        <v>490</v>
      </c>
      <c r="AT1" s="61" t="s">
        <v>491</v>
      </c>
      <c r="AU1" s="61" t="s">
        <v>492</v>
      </c>
      <c r="AV1" s="61" t="s">
        <v>493</v>
      </c>
      <c r="AW1" s="61" t="s">
        <v>494</v>
      </c>
      <c r="AX1" s="61" t="s">
        <v>495</v>
      </c>
      <c r="AY1" s="61" t="s">
        <v>496</v>
      </c>
      <c r="AZ1" s="61" t="s">
        <v>497</v>
      </c>
      <c r="BA1" s="61" t="s">
        <v>498</v>
      </c>
      <c r="BB1" s="61" t="s">
        <v>499</v>
      </c>
      <c r="BC1" s="61" t="s">
        <v>500</v>
      </c>
      <c r="BD1" s="61" t="s">
        <v>501</v>
      </c>
      <c r="BE1" s="61" t="s">
        <v>502</v>
      </c>
      <c r="BF1" s="61" t="s">
        <v>503</v>
      </c>
      <c r="BG1" s="61" t="s">
        <v>504</v>
      </c>
      <c r="BH1" s="61" t="s">
        <v>505</v>
      </c>
      <c r="BI1" s="61" t="s">
        <v>506</v>
      </c>
      <c r="BJ1" s="61" t="s">
        <v>507</v>
      </c>
      <c r="BK1" s="61" t="s">
        <v>508</v>
      </c>
      <c r="BL1" s="61" t="s">
        <v>509</v>
      </c>
      <c r="BM1" s="61" t="s">
        <v>510</v>
      </c>
      <c r="BN1" s="61" t="s">
        <v>511</v>
      </c>
      <c r="BO1" s="61" t="s">
        <v>512</v>
      </c>
      <c r="BP1" s="61" t="s">
        <v>513</v>
      </c>
      <c r="BQ1" s="68" t="s">
        <v>514</v>
      </c>
      <c r="BR1" s="61" t="s">
        <v>515</v>
      </c>
      <c r="BS1" s="61" t="s">
        <v>516</v>
      </c>
      <c r="BT1" s="61" t="s">
        <v>517</v>
      </c>
      <c r="BU1" s="61" t="s">
        <v>518</v>
      </c>
      <c r="BV1" s="61" t="s">
        <v>519</v>
      </c>
      <c r="BW1" s="61" t="s">
        <v>520</v>
      </c>
      <c r="BX1" s="68" t="s">
        <v>521</v>
      </c>
      <c r="BY1" s="61" t="s">
        <v>522</v>
      </c>
      <c r="BZ1" s="61" t="s">
        <v>523</v>
      </c>
      <c r="CA1" s="61" t="s">
        <v>616</v>
      </c>
      <c r="CB1" s="61" t="s">
        <v>579</v>
      </c>
      <c r="CC1" s="80" t="s">
        <v>580</v>
      </c>
      <c r="CD1" s="80" t="s">
        <v>581</v>
      </c>
      <c r="CE1" s="80" t="s">
        <v>582</v>
      </c>
      <c r="CF1" t="s">
        <v>583</v>
      </c>
      <c r="CG1" t="s">
        <v>584</v>
      </c>
      <c r="CH1" t="s">
        <v>636</v>
      </c>
      <c r="CI1" t="s">
        <v>637</v>
      </c>
    </row>
    <row r="2" spans="1:87">
      <c r="A2" s="61">
        <v>3</v>
      </c>
      <c r="B2" s="61">
        <v>1.54143585092054E-3</v>
      </c>
      <c r="C2" s="61">
        <v>1.54143585092054E-3</v>
      </c>
      <c r="D2" s="61">
        <v>3.4254130020456501E-4</v>
      </c>
      <c r="E2" s="61">
        <v>0</v>
      </c>
      <c r="F2" s="61">
        <v>0</v>
      </c>
      <c r="G2" s="61">
        <v>0</v>
      </c>
      <c r="H2" s="69">
        <v>1.6300358850230801E-5</v>
      </c>
      <c r="I2" s="69">
        <v>7.4474859607128495E-7</v>
      </c>
      <c r="J2" s="61">
        <v>3.2385704147932398E-4</v>
      </c>
      <c r="K2" s="61">
        <v>8.07271092797512E-2</v>
      </c>
      <c r="L2" s="61">
        <v>8.15504849440159E-2</v>
      </c>
      <c r="M2" s="61">
        <v>9.8897848995466706E-4</v>
      </c>
      <c r="N2" s="61" t="s">
        <v>323</v>
      </c>
      <c r="O2" s="61">
        <v>0.1</v>
      </c>
      <c r="P2" s="61">
        <v>4</v>
      </c>
      <c r="Q2" s="61">
        <v>1.6455478770638001E-3</v>
      </c>
      <c r="R2" s="61">
        <v>1.66233163271225E-3</v>
      </c>
      <c r="S2" s="61">
        <v>2.0159416943409301E-5</v>
      </c>
      <c r="T2" s="61">
        <v>0</v>
      </c>
      <c r="U2" s="61">
        <v>0</v>
      </c>
      <c r="V2" s="61">
        <v>0</v>
      </c>
      <c r="W2" s="61">
        <v>1.5983351284394301E-3</v>
      </c>
      <c r="X2" s="61">
        <v>6.4131851460064998E-5</v>
      </c>
      <c r="Y2" s="61">
        <v>1.99910500367739E-5</v>
      </c>
      <c r="Z2" s="61">
        <v>2.04098585158686E-3</v>
      </c>
      <c r="AA2" s="61">
        <v>6.9089456483383896E-2</v>
      </c>
      <c r="AB2" s="61">
        <v>7.2784255170584696E-6</v>
      </c>
      <c r="AC2" s="61">
        <v>0.1</v>
      </c>
      <c r="AD2" s="61">
        <v>100</v>
      </c>
      <c r="AE2" s="61">
        <v>18.892482409907799</v>
      </c>
      <c r="AF2" s="61">
        <v>92.6825353019658</v>
      </c>
      <c r="AG2" s="61">
        <v>21.439625549974</v>
      </c>
      <c r="AH2" s="61">
        <f t="shared" ref="AH2:AH65" si="0">AE2*O2</f>
        <v>1.88924824099078</v>
      </c>
      <c r="AI2" s="61">
        <f>AG2*AC2</f>
        <v>2.1439625549974002</v>
      </c>
      <c r="AJ2" s="61">
        <f>AH2</f>
        <v>1.88924824099078</v>
      </c>
      <c r="AK2" s="61">
        <f>AI2</f>
        <v>2.1439625549974002</v>
      </c>
      <c r="AL2" s="61">
        <f t="shared" ref="AL2:AL65" si="1">AE2*O2*(K2*2+L2*2+M2*3)</f>
        <v>0.61877059649650878</v>
      </c>
      <c r="AM2" s="61">
        <f>AJ2-AL2</f>
        <v>1.2704776444942714</v>
      </c>
      <c r="AN2" s="61">
        <f>AJ2-AM2</f>
        <v>0.61877059649650867</v>
      </c>
      <c r="AO2" s="69">
        <f t="shared" ref="AO2:AO65" si="2">H2*AD2</f>
        <v>1.6300358850230802E-3</v>
      </c>
      <c r="AP2" s="69">
        <f t="shared" ref="AP2:AP65" si="3">I2*AD2</f>
        <v>7.4474859607128499E-5</v>
      </c>
      <c r="AQ2" s="69">
        <f t="shared" ref="AQ2:AQ65" si="4">J2*AD2</f>
        <v>3.2385704147932397E-2</v>
      </c>
      <c r="AR2" s="61">
        <f>0.1*AD2</f>
        <v>10</v>
      </c>
      <c r="AS2" s="69">
        <f t="shared" ref="AS2:AS65" si="5">AD2*B2</f>
        <v>0.154143585092054</v>
      </c>
      <c r="AT2" s="70">
        <f t="shared" ref="AT2:AT65" si="6">AD2*C2</f>
        <v>0.154143585092054</v>
      </c>
      <c r="AU2" s="69">
        <f t="shared" ref="AU2:AU65" si="7">AD2*D2</f>
        <v>3.4254130020456498E-2</v>
      </c>
      <c r="AV2" s="69">
        <f t="shared" ref="AV2:AX33" si="8">AS2-AO2</f>
        <v>0.15251354920703092</v>
      </c>
      <c r="AW2" s="70">
        <f t="shared" si="8"/>
        <v>0.15406911023244688</v>
      </c>
      <c r="AX2" s="69">
        <f t="shared" si="8"/>
        <v>1.8684258725241015E-3</v>
      </c>
      <c r="AY2" s="69">
        <f t="shared" ref="AY2:AY65" si="9">AF2*W2</f>
        <v>0.14813775196595952</v>
      </c>
      <c r="AZ2" s="61">
        <f t="shared" ref="AZ2:AZ65" si="10">AF2*X2</f>
        <v>5.9439025869279013E-3</v>
      </c>
      <c r="BA2" s="61">
        <f t="shared" ref="BA2:BA65" si="11">AF2*Y2</f>
        <v>1.8528212007566617E-3</v>
      </c>
      <c r="BB2" s="69">
        <f t="shared" ref="BB2:BB65" si="12">AY2/SUM(AY2:BA2)*100</f>
        <v>94.999999999998479</v>
      </c>
      <c r="BC2" s="69">
        <f t="shared" ref="BC2:BC65" si="13">SUM(AY2:BA2)</f>
        <v>0.15593447575364408</v>
      </c>
      <c r="BD2" s="69">
        <f t="shared" ref="BD2:BD65" si="14">AY2*2+AZ2*1+BA2*3/2</f>
        <v>0.30499863831998192</v>
      </c>
      <c r="BE2" s="69">
        <f t="shared" ref="BE2:BE65" si="15">AY2*2+AZ2*2+BA2*3</f>
        <v>0.3137217727080448</v>
      </c>
      <c r="BF2" s="61">
        <f t="shared" ref="BF2:BF65" si="16">AG2*AC2*Z2</f>
        <v>4.3757972410817091E-3</v>
      </c>
      <c r="BG2" s="61">
        <f t="shared" ref="BG2:BG65" si="17">AG2*AC2*AA2</f>
        <v>0.14812520764549744</v>
      </c>
      <c r="BH2" s="61">
        <f t="shared" ref="BH2:BH65" si="18">AG2*AC2*AB2</f>
        <v>1.560467176791095E-5</v>
      </c>
      <c r="BI2" s="61">
        <f t="shared" ref="BI2:BI65" si="19">BF2*2+BG2*2+BH2*3</f>
        <v>0.30504882378846199</v>
      </c>
      <c r="BJ2" s="61">
        <f t="shared" ref="BJ2:BJ65" si="20">AK2-BI2</f>
        <v>1.8389137312089381</v>
      </c>
      <c r="BK2" s="61">
        <f t="shared" ref="BK2:BK65" si="21">BI2</f>
        <v>0.30504882378846199</v>
      </c>
      <c r="BL2" s="61">
        <f>BK2+AM2</f>
        <v>1.5755264682827335</v>
      </c>
      <c r="BM2" s="61">
        <f>2*BF2+BG2+3/2*BH2</f>
        <v>0.15690020913531272</v>
      </c>
      <c r="BN2" s="61">
        <f>2*BF2+BG2*2+3*BH2</f>
        <v>0.30504882378846199</v>
      </c>
      <c r="BO2" s="69">
        <f t="shared" ref="BO2:BO65" si="22">BL2</f>
        <v>1.5755264682827335</v>
      </c>
      <c r="BP2" s="69">
        <f t="shared" ref="BP2:BP65" si="23">BE2</f>
        <v>0.3137217727080448</v>
      </c>
      <c r="BQ2" s="64">
        <f>AJ2*2</f>
        <v>3.7784964819815601</v>
      </c>
      <c r="BR2" s="69">
        <f t="shared" ref="BR2:BR65" si="24">AJ2/(BQ2+BE2)*BP2</f>
        <v>0.14483545851200919</v>
      </c>
      <c r="BS2" s="61">
        <f t="shared" ref="BS2:BS65" si="25">BO2/BR2*AJ2</f>
        <v>20.55132520321856</v>
      </c>
      <c r="BT2" s="61">
        <f t="shared" ref="BT2:BT65" si="26">BS2-BK2</f>
        <v>20.2462763794301</v>
      </c>
      <c r="BU2" s="61">
        <f>BT2-AM2</f>
        <v>18.975798734935829</v>
      </c>
      <c r="BV2" s="61">
        <f>BJ2</f>
        <v>1.8389137312089381</v>
      </c>
      <c r="BW2" s="61">
        <f>BN2</f>
        <v>0.30504882378846199</v>
      </c>
      <c r="BX2" s="64">
        <f>AK2*2</f>
        <v>4.2879251099948004</v>
      </c>
      <c r="BY2" s="61">
        <f>AK2/(BX2+BN2)*BW2</f>
        <v>0.14239428855407149</v>
      </c>
      <c r="BZ2" s="61">
        <f>BV2/BY2*AK2</f>
        <v>27.687642682981664</v>
      </c>
      <c r="CA2" s="61">
        <f>BZ2-BJ2</f>
        <v>25.848728951772728</v>
      </c>
      <c r="CB2" s="61">
        <f>AE2*O2/0.2</f>
        <v>9.4462412049538997</v>
      </c>
      <c r="CC2" s="61">
        <f>AG2*AC2/0.2</f>
        <v>10.719812774987</v>
      </c>
      <c r="CD2" s="61">
        <f>CB2*'Oxidant Feed Composition'!$N$22</f>
        <v>0.94462412049539002</v>
      </c>
      <c r="CE2" s="61">
        <f>CC2*'Oxidant Feed Composition'!$N$22</f>
        <v>1.0719812774987001</v>
      </c>
      <c r="CF2" s="61">
        <f>1.2*CB2</f>
        <v>11.335489445944679</v>
      </c>
      <c r="CG2" s="61">
        <f>CC2*1.2</f>
        <v>12.863775329984399</v>
      </c>
      <c r="CH2" s="61">
        <f>BY2/('TEA Revised EYZ Inc'!CA2*'TEA Revised EYZ Inc'!BZ2)</f>
        <v>1.9999999999999993E-2</v>
      </c>
      <c r="CI2" s="84">
        <f>BR2/('TEA Revised EYZ Inc'!BY2)</f>
        <v>2.0384080289080189E-2</v>
      </c>
    </row>
    <row r="3" spans="1:87">
      <c r="A3" s="61">
        <v>3</v>
      </c>
      <c r="B3" s="61">
        <v>1.54143585092054E-3</v>
      </c>
      <c r="C3" s="61">
        <v>1.54143585092054E-3</v>
      </c>
      <c r="D3" s="61">
        <v>3.4254130020456501E-4</v>
      </c>
      <c r="E3" s="61">
        <v>0</v>
      </c>
      <c r="F3" s="61">
        <v>0</v>
      </c>
      <c r="G3" s="61">
        <v>0</v>
      </c>
      <c r="H3" s="69">
        <v>1.6300358850230801E-5</v>
      </c>
      <c r="I3" s="69">
        <v>7.4474859607128495E-7</v>
      </c>
      <c r="J3" s="61">
        <v>3.2385704147932398E-4</v>
      </c>
      <c r="K3" s="61">
        <v>8.07271092797512E-2</v>
      </c>
      <c r="L3" s="61">
        <v>8.15504849440159E-2</v>
      </c>
      <c r="M3" s="61">
        <v>9.8897848995466706E-4</v>
      </c>
      <c r="N3" s="61" t="s">
        <v>323</v>
      </c>
      <c r="O3" s="61">
        <v>0.1</v>
      </c>
      <c r="P3" s="61">
        <v>5</v>
      </c>
      <c r="Q3" s="61">
        <v>1.6455478770638001E-3</v>
      </c>
      <c r="R3" s="61">
        <v>1.66233163271225E-3</v>
      </c>
      <c r="S3" s="61">
        <v>2.0159416943409301E-5</v>
      </c>
      <c r="T3" s="61">
        <v>0</v>
      </c>
      <c r="U3" s="61">
        <v>0</v>
      </c>
      <c r="V3" s="61">
        <v>0</v>
      </c>
      <c r="W3" s="61">
        <v>1.6052842060858799E-3</v>
      </c>
      <c r="X3" s="61">
        <v>6.4473619347604606E-5</v>
      </c>
      <c r="Y3" s="61">
        <v>2.0015023078929502E-5</v>
      </c>
      <c r="Z3" s="61">
        <v>1.83001337116067E-3</v>
      </c>
      <c r="AA3" s="61">
        <v>7.2623818410792906E-2</v>
      </c>
      <c r="AB3" s="61">
        <v>6.5628070240175303E-6</v>
      </c>
      <c r="AC3" s="61">
        <v>0.1</v>
      </c>
      <c r="AD3" s="61">
        <v>100</v>
      </c>
      <c r="AE3" s="61">
        <v>18.892482409907799</v>
      </c>
      <c r="AF3" s="61">
        <v>92.6825353019658</v>
      </c>
      <c r="AG3" s="61">
        <v>20.3918679814538</v>
      </c>
      <c r="AH3" s="61">
        <f t="shared" si="0"/>
        <v>1.88924824099078</v>
      </c>
      <c r="AI3" s="61">
        <f t="shared" ref="AI3:AI66" si="27">AG3*AC3</f>
        <v>2.03918679814538</v>
      </c>
      <c r="AJ3" s="61">
        <f t="shared" ref="AJ3:AK66" si="28">AH3</f>
        <v>1.88924824099078</v>
      </c>
      <c r="AK3" s="61">
        <f>AI3</f>
        <v>2.03918679814538</v>
      </c>
      <c r="AL3" s="61">
        <f t="shared" si="1"/>
        <v>0.61877059649650878</v>
      </c>
      <c r="AM3" s="61">
        <f t="shared" ref="AM3:AM66" si="29">AJ3-AL3</f>
        <v>1.2704776444942714</v>
      </c>
      <c r="AN3" s="61">
        <f t="shared" ref="AN3:AN66" si="30">AJ3-AM3</f>
        <v>0.61877059649650867</v>
      </c>
      <c r="AO3" s="69">
        <f t="shared" si="2"/>
        <v>1.6300358850230802E-3</v>
      </c>
      <c r="AP3" s="69">
        <f t="shared" si="3"/>
        <v>7.4474859607128499E-5</v>
      </c>
      <c r="AQ3" s="69">
        <f t="shared" si="4"/>
        <v>3.2385704147932397E-2</v>
      </c>
      <c r="AR3" s="61">
        <f t="shared" ref="AR3:AR66" si="31">0.1*AD3</f>
        <v>10</v>
      </c>
      <c r="AS3" s="69">
        <f t="shared" si="5"/>
        <v>0.154143585092054</v>
      </c>
      <c r="AT3" s="70">
        <f t="shared" si="6"/>
        <v>0.154143585092054</v>
      </c>
      <c r="AU3" s="69">
        <f t="shared" si="7"/>
        <v>3.4254130020456498E-2</v>
      </c>
      <c r="AV3" s="69">
        <f t="shared" si="8"/>
        <v>0.15251354920703092</v>
      </c>
      <c r="AW3" s="70">
        <f t="shared" si="8"/>
        <v>0.15406911023244688</v>
      </c>
      <c r="AX3" s="69">
        <f t="shared" si="8"/>
        <v>1.8684258725241015E-3</v>
      </c>
      <c r="AY3" s="69">
        <f t="shared" si="9"/>
        <v>0.14878181010024272</v>
      </c>
      <c r="AZ3" s="61">
        <f t="shared" si="10"/>
        <v>5.9755785012298689E-3</v>
      </c>
      <c r="BA3" s="61">
        <f t="shared" si="11"/>
        <v>1.8550430830825437E-3</v>
      </c>
      <c r="BB3" s="69">
        <f t="shared" si="12"/>
        <v>94.999999999945956</v>
      </c>
      <c r="BC3" s="69">
        <f t="shared" si="13"/>
        <v>0.15661243168455513</v>
      </c>
      <c r="BD3" s="69">
        <f t="shared" si="14"/>
        <v>0.30632176332633915</v>
      </c>
      <c r="BE3" s="69">
        <f t="shared" si="15"/>
        <v>0.3150799064521928</v>
      </c>
      <c r="BF3" s="61">
        <f t="shared" si="16"/>
        <v>3.7317391069003596E-3</v>
      </c>
      <c r="BG3" s="61">
        <f t="shared" si="17"/>
        <v>0.14809353173419629</v>
      </c>
      <c r="BH3" s="61">
        <f t="shared" si="18"/>
        <v>1.3382789442152318E-5</v>
      </c>
      <c r="BI3" s="61">
        <f t="shared" si="19"/>
        <v>0.30369069005051974</v>
      </c>
      <c r="BJ3" s="61">
        <f t="shared" si="20"/>
        <v>1.7354961080948601</v>
      </c>
      <c r="BK3" s="61">
        <f t="shared" si="21"/>
        <v>0.30369069005051974</v>
      </c>
      <c r="BL3" s="61">
        <f t="shared" ref="BL3:BL66" si="32">BK3+AM3</f>
        <v>1.5741683345447912</v>
      </c>
      <c r="BM3" s="61">
        <f t="shared" ref="BM3:BM66" si="33">2*BF3+BG3+3/2*BH3</f>
        <v>0.15557708413216023</v>
      </c>
      <c r="BN3" s="61">
        <f t="shared" ref="BN3:BN66" si="34">2*BF3+BG3*2+3*BH3</f>
        <v>0.30369069005051974</v>
      </c>
      <c r="BO3" s="69">
        <f t="shared" si="22"/>
        <v>1.5741683345447912</v>
      </c>
      <c r="BP3" s="69">
        <f t="shared" si="23"/>
        <v>0.3150799064521928</v>
      </c>
      <c r="BQ3" s="64">
        <f t="shared" ref="BQ3:BQ66" si="35">AJ3*2</f>
        <v>3.7784964819815601</v>
      </c>
      <c r="BR3" s="69">
        <f t="shared" si="24"/>
        <v>0.14541420570976551</v>
      </c>
      <c r="BS3" s="61">
        <f t="shared" si="25"/>
        <v>20.451885993848325</v>
      </c>
      <c r="BT3" s="61">
        <f t="shared" si="26"/>
        <v>20.148195303797806</v>
      </c>
      <c r="BU3" s="61">
        <f t="shared" ref="BU3:BU66" si="36">BT3-AM3</f>
        <v>18.877717659303535</v>
      </c>
      <c r="BV3" s="61">
        <f t="shared" ref="BV3:BV66" si="37">BJ3</f>
        <v>1.7354961080948601</v>
      </c>
      <c r="BW3" s="61">
        <f t="shared" ref="BW3:BW66" si="38">BN3</f>
        <v>0.30369069005051974</v>
      </c>
      <c r="BX3" s="64">
        <f t="shared" ref="BX3:BX66" si="39">AK3*2</f>
        <v>4.0783735962907599</v>
      </c>
      <c r="BY3" s="61">
        <f t="shared" ref="BY3:BY66" si="40">AK3/(BX3+BN3)*BW3</f>
        <v>0.14132199014080143</v>
      </c>
      <c r="BZ3" s="61">
        <f t="shared" ref="BZ3:BZ66" si="41">BV3/BY3*AK3</f>
        <v>25.042109499970678</v>
      </c>
      <c r="CA3" s="61">
        <f t="shared" ref="CA3:CA66" si="42">BZ3-BJ3</f>
        <v>23.306613391875818</v>
      </c>
      <c r="CB3" s="61">
        <f>AE3*O3/0.2</f>
        <v>9.4462412049538997</v>
      </c>
      <c r="CC3" s="61">
        <f>AG3*AC3/0.2</f>
        <v>10.1959339907269</v>
      </c>
      <c r="CD3" s="61">
        <f>CB3*'Oxidant Feed Composition'!$N$22</f>
        <v>0.94462412049539002</v>
      </c>
      <c r="CE3" s="61">
        <f>CC3*'Oxidant Feed Composition'!$N$22</f>
        <v>1.01959339907269</v>
      </c>
      <c r="CF3" s="61">
        <f>1.2*CB3</f>
        <v>11.335489445944679</v>
      </c>
      <c r="CG3" s="61">
        <f>CC3*1.2</f>
        <v>12.23512078887228</v>
      </c>
      <c r="CH3" s="61">
        <f>BY3/('TEA Revised EYZ Inc'!CA3*'TEA Revised EYZ Inc'!BZ3)</f>
        <v>1.9999999999999997E-2</v>
      </c>
      <c r="CI3" s="84">
        <f>BR3/('TEA Revised EYZ Inc'!BY3)</f>
        <v>2.0384080289080189E-2</v>
      </c>
    </row>
    <row r="4" spans="1:87">
      <c r="A4" s="61">
        <v>3</v>
      </c>
      <c r="B4" s="61">
        <v>1.54143585092054E-3</v>
      </c>
      <c r="C4" s="61">
        <v>1.54143585092054E-3</v>
      </c>
      <c r="D4" s="61">
        <v>3.4254130020456501E-4</v>
      </c>
      <c r="E4" s="61">
        <v>0</v>
      </c>
      <c r="F4" s="61">
        <v>0</v>
      </c>
      <c r="G4" s="61">
        <v>0</v>
      </c>
      <c r="H4" s="69">
        <v>1.6300358850230801E-5</v>
      </c>
      <c r="I4" s="69">
        <v>7.4474859607128495E-7</v>
      </c>
      <c r="J4" s="61">
        <v>3.2385704147932398E-4</v>
      </c>
      <c r="K4" s="61">
        <v>8.07271092797512E-2</v>
      </c>
      <c r="L4" s="61">
        <v>8.15504849440159E-2</v>
      </c>
      <c r="M4" s="61">
        <v>9.8897848995466706E-4</v>
      </c>
      <c r="N4" s="61" t="s">
        <v>323</v>
      </c>
      <c r="O4" s="61">
        <v>0.1</v>
      </c>
      <c r="P4" s="61">
        <v>6</v>
      </c>
      <c r="Q4" s="61">
        <v>1.6455478770638001E-3</v>
      </c>
      <c r="R4" s="61">
        <v>1.66233163271225E-3</v>
      </c>
      <c r="S4" s="61">
        <v>2.0159416943409301E-5</v>
      </c>
      <c r="T4" s="61">
        <v>0</v>
      </c>
      <c r="U4" s="61">
        <v>0</v>
      </c>
      <c r="V4" s="61">
        <v>0</v>
      </c>
      <c r="W4" s="61">
        <v>1.60744374164569E-3</v>
      </c>
      <c r="X4" s="61">
        <v>6.4579829374686502E-5</v>
      </c>
      <c r="Y4" s="61">
        <v>2.0022472818809102E-5</v>
      </c>
      <c r="Z4" s="61">
        <v>1.75996255360512E-3</v>
      </c>
      <c r="AA4" s="61">
        <v>7.3797327061053505E-2</v>
      </c>
      <c r="AB4" s="61">
        <v>6.3252066629497999E-6</v>
      </c>
      <c r="AC4" s="61">
        <v>0.1</v>
      </c>
      <c r="AD4" s="61">
        <v>100</v>
      </c>
      <c r="AE4" s="61">
        <v>18.892482409907799</v>
      </c>
      <c r="AF4" s="61">
        <v>92.6825353019658</v>
      </c>
      <c r="AG4" s="61">
        <v>20.066267141911499</v>
      </c>
      <c r="AH4" s="61">
        <f t="shared" si="0"/>
        <v>1.88924824099078</v>
      </c>
      <c r="AI4" s="61">
        <f t="shared" si="27"/>
        <v>2.00662671419115</v>
      </c>
      <c r="AJ4" s="61">
        <f t="shared" si="28"/>
        <v>1.88924824099078</v>
      </c>
      <c r="AK4" s="61">
        <f t="shared" si="28"/>
        <v>2.00662671419115</v>
      </c>
      <c r="AL4" s="61">
        <f t="shared" si="1"/>
        <v>0.61877059649650878</v>
      </c>
      <c r="AM4" s="61">
        <f t="shared" si="29"/>
        <v>1.2704776444942714</v>
      </c>
      <c r="AN4" s="61">
        <f t="shared" si="30"/>
        <v>0.61877059649650867</v>
      </c>
      <c r="AO4" s="69">
        <f t="shared" si="2"/>
        <v>1.6300358850230802E-3</v>
      </c>
      <c r="AP4" s="69">
        <f t="shared" si="3"/>
        <v>7.4474859607128499E-5</v>
      </c>
      <c r="AQ4" s="69">
        <f t="shared" si="4"/>
        <v>3.2385704147932397E-2</v>
      </c>
      <c r="AR4" s="61">
        <f t="shared" si="31"/>
        <v>10</v>
      </c>
      <c r="AS4" s="69">
        <f t="shared" si="5"/>
        <v>0.154143585092054</v>
      </c>
      <c r="AT4" s="70">
        <f t="shared" si="6"/>
        <v>0.154143585092054</v>
      </c>
      <c r="AU4" s="69">
        <f t="shared" si="7"/>
        <v>3.4254130020456498E-2</v>
      </c>
      <c r="AV4" s="69">
        <f t="shared" si="8"/>
        <v>0.15251354920703092</v>
      </c>
      <c r="AW4" s="70">
        <f t="shared" si="8"/>
        <v>0.15406911023244688</v>
      </c>
      <c r="AX4" s="69">
        <f t="shared" si="8"/>
        <v>1.8684258725241015E-3</v>
      </c>
      <c r="AY4" s="69">
        <f t="shared" si="9"/>
        <v>0.14898196133100067</v>
      </c>
      <c r="AZ4" s="61">
        <f t="shared" si="10"/>
        <v>5.9854223158143094E-3</v>
      </c>
      <c r="BA4" s="61">
        <f t="shared" si="11"/>
        <v>1.8557335438619251E-3</v>
      </c>
      <c r="BB4" s="69">
        <f t="shared" si="12"/>
        <v>94.999999999909207</v>
      </c>
      <c r="BC4" s="69">
        <f t="shared" si="13"/>
        <v>0.1568231171906769</v>
      </c>
      <c r="BD4" s="69">
        <f t="shared" si="14"/>
        <v>0.30673294529360856</v>
      </c>
      <c r="BE4" s="69">
        <f t="shared" si="15"/>
        <v>0.31550196792521573</v>
      </c>
      <c r="BF4" s="61">
        <f t="shared" si="16"/>
        <v>3.5315878760401077E-3</v>
      </c>
      <c r="BG4" s="61">
        <f t="shared" si="17"/>
        <v>0.14808368791661145</v>
      </c>
      <c r="BH4" s="61">
        <f t="shared" si="18"/>
        <v>1.2692328662654925E-5</v>
      </c>
      <c r="BI4" s="61">
        <f t="shared" si="19"/>
        <v>0.30326862857129105</v>
      </c>
      <c r="BJ4" s="61">
        <f t="shared" si="20"/>
        <v>1.7033580856198589</v>
      </c>
      <c r="BK4" s="61">
        <f t="shared" si="21"/>
        <v>0.30326862857129105</v>
      </c>
      <c r="BL4" s="61">
        <f t="shared" si="32"/>
        <v>1.5737462730655625</v>
      </c>
      <c r="BM4" s="61">
        <f t="shared" si="33"/>
        <v>0.15516590216168563</v>
      </c>
      <c r="BN4" s="61">
        <f t="shared" si="34"/>
        <v>0.30326862857129105</v>
      </c>
      <c r="BO4" s="69">
        <f t="shared" si="22"/>
        <v>1.5737462730655625</v>
      </c>
      <c r="BP4" s="69">
        <f t="shared" si="23"/>
        <v>0.31550196792521573</v>
      </c>
      <c r="BQ4" s="64">
        <f t="shared" si="35"/>
        <v>3.7784964819815601</v>
      </c>
      <c r="BR4" s="69">
        <f t="shared" si="24"/>
        <v>0.14559398231951365</v>
      </c>
      <c r="BS4" s="61">
        <f t="shared" si="25"/>
        <v>20.421155674072242</v>
      </c>
      <c r="BT4" s="61">
        <f t="shared" si="26"/>
        <v>20.11788704550095</v>
      </c>
      <c r="BU4" s="61">
        <f t="shared" si="36"/>
        <v>18.847409401006679</v>
      </c>
      <c r="BV4" s="61">
        <f t="shared" si="37"/>
        <v>1.7033580856198589</v>
      </c>
      <c r="BW4" s="61">
        <f t="shared" si="38"/>
        <v>0.30326862857129105</v>
      </c>
      <c r="BX4" s="64">
        <f t="shared" si="39"/>
        <v>4.0132534283823</v>
      </c>
      <c r="BY4" s="61">
        <f t="shared" si="40"/>
        <v>0.14098084606956726</v>
      </c>
      <c r="BZ4" s="61">
        <f t="shared" si="41"/>
        <v>24.244455425892994</v>
      </c>
      <c r="CA4" s="61">
        <f t="shared" si="42"/>
        <v>22.541097340273136</v>
      </c>
      <c r="CB4" s="61">
        <f>AE4*O4/0.2</f>
        <v>9.4462412049538997</v>
      </c>
      <c r="CC4" s="61">
        <f>AG4*AC4/0.2</f>
        <v>10.03313357095575</v>
      </c>
      <c r="CD4" s="61">
        <f>CB4*'Oxidant Feed Composition'!$N$22</f>
        <v>0.94462412049539002</v>
      </c>
      <c r="CE4" s="61">
        <f>CC4*'Oxidant Feed Composition'!$N$22</f>
        <v>1.003313357095575</v>
      </c>
      <c r="CF4" s="61">
        <f>1.2*CB4</f>
        <v>11.335489445944679</v>
      </c>
      <c r="CG4" s="61">
        <f>CC4*1.2</f>
        <v>12.039760285146899</v>
      </c>
      <c r="CH4" s="61">
        <f>BY4/('TEA Revised EYZ Inc'!CA4*'TEA Revised EYZ Inc'!BZ4)</f>
        <v>0.02</v>
      </c>
      <c r="CI4" s="84">
        <f>BR4/('TEA Revised EYZ Inc'!BY4)</f>
        <v>2.0384080289080196E-2</v>
      </c>
    </row>
    <row r="5" spans="1:87">
      <c r="A5" s="61">
        <v>3</v>
      </c>
      <c r="B5" s="61">
        <v>1.54143585092054E-3</v>
      </c>
      <c r="C5" s="61">
        <v>1.54143585092054E-3</v>
      </c>
      <c r="D5" s="61">
        <v>3.4254130020456501E-4</v>
      </c>
      <c r="E5" s="61">
        <v>0</v>
      </c>
      <c r="F5" s="61">
        <v>0</v>
      </c>
      <c r="G5" s="61">
        <v>0</v>
      </c>
      <c r="H5" s="69">
        <v>1.6300358850230801E-5</v>
      </c>
      <c r="I5" s="69">
        <v>7.4474859607128495E-7</v>
      </c>
      <c r="J5" s="61">
        <v>3.2385704147932398E-4</v>
      </c>
      <c r="K5" s="61">
        <v>8.07271092797512E-2</v>
      </c>
      <c r="L5" s="61">
        <v>8.15504849440159E-2</v>
      </c>
      <c r="M5" s="61">
        <v>9.8897848995466706E-4</v>
      </c>
      <c r="N5" s="61" t="s">
        <v>323</v>
      </c>
      <c r="O5" s="61">
        <v>0.1</v>
      </c>
      <c r="P5" s="61">
        <v>7</v>
      </c>
      <c r="Q5" s="61">
        <v>1.6455478770638001E-3</v>
      </c>
      <c r="R5" s="61">
        <v>1.66233163271225E-3</v>
      </c>
      <c r="S5" s="61">
        <v>2.0159416943409301E-5</v>
      </c>
      <c r="T5" s="61">
        <v>0</v>
      </c>
      <c r="U5" s="61">
        <v>0</v>
      </c>
      <c r="V5" s="61">
        <v>0</v>
      </c>
      <c r="W5" s="61">
        <v>1.60808949136668E-3</v>
      </c>
      <c r="X5" s="61">
        <v>6.4611588564249294E-5</v>
      </c>
      <c r="Y5" s="61">
        <v>2.0024700455054798E-5</v>
      </c>
      <c r="Z5" s="61">
        <v>1.7385721005278799E-3</v>
      </c>
      <c r="AA5" s="61">
        <v>7.4155664786925493E-2</v>
      </c>
      <c r="AB5" s="61">
        <v>6.2526540793269999E-6</v>
      </c>
      <c r="AC5" s="61">
        <v>0.1</v>
      </c>
      <c r="AD5" s="61">
        <v>100</v>
      </c>
      <c r="AE5" s="61">
        <v>18.892482409907799</v>
      </c>
      <c r="AF5" s="61">
        <v>92.6825353019658</v>
      </c>
      <c r="AG5" s="61">
        <v>19.968905250902498</v>
      </c>
      <c r="AH5" s="61">
        <f t="shared" si="0"/>
        <v>1.88924824099078</v>
      </c>
      <c r="AI5" s="61">
        <f t="shared" si="27"/>
        <v>1.99689052509025</v>
      </c>
      <c r="AJ5" s="61">
        <f t="shared" si="28"/>
        <v>1.88924824099078</v>
      </c>
      <c r="AK5" s="61">
        <f t="shared" si="28"/>
        <v>1.99689052509025</v>
      </c>
      <c r="AL5" s="61">
        <f t="shared" si="1"/>
        <v>0.61877059649650878</v>
      </c>
      <c r="AM5" s="61">
        <f t="shared" si="29"/>
        <v>1.2704776444942714</v>
      </c>
      <c r="AN5" s="61">
        <f t="shared" si="30"/>
        <v>0.61877059649650867</v>
      </c>
      <c r="AO5" s="69">
        <f t="shared" si="2"/>
        <v>1.6300358850230802E-3</v>
      </c>
      <c r="AP5" s="69">
        <f t="shared" si="3"/>
        <v>7.4474859607128499E-5</v>
      </c>
      <c r="AQ5" s="69">
        <f t="shared" si="4"/>
        <v>3.2385704147932397E-2</v>
      </c>
      <c r="AR5" s="61">
        <f t="shared" si="31"/>
        <v>10</v>
      </c>
      <c r="AS5" s="69">
        <f t="shared" si="5"/>
        <v>0.154143585092054</v>
      </c>
      <c r="AT5" s="70">
        <f t="shared" si="6"/>
        <v>0.154143585092054</v>
      </c>
      <c r="AU5" s="69">
        <f t="shared" si="7"/>
        <v>3.4254130020456498E-2</v>
      </c>
      <c r="AV5" s="69">
        <f t="shared" si="8"/>
        <v>0.15251354920703092</v>
      </c>
      <c r="AW5" s="70">
        <f t="shared" si="8"/>
        <v>0.15406911023244688</v>
      </c>
      <c r="AX5" s="69">
        <f t="shared" si="8"/>
        <v>1.8684258725241015E-3</v>
      </c>
      <c r="AY5" s="69">
        <f t="shared" si="9"/>
        <v>0.14904181105231254</v>
      </c>
      <c r="AZ5" s="61">
        <f t="shared" si="10"/>
        <v>5.9883658380221246E-3</v>
      </c>
      <c r="BA5" s="61">
        <f t="shared" si="11"/>
        <v>1.8559400068369071E-3</v>
      </c>
      <c r="BB5" s="69">
        <f t="shared" si="12"/>
        <v>94.999999999999702</v>
      </c>
      <c r="BC5" s="69">
        <f t="shared" si="13"/>
        <v>0.15688611689717158</v>
      </c>
      <c r="BD5" s="69">
        <f t="shared" si="14"/>
        <v>0.30685589795290258</v>
      </c>
      <c r="BE5" s="69">
        <f t="shared" si="15"/>
        <v>0.31562817380118002</v>
      </c>
      <c r="BF5" s="61">
        <f t="shared" si="16"/>
        <v>3.4717381547303772E-3</v>
      </c>
      <c r="BG5" s="61">
        <f t="shared" si="17"/>
        <v>0.14808074439478022</v>
      </c>
      <c r="BH5" s="61">
        <f t="shared" si="18"/>
        <v>1.2485865687674987E-5</v>
      </c>
      <c r="BI5" s="61">
        <f t="shared" si="19"/>
        <v>0.30314242269608421</v>
      </c>
      <c r="BJ5" s="61">
        <f t="shared" si="20"/>
        <v>1.6937481023941658</v>
      </c>
      <c r="BK5" s="61">
        <f t="shared" si="21"/>
        <v>0.30314242269608421</v>
      </c>
      <c r="BL5" s="61">
        <f t="shared" si="32"/>
        <v>1.5736200671903555</v>
      </c>
      <c r="BM5" s="61">
        <f t="shared" si="33"/>
        <v>0.1550429495027725</v>
      </c>
      <c r="BN5" s="61">
        <f t="shared" si="34"/>
        <v>0.30314242269608421</v>
      </c>
      <c r="BO5" s="69">
        <f t="shared" si="22"/>
        <v>1.5736200671903555</v>
      </c>
      <c r="BP5" s="69">
        <f t="shared" si="23"/>
        <v>0.31562817380118002</v>
      </c>
      <c r="BQ5" s="64">
        <f t="shared" si="35"/>
        <v>3.7784964819815601</v>
      </c>
      <c r="BR5" s="69">
        <f t="shared" si="24"/>
        <v>0.14564773237150183</v>
      </c>
      <c r="BS5" s="61">
        <f t="shared" si="25"/>
        <v>20.4119823599044</v>
      </c>
      <c r="BT5" s="61">
        <f t="shared" si="26"/>
        <v>20.108839937208316</v>
      </c>
      <c r="BU5" s="61">
        <f t="shared" si="36"/>
        <v>18.838362292714045</v>
      </c>
      <c r="BV5" s="61">
        <f t="shared" si="37"/>
        <v>1.6937481023941658</v>
      </c>
      <c r="BW5" s="61">
        <f t="shared" si="38"/>
        <v>0.30314242269608421</v>
      </c>
      <c r="BX5" s="64">
        <f t="shared" si="39"/>
        <v>3.9937810501805</v>
      </c>
      <c r="BY5" s="61">
        <f t="shared" si="40"/>
        <v>0.1408780573952057</v>
      </c>
      <c r="BZ5" s="61">
        <f t="shared" si="41"/>
        <v>24.00820681443896</v>
      </c>
      <c r="CA5" s="61">
        <f t="shared" si="42"/>
        <v>22.314458712044793</v>
      </c>
      <c r="CB5" s="61">
        <f>AE5*O5/0.2</f>
        <v>9.4462412049538997</v>
      </c>
      <c r="CC5" s="61">
        <f>AG5*AC5/0.2</f>
        <v>9.9844526254512491</v>
      </c>
      <c r="CD5" s="61">
        <f>CB5*'Oxidant Feed Composition'!$N$22</f>
        <v>0.94462412049539002</v>
      </c>
      <c r="CE5" s="61">
        <f>CC5*'Oxidant Feed Composition'!$N$22</f>
        <v>0.998445262545125</v>
      </c>
      <c r="CF5" s="61">
        <f>1.2*CB5</f>
        <v>11.335489445944679</v>
      </c>
      <c r="CG5" s="61">
        <f>CC5*1.2</f>
        <v>11.981343150541498</v>
      </c>
      <c r="CH5" s="61">
        <f>BY5/('TEA Revised EYZ Inc'!CA5*'TEA Revised EYZ Inc'!BZ5)</f>
        <v>1.9999999999999997E-2</v>
      </c>
      <c r="CI5" s="84">
        <f>BR5/('TEA Revised EYZ Inc'!BY5)</f>
        <v>2.0384080289080193E-2</v>
      </c>
    </row>
    <row r="6" spans="1:87">
      <c r="A6" s="61">
        <v>3</v>
      </c>
      <c r="B6" s="61">
        <v>1.54143585092054E-3</v>
      </c>
      <c r="C6" s="61">
        <v>1.54143585092054E-3</v>
      </c>
      <c r="D6" s="61">
        <v>3.4254130020456501E-4</v>
      </c>
      <c r="E6" s="61">
        <v>0</v>
      </c>
      <c r="F6" s="61">
        <v>0</v>
      </c>
      <c r="G6" s="61">
        <v>0</v>
      </c>
      <c r="H6" s="69">
        <v>1.6300358850230801E-5</v>
      </c>
      <c r="I6" s="69">
        <v>7.4474859607128495E-7</v>
      </c>
      <c r="J6" s="61">
        <v>3.2385704147932398E-4</v>
      </c>
      <c r="K6" s="61">
        <v>8.07271092797512E-2</v>
      </c>
      <c r="L6" s="61">
        <v>8.15504849440159E-2</v>
      </c>
      <c r="M6" s="61">
        <v>9.8897848995466706E-4</v>
      </c>
      <c r="N6" s="61" t="s">
        <v>323</v>
      </c>
      <c r="O6" s="61">
        <v>0.1</v>
      </c>
      <c r="P6" s="61">
        <v>8</v>
      </c>
      <c r="Q6" s="61">
        <v>1.6455478770638001E-3</v>
      </c>
      <c r="R6" s="61">
        <v>1.66233163271225E-3</v>
      </c>
      <c r="S6" s="61">
        <v>2.0159416943409301E-5</v>
      </c>
      <c r="T6" s="61">
        <v>0</v>
      </c>
      <c r="U6" s="61">
        <v>0</v>
      </c>
      <c r="V6" s="61">
        <v>0</v>
      </c>
      <c r="W6" s="61">
        <v>1.60827767677345E-3</v>
      </c>
      <c r="X6" s="61">
        <v>6.4620843878105105E-5</v>
      </c>
      <c r="Y6" s="61">
        <v>2.0025349636286901E-5</v>
      </c>
      <c r="Z6" s="61">
        <v>1.7322991543913E-3</v>
      </c>
      <c r="AA6" s="61">
        <v>7.4260750598247896E-2</v>
      </c>
      <c r="AB6" s="61">
        <v>6.23137737256415E-6</v>
      </c>
      <c r="AC6" s="61">
        <v>0.1</v>
      </c>
      <c r="AD6" s="61">
        <v>100</v>
      </c>
      <c r="AE6" s="61">
        <v>18.892482409907799</v>
      </c>
      <c r="AF6" s="61">
        <v>92.6825353019658</v>
      </c>
      <c r="AG6" s="61">
        <v>19.940531895758401</v>
      </c>
      <c r="AH6" s="61">
        <f t="shared" si="0"/>
        <v>1.88924824099078</v>
      </c>
      <c r="AI6" s="61">
        <f t="shared" si="27"/>
        <v>1.9940531895758402</v>
      </c>
      <c r="AJ6" s="61">
        <f t="shared" si="28"/>
        <v>1.88924824099078</v>
      </c>
      <c r="AK6" s="61">
        <f t="shared" si="28"/>
        <v>1.9940531895758402</v>
      </c>
      <c r="AL6" s="61">
        <f t="shared" si="1"/>
        <v>0.61877059649650878</v>
      </c>
      <c r="AM6" s="61">
        <f t="shared" si="29"/>
        <v>1.2704776444942714</v>
      </c>
      <c r="AN6" s="61">
        <f t="shared" si="30"/>
        <v>0.61877059649650867</v>
      </c>
      <c r="AO6" s="69">
        <f t="shared" si="2"/>
        <v>1.6300358850230802E-3</v>
      </c>
      <c r="AP6" s="69">
        <f t="shared" si="3"/>
        <v>7.4474859607128499E-5</v>
      </c>
      <c r="AQ6" s="69">
        <f t="shared" si="4"/>
        <v>3.2385704147932397E-2</v>
      </c>
      <c r="AR6" s="61">
        <f t="shared" si="31"/>
        <v>10</v>
      </c>
      <c r="AS6" s="69">
        <f t="shared" si="5"/>
        <v>0.154143585092054</v>
      </c>
      <c r="AT6" s="70">
        <f t="shared" si="6"/>
        <v>0.154143585092054</v>
      </c>
      <c r="AU6" s="69">
        <f t="shared" si="7"/>
        <v>3.4254130020456498E-2</v>
      </c>
      <c r="AV6" s="69">
        <f t="shared" si="8"/>
        <v>0.15251354920703092</v>
      </c>
      <c r="AW6" s="70">
        <f t="shared" si="8"/>
        <v>0.15406911023244688</v>
      </c>
      <c r="AX6" s="69">
        <f t="shared" si="8"/>
        <v>1.8684258725241015E-3</v>
      </c>
      <c r="AY6" s="69">
        <f t="shared" si="9"/>
        <v>0.14905925255291883</v>
      </c>
      <c r="AZ6" s="61">
        <f t="shared" si="10"/>
        <v>5.9892236439752968E-3</v>
      </c>
      <c r="BA6" s="61">
        <f t="shared" si="11"/>
        <v>1.8560001745993688E-3</v>
      </c>
      <c r="BB6" s="69">
        <f t="shared" si="12"/>
        <v>95</v>
      </c>
      <c r="BC6" s="69">
        <f t="shared" si="13"/>
        <v>0.15690447637149349</v>
      </c>
      <c r="BD6" s="69">
        <f t="shared" si="14"/>
        <v>0.30689172901171202</v>
      </c>
      <c r="BE6" s="69">
        <f t="shared" si="15"/>
        <v>0.31566495291758639</v>
      </c>
      <c r="BF6" s="61">
        <f t="shared" si="16"/>
        <v>3.4542966541135024E-3</v>
      </c>
      <c r="BG6" s="61">
        <f t="shared" si="17"/>
        <v>0.14807988659073221</v>
      </c>
      <c r="BH6" s="61">
        <f t="shared" si="18"/>
        <v>1.2425697925212263E-5</v>
      </c>
      <c r="BI6" s="61">
        <f t="shared" si="19"/>
        <v>0.30310564358346709</v>
      </c>
      <c r="BJ6" s="61">
        <f t="shared" si="20"/>
        <v>1.6909475459923731</v>
      </c>
      <c r="BK6" s="61">
        <f t="shared" si="21"/>
        <v>0.30310564358346709</v>
      </c>
      <c r="BL6" s="61">
        <f t="shared" si="32"/>
        <v>1.5735832880777385</v>
      </c>
      <c r="BM6" s="61">
        <f t="shared" si="33"/>
        <v>0.15500711844584705</v>
      </c>
      <c r="BN6" s="61">
        <f t="shared" si="34"/>
        <v>0.30310564358346709</v>
      </c>
      <c r="BO6" s="69">
        <f t="shared" si="22"/>
        <v>1.5735832880777385</v>
      </c>
      <c r="BP6" s="69">
        <f t="shared" si="23"/>
        <v>0.31566495291758639</v>
      </c>
      <c r="BQ6" s="64">
        <f t="shared" si="35"/>
        <v>3.7784964819815601</v>
      </c>
      <c r="BR6" s="69">
        <f t="shared" si="24"/>
        <v>0.14566339567327738</v>
      </c>
      <c r="BS6" s="61">
        <f t="shared" si="25"/>
        <v>20.409310419493025</v>
      </c>
      <c r="BT6" s="61">
        <f t="shared" si="26"/>
        <v>20.106204775909557</v>
      </c>
      <c r="BU6" s="61">
        <f t="shared" si="36"/>
        <v>18.835727131415286</v>
      </c>
      <c r="BV6" s="61">
        <f t="shared" si="37"/>
        <v>1.6909475459923731</v>
      </c>
      <c r="BW6" s="61">
        <f t="shared" si="38"/>
        <v>0.30310564358346709</v>
      </c>
      <c r="BX6" s="64">
        <f t="shared" si="39"/>
        <v>3.9881063791516804</v>
      </c>
      <c r="BY6" s="61">
        <f t="shared" si="40"/>
        <v>0.14084803364733542</v>
      </c>
      <c r="BZ6" s="61">
        <f t="shared" si="41"/>
        <v>23.939555705365152</v>
      </c>
      <c r="CA6" s="61">
        <f t="shared" si="42"/>
        <v>22.248608159372779</v>
      </c>
      <c r="CB6" s="61">
        <f>AE6*O6/0.2</f>
        <v>9.4462412049538997</v>
      </c>
      <c r="CC6" s="61">
        <f>AG6*AC6/0.2</f>
        <v>9.9702659478792004</v>
      </c>
      <c r="CD6" s="61">
        <f>CB6*'Oxidant Feed Composition'!$N$22</f>
        <v>0.94462412049539002</v>
      </c>
      <c r="CE6" s="61">
        <f>CC6*'Oxidant Feed Composition'!$N$22</f>
        <v>0.99702659478792011</v>
      </c>
      <c r="CF6" s="61">
        <f>1.2*CB6</f>
        <v>11.335489445944679</v>
      </c>
      <c r="CG6" s="61">
        <f>CC6*1.2</f>
        <v>11.964319137455041</v>
      </c>
      <c r="CH6" s="61">
        <f>BY6/('TEA Revised EYZ Inc'!CA6*'TEA Revised EYZ Inc'!BZ6)</f>
        <v>2.0000000000000004E-2</v>
      </c>
      <c r="CI6" s="84">
        <f>BR6/('TEA Revised EYZ Inc'!BY6)</f>
        <v>2.03840802890802E-2</v>
      </c>
    </row>
    <row r="7" spans="1:87">
      <c r="A7" s="61">
        <v>3</v>
      </c>
      <c r="B7" s="61">
        <v>1.54143585092054E-3</v>
      </c>
      <c r="C7" s="61">
        <v>1.54143585092054E-3</v>
      </c>
      <c r="D7" s="61">
        <v>3.4254130020456501E-4</v>
      </c>
      <c r="E7" s="61">
        <v>0</v>
      </c>
      <c r="F7" s="61">
        <v>0</v>
      </c>
      <c r="G7" s="61">
        <v>0</v>
      </c>
      <c r="H7" s="69">
        <v>1.6300358850230801E-5</v>
      </c>
      <c r="I7" s="69">
        <v>7.4474859607128495E-7</v>
      </c>
      <c r="J7" s="61">
        <v>3.2385704147932398E-4</v>
      </c>
      <c r="K7" s="61">
        <v>8.07271092797512E-2</v>
      </c>
      <c r="L7" s="61">
        <v>8.15504849440159E-2</v>
      </c>
      <c r="M7" s="61">
        <v>9.8897848995466706E-4</v>
      </c>
      <c r="N7" s="61" t="s">
        <v>323</v>
      </c>
      <c r="O7" s="61">
        <v>0.1</v>
      </c>
      <c r="P7" s="61">
        <v>9</v>
      </c>
      <c r="Q7" s="61">
        <v>1.6455478770638001E-3</v>
      </c>
      <c r="R7" s="61">
        <v>1.66233163271225E-3</v>
      </c>
      <c r="S7" s="61">
        <v>2.0159416943409301E-5</v>
      </c>
      <c r="T7" s="61">
        <v>0</v>
      </c>
      <c r="U7" s="61">
        <v>0</v>
      </c>
      <c r="V7" s="61">
        <v>0</v>
      </c>
      <c r="W7" s="61">
        <v>1.6083318712016E-3</v>
      </c>
      <c r="X7" s="61">
        <v>6.46235091896047E-5</v>
      </c>
      <c r="Y7" s="61">
        <v>2.0025536590245201E-5</v>
      </c>
      <c r="Z7" s="61">
        <v>1.7304893324093099E-3</v>
      </c>
      <c r="AA7" s="61">
        <v>7.4291069145050903E-2</v>
      </c>
      <c r="AB7" s="61">
        <v>6.2252387814425299E-6</v>
      </c>
      <c r="AC7" s="61">
        <v>0.1</v>
      </c>
      <c r="AD7" s="61">
        <v>100</v>
      </c>
      <c r="AE7" s="61">
        <v>18.892482409907799</v>
      </c>
      <c r="AF7" s="61">
        <v>92.6825353019658</v>
      </c>
      <c r="AG7" s="61">
        <v>19.9323608202135</v>
      </c>
      <c r="AH7" s="61">
        <f t="shared" si="0"/>
        <v>1.88924824099078</v>
      </c>
      <c r="AI7" s="61">
        <f t="shared" si="27"/>
        <v>1.9932360820213502</v>
      </c>
      <c r="AJ7" s="61">
        <f t="shared" si="28"/>
        <v>1.88924824099078</v>
      </c>
      <c r="AK7" s="61">
        <f t="shared" si="28"/>
        <v>1.9932360820213502</v>
      </c>
      <c r="AL7" s="61">
        <f t="shared" si="1"/>
        <v>0.61877059649650878</v>
      </c>
      <c r="AM7" s="61">
        <f t="shared" si="29"/>
        <v>1.2704776444942714</v>
      </c>
      <c r="AN7" s="61">
        <f t="shared" si="30"/>
        <v>0.61877059649650867</v>
      </c>
      <c r="AO7" s="69">
        <f t="shared" si="2"/>
        <v>1.6300358850230802E-3</v>
      </c>
      <c r="AP7" s="69">
        <f t="shared" si="3"/>
        <v>7.4474859607128499E-5</v>
      </c>
      <c r="AQ7" s="69">
        <f t="shared" si="4"/>
        <v>3.2385704147932397E-2</v>
      </c>
      <c r="AR7" s="61">
        <f t="shared" si="31"/>
        <v>10</v>
      </c>
      <c r="AS7" s="69">
        <f t="shared" si="5"/>
        <v>0.154143585092054</v>
      </c>
      <c r="AT7" s="70">
        <f t="shared" si="6"/>
        <v>0.154143585092054</v>
      </c>
      <c r="AU7" s="69">
        <f t="shared" si="7"/>
        <v>3.4254130020456498E-2</v>
      </c>
      <c r="AV7" s="69">
        <f t="shared" si="8"/>
        <v>0.15251354920703092</v>
      </c>
      <c r="AW7" s="70">
        <f t="shared" si="8"/>
        <v>0.15406911023244688</v>
      </c>
      <c r="AX7" s="69">
        <f t="shared" si="8"/>
        <v>1.8684258725241015E-3</v>
      </c>
      <c r="AY7" s="69">
        <f t="shared" si="9"/>
        <v>0.14906427542991901</v>
      </c>
      <c r="AZ7" s="61">
        <f t="shared" si="10"/>
        <v>5.989470671802449E-3</v>
      </c>
      <c r="BA7" s="61">
        <f t="shared" si="11"/>
        <v>1.8560175019662086E-3</v>
      </c>
      <c r="BB7" s="69">
        <f t="shared" si="12"/>
        <v>95.000000004088804</v>
      </c>
      <c r="BC7" s="69">
        <f t="shared" si="13"/>
        <v>0.15690976360368766</v>
      </c>
      <c r="BD7" s="69">
        <f t="shared" si="14"/>
        <v>0.30690204778458979</v>
      </c>
      <c r="BE7" s="69">
        <f t="shared" si="15"/>
        <v>0.31567554470934156</v>
      </c>
      <c r="BF7" s="61">
        <f t="shared" si="16"/>
        <v>3.4492737769112746E-3</v>
      </c>
      <c r="BG7" s="61">
        <f t="shared" si="17"/>
        <v>0.14807963959185849</v>
      </c>
      <c r="BH7" s="61">
        <f t="shared" si="18"/>
        <v>1.2408370558369873E-5</v>
      </c>
      <c r="BI7" s="61">
        <f t="shared" si="19"/>
        <v>0.30309505184921465</v>
      </c>
      <c r="BJ7" s="61">
        <f t="shared" si="20"/>
        <v>1.6901410301721356</v>
      </c>
      <c r="BK7" s="61">
        <f t="shared" si="21"/>
        <v>0.30309505184921465</v>
      </c>
      <c r="BL7" s="61">
        <f t="shared" si="32"/>
        <v>1.573572696343486</v>
      </c>
      <c r="BM7" s="61">
        <f t="shared" si="33"/>
        <v>0.15499679970151858</v>
      </c>
      <c r="BN7" s="61">
        <f t="shared" si="34"/>
        <v>0.30309505184921465</v>
      </c>
      <c r="BO7" s="69">
        <f t="shared" si="22"/>
        <v>1.573572696343486</v>
      </c>
      <c r="BP7" s="69">
        <f t="shared" si="23"/>
        <v>0.31567554470934156</v>
      </c>
      <c r="BQ7" s="64">
        <f t="shared" si="35"/>
        <v>3.7784964819815601</v>
      </c>
      <c r="BR7" s="69">
        <f t="shared" si="24"/>
        <v>0.14566790639912591</v>
      </c>
      <c r="BS7" s="61">
        <f t="shared" si="25"/>
        <v>20.4085410584022</v>
      </c>
      <c r="BT7" s="61">
        <f t="shared" si="26"/>
        <v>20.105446006552985</v>
      </c>
      <c r="BU7" s="61">
        <f t="shared" si="36"/>
        <v>18.834968362058714</v>
      </c>
      <c r="BV7" s="61">
        <f t="shared" si="37"/>
        <v>1.6901410301721356</v>
      </c>
      <c r="BW7" s="61">
        <f t="shared" si="38"/>
        <v>0.30309505184921465</v>
      </c>
      <c r="BX7" s="64">
        <f t="shared" si="39"/>
        <v>3.9864721640427003</v>
      </c>
      <c r="BY7" s="61">
        <f t="shared" si="40"/>
        <v>0.14083938150911335</v>
      </c>
      <c r="BZ7" s="61">
        <f t="shared" si="41"/>
        <v>23.919801755348143</v>
      </c>
      <c r="CA7" s="61">
        <f t="shared" si="42"/>
        <v>22.229660725176007</v>
      </c>
      <c r="CB7" s="61">
        <f>AE7*O7/0.2</f>
        <v>9.4462412049538997</v>
      </c>
      <c r="CC7" s="61">
        <f>AG7*AC7/0.2</f>
        <v>9.9661804101067499</v>
      </c>
      <c r="CD7" s="61">
        <f>CB7*'Oxidant Feed Composition'!$N$22</f>
        <v>0.94462412049539002</v>
      </c>
      <c r="CE7" s="61">
        <f>CC7*'Oxidant Feed Composition'!$N$22</f>
        <v>0.99661804101067508</v>
      </c>
      <c r="CF7" s="61">
        <f>1.2*CB7</f>
        <v>11.335489445944679</v>
      </c>
      <c r="CG7" s="61">
        <f>CC7*1.2</f>
        <v>11.959416492128099</v>
      </c>
      <c r="CH7" s="61">
        <f>BY7/('TEA Revised EYZ Inc'!CA7*'TEA Revised EYZ Inc'!BZ7)</f>
        <v>0.02</v>
      </c>
      <c r="CI7" s="84">
        <f>BR7/('TEA Revised EYZ Inc'!BY7)</f>
        <v>2.0384080289080189E-2</v>
      </c>
    </row>
    <row r="8" spans="1:87">
      <c r="A8" s="61">
        <v>3</v>
      </c>
      <c r="B8" s="61">
        <v>1.54143585092054E-3</v>
      </c>
      <c r="C8" s="61">
        <v>1.54143585092054E-3</v>
      </c>
      <c r="D8" s="61">
        <v>3.4254130020456501E-4</v>
      </c>
      <c r="E8" s="61">
        <v>0</v>
      </c>
      <c r="F8" s="61">
        <v>0</v>
      </c>
      <c r="G8" s="61">
        <v>0</v>
      </c>
      <c r="H8" s="69">
        <v>1.6300358850230801E-5</v>
      </c>
      <c r="I8" s="69">
        <v>7.4474859607128495E-7</v>
      </c>
      <c r="J8" s="61">
        <v>3.2385704147932398E-4</v>
      </c>
      <c r="K8" s="61">
        <v>8.07271092797512E-2</v>
      </c>
      <c r="L8" s="61">
        <v>8.15504849440159E-2</v>
      </c>
      <c r="M8" s="61">
        <v>9.8897848995466706E-4</v>
      </c>
      <c r="N8" s="61" t="s">
        <v>323</v>
      </c>
      <c r="O8" s="61">
        <v>0.1</v>
      </c>
      <c r="P8" s="61">
        <v>10</v>
      </c>
      <c r="Q8" s="61">
        <v>1.6455478770638001E-3</v>
      </c>
      <c r="R8" s="61">
        <v>1.66233163271225E-3</v>
      </c>
      <c r="S8" s="61">
        <v>2.0159416943409301E-5</v>
      </c>
      <c r="T8" s="61">
        <v>0</v>
      </c>
      <c r="U8" s="61">
        <v>0</v>
      </c>
      <c r="V8" s="61">
        <v>0</v>
      </c>
      <c r="W8" s="61">
        <v>1.6083474060022401E-3</v>
      </c>
      <c r="X8" s="61">
        <v>6.4624273291128494E-5</v>
      </c>
      <c r="Y8" s="61">
        <v>2.0025590180477699E-5</v>
      </c>
      <c r="Z8" s="61">
        <v>1.7299702748473499E-3</v>
      </c>
      <c r="AA8" s="61">
        <v>7.42997645145482E-2</v>
      </c>
      <c r="AB8" s="61">
        <v>6.2234782314335099E-6</v>
      </c>
      <c r="AC8" s="61">
        <v>0.1</v>
      </c>
      <c r="AD8" s="61">
        <v>100</v>
      </c>
      <c r="AE8" s="61">
        <v>18.892482409907799</v>
      </c>
      <c r="AF8" s="61">
        <v>92.6825353019658</v>
      </c>
      <c r="AG8" s="61">
        <v>19.930018582065301</v>
      </c>
      <c r="AH8" s="61">
        <f t="shared" si="0"/>
        <v>1.88924824099078</v>
      </c>
      <c r="AI8" s="61">
        <f t="shared" si="27"/>
        <v>1.9930018582065303</v>
      </c>
      <c r="AJ8" s="61">
        <f t="shared" si="28"/>
        <v>1.88924824099078</v>
      </c>
      <c r="AK8" s="61">
        <f t="shared" si="28"/>
        <v>1.9930018582065303</v>
      </c>
      <c r="AL8" s="61">
        <f t="shared" si="1"/>
        <v>0.61877059649650878</v>
      </c>
      <c r="AM8" s="61">
        <f t="shared" si="29"/>
        <v>1.2704776444942714</v>
      </c>
      <c r="AN8" s="61">
        <f t="shared" si="30"/>
        <v>0.61877059649650867</v>
      </c>
      <c r="AO8" s="69">
        <f t="shared" si="2"/>
        <v>1.6300358850230802E-3</v>
      </c>
      <c r="AP8" s="69">
        <f t="shared" si="3"/>
        <v>7.4474859607128499E-5</v>
      </c>
      <c r="AQ8" s="69">
        <f t="shared" si="4"/>
        <v>3.2385704147932397E-2</v>
      </c>
      <c r="AR8" s="61">
        <f t="shared" si="31"/>
        <v>10</v>
      </c>
      <c r="AS8" s="69">
        <f t="shared" si="5"/>
        <v>0.154143585092054</v>
      </c>
      <c r="AT8" s="70">
        <f t="shared" si="6"/>
        <v>0.154143585092054</v>
      </c>
      <c r="AU8" s="69">
        <f t="shared" si="7"/>
        <v>3.4254130020456498E-2</v>
      </c>
      <c r="AV8" s="69">
        <f t="shared" si="8"/>
        <v>0.15251354920703092</v>
      </c>
      <c r="AW8" s="70">
        <f t="shared" si="8"/>
        <v>0.15406911023244688</v>
      </c>
      <c r="AX8" s="69">
        <f t="shared" si="8"/>
        <v>1.8684258725241015E-3</v>
      </c>
      <c r="AY8" s="69">
        <f t="shared" si="9"/>
        <v>0.14906571523462772</v>
      </c>
      <c r="AZ8" s="61">
        <f t="shared" si="10"/>
        <v>5.9895414906689023E-3</v>
      </c>
      <c r="BA8" s="61">
        <f t="shared" si="11"/>
        <v>1.856022468844824E-3</v>
      </c>
      <c r="BB8" s="69">
        <f t="shared" si="12"/>
        <v>95.000000000123208</v>
      </c>
      <c r="BC8" s="69">
        <f t="shared" si="13"/>
        <v>0.15691127919414147</v>
      </c>
      <c r="BD8" s="69">
        <f t="shared" si="14"/>
        <v>0.30690500566319157</v>
      </c>
      <c r="BE8" s="69">
        <f t="shared" si="15"/>
        <v>0.31567858085712774</v>
      </c>
      <c r="BF8" s="61">
        <f t="shared" si="16"/>
        <v>3.4478339724128304E-3</v>
      </c>
      <c r="BG8" s="61">
        <f t="shared" si="17"/>
        <v>0.14807956874180217</v>
      </c>
      <c r="BH8" s="61">
        <f t="shared" si="18"/>
        <v>1.2403403679754876E-5</v>
      </c>
      <c r="BI8" s="61">
        <f t="shared" si="19"/>
        <v>0.30309201563946925</v>
      </c>
      <c r="BJ8" s="61">
        <f t="shared" si="20"/>
        <v>1.6899098425670611</v>
      </c>
      <c r="BK8" s="61">
        <f t="shared" si="21"/>
        <v>0.30309201563946925</v>
      </c>
      <c r="BL8" s="61">
        <f t="shared" si="32"/>
        <v>1.5735696601337406</v>
      </c>
      <c r="BM8" s="61">
        <f t="shared" si="33"/>
        <v>0.15499384179214745</v>
      </c>
      <c r="BN8" s="61">
        <f t="shared" si="34"/>
        <v>0.30309201563946925</v>
      </c>
      <c r="BO8" s="69">
        <f t="shared" si="22"/>
        <v>1.5735696601337406</v>
      </c>
      <c r="BP8" s="69">
        <f t="shared" si="23"/>
        <v>0.31567858085712774</v>
      </c>
      <c r="BQ8" s="64">
        <f t="shared" si="35"/>
        <v>3.7784964819815601</v>
      </c>
      <c r="BR8" s="69">
        <f t="shared" si="24"/>
        <v>0.14566919939893458</v>
      </c>
      <c r="BS8" s="61">
        <f t="shared" si="25"/>
        <v>20.408320528642054</v>
      </c>
      <c r="BT8" s="61">
        <f t="shared" si="26"/>
        <v>20.105228513002587</v>
      </c>
      <c r="BU8" s="61">
        <f t="shared" si="36"/>
        <v>18.834750868508316</v>
      </c>
      <c r="BV8" s="61">
        <f t="shared" si="37"/>
        <v>1.6899098425670611</v>
      </c>
      <c r="BW8" s="61">
        <f t="shared" si="38"/>
        <v>0.30309201563946925</v>
      </c>
      <c r="BX8" s="64">
        <f t="shared" si="39"/>
        <v>3.9860037164130606</v>
      </c>
      <c r="BY8" s="61">
        <f t="shared" si="40"/>
        <v>0.14083690085601167</v>
      </c>
      <c r="BZ8" s="61">
        <f t="shared" si="41"/>
        <v>23.914140654664187</v>
      </c>
      <c r="CA8" s="61">
        <f t="shared" si="42"/>
        <v>22.224230812097126</v>
      </c>
      <c r="CB8" s="61">
        <f>AE8*O8/0.2</f>
        <v>9.4462412049538997</v>
      </c>
      <c r="CC8" s="61">
        <f>AG8*AC8/0.2</f>
        <v>9.9650092910326507</v>
      </c>
      <c r="CD8" s="61">
        <f>CB8*'Oxidant Feed Composition'!$N$22</f>
        <v>0.94462412049539002</v>
      </c>
      <c r="CE8" s="61">
        <f>CC8*'Oxidant Feed Composition'!$N$22</f>
        <v>0.99650092910326515</v>
      </c>
      <c r="CF8" s="61">
        <f>1.2*CB8</f>
        <v>11.335489445944679</v>
      </c>
      <c r="CG8" s="61">
        <f>CC8*1.2</f>
        <v>11.95801114923918</v>
      </c>
      <c r="CH8" s="61">
        <f>BY8/('TEA Revised EYZ Inc'!CA8*'TEA Revised EYZ Inc'!BZ8)</f>
        <v>1.9999999999999997E-2</v>
      </c>
      <c r="CI8" s="84">
        <f>BR8/('TEA Revised EYZ Inc'!BY8)</f>
        <v>2.0384080289080189E-2</v>
      </c>
    </row>
    <row r="9" spans="1:87">
      <c r="A9" s="61">
        <v>3</v>
      </c>
      <c r="B9" s="61">
        <v>1.54143585092054E-3</v>
      </c>
      <c r="C9" s="61">
        <v>1.54143585092054E-3</v>
      </c>
      <c r="D9" s="61">
        <v>3.4254130020456501E-4</v>
      </c>
      <c r="E9" s="61">
        <v>0</v>
      </c>
      <c r="F9" s="61">
        <v>0</v>
      </c>
      <c r="G9" s="61">
        <v>0</v>
      </c>
      <c r="H9" s="69">
        <v>1.6300358850230801E-5</v>
      </c>
      <c r="I9" s="69">
        <v>7.4474859607128495E-7</v>
      </c>
      <c r="J9" s="61">
        <v>3.2385704147932398E-4</v>
      </c>
      <c r="K9" s="61">
        <v>8.07271092797512E-2</v>
      </c>
      <c r="L9" s="61">
        <v>8.15504849440159E-2</v>
      </c>
      <c r="M9" s="61">
        <v>9.8897848995466706E-4</v>
      </c>
      <c r="N9" s="61" t="s">
        <v>323</v>
      </c>
      <c r="O9" s="61">
        <v>0.1</v>
      </c>
      <c r="P9" s="61">
        <v>11</v>
      </c>
      <c r="Q9" s="61">
        <v>1.6455478770638001E-3</v>
      </c>
      <c r="R9" s="61">
        <v>1.66233163271225E-3</v>
      </c>
      <c r="S9" s="61">
        <v>2.0159416943409301E-5</v>
      </c>
      <c r="T9" s="61">
        <v>0</v>
      </c>
      <c r="U9" s="61">
        <v>0</v>
      </c>
      <c r="V9" s="61">
        <v>0</v>
      </c>
      <c r="W9" s="61">
        <v>1.60835185158262E-3</v>
      </c>
      <c r="X9" s="61">
        <v>6.4624491935312605E-5</v>
      </c>
      <c r="Y9" s="61">
        <v>2.0025605516349801E-5</v>
      </c>
      <c r="Z9" s="61">
        <v>1.72982171403333E-3</v>
      </c>
      <c r="AA9" s="61">
        <v>7.4302253238869895E-2</v>
      </c>
      <c r="AB9" s="61">
        <v>6.2229743398349396E-6</v>
      </c>
      <c r="AC9" s="61">
        <v>0.1</v>
      </c>
      <c r="AD9" s="61">
        <v>100</v>
      </c>
      <c r="AE9" s="61">
        <v>18.892482409907799</v>
      </c>
      <c r="AF9" s="61">
        <v>92.6825353019658</v>
      </c>
      <c r="AG9" s="61">
        <v>19.929348306734301</v>
      </c>
      <c r="AH9" s="61">
        <f t="shared" si="0"/>
        <v>1.88924824099078</v>
      </c>
      <c r="AI9" s="61">
        <f t="shared" si="27"/>
        <v>1.9929348306734302</v>
      </c>
      <c r="AJ9" s="61">
        <f t="shared" si="28"/>
        <v>1.88924824099078</v>
      </c>
      <c r="AK9" s="61">
        <f t="shared" si="28"/>
        <v>1.9929348306734302</v>
      </c>
      <c r="AL9" s="61">
        <f t="shared" si="1"/>
        <v>0.61877059649650878</v>
      </c>
      <c r="AM9" s="61">
        <f t="shared" si="29"/>
        <v>1.2704776444942714</v>
      </c>
      <c r="AN9" s="61">
        <f t="shared" si="30"/>
        <v>0.61877059649650867</v>
      </c>
      <c r="AO9" s="69">
        <f t="shared" si="2"/>
        <v>1.6300358850230802E-3</v>
      </c>
      <c r="AP9" s="69">
        <f t="shared" si="3"/>
        <v>7.4474859607128499E-5</v>
      </c>
      <c r="AQ9" s="69">
        <f t="shared" si="4"/>
        <v>3.2385704147932397E-2</v>
      </c>
      <c r="AR9" s="61">
        <f t="shared" si="31"/>
        <v>10</v>
      </c>
      <c r="AS9" s="69">
        <f t="shared" si="5"/>
        <v>0.154143585092054</v>
      </c>
      <c r="AT9" s="70">
        <f t="shared" si="6"/>
        <v>0.154143585092054</v>
      </c>
      <c r="AU9" s="69">
        <f t="shared" si="7"/>
        <v>3.4254130020456498E-2</v>
      </c>
      <c r="AV9" s="69">
        <f t="shared" si="8"/>
        <v>0.15251354920703092</v>
      </c>
      <c r="AW9" s="70">
        <f t="shared" si="8"/>
        <v>0.15406911023244688</v>
      </c>
      <c r="AX9" s="69">
        <f t="shared" si="8"/>
        <v>1.8684258725241015E-3</v>
      </c>
      <c r="AY9" s="69">
        <f t="shared" si="9"/>
        <v>0.14906612726228824</v>
      </c>
      <c r="AZ9" s="61">
        <f t="shared" si="10"/>
        <v>5.9895617551662143E-3</v>
      </c>
      <c r="BA9" s="61">
        <f t="shared" si="11"/>
        <v>1.8560238902123314E-3</v>
      </c>
      <c r="BB9" s="69">
        <f t="shared" si="12"/>
        <v>95.000000000003055</v>
      </c>
      <c r="BC9" s="69">
        <f t="shared" si="13"/>
        <v>0.15691171290766678</v>
      </c>
      <c r="BD9" s="69">
        <f t="shared" si="14"/>
        <v>0.30690585211506122</v>
      </c>
      <c r="BE9" s="69">
        <f t="shared" si="15"/>
        <v>0.3156794497055459</v>
      </c>
      <c r="BF9" s="61">
        <f t="shared" si="16"/>
        <v>3.4474219447522374E-3</v>
      </c>
      <c r="BG9" s="61">
        <f t="shared" si="17"/>
        <v>0.14807954847726151</v>
      </c>
      <c r="BH9" s="61">
        <f t="shared" si="18"/>
        <v>1.2401982312244047E-5</v>
      </c>
      <c r="BI9" s="61">
        <f t="shared" si="19"/>
        <v>0.30309114679096422</v>
      </c>
      <c r="BJ9" s="61">
        <f t="shared" si="20"/>
        <v>1.689843683882466</v>
      </c>
      <c r="BK9" s="61">
        <f t="shared" si="21"/>
        <v>0.30309114679096422</v>
      </c>
      <c r="BL9" s="61">
        <f t="shared" si="32"/>
        <v>1.5735687912852356</v>
      </c>
      <c r="BM9" s="61">
        <f t="shared" si="33"/>
        <v>0.15499299534023436</v>
      </c>
      <c r="BN9" s="61">
        <f t="shared" si="34"/>
        <v>0.30309114679096422</v>
      </c>
      <c r="BO9" s="69">
        <f t="shared" si="22"/>
        <v>1.5735687912852356</v>
      </c>
      <c r="BP9" s="69">
        <f t="shared" si="23"/>
        <v>0.3156794497055459</v>
      </c>
      <c r="BQ9" s="64">
        <f t="shared" si="35"/>
        <v>3.7784964819815601</v>
      </c>
      <c r="BR9" s="69">
        <f t="shared" si="24"/>
        <v>0.14566956941378431</v>
      </c>
      <c r="BS9" s="61">
        <f t="shared" si="25"/>
        <v>20.408257421074694</v>
      </c>
      <c r="BT9" s="61">
        <f t="shared" si="26"/>
        <v>20.105166274283729</v>
      </c>
      <c r="BU9" s="61">
        <f t="shared" si="36"/>
        <v>18.834688629789458</v>
      </c>
      <c r="BV9" s="61">
        <f t="shared" si="37"/>
        <v>1.689843683882466</v>
      </c>
      <c r="BW9" s="61">
        <f t="shared" si="38"/>
        <v>0.30309114679096422</v>
      </c>
      <c r="BX9" s="64">
        <f t="shared" si="39"/>
        <v>3.9858696613468605</v>
      </c>
      <c r="BY9" s="61">
        <f t="shared" si="40"/>
        <v>0.14083619093985794</v>
      </c>
      <c r="BZ9" s="61">
        <f t="shared" si="41"/>
        <v>23.912520734397141</v>
      </c>
      <c r="CA9" s="61">
        <f t="shared" si="42"/>
        <v>22.222677050514676</v>
      </c>
      <c r="CB9" s="61">
        <f>AE9*O9/0.2</f>
        <v>9.4462412049538997</v>
      </c>
      <c r="CC9" s="61">
        <f>AG9*AC9/0.2</f>
        <v>9.9646741533671506</v>
      </c>
      <c r="CD9" s="61">
        <f>CB9*'Oxidant Feed Composition'!$N$22</f>
        <v>0.94462412049539002</v>
      </c>
      <c r="CE9" s="61">
        <f>CC9*'Oxidant Feed Composition'!$N$22</f>
        <v>0.99646741533671512</v>
      </c>
      <c r="CF9" s="61">
        <f>1.2*CB9</f>
        <v>11.335489445944679</v>
      </c>
      <c r="CG9" s="61">
        <f>CC9*1.2</f>
        <v>11.957608984040581</v>
      </c>
      <c r="CH9" s="61">
        <f>BY9/('TEA Revised EYZ Inc'!CA9*'TEA Revised EYZ Inc'!BZ9)</f>
        <v>2.0000000000000004E-2</v>
      </c>
      <c r="CI9" s="84">
        <f>BR9/('TEA Revised EYZ Inc'!BY9)</f>
        <v>2.0384080289080189E-2</v>
      </c>
    </row>
    <row r="10" spans="1:87">
      <c r="A10" s="61">
        <v>3</v>
      </c>
      <c r="B10" s="61">
        <v>1.54143585092054E-3</v>
      </c>
      <c r="C10" s="61">
        <v>1.54143585092054E-3</v>
      </c>
      <c r="D10" s="61">
        <v>3.4254130020456501E-4</v>
      </c>
      <c r="E10" s="61">
        <v>0</v>
      </c>
      <c r="F10" s="61">
        <v>0</v>
      </c>
      <c r="G10" s="61">
        <v>0</v>
      </c>
      <c r="H10" s="69">
        <v>1.6300358850230801E-5</v>
      </c>
      <c r="I10" s="69">
        <v>7.4474859607128495E-7</v>
      </c>
      <c r="J10" s="61">
        <v>3.2385704147932398E-4</v>
      </c>
      <c r="K10" s="61">
        <v>8.07271092797512E-2</v>
      </c>
      <c r="L10" s="61">
        <v>8.15504849440159E-2</v>
      </c>
      <c r="M10" s="61">
        <v>9.8897848995466706E-4</v>
      </c>
      <c r="N10" s="61" t="s">
        <v>323</v>
      </c>
      <c r="O10" s="61">
        <v>0.1</v>
      </c>
      <c r="P10" s="61">
        <v>12</v>
      </c>
      <c r="Q10" s="61">
        <v>1.6455478770638001E-3</v>
      </c>
      <c r="R10" s="61">
        <v>1.66233163271225E-3</v>
      </c>
      <c r="S10" s="61">
        <v>2.0159416943409301E-5</v>
      </c>
      <c r="T10" s="61">
        <v>0</v>
      </c>
      <c r="U10" s="61">
        <v>0</v>
      </c>
      <c r="V10" s="61">
        <v>0</v>
      </c>
      <c r="W10" s="61">
        <v>1.6083531230386601E-3</v>
      </c>
      <c r="X10" s="61">
        <v>6.4624554467975802E-5</v>
      </c>
      <c r="Y10" s="61">
        <v>2.0025609902478401E-5</v>
      </c>
      <c r="Z10" s="61">
        <v>1.72977922313241E-3</v>
      </c>
      <c r="AA10" s="61">
        <v>7.4302965056042405E-2</v>
      </c>
      <c r="AB10" s="61">
        <v>6.2228302183306801E-6</v>
      </c>
      <c r="AC10" s="61">
        <v>0.1</v>
      </c>
      <c r="AD10" s="61">
        <v>100</v>
      </c>
      <c r="AE10" s="61">
        <v>18.892482409907799</v>
      </c>
      <c r="AF10" s="61">
        <v>92.6825353019658</v>
      </c>
      <c r="AG10" s="61">
        <v>19.929156604973699</v>
      </c>
      <c r="AH10" s="61">
        <f t="shared" si="0"/>
        <v>1.88924824099078</v>
      </c>
      <c r="AI10" s="61">
        <f t="shared" si="27"/>
        <v>1.9929156604973699</v>
      </c>
      <c r="AJ10" s="61">
        <f t="shared" si="28"/>
        <v>1.88924824099078</v>
      </c>
      <c r="AK10" s="61">
        <f t="shared" si="28"/>
        <v>1.9929156604973699</v>
      </c>
      <c r="AL10" s="61">
        <f t="shared" si="1"/>
        <v>0.61877059649650878</v>
      </c>
      <c r="AM10" s="61">
        <f t="shared" si="29"/>
        <v>1.2704776444942714</v>
      </c>
      <c r="AN10" s="61">
        <f t="shared" si="30"/>
        <v>0.61877059649650867</v>
      </c>
      <c r="AO10" s="69">
        <f t="shared" si="2"/>
        <v>1.6300358850230802E-3</v>
      </c>
      <c r="AP10" s="69">
        <f t="shared" si="3"/>
        <v>7.4474859607128499E-5</v>
      </c>
      <c r="AQ10" s="69">
        <f t="shared" si="4"/>
        <v>3.2385704147932397E-2</v>
      </c>
      <c r="AR10" s="61">
        <f t="shared" si="31"/>
        <v>10</v>
      </c>
      <c r="AS10" s="69">
        <f t="shared" si="5"/>
        <v>0.154143585092054</v>
      </c>
      <c r="AT10" s="70">
        <f t="shared" si="6"/>
        <v>0.154143585092054</v>
      </c>
      <c r="AU10" s="69">
        <f t="shared" si="7"/>
        <v>3.4254130020456498E-2</v>
      </c>
      <c r="AV10" s="69">
        <f t="shared" si="8"/>
        <v>0.15251354920703092</v>
      </c>
      <c r="AW10" s="70">
        <f t="shared" si="8"/>
        <v>0.15406911023244688</v>
      </c>
      <c r="AX10" s="69">
        <f t="shared" si="8"/>
        <v>1.8684258725241015E-3</v>
      </c>
      <c r="AY10" s="69">
        <f t="shared" si="9"/>
        <v>0.14906624510405755</v>
      </c>
      <c r="AZ10" s="61">
        <f t="shared" si="10"/>
        <v>5.9895675508519789E-3</v>
      </c>
      <c r="BA10" s="61">
        <f t="shared" si="11"/>
        <v>1.8560242967298503E-3</v>
      </c>
      <c r="BB10" s="69">
        <f t="shared" si="12"/>
        <v>95.000000000000099</v>
      </c>
      <c r="BC10" s="69">
        <f t="shared" si="13"/>
        <v>0.15691183695163938</v>
      </c>
      <c r="BD10" s="69">
        <f t="shared" si="14"/>
        <v>0.3069060942040619</v>
      </c>
      <c r="BE10" s="69">
        <f t="shared" si="15"/>
        <v>0.31567969820000863</v>
      </c>
      <c r="BF10" s="61">
        <f t="shared" si="16"/>
        <v>3.4473041029835544E-3</v>
      </c>
      <c r="BG10" s="61">
        <f t="shared" si="17"/>
        <v>0.14807954268157575</v>
      </c>
      <c r="BH10" s="61">
        <f t="shared" si="18"/>
        <v>1.240157579472748E-5</v>
      </c>
      <c r="BI10" s="61">
        <f t="shared" si="19"/>
        <v>0.30309089829650276</v>
      </c>
      <c r="BJ10" s="61">
        <f t="shared" si="20"/>
        <v>1.6898247622008671</v>
      </c>
      <c r="BK10" s="61">
        <f t="shared" si="21"/>
        <v>0.30309089829650276</v>
      </c>
      <c r="BL10" s="61">
        <f t="shared" si="32"/>
        <v>1.5735685427907742</v>
      </c>
      <c r="BM10" s="61">
        <f t="shared" si="33"/>
        <v>0.15499275325123493</v>
      </c>
      <c r="BN10" s="61">
        <f t="shared" si="34"/>
        <v>0.30309089829650276</v>
      </c>
      <c r="BO10" s="69">
        <f t="shared" si="22"/>
        <v>1.5735685427907742</v>
      </c>
      <c r="BP10" s="69">
        <f t="shared" si="23"/>
        <v>0.31567969820000863</v>
      </c>
      <c r="BQ10" s="64">
        <f t="shared" si="35"/>
        <v>3.7784964819815601</v>
      </c>
      <c r="BR10" s="69">
        <f t="shared" si="24"/>
        <v>0.14566967523962723</v>
      </c>
      <c r="BS10" s="61">
        <f t="shared" si="25"/>
        <v>20.408239372096666</v>
      </c>
      <c r="BT10" s="61">
        <f t="shared" si="26"/>
        <v>20.105148473800163</v>
      </c>
      <c r="BU10" s="61">
        <f t="shared" si="36"/>
        <v>18.834670829305892</v>
      </c>
      <c r="BV10" s="61">
        <f t="shared" si="37"/>
        <v>1.6898247622008671</v>
      </c>
      <c r="BW10" s="61">
        <f t="shared" si="38"/>
        <v>0.30309089829650276</v>
      </c>
      <c r="BX10" s="64">
        <f t="shared" si="39"/>
        <v>3.9858313209947398</v>
      </c>
      <c r="BY10" s="61">
        <f t="shared" si="40"/>
        <v>0.1408359878974757</v>
      </c>
      <c r="BZ10" s="61">
        <f t="shared" si="41"/>
        <v>23.912057439025592</v>
      </c>
      <c r="CA10" s="61">
        <f t="shared" si="42"/>
        <v>22.222232676824724</v>
      </c>
      <c r="CB10" s="61">
        <f>AE10*O10/0.2</f>
        <v>9.4462412049538997</v>
      </c>
      <c r="CC10" s="61">
        <f>AG10*AC10/0.2</f>
        <v>9.9645783024868493</v>
      </c>
      <c r="CD10" s="61">
        <f>CB10*'Oxidant Feed Composition'!$N$22</f>
        <v>0.94462412049539002</v>
      </c>
      <c r="CE10" s="61">
        <f>CC10*'Oxidant Feed Composition'!$N$22</f>
        <v>0.99645783024868495</v>
      </c>
      <c r="CF10" s="61">
        <f>1.2*CB10</f>
        <v>11.335489445944679</v>
      </c>
      <c r="CG10" s="61">
        <f>CC10*1.2</f>
        <v>11.957493962984218</v>
      </c>
      <c r="CH10" s="61">
        <f>BY10/('TEA Revised EYZ Inc'!CA10*'TEA Revised EYZ Inc'!BZ10)</f>
        <v>0.02</v>
      </c>
      <c r="CI10" s="84">
        <f>BR10/('TEA Revised EYZ Inc'!BY10)</f>
        <v>2.0384080289080193E-2</v>
      </c>
    </row>
    <row r="11" spans="1:87">
      <c r="A11" s="61">
        <v>3</v>
      </c>
      <c r="B11" s="61">
        <v>1.54143585092054E-3</v>
      </c>
      <c r="C11" s="61">
        <v>1.54143585092054E-3</v>
      </c>
      <c r="D11" s="61">
        <v>3.4254130020456501E-4</v>
      </c>
      <c r="E11" s="61">
        <v>0</v>
      </c>
      <c r="F11" s="61">
        <v>0</v>
      </c>
      <c r="G11" s="61">
        <v>0</v>
      </c>
      <c r="H11" s="69">
        <v>1.6300358850230801E-5</v>
      </c>
      <c r="I11" s="69">
        <v>7.4474859607128495E-7</v>
      </c>
      <c r="J11" s="61">
        <v>3.2385704147932398E-4</v>
      </c>
      <c r="K11" s="61">
        <v>8.07271092797512E-2</v>
      </c>
      <c r="L11" s="61">
        <v>8.15504849440159E-2</v>
      </c>
      <c r="M11" s="61">
        <v>9.8897848995466706E-4</v>
      </c>
      <c r="N11" s="61" t="s">
        <v>323</v>
      </c>
      <c r="O11" s="61">
        <v>0.1</v>
      </c>
      <c r="P11" s="61">
        <v>13</v>
      </c>
      <c r="Q11" s="61">
        <v>1.6455478770638001E-3</v>
      </c>
      <c r="R11" s="61">
        <v>1.66233163271225E-3</v>
      </c>
      <c r="S11" s="61">
        <v>2.0159416943409301E-5</v>
      </c>
      <c r="T11" s="61">
        <v>0</v>
      </c>
      <c r="U11" s="61">
        <v>0</v>
      </c>
      <c r="V11" s="61">
        <v>0</v>
      </c>
      <c r="W11" s="61">
        <v>1.60835348661086E-3</v>
      </c>
      <c r="X11" s="61">
        <v>6.4624572349144705E-5</v>
      </c>
      <c r="Y11" s="61">
        <v>2.0025611156689701E-5</v>
      </c>
      <c r="Z11" s="61">
        <v>1.72976707272807E-3</v>
      </c>
      <c r="AA11" s="61">
        <v>7.43031686023614E-2</v>
      </c>
      <c r="AB11" s="61">
        <v>6.2227890063413899E-6</v>
      </c>
      <c r="AC11" s="61">
        <v>0.1</v>
      </c>
      <c r="AD11" s="61">
        <v>100</v>
      </c>
      <c r="AE11" s="61">
        <v>18.892482409907799</v>
      </c>
      <c r="AF11" s="61">
        <v>92.6825353019658</v>
      </c>
      <c r="AG11" s="61">
        <v>19.929101787970101</v>
      </c>
      <c r="AH11" s="61">
        <f t="shared" si="0"/>
        <v>1.88924824099078</v>
      </c>
      <c r="AI11" s="61">
        <f t="shared" si="27"/>
        <v>1.9929101787970103</v>
      </c>
      <c r="AJ11" s="61">
        <f t="shared" si="28"/>
        <v>1.88924824099078</v>
      </c>
      <c r="AK11" s="61">
        <f t="shared" si="28"/>
        <v>1.9929101787970103</v>
      </c>
      <c r="AL11" s="61">
        <f t="shared" si="1"/>
        <v>0.61877059649650878</v>
      </c>
      <c r="AM11" s="61">
        <f t="shared" si="29"/>
        <v>1.2704776444942714</v>
      </c>
      <c r="AN11" s="61">
        <f t="shared" si="30"/>
        <v>0.61877059649650867</v>
      </c>
      <c r="AO11" s="69">
        <f t="shared" si="2"/>
        <v>1.6300358850230802E-3</v>
      </c>
      <c r="AP11" s="69">
        <f t="shared" si="3"/>
        <v>7.4474859607128499E-5</v>
      </c>
      <c r="AQ11" s="69">
        <f t="shared" si="4"/>
        <v>3.2385704147932397E-2</v>
      </c>
      <c r="AR11" s="61">
        <f t="shared" si="31"/>
        <v>10</v>
      </c>
      <c r="AS11" s="69">
        <f t="shared" si="5"/>
        <v>0.154143585092054</v>
      </c>
      <c r="AT11" s="70">
        <f t="shared" si="6"/>
        <v>0.154143585092054</v>
      </c>
      <c r="AU11" s="69">
        <f t="shared" si="7"/>
        <v>3.4254130020456498E-2</v>
      </c>
      <c r="AV11" s="69">
        <f t="shared" si="8"/>
        <v>0.15251354920703092</v>
      </c>
      <c r="AW11" s="70">
        <f t="shared" si="8"/>
        <v>0.15406911023244688</v>
      </c>
      <c r="AX11" s="69">
        <f t="shared" si="8"/>
        <v>1.8684258725241015E-3</v>
      </c>
      <c r="AY11" s="69">
        <f t="shared" si="9"/>
        <v>0.1490662788008508</v>
      </c>
      <c r="AZ11" s="61">
        <f t="shared" si="10"/>
        <v>5.9895692081240468E-3</v>
      </c>
      <c r="BA11" s="61">
        <f t="shared" si="11"/>
        <v>1.8560244129733334E-3</v>
      </c>
      <c r="BB11" s="69">
        <f t="shared" si="12"/>
        <v>95.000000000000014</v>
      </c>
      <c r="BC11" s="69">
        <f t="shared" si="13"/>
        <v>0.15691187242194818</v>
      </c>
      <c r="BD11" s="69">
        <f t="shared" si="14"/>
        <v>0.30690616342928562</v>
      </c>
      <c r="BE11" s="69">
        <f t="shared" si="15"/>
        <v>0.31567976925686969</v>
      </c>
      <c r="BF11" s="61">
        <f t="shared" si="16"/>
        <v>3.4472704061876791E-3</v>
      </c>
      <c r="BG11" s="61">
        <f t="shared" si="17"/>
        <v>0.14807954102451645</v>
      </c>
      <c r="BH11" s="61">
        <f t="shared" si="18"/>
        <v>1.240145955124389E-5</v>
      </c>
      <c r="BI11" s="61">
        <f t="shared" si="19"/>
        <v>0.30309082724006198</v>
      </c>
      <c r="BJ11" s="61">
        <f t="shared" si="20"/>
        <v>1.6898193515569484</v>
      </c>
      <c r="BK11" s="61">
        <f t="shared" si="21"/>
        <v>0.30309082724006198</v>
      </c>
      <c r="BL11" s="61">
        <f t="shared" si="32"/>
        <v>1.5735684717343332</v>
      </c>
      <c r="BM11" s="61">
        <f t="shared" si="33"/>
        <v>0.15499268402621869</v>
      </c>
      <c r="BN11" s="61">
        <f t="shared" si="34"/>
        <v>0.30309082724006198</v>
      </c>
      <c r="BO11" s="69">
        <f t="shared" si="22"/>
        <v>1.5735684717343332</v>
      </c>
      <c r="BP11" s="69">
        <f t="shared" si="23"/>
        <v>0.31567976925686969</v>
      </c>
      <c r="BQ11" s="64">
        <f t="shared" si="35"/>
        <v>3.7784964819815601</v>
      </c>
      <c r="BR11" s="69">
        <f t="shared" si="24"/>
        <v>0.14566970550046901</v>
      </c>
      <c r="BS11" s="61">
        <f t="shared" si="25"/>
        <v>20.408234211011482</v>
      </c>
      <c r="BT11" s="61">
        <f t="shared" si="26"/>
        <v>20.10514338377142</v>
      </c>
      <c r="BU11" s="61">
        <f t="shared" si="36"/>
        <v>18.834665739277149</v>
      </c>
      <c r="BV11" s="61">
        <f t="shared" si="37"/>
        <v>1.6898193515569484</v>
      </c>
      <c r="BW11" s="61">
        <f t="shared" si="38"/>
        <v>0.30309082724006198</v>
      </c>
      <c r="BX11" s="64">
        <f t="shared" si="39"/>
        <v>3.9858203575940205</v>
      </c>
      <c r="BY11" s="61">
        <f t="shared" si="40"/>
        <v>0.14083592983753818</v>
      </c>
      <c r="BZ11" s="61">
        <f t="shared" si="41"/>
        <v>23.91192496070272</v>
      </c>
      <c r="CA11" s="61">
        <f t="shared" si="42"/>
        <v>22.222105609145771</v>
      </c>
      <c r="CB11" s="61">
        <f>AE11*O11/0.2</f>
        <v>9.4462412049538997</v>
      </c>
      <c r="CC11" s="61">
        <f>AG11*AC11/0.2</f>
        <v>9.9645508939850505</v>
      </c>
      <c r="CD11" s="61">
        <f>CB11*'Oxidant Feed Composition'!$N$22</f>
        <v>0.94462412049539002</v>
      </c>
      <c r="CE11" s="61">
        <f>CC11*'Oxidant Feed Composition'!$N$22</f>
        <v>0.99645508939850513</v>
      </c>
      <c r="CF11" s="61">
        <f>1.2*CB11</f>
        <v>11.335489445944679</v>
      </c>
      <c r="CG11" s="61">
        <f>CC11*1.2</f>
        <v>11.95746107278206</v>
      </c>
      <c r="CH11" s="61">
        <f>BY11/('TEA Revised EYZ Inc'!CA11*'TEA Revised EYZ Inc'!BZ11)</f>
        <v>1.9999999999999997E-2</v>
      </c>
      <c r="CI11" s="84">
        <f>BR11/('TEA Revised EYZ Inc'!BY11)</f>
        <v>2.0384080289080189E-2</v>
      </c>
    </row>
    <row r="12" spans="1:87">
      <c r="A12" s="61">
        <v>4</v>
      </c>
      <c r="B12" s="61">
        <v>1.54143585092054E-3</v>
      </c>
      <c r="C12" s="61">
        <v>1.54143585092054E-3</v>
      </c>
      <c r="D12" s="61">
        <v>3.4254130020456501E-4</v>
      </c>
      <c r="E12" s="61">
        <v>0</v>
      </c>
      <c r="F12" s="61">
        <v>0</v>
      </c>
      <c r="G12" s="61">
        <v>0</v>
      </c>
      <c r="H12" s="69">
        <v>1.7208960911287699E-5</v>
      </c>
      <c r="I12" s="69">
        <v>2.8768784818324402E-7</v>
      </c>
      <c r="J12" s="61">
        <v>3.3243632642994598E-4</v>
      </c>
      <c r="K12" s="61">
        <v>0.10920586178936199</v>
      </c>
      <c r="L12" s="61">
        <v>0.110418215553449</v>
      </c>
      <c r="M12" s="61">
        <v>7.2398825703009801E-4</v>
      </c>
      <c r="N12" s="61" t="s">
        <v>323</v>
      </c>
      <c r="O12" s="61">
        <v>0.1</v>
      </c>
      <c r="P12" s="61">
        <v>4</v>
      </c>
      <c r="Q12" s="61">
        <v>1.6481650483119699E-3</v>
      </c>
      <c r="R12" s="61">
        <v>1.6664622263884801E-3</v>
      </c>
      <c r="S12" s="61">
        <v>1.0926630870116399E-5</v>
      </c>
      <c r="T12" s="61">
        <v>0</v>
      </c>
      <c r="U12" s="61">
        <v>0</v>
      </c>
      <c r="V12" s="61">
        <v>0</v>
      </c>
      <c r="W12" s="61">
        <v>1.6024673892141501E-3</v>
      </c>
      <c r="X12" s="61">
        <v>7.3502024125801294E-5</v>
      </c>
      <c r="Y12" s="61">
        <v>1.0838364815948499E-5</v>
      </c>
      <c r="Z12" s="61">
        <v>2.0055299493415999E-3</v>
      </c>
      <c r="AA12" s="61">
        <v>6.9910132309146902E-2</v>
      </c>
      <c r="AB12" s="61">
        <v>3.8737261084868501E-6</v>
      </c>
      <c r="AC12" s="61">
        <v>0.1</v>
      </c>
      <c r="AD12" s="61">
        <v>100</v>
      </c>
      <c r="AE12" s="61">
        <v>13.957372480144</v>
      </c>
      <c r="AF12" s="61">
        <v>92.480233795174101</v>
      </c>
      <c r="AG12" s="61">
        <v>21.0723863717228</v>
      </c>
      <c r="AH12" s="61">
        <f t="shared" si="0"/>
        <v>1.3957372480144001</v>
      </c>
      <c r="AI12" s="61">
        <f t="shared" si="27"/>
        <v>2.10723863717228</v>
      </c>
      <c r="AJ12" s="61">
        <f t="shared" si="28"/>
        <v>1.3957372480144001</v>
      </c>
      <c r="AK12" s="61">
        <f t="shared" si="28"/>
        <v>2.10723863717228</v>
      </c>
      <c r="AL12" s="61">
        <f t="shared" si="1"/>
        <v>0.61610650274869927</v>
      </c>
      <c r="AM12" s="61">
        <f t="shared" si="29"/>
        <v>0.77963074526570086</v>
      </c>
      <c r="AN12" s="61">
        <f t="shared" si="30"/>
        <v>0.61610650274869927</v>
      </c>
      <c r="AO12" s="69">
        <f t="shared" si="2"/>
        <v>1.7208960911287699E-3</v>
      </c>
      <c r="AP12" s="69">
        <f t="shared" si="3"/>
        <v>2.8768784818324403E-5</v>
      </c>
      <c r="AQ12" s="69">
        <f t="shared" si="4"/>
        <v>3.3243632642994597E-2</v>
      </c>
      <c r="AR12" s="61">
        <f t="shared" si="31"/>
        <v>10</v>
      </c>
      <c r="AS12" s="69">
        <f t="shared" si="5"/>
        <v>0.154143585092054</v>
      </c>
      <c r="AT12" s="70">
        <f t="shared" si="6"/>
        <v>0.154143585092054</v>
      </c>
      <c r="AU12" s="69">
        <f t="shared" si="7"/>
        <v>3.4254130020456498E-2</v>
      </c>
      <c r="AV12" s="69">
        <f t="shared" si="8"/>
        <v>0.15242268900092523</v>
      </c>
      <c r="AW12" s="70">
        <f t="shared" si="8"/>
        <v>0.15411481630723567</v>
      </c>
      <c r="AX12" s="69">
        <f t="shared" si="8"/>
        <v>1.0104973774619011E-3</v>
      </c>
      <c r="AY12" s="69">
        <f t="shared" si="9"/>
        <v>0.14819655880366686</v>
      </c>
      <c r="AZ12" s="61">
        <f t="shared" si="10"/>
        <v>6.7974843755726306E-3</v>
      </c>
      <c r="BA12" s="61">
        <f t="shared" si="11"/>
        <v>1.0023345121363064E-3</v>
      </c>
      <c r="BB12" s="69">
        <f t="shared" si="12"/>
        <v>94.999999997987047</v>
      </c>
      <c r="BC12" s="69">
        <f t="shared" si="13"/>
        <v>0.15599637769137578</v>
      </c>
      <c r="BD12" s="69">
        <f t="shared" si="14"/>
        <v>0.30469410375111083</v>
      </c>
      <c r="BE12" s="69">
        <f t="shared" si="15"/>
        <v>0.31299508989488789</v>
      </c>
      <c r="BF12" s="61">
        <f t="shared" si="16"/>
        <v>4.2261301972587846E-3</v>
      </c>
      <c r="BG12" s="61">
        <f t="shared" si="17"/>
        <v>0.14731733193166049</v>
      </c>
      <c r="BH12" s="61">
        <f t="shared" si="18"/>
        <v>8.1628653256265093E-6</v>
      </c>
      <c r="BI12" s="61">
        <f t="shared" si="19"/>
        <v>0.30311141285381543</v>
      </c>
      <c r="BJ12" s="61">
        <f t="shared" si="20"/>
        <v>1.8041272243184645</v>
      </c>
      <c r="BK12" s="61">
        <f t="shared" si="21"/>
        <v>0.30311141285381543</v>
      </c>
      <c r="BL12" s="61">
        <f t="shared" si="32"/>
        <v>1.0827421581195162</v>
      </c>
      <c r="BM12" s="61">
        <f t="shared" si="33"/>
        <v>0.1557818366241665</v>
      </c>
      <c r="BN12" s="61">
        <f t="shared" si="34"/>
        <v>0.30311141285381543</v>
      </c>
      <c r="BO12" s="69">
        <f t="shared" si="22"/>
        <v>1.0827421581195162</v>
      </c>
      <c r="BP12" s="69">
        <f t="shared" si="23"/>
        <v>0.31299508989488789</v>
      </c>
      <c r="BQ12" s="64">
        <f t="shared" si="35"/>
        <v>2.7914744960288003</v>
      </c>
      <c r="BR12" s="69">
        <f t="shared" si="24"/>
        <v>0.1407193381416007</v>
      </c>
      <c r="BS12" s="61">
        <f t="shared" si="25"/>
        <v>10.739274218034037</v>
      </c>
      <c r="BT12" s="61">
        <f t="shared" si="26"/>
        <v>10.436162805180222</v>
      </c>
      <c r="BU12" s="61">
        <f t="shared" si="36"/>
        <v>9.6565320599145217</v>
      </c>
      <c r="BV12" s="61">
        <f t="shared" si="37"/>
        <v>1.8041272243184645</v>
      </c>
      <c r="BW12" s="61">
        <f t="shared" si="38"/>
        <v>0.30311141285381543</v>
      </c>
      <c r="BX12" s="64">
        <f t="shared" si="39"/>
        <v>4.21447727434456</v>
      </c>
      <c r="BY12" s="61">
        <f t="shared" si="40"/>
        <v>0.14138694882591257</v>
      </c>
      <c r="BZ12" s="61">
        <f t="shared" si="41"/>
        <v>26.888808514704234</v>
      </c>
      <c r="CA12" s="61">
        <f t="shared" si="42"/>
        <v>25.08468129038577</v>
      </c>
      <c r="CB12" s="61">
        <f>AE12*O12/0.2</f>
        <v>6.9786862400720002</v>
      </c>
      <c r="CC12" s="61">
        <f>AG12*AC12/0.2</f>
        <v>10.5361931858614</v>
      </c>
      <c r="CD12" s="61">
        <f>CB12*'Oxidant Feed Composition'!$N$22</f>
        <v>0.69786862400720007</v>
      </c>
      <c r="CE12" s="61">
        <f>CC12*'Oxidant Feed Composition'!$N$22</f>
        <v>1.05361931858614</v>
      </c>
      <c r="CF12" s="61">
        <f>1.2*CB12</f>
        <v>8.3744234880863999</v>
      </c>
      <c r="CG12" s="61">
        <f>CC12*1.2</f>
        <v>12.64343182303368</v>
      </c>
      <c r="CH12" s="61">
        <f>BY12/('TEA Revised EYZ Inc'!CA12*'TEA Revised EYZ Inc'!BZ12)</f>
        <v>0.02</v>
      </c>
      <c r="CI12" s="84">
        <f>BR12/('TEA Revised EYZ Inc'!BY12)</f>
        <v>1.5092276378817221E-2</v>
      </c>
    </row>
    <row r="13" spans="1:87">
      <c r="A13" s="61">
        <v>4</v>
      </c>
      <c r="B13" s="61">
        <v>1.54143585092054E-3</v>
      </c>
      <c r="C13" s="61">
        <v>1.54143585092054E-3</v>
      </c>
      <c r="D13" s="61">
        <v>3.4254130020456501E-4</v>
      </c>
      <c r="E13" s="61">
        <v>0</v>
      </c>
      <c r="F13" s="61">
        <v>0</v>
      </c>
      <c r="G13" s="61">
        <v>0</v>
      </c>
      <c r="H13" s="69">
        <v>1.7208960911287699E-5</v>
      </c>
      <c r="I13" s="69">
        <v>2.8768784818324402E-7</v>
      </c>
      <c r="J13" s="61">
        <v>3.3243632642994598E-4</v>
      </c>
      <c r="K13" s="61">
        <v>0.10920586178936199</v>
      </c>
      <c r="L13" s="61">
        <v>0.110418215553449</v>
      </c>
      <c r="M13" s="61">
        <v>7.2398825703009801E-4</v>
      </c>
      <c r="N13" s="61" t="s">
        <v>323</v>
      </c>
      <c r="O13" s="61">
        <v>0.1</v>
      </c>
      <c r="P13" s="61">
        <v>5</v>
      </c>
      <c r="Q13" s="61">
        <v>1.6481650483119699E-3</v>
      </c>
      <c r="R13" s="61">
        <v>1.6664622263884801E-3</v>
      </c>
      <c r="S13" s="61">
        <v>1.0926630870116399E-5</v>
      </c>
      <c r="T13" s="61">
        <v>0</v>
      </c>
      <c r="U13" s="61">
        <v>0</v>
      </c>
      <c r="V13" s="61">
        <v>0</v>
      </c>
      <c r="W13" s="61">
        <v>1.6085253260061899E-3</v>
      </c>
      <c r="X13" s="61">
        <v>7.3809557032336595E-5</v>
      </c>
      <c r="Y13" s="61">
        <v>1.08496706522018E-5</v>
      </c>
      <c r="Z13" s="61">
        <v>1.817766908322E-3</v>
      </c>
      <c r="AA13" s="61">
        <v>7.3034601414750294E-2</v>
      </c>
      <c r="AB13" s="61">
        <v>3.5291805604209299E-6</v>
      </c>
      <c r="AC13" s="61">
        <v>0.1</v>
      </c>
      <c r="AD13" s="61">
        <v>100</v>
      </c>
      <c r="AE13" s="61">
        <v>13.957372480144</v>
      </c>
      <c r="AF13" s="61">
        <v>92.480233795174101</v>
      </c>
      <c r="AG13" s="61">
        <v>20.1670014436726</v>
      </c>
      <c r="AH13" s="61">
        <f t="shared" si="0"/>
        <v>1.3957372480144001</v>
      </c>
      <c r="AI13" s="61">
        <f t="shared" si="27"/>
        <v>2.0167001443672601</v>
      </c>
      <c r="AJ13" s="61">
        <f t="shared" si="28"/>
        <v>1.3957372480144001</v>
      </c>
      <c r="AK13" s="61">
        <f t="shared" si="28"/>
        <v>2.0167001443672601</v>
      </c>
      <c r="AL13" s="61">
        <f t="shared" si="1"/>
        <v>0.61610650274869927</v>
      </c>
      <c r="AM13" s="61">
        <f t="shared" si="29"/>
        <v>0.77963074526570086</v>
      </c>
      <c r="AN13" s="61">
        <f t="shared" si="30"/>
        <v>0.61610650274869927</v>
      </c>
      <c r="AO13" s="69">
        <f t="shared" si="2"/>
        <v>1.7208960911287699E-3</v>
      </c>
      <c r="AP13" s="69">
        <f t="shared" si="3"/>
        <v>2.8768784818324403E-5</v>
      </c>
      <c r="AQ13" s="69">
        <f t="shared" si="4"/>
        <v>3.3243632642994597E-2</v>
      </c>
      <c r="AR13" s="61">
        <f t="shared" si="31"/>
        <v>10</v>
      </c>
      <c r="AS13" s="69">
        <f t="shared" si="5"/>
        <v>0.154143585092054</v>
      </c>
      <c r="AT13" s="70">
        <f t="shared" si="6"/>
        <v>0.154143585092054</v>
      </c>
      <c r="AU13" s="69">
        <f t="shared" si="7"/>
        <v>3.4254130020456498E-2</v>
      </c>
      <c r="AV13" s="69">
        <f t="shared" si="8"/>
        <v>0.15242268900092523</v>
      </c>
      <c r="AW13" s="70">
        <f t="shared" si="8"/>
        <v>0.15411481630723567</v>
      </c>
      <c r="AX13" s="69">
        <f t="shared" si="8"/>
        <v>1.0104973774619011E-3</v>
      </c>
      <c r="AY13" s="69">
        <f t="shared" si="9"/>
        <v>0.14875679821451107</v>
      </c>
      <c r="AZ13" s="61">
        <f t="shared" si="10"/>
        <v>6.8259250906687252E-3</v>
      </c>
      <c r="BA13" s="61">
        <f t="shared" si="11"/>
        <v>1.0033800785162615E-3</v>
      </c>
      <c r="BB13" s="69">
        <f t="shared" si="12"/>
        <v>94.999999999999872</v>
      </c>
      <c r="BC13" s="69">
        <f t="shared" si="13"/>
        <v>0.15658610338369608</v>
      </c>
      <c r="BD13" s="69">
        <f t="shared" si="14"/>
        <v>0.30584459163746525</v>
      </c>
      <c r="BE13" s="69">
        <f t="shared" si="15"/>
        <v>0.31417558684590841</v>
      </c>
      <c r="BF13" s="61">
        <f t="shared" si="16"/>
        <v>3.6658907864390057E-3</v>
      </c>
      <c r="BG13" s="61">
        <f t="shared" si="17"/>
        <v>0.14728889121693223</v>
      </c>
      <c r="BH13" s="61">
        <f t="shared" si="18"/>
        <v>7.1172989456990168E-6</v>
      </c>
      <c r="BI13" s="61">
        <f t="shared" si="19"/>
        <v>0.30193091590357957</v>
      </c>
      <c r="BJ13" s="61">
        <f t="shared" si="20"/>
        <v>1.7147692284636804</v>
      </c>
      <c r="BK13" s="61">
        <f t="shared" si="21"/>
        <v>0.30193091590357957</v>
      </c>
      <c r="BL13" s="61">
        <f t="shared" si="32"/>
        <v>1.0815616611692804</v>
      </c>
      <c r="BM13" s="61">
        <f t="shared" si="33"/>
        <v>0.15463134873822879</v>
      </c>
      <c r="BN13" s="61">
        <f t="shared" si="34"/>
        <v>0.30193091590357957</v>
      </c>
      <c r="BO13" s="69">
        <f t="shared" si="22"/>
        <v>1.0815616611692804</v>
      </c>
      <c r="BP13" s="69">
        <f t="shared" si="23"/>
        <v>0.31417558684590841</v>
      </c>
      <c r="BQ13" s="64">
        <f t="shared" si="35"/>
        <v>2.7914744960288003</v>
      </c>
      <c r="BR13" s="69">
        <f t="shared" si="24"/>
        <v>0.14119638635261797</v>
      </c>
      <c r="BS13" s="61">
        <f t="shared" si="25"/>
        <v>10.691321042369616</v>
      </c>
      <c r="BT13" s="61">
        <f t="shared" si="26"/>
        <v>10.389390126466036</v>
      </c>
      <c r="BU13" s="61">
        <f t="shared" si="36"/>
        <v>9.6097593812003357</v>
      </c>
      <c r="BV13" s="61">
        <f t="shared" si="37"/>
        <v>1.7147692284636804</v>
      </c>
      <c r="BW13" s="61">
        <f t="shared" si="38"/>
        <v>0.30193091590357957</v>
      </c>
      <c r="BX13" s="64">
        <f t="shared" si="39"/>
        <v>4.0334002887345202</v>
      </c>
      <c r="BY13" s="61">
        <f t="shared" si="40"/>
        <v>0.14045158096347046</v>
      </c>
      <c r="BZ13" s="61">
        <f t="shared" si="41"/>
        <v>24.621832854260742</v>
      </c>
      <c r="CA13" s="61">
        <f t="shared" si="42"/>
        <v>22.907063625797061</v>
      </c>
      <c r="CB13" s="61">
        <f>AE13*O13/0.2</f>
        <v>6.9786862400720002</v>
      </c>
      <c r="CC13" s="61">
        <f>AG13*AC13/0.2</f>
        <v>10.0835007218363</v>
      </c>
      <c r="CD13" s="61">
        <f>CB13*'Oxidant Feed Composition'!$N$22</f>
        <v>0.69786862400720007</v>
      </c>
      <c r="CE13" s="61">
        <f>CC13*'Oxidant Feed Composition'!$N$22</f>
        <v>1.00835007218363</v>
      </c>
      <c r="CF13" s="61">
        <f>1.2*CB13</f>
        <v>8.3744234880863999</v>
      </c>
      <c r="CG13" s="61">
        <f>CC13*1.2</f>
        <v>12.10020086620356</v>
      </c>
      <c r="CH13" s="61">
        <f>BY13/('TEA Revised EYZ Inc'!CA13*'TEA Revised EYZ Inc'!BZ13)</f>
        <v>2.0000000000000004E-2</v>
      </c>
      <c r="CI13" s="84">
        <f>BR13/('TEA Revised EYZ Inc'!BY13)</f>
        <v>1.5092276378817217E-2</v>
      </c>
    </row>
    <row r="14" spans="1:87">
      <c r="A14" s="61">
        <v>4</v>
      </c>
      <c r="B14" s="61">
        <v>1.54143585092054E-3</v>
      </c>
      <c r="C14" s="61">
        <v>1.54143585092054E-3</v>
      </c>
      <c r="D14" s="61">
        <v>3.4254130020456501E-4</v>
      </c>
      <c r="E14" s="61">
        <v>0</v>
      </c>
      <c r="F14" s="61">
        <v>0</v>
      </c>
      <c r="G14" s="61">
        <v>0</v>
      </c>
      <c r="H14" s="69">
        <v>1.7208960911287699E-5</v>
      </c>
      <c r="I14" s="69">
        <v>2.8768784818324402E-7</v>
      </c>
      <c r="J14" s="61">
        <v>3.3243632642994598E-4</v>
      </c>
      <c r="K14" s="61">
        <v>0.10920586178936199</v>
      </c>
      <c r="L14" s="61">
        <v>0.110418215553449</v>
      </c>
      <c r="M14" s="61">
        <v>7.2398825703009801E-4</v>
      </c>
      <c r="N14" s="61" t="s">
        <v>323</v>
      </c>
      <c r="O14" s="61">
        <v>0.1</v>
      </c>
      <c r="P14" s="61">
        <v>6</v>
      </c>
      <c r="Q14" s="61">
        <v>1.6481650483119699E-3</v>
      </c>
      <c r="R14" s="61">
        <v>1.6664622263884801E-3</v>
      </c>
      <c r="S14" s="61">
        <v>1.0926630870116399E-5</v>
      </c>
      <c r="T14" s="61">
        <v>0</v>
      </c>
      <c r="U14" s="61">
        <v>0</v>
      </c>
      <c r="V14" s="61">
        <v>0</v>
      </c>
      <c r="W14" s="61">
        <v>1.61036674463848E-3</v>
      </c>
      <c r="X14" s="61">
        <v>7.3903037307057197E-5</v>
      </c>
      <c r="Y14" s="61">
        <v>1.0853107147603801E-5</v>
      </c>
      <c r="Z14" s="61">
        <v>1.75730512408255E-3</v>
      </c>
      <c r="AA14" s="61">
        <v>7.4040688374865299E-2</v>
      </c>
      <c r="AB14" s="61">
        <v>3.41823843284434E-6</v>
      </c>
      <c r="AC14" s="61">
        <v>0.1</v>
      </c>
      <c r="AD14" s="61">
        <v>100</v>
      </c>
      <c r="AE14" s="61">
        <v>13.957372480144</v>
      </c>
      <c r="AF14" s="61">
        <v>92.480233795174101</v>
      </c>
      <c r="AG14" s="61">
        <v>19.891798600503797</v>
      </c>
      <c r="AH14" s="61">
        <f t="shared" si="0"/>
        <v>1.3957372480144001</v>
      </c>
      <c r="AI14" s="61">
        <f t="shared" si="27"/>
        <v>1.9891798600503798</v>
      </c>
      <c r="AJ14" s="61">
        <f t="shared" si="28"/>
        <v>1.3957372480144001</v>
      </c>
      <c r="AK14" s="61">
        <f t="shared" si="28"/>
        <v>1.9891798600503798</v>
      </c>
      <c r="AL14" s="61">
        <f t="shared" si="1"/>
        <v>0.61610650274869927</v>
      </c>
      <c r="AM14" s="61">
        <f t="shared" si="29"/>
        <v>0.77963074526570086</v>
      </c>
      <c r="AN14" s="61">
        <f t="shared" si="30"/>
        <v>0.61610650274869927</v>
      </c>
      <c r="AO14" s="69">
        <f t="shared" si="2"/>
        <v>1.7208960911287699E-3</v>
      </c>
      <c r="AP14" s="69">
        <f t="shared" si="3"/>
        <v>2.8768784818324403E-5</v>
      </c>
      <c r="AQ14" s="69">
        <f t="shared" si="4"/>
        <v>3.3243632642994597E-2</v>
      </c>
      <c r="AR14" s="61">
        <f t="shared" si="31"/>
        <v>10</v>
      </c>
      <c r="AS14" s="69">
        <f t="shared" si="5"/>
        <v>0.154143585092054</v>
      </c>
      <c r="AT14" s="70">
        <f t="shared" si="6"/>
        <v>0.154143585092054</v>
      </c>
      <c r="AU14" s="69">
        <f t="shared" si="7"/>
        <v>3.4254130020456498E-2</v>
      </c>
      <c r="AV14" s="69">
        <f t="shared" si="8"/>
        <v>0.15242268900092523</v>
      </c>
      <c r="AW14" s="70">
        <f t="shared" si="8"/>
        <v>0.15411481630723567</v>
      </c>
      <c r="AX14" s="69">
        <f t="shared" si="8"/>
        <v>1.0104973774619011E-3</v>
      </c>
      <c r="AY14" s="69">
        <f t="shared" si="9"/>
        <v>0.14892709304014007</v>
      </c>
      <c r="AZ14" s="61">
        <f t="shared" si="10"/>
        <v>6.8345701683301232E-3</v>
      </c>
      <c r="BA14" s="61">
        <f t="shared" si="11"/>
        <v>1.0036978864144746E-3</v>
      </c>
      <c r="BB14" s="69">
        <f t="shared" si="12"/>
        <v>94.999999999999773</v>
      </c>
      <c r="BC14" s="69">
        <f t="shared" si="13"/>
        <v>0.15676536109488465</v>
      </c>
      <c r="BD14" s="69">
        <f t="shared" si="14"/>
        <v>0.30619430307823198</v>
      </c>
      <c r="BE14" s="69">
        <f t="shared" si="15"/>
        <v>0.31453442007618376</v>
      </c>
      <c r="BF14" s="61">
        <f t="shared" si="16"/>
        <v>3.4955959607883423E-3</v>
      </c>
      <c r="BG14" s="61">
        <f t="shared" si="17"/>
        <v>0.14728024613954835</v>
      </c>
      <c r="BH14" s="61">
        <f t="shared" si="18"/>
        <v>6.7994910474641344E-6</v>
      </c>
      <c r="BI14" s="61">
        <f t="shared" si="19"/>
        <v>0.3015720826738158</v>
      </c>
      <c r="BJ14" s="61">
        <f t="shared" si="20"/>
        <v>1.6876077773765641</v>
      </c>
      <c r="BK14" s="61">
        <f t="shared" si="21"/>
        <v>0.3015720826738158</v>
      </c>
      <c r="BL14" s="61">
        <f t="shared" si="32"/>
        <v>1.0812028279395167</v>
      </c>
      <c r="BM14" s="61">
        <f t="shared" si="33"/>
        <v>0.15428163729769623</v>
      </c>
      <c r="BN14" s="61">
        <f t="shared" si="34"/>
        <v>0.3015720826738158</v>
      </c>
      <c r="BO14" s="69">
        <f t="shared" si="22"/>
        <v>1.0812028279395167</v>
      </c>
      <c r="BP14" s="69">
        <f t="shared" si="23"/>
        <v>0.31453442007618376</v>
      </c>
      <c r="BQ14" s="64">
        <f t="shared" si="35"/>
        <v>2.7914744960288003</v>
      </c>
      <c r="BR14" s="69">
        <f t="shared" si="24"/>
        <v>0.14134132185089304</v>
      </c>
      <c r="BS14" s="61">
        <f t="shared" si="25"/>
        <v>10.676814394064287</v>
      </c>
      <c r="BT14" s="61">
        <f t="shared" si="26"/>
        <v>10.375242311390471</v>
      </c>
      <c r="BU14" s="61">
        <f t="shared" si="36"/>
        <v>9.5956115661247701</v>
      </c>
      <c r="BV14" s="61">
        <f t="shared" si="37"/>
        <v>1.6876077773765641</v>
      </c>
      <c r="BW14" s="61">
        <f t="shared" si="38"/>
        <v>0.3015720826738158</v>
      </c>
      <c r="BX14" s="64">
        <f t="shared" si="39"/>
        <v>3.9783597201007597</v>
      </c>
      <c r="BY14" s="61">
        <f t="shared" si="40"/>
        <v>0.14016137192170078</v>
      </c>
      <c r="BZ14" s="61">
        <f t="shared" si="41"/>
        <v>23.950646004643584</v>
      </c>
      <c r="CA14" s="61">
        <f t="shared" si="42"/>
        <v>22.263038227267021</v>
      </c>
      <c r="CB14" s="61">
        <f>AE14*O14/0.2</f>
        <v>6.9786862400720002</v>
      </c>
      <c r="CC14" s="61">
        <f>AG14*AC14/0.2</f>
        <v>9.9458993002518987</v>
      </c>
      <c r="CD14" s="61">
        <f>CB14*'Oxidant Feed Composition'!$N$22</f>
        <v>0.69786862400720007</v>
      </c>
      <c r="CE14" s="61">
        <f>CC14*'Oxidant Feed Composition'!$N$22</f>
        <v>0.99458993002518992</v>
      </c>
      <c r="CF14" s="61">
        <f>1.2*CB14</f>
        <v>8.3744234880863999</v>
      </c>
      <c r="CG14" s="61">
        <f>CC14*1.2</f>
        <v>11.935079160302278</v>
      </c>
      <c r="CH14" s="61">
        <f>BY14/('TEA Revised EYZ Inc'!CA14*'TEA Revised EYZ Inc'!BZ14)</f>
        <v>2.0000000000000004E-2</v>
      </c>
      <c r="CI14" s="84">
        <f>BR14/('TEA Revised EYZ Inc'!BY14)</f>
        <v>1.5092276378817219E-2</v>
      </c>
    </row>
    <row r="15" spans="1:87">
      <c r="A15" s="61">
        <v>4</v>
      </c>
      <c r="B15" s="61">
        <v>1.54143585092054E-3</v>
      </c>
      <c r="C15" s="61">
        <v>1.54143585092054E-3</v>
      </c>
      <c r="D15" s="61">
        <v>3.4254130020456501E-4</v>
      </c>
      <c r="E15" s="61">
        <v>0</v>
      </c>
      <c r="F15" s="61">
        <v>0</v>
      </c>
      <c r="G15" s="61">
        <v>0</v>
      </c>
      <c r="H15" s="69">
        <v>1.7208960911287699E-5</v>
      </c>
      <c r="I15" s="69">
        <v>2.8768784818324402E-7</v>
      </c>
      <c r="J15" s="61">
        <v>3.3243632642994598E-4</v>
      </c>
      <c r="K15" s="61">
        <v>0.10920586178936199</v>
      </c>
      <c r="L15" s="61">
        <v>0.110418215553449</v>
      </c>
      <c r="M15" s="61">
        <v>7.2398825703009801E-4</v>
      </c>
      <c r="N15" s="61" t="s">
        <v>323</v>
      </c>
      <c r="O15" s="61">
        <v>0.1</v>
      </c>
      <c r="P15" s="61">
        <v>7</v>
      </c>
      <c r="Q15" s="61">
        <v>1.6481650483119699E-3</v>
      </c>
      <c r="R15" s="61">
        <v>1.6664622263884801E-3</v>
      </c>
      <c r="S15" s="61">
        <v>1.0926630870116399E-5</v>
      </c>
      <c r="T15" s="61">
        <v>0</v>
      </c>
      <c r="U15" s="61">
        <v>0</v>
      </c>
      <c r="V15" s="61">
        <v>0</v>
      </c>
      <c r="W15" s="61">
        <v>1.61090754837377E-3</v>
      </c>
      <c r="X15" s="61">
        <v>7.3930491403475195E-5</v>
      </c>
      <c r="Y15" s="61">
        <v>1.08541164056693E-5</v>
      </c>
      <c r="Z15" s="61">
        <v>1.73922906321953E-3</v>
      </c>
      <c r="AA15" s="61">
        <v>7.4341474522921697E-2</v>
      </c>
      <c r="AB15" s="61">
        <v>3.3850705039854299E-6</v>
      </c>
      <c r="AC15" s="61">
        <v>0.1</v>
      </c>
      <c r="AD15" s="61">
        <v>100</v>
      </c>
      <c r="AE15" s="61">
        <v>13.957372480144</v>
      </c>
      <c r="AF15" s="61">
        <v>92.480233795174101</v>
      </c>
      <c r="AG15" s="61">
        <v>19.810974742489201</v>
      </c>
      <c r="AH15" s="61">
        <f t="shared" si="0"/>
        <v>1.3957372480144001</v>
      </c>
      <c r="AI15" s="61">
        <f t="shared" si="27"/>
        <v>1.9810974742489202</v>
      </c>
      <c r="AJ15" s="61">
        <f t="shared" si="28"/>
        <v>1.3957372480144001</v>
      </c>
      <c r="AK15" s="61">
        <f t="shared" si="28"/>
        <v>1.9810974742489202</v>
      </c>
      <c r="AL15" s="61">
        <f t="shared" si="1"/>
        <v>0.61610650274869927</v>
      </c>
      <c r="AM15" s="61">
        <f t="shared" si="29"/>
        <v>0.77963074526570086</v>
      </c>
      <c r="AN15" s="61">
        <f t="shared" si="30"/>
        <v>0.61610650274869927</v>
      </c>
      <c r="AO15" s="69">
        <f t="shared" si="2"/>
        <v>1.7208960911287699E-3</v>
      </c>
      <c r="AP15" s="69">
        <f t="shared" si="3"/>
        <v>2.8768784818324403E-5</v>
      </c>
      <c r="AQ15" s="69">
        <f t="shared" si="4"/>
        <v>3.3243632642994597E-2</v>
      </c>
      <c r="AR15" s="61">
        <f t="shared" si="31"/>
        <v>10</v>
      </c>
      <c r="AS15" s="69">
        <f t="shared" si="5"/>
        <v>0.154143585092054</v>
      </c>
      <c r="AT15" s="70">
        <f t="shared" si="6"/>
        <v>0.154143585092054</v>
      </c>
      <c r="AU15" s="69">
        <f t="shared" si="7"/>
        <v>3.4254130020456498E-2</v>
      </c>
      <c r="AV15" s="69">
        <f t="shared" si="8"/>
        <v>0.15242268900092523</v>
      </c>
      <c r="AW15" s="70">
        <f t="shared" si="8"/>
        <v>0.15411481630723567</v>
      </c>
      <c r="AX15" s="69">
        <f t="shared" si="8"/>
        <v>1.0104973774619011E-3</v>
      </c>
      <c r="AY15" s="69">
        <f t="shared" si="9"/>
        <v>0.14897710669601699</v>
      </c>
      <c r="AZ15" s="61">
        <f t="shared" si="10"/>
        <v>6.8371091295854952E-3</v>
      </c>
      <c r="BA15" s="61">
        <f t="shared" si="11"/>
        <v>1.0037912228363316E-3</v>
      </c>
      <c r="BB15" s="69">
        <f t="shared" si="12"/>
        <v>95.000000000000071</v>
      </c>
      <c r="BC15" s="69">
        <f t="shared" si="13"/>
        <v>0.15681800704843882</v>
      </c>
      <c r="BD15" s="69">
        <f t="shared" si="14"/>
        <v>0.30629700935587401</v>
      </c>
      <c r="BE15" s="69">
        <f t="shared" si="15"/>
        <v>0.31463980531971397</v>
      </c>
      <c r="BF15" s="61">
        <f t="shared" si="16"/>
        <v>3.4455823042845264E-3</v>
      </c>
      <c r="BG15" s="61">
        <f t="shared" si="17"/>
        <v>0.14727770740930063</v>
      </c>
      <c r="BH15" s="61">
        <f t="shared" si="18"/>
        <v>6.7061546256000545E-6</v>
      </c>
      <c r="BI15" s="61">
        <f t="shared" si="19"/>
        <v>0.30146669789104708</v>
      </c>
      <c r="BJ15" s="61">
        <f t="shared" si="20"/>
        <v>1.6796307763578731</v>
      </c>
      <c r="BK15" s="61">
        <f t="shared" si="21"/>
        <v>0.30146669789104708</v>
      </c>
      <c r="BL15" s="61">
        <f t="shared" si="32"/>
        <v>1.0810974431567479</v>
      </c>
      <c r="BM15" s="61">
        <f t="shared" si="33"/>
        <v>0.15417893124980808</v>
      </c>
      <c r="BN15" s="61">
        <f t="shared" si="34"/>
        <v>0.30146669789104708</v>
      </c>
      <c r="BO15" s="69">
        <f t="shared" si="22"/>
        <v>1.0810974431567479</v>
      </c>
      <c r="BP15" s="69">
        <f t="shared" si="23"/>
        <v>0.31463980531971397</v>
      </c>
      <c r="BQ15" s="64">
        <f t="shared" si="35"/>
        <v>2.7914744960288003</v>
      </c>
      <c r="BR15" s="69">
        <f t="shared" si="24"/>
        <v>0.1413838813987193</v>
      </c>
      <c r="BS15" s="61">
        <f t="shared" si="25"/>
        <v>10.67256009114397</v>
      </c>
      <c r="BT15" s="61">
        <f t="shared" si="26"/>
        <v>10.371093393252922</v>
      </c>
      <c r="BU15" s="61">
        <f t="shared" si="36"/>
        <v>9.5914626479872211</v>
      </c>
      <c r="BV15" s="61">
        <f t="shared" si="37"/>
        <v>1.6796307763578731</v>
      </c>
      <c r="BW15" s="61">
        <f t="shared" si="38"/>
        <v>0.30146669789104708</v>
      </c>
      <c r="BX15" s="64">
        <f t="shared" si="39"/>
        <v>3.9621949484978405</v>
      </c>
      <c r="BY15" s="61">
        <f t="shared" si="40"/>
        <v>0.14007558837787806</v>
      </c>
      <c r="BZ15" s="61">
        <f t="shared" si="41"/>
        <v>23.755119127087276</v>
      </c>
      <c r="CA15" s="61">
        <f t="shared" si="42"/>
        <v>22.075488350729405</v>
      </c>
      <c r="CB15" s="61">
        <f>AE15*O15/0.2</f>
        <v>6.9786862400720002</v>
      </c>
      <c r="CC15" s="61">
        <f>AG15*AC15/0.2</f>
        <v>9.9054873712446003</v>
      </c>
      <c r="CD15" s="61">
        <f>CB15*'Oxidant Feed Composition'!$N$22</f>
        <v>0.69786862400720007</v>
      </c>
      <c r="CE15" s="61">
        <f>CC15*'Oxidant Feed Composition'!$N$22</f>
        <v>0.99054873712446012</v>
      </c>
      <c r="CF15" s="61">
        <f>1.2*CB15</f>
        <v>8.3744234880863999</v>
      </c>
      <c r="CG15" s="61">
        <f>CC15*1.2</f>
        <v>11.88658484549352</v>
      </c>
      <c r="CH15" s="61">
        <f>BY15/('TEA Revised EYZ Inc'!CA15*'TEA Revised EYZ Inc'!BZ15)</f>
        <v>1.9999999999999997E-2</v>
      </c>
      <c r="CI15" s="84">
        <f>BR15/('TEA Revised EYZ Inc'!BY15)</f>
        <v>1.5092276378817222E-2</v>
      </c>
    </row>
    <row r="16" spans="1:87">
      <c r="A16" s="61">
        <v>4</v>
      </c>
      <c r="B16" s="61">
        <v>1.54143585092054E-3</v>
      </c>
      <c r="C16" s="61">
        <v>1.54143585092054E-3</v>
      </c>
      <c r="D16" s="61">
        <v>3.4254130020456501E-4</v>
      </c>
      <c r="E16" s="61">
        <v>0</v>
      </c>
      <c r="F16" s="61">
        <v>0</v>
      </c>
      <c r="G16" s="61">
        <v>0</v>
      </c>
      <c r="H16" s="69">
        <v>1.7208960911287699E-5</v>
      </c>
      <c r="I16" s="69">
        <v>2.8768784818324402E-7</v>
      </c>
      <c r="J16" s="61">
        <v>3.3243632642994598E-4</v>
      </c>
      <c r="K16" s="61">
        <v>0.10920586178936199</v>
      </c>
      <c r="L16" s="61">
        <v>0.110418215553449</v>
      </c>
      <c r="M16" s="61">
        <v>7.2398825703009801E-4</v>
      </c>
      <c r="N16" s="61" t="s">
        <v>323</v>
      </c>
      <c r="O16" s="61">
        <v>0.1</v>
      </c>
      <c r="P16" s="61">
        <v>8</v>
      </c>
      <c r="Q16" s="61">
        <v>1.6481650483119699E-3</v>
      </c>
      <c r="R16" s="61">
        <v>1.6664622263884801E-3</v>
      </c>
      <c r="S16" s="61">
        <v>1.0926630870116399E-5</v>
      </c>
      <c r="T16" s="61">
        <v>0</v>
      </c>
      <c r="U16" s="61">
        <v>0</v>
      </c>
      <c r="V16" s="61">
        <v>0</v>
      </c>
      <c r="W16" s="61">
        <v>1.6110629319685101E-3</v>
      </c>
      <c r="X16" s="61">
        <v>7.3938379507668505E-5</v>
      </c>
      <c r="Y16" s="61">
        <v>1.085440638541E-5</v>
      </c>
      <c r="Z16" s="61">
        <v>1.73400814806823E-3</v>
      </c>
      <c r="AA16" s="61">
        <v>7.4428350688171094E-2</v>
      </c>
      <c r="AB16" s="61">
        <v>3.37549060036281E-6</v>
      </c>
      <c r="AC16" s="61">
        <v>0.1</v>
      </c>
      <c r="AD16" s="61">
        <v>100</v>
      </c>
      <c r="AE16" s="61">
        <v>13.957372480144</v>
      </c>
      <c r="AF16" s="61">
        <v>92.480233795174101</v>
      </c>
      <c r="AG16" s="61">
        <v>19.787752425277699</v>
      </c>
      <c r="AH16" s="61">
        <f t="shared" si="0"/>
        <v>1.3957372480144001</v>
      </c>
      <c r="AI16" s="61">
        <f t="shared" si="27"/>
        <v>1.97877524252777</v>
      </c>
      <c r="AJ16" s="61">
        <f t="shared" si="28"/>
        <v>1.3957372480144001</v>
      </c>
      <c r="AK16" s="61">
        <f t="shared" si="28"/>
        <v>1.97877524252777</v>
      </c>
      <c r="AL16" s="61">
        <f t="shared" si="1"/>
        <v>0.61610650274869927</v>
      </c>
      <c r="AM16" s="61">
        <f t="shared" si="29"/>
        <v>0.77963074526570086</v>
      </c>
      <c r="AN16" s="61">
        <f t="shared" si="30"/>
        <v>0.61610650274869927</v>
      </c>
      <c r="AO16" s="69">
        <f t="shared" si="2"/>
        <v>1.7208960911287699E-3</v>
      </c>
      <c r="AP16" s="69">
        <f t="shared" si="3"/>
        <v>2.8768784818324403E-5</v>
      </c>
      <c r="AQ16" s="69">
        <f t="shared" si="4"/>
        <v>3.3243632642994597E-2</v>
      </c>
      <c r="AR16" s="61">
        <f t="shared" si="31"/>
        <v>10</v>
      </c>
      <c r="AS16" s="69">
        <f t="shared" si="5"/>
        <v>0.154143585092054</v>
      </c>
      <c r="AT16" s="70">
        <f t="shared" si="6"/>
        <v>0.154143585092054</v>
      </c>
      <c r="AU16" s="69">
        <f t="shared" si="7"/>
        <v>3.4254130020456498E-2</v>
      </c>
      <c r="AV16" s="69">
        <f t="shared" si="8"/>
        <v>0.15242268900092523</v>
      </c>
      <c r="AW16" s="70">
        <f t="shared" si="8"/>
        <v>0.15411481630723567</v>
      </c>
      <c r="AX16" s="69">
        <f t="shared" si="8"/>
        <v>1.0104973774619011E-3</v>
      </c>
      <c r="AY16" s="69">
        <f t="shared" si="9"/>
        <v>0.14899147660718648</v>
      </c>
      <c r="AZ16" s="61">
        <f t="shared" si="10"/>
        <v>6.8378386233054929E-3</v>
      </c>
      <c r="BA16" s="61">
        <f t="shared" si="11"/>
        <v>1.0038180402305475E-3</v>
      </c>
      <c r="BB16" s="69">
        <f t="shared" si="12"/>
        <v>95.000000000000043</v>
      </c>
      <c r="BC16" s="69">
        <f t="shared" si="13"/>
        <v>0.15683313327072254</v>
      </c>
      <c r="BD16" s="69">
        <f t="shared" si="14"/>
        <v>0.30632651889802426</v>
      </c>
      <c r="BE16" s="69">
        <f t="shared" si="15"/>
        <v>0.31467008458167561</v>
      </c>
      <c r="BF16" s="61">
        <f t="shared" si="16"/>
        <v>3.4312123937388413E-3</v>
      </c>
      <c r="BG16" s="61">
        <f t="shared" si="17"/>
        <v>0.14727697768392767</v>
      </c>
      <c r="BH16" s="61">
        <f t="shared" si="18"/>
        <v>6.6793372313831272E-6</v>
      </c>
      <c r="BI16" s="61">
        <f t="shared" si="19"/>
        <v>0.30143641816702715</v>
      </c>
      <c r="BJ16" s="61">
        <f t="shared" si="20"/>
        <v>1.677338824360743</v>
      </c>
      <c r="BK16" s="61">
        <f t="shared" si="21"/>
        <v>0.30143641816702715</v>
      </c>
      <c r="BL16" s="61">
        <f t="shared" si="32"/>
        <v>1.081067163432728</v>
      </c>
      <c r="BM16" s="61">
        <f t="shared" si="33"/>
        <v>0.15414942147725241</v>
      </c>
      <c r="BN16" s="61">
        <f t="shared" si="34"/>
        <v>0.30143641816702715</v>
      </c>
      <c r="BO16" s="69">
        <f t="shared" si="22"/>
        <v>1.081067163432728</v>
      </c>
      <c r="BP16" s="69">
        <f t="shared" si="23"/>
        <v>0.31467008458167561</v>
      </c>
      <c r="BQ16" s="64">
        <f t="shared" si="35"/>
        <v>2.7914744960288003</v>
      </c>
      <c r="BR16" s="69">
        <f t="shared" si="24"/>
        <v>0.14139610906333522</v>
      </c>
      <c r="BS16" s="61">
        <f t="shared" si="25"/>
        <v>10.671338253957597</v>
      </c>
      <c r="BT16" s="61">
        <f t="shared" si="26"/>
        <v>10.36990183579057</v>
      </c>
      <c r="BU16" s="61">
        <f t="shared" si="36"/>
        <v>9.5902710905248689</v>
      </c>
      <c r="BV16" s="61">
        <f t="shared" si="37"/>
        <v>1.677338824360743</v>
      </c>
      <c r="BW16" s="61">
        <f t="shared" si="38"/>
        <v>0.30143641816702715</v>
      </c>
      <c r="BX16" s="64">
        <f t="shared" si="39"/>
        <v>3.9575504850555401</v>
      </c>
      <c r="BY16" s="61">
        <f t="shared" si="40"/>
        <v>0.14005089356199665</v>
      </c>
      <c r="BZ16" s="61">
        <f t="shared" si="41"/>
        <v>23.699074347615003</v>
      </c>
      <c r="CA16" s="61">
        <f t="shared" si="42"/>
        <v>22.021735523254261</v>
      </c>
      <c r="CB16" s="61">
        <f>AE16*O16/0.2</f>
        <v>6.9786862400720002</v>
      </c>
      <c r="CC16" s="61">
        <f>AG16*AC16/0.2</f>
        <v>9.8938762126388493</v>
      </c>
      <c r="CD16" s="61">
        <f>CB16*'Oxidant Feed Composition'!$N$22</f>
        <v>0.69786862400720007</v>
      </c>
      <c r="CE16" s="61">
        <f>CC16*'Oxidant Feed Composition'!$N$22</f>
        <v>0.98938762126388502</v>
      </c>
      <c r="CF16" s="61">
        <f>1.2*CB16</f>
        <v>8.3744234880863999</v>
      </c>
      <c r="CG16" s="61">
        <f>CC16*1.2</f>
        <v>11.872651455166618</v>
      </c>
      <c r="CH16" s="61">
        <f>BY16/('TEA Revised EYZ Inc'!CA16*'TEA Revised EYZ Inc'!BZ16)</f>
        <v>0.02</v>
      </c>
      <c r="CI16" s="84">
        <f>BR16/('TEA Revised EYZ Inc'!BY16)</f>
        <v>1.5092276378817224E-2</v>
      </c>
    </row>
    <row r="17" spans="1:87">
      <c r="A17" s="61">
        <v>4</v>
      </c>
      <c r="B17" s="61">
        <v>1.54143585092054E-3</v>
      </c>
      <c r="C17" s="61">
        <v>1.54143585092054E-3</v>
      </c>
      <c r="D17" s="61">
        <v>3.4254130020456501E-4</v>
      </c>
      <c r="E17" s="61">
        <v>0</v>
      </c>
      <c r="F17" s="61">
        <v>0</v>
      </c>
      <c r="G17" s="61">
        <v>0</v>
      </c>
      <c r="H17" s="69">
        <v>1.7208960911287699E-5</v>
      </c>
      <c r="I17" s="69">
        <v>2.8768784818324402E-7</v>
      </c>
      <c r="J17" s="61">
        <v>3.3243632642994598E-4</v>
      </c>
      <c r="K17" s="61">
        <v>0.10920586178936199</v>
      </c>
      <c r="L17" s="61">
        <v>0.110418215553449</v>
      </c>
      <c r="M17" s="61">
        <v>7.2398825703009801E-4</v>
      </c>
      <c r="N17" s="61" t="s">
        <v>323</v>
      </c>
      <c r="O17" s="61">
        <v>0.1</v>
      </c>
      <c r="P17" s="61">
        <v>9</v>
      </c>
      <c r="Q17" s="61">
        <v>1.6481650483119699E-3</v>
      </c>
      <c r="R17" s="61">
        <v>1.6664622263884801E-3</v>
      </c>
      <c r="S17" s="61">
        <v>1.0926630870116399E-5</v>
      </c>
      <c r="T17" s="61">
        <v>0</v>
      </c>
      <c r="U17" s="61">
        <v>0</v>
      </c>
      <c r="V17" s="61">
        <v>0</v>
      </c>
      <c r="W17" s="61">
        <v>1.6111071396005901E-3</v>
      </c>
      <c r="X17" s="61">
        <v>7.3940623679874496E-5</v>
      </c>
      <c r="Y17" s="61">
        <v>1.0854488886514799E-5</v>
      </c>
      <c r="Z17" s="61">
        <v>1.73252052347845E-3</v>
      </c>
      <c r="AA17" s="61">
        <v>7.4453104800508499E-2</v>
      </c>
      <c r="AB17" s="61">
        <v>3.37276094477029E-6</v>
      </c>
      <c r="AC17" s="61">
        <v>0.1</v>
      </c>
      <c r="AD17" s="61">
        <v>100</v>
      </c>
      <c r="AE17" s="61">
        <v>13.957372480144</v>
      </c>
      <c r="AF17" s="61">
        <v>92.480233795174101</v>
      </c>
      <c r="AG17" s="61">
        <v>19.781145533817099</v>
      </c>
      <c r="AH17" s="61">
        <f t="shared" si="0"/>
        <v>1.3957372480144001</v>
      </c>
      <c r="AI17" s="61">
        <f t="shared" si="27"/>
        <v>1.9781145533817099</v>
      </c>
      <c r="AJ17" s="61">
        <f t="shared" si="28"/>
        <v>1.3957372480144001</v>
      </c>
      <c r="AK17" s="61">
        <f t="shared" si="28"/>
        <v>1.9781145533817099</v>
      </c>
      <c r="AL17" s="61">
        <f t="shared" si="1"/>
        <v>0.61610650274869927</v>
      </c>
      <c r="AM17" s="61">
        <f t="shared" si="29"/>
        <v>0.77963074526570086</v>
      </c>
      <c r="AN17" s="61">
        <f t="shared" si="30"/>
        <v>0.61610650274869927</v>
      </c>
      <c r="AO17" s="69">
        <f t="shared" si="2"/>
        <v>1.7208960911287699E-3</v>
      </c>
      <c r="AP17" s="69">
        <f t="shared" si="3"/>
        <v>2.8768784818324403E-5</v>
      </c>
      <c r="AQ17" s="69">
        <f t="shared" si="4"/>
        <v>3.3243632642994597E-2</v>
      </c>
      <c r="AR17" s="61">
        <f t="shared" si="31"/>
        <v>10</v>
      </c>
      <c r="AS17" s="69">
        <f t="shared" si="5"/>
        <v>0.154143585092054</v>
      </c>
      <c r="AT17" s="70">
        <f t="shared" si="6"/>
        <v>0.154143585092054</v>
      </c>
      <c r="AU17" s="69">
        <f t="shared" si="7"/>
        <v>3.4254130020456498E-2</v>
      </c>
      <c r="AV17" s="69">
        <f t="shared" si="8"/>
        <v>0.15242268900092523</v>
      </c>
      <c r="AW17" s="70">
        <f t="shared" si="8"/>
        <v>0.15411481630723567</v>
      </c>
      <c r="AX17" s="69">
        <f t="shared" si="8"/>
        <v>1.0104973774619011E-3</v>
      </c>
      <c r="AY17" s="69">
        <f t="shared" si="9"/>
        <v>0.14899556493933677</v>
      </c>
      <c r="AZ17" s="61">
        <f t="shared" si="10"/>
        <v>6.8380461648757801E-3</v>
      </c>
      <c r="BA17" s="61">
        <f t="shared" si="11"/>
        <v>1.0038256699520076E-3</v>
      </c>
      <c r="BB17" s="69">
        <f t="shared" si="12"/>
        <v>95.000000002474181</v>
      </c>
      <c r="BC17" s="69">
        <f t="shared" si="13"/>
        <v>0.15683743677416456</v>
      </c>
      <c r="BD17" s="69">
        <f t="shared" si="14"/>
        <v>0.30633491454847733</v>
      </c>
      <c r="BE17" s="69">
        <f t="shared" si="15"/>
        <v>0.31467869921828118</v>
      </c>
      <c r="BF17" s="61">
        <f t="shared" si="16"/>
        <v>3.4271240615252204E-3</v>
      </c>
      <c r="BG17" s="61">
        <f t="shared" si="17"/>
        <v>0.14727677015033952</v>
      </c>
      <c r="BH17" s="61">
        <f t="shared" si="18"/>
        <v>6.6717075099275562E-6</v>
      </c>
      <c r="BI17" s="61">
        <f t="shared" si="19"/>
        <v>0.30142780354625931</v>
      </c>
      <c r="BJ17" s="61">
        <f t="shared" si="20"/>
        <v>1.6766867498354507</v>
      </c>
      <c r="BK17" s="61">
        <f t="shared" si="21"/>
        <v>0.30142780354625931</v>
      </c>
      <c r="BL17" s="61">
        <f t="shared" si="32"/>
        <v>1.0810585488119602</v>
      </c>
      <c r="BM17" s="61">
        <f t="shared" si="33"/>
        <v>0.15414102583465486</v>
      </c>
      <c r="BN17" s="61">
        <f t="shared" si="34"/>
        <v>0.30142780354625931</v>
      </c>
      <c r="BO17" s="69">
        <f t="shared" si="22"/>
        <v>1.0810585488119602</v>
      </c>
      <c r="BP17" s="69">
        <f t="shared" si="23"/>
        <v>0.31467869921828118</v>
      </c>
      <c r="BQ17" s="64">
        <f t="shared" si="35"/>
        <v>2.7914744960288003</v>
      </c>
      <c r="BR17" s="69">
        <f t="shared" si="24"/>
        <v>0.14139958786570334</v>
      </c>
      <c r="BS17" s="61">
        <f t="shared" si="25"/>
        <v>10.670990677103845</v>
      </c>
      <c r="BT17" s="61">
        <f t="shared" si="26"/>
        <v>10.369562873557586</v>
      </c>
      <c r="BU17" s="61">
        <f t="shared" si="36"/>
        <v>9.5899321282918848</v>
      </c>
      <c r="BV17" s="61">
        <f t="shared" si="37"/>
        <v>1.6766867498354507</v>
      </c>
      <c r="BW17" s="61">
        <f t="shared" si="38"/>
        <v>0.30142780354625931</v>
      </c>
      <c r="BX17" s="64">
        <f t="shared" si="39"/>
        <v>3.9562291067634199</v>
      </c>
      <c r="BY17" s="61">
        <f t="shared" si="40"/>
        <v>0.14004386392546833</v>
      </c>
      <c r="BZ17" s="61">
        <f t="shared" si="41"/>
        <v>23.683140184399136</v>
      </c>
      <c r="CA17" s="61">
        <f t="shared" si="42"/>
        <v>22.006453434563685</v>
      </c>
      <c r="CB17" s="61">
        <f>AE17*O17/0.2</f>
        <v>6.9786862400720002</v>
      </c>
      <c r="CC17" s="61">
        <f>AG17*AC17/0.2</f>
        <v>9.8905727669085497</v>
      </c>
      <c r="CD17" s="61">
        <f>CB17*'Oxidant Feed Composition'!$N$22</f>
        <v>0.69786862400720007</v>
      </c>
      <c r="CE17" s="61">
        <f>CC17*'Oxidant Feed Composition'!$N$22</f>
        <v>0.98905727669085497</v>
      </c>
      <c r="CF17" s="61">
        <f>1.2*CB17</f>
        <v>8.3744234880863999</v>
      </c>
      <c r="CG17" s="61">
        <f>CC17*1.2</f>
        <v>11.86868732029026</v>
      </c>
      <c r="CH17" s="61">
        <f>BY17/('TEA Revised EYZ Inc'!CA17*'TEA Revised EYZ Inc'!BZ17)</f>
        <v>2.0000000000000007E-2</v>
      </c>
      <c r="CI17" s="84">
        <f>BR17/('TEA Revised EYZ Inc'!BY17)</f>
        <v>1.5092276378817221E-2</v>
      </c>
    </row>
    <row r="18" spans="1:87">
      <c r="A18" s="61">
        <v>4</v>
      </c>
      <c r="B18" s="61">
        <v>1.54143585092054E-3</v>
      </c>
      <c r="C18" s="61">
        <v>1.54143585092054E-3</v>
      </c>
      <c r="D18" s="61">
        <v>3.4254130020456501E-4</v>
      </c>
      <c r="E18" s="61">
        <v>0</v>
      </c>
      <c r="F18" s="61">
        <v>0</v>
      </c>
      <c r="G18" s="61">
        <v>0</v>
      </c>
      <c r="H18" s="69">
        <v>1.7208960911287699E-5</v>
      </c>
      <c r="I18" s="69">
        <v>2.8768784818324402E-7</v>
      </c>
      <c r="J18" s="61">
        <v>3.3243632642994598E-4</v>
      </c>
      <c r="K18" s="61">
        <v>0.10920586178936199</v>
      </c>
      <c r="L18" s="61">
        <v>0.110418215553449</v>
      </c>
      <c r="M18" s="61">
        <v>7.2398825703009801E-4</v>
      </c>
      <c r="N18" s="61" t="s">
        <v>323</v>
      </c>
      <c r="O18" s="61">
        <v>0.1</v>
      </c>
      <c r="P18" s="61">
        <v>10</v>
      </c>
      <c r="Q18" s="61">
        <v>1.6481650483119699E-3</v>
      </c>
      <c r="R18" s="61">
        <v>1.6664622263884801E-3</v>
      </c>
      <c r="S18" s="61">
        <v>1.0926630870116399E-5</v>
      </c>
      <c r="T18" s="61">
        <v>0</v>
      </c>
      <c r="U18" s="61">
        <v>0</v>
      </c>
      <c r="V18" s="61">
        <v>0</v>
      </c>
      <c r="W18" s="61">
        <v>1.6111196692703601E-3</v>
      </c>
      <c r="X18" s="61">
        <v>7.3941259795984898E-5</v>
      </c>
      <c r="Y18" s="61">
        <v>1.08545122697032E-5</v>
      </c>
      <c r="Z18" s="61">
        <v>1.73209870318316E-3</v>
      </c>
      <c r="AA18" s="61">
        <v>7.4460123902013106E-2</v>
      </c>
      <c r="AB18" s="61">
        <v>3.3719869428578601E-6</v>
      </c>
      <c r="AC18" s="61">
        <v>0.1</v>
      </c>
      <c r="AD18" s="61">
        <v>100</v>
      </c>
      <c r="AE18" s="61">
        <v>13.957372480144</v>
      </c>
      <c r="AF18" s="61">
        <v>92.480233795174101</v>
      </c>
      <c r="AG18" s="61">
        <v>19.7792729929152</v>
      </c>
      <c r="AH18" s="61">
        <f t="shared" si="0"/>
        <v>1.3957372480144001</v>
      </c>
      <c r="AI18" s="61">
        <f t="shared" si="27"/>
        <v>1.97792729929152</v>
      </c>
      <c r="AJ18" s="61">
        <f t="shared" si="28"/>
        <v>1.3957372480144001</v>
      </c>
      <c r="AK18" s="61">
        <f t="shared" si="28"/>
        <v>1.97792729929152</v>
      </c>
      <c r="AL18" s="61">
        <f t="shared" si="1"/>
        <v>0.61610650274869927</v>
      </c>
      <c r="AM18" s="61">
        <f t="shared" si="29"/>
        <v>0.77963074526570086</v>
      </c>
      <c r="AN18" s="61">
        <f t="shared" si="30"/>
        <v>0.61610650274869927</v>
      </c>
      <c r="AO18" s="69">
        <f t="shared" si="2"/>
        <v>1.7208960911287699E-3</v>
      </c>
      <c r="AP18" s="69">
        <f t="shared" si="3"/>
        <v>2.8768784818324403E-5</v>
      </c>
      <c r="AQ18" s="69">
        <f t="shared" si="4"/>
        <v>3.3243632642994597E-2</v>
      </c>
      <c r="AR18" s="61">
        <f t="shared" si="31"/>
        <v>10</v>
      </c>
      <c r="AS18" s="69">
        <f t="shared" si="5"/>
        <v>0.154143585092054</v>
      </c>
      <c r="AT18" s="70">
        <f t="shared" si="6"/>
        <v>0.154143585092054</v>
      </c>
      <c r="AU18" s="69">
        <f t="shared" si="7"/>
        <v>3.4254130020456498E-2</v>
      </c>
      <c r="AV18" s="69">
        <f t="shared" si="8"/>
        <v>0.15242268900092523</v>
      </c>
      <c r="AW18" s="70">
        <f t="shared" si="8"/>
        <v>0.15411481630723567</v>
      </c>
      <c r="AX18" s="69">
        <f t="shared" si="8"/>
        <v>1.0104973774619011E-3</v>
      </c>
      <c r="AY18" s="69">
        <f t="shared" si="9"/>
        <v>0.14899672368612649</v>
      </c>
      <c r="AZ18" s="61">
        <f t="shared" si="10"/>
        <v>6.8381049930423907E-3</v>
      </c>
      <c r="BA18" s="61">
        <f t="shared" si="11"/>
        <v>1.0038278324347378E-3</v>
      </c>
      <c r="BB18" s="69">
        <f t="shared" si="12"/>
        <v>95.000000000065711</v>
      </c>
      <c r="BC18" s="69">
        <f t="shared" si="13"/>
        <v>0.15683865651160361</v>
      </c>
      <c r="BD18" s="69">
        <f t="shared" si="14"/>
        <v>0.30633729411394744</v>
      </c>
      <c r="BE18" s="69">
        <f t="shared" si="15"/>
        <v>0.31468114085564197</v>
      </c>
      <c r="BF18" s="61">
        <f t="shared" si="16"/>
        <v>3.4259653100934119E-3</v>
      </c>
      <c r="BG18" s="61">
        <f t="shared" si="17"/>
        <v>0.14727671177442073</v>
      </c>
      <c r="BH18" s="61">
        <f t="shared" si="18"/>
        <v>6.6695450271331165E-6</v>
      </c>
      <c r="BI18" s="61">
        <f t="shared" si="19"/>
        <v>0.30142536280410964</v>
      </c>
      <c r="BJ18" s="61">
        <f t="shared" si="20"/>
        <v>1.6765019364874103</v>
      </c>
      <c r="BK18" s="61">
        <f t="shared" si="21"/>
        <v>0.30142536280410964</v>
      </c>
      <c r="BL18" s="61">
        <f t="shared" si="32"/>
        <v>1.0810561080698105</v>
      </c>
      <c r="BM18" s="61">
        <f t="shared" si="33"/>
        <v>0.15413864671214825</v>
      </c>
      <c r="BN18" s="61">
        <f t="shared" si="34"/>
        <v>0.30142536280410964</v>
      </c>
      <c r="BO18" s="69">
        <f t="shared" si="22"/>
        <v>1.0810561080698105</v>
      </c>
      <c r="BP18" s="69">
        <f t="shared" si="23"/>
        <v>0.31468114085564197</v>
      </c>
      <c r="BQ18" s="64">
        <f t="shared" si="35"/>
        <v>2.7914744960288003</v>
      </c>
      <c r="BR18" s="69">
        <f t="shared" si="24"/>
        <v>0.14140057385547725</v>
      </c>
      <c r="BS18" s="61">
        <f t="shared" si="25"/>
        <v>10.670892175930643</v>
      </c>
      <c r="BT18" s="61">
        <f t="shared" si="26"/>
        <v>10.369466813126532</v>
      </c>
      <c r="BU18" s="61">
        <f t="shared" si="36"/>
        <v>9.5898360678608316</v>
      </c>
      <c r="BV18" s="61">
        <f t="shared" si="37"/>
        <v>1.6765019364874103</v>
      </c>
      <c r="BW18" s="61">
        <f t="shared" si="38"/>
        <v>0.30142536280410964</v>
      </c>
      <c r="BX18" s="64">
        <f t="shared" si="39"/>
        <v>3.95585459858304</v>
      </c>
      <c r="BY18" s="61">
        <f t="shared" si="40"/>
        <v>0.14004187161674003</v>
      </c>
      <c r="BZ18" s="61">
        <f t="shared" si="41"/>
        <v>23.678624894193188</v>
      </c>
      <c r="CA18" s="61">
        <f t="shared" si="42"/>
        <v>22.00212295770578</v>
      </c>
      <c r="CB18" s="61">
        <f>AE18*O18/0.2</f>
        <v>6.9786862400720002</v>
      </c>
      <c r="CC18" s="61">
        <f>AG18*AC18/0.2</f>
        <v>9.8896364964575998</v>
      </c>
      <c r="CD18" s="61">
        <f>CB18*'Oxidant Feed Composition'!$N$22</f>
        <v>0.69786862400720007</v>
      </c>
      <c r="CE18" s="61">
        <f>CC18*'Oxidant Feed Composition'!$N$22</f>
        <v>0.98896364964576</v>
      </c>
      <c r="CF18" s="61">
        <f>1.2*CB18</f>
        <v>8.3744234880863999</v>
      </c>
      <c r="CG18" s="61">
        <f>CC18*1.2</f>
        <v>11.867563795749119</v>
      </c>
      <c r="CH18" s="61">
        <f>BY18/('TEA Revised EYZ Inc'!CA18*'TEA Revised EYZ Inc'!BZ18)</f>
        <v>1.9999999999999997E-2</v>
      </c>
      <c r="CI18" s="84">
        <f>BR18/('TEA Revised EYZ Inc'!BY18)</f>
        <v>1.5092276378817222E-2</v>
      </c>
    </row>
    <row r="19" spans="1:87">
      <c r="A19" s="61">
        <v>4</v>
      </c>
      <c r="B19" s="61">
        <v>1.54143585092054E-3</v>
      </c>
      <c r="C19" s="61">
        <v>1.54143585092054E-3</v>
      </c>
      <c r="D19" s="61">
        <v>3.4254130020456501E-4</v>
      </c>
      <c r="E19" s="61">
        <v>0</v>
      </c>
      <c r="F19" s="61">
        <v>0</v>
      </c>
      <c r="G19" s="61">
        <v>0</v>
      </c>
      <c r="H19" s="69">
        <v>1.7208960911287699E-5</v>
      </c>
      <c r="I19" s="69">
        <v>2.8768784818324402E-7</v>
      </c>
      <c r="J19" s="61">
        <v>3.3243632642994598E-4</v>
      </c>
      <c r="K19" s="61">
        <v>0.10920586178936199</v>
      </c>
      <c r="L19" s="61">
        <v>0.110418215553449</v>
      </c>
      <c r="M19" s="61">
        <v>7.2398825703009801E-4</v>
      </c>
      <c r="N19" s="61" t="s">
        <v>323</v>
      </c>
      <c r="O19" s="61">
        <v>0.1</v>
      </c>
      <c r="P19" s="61">
        <v>11</v>
      </c>
      <c r="Q19" s="61">
        <v>1.6481650483119699E-3</v>
      </c>
      <c r="R19" s="61">
        <v>1.6664622263884801E-3</v>
      </c>
      <c r="S19" s="61">
        <v>1.0926630870116399E-5</v>
      </c>
      <c r="T19" s="61">
        <v>0</v>
      </c>
      <c r="U19" s="61">
        <v>0</v>
      </c>
      <c r="V19" s="61">
        <v>0</v>
      </c>
      <c r="W19" s="61">
        <v>1.61112321598457E-3</v>
      </c>
      <c r="X19" s="61">
        <v>7.3941439847443504E-5</v>
      </c>
      <c r="Y19" s="61">
        <v>1.08545188885599E-5</v>
      </c>
      <c r="Z19" s="61">
        <v>1.7319792931660401E-3</v>
      </c>
      <c r="AA19" s="61">
        <v>7.4462110887135197E-2</v>
      </c>
      <c r="AB19" s="61">
        <v>3.3717678364587601E-6</v>
      </c>
      <c r="AC19" s="61">
        <v>0.1</v>
      </c>
      <c r="AD19" s="61">
        <v>100</v>
      </c>
      <c r="AE19" s="61">
        <v>13.957372480144</v>
      </c>
      <c r="AF19" s="61">
        <v>92.480233795174101</v>
      </c>
      <c r="AG19" s="61">
        <v>19.778742894656101</v>
      </c>
      <c r="AH19" s="61">
        <f t="shared" si="0"/>
        <v>1.3957372480144001</v>
      </c>
      <c r="AI19" s="61">
        <f t="shared" si="27"/>
        <v>1.9778742894656103</v>
      </c>
      <c r="AJ19" s="61">
        <f t="shared" si="28"/>
        <v>1.3957372480144001</v>
      </c>
      <c r="AK19" s="61">
        <f t="shared" si="28"/>
        <v>1.9778742894656103</v>
      </c>
      <c r="AL19" s="61">
        <f t="shared" si="1"/>
        <v>0.61610650274869927</v>
      </c>
      <c r="AM19" s="61">
        <f t="shared" si="29"/>
        <v>0.77963074526570086</v>
      </c>
      <c r="AN19" s="61">
        <f t="shared" si="30"/>
        <v>0.61610650274869927</v>
      </c>
      <c r="AO19" s="69">
        <f t="shared" si="2"/>
        <v>1.7208960911287699E-3</v>
      </c>
      <c r="AP19" s="69">
        <f t="shared" si="3"/>
        <v>2.8768784818324403E-5</v>
      </c>
      <c r="AQ19" s="69">
        <f t="shared" si="4"/>
        <v>3.3243632642994597E-2</v>
      </c>
      <c r="AR19" s="61">
        <f t="shared" si="31"/>
        <v>10</v>
      </c>
      <c r="AS19" s="69">
        <f t="shared" si="5"/>
        <v>0.154143585092054</v>
      </c>
      <c r="AT19" s="70">
        <f t="shared" si="6"/>
        <v>0.154143585092054</v>
      </c>
      <c r="AU19" s="69">
        <f t="shared" si="7"/>
        <v>3.4254130020456498E-2</v>
      </c>
      <c r="AV19" s="69">
        <f t="shared" si="8"/>
        <v>0.15242268900092523</v>
      </c>
      <c r="AW19" s="70">
        <f t="shared" si="8"/>
        <v>0.15411481630723567</v>
      </c>
      <c r="AX19" s="69">
        <f t="shared" si="8"/>
        <v>1.0104973774619011E-3</v>
      </c>
      <c r="AY19" s="69">
        <f t="shared" si="9"/>
        <v>0.1489970516870858</v>
      </c>
      <c r="AZ19" s="61">
        <f t="shared" si="10"/>
        <v>6.8381216442433774E-3</v>
      </c>
      <c r="BA19" s="61">
        <f t="shared" si="11"/>
        <v>1.0038284445481529E-3</v>
      </c>
      <c r="BB19" s="69">
        <f t="shared" si="12"/>
        <v>95.000000000001478</v>
      </c>
      <c r="BC19" s="69">
        <f t="shared" si="13"/>
        <v>0.15683900177587734</v>
      </c>
      <c r="BD19" s="69">
        <f t="shared" si="14"/>
        <v>0.30633796768523719</v>
      </c>
      <c r="BE19" s="69">
        <f t="shared" si="15"/>
        <v>0.31468183199630284</v>
      </c>
      <c r="BF19" s="61">
        <f t="shared" si="16"/>
        <v>3.4256373138399315E-3</v>
      </c>
      <c r="BG19" s="61">
        <f t="shared" si="17"/>
        <v>0.147276694663002</v>
      </c>
      <c r="BH19" s="61">
        <f t="shared" si="18"/>
        <v>6.668932913778868E-6</v>
      </c>
      <c r="BI19" s="61">
        <f t="shared" si="19"/>
        <v>0.30142467075242518</v>
      </c>
      <c r="BJ19" s="61">
        <f t="shared" si="20"/>
        <v>1.676449618713185</v>
      </c>
      <c r="BK19" s="61">
        <f t="shared" si="21"/>
        <v>0.30142467075242518</v>
      </c>
      <c r="BL19" s="61">
        <f t="shared" si="32"/>
        <v>1.081055416018126</v>
      </c>
      <c r="BM19" s="61">
        <f t="shared" si="33"/>
        <v>0.15413797269005253</v>
      </c>
      <c r="BN19" s="61">
        <f t="shared" si="34"/>
        <v>0.30142467075242518</v>
      </c>
      <c r="BO19" s="69">
        <f t="shared" si="22"/>
        <v>1.081055416018126</v>
      </c>
      <c r="BP19" s="69">
        <f t="shared" si="23"/>
        <v>0.31468183199630284</v>
      </c>
      <c r="BQ19" s="64">
        <f t="shared" si="35"/>
        <v>2.7914744960288003</v>
      </c>
      <c r="BR19" s="69">
        <f t="shared" si="24"/>
        <v>0.14140085295381821</v>
      </c>
      <c r="BS19" s="61">
        <f t="shared" si="25"/>
        <v>10.670864282530186</v>
      </c>
      <c r="BT19" s="61">
        <f t="shared" si="26"/>
        <v>10.369439611777761</v>
      </c>
      <c r="BU19" s="61">
        <f t="shared" si="36"/>
        <v>9.58980886651206</v>
      </c>
      <c r="BV19" s="61">
        <f t="shared" si="37"/>
        <v>1.676449618713185</v>
      </c>
      <c r="BW19" s="61">
        <f t="shared" si="38"/>
        <v>0.30142467075242518</v>
      </c>
      <c r="BX19" s="64">
        <f t="shared" si="39"/>
        <v>3.9557485789312206</v>
      </c>
      <c r="BY19" s="61">
        <f t="shared" si="40"/>
        <v>0.14004130711292079</v>
      </c>
      <c r="BZ19" s="61">
        <f t="shared" si="41"/>
        <v>23.677346825701715</v>
      </c>
      <c r="CA19" s="61">
        <f t="shared" si="42"/>
        <v>22.00089720698853</v>
      </c>
      <c r="CB19" s="61">
        <f>AE19*O19/0.2</f>
        <v>6.9786862400720002</v>
      </c>
      <c r="CC19" s="61">
        <f>AG19*AC19/0.2</f>
        <v>9.8893714473280507</v>
      </c>
      <c r="CD19" s="61">
        <f>CB19*'Oxidant Feed Composition'!$N$22</f>
        <v>0.69786862400720007</v>
      </c>
      <c r="CE19" s="61">
        <f>CC19*'Oxidant Feed Composition'!$N$22</f>
        <v>0.98893714473280514</v>
      </c>
      <c r="CF19" s="61">
        <f>1.2*CB19</f>
        <v>8.3744234880863999</v>
      </c>
      <c r="CG19" s="61">
        <f>CC19*1.2</f>
        <v>11.867245736793661</v>
      </c>
      <c r="CH19" s="61">
        <f>BY19/('TEA Revised EYZ Inc'!CA19*'TEA Revised EYZ Inc'!BZ19)</f>
        <v>1.9999999999999997E-2</v>
      </c>
      <c r="CI19" s="84">
        <f>BR19/('TEA Revised EYZ Inc'!BY19)</f>
        <v>1.5092276378817222E-2</v>
      </c>
    </row>
    <row r="20" spans="1:87">
      <c r="A20" s="61">
        <v>4</v>
      </c>
      <c r="B20" s="61">
        <v>1.54143585092054E-3</v>
      </c>
      <c r="C20" s="61">
        <v>1.54143585092054E-3</v>
      </c>
      <c r="D20" s="61">
        <v>3.4254130020456501E-4</v>
      </c>
      <c r="E20" s="61">
        <v>0</v>
      </c>
      <c r="F20" s="61">
        <v>0</v>
      </c>
      <c r="G20" s="61">
        <v>0</v>
      </c>
      <c r="H20" s="69">
        <v>1.7208960911287699E-5</v>
      </c>
      <c r="I20" s="69">
        <v>2.8768784818324402E-7</v>
      </c>
      <c r="J20" s="61">
        <v>3.3243632642994598E-4</v>
      </c>
      <c r="K20" s="61">
        <v>0.10920586178936199</v>
      </c>
      <c r="L20" s="61">
        <v>0.110418215553449</v>
      </c>
      <c r="M20" s="61">
        <v>7.2398825703009801E-4</v>
      </c>
      <c r="N20" s="61" t="s">
        <v>323</v>
      </c>
      <c r="O20" s="61">
        <v>0.1</v>
      </c>
      <c r="P20" s="61">
        <v>12</v>
      </c>
      <c r="Q20" s="61">
        <v>1.6481650483119699E-3</v>
      </c>
      <c r="R20" s="61">
        <v>1.6664622263884801E-3</v>
      </c>
      <c r="S20" s="61">
        <v>1.0926630870116399E-5</v>
      </c>
      <c r="T20" s="61">
        <v>0</v>
      </c>
      <c r="U20" s="61">
        <v>0</v>
      </c>
      <c r="V20" s="61">
        <v>0</v>
      </c>
      <c r="W20" s="61">
        <v>1.6111242193774301E-3</v>
      </c>
      <c r="X20" s="61">
        <v>7.3941490785069596E-5</v>
      </c>
      <c r="Y20" s="61">
        <v>1.08545207611103E-5</v>
      </c>
      <c r="Z20" s="61">
        <v>1.7319455084018099E-3</v>
      </c>
      <c r="AA20" s="61">
        <v>7.4462673066500798E-2</v>
      </c>
      <c r="AB20" s="61">
        <v>3.3717058444944401E-6</v>
      </c>
      <c r="AC20" s="61">
        <v>0.1</v>
      </c>
      <c r="AD20" s="61">
        <v>100</v>
      </c>
      <c r="AE20" s="61">
        <v>13.957372480144</v>
      </c>
      <c r="AF20" s="61">
        <v>92.480233795174101</v>
      </c>
      <c r="AG20" s="61">
        <v>19.778592936186602</v>
      </c>
      <c r="AH20" s="61">
        <f t="shared" si="0"/>
        <v>1.3957372480144001</v>
      </c>
      <c r="AI20" s="61">
        <f t="shared" si="27"/>
        <v>1.9778592936186603</v>
      </c>
      <c r="AJ20" s="61">
        <f t="shared" si="28"/>
        <v>1.3957372480144001</v>
      </c>
      <c r="AK20" s="61">
        <f t="shared" si="28"/>
        <v>1.9778592936186603</v>
      </c>
      <c r="AL20" s="61">
        <f t="shared" si="1"/>
        <v>0.61610650274869927</v>
      </c>
      <c r="AM20" s="61">
        <f t="shared" si="29"/>
        <v>0.77963074526570086</v>
      </c>
      <c r="AN20" s="61">
        <f t="shared" si="30"/>
        <v>0.61610650274869927</v>
      </c>
      <c r="AO20" s="69">
        <f t="shared" si="2"/>
        <v>1.7208960911287699E-3</v>
      </c>
      <c r="AP20" s="69">
        <f t="shared" si="3"/>
        <v>2.8768784818324403E-5</v>
      </c>
      <c r="AQ20" s="69">
        <f t="shared" si="4"/>
        <v>3.3243632642994597E-2</v>
      </c>
      <c r="AR20" s="61">
        <f t="shared" si="31"/>
        <v>10</v>
      </c>
      <c r="AS20" s="69">
        <f t="shared" si="5"/>
        <v>0.154143585092054</v>
      </c>
      <c r="AT20" s="70">
        <f t="shared" si="6"/>
        <v>0.154143585092054</v>
      </c>
      <c r="AU20" s="69">
        <f t="shared" si="7"/>
        <v>3.4254130020456498E-2</v>
      </c>
      <c r="AV20" s="69">
        <f t="shared" si="8"/>
        <v>0.15242268900092523</v>
      </c>
      <c r="AW20" s="70">
        <f t="shared" si="8"/>
        <v>0.15411481630723567</v>
      </c>
      <c r="AX20" s="69">
        <f t="shared" si="8"/>
        <v>1.0104973774619011E-3</v>
      </c>
      <c r="AY20" s="69">
        <f t="shared" si="9"/>
        <v>0.14899714448109211</v>
      </c>
      <c r="AZ20" s="61">
        <f t="shared" si="10"/>
        <v>6.8381263549669473E-3</v>
      </c>
      <c r="BA20" s="61">
        <f t="shared" si="11"/>
        <v>1.0038286177220517E-3</v>
      </c>
      <c r="BB20" s="69">
        <f t="shared" si="12"/>
        <v>95.000000000000043</v>
      </c>
      <c r="BC20" s="69">
        <f t="shared" si="13"/>
        <v>0.15683909945378111</v>
      </c>
      <c r="BD20" s="69">
        <f t="shared" si="14"/>
        <v>0.30633815824373423</v>
      </c>
      <c r="BE20" s="69">
        <f t="shared" si="15"/>
        <v>0.31468202752528424</v>
      </c>
      <c r="BF20" s="61">
        <f t="shared" si="16"/>
        <v>3.4255445198336154E-3</v>
      </c>
      <c r="BG20" s="61">
        <f t="shared" si="17"/>
        <v>0.1472766899522665</v>
      </c>
      <c r="BH20" s="61">
        <f t="shared" si="18"/>
        <v>6.6687597398816818E-6</v>
      </c>
      <c r="BI20" s="61">
        <f t="shared" si="19"/>
        <v>0.30142447522341992</v>
      </c>
      <c r="BJ20" s="61">
        <f t="shared" si="20"/>
        <v>1.6764348183952404</v>
      </c>
      <c r="BK20" s="61">
        <f t="shared" si="21"/>
        <v>0.30142447522341992</v>
      </c>
      <c r="BL20" s="61">
        <f t="shared" si="32"/>
        <v>1.0810552204891208</v>
      </c>
      <c r="BM20" s="61">
        <f t="shared" si="33"/>
        <v>0.15413778213154355</v>
      </c>
      <c r="BN20" s="61">
        <f t="shared" si="34"/>
        <v>0.30142447522341992</v>
      </c>
      <c r="BO20" s="69">
        <f t="shared" si="22"/>
        <v>1.0810552204891208</v>
      </c>
      <c r="BP20" s="69">
        <f t="shared" si="23"/>
        <v>0.31468202752528424</v>
      </c>
      <c r="BQ20" s="64">
        <f t="shared" si="35"/>
        <v>2.7914744960288003</v>
      </c>
      <c r="BR20" s="69">
        <f t="shared" si="24"/>
        <v>0.14140093191285191</v>
      </c>
      <c r="BS20" s="61">
        <f t="shared" si="25"/>
        <v>10.670856393839262</v>
      </c>
      <c r="BT20" s="61">
        <f t="shared" si="26"/>
        <v>10.369431918615842</v>
      </c>
      <c r="BU20" s="61">
        <f t="shared" si="36"/>
        <v>9.5898011733501409</v>
      </c>
      <c r="BV20" s="61">
        <f t="shared" si="37"/>
        <v>1.6764348183952404</v>
      </c>
      <c r="BW20" s="61">
        <f t="shared" si="38"/>
        <v>0.30142447522341992</v>
      </c>
      <c r="BX20" s="64">
        <f t="shared" si="39"/>
        <v>3.9557185872373206</v>
      </c>
      <c r="BY20" s="61">
        <f t="shared" si="40"/>
        <v>0.14004114752492339</v>
      </c>
      <c r="BZ20" s="61">
        <f t="shared" si="41"/>
        <v>23.676985259770358</v>
      </c>
      <c r="CA20" s="61">
        <f t="shared" si="42"/>
        <v>22.000550441375118</v>
      </c>
      <c r="CB20" s="61">
        <f>AE20*O20/0.2</f>
        <v>6.9786862400720002</v>
      </c>
      <c r="CC20" s="61">
        <f>AG20*AC20/0.2</f>
        <v>9.8892964680933009</v>
      </c>
      <c r="CD20" s="61">
        <f>CB20*'Oxidant Feed Composition'!$N$22</f>
        <v>0.69786862400720007</v>
      </c>
      <c r="CE20" s="61">
        <f>CC20*'Oxidant Feed Composition'!$N$22</f>
        <v>0.98892964680933015</v>
      </c>
      <c r="CF20" s="61">
        <f>1.2*CB20</f>
        <v>8.3744234880863999</v>
      </c>
      <c r="CG20" s="61">
        <f>CC20*1.2</f>
        <v>11.867155761711961</v>
      </c>
      <c r="CH20" s="61">
        <f>BY20/('TEA Revised EYZ Inc'!CA20*'TEA Revised EYZ Inc'!BZ20)</f>
        <v>2.0000000000000007E-2</v>
      </c>
      <c r="CI20" s="84">
        <f>BR20/('TEA Revised EYZ Inc'!BY20)</f>
        <v>1.5092276378817219E-2</v>
      </c>
    </row>
    <row r="21" spans="1:87">
      <c r="A21" s="61">
        <v>4</v>
      </c>
      <c r="B21" s="61">
        <v>1.54143585092054E-3</v>
      </c>
      <c r="C21" s="61">
        <v>1.54143585092054E-3</v>
      </c>
      <c r="D21" s="61">
        <v>3.4254130020456501E-4</v>
      </c>
      <c r="E21" s="61">
        <v>0</v>
      </c>
      <c r="F21" s="61">
        <v>0</v>
      </c>
      <c r="G21" s="61">
        <v>0</v>
      </c>
      <c r="H21" s="69">
        <v>1.7208960911287699E-5</v>
      </c>
      <c r="I21" s="69">
        <v>2.8768784818324402E-7</v>
      </c>
      <c r="J21" s="61">
        <v>3.3243632642994598E-4</v>
      </c>
      <c r="K21" s="61">
        <v>0.10920586178936199</v>
      </c>
      <c r="L21" s="61">
        <v>0.110418215553449</v>
      </c>
      <c r="M21" s="61">
        <v>7.2398825703009801E-4</v>
      </c>
      <c r="N21" s="61" t="s">
        <v>323</v>
      </c>
      <c r="O21" s="61">
        <v>0.1</v>
      </c>
      <c r="P21" s="61">
        <v>13</v>
      </c>
      <c r="Q21" s="61">
        <v>1.6481650483119699E-3</v>
      </c>
      <c r="R21" s="61">
        <v>1.6664622263884801E-3</v>
      </c>
      <c r="S21" s="61">
        <v>1.0926630870116399E-5</v>
      </c>
      <c r="T21" s="61">
        <v>0</v>
      </c>
      <c r="U21" s="61">
        <v>0</v>
      </c>
      <c r="V21" s="61">
        <v>0</v>
      </c>
      <c r="W21" s="61">
        <v>1.6111245032140399E-3</v>
      </c>
      <c r="X21" s="61">
        <v>7.3941505194138695E-5</v>
      </c>
      <c r="Y21" s="61">
        <v>1.08545212908117E-5</v>
      </c>
      <c r="Z21" s="61">
        <v>1.73193595136525E-3</v>
      </c>
      <c r="AA21" s="61">
        <v>7.4462832095842299E-2</v>
      </c>
      <c r="AB21" s="61">
        <v>3.3716883082028299E-6</v>
      </c>
      <c r="AC21" s="61">
        <v>0.1</v>
      </c>
      <c r="AD21" s="61">
        <v>100</v>
      </c>
      <c r="AE21" s="61">
        <v>13.957372480144</v>
      </c>
      <c r="AF21" s="61">
        <v>92.480233795174101</v>
      </c>
      <c r="AG21" s="61">
        <v>19.778550516505899</v>
      </c>
      <c r="AH21" s="61">
        <f t="shared" si="0"/>
        <v>1.3957372480144001</v>
      </c>
      <c r="AI21" s="61">
        <f t="shared" si="27"/>
        <v>1.9778550516505899</v>
      </c>
      <c r="AJ21" s="61">
        <f t="shared" si="28"/>
        <v>1.3957372480144001</v>
      </c>
      <c r="AK21" s="61">
        <f t="shared" si="28"/>
        <v>1.9778550516505899</v>
      </c>
      <c r="AL21" s="61">
        <f t="shared" si="1"/>
        <v>0.61610650274869927</v>
      </c>
      <c r="AM21" s="61">
        <f t="shared" si="29"/>
        <v>0.77963074526570086</v>
      </c>
      <c r="AN21" s="61">
        <f t="shared" si="30"/>
        <v>0.61610650274869927</v>
      </c>
      <c r="AO21" s="69">
        <f t="shared" si="2"/>
        <v>1.7208960911287699E-3</v>
      </c>
      <c r="AP21" s="69">
        <f t="shared" si="3"/>
        <v>2.8768784818324403E-5</v>
      </c>
      <c r="AQ21" s="69">
        <f t="shared" si="4"/>
        <v>3.3243632642994597E-2</v>
      </c>
      <c r="AR21" s="61">
        <f t="shared" si="31"/>
        <v>10</v>
      </c>
      <c r="AS21" s="69">
        <f t="shared" si="5"/>
        <v>0.154143585092054</v>
      </c>
      <c r="AT21" s="70">
        <f t="shared" si="6"/>
        <v>0.154143585092054</v>
      </c>
      <c r="AU21" s="69">
        <f t="shared" si="7"/>
        <v>3.4254130020456498E-2</v>
      </c>
      <c r="AV21" s="69">
        <f t="shared" si="8"/>
        <v>0.15242268900092523</v>
      </c>
      <c r="AW21" s="70">
        <f t="shared" si="8"/>
        <v>0.15411481630723567</v>
      </c>
      <c r="AX21" s="69">
        <f t="shared" si="8"/>
        <v>1.0104973774619011E-3</v>
      </c>
      <c r="AY21" s="69">
        <f t="shared" si="9"/>
        <v>0.14899717073036814</v>
      </c>
      <c r="AZ21" s="61">
        <f t="shared" si="10"/>
        <v>6.8381276875210265E-3</v>
      </c>
      <c r="BA21" s="61">
        <f t="shared" si="11"/>
        <v>1.0038286667089611E-3</v>
      </c>
      <c r="BB21" s="69">
        <f t="shared" si="12"/>
        <v>94.999999999999957</v>
      </c>
      <c r="BC21" s="69">
        <f t="shared" si="13"/>
        <v>0.15683912708459813</v>
      </c>
      <c r="BD21" s="69">
        <f t="shared" si="14"/>
        <v>0.30633821214832074</v>
      </c>
      <c r="BE21" s="69">
        <f t="shared" si="15"/>
        <v>0.31468208283590526</v>
      </c>
      <c r="BF21" s="61">
        <f t="shared" si="16"/>
        <v>3.42551827054303E-3</v>
      </c>
      <c r="BG21" s="61">
        <f t="shared" si="17"/>
        <v>0.14727668862097137</v>
      </c>
      <c r="BH21" s="61">
        <f t="shared" si="18"/>
        <v>6.6687107529701986E-6</v>
      </c>
      <c r="BI21" s="61">
        <f t="shared" si="19"/>
        <v>0.30142441991528768</v>
      </c>
      <c r="BJ21" s="61">
        <f t="shared" si="20"/>
        <v>1.6764306317353022</v>
      </c>
      <c r="BK21" s="61">
        <f t="shared" si="21"/>
        <v>0.30142441991528768</v>
      </c>
      <c r="BL21" s="61">
        <f t="shared" si="32"/>
        <v>1.0810551651809885</v>
      </c>
      <c r="BM21" s="61">
        <f t="shared" si="33"/>
        <v>0.15413772822818689</v>
      </c>
      <c r="BN21" s="61">
        <f t="shared" si="34"/>
        <v>0.30142441991528768</v>
      </c>
      <c r="BO21" s="69">
        <f t="shared" si="22"/>
        <v>1.0810551651809885</v>
      </c>
      <c r="BP21" s="69">
        <f t="shared" si="23"/>
        <v>0.31468208283590526</v>
      </c>
      <c r="BQ21" s="64">
        <f t="shared" si="35"/>
        <v>2.7914744960288003</v>
      </c>
      <c r="BR21" s="69">
        <f t="shared" si="24"/>
        <v>0.14140095424853233</v>
      </c>
      <c r="BS21" s="61">
        <f t="shared" si="25"/>
        <v>10.670854162337642</v>
      </c>
      <c r="BT21" s="61">
        <f t="shared" si="26"/>
        <v>10.369429742422355</v>
      </c>
      <c r="BU21" s="61">
        <f t="shared" si="36"/>
        <v>9.5897989971566542</v>
      </c>
      <c r="BV21" s="61">
        <f t="shared" si="37"/>
        <v>1.6764306317353022</v>
      </c>
      <c r="BW21" s="61">
        <f t="shared" si="38"/>
        <v>0.30142441991528768</v>
      </c>
      <c r="BX21" s="64">
        <f t="shared" si="39"/>
        <v>3.9557101033011799</v>
      </c>
      <c r="BY21" s="61">
        <f t="shared" si="40"/>
        <v>0.1400411023821401</v>
      </c>
      <c r="BZ21" s="61">
        <f t="shared" si="41"/>
        <v>23.676882981623287</v>
      </c>
      <c r="CA21" s="61">
        <f t="shared" si="42"/>
        <v>22.000452349887986</v>
      </c>
      <c r="CB21" s="61">
        <f>AE21*O21/0.2</f>
        <v>6.9786862400720002</v>
      </c>
      <c r="CC21" s="61">
        <f>AG21*AC21/0.2</f>
        <v>9.8892752582529493</v>
      </c>
      <c r="CD21" s="61">
        <f>CB21*'Oxidant Feed Composition'!$N$22</f>
        <v>0.69786862400720007</v>
      </c>
      <c r="CE21" s="61">
        <f>CC21*'Oxidant Feed Composition'!$N$22</f>
        <v>0.98892752582529497</v>
      </c>
      <c r="CF21" s="61">
        <f>1.2*CB21</f>
        <v>8.3744234880863999</v>
      </c>
      <c r="CG21" s="61">
        <f>CC21*1.2</f>
        <v>11.867130309903539</v>
      </c>
      <c r="CH21" s="61">
        <f>BY21/('TEA Revised EYZ Inc'!CA21*'TEA Revised EYZ Inc'!BZ21)</f>
        <v>1.9999999999999997E-2</v>
      </c>
      <c r="CI21" s="84">
        <f>BR21/('TEA Revised EYZ Inc'!BY21)</f>
        <v>1.5092276378817224E-2</v>
      </c>
    </row>
    <row r="22" spans="1:87">
      <c r="A22" s="61">
        <v>5</v>
      </c>
      <c r="B22" s="61">
        <v>1.54143585092054E-3</v>
      </c>
      <c r="C22" s="61">
        <v>1.54143585092054E-3</v>
      </c>
      <c r="D22" s="61">
        <v>3.4254130020456501E-4</v>
      </c>
      <c r="E22" s="61">
        <v>0</v>
      </c>
      <c r="F22" s="61">
        <v>0</v>
      </c>
      <c r="G22" s="61">
        <v>0</v>
      </c>
      <c r="H22" s="69">
        <v>1.7558377832426001E-5</v>
      </c>
      <c r="I22" s="69">
        <v>1.05063644964669E-7</v>
      </c>
      <c r="J22" s="61">
        <v>3.35605387572801E-4</v>
      </c>
      <c r="K22" s="61">
        <v>0.12557893497872399</v>
      </c>
      <c r="L22" s="61">
        <v>0.12701721899235199</v>
      </c>
      <c r="M22" s="61">
        <v>5.7157122982957897E-4</v>
      </c>
      <c r="N22" s="61" t="s">
        <v>323</v>
      </c>
      <c r="O22" s="61">
        <v>0.1</v>
      </c>
      <c r="P22" s="61">
        <v>4</v>
      </c>
      <c r="Q22" s="61">
        <v>1.64912412966352E-3</v>
      </c>
      <c r="R22" s="61">
        <v>1.66801192221077E-3</v>
      </c>
      <c r="S22" s="61">
        <v>7.5059714998626504E-6</v>
      </c>
      <c r="T22" s="61">
        <v>0</v>
      </c>
      <c r="U22" s="61">
        <v>0</v>
      </c>
      <c r="V22" s="61">
        <v>0</v>
      </c>
      <c r="W22" s="61">
        <v>1.6039135383284699E-3</v>
      </c>
      <c r="X22" s="61">
        <v>7.6970500542168304E-5</v>
      </c>
      <c r="Y22" s="61">
        <v>7.4460014818516096E-6</v>
      </c>
      <c r="Z22" s="61">
        <v>1.9942467256961298E-3</v>
      </c>
      <c r="AA22" s="61">
        <v>7.0181102522975894E-2</v>
      </c>
      <c r="AB22" s="61">
        <v>2.6452874985014601E-6</v>
      </c>
      <c r="AC22" s="61">
        <v>0.1</v>
      </c>
      <c r="AD22" s="61">
        <v>100</v>
      </c>
      <c r="AE22" s="61">
        <v>12.134817621653401</v>
      </c>
      <c r="AF22" s="61">
        <v>92.405262022285001</v>
      </c>
      <c r="AG22" s="61">
        <v>20.948744629576598</v>
      </c>
      <c r="AH22" s="61">
        <f t="shared" si="0"/>
        <v>1.2134817621653402</v>
      </c>
      <c r="AI22" s="61">
        <f t="shared" si="27"/>
        <v>2.0948744629576601</v>
      </c>
      <c r="AJ22" s="61">
        <f t="shared" si="28"/>
        <v>1.2134817621653402</v>
      </c>
      <c r="AK22" s="61">
        <f t="shared" si="28"/>
        <v>2.0948744629576601</v>
      </c>
      <c r="AL22" s="61">
        <f t="shared" si="1"/>
        <v>0.61512242586354759</v>
      </c>
      <c r="AM22" s="61">
        <f t="shared" si="29"/>
        <v>0.59835933630179261</v>
      </c>
      <c r="AN22" s="61">
        <f t="shared" si="30"/>
        <v>0.61512242586354759</v>
      </c>
      <c r="AO22" s="69">
        <f t="shared" si="2"/>
        <v>1.7558377832426002E-3</v>
      </c>
      <c r="AP22" s="69">
        <f t="shared" si="3"/>
        <v>1.05063644964669E-5</v>
      </c>
      <c r="AQ22" s="69">
        <f t="shared" si="4"/>
        <v>3.3560538757280101E-2</v>
      </c>
      <c r="AR22" s="61">
        <f t="shared" si="31"/>
        <v>10</v>
      </c>
      <c r="AS22" s="69">
        <f t="shared" si="5"/>
        <v>0.154143585092054</v>
      </c>
      <c r="AT22" s="70">
        <f t="shared" si="6"/>
        <v>0.154143585092054</v>
      </c>
      <c r="AU22" s="69">
        <f t="shared" si="7"/>
        <v>3.4254130020456498E-2</v>
      </c>
      <c r="AV22" s="69">
        <f t="shared" si="8"/>
        <v>0.15238774730881141</v>
      </c>
      <c r="AW22" s="70">
        <f t="shared" si="8"/>
        <v>0.15413307872755755</v>
      </c>
      <c r="AX22" s="69">
        <f t="shared" si="8"/>
        <v>6.9359126317639769E-4</v>
      </c>
      <c r="AY22" s="69">
        <f t="shared" si="9"/>
        <v>0.14821005077033253</v>
      </c>
      <c r="AZ22" s="61">
        <f t="shared" si="10"/>
        <v>7.1124792705854921E-3</v>
      </c>
      <c r="BA22" s="61">
        <f t="shared" si="11"/>
        <v>6.8804971794882033E-4</v>
      </c>
      <c r="BB22" s="69">
        <f t="shared" si="12"/>
        <v>94.999999999621195</v>
      </c>
      <c r="BC22" s="69">
        <f t="shared" si="13"/>
        <v>0.15601057975886684</v>
      </c>
      <c r="BD22" s="69">
        <f t="shared" si="14"/>
        <v>0.30456465538817379</v>
      </c>
      <c r="BE22" s="69">
        <f t="shared" si="15"/>
        <v>0.31270920923568252</v>
      </c>
      <c r="BF22" s="61">
        <f t="shared" si="16"/>
        <v>4.1776965384977523E-3</v>
      </c>
      <c r="BG22" s="61">
        <f t="shared" si="17"/>
        <v>0.1470205994575956</v>
      </c>
      <c r="BH22" s="61">
        <f t="shared" si="18"/>
        <v>5.5415452277918581E-6</v>
      </c>
      <c r="BI22" s="61">
        <f t="shared" si="19"/>
        <v>0.30241321662787007</v>
      </c>
      <c r="BJ22" s="61">
        <f t="shared" si="20"/>
        <v>1.79246124632979</v>
      </c>
      <c r="BK22" s="61">
        <f t="shared" si="21"/>
        <v>0.30241321662787007</v>
      </c>
      <c r="BL22" s="61">
        <f t="shared" si="32"/>
        <v>0.90077255292966263</v>
      </c>
      <c r="BM22" s="61">
        <f t="shared" si="33"/>
        <v>0.15538430485243279</v>
      </c>
      <c r="BN22" s="61">
        <f t="shared" si="34"/>
        <v>0.30241321662787007</v>
      </c>
      <c r="BO22" s="69">
        <f t="shared" si="22"/>
        <v>0.90077255292966263</v>
      </c>
      <c r="BP22" s="69">
        <f t="shared" si="23"/>
        <v>0.31270920923568252</v>
      </c>
      <c r="BQ22" s="64">
        <f t="shared" si="35"/>
        <v>2.4269635243306804</v>
      </c>
      <c r="BR22" s="69">
        <f t="shared" si="24"/>
        <v>0.13850812092241246</v>
      </c>
      <c r="BS22" s="61">
        <f t="shared" si="25"/>
        <v>7.8917471232720029</v>
      </c>
      <c r="BT22" s="61">
        <f t="shared" si="26"/>
        <v>7.589333906644133</v>
      </c>
      <c r="BU22" s="61">
        <f t="shared" si="36"/>
        <v>6.99097457034234</v>
      </c>
      <c r="BV22" s="61">
        <f t="shared" si="37"/>
        <v>1.79246124632979</v>
      </c>
      <c r="BW22" s="61">
        <f t="shared" si="38"/>
        <v>0.30241321662787007</v>
      </c>
      <c r="BX22" s="64">
        <f t="shared" si="39"/>
        <v>4.1897489259153202</v>
      </c>
      <c r="BY22" s="61">
        <f t="shared" si="40"/>
        <v>0.14102735045444029</v>
      </c>
      <c r="BZ22" s="61">
        <f t="shared" si="41"/>
        <v>26.625908227571827</v>
      </c>
      <c r="CA22" s="61">
        <f t="shared" si="42"/>
        <v>24.833446981242037</v>
      </c>
      <c r="CB22" s="61">
        <f>AE22*O22/0.2</f>
        <v>6.0674088108267004</v>
      </c>
      <c r="CC22" s="61">
        <f>AG22*AC22/0.2</f>
        <v>10.474372314788299</v>
      </c>
      <c r="CD22" s="61">
        <f>CB22*'Oxidant Feed Composition'!$N$22</f>
        <v>0.6067408810826701</v>
      </c>
      <c r="CE22" s="61">
        <f>CC22*'Oxidant Feed Composition'!$N$22</f>
        <v>1.0474372314788301</v>
      </c>
      <c r="CF22" s="61">
        <f>1.2*CB22</f>
        <v>7.2808905729920399</v>
      </c>
      <c r="CG22" s="61">
        <f>CC22*1.2</f>
        <v>12.569246777745958</v>
      </c>
      <c r="CH22" s="61">
        <f>BY22/('TEA Revised EYZ Inc'!CA22*'TEA Revised EYZ Inc'!BZ22)</f>
        <v>1.9999999999999997E-2</v>
      </c>
      <c r="CI22" s="84">
        <f>BR22/('TEA Revised EYZ Inc'!BY22)</f>
        <v>1.3132171649193418E-2</v>
      </c>
    </row>
    <row r="23" spans="1:87">
      <c r="A23" s="61">
        <v>5</v>
      </c>
      <c r="B23" s="61">
        <v>1.54143585092054E-3</v>
      </c>
      <c r="C23" s="61">
        <v>1.54143585092054E-3</v>
      </c>
      <c r="D23" s="61">
        <v>3.4254130020456501E-4</v>
      </c>
      <c r="E23" s="61">
        <v>0</v>
      </c>
      <c r="F23" s="61">
        <v>0</v>
      </c>
      <c r="G23" s="61">
        <v>0</v>
      </c>
      <c r="H23" s="69">
        <v>1.7558377832426001E-5</v>
      </c>
      <c r="I23" s="69">
        <v>1.05063644964669E-7</v>
      </c>
      <c r="J23" s="61">
        <v>3.35605387572801E-4</v>
      </c>
      <c r="K23" s="61">
        <v>0.12557893497872399</v>
      </c>
      <c r="L23" s="61">
        <v>0.12701721899235199</v>
      </c>
      <c r="M23" s="61">
        <v>5.7157122982957897E-4</v>
      </c>
      <c r="N23" s="61" t="s">
        <v>323</v>
      </c>
      <c r="O23" s="61">
        <v>0.1</v>
      </c>
      <c r="P23" s="61">
        <v>5</v>
      </c>
      <c r="Q23" s="61">
        <v>1.64912412966352E-3</v>
      </c>
      <c r="R23" s="61">
        <v>1.66801192221077E-3</v>
      </c>
      <c r="S23" s="61">
        <v>7.5059714998626504E-6</v>
      </c>
      <c r="T23" s="61">
        <v>0</v>
      </c>
      <c r="U23" s="61">
        <v>0</v>
      </c>
      <c r="V23" s="61">
        <v>0</v>
      </c>
      <c r="W23" s="61">
        <v>1.6096879788713E-3</v>
      </c>
      <c r="X23" s="61">
        <v>7.7267020721356303E-5</v>
      </c>
      <c r="Y23" s="61">
        <v>7.45339932047821E-6</v>
      </c>
      <c r="Z23" s="61">
        <v>1.8140228936544E-3</v>
      </c>
      <c r="AA23" s="61">
        <v>7.3172650253414503E-2</v>
      </c>
      <c r="AB23" s="61">
        <v>2.4182668707984701E-6</v>
      </c>
      <c r="AC23" s="61">
        <v>0.1</v>
      </c>
      <c r="AD23" s="61">
        <v>100</v>
      </c>
      <c r="AE23" s="61">
        <v>12.134817621653401</v>
      </c>
      <c r="AF23" s="61">
        <v>92.405262022285001</v>
      </c>
      <c r="AG23" s="61">
        <v>20.088543864912602</v>
      </c>
      <c r="AH23" s="61">
        <f t="shared" si="0"/>
        <v>1.2134817621653402</v>
      </c>
      <c r="AI23" s="61">
        <f t="shared" si="27"/>
        <v>2.0088543864912602</v>
      </c>
      <c r="AJ23" s="61">
        <f t="shared" si="28"/>
        <v>1.2134817621653402</v>
      </c>
      <c r="AK23" s="61">
        <f t="shared" si="28"/>
        <v>2.0088543864912602</v>
      </c>
      <c r="AL23" s="61">
        <f t="shared" si="1"/>
        <v>0.61512242586354759</v>
      </c>
      <c r="AM23" s="61">
        <f t="shared" si="29"/>
        <v>0.59835933630179261</v>
      </c>
      <c r="AN23" s="61">
        <f t="shared" si="30"/>
        <v>0.61512242586354759</v>
      </c>
      <c r="AO23" s="69">
        <f t="shared" si="2"/>
        <v>1.7558377832426002E-3</v>
      </c>
      <c r="AP23" s="69">
        <f t="shared" si="3"/>
        <v>1.05063644964669E-5</v>
      </c>
      <c r="AQ23" s="69">
        <f t="shared" si="4"/>
        <v>3.3560538757280101E-2</v>
      </c>
      <c r="AR23" s="61">
        <f t="shared" si="31"/>
        <v>10</v>
      </c>
      <c r="AS23" s="69">
        <f t="shared" si="5"/>
        <v>0.154143585092054</v>
      </c>
      <c r="AT23" s="70">
        <f t="shared" si="6"/>
        <v>0.154143585092054</v>
      </c>
      <c r="AU23" s="69">
        <f t="shared" si="7"/>
        <v>3.4254130020456498E-2</v>
      </c>
      <c r="AV23" s="69">
        <f t="shared" si="8"/>
        <v>0.15238774730881141</v>
      </c>
      <c r="AW23" s="70">
        <f t="shared" si="8"/>
        <v>0.15413307872755755</v>
      </c>
      <c r="AX23" s="69">
        <f t="shared" si="8"/>
        <v>6.9359126317639769E-4</v>
      </c>
      <c r="AY23" s="69">
        <f t="shared" si="9"/>
        <v>0.14874363946172484</v>
      </c>
      <c r="AZ23" s="61">
        <f t="shared" si="10"/>
        <v>7.1398792954382537E-3</v>
      </c>
      <c r="BA23" s="61">
        <f t="shared" si="11"/>
        <v>6.8873331716550997E-4</v>
      </c>
      <c r="BB23" s="69">
        <f t="shared" si="12"/>
        <v>94.999999994323815</v>
      </c>
      <c r="BC23" s="69">
        <f t="shared" si="13"/>
        <v>0.15657225207432859</v>
      </c>
      <c r="BD23" s="69">
        <f t="shared" si="14"/>
        <v>0.30566025819463616</v>
      </c>
      <c r="BE23" s="69">
        <f t="shared" si="15"/>
        <v>0.3138332374658227</v>
      </c>
      <c r="BF23" s="61">
        <f t="shared" si="16"/>
        <v>3.6441078471132105E-3</v>
      </c>
      <c r="BG23" s="61">
        <f t="shared" si="17"/>
        <v>0.14699319943276254</v>
      </c>
      <c r="BH23" s="61">
        <f t="shared" si="18"/>
        <v>4.8579460111100006E-6</v>
      </c>
      <c r="BI23" s="61">
        <f t="shared" si="19"/>
        <v>0.30128918839778485</v>
      </c>
      <c r="BJ23" s="61">
        <f t="shared" si="20"/>
        <v>1.7075651980934754</v>
      </c>
      <c r="BK23" s="61">
        <f t="shared" si="21"/>
        <v>0.30128918839778485</v>
      </c>
      <c r="BL23" s="61">
        <f t="shared" si="32"/>
        <v>0.89964852469957746</v>
      </c>
      <c r="BM23" s="61">
        <f t="shared" si="33"/>
        <v>0.15428870204600562</v>
      </c>
      <c r="BN23" s="61">
        <f t="shared" si="34"/>
        <v>0.30128918839778485</v>
      </c>
      <c r="BO23" s="69">
        <f t="shared" si="22"/>
        <v>0.89964852469957746</v>
      </c>
      <c r="BP23" s="69">
        <f t="shared" si="23"/>
        <v>0.3138332374658227</v>
      </c>
      <c r="BQ23" s="64">
        <f t="shared" si="35"/>
        <v>2.4269635243306804</v>
      </c>
      <c r="BR23" s="69">
        <f t="shared" si="24"/>
        <v>0.13894897838994011</v>
      </c>
      <c r="BS23" s="61">
        <f t="shared" si="25"/>
        <v>7.8568917147283699</v>
      </c>
      <c r="BT23" s="61">
        <f t="shared" si="26"/>
        <v>7.5556025263305848</v>
      </c>
      <c r="BU23" s="61">
        <f t="shared" si="36"/>
        <v>6.9572431900287919</v>
      </c>
      <c r="BV23" s="61">
        <f t="shared" si="37"/>
        <v>1.7075651980934754</v>
      </c>
      <c r="BW23" s="61">
        <f t="shared" si="38"/>
        <v>0.30128918839778485</v>
      </c>
      <c r="BX23" s="64">
        <f t="shared" si="39"/>
        <v>4.0177087729825205</v>
      </c>
      <c r="BY23" s="61">
        <f t="shared" si="40"/>
        <v>0.14013577064107982</v>
      </c>
      <c r="BZ23" s="61">
        <f t="shared" si="41"/>
        <v>24.478045988668807</v>
      </c>
      <c r="CA23" s="61">
        <f t="shared" si="42"/>
        <v>22.770480790575331</v>
      </c>
      <c r="CB23" s="61">
        <f>AE23*O23/0.2</f>
        <v>6.0674088108267004</v>
      </c>
      <c r="CC23" s="61">
        <f>AG23*AC23/0.2</f>
        <v>10.044271932456301</v>
      </c>
      <c r="CD23" s="61">
        <f>CB23*'Oxidant Feed Composition'!$N$22</f>
        <v>0.6067408810826701</v>
      </c>
      <c r="CE23" s="61">
        <f>CC23*'Oxidant Feed Composition'!$N$22</f>
        <v>1.0044271932456301</v>
      </c>
      <c r="CF23" s="61">
        <f>1.2*CB23</f>
        <v>7.2808905729920399</v>
      </c>
      <c r="CG23" s="61">
        <f>CC23*1.2</f>
        <v>12.053126318947561</v>
      </c>
      <c r="CH23" s="61">
        <f>BY23/('TEA Revised EYZ Inc'!CA23*'TEA Revised EYZ Inc'!BZ23)</f>
        <v>0.02</v>
      </c>
      <c r="CI23" s="84">
        <f>BR23/('TEA Revised EYZ Inc'!BY23)</f>
        <v>1.3132171649193414E-2</v>
      </c>
    </row>
    <row r="24" spans="1:87">
      <c r="A24" s="61">
        <v>5</v>
      </c>
      <c r="B24" s="61">
        <v>1.54143585092054E-3</v>
      </c>
      <c r="C24" s="61">
        <v>1.54143585092054E-3</v>
      </c>
      <c r="D24" s="61">
        <v>3.4254130020456501E-4</v>
      </c>
      <c r="E24" s="61">
        <v>0</v>
      </c>
      <c r="F24" s="61">
        <v>0</v>
      </c>
      <c r="G24" s="61">
        <v>0</v>
      </c>
      <c r="H24" s="69">
        <v>1.7558377832426001E-5</v>
      </c>
      <c r="I24" s="69">
        <v>1.05063644964669E-7</v>
      </c>
      <c r="J24" s="61">
        <v>3.35605387572801E-4</v>
      </c>
      <c r="K24" s="61">
        <v>0.12557893497872399</v>
      </c>
      <c r="L24" s="61">
        <v>0.12701721899235199</v>
      </c>
      <c r="M24" s="61">
        <v>5.7157122982957897E-4</v>
      </c>
      <c r="N24" s="61" t="s">
        <v>323</v>
      </c>
      <c r="O24" s="61">
        <v>0.1</v>
      </c>
      <c r="P24" s="61">
        <v>6</v>
      </c>
      <c r="Q24" s="61">
        <v>1.64912412966352E-3</v>
      </c>
      <c r="R24" s="61">
        <v>1.66801192221077E-3</v>
      </c>
      <c r="S24" s="61">
        <v>7.5059714998626504E-6</v>
      </c>
      <c r="T24" s="61">
        <v>0</v>
      </c>
      <c r="U24" s="61">
        <v>0</v>
      </c>
      <c r="V24" s="61">
        <v>0</v>
      </c>
      <c r="W24" s="61">
        <v>1.6114297833378999E-3</v>
      </c>
      <c r="X24" s="61">
        <v>7.7356463127358006E-5</v>
      </c>
      <c r="Y24" s="61">
        <v>7.4556307325320903E-6</v>
      </c>
      <c r="Z24" s="61">
        <v>1.7565900233430501E-3</v>
      </c>
      <c r="AA24" s="61">
        <v>7.4125957401307799E-2</v>
      </c>
      <c r="AB24" s="61">
        <v>2.3459244762174398E-6</v>
      </c>
      <c r="AC24" s="61">
        <v>0.1</v>
      </c>
      <c r="AD24" s="61">
        <v>100</v>
      </c>
      <c r="AE24" s="61">
        <v>12.134817621653401</v>
      </c>
      <c r="AF24" s="61">
        <v>92.405262022285001</v>
      </c>
      <c r="AG24" s="61">
        <v>19.829077375432199</v>
      </c>
      <c r="AH24" s="61">
        <f t="shared" si="0"/>
        <v>1.2134817621653402</v>
      </c>
      <c r="AI24" s="61">
        <f t="shared" si="27"/>
        <v>1.98290773754322</v>
      </c>
      <c r="AJ24" s="61">
        <f t="shared" si="28"/>
        <v>1.2134817621653402</v>
      </c>
      <c r="AK24" s="61">
        <f t="shared" si="28"/>
        <v>1.98290773754322</v>
      </c>
      <c r="AL24" s="61">
        <f t="shared" si="1"/>
        <v>0.61512242586354759</v>
      </c>
      <c r="AM24" s="61">
        <f t="shared" si="29"/>
        <v>0.59835933630179261</v>
      </c>
      <c r="AN24" s="61">
        <f t="shared" si="30"/>
        <v>0.61512242586354759</v>
      </c>
      <c r="AO24" s="69">
        <f t="shared" si="2"/>
        <v>1.7558377832426002E-3</v>
      </c>
      <c r="AP24" s="69">
        <f t="shared" si="3"/>
        <v>1.05063644964669E-5</v>
      </c>
      <c r="AQ24" s="69">
        <f t="shared" si="4"/>
        <v>3.3560538757280101E-2</v>
      </c>
      <c r="AR24" s="61">
        <f t="shared" si="31"/>
        <v>10</v>
      </c>
      <c r="AS24" s="69">
        <f t="shared" si="5"/>
        <v>0.154143585092054</v>
      </c>
      <c r="AT24" s="70">
        <f t="shared" si="6"/>
        <v>0.154143585092054</v>
      </c>
      <c r="AU24" s="69">
        <f t="shared" si="7"/>
        <v>3.4254130020456498E-2</v>
      </c>
      <c r="AV24" s="69">
        <f t="shared" si="8"/>
        <v>0.15238774730881141</v>
      </c>
      <c r="AW24" s="70">
        <f t="shared" si="8"/>
        <v>0.15413307872755755</v>
      </c>
      <c r="AX24" s="69">
        <f t="shared" si="8"/>
        <v>6.9359126317639769E-4</v>
      </c>
      <c r="AY24" s="69">
        <f t="shared" si="9"/>
        <v>0.14890459135985259</v>
      </c>
      <c r="AZ24" s="61">
        <f t="shared" si="10"/>
        <v>7.1481442444007448E-3</v>
      </c>
      <c r="BA24" s="61">
        <f t="shared" si="11"/>
        <v>6.8893951138102852E-4</v>
      </c>
      <c r="BB24" s="69">
        <f t="shared" si="12"/>
        <v>94.999999999999972</v>
      </c>
      <c r="BC24" s="69">
        <f t="shared" si="13"/>
        <v>0.15674167511563436</v>
      </c>
      <c r="BD24" s="69">
        <f t="shared" si="14"/>
        <v>0.30599073623117745</v>
      </c>
      <c r="BE24" s="69">
        <f t="shared" si="15"/>
        <v>0.31417228974264977</v>
      </c>
      <c r="BF24" s="61">
        <f t="shared" si="16"/>
        <v>3.4831559489781594E-3</v>
      </c>
      <c r="BG24" s="61">
        <f t="shared" si="17"/>
        <v>0.14698493448385236</v>
      </c>
      <c r="BH24" s="61">
        <f t="shared" si="18"/>
        <v>4.6517517955835869E-6</v>
      </c>
      <c r="BI24" s="61">
        <f t="shared" si="19"/>
        <v>0.30095013612104782</v>
      </c>
      <c r="BJ24" s="61">
        <f t="shared" si="20"/>
        <v>1.6819576014221722</v>
      </c>
      <c r="BK24" s="61">
        <f t="shared" si="21"/>
        <v>0.30095013612104782</v>
      </c>
      <c r="BL24" s="61">
        <f t="shared" si="32"/>
        <v>0.89930947242284043</v>
      </c>
      <c r="BM24" s="61">
        <f t="shared" si="33"/>
        <v>0.15395822400950207</v>
      </c>
      <c r="BN24" s="61">
        <f t="shared" si="34"/>
        <v>0.30095013612104782</v>
      </c>
      <c r="BO24" s="69">
        <f t="shared" si="22"/>
        <v>0.89930947242284043</v>
      </c>
      <c r="BP24" s="69">
        <f t="shared" si="23"/>
        <v>0.31417228974264977</v>
      </c>
      <c r="BQ24" s="64">
        <f t="shared" si="35"/>
        <v>2.4269635243306804</v>
      </c>
      <c r="BR24" s="69">
        <f t="shared" si="24"/>
        <v>0.13908188781565842</v>
      </c>
      <c r="BS24" s="61">
        <f t="shared" si="25"/>
        <v>7.8464252999935784</v>
      </c>
      <c r="BT24" s="61">
        <f t="shared" si="26"/>
        <v>7.5454751638725304</v>
      </c>
      <c r="BU24" s="61">
        <f t="shared" si="36"/>
        <v>6.9471158275707374</v>
      </c>
      <c r="BV24" s="61">
        <f t="shared" si="37"/>
        <v>1.6819576014221722</v>
      </c>
      <c r="BW24" s="61">
        <f t="shared" si="38"/>
        <v>0.30095013612104782</v>
      </c>
      <c r="BX24" s="64">
        <f t="shared" si="39"/>
        <v>3.9658154750864401</v>
      </c>
      <c r="BY24" s="61">
        <f t="shared" si="40"/>
        <v>0.13986152695184725</v>
      </c>
      <c r="BZ24" s="61">
        <f t="shared" si="41"/>
        <v>23.846205706219131</v>
      </c>
      <c r="CA24" s="61">
        <f t="shared" si="42"/>
        <v>22.164248104796958</v>
      </c>
      <c r="CB24" s="61">
        <f>AE24*O24/0.2</f>
        <v>6.0674088108267004</v>
      </c>
      <c r="CC24" s="61">
        <f>AG24*AC24/0.2</f>
        <v>9.9145386877160995</v>
      </c>
      <c r="CD24" s="61">
        <f>CB24*'Oxidant Feed Composition'!$N$22</f>
        <v>0.6067408810826701</v>
      </c>
      <c r="CE24" s="61">
        <f>CC24*'Oxidant Feed Composition'!$N$22</f>
        <v>0.99145386877161001</v>
      </c>
      <c r="CF24" s="61">
        <f>1.2*CB24</f>
        <v>7.2808905729920399</v>
      </c>
      <c r="CG24" s="61">
        <f>CC24*1.2</f>
        <v>11.89744642525932</v>
      </c>
      <c r="CH24" s="61">
        <f>BY24/('TEA Revised EYZ Inc'!CA24*'TEA Revised EYZ Inc'!BZ24)</f>
        <v>2.0000000000000007E-2</v>
      </c>
      <c r="CI24" s="84">
        <f>BR24/('TEA Revised EYZ Inc'!BY24)</f>
        <v>1.3132171649193416E-2</v>
      </c>
    </row>
    <row r="25" spans="1:87">
      <c r="A25" s="61">
        <v>5</v>
      </c>
      <c r="B25" s="61">
        <v>1.54143585092054E-3</v>
      </c>
      <c r="C25" s="61">
        <v>1.54143585092054E-3</v>
      </c>
      <c r="D25" s="61">
        <v>3.4254130020456501E-4</v>
      </c>
      <c r="E25" s="61">
        <v>0</v>
      </c>
      <c r="F25" s="61">
        <v>0</v>
      </c>
      <c r="G25" s="61">
        <v>0</v>
      </c>
      <c r="H25" s="69">
        <v>1.7558377832426001E-5</v>
      </c>
      <c r="I25" s="69">
        <v>1.05063644964669E-7</v>
      </c>
      <c r="J25" s="61">
        <v>3.35605387572801E-4</v>
      </c>
      <c r="K25" s="61">
        <v>0.12557893497872399</v>
      </c>
      <c r="L25" s="61">
        <v>0.12701721899235199</v>
      </c>
      <c r="M25" s="61">
        <v>5.7157122982957897E-4</v>
      </c>
      <c r="N25" s="61" t="s">
        <v>323</v>
      </c>
      <c r="O25" s="61">
        <v>0.1</v>
      </c>
      <c r="P25" s="61">
        <v>7</v>
      </c>
      <c r="Q25" s="61">
        <v>1.64912412966352E-3</v>
      </c>
      <c r="R25" s="61">
        <v>1.66801192221077E-3</v>
      </c>
      <c r="S25" s="61">
        <v>7.5059714998626504E-6</v>
      </c>
      <c r="T25" s="61">
        <v>0</v>
      </c>
      <c r="U25" s="61">
        <v>0</v>
      </c>
      <c r="V25" s="61">
        <v>0</v>
      </c>
      <c r="W25" s="61">
        <v>1.6119381310433301E-3</v>
      </c>
      <c r="X25" s="61">
        <v>7.7382567030457797E-5</v>
      </c>
      <c r="Y25" s="61">
        <v>7.4562819717611701E-6</v>
      </c>
      <c r="Z25" s="61">
        <v>1.73954373622606E-3</v>
      </c>
      <c r="AA25" s="61">
        <v>7.4408902129409704E-2</v>
      </c>
      <c r="AB25" s="61">
        <v>2.32445303539035E-6</v>
      </c>
      <c r="AC25" s="61">
        <v>0.1</v>
      </c>
      <c r="AD25" s="61">
        <v>100</v>
      </c>
      <c r="AE25" s="61">
        <v>12.134817621653401</v>
      </c>
      <c r="AF25" s="61">
        <v>92.405262022285001</v>
      </c>
      <c r="AG25" s="61">
        <v>19.7533518383668</v>
      </c>
      <c r="AH25" s="61">
        <f t="shared" si="0"/>
        <v>1.2134817621653402</v>
      </c>
      <c r="AI25" s="61">
        <f t="shared" si="27"/>
        <v>1.9753351838366802</v>
      </c>
      <c r="AJ25" s="61">
        <f t="shared" si="28"/>
        <v>1.2134817621653402</v>
      </c>
      <c r="AK25" s="61">
        <f t="shared" si="28"/>
        <v>1.9753351838366802</v>
      </c>
      <c r="AL25" s="61">
        <f t="shared" si="1"/>
        <v>0.61512242586354759</v>
      </c>
      <c r="AM25" s="61">
        <f t="shared" si="29"/>
        <v>0.59835933630179261</v>
      </c>
      <c r="AN25" s="61">
        <f t="shared" si="30"/>
        <v>0.61512242586354759</v>
      </c>
      <c r="AO25" s="69">
        <f t="shared" si="2"/>
        <v>1.7558377832426002E-3</v>
      </c>
      <c r="AP25" s="69">
        <f t="shared" si="3"/>
        <v>1.05063644964669E-5</v>
      </c>
      <c r="AQ25" s="69">
        <f t="shared" si="4"/>
        <v>3.3560538757280101E-2</v>
      </c>
      <c r="AR25" s="61">
        <f t="shared" si="31"/>
        <v>10</v>
      </c>
      <c r="AS25" s="69">
        <f t="shared" si="5"/>
        <v>0.154143585092054</v>
      </c>
      <c r="AT25" s="70">
        <f t="shared" si="6"/>
        <v>0.154143585092054</v>
      </c>
      <c r="AU25" s="69">
        <f t="shared" si="7"/>
        <v>3.4254130020456498E-2</v>
      </c>
      <c r="AV25" s="69">
        <f t="shared" si="8"/>
        <v>0.15238774730881141</v>
      </c>
      <c r="AW25" s="70">
        <f t="shared" si="8"/>
        <v>0.15413307872755755</v>
      </c>
      <c r="AX25" s="69">
        <f t="shared" si="8"/>
        <v>6.9359126317639769E-4</v>
      </c>
      <c r="AY25" s="69">
        <f t="shared" si="9"/>
        <v>0.14895156536277129</v>
      </c>
      <c r="AZ25" s="61">
        <f t="shared" si="10"/>
        <v>7.1505563824064856E-3</v>
      </c>
      <c r="BA25" s="61">
        <f t="shared" si="11"/>
        <v>6.8899968931263077E-4</v>
      </c>
      <c r="BB25" s="69">
        <f t="shared" si="12"/>
        <v>95.000000000003439</v>
      </c>
      <c r="BC25" s="69">
        <f t="shared" si="13"/>
        <v>0.15679112143449042</v>
      </c>
      <c r="BD25" s="69">
        <f t="shared" si="14"/>
        <v>0.30608718664191803</v>
      </c>
      <c r="BE25" s="69">
        <f t="shared" si="15"/>
        <v>0.31427124255829347</v>
      </c>
      <c r="BF25" s="61">
        <f t="shared" si="16"/>
        <v>3.4361819459900497E-3</v>
      </c>
      <c r="BG25" s="61">
        <f t="shared" si="17"/>
        <v>0.14698252236688306</v>
      </c>
      <c r="BH25" s="61">
        <f t="shared" si="18"/>
        <v>4.591573863982526E-6</v>
      </c>
      <c r="BI25" s="61">
        <f t="shared" si="19"/>
        <v>0.30085118334733818</v>
      </c>
      <c r="BJ25" s="61">
        <f t="shared" si="20"/>
        <v>1.674484000489342</v>
      </c>
      <c r="BK25" s="61">
        <f t="shared" si="21"/>
        <v>0.30085118334733818</v>
      </c>
      <c r="BL25" s="61">
        <f t="shared" si="32"/>
        <v>0.89921051964913079</v>
      </c>
      <c r="BM25" s="61">
        <f t="shared" si="33"/>
        <v>0.15386177361965914</v>
      </c>
      <c r="BN25" s="61">
        <f t="shared" si="34"/>
        <v>0.30085118334733818</v>
      </c>
      <c r="BO25" s="69">
        <f t="shared" si="22"/>
        <v>0.89921051964913079</v>
      </c>
      <c r="BP25" s="69">
        <f t="shared" si="23"/>
        <v>0.31427124255829347</v>
      </c>
      <c r="BQ25" s="64">
        <f t="shared" si="35"/>
        <v>2.4269635243306804</v>
      </c>
      <c r="BR25" s="69">
        <f t="shared" si="24"/>
        <v>0.13912067139376647</v>
      </c>
      <c r="BS25" s="61">
        <f t="shared" si="25"/>
        <v>7.8433747839886472</v>
      </c>
      <c r="BT25" s="61">
        <f t="shared" si="26"/>
        <v>7.5425236006413092</v>
      </c>
      <c r="BU25" s="61">
        <f t="shared" si="36"/>
        <v>6.9441642643395163</v>
      </c>
      <c r="BV25" s="61">
        <f t="shared" si="37"/>
        <v>1.674484000489342</v>
      </c>
      <c r="BW25" s="61">
        <f t="shared" si="38"/>
        <v>0.30085118334733818</v>
      </c>
      <c r="BX25" s="64">
        <f t="shared" si="39"/>
        <v>3.9506703676733603</v>
      </c>
      <c r="BY25" s="61">
        <f t="shared" si="40"/>
        <v>0.13978099850445841</v>
      </c>
      <c r="BZ25" s="61">
        <f t="shared" si="41"/>
        <v>23.663210281279351</v>
      </c>
      <c r="CA25" s="61">
        <f t="shared" si="42"/>
        <v>21.988726280790008</v>
      </c>
      <c r="CB25" s="61">
        <f>AE25*O25/0.2</f>
        <v>6.0674088108267004</v>
      </c>
      <c r="CC25" s="61">
        <f>AG25*AC25/0.2</f>
        <v>9.8766759191834002</v>
      </c>
      <c r="CD25" s="61">
        <f>CB25*'Oxidant Feed Composition'!$N$22</f>
        <v>0.6067408810826701</v>
      </c>
      <c r="CE25" s="61">
        <f>CC25*'Oxidant Feed Composition'!$N$22</f>
        <v>0.98766759191834008</v>
      </c>
      <c r="CF25" s="61">
        <f>1.2*CB25</f>
        <v>7.2808905729920399</v>
      </c>
      <c r="CG25" s="61">
        <f>CC25*1.2</f>
        <v>11.852011103020081</v>
      </c>
      <c r="CH25" s="61">
        <f>BY25/('TEA Revised EYZ Inc'!CA25*'TEA Revised EYZ Inc'!BZ25)</f>
        <v>1.9999999999999997E-2</v>
      </c>
      <c r="CI25" s="84">
        <f>BR25/('TEA Revised EYZ Inc'!BY25)</f>
        <v>1.3132171649193418E-2</v>
      </c>
    </row>
    <row r="26" spans="1:87">
      <c r="A26" s="61">
        <v>5</v>
      </c>
      <c r="B26" s="61">
        <v>1.54143585092054E-3</v>
      </c>
      <c r="C26" s="61">
        <v>1.54143585092054E-3</v>
      </c>
      <c r="D26" s="61">
        <v>3.4254130020456501E-4</v>
      </c>
      <c r="E26" s="61">
        <v>0</v>
      </c>
      <c r="F26" s="61">
        <v>0</v>
      </c>
      <c r="G26" s="61">
        <v>0</v>
      </c>
      <c r="H26" s="69">
        <v>1.7558377832426001E-5</v>
      </c>
      <c r="I26" s="69">
        <v>1.05063644964669E-7</v>
      </c>
      <c r="J26" s="61">
        <v>3.35605387572801E-4</v>
      </c>
      <c r="K26" s="61">
        <v>0.12557893497872399</v>
      </c>
      <c r="L26" s="61">
        <v>0.12701721899235199</v>
      </c>
      <c r="M26" s="61">
        <v>5.7157122982957897E-4</v>
      </c>
      <c r="N26" s="61" t="s">
        <v>323</v>
      </c>
      <c r="O26" s="61">
        <v>0.1</v>
      </c>
      <c r="P26" s="61">
        <v>8</v>
      </c>
      <c r="Q26" s="61">
        <v>1.64912412966352E-3</v>
      </c>
      <c r="R26" s="61">
        <v>1.66801192221077E-3</v>
      </c>
      <c r="S26" s="61">
        <v>7.5059714998626504E-6</v>
      </c>
      <c r="T26" s="61">
        <v>0</v>
      </c>
      <c r="U26" s="61">
        <v>0</v>
      </c>
      <c r="V26" s="61">
        <v>0</v>
      </c>
      <c r="W26" s="61">
        <v>1.6120834525789199E-3</v>
      </c>
      <c r="X26" s="61">
        <v>7.7390029362408002E-5</v>
      </c>
      <c r="Y26" s="61">
        <v>7.4564681417452103E-6</v>
      </c>
      <c r="Z26" s="61">
        <v>1.73464665743558E-3</v>
      </c>
      <c r="AA26" s="61">
        <v>7.4490186842272293E-2</v>
      </c>
      <c r="AB26" s="61">
        <v>2.3182846935160901E-6</v>
      </c>
      <c r="AC26" s="61">
        <v>0.1</v>
      </c>
      <c r="AD26" s="61">
        <v>100</v>
      </c>
      <c r="AE26" s="61">
        <v>12.134817621653401</v>
      </c>
      <c r="AF26" s="61">
        <v>92.405262022285001</v>
      </c>
      <c r="AG26" s="61">
        <v>19.731704180288602</v>
      </c>
      <c r="AH26" s="61">
        <f t="shared" si="0"/>
        <v>1.2134817621653402</v>
      </c>
      <c r="AI26" s="61">
        <f t="shared" si="27"/>
        <v>1.9731704180288603</v>
      </c>
      <c r="AJ26" s="61">
        <f t="shared" si="28"/>
        <v>1.2134817621653402</v>
      </c>
      <c r="AK26" s="61">
        <f t="shared" si="28"/>
        <v>1.9731704180288603</v>
      </c>
      <c r="AL26" s="61">
        <f t="shared" si="1"/>
        <v>0.61512242586354759</v>
      </c>
      <c r="AM26" s="61">
        <f t="shared" si="29"/>
        <v>0.59835933630179261</v>
      </c>
      <c r="AN26" s="61">
        <f t="shared" si="30"/>
        <v>0.61512242586354759</v>
      </c>
      <c r="AO26" s="69">
        <f t="shared" si="2"/>
        <v>1.7558377832426002E-3</v>
      </c>
      <c r="AP26" s="69">
        <f t="shared" si="3"/>
        <v>1.05063644964669E-5</v>
      </c>
      <c r="AQ26" s="69">
        <f t="shared" si="4"/>
        <v>3.3560538757280101E-2</v>
      </c>
      <c r="AR26" s="61">
        <f t="shared" si="31"/>
        <v>10</v>
      </c>
      <c r="AS26" s="69">
        <f t="shared" si="5"/>
        <v>0.154143585092054</v>
      </c>
      <c r="AT26" s="70">
        <f t="shared" si="6"/>
        <v>0.154143585092054</v>
      </c>
      <c r="AU26" s="69">
        <f t="shared" si="7"/>
        <v>3.4254130020456498E-2</v>
      </c>
      <c r="AV26" s="69">
        <f t="shared" si="8"/>
        <v>0.15238774730881141</v>
      </c>
      <c r="AW26" s="70">
        <f t="shared" si="8"/>
        <v>0.15413307872755755</v>
      </c>
      <c r="AX26" s="69">
        <f t="shared" si="8"/>
        <v>6.9359126317639769E-4</v>
      </c>
      <c r="AY26" s="69">
        <f t="shared" si="9"/>
        <v>0.14896499383734496</v>
      </c>
      <c r="AZ26" s="61">
        <f t="shared" si="10"/>
        <v>7.1512459411456411E-3</v>
      </c>
      <c r="BA26" s="61">
        <f t="shared" si="11"/>
        <v>6.8901689239878668E-4</v>
      </c>
      <c r="BB26" s="69">
        <f t="shared" si="12"/>
        <v>95.000000000000043</v>
      </c>
      <c r="BC26" s="69">
        <f t="shared" si="13"/>
        <v>0.15680525667088938</v>
      </c>
      <c r="BD26" s="69">
        <f t="shared" si="14"/>
        <v>0.30611475895443374</v>
      </c>
      <c r="BE26" s="69">
        <f t="shared" si="15"/>
        <v>0.31429953023417756</v>
      </c>
      <c r="BF26" s="61">
        <f t="shared" si="16"/>
        <v>3.4227534701845286E-3</v>
      </c>
      <c r="BG26" s="61">
        <f t="shared" si="17"/>
        <v>0.14698183311061433</v>
      </c>
      <c r="BH26" s="61">
        <f t="shared" si="18"/>
        <v>4.5743707778150515E-6</v>
      </c>
      <c r="BI26" s="61">
        <f t="shared" si="19"/>
        <v>0.30082289627393116</v>
      </c>
      <c r="BJ26" s="61">
        <f t="shared" si="20"/>
        <v>1.6723475217549291</v>
      </c>
      <c r="BK26" s="61">
        <f t="shared" si="21"/>
        <v>0.30082289627393116</v>
      </c>
      <c r="BL26" s="61">
        <f t="shared" si="32"/>
        <v>0.89918223257572372</v>
      </c>
      <c r="BM26" s="61">
        <f t="shared" si="33"/>
        <v>0.15383420160715011</v>
      </c>
      <c r="BN26" s="61">
        <f t="shared" si="34"/>
        <v>0.30082289627393116</v>
      </c>
      <c r="BO26" s="69">
        <f t="shared" si="22"/>
        <v>0.89918223257572372</v>
      </c>
      <c r="BP26" s="69">
        <f t="shared" si="23"/>
        <v>0.31429953023417756</v>
      </c>
      <c r="BQ26" s="64">
        <f t="shared" si="35"/>
        <v>2.4269635243306804</v>
      </c>
      <c r="BR26" s="69">
        <f t="shared" si="24"/>
        <v>0.13913175795412691</v>
      </c>
      <c r="BS26" s="61">
        <f t="shared" si="25"/>
        <v>7.8425030786537882</v>
      </c>
      <c r="BT26" s="61">
        <f t="shared" si="26"/>
        <v>7.5416801823798574</v>
      </c>
      <c r="BU26" s="61">
        <f t="shared" si="36"/>
        <v>6.9433208460780644</v>
      </c>
      <c r="BV26" s="61">
        <f t="shared" si="37"/>
        <v>1.6723475217549291</v>
      </c>
      <c r="BW26" s="61">
        <f t="shared" si="38"/>
        <v>0.30082289627393116</v>
      </c>
      <c r="BX26" s="64">
        <f t="shared" si="39"/>
        <v>3.9463408360577206</v>
      </c>
      <c r="BY26" s="61">
        <f t="shared" si="40"/>
        <v>0.13975793668487049</v>
      </c>
      <c r="BZ26" s="61">
        <f t="shared" si="41"/>
        <v>23.611014421536783</v>
      </c>
      <c r="CA26" s="61">
        <f t="shared" si="42"/>
        <v>21.938666899781854</v>
      </c>
      <c r="CB26" s="61">
        <f>AE26*O26/0.2</f>
        <v>6.0674088108267004</v>
      </c>
      <c r="CC26" s="61">
        <f>AG26*AC26/0.2</f>
        <v>9.8658520901443012</v>
      </c>
      <c r="CD26" s="61">
        <f>CB26*'Oxidant Feed Composition'!$N$22</f>
        <v>0.6067408810826701</v>
      </c>
      <c r="CE26" s="61">
        <f>CC26*'Oxidant Feed Composition'!$N$22</f>
        <v>0.98658520901443014</v>
      </c>
      <c r="CF26" s="61">
        <f>1.2*CB26</f>
        <v>7.2808905729920399</v>
      </c>
      <c r="CG26" s="61">
        <f>CC26*1.2</f>
        <v>11.83902250817316</v>
      </c>
      <c r="CH26" s="61">
        <f>BY26/('TEA Revised EYZ Inc'!CA26*'TEA Revised EYZ Inc'!BZ26)</f>
        <v>1.9999999999999997E-2</v>
      </c>
      <c r="CI26" s="84">
        <f>BR26/('TEA Revised EYZ Inc'!BY26)</f>
        <v>1.3132171649193419E-2</v>
      </c>
    </row>
    <row r="27" spans="1:87">
      <c r="A27" s="61">
        <v>5</v>
      </c>
      <c r="B27" s="61">
        <v>1.54143585092054E-3</v>
      </c>
      <c r="C27" s="61">
        <v>1.54143585092054E-3</v>
      </c>
      <c r="D27" s="61">
        <v>3.4254130020456501E-4</v>
      </c>
      <c r="E27" s="61">
        <v>0</v>
      </c>
      <c r="F27" s="61">
        <v>0</v>
      </c>
      <c r="G27" s="61">
        <v>0</v>
      </c>
      <c r="H27" s="69">
        <v>1.7558377832426001E-5</v>
      </c>
      <c r="I27" s="69">
        <v>1.05063644964669E-7</v>
      </c>
      <c r="J27" s="61">
        <v>3.35605387572801E-4</v>
      </c>
      <c r="K27" s="61">
        <v>0.12557893497872399</v>
      </c>
      <c r="L27" s="61">
        <v>0.12701721899235199</v>
      </c>
      <c r="M27" s="61">
        <v>5.7157122982957897E-4</v>
      </c>
      <c r="N27" s="61" t="s">
        <v>323</v>
      </c>
      <c r="O27" s="61">
        <v>0.1</v>
      </c>
      <c r="P27" s="61">
        <v>9</v>
      </c>
      <c r="Q27" s="61">
        <v>1.64912412966352E-3</v>
      </c>
      <c r="R27" s="61">
        <v>1.66801192221077E-3</v>
      </c>
      <c r="S27" s="61">
        <v>7.5059714998626504E-6</v>
      </c>
      <c r="T27" s="61">
        <v>0</v>
      </c>
      <c r="U27" s="61">
        <v>0</v>
      </c>
      <c r="V27" s="61">
        <v>0</v>
      </c>
      <c r="W27" s="61">
        <v>1.6121246149811801E-3</v>
      </c>
      <c r="X27" s="61">
        <v>7.7392143035352694E-5</v>
      </c>
      <c r="Y27" s="61">
        <v>7.4565208744733498E-6</v>
      </c>
      <c r="Z27" s="61">
        <v>1.73325760784225E-3</v>
      </c>
      <c r="AA27" s="61">
        <v>7.4513243137229707E-2</v>
      </c>
      <c r="AB27" s="61">
        <v>2.3165350520080302E-6</v>
      </c>
      <c r="AC27" s="61">
        <v>0.1</v>
      </c>
      <c r="AD27" s="61">
        <v>100</v>
      </c>
      <c r="AE27" s="61">
        <v>12.134817621653401</v>
      </c>
      <c r="AF27" s="61">
        <v>92.405262022285001</v>
      </c>
      <c r="AG27" s="61">
        <v>19.725572433293401</v>
      </c>
      <c r="AH27" s="61">
        <f t="shared" si="0"/>
        <v>1.2134817621653402</v>
      </c>
      <c r="AI27" s="61">
        <f t="shared" si="27"/>
        <v>1.9725572433293401</v>
      </c>
      <c r="AJ27" s="61">
        <f t="shared" si="28"/>
        <v>1.2134817621653402</v>
      </c>
      <c r="AK27" s="61">
        <f t="shared" si="28"/>
        <v>1.9725572433293401</v>
      </c>
      <c r="AL27" s="61">
        <f t="shared" si="1"/>
        <v>0.61512242586354759</v>
      </c>
      <c r="AM27" s="61">
        <f t="shared" si="29"/>
        <v>0.59835933630179261</v>
      </c>
      <c r="AN27" s="61">
        <f t="shared" si="30"/>
        <v>0.61512242586354759</v>
      </c>
      <c r="AO27" s="69">
        <f t="shared" si="2"/>
        <v>1.7558377832426002E-3</v>
      </c>
      <c r="AP27" s="69">
        <f t="shared" si="3"/>
        <v>1.05063644964669E-5</v>
      </c>
      <c r="AQ27" s="69">
        <f t="shared" si="4"/>
        <v>3.3560538757280101E-2</v>
      </c>
      <c r="AR27" s="61">
        <f t="shared" si="31"/>
        <v>10</v>
      </c>
      <c r="AS27" s="69">
        <f t="shared" si="5"/>
        <v>0.154143585092054</v>
      </c>
      <c r="AT27" s="70">
        <f t="shared" si="6"/>
        <v>0.154143585092054</v>
      </c>
      <c r="AU27" s="69">
        <f t="shared" si="7"/>
        <v>3.4254130020456498E-2</v>
      </c>
      <c r="AV27" s="69">
        <f t="shared" si="8"/>
        <v>0.15238774730881141</v>
      </c>
      <c r="AW27" s="70">
        <f t="shared" si="8"/>
        <v>0.15413307872755755</v>
      </c>
      <c r="AX27" s="69">
        <f t="shared" si="8"/>
        <v>6.9359126317639769E-4</v>
      </c>
      <c r="AY27" s="69">
        <f t="shared" si="9"/>
        <v>0.14896879745991126</v>
      </c>
      <c r="AZ27" s="61">
        <f t="shared" si="10"/>
        <v>7.1514412556479253E-3</v>
      </c>
      <c r="BA27" s="61">
        <f t="shared" si="11"/>
        <v>6.8902176518034753E-4</v>
      </c>
      <c r="BB27" s="69">
        <f t="shared" si="12"/>
        <v>95.000000002046249</v>
      </c>
      <c r="BC27" s="69">
        <f t="shared" si="13"/>
        <v>0.15680926048073954</v>
      </c>
      <c r="BD27" s="69">
        <f t="shared" si="14"/>
        <v>0.30612256882324096</v>
      </c>
      <c r="BE27" s="69">
        <f t="shared" si="15"/>
        <v>0.31430754272665939</v>
      </c>
      <c r="BF27" s="61">
        <f t="shared" si="16"/>
        <v>3.4189498489049152E-3</v>
      </c>
      <c r="BG27" s="61">
        <f t="shared" si="17"/>
        <v>0.14698163747430271</v>
      </c>
      <c r="BH27" s="61">
        <f t="shared" si="18"/>
        <v>4.5694979962647494E-6</v>
      </c>
      <c r="BI27" s="61">
        <f t="shared" si="19"/>
        <v>0.30081488314040405</v>
      </c>
      <c r="BJ27" s="61">
        <f t="shared" si="20"/>
        <v>1.6717423601889361</v>
      </c>
      <c r="BK27" s="61">
        <f t="shared" si="21"/>
        <v>0.30081488314040405</v>
      </c>
      <c r="BL27" s="61">
        <f t="shared" si="32"/>
        <v>0.89917421944219666</v>
      </c>
      <c r="BM27" s="61">
        <f t="shared" si="33"/>
        <v>0.15382639141910692</v>
      </c>
      <c r="BN27" s="61">
        <f t="shared" si="34"/>
        <v>0.30081488314040405</v>
      </c>
      <c r="BO27" s="69">
        <f t="shared" si="22"/>
        <v>0.89917421944219666</v>
      </c>
      <c r="BP27" s="69">
        <f t="shared" si="23"/>
        <v>0.31430754272665939</v>
      </c>
      <c r="BQ27" s="64">
        <f t="shared" si="35"/>
        <v>2.4269635243306804</v>
      </c>
      <c r="BR27" s="69">
        <f t="shared" si="24"/>
        <v>0.13913489818401334</v>
      </c>
      <c r="BS27" s="61">
        <f t="shared" si="25"/>
        <v>7.8422561883739714</v>
      </c>
      <c r="BT27" s="61">
        <f t="shared" si="26"/>
        <v>7.5414413052335671</v>
      </c>
      <c r="BU27" s="61">
        <f t="shared" si="36"/>
        <v>6.9430819689317742</v>
      </c>
      <c r="BV27" s="61">
        <f t="shared" si="37"/>
        <v>1.6717423601889361</v>
      </c>
      <c r="BW27" s="61">
        <f t="shared" si="38"/>
        <v>0.30081488314040405</v>
      </c>
      <c r="BX27" s="64">
        <f t="shared" si="39"/>
        <v>3.9451144866586803</v>
      </c>
      <c r="BY27" s="61">
        <f t="shared" si="40"/>
        <v>0.13975140068520531</v>
      </c>
      <c r="BZ27" s="61">
        <f t="shared" si="41"/>
        <v>23.596239360771371</v>
      </c>
      <c r="CA27" s="61">
        <f t="shared" si="42"/>
        <v>21.924497000582434</v>
      </c>
      <c r="CB27" s="61">
        <f>AE27*O27/0.2</f>
        <v>6.0674088108267004</v>
      </c>
      <c r="CC27" s="61">
        <f>AG27*AC27/0.2</f>
        <v>9.8627862166467004</v>
      </c>
      <c r="CD27" s="61">
        <f>CB27*'Oxidant Feed Composition'!$N$22</f>
        <v>0.6067408810826701</v>
      </c>
      <c r="CE27" s="61">
        <f>CC27*'Oxidant Feed Composition'!$N$22</f>
        <v>0.98627862166467006</v>
      </c>
      <c r="CF27" s="61">
        <f>1.2*CB27</f>
        <v>7.2808905729920399</v>
      </c>
      <c r="CG27" s="61">
        <f>CC27*1.2</f>
        <v>11.835343459976039</v>
      </c>
      <c r="CH27" s="61">
        <f>BY27/('TEA Revised EYZ Inc'!CA27*'TEA Revised EYZ Inc'!BZ27)</f>
        <v>2.0000000000000004E-2</v>
      </c>
      <c r="CI27" s="84">
        <f>BR27/('TEA Revised EYZ Inc'!BY27)</f>
        <v>1.3132171649193414E-2</v>
      </c>
    </row>
    <row r="28" spans="1:87">
      <c r="A28" s="61">
        <v>5</v>
      </c>
      <c r="B28" s="61">
        <v>1.54143585092054E-3</v>
      </c>
      <c r="C28" s="61">
        <v>1.54143585092054E-3</v>
      </c>
      <c r="D28" s="61">
        <v>3.4254130020456501E-4</v>
      </c>
      <c r="E28" s="61">
        <v>0</v>
      </c>
      <c r="F28" s="61">
        <v>0</v>
      </c>
      <c r="G28" s="61">
        <v>0</v>
      </c>
      <c r="H28" s="69">
        <v>1.7558377832426001E-5</v>
      </c>
      <c r="I28" s="69">
        <v>1.05063644964669E-7</v>
      </c>
      <c r="J28" s="61">
        <v>3.35605387572801E-4</v>
      </c>
      <c r="K28" s="61">
        <v>0.12557893497872399</v>
      </c>
      <c r="L28" s="61">
        <v>0.12701721899235199</v>
      </c>
      <c r="M28" s="61">
        <v>5.7157122982957897E-4</v>
      </c>
      <c r="N28" s="61" t="s">
        <v>323</v>
      </c>
      <c r="O28" s="61">
        <v>0.1</v>
      </c>
      <c r="P28" s="61">
        <v>10</v>
      </c>
      <c r="Q28" s="61">
        <v>1.64912412966352E-3</v>
      </c>
      <c r="R28" s="61">
        <v>1.66801192221077E-3</v>
      </c>
      <c r="S28" s="61">
        <v>7.5059714998626504E-6</v>
      </c>
      <c r="T28" s="61">
        <v>0</v>
      </c>
      <c r="U28" s="61">
        <v>0</v>
      </c>
      <c r="V28" s="61">
        <v>0</v>
      </c>
      <c r="W28" s="61">
        <v>1.6121362331363101E-3</v>
      </c>
      <c r="X28" s="61">
        <v>7.7392739668893999E-5</v>
      </c>
      <c r="Y28" s="61">
        <v>7.4565357583961302E-6</v>
      </c>
      <c r="Z28" s="61">
        <v>1.73286538721668E-3</v>
      </c>
      <c r="AA28" s="61">
        <v>7.4519753455558904E-2</v>
      </c>
      <c r="AB28" s="61">
        <v>2.3160410123781799E-6</v>
      </c>
      <c r="AC28" s="61">
        <v>0.1</v>
      </c>
      <c r="AD28" s="61">
        <v>100</v>
      </c>
      <c r="AE28" s="61">
        <v>12.134817621653401</v>
      </c>
      <c r="AF28" s="61">
        <v>92.405262022285001</v>
      </c>
      <c r="AG28" s="61">
        <v>19.723841758619901</v>
      </c>
      <c r="AH28" s="61">
        <f t="shared" si="0"/>
        <v>1.2134817621653402</v>
      </c>
      <c r="AI28" s="61">
        <f t="shared" si="27"/>
        <v>1.9723841758619902</v>
      </c>
      <c r="AJ28" s="61">
        <f t="shared" si="28"/>
        <v>1.2134817621653402</v>
      </c>
      <c r="AK28" s="61">
        <f t="shared" si="28"/>
        <v>1.9723841758619902</v>
      </c>
      <c r="AL28" s="61">
        <f t="shared" si="1"/>
        <v>0.61512242586354759</v>
      </c>
      <c r="AM28" s="61">
        <f t="shared" si="29"/>
        <v>0.59835933630179261</v>
      </c>
      <c r="AN28" s="61">
        <f t="shared" si="30"/>
        <v>0.61512242586354759</v>
      </c>
      <c r="AO28" s="69">
        <f t="shared" si="2"/>
        <v>1.7558377832426002E-3</v>
      </c>
      <c r="AP28" s="69">
        <f t="shared" si="3"/>
        <v>1.05063644964669E-5</v>
      </c>
      <c r="AQ28" s="69">
        <f t="shared" si="4"/>
        <v>3.3560538757280101E-2</v>
      </c>
      <c r="AR28" s="61">
        <f t="shared" si="31"/>
        <v>10</v>
      </c>
      <c r="AS28" s="69">
        <f t="shared" si="5"/>
        <v>0.154143585092054</v>
      </c>
      <c r="AT28" s="70">
        <f t="shared" si="6"/>
        <v>0.154143585092054</v>
      </c>
      <c r="AU28" s="69">
        <f t="shared" si="7"/>
        <v>3.4254130020456498E-2</v>
      </c>
      <c r="AV28" s="69">
        <f t="shared" si="8"/>
        <v>0.15238774730881141</v>
      </c>
      <c r="AW28" s="70">
        <f t="shared" si="8"/>
        <v>0.15413307872755755</v>
      </c>
      <c r="AX28" s="69">
        <f t="shared" si="8"/>
        <v>6.9359126317639769E-4</v>
      </c>
      <c r="AY28" s="69">
        <f t="shared" si="9"/>
        <v>0.14896987103858028</v>
      </c>
      <c r="AZ28" s="61">
        <f t="shared" si="10"/>
        <v>7.1514963877266401E-3</v>
      </c>
      <c r="BA28" s="61">
        <f t="shared" si="11"/>
        <v>6.8902314053313199E-4</v>
      </c>
      <c r="BB28" s="69">
        <f t="shared" si="12"/>
        <v>95.000000000052438</v>
      </c>
      <c r="BC28" s="69">
        <f t="shared" si="13"/>
        <v>0.15681039056684004</v>
      </c>
      <c r="BD28" s="69">
        <f t="shared" si="14"/>
        <v>0.30612477317568693</v>
      </c>
      <c r="BE28" s="69">
        <f t="shared" si="15"/>
        <v>0.31430980427421323</v>
      </c>
      <c r="BF28" s="61">
        <f t="shared" si="16"/>
        <v>3.4178762686451402E-3</v>
      </c>
      <c r="BG28" s="61">
        <f t="shared" si="17"/>
        <v>0.14698158250488125</v>
      </c>
      <c r="BH28" s="61">
        <f t="shared" si="18"/>
        <v>4.568122643462106E-6</v>
      </c>
      <c r="BI28" s="61">
        <f t="shared" si="19"/>
        <v>0.3008126219149832</v>
      </c>
      <c r="BJ28" s="61">
        <f t="shared" si="20"/>
        <v>1.6715715539470071</v>
      </c>
      <c r="BK28" s="61">
        <f t="shared" si="21"/>
        <v>0.3008126219149832</v>
      </c>
      <c r="BL28" s="61">
        <f t="shared" si="32"/>
        <v>0.89917195821677587</v>
      </c>
      <c r="BM28" s="61">
        <f t="shared" si="33"/>
        <v>0.15382418722613672</v>
      </c>
      <c r="BN28" s="61">
        <f t="shared" si="34"/>
        <v>0.3008126219149832</v>
      </c>
      <c r="BO28" s="69">
        <f t="shared" si="22"/>
        <v>0.89917195821677587</v>
      </c>
      <c r="BP28" s="69">
        <f t="shared" si="23"/>
        <v>0.31430980427421323</v>
      </c>
      <c r="BQ28" s="64">
        <f t="shared" si="35"/>
        <v>2.4269635243306804</v>
      </c>
      <c r="BR28" s="69">
        <f t="shared" si="24"/>
        <v>0.13913578451902303</v>
      </c>
      <c r="BS28" s="61">
        <f t="shared" si="25"/>
        <v>7.8421865095199195</v>
      </c>
      <c r="BT28" s="61">
        <f t="shared" si="26"/>
        <v>7.5413738876049363</v>
      </c>
      <c r="BU28" s="61">
        <f t="shared" si="36"/>
        <v>6.9430145513031434</v>
      </c>
      <c r="BV28" s="61">
        <f t="shared" si="37"/>
        <v>1.6715715539470071</v>
      </c>
      <c r="BW28" s="61">
        <f t="shared" si="38"/>
        <v>0.3008126219149832</v>
      </c>
      <c r="BX28" s="64">
        <f t="shared" si="39"/>
        <v>3.9447683517239804</v>
      </c>
      <c r="BY28" s="61">
        <f t="shared" si="40"/>
        <v>0.13974955584373769</v>
      </c>
      <c r="BZ28" s="61">
        <f t="shared" si="41"/>
        <v>23.592069841800896</v>
      </c>
      <c r="CA28" s="61">
        <f t="shared" si="42"/>
        <v>21.920498287853889</v>
      </c>
      <c r="CB28" s="61">
        <f>AE28*O28/0.2</f>
        <v>6.0674088108267004</v>
      </c>
      <c r="CC28" s="61">
        <f>AG28*AC28/0.2</f>
        <v>9.8619208793099506</v>
      </c>
      <c r="CD28" s="61">
        <f>CB28*'Oxidant Feed Composition'!$N$22</f>
        <v>0.6067408810826701</v>
      </c>
      <c r="CE28" s="61">
        <f>CC28*'Oxidant Feed Composition'!$N$22</f>
        <v>0.98619208793099511</v>
      </c>
      <c r="CF28" s="61">
        <f>1.2*CB28</f>
        <v>7.2808905729920399</v>
      </c>
      <c r="CG28" s="61">
        <f>CC28*1.2</f>
        <v>11.83430505517194</v>
      </c>
      <c r="CH28" s="61">
        <f>BY28/('TEA Revised EYZ Inc'!CA28*'TEA Revised EYZ Inc'!BZ28)</f>
        <v>2.0000000000000004E-2</v>
      </c>
      <c r="CI28" s="84">
        <f>BR28/('TEA Revised EYZ Inc'!BY28)</f>
        <v>1.3132171649193418E-2</v>
      </c>
    </row>
    <row r="29" spans="1:87">
      <c r="A29" s="61">
        <v>5</v>
      </c>
      <c r="B29" s="61">
        <v>1.54143585092054E-3</v>
      </c>
      <c r="C29" s="61">
        <v>1.54143585092054E-3</v>
      </c>
      <c r="D29" s="61">
        <v>3.4254130020456501E-4</v>
      </c>
      <c r="E29" s="61">
        <v>0</v>
      </c>
      <c r="F29" s="61">
        <v>0</v>
      </c>
      <c r="G29" s="61">
        <v>0</v>
      </c>
      <c r="H29" s="69">
        <v>1.7558377832426001E-5</v>
      </c>
      <c r="I29" s="69">
        <v>1.05063644964669E-7</v>
      </c>
      <c r="J29" s="61">
        <v>3.35605387572801E-4</v>
      </c>
      <c r="K29" s="61">
        <v>0.12557893497872399</v>
      </c>
      <c r="L29" s="61">
        <v>0.12701721899235199</v>
      </c>
      <c r="M29" s="61">
        <v>5.7157122982957897E-4</v>
      </c>
      <c r="N29" s="61" t="s">
        <v>323</v>
      </c>
      <c r="O29" s="61">
        <v>0.1</v>
      </c>
      <c r="P29" s="61">
        <v>11</v>
      </c>
      <c r="Q29" s="61">
        <v>1.64912412966352E-3</v>
      </c>
      <c r="R29" s="61">
        <v>1.66801192221077E-3</v>
      </c>
      <c r="S29" s="61">
        <v>7.5059714998626504E-6</v>
      </c>
      <c r="T29" s="61">
        <v>0</v>
      </c>
      <c r="U29" s="61">
        <v>0</v>
      </c>
      <c r="V29" s="61">
        <v>0</v>
      </c>
      <c r="W29" s="61">
        <v>1.6121395083820099E-3</v>
      </c>
      <c r="X29" s="61">
        <v>7.7392907855296494E-5</v>
      </c>
      <c r="Y29" s="61">
        <v>7.4565399542604097E-6</v>
      </c>
      <c r="Z29" s="61">
        <v>1.73275480734907E-3</v>
      </c>
      <c r="AA29" s="61">
        <v>7.4521588927651899E-2</v>
      </c>
      <c r="AB29" s="61">
        <v>2.3159017264239102E-6</v>
      </c>
      <c r="AC29" s="61">
        <v>0.1</v>
      </c>
      <c r="AD29" s="61">
        <v>100</v>
      </c>
      <c r="AE29" s="61">
        <v>12.134817621653401</v>
      </c>
      <c r="AF29" s="61">
        <v>92.405262022285001</v>
      </c>
      <c r="AG29" s="61">
        <v>19.7233538514378</v>
      </c>
      <c r="AH29" s="61">
        <f t="shared" si="0"/>
        <v>1.2134817621653402</v>
      </c>
      <c r="AI29" s="61">
        <f t="shared" si="27"/>
        <v>1.9723353851437802</v>
      </c>
      <c r="AJ29" s="61">
        <f t="shared" si="28"/>
        <v>1.2134817621653402</v>
      </c>
      <c r="AK29" s="61">
        <f t="shared" si="28"/>
        <v>1.9723353851437802</v>
      </c>
      <c r="AL29" s="61">
        <f t="shared" si="1"/>
        <v>0.61512242586354759</v>
      </c>
      <c r="AM29" s="61">
        <f t="shared" si="29"/>
        <v>0.59835933630179261</v>
      </c>
      <c r="AN29" s="61">
        <f t="shared" si="30"/>
        <v>0.61512242586354759</v>
      </c>
      <c r="AO29" s="69">
        <f t="shared" si="2"/>
        <v>1.7558377832426002E-3</v>
      </c>
      <c r="AP29" s="69">
        <f t="shared" si="3"/>
        <v>1.05063644964669E-5</v>
      </c>
      <c r="AQ29" s="69">
        <f t="shared" si="4"/>
        <v>3.3560538757280101E-2</v>
      </c>
      <c r="AR29" s="61">
        <f t="shared" si="31"/>
        <v>10</v>
      </c>
      <c r="AS29" s="69">
        <f t="shared" si="5"/>
        <v>0.154143585092054</v>
      </c>
      <c r="AT29" s="70">
        <f t="shared" si="6"/>
        <v>0.154143585092054</v>
      </c>
      <c r="AU29" s="69">
        <f t="shared" si="7"/>
        <v>3.4254130020456498E-2</v>
      </c>
      <c r="AV29" s="69">
        <f t="shared" si="8"/>
        <v>0.15238774730881141</v>
      </c>
      <c r="AW29" s="70">
        <f t="shared" si="8"/>
        <v>0.15413307872755755</v>
      </c>
      <c r="AX29" s="69">
        <f t="shared" si="8"/>
        <v>6.9359126317639769E-4</v>
      </c>
      <c r="AY29" s="69">
        <f t="shared" si="9"/>
        <v>0.14897017368851737</v>
      </c>
      <c r="AZ29" s="61">
        <f t="shared" si="10"/>
        <v>7.1515119290352317E-3</v>
      </c>
      <c r="BA29" s="61">
        <f t="shared" si="11"/>
        <v>6.8902352825307017E-4</v>
      </c>
      <c r="BB29" s="69">
        <f t="shared" si="12"/>
        <v>95.000000000001265</v>
      </c>
      <c r="BC29" s="69">
        <f t="shared" si="13"/>
        <v>0.15681070914580567</v>
      </c>
      <c r="BD29" s="69">
        <f t="shared" si="14"/>
        <v>0.30612539459844956</v>
      </c>
      <c r="BE29" s="69">
        <f t="shared" si="15"/>
        <v>0.31431044181986439</v>
      </c>
      <c r="BF29" s="61">
        <f t="shared" si="16"/>
        <v>3.4175736203125645E-3</v>
      </c>
      <c r="BG29" s="61">
        <f t="shared" si="17"/>
        <v>0.14698156679914678</v>
      </c>
      <c r="BH29" s="61">
        <f t="shared" si="18"/>
        <v>4.5677349235414481E-6</v>
      </c>
      <c r="BI29" s="61">
        <f t="shared" si="19"/>
        <v>0.30081198404368931</v>
      </c>
      <c r="BJ29" s="61">
        <f t="shared" si="20"/>
        <v>1.6715234011000908</v>
      </c>
      <c r="BK29" s="61">
        <f t="shared" si="21"/>
        <v>0.30081198404368931</v>
      </c>
      <c r="BL29" s="61">
        <f t="shared" si="32"/>
        <v>0.89917132034548186</v>
      </c>
      <c r="BM29" s="61">
        <f t="shared" si="33"/>
        <v>0.15382356564215721</v>
      </c>
      <c r="BN29" s="61">
        <f t="shared" si="34"/>
        <v>0.30081198404368931</v>
      </c>
      <c r="BO29" s="69">
        <f t="shared" si="22"/>
        <v>0.89917132034548186</v>
      </c>
      <c r="BP29" s="69">
        <f t="shared" si="23"/>
        <v>0.31431044181986439</v>
      </c>
      <c r="BQ29" s="64">
        <f t="shared" si="35"/>
        <v>2.4269635243306804</v>
      </c>
      <c r="BR29" s="69">
        <f t="shared" si="24"/>
        <v>0.13913603438263181</v>
      </c>
      <c r="BS29" s="61">
        <f t="shared" si="25"/>
        <v>7.8421668631197905</v>
      </c>
      <c r="BT29" s="61">
        <f t="shared" si="26"/>
        <v>7.5413548790761009</v>
      </c>
      <c r="BU29" s="61">
        <f t="shared" si="36"/>
        <v>6.942995542774308</v>
      </c>
      <c r="BV29" s="61">
        <f t="shared" si="37"/>
        <v>1.6715234011000908</v>
      </c>
      <c r="BW29" s="61">
        <f t="shared" si="38"/>
        <v>0.30081198404368931</v>
      </c>
      <c r="BX29" s="64">
        <f t="shared" si="39"/>
        <v>3.9446707702875603</v>
      </c>
      <c r="BY29" s="61">
        <f t="shared" si="40"/>
        <v>0.1397490355600636</v>
      </c>
      <c r="BZ29" s="61">
        <f t="shared" si="41"/>
        <v>23.590894476467675</v>
      </c>
      <c r="CA29" s="61">
        <f t="shared" si="42"/>
        <v>21.919371075367582</v>
      </c>
      <c r="CB29" s="61">
        <f>AE29*O29/0.2</f>
        <v>6.0674088108267004</v>
      </c>
      <c r="CC29" s="61">
        <f>AG29*AC29/0.2</f>
        <v>9.8616769257188999</v>
      </c>
      <c r="CD29" s="61">
        <f>CB29*'Oxidant Feed Composition'!$N$22</f>
        <v>0.6067408810826701</v>
      </c>
      <c r="CE29" s="61">
        <f>CC29*'Oxidant Feed Composition'!$N$22</f>
        <v>0.98616769257189008</v>
      </c>
      <c r="CF29" s="61">
        <f>1.2*CB29</f>
        <v>7.2808905729920399</v>
      </c>
      <c r="CG29" s="61">
        <f>CC29*1.2</f>
        <v>11.834012310862679</v>
      </c>
      <c r="CH29" s="61">
        <f>BY29/('TEA Revised EYZ Inc'!CA29*'TEA Revised EYZ Inc'!BZ29)</f>
        <v>0.02</v>
      </c>
      <c r="CI29" s="84">
        <f>BR29/('TEA Revised EYZ Inc'!BY29)</f>
        <v>1.3132171649193418E-2</v>
      </c>
    </row>
    <row r="30" spans="1:87">
      <c r="A30" s="61">
        <v>5</v>
      </c>
      <c r="B30" s="61">
        <v>1.54143585092054E-3</v>
      </c>
      <c r="C30" s="61">
        <v>1.54143585092054E-3</v>
      </c>
      <c r="D30" s="61">
        <v>3.4254130020456501E-4</v>
      </c>
      <c r="E30" s="61">
        <v>0</v>
      </c>
      <c r="F30" s="61">
        <v>0</v>
      </c>
      <c r="G30" s="61">
        <v>0</v>
      </c>
      <c r="H30" s="69">
        <v>1.7558377832426001E-5</v>
      </c>
      <c r="I30" s="69">
        <v>1.05063644964669E-7</v>
      </c>
      <c r="J30" s="61">
        <v>3.35605387572801E-4</v>
      </c>
      <c r="K30" s="61">
        <v>0.12557893497872399</v>
      </c>
      <c r="L30" s="61">
        <v>0.12701721899235199</v>
      </c>
      <c r="M30" s="61">
        <v>5.7157122982957897E-4</v>
      </c>
      <c r="N30" s="61" t="s">
        <v>323</v>
      </c>
      <c r="O30" s="61">
        <v>0.1</v>
      </c>
      <c r="P30" s="61">
        <v>12</v>
      </c>
      <c r="Q30" s="61">
        <v>1.64912412966352E-3</v>
      </c>
      <c r="R30" s="61">
        <v>1.66801192221077E-3</v>
      </c>
      <c r="S30" s="61">
        <v>7.5059714998626504E-6</v>
      </c>
      <c r="T30" s="61">
        <v>0</v>
      </c>
      <c r="U30" s="61">
        <v>0</v>
      </c>
      <c r="V30" s="61">
        <v>0</v>
      </c>
      <c r="W30" s="61">
        <v>1.6121404312672901E-3</v>
      </c>
      <c r="X30" s="61">
        <v>7.73929552459276E-5</v>
      </c>
      <c r="Y30" s="61">
        <v>7.4565411365620697E-6</v>
      </c>
      <c r="Z30" s="61">
        <v>1.73272364681595E-3</v>
      </c>
      <c r="AA30" s="61">
        <v>7.4522106149284603E-2</v>
      </c>
      <c r="AB30" s="61">
        <v>2.3158624767325598E-6</v>
      </c>
      <c r="AC30" s="61">
        <v>0.1</v>
      </c>
      <c r="AD30" s="61">
        <v>100</v>
      </c>
      <c r="AE30" s="61">
        <v>12.134817621653401</v>
      </c>
      <c r="AF30" s="61">
        <v>92.405262022285001</v>
      </c>
      <c r="AG30" s="61">
        <v>19.723216376352102</v>
      </c>
      <c r="AH30" s="61">
        <f t="shared" si="0"/>
        <v>1.2134817621653402</v>
      </c>
      <c r="AI30" s="61">
        <f t="shared" si="27"/>
        <v>1.9723216376352104</v>
      </c>
      <c r="AJ30" s="61">
        <f t="shared" si="28"/>
        <v>1.2134817621653402</v>
      </c>
      <c r="AK30" s="61">
        <f t="shared" si="28"/>
        <v>1.9723216376352104</v>
      </c>
      <c r="AL30" s="61">
        <f t="shared" si="1"/>
        <v>0.61512242586354759</v>
      </c>
      <c r="AM30" s="61">
        <f t="shared" si="29"/>
        <v>0.59835933630179261</v>
      </c>
      <c r="AN30" s="61">
        <f t="shared" si="30"/>
        <v>0.61512242586354759</v>
      </c>
      <c r="AO30" s="69">
        <f t="shared" si="2"/>
        <v>1.7558377832426002E-3</v>
      </c>
      <c r="AP30" s="69">
        <f t="shared" si="3"/>
        <v>1.05063644964669E-5</v>
      </c>
      <c r="AQ30" s="69">
        <f t="shared" si="4"/>
        <v>3.3560538757280101E-2</v>
      </c>
      <c r="AR30" s="61">
        <f t="shared" si="31"/>
        <v>10</v>
      </c>
      <c r="AS30" s="69">
        <f t="shared" si="5"/>
        <v>0.154143585092054</v>
      </c>
      <c r="AT30" s="70">
        <f t="shared" si="6"/>
        <v>0.154143585092054</v>
      </c>
      <c r="AU30" s="69">
        <f t="shared" si="7"/>
        <v>3.4254130020456498E-2</v>
      </c>
      <c r="AV30" s="69">
        <f t="shared" si="8"/>
        <v>0.15238774730881141</v>
      </c>
      <c r="AW30" s="70">
        <f t="shared" si="8"/>
        <v>0.15413307872755755</v>
      </c>
      <c r="AX30" s="69">
        <f t="shared" si="8"/>
        <v>6.9359126317639769E-4</v>
      </c>
      <c r="AY30" s="69">
        <f t="shared" si="9"/>
        <v>0.14897025896797347</v>
      </c>
      <c r="AZ30" s="61">
        <f t="shared" si="10"/>
        <v>7.1515163081789165E-3</v>
      </c>
      <c r="BA30" s="61">
        <f t="shared" si="11"/>
        <v>6.8902363750396485E-4</v>
      </c>
      <c r="BB30" s="69">
        <f t="shared" si="12"/>
        <v>94.999999999999957</v>
      </c>
      <c r="BC30" s="69">
        <f t="shared" si="13"/>
        <v>0.15681079891365637</v>
      </c>
      <c r="BD30" s="69">
        <f t="shared" si="14"/>
        <v>0.30612556970038179</v>
      </c>
      <c r="BE30" s="69">
        <f t="shared" si="15"/>
        <v>0.3143106214648167</v>
      </c>
      <c r="BF30" s="61">
        <f t="shared" si="16"/>
        <v>3.4174883406572886E-3</v>
      </c>
      <c r="BG30" s="61">
        <f t="shared" si="17"/>
        <v>0.14698156244038199</v>
      </c>
      <c r="BH30" s="61">
        <f t="shared" si="18"/>
        <v>4.5676256726470968E-6</v>
      </c>
      <c r="BI30" s="61">
        <f t="shared" si="19"/>
        <v>0.3008118044390965</v>
      </c>
      <c r="BJ30" s="61">
        <f t="shared" si="20"/>
        <v>1.6715098331961138</v>
      </c>
      <c r="BK30" s="61">
        <f t="shared" si="21"/>
        <v>0.3008118044390965</v>
      </c>
      <c r="BL30" s="61">
        <f t="shared" si="32"/>
        <v>0.89917114074088911</v>
      </c>
      <c r="BM30" s="61">
        <f t="shared" si="33"/>
        <v>0.15382339056020555</v>
      </c>
      <c r="BN30" s="61">
        <f t="shared" si="34"/>
        <v>0.3008118044390965</v>
      </c>
      <c r="BO30" s="69">
        <f t="shared" si="22"/>
        <v>0.89917114074088911</v>
      </c>
      <c r="BP30" s="69">
        <f t="shared" si="23"/>
        <v>0.3143106214648167</v>
      </c>
      <c r="BQ30" s="64">
        <f t="shared" si="35"/>
        <v>2.4269635243306804</v>
      </c>
      <c r="BR30" s="69">
        <f t="shared" si="24"/>
        <v>0.13913610478813551</v>
      </c>
      <c r="BS30" s="61">
        <f t="shared" si="25"/>
        <v>7.8421613284053677</v>
      </c>
      <c r="BT30" s="61">
        <f t="shared" si="26"/>
        <v>7.5413495239662716</v>
      </c>
      <c r="BU30" s="61">
        <f t="shared" si="36"/>
        <v>6.9429901876644786</v>
      </c>
      <c r="BV30" s="61">
        <f t="shared" si="37"/>
        <v>1.6715098331961138</v>
      </c>
      <c r="BW30" s="61">
        <f t="shared" si="38"/>
        <v>0.3008118044390965</v>
      </c>
      <c r="BX30" s="64">
        <f t="shared" si="39"/>
        <v>3.9446432752704208</v>
      </c>
      <c r="BY30" s="61">
        <f t="shared" si="40"/>
        <v>0.13974888901472399</v>
      </c>
      <c r="BZ30" s="61">
        <f t="shared" si="41"/>
        <v>23.590563293747326</v>
      </c>
      <c r="CA30" s="61">
        <f t="shared" si="42"/>
        <v>21.919053460551211</v>
      </c>
      <c r="CB30" s="61">
        <f>AE30*O30/0.2</f>
        <v>6.0674088108267004</v>
      </c>
      <c r="CC30" s="61">
        <f>AG30*AC30/0.2</f>
        <v>9.8616081881760511</v>
      </c>
      <c r="CD30" s="61">
        <f>CB30*'Oxidant Feed Composition'!$N$22</f>
        <v>0.6067408810826701</v>
      </c>
      <c r="CE30" s="61">
        <f>CC30*'Oxidant Feed Composition'!$N$22</f>
        <v>0.9861608188176052</v>
      </c>
      <c r="CF30" s="61">
        <f>1.2*CB30</f>
        <v>7.2808905729920399</v>
      </c>
      <c r="CG30" s="61">
        <f>CC30*1.2</f>
        <v>11.833929825811261</v>
      </c>
      <c r="CH30" s="61">
        <f>BY30/('TEA Revised EYZ Inc'!CA30*'TEA Revised EYZ Inc'!BZ30)</f>
        <v>1.9999999999999997E-2</v>
      </c>
      <c r="CI30" s="84">
        <f>BR30/('TEA Revised EYZ Inc'!BY30)</f>
        <v>1.3132171649193416E-2</v>
      </c>
    </row>
    <row r="31" spans="1:87">
      <c r="A31" s="61">
        <v>5</v>
      </c>
      <c r="B31" s="61">
        <v>1.54143585092054E-3</v>
      </c>
      <c r="C31" s="61">
        <v>1.54143585092054E-3</v>
      </c>
      <c r="D31" s="61">
        <v>3.4254130020456501E-4</v>
      </c>
      <c r="E31" s="61">
        <v>0</v>
      </c>
      <c r="F31" s="61">
        <v>0</v>
      </c>
      <c r="G31" s="61">
        <v>0</v>
      </c>
      <c r="H31" s="69">
        <v>1.7558377832426001E-5</v>
      </c>
      <c r="I31" s="69">
        <v>1.05063644964669E-7</v>
      </c>
      <c r="J31" s="61">
        <v>3.35605387572801E-4</v>
      </c>
      <c r="K31" s="61">
        <v>0.12557893497872399</v>
      </c>
      <c r="L31" s="61">
        <v>0.12701721899235199</v>
      </c>
      <c r="M31" s="61">
        <v>5.7157122982957897E-4</v>
      </c>
      <c r="N31" s="61" t="s">
        <v>323</v>
      </c>
      <c r="O31" s="61">
        <v>0.1</v>
      </c>
      <c r="P31" s="61">
        <v>13</v>
      </c>
      <c r="Q31" s="61">
        <v>1.64912412966352E-3</v>
      </c>
      <c r="R31" s="61">
        <v>1.66801192221077E-3</v>
      </c>
      <c r="S31" s="61">
        <v>7.5059714998626504E-6</v>
      </c>
      <c r="T31" s="61">
        <v>0</v>
      </c>
      <c r="U31" s="61">
        <v>0</v>
      </c>
      <c r="V31" s="61">
        <v>0</v>
      </c>
      <c r="W31" s="61">
        <v>1.61214069129301E-3</v>
      </c>
      <c r="X31" s="61">
        <v>7.7392968598377306E-5</v>
      </c>
      <c r="Y31" s="61">
        <v>7.4565414696759002E-6</v>
      </c>
      <c r="Z31" s="61">
        <v>1.73271486747767E-3</v>
      </c>
      <c r="AA31" s="61">
        <v>7.4522251874090506E-2</v>
      </c>
      <c r="AB31" s="61">
        <v>2.3158514183141602E-6</v>
      </c>
      <c r="AC31" s="61">
        <v>0.1</v>
      </c>
      <c r="AD31" s="61">
        <v>100</v>
      </c>
      <c r="AE31" s="61">
        <v>12.134817621653401</v>
      </c>
      <c r="AF31" s="61">
        <v>92.405262022285001</v>
      </c>
      <c r="AG31" s="61">
        <v>19.723177640219998</v>
      </c>
      <c r="AH31" s="61">
        <f t="shared" si="0"/>
        <v>1.2134817621653402</v>
      </c>
      <c r="AI31" s="61">
        <f t="shared" si="27"/>
        <v>1.9723177640219998</v>
      </c>
      <c r="AJ31" s="61">
        <f t="shared" si="28"/>
        <v>1.2134817621653402</v>
      </c>
      <c r="AK31" s="61">
        <f t="shared" si="28"/>
        <v>1.9723177640219998</v>
      </c>
      <c r="AL31" s="61">
        <f t="shared" si="1"/>
        <v>0.61512242586354759</v>
      </c>
      <c r="AM31" s="61">
        <f t="shared" si="29"/>
        <v>0.59835933630179261</v>
      </c>
      <c r="AN31" s="61">
        <f t="shared" si="30"/>
        <v>0.61512242586354759</v>
      </c>
      <c r="AO31" s="69">
        <f t="shared" si="2"/>
        <v>1.7558377832426002E-3</v>
      </c>
      <c r="AP31" s="69">
        <f t="shared" si="3"/>
        <v>1.05063644964669E-5</v>
      </c>
      <c r="AQ31" s="69">
        <f t="shared" si="4"/>
        <v>3.3560538757280101E-2</v>
      </c>
      <c r="AR31" s="61">
        <f t="shared" si="31"/>
        <v>10</v>
      </c>
      <c r="AS31" s="69">
        <f t="shared" si="5"/>
        <v>0.154143585092054</v>
      </c>
      <c r="AT31" s="70">
        <f t="shared" si="6"/>
        <v>0.154143585092054</v>
      </c>
      <c r="AU31" s="69">
        <f t="shared" si="7"/>
        <v>3.4254130020456498E-2</v>
      </c>
      <c r="AV31" s="69">
        <f t="shared" si="8"/>
        <v>0.15238774730881141</v>
      </c>
      <c r="AW31" s="70">
        <f t="shared" si="8"/>
        <v>0.15413307872755755</v>
      </c>
      <c r="AX31" s="69">
        <f t="shared" si="8"/>
        <v>6.9359126317639769E-4</v>
      </c>
      <c r="AY31" s="69">
        <f t="shared" si="9"/>
        <v>0.14897028299571827</v>
      </c>
      <c r="AZ31" s="61">
        <f t="shared" si="10"/>
        <v>7.1515175420155301E-3</v>
      </c>
      <c r="BA31" s="61">
        <f t="shared" si="11"/>
        <v>6.8902366828543565E-4</v>
      </c>
      <c r="BB31" s="69">
        <f t="shared" si="12"/>
        <v>95</v>
      </c>
      <c r="BC31" s="69">
        <f t="shared" si="13"/>
        <v>0.15681082420601924</v>
      </c>
      <c r="BD31" s="69">
        <f t="shared" si="14"/>
        <v>0.3061256190358802</v>
      </c>
      <c r="BE31" s="69">
        <f t="shared" si="15"/>
        <v>0.31431067208032393</v>
      </c>
      <c r="BF31" s="61">
        <f t="shared" si="16"/>
        <v>3.4174643131112338E-3</v>
      </c>
      <c r="BG31" s="61">
        <f t="shared" si="17"/>
        <v>0.14698156118619046</v>
      </c>
      <c r="BH31" s="61">
        <f t="shared" si="18"/>
        <v>4.5675948911765609E-6</v>
      </c>
      <c r="BI31" s="61">
        <f t="shared" si="19"/>
        <v>0.30081175378327696</v>
      </c>
      <c r="BJ31" s="61">
        <f t="shared" si="20"/>
        <v>1.6715060102387227</v>
      </c>
      <c r="BK31" s="61">
        <f t="shared" si="21"/>
        <v>0.30081175378327696</v>
      </c>
      <c r="BL31" s="61">
        <f t="shared" si="32"/>
        <v>0.89917109008506957</v>
      </c>
      <c r="BM31" s="61">
        <f t="shared" si="33"/>
        <v>0.15382334120474972</v>
      </c>
      <c r="BN31" s="61">
        <f t="shared" si="34"/>
        <v>0.30081175378327696</v>
      </c>
      <c r="BO31" s="69">
        <f t="shared" si="22"/>
        <v>0.89917109008506957</v>
      </c>
      <c r="BP31" s="69">
        <f t="shared" si="23"/>
        <v>0.31431067208032393</v>
      </c>
      <c r="BQ31" s="64">
        <f t="shared" si="35"/>
        <v>2.4269635243306804</v>
      </c>
      <c r="BR31" s="69">
        <f t="shared" si="24"/>
        <v>0.13913612462509689</v>
      </c>
      <c r="BS31" s="61">
        <f t="shared" si="25"/>
        <v>7.8421597685332278</v>
      </c>
      <c r="BT31" s="61">
        <f t="shared" si="26"/>
        <v>7.5413480147499508</v>
      </c>
      <c r="BU31" s="61">
        <f t="shared" si="36"/>
        <v>6.9429886784481578</v>
      </c>
      <c r="BV31" s="61">
        <f t="shared" si="37"/>
        <v>1.6715060102387227</v>
      </c>
      <c r="BW31" s="61">
        <f t="shared" si="38"/>
        <v>0.30081175378327696</v>
      </c>
      <c r="BX31" s="64">
        <f t="shared" si="39"/>
        <v>3.9446355280439995</v>
      </c>
      <c r="BY31" s="61">
        <f t="shared" si="40"/>
        <v>0.13974884770162765</v>
      </c>
      <c r="BZ31" s="61">
        <f t="shared" si="41"/>
        <v>23.590469981563746</v>
      </c>
      <c r="CA31" s="61">
        <f t="shared" si="42"/>
        <v>21.918963971325024</v>
      </c>
      <c r="CB31" s="61">
        <f>AE31*O31/0.2</f>
        <v>6.0674088108267004</v>
      </c>
      <c r="CC31" s="61">
        <f>AG31*AC31/0.2</f>
        <v>9.8615888201099988</v>
      </c>
      <c r="CD31" s="61">
        <f>CB31*'Oxidant Feed Composition'!$N$22</f>
        <v>0.6067408810826701</v>
      </c>
      <c r="CE31" s="61">
        <f>CC31*'Oxidant Feed Composition'!$N$22</f>
        <v>0.98615888201099988</v>
      </c>
      <c r="CF31" s="61">
        <f>1.2*CB31</f>
        <v>7.2808905729920399</v>
      </c>
      <c r="CG31" s="61">
        <f>CC31*1.2</f>
        <v>11.833906584131999</v>
      </c>
      <c r="CH31" s="61">
        <f>BY31/('TEA Revised EYZ Inc'!CA31*'TEA Revised EYZ Inc'!BZ31)</f>
        <v>0.02</v>
      </c>
      <c r="CI31" s="84">
        <f>BR31/('TEA Revised EYZ Inc'!BY31)</f>
        <v>1.3132171649193414E-2</v>
      </c>
    </row>
    <row r="32" spans="1:87">
      <c r="A32" s="61">
        <v>6</v>
      </c>
      <c r="B32" s="61">
        <v>1.54143585092054E-3</v>
      </c>
      <c r="C32" s="61">
        <v>1.54143585092054E-3</v>
      </c>
      <c r="D32" s="61">
        <v>3.4254130020456501E-4</v>
      </c>
      <c r="E32" s="61">
        <v>0</v>
      </c>
      <c r="F32" s="61">
        <v>0</v>
      </c>
      <c r="G32" s="61">
        <v>0</v>
      </c>
      <c r="H32" s="69">
        <v>1.7693893431643E-5</v>
      </c>
      <c r="I32" s="69">
        <v>3.7175600603836103E-8</v>
      </c>
      <c r="J32" s="61">
        <v>3.36890310328726E-4</v>
      </c>
      <c r="K32" s="61">
        <v>0.133710118829723</v>
      </c>
      <c r="L32" s="61">
        <v>0.13525951632913</v>
      </c>
      <c r="M32" s="61">
        <v>4.9588089642288804E-4</v>
      </c>
      <c r="N32" s="61" t="s">
        <v>323</v>
      </c>
      <c r="O32" s="61">
        <v>0.1</v>
      </c>
      <c r="P32" s="61">
        <v>4</v>
      </c>
      <c r="Q32" s="61">
        <v>1.64951815726537E-3</v>
      </c>
      <c r="R32" s="61">
        <v>1.6686323374819601E-3</v>
      </c>
      <c r="S32" s="61">
        <v>6.1174468293775103E-6</v>
      </c>
      <c r="T32" s="61">
        <v>0</v>
      </c>
      <c r="U32" s="61">
        <v>0</v>
      </c>
      <c r="V32" s="61">
        <v>0</v>
      </c>
      <c r="W32" s="61">
        <v>1.60449551819817E-3</v>
      </c>
      <c r="X32" s="61">
        <v>7.8378352599036395E-5</v>
      </c>
      <c r="Y32" s="61">
        <v>6.0687799409797502E-6</v>
      </c>
      <c r="Z32" s="61">
        <v>1.98992535233798E-3</v>
      </c>
      <c r="AA32" s="61">
        <v>7.0286566630574296E-2</v>
      </c>
      <c r="AB32" s="61">
        <v>2.1509950778718299E-6</v>
      </c>
      <c r="AC32" s="61">
        <v>0.1</v>
      </c>
      <c r="AD32" s="61">
        <v>100</v>
      </c>
      <c r="AE32" s="61">
        <v>11.395861217105201</v>
      </c>
      <c r="AF32" s="61">
        <v>92.374973309314697</v>
      </c>
      <c r="AG32" s="61">
        <v>20.900106017960297</v>
      </c>
      <c r="AH32" s="61">
        <f t="shared" si="0"/>
        <v>1.1395861217105201</v>
      </c>
      <c r="AI32" s="61">
        <f t="shared" si="27"/>
        <v>2.0900106017960298</v>
      </c>
      <c r="AJ32" s="61">
        <f t="shared" si="28"/>
        <v>1.1395861217105201</v>
      </c>
      <c r="AK32" s="61">
        <f t="shared" si="28"/>
        <v>2.0900106017960298</v>
      </c>
      <c r="AL32" s="61">
        <f t="shared" si="1"/>
        <v>0.6147234237398963</v>
      </c>
      <c r="AM32" s="61">
        <f t="shared" si="29"/>
        <v>0.52486269797062379</v>
      </c>
      <c r="AN32" s="61">
        <f t="shared" si="30"/>
        <v>0.6147234237398963</v>
      </c>
      <c r="AO32" s="69">
        <f t="shared" si="2"/>
        <v>1.7693893431643E-3</v>
      </c>
      <c r="AP32" s="69">
        <f t="shared" si="3"/>
        <v>3.7175600603836104E-6</v>
      </c>
      <c r="AQ32" s="69">
        <f t="shared" si="4"/>
        <v>3.3689031032872602E-2</v>
      </c>
      <c r="AR32" s="61">
        <f t="shared" si="31"/>
        <v>10</v>
      </c>
      <c r="AS32" s="69">
        <f t="shared" si="5"/>
        <v>0.154143585092054</v>
      </c>
      <c r="AT32" s="70">
        <f t="shared" si="6"/>
        <v>0.154143585092054</v>
      </c>
      <c r="AU32" s="69">
        <f t="shared" si="7"/>
        <v>3.4254130020456498E-2</v>
      </c>
      <c r="AV32" s="69">
        <f t="shared" si="8"/>
        <v>0.15237419574888969</v>
      </c>
      <c r="AW32" s="70">
        <f t="shared" si="8"/>
        <v>0.15413986753199363</v>
      </c>
      <c r="AX32" s="69">
        <f t="shared" si="8"/>
        <v>5.6509898758389659E-4</v>
      </c>
      <c r="AY32" s="69">
        <f t="shared" si="9"/>
        <v>0.148215230668471</v>
      </c>
      <c r="AZ32" s="61">
        <f t="shared" si="10"/>
        <v>7.2401982293640432E-3</v>
      </c>
      <c r="BA32" s="61">
        <f t="shared" si="11"/>
        <v>5.6060338506810881E-4</v>
      </c>
      <c r="BB32" s="69">
        <f t="shared" si="12"/>
        <v>94.999999999816055</v>
      </c>
      <c r="BC32" s="69">
        <f t="shared" si="13"/>
        <v>0.15601603228290314</v>
      </c>
      <c r="BD32" s="69">
        <f t="shared" si="14"/>
        <v>0.30451156464390822</v>
      </c>
      <c r="BE32" s="69">
        <f t="shared" si="15"/>
        <v>0.31259266795087437</v>
      </c>
      <c r="BF32" s="61">
        <f t="shared" si="16"/>
        <v>4.1589650831690781E-3</v>
      </c>
      <c r="BG32" s="61">
        <f t="shared" si="17"/>
        <v>0.14689966942174335</v>
      </c>
      <c r="BH32" s="61">
        <f t="shared" si="18"/>
        <v>4.4956025171632016E-6</v>
      </c>
      <c r="BI32" s="61">
        <f t="shared" si="19"/>
        <v>0.30213075581737631</v>
      </c>
      <c r="BJ32" s="61">
        <f t="shared" si="20"/>
        <v>1.7878798459786536</v>
      </c>
      <c r="BK32" s="61">
        <f t="shared" si="21"/>
        <v>0.30213075581737631</v>
      </c>
      <c r="BL32" s="61">
        <f t="shared" si="32"/>
        <v>0.82699345378800015</v>
      </c>
      <c r="BM32" s="61">
        <f t="shared" si="33"/>
        <v>0.15522434299185725</v>
      </c>
      <c r="BN32" s="61">
        <f t="shared" si="34"/>
        <v>0.30213075581737631</v>
      </c>
      <c r="BO32" s="69">
        <f t="shared" si="22"/>
        <v>0.82699345378800015</v>
      </c>
      <c r="BP32" s="69">
        <f t="shared" si="23"/>
        <v>0.31259266795087437</v>
      </c>
      <c r="BQ32" s="64">
        <f t="shared" si="35"/>
        <v>2.2791722434210402</v>
      </c>
      <c r="BR32" s="69">
        <f t="shared" si="24"/>
        <v>0.13744543904513234</v>
      </c>
      <c r="BS32" s="61">
        <f t="shared" si="25"/>
        <v>6.8567590836738761</v>
      </c>
      <c r="BT32" s="61">
        <f t="shared" si="26"/>
        <v>6.5546283278564994</v>
      </c>
      <c r="BU32" s="61">
        <f t="shared" si="36"/>
        <v>6.0297656298858753</v>
      </c>
      <c r="BV32" s="61">
        <f t="shared" si="37"/>
        <v>1.7878798459786536</v>
      </c>
      <c r="BW32" s="61">
        <f t="shared" si="38"/>
        <v>0.30213075581737631</v>
      </c>
      <c r="BX32" s="64">
        <f t="shared" si="39"/>
        <v>4.1800212035920596</v>
      </c>
      <c r="BY32" s="61">
        <f t="shared" si="40"/>
        <v>0.14088243515736668</v>
      </c>
      <c r="BZ32" s="61">
        <f t="shared" si="41"/>
        <v>26.523447217951137</v>
      </c>
      <c r="CA32" s="61">
        <f t="shared" si="42"/>
        <v>24.735567371972483</v>
      </c>
      <c r="CB32" s="61">
        <f>AE32*O32/0.2</f>
        <v>5.6979306085525998</v>
      </c>
      <c r="CC32" s="61">
        <f>AG32*AC32/0.2</f>
        <v>10.450053008980149</v>
      </c>
      <c r="CD32" s="61">
        <f>CB32*'Oxidant Feed Composition'!$N$22</f>
        <v>0.56979306085526005</v>
      </c>
      <c r="CE32" s="61">
        <f>CC32*'Oxidant Feed Composition'!$N$22</f>
        <v>1.0450053008980149</v>
      </c>
      <c r="CF32" s="61">
        <f>1.2*CB32</f>
        <v>6.8375167302631192</v>
      </c>
      <c r="CG32" s="61">
        <f>CC32*1.2</f>
        <v>12.540063610776178</v>
      </c>
      <c r="CH32" s="61">
        <f>BY32/('TEA Revised EYZ Inc'!CA32*'TEA Revised EYZ Inc'!BZ32)</f>
        <v>0.02</v>
      </c>
      <c r="CI32" s="84">
        <f>BR32/('TEA Revised EYZ Inc'!BY32)</f>
        <v>1.2336524503175246E-2</v>
      </c>
    </row>
    <row r="33" spans="1:87">
      <c r="A33" s="61">
        <v>6</v>
      </c>
      <c r="B33" s="61">
        <v>1.54143585092054E-3</v>
      </c>
      <c r="C33" s="61">
        <v>1.54143585092054E-3</v>
      </c>
      <c r="D33" s="61">
        <v>3.4254130020456501E-4</v>
      </c>
      <c r="E33" s="61">
        <v>0</v>
      </c>
      <c r="F33" s="61">
        <v>0</v>
      </c>
      <c r="G33" s="61">
        <v>0</v>
      </c>
      <c r="H33" s="69">
        <v>1.7693893431643E-5</v>
      </c>
      <c r="I33" s="69">
        <v>3.7175600603836103E-8</v>
      </c>
      <c r="J33" s="61">
        <v>3.36890310328726E-4</v>
      </c>
      <c r="K33" s="61">
        <v>0.133710118829723</v>
      </c>
      <c r="L33" s="61">
        <v>0.13525951632913</v>
      </c>
      <c r="M33" s="61">
        <v>4.9588089642288804E-4</v>
      </c>
      <c r="N33" s="61" t="s">
        <v>323</v>
      </c>
      <c r="O33" s="61">
        <v>0.1</v>
      </c>
      <c r="P33" s="61">
        <v>5</v>
      </c>
      <c r="Q33" s="61">
        <v>1.64951815726537E-3</v>
      </c>
      <c r="R33" s="61">
        <v>1.6686323374819601E-3</v>
      </c>
      <c r="S33" s="61">
        <v>6.1174468293775103E-6</v>
      </c>
      <c r="T33" s="61">
        <v>0</v>
      </c>
      <c r="U33" s="61">
        <v>0</v>
      </c>
      <c r="V33" s="61">
        <v>0</v>
      </c>
      <c r="W33" s="61">
        <v>1.6101609638428101E-3</v>
      </c>
      <c r="X33" s="61">
        <v>7.8670620175806696E-5</v>
      </c>
      <c r="Y33" s="61">
        <v>6.0746937584639903E-6</v>
      </c>
      <c r="Z33" s="61">
        <v>1.81262020813318E-3</v>
      </c>
      <c r="AA33" s="61">
        <v>7.3226683315541802E-2</v>
      </c>
      <c r="AB33" s="61">
        <v>1.96901947416695E-6</v>
      </c>
      <c r="AC33" s="61">
        <v>0.1</v>
      </c>
      <c r="AD33" s="61">
        <v>100</v>
      </c>
      <c r="AE33" s="61">
        <v>11.395861217105201</v>
      </c>
      <c r="AF33" s="61">
        <v>92.374973309314697</v>
      </c>
      <c r="AG33" s="61">
        <v>20.0572611715987</v>
      </c>
      <c r="AH33" s="61">
        <f t="shared" si="0"/>
        <v>1.1395861217105201</v>
      </c>
      <c r="AI33" s="61">
        <f t="shared" si="27"/>
        <v>2.0057261171598699</v>
      </c>
      <c r="AJ33" s="61">
        <f t="shared" si="28"/>
        <v>1.1395861217105201</v>
      </c>
      <c r="AK33" s="61">
        <f t="shared" si="28"/>
        <v>2.0057261171598699</v>
      </c>
      <c r="AL33" s="61">
        <f t="shared" si="1"/>
        <v>0.6147234237398963</v>
      </c>
      <c r="AM33" s="61">
        <f t="shared" si="29"/>
        <v>0.52486269797062379</v>
      </c>
      <c r="AN33" s="61">
        <f t="shared" si="30"/>
        <v>0.6147234237398963</v>
      </c>
      <c r="AO33" s="69">
        <f t="shared" si="2"/>
        <v>1.7693893431643E-3</v>
      </c>
      <c r="AP33" s="69">
        <f t="shared" si="3"/>
        <v>3.7175600603836104E-6</v>
      </c>
      <c r="AQ33" s="69">
        <f t="shared" si="4"/>
        <v>3.3689031032872602E-2</v>
      </c>
      <c r="AR33" s="61">
        <f t="shared" si="31"/>
        <v>10</v>
      </c>
      <c r="AS33" s="69">
        <f t="shared" si="5"/>
        <v>0.154143585092054</v>
      </c>
      <c r="AT33" s="70">
        <f t="shared" si="6"/>
        <v>0.154143585092054</v>
      </c>
      <c r="AU33" s="69">
        <f t="shared" si="7"/>
        <v>3.4254130020456498E-2</v>
      </c>
      <c r="AV33" s="69">
        <f t="shared" si="8"/>
        <v>0.15237419574888969</v>
      </c>
      <c r="AW33" s="70">
        <f t="shared" si="8"/>
        <v>0.15413986753199363</v>
      </c>
      <c r="AX33" s="69">
        <f t="shared" si="8"/>
        <v>5.6509898758389659E-4</v>
      </c>
      <c r="AY33" s="69">
        <f t="shared" si="9"/>
        <v>0.14873857605868002</v>
      </c>
      <c r="AZ33" s="61">
        <f t="shared" si="10"/>
        <v>7.2671964389673781E-3</v>
      </c>
      <c r="BA33" s="61">
        <f t="shared" si="11"/>
        <v>5.6114967380037166E-4</v>
      </c>
      <c r="BB33" s="69">
        <f t="shared" si="12"/>
        <v>94.999999997320415</v>
      </c>
      <c r="BC33" s="69">
        <f t="shared" si="13"/>
        <v>0.15656692217144774</v>
      </c>
      <c r="BD33" s="69">
        <f t="shared" si="14"/>
        <v>0.30558607306702801</v>
      </c>
      <c r="BE33" s="69">
        <f t="shared" si="15"/>
        <v>0.31369499401669587</v>
      </c>
      <c r="BF33" s="61">
        <f t="shared" si="16"/>
        <v>3.6356196919444784E-3</v>
      </c>
      <c r="BG33" s="61">
        <f t="shared" si="17"/>
        <v>0.14687267119897709</v>
      </c>
      <c r="BH33" s="61">
        <f t="shared" si="18"/>
        <v>3.9493137845330451E-6</v>
      </c>
      <c r="BI33" s="61">
        <f t="shared" si="19"/>
        <v>0.30102842972319677</v>
      </c>
      <c r="BJ33" s="61">
        <f t="shared" si="20"/>
        <v>1.7046976874366733</v>
      </c>
      <c r="BK33" s="61">
        <f t="shared" si="21"/>
        <v>0.30102842972319677</v>
      </c>
      <c r="BL33" s="61">
        <f t="shared" si="32"/>
        <v>0.82589112769382056</v>
      </c>
      <c r="BM33" s="61">
        <f t="shared" si="33"/>
        <v>0.15414983455354286</v>
      </c>
      <c r="BN33" s="61">
        <f t="shared" si="34"/>
        <v>0.30102842972319677</v>
      </c>
      <c r="BO33" s="69">
        <f t="shared" si="22"/>
        <v>0.82589112769382056</v>
      </c>
      <c r="BP33" s="69">
        <f t="shared" si="23"/>
        <v>0.31369499401669587</v>
      </c>
      <c r="BQ33" s="64">
        <f t="shared" si="35"/>
        <v>2.2791722434210402</v>
      </c>
      <c r="BR33" s="69">
        <f t="shared" si="24"/>
        <v>0.1378714870047702</v>
      </c>
      <c r="BS33" s="61">
        <f t="shared" si="25"/>
        <v>6.826459100503973</v>
      </c>
      <c r="BT33" s="61">
        <f t="shared" si="26"/>
        <v>6.5254306707807759</v>
      </c>
      <c r="BU33" s="61">
        <f t="shared" si="36"/>
        <v>6.0005679728101518</v>
      </c>
      <c r="BV33" s="61">
        <f t="shared" si="37"/>
        <v>1.7046976874366733</v>
      </c>
      <c r="BW33" s="61">
        <f t="shared" si="38"/>
        <v>0.30102842972319677</v>
      </c>
      <c r="BX33" s="64">
        <f t="shared" si="39"/>
        <v>4.0114522343197399</v>
      </c>
      <c r="BY33" s="61">
        <f t="shared" si="40"/>
        <v>0.14000771957952335</v>
      </c>
      <c r="BZ33" s="61">
        <f t="shared" si="41"/>
        <v>24.421201086785164</v>
      </c>
      <c r="CA33" s="61">
        <f t="shared" si="42"/>
        <v>22.71650339934849</v>
      </c>
      <c r="CB33" s="61">
        <f>AE33*O33/0.2</f>
        <v>5.6979306085525998</v>
      </c>
      <c r="CC33" s="61">
        <f>AG33*AC33/0.2</f>
        <v>10.028630585799348</v>
      </c>
      <c r="CD33" s="61">
        <f>CB33*'Oxidant Feed Composition'!$N$22</f>
        <v>0.56979306085526005</v>
      </c>
      <c r="CE33" s="61">
        <f>CC33*'Oxidant Feed Composition'!$N$22</f>
        <v>1.002863058579935</v>
      </c>
      <c r="CF33" s="61">
        <f>1.2*CB33</f>
        <v>6.8375167302631192</v>
      </c>
      <c r="CG33" s="61">
        <f>CC33*1.2</f>
        <v>12.034356702959217</v>
      </c>
      <c r="CH33" s="61">
        <f>BY33/('TEA Revised EYZ Inc'!CA33*'TEA Revised EYZ Inc'!BZ33)</f>
        <v>0.02</v>
      </c>
      <c r="CI33" s="84">
        <f>BR33/('TEA Revised EYZ Inc'!BY33)</f>
        <v>1.2336524503175246E-2</v>
      </c>
    </row>
    <row r="34" spans="1:87">
      <c r="A34" s="61">
        <v>6</v>
      </c>
      <c r="B34" s="61">
        <v>1.54143585092054E-3</v>
      </c>
      <c r="C34" s="61">
        <v>1.54143585092054E-3</v>
      </c>
      <c r="D34" s="61">
        <v>3.4254130020456501E-4</v>
      </c>
      <c r="E34" s="61">
        <v>0</v>
      </c>
      <c r="F34" s="61">
        <v>0</v>
      </c>
      <c r="G34" s="61">
        <v>0</v>
      </c>
      <c r="H34" s="69">
        <v>1.7693893431643E-5</v>
      </c>
      <c r="I34" s="69">
        <v>3.7175600603836103E-8</v>
      </c>
      <c r="J34" s="61">
        <v>3.36890310328726E-4</v>
      </c>
      <c r="K34" s="61">
        <v>0.133710118829723</v>
      </c>
      <c r="L34" s="61">
        <v>0.13525951632913</v>
      </c>
      <c r="M34" s="61">
        <v>4.9588089642288804E-4</v>
      </c>
      <c r="N34" s="61" t="s">
        <v>323</v>
      </c>
      <c r="O34" s="61">
        <v>0.1</v>
      </c>
      <c r="P34" s="61">
        <v>6</v>
      </c>
      <c r="Q34" s="61">
        <v>1.64951815726537E-3</v>
      </c>
      <c r="R34" s="61">
        <v>1.6686323374819601E-3</v>
      </c>
      <c r="S34" s="61">
        <v>6.1174468293775103E-6</v>
      </c>
      <c r="T34" s="61">
        <v>0</v>
      </c>
      <c r="U34" s="61">
        <v>0</v>
      </c>
      <c r="V34" s="61">
        <v>0</v>
      </c>
      <c r="W34" s="61">
        <v>1.6118646916441E-3</v>
      </c>
      <c r="X34" s="61">
        <v>7.8758511932156396E-5</v>
      </c>
      <c r="Y34" s="61">
        <v>6.0764721178985501E-6</v>
      </c>
      <c r="Z34" s="61">
        <v>1.75634842896041E-3</v>
      </c>
      <c r="AA34" s="61">
        <v>7.4159771210348502E-2</v>
      </c>
      <c r="AB34" s="61">
        <v>1.91126816471642E-6</v>
      </c>
      <c r="AC34" s="61">
        <v>0.1</v>
      </c>
      <c r="AD34" s="61">
        <v>100</v>
      </c>
      <c r="AE34" s="61">
        <v>11.395861217105201</v>
      </c>
      <c r="AF34" s="61">
        <v>92.374973309314697</v>
      </c>
      <c r="AG34" s="61">
        <v>19.8038033024398</v>
      </c>
      <c r="AH34" s="61">
        <f t="shared" si="0"/>
        <v>1.1395861217105201</v>
      </c>
      <c r="AI34" s="61">
        <f t="shared" si="27"/>
        <v>1.98038033024398</v>
      </c>
      <c r="AJ34" s="61">
        <f t="shared" si="28"/>
        <v>1.1395861217105201</v>
      </c>
      <c r="AK34" s="61">
        <f t="shared" si="28"/>
        <v>1.98038033024398</v>
      </c>
      <c r="AL34" s="61">
        <f t="shared" si="1"/>
        <v>0.6147234237398963</v>
      </c>
      <c r="AM34" s="61">
        <f t="shared" si="29"/>
        <v>0.52486269797062379</v>
      </c>
      <c r="AN34" s="61">
        <f t="shared" si="30"/>
        <v>0.6147234237398963</v>
      </c>
      <c r="AO34" s="69">
        <f t="shared" si="2"/>
        <v>1.7693893431643E-3</v>
      </c>
      <c r="AP34" s="69">
        <f t="shared" si="3"/>
        <v>3.7175600603836104E-6</v>
      </c>
      <c r="AQ34" s="69">
        <f t="shared" si="4"/>
        <v>3.3689031032872602E-2</v>
      </c>
      <c r="AR34" s="61">
        <f t="shared" si="31"/>
        <v>10</v>
      </c>
      <c r="AS34" s="69">
        <f t="shared" si="5"/>
        <v>0.154143585092054</v>
      </c>
      <c r="AT34" s="70">
        <f t="shared" si="6"/>
        <v>0.154143585092054</v>
      </c>
      <c r="AU34" s="69">
        <f t="shared" si="7"/>
        <v>3.4254130020456498E-2</v>
      </c>
      <c r="AV34" s="69">
        <f t="shared" ref="AV34:AX65" si="43">AS34-AO34</f>
        <v>0.15237419574888969</v>
      </c>
      <c r="AW34" s="70">
        <f t="shared" si="43"/>
        <v>0.15413986753199363</v>
      </c>
      <c r="AX34" s="69">
        <f t="shared" si="43"/>
        <v>5.6509898758389659E-4</v>
      </c>
      <c r="AY34" s="69">
        <f t="shared" si="9"/>
        <v>0.14889595786885051</v>
      </c>
      <c r="AZ34" s="61">
        <f t="shared" si="10"/>
        <v>7.2753154376142904E-3</v>
      </c>
      <c r="BA34" s="61">
        <f t="shared" si="11"/>
        <v>5.613139497056735E-4</v>
      </c>
      <c r="BB34" s="69">
        <f t="shared" si="12"/>
        <v>94.999999984360983</v>
      </c>
      <c r="BC34" s="69">
        <f t="shared" si="13"/>
        <v>0.15673258725617048</v>
      </c>
      <c r="BD34" s="69">
        <f t="shared" si="14"/>
        <v>0.30590920209987382</v>
      </c>
      <c r="BE34" s="69">
        <f t="shared" si="15"/>
        <v>0.31402648846204662</v>
      </c>
      <c r="BF34" s="61">
        <f t="shared" si="16"/>
        <v>3.478237881768112E-3</v>
      </c>
      <c r="BG34" s="61">
        <f t="shared" si="17"/>
        <v>0.14686455220036795</v>
      </c>
      <c r="BH34" s="61">
        <f t="shared" si="18"/>
        <v>3.7850378792259092E-6</v>
      </c>
      <c r="BI34" s="61">
        <f t="shared" si="19"/>
        <v>0.30069693527790986</v>
      </c>
      <c r="BJ34" s="61">
        <f t="shared" si="20"/>
        <v>1.6796833949660701</v>
      </c>
      <c r="BK34" s="61">
        <f t="shared" si="21"/>
        <v>0.30069693527790986</v>
      </c>
      <c r="BL34" s="61">
        <f t="shared" si="32"/>
        <v>0.82555963324853365</v>
      </c>
      <c r="BM34" s="61">
        <f t="shared" si="33"/>
        <v>0.15382670552072303</v>
      </c>
      <c r="BN34" s="61">
        <f t="shared" si="34"/>
        <v>0.30069693527790986</v>
      </c>
      <c r="BO34" s="69">
        <f t="shared" si="22"/>
        <v>0.82555963324853365</v>
      </c>
      <c r="BP34" s="69">
        <f t="shared" si="23"/>
        <v>0.31402648846204662</v>
      </c>
      <c r="BQ34" s="64">
        <f t="shared" si="35"/>
        <v>2.2791722434210402</v>
      </c>
      <c r="BR34" s="69">
        <f t="shared" si="24"/>
        <v>0.13799953844685556</v>
      </c>
      <c r="BS34" s="61">
        <f t="shared" si="25"/>
        <v>6.8173872991376854</v>
      </c>
      <c r="BT34" s="61">
        <f t="shared" si="26"/>
        <v>6.5166903638597757</v>
      </c>
      <c r="BU34" s="61">
        <f t="shared" si="36"/>
        <v>5.9918276658891516</v>
      </c>
      <c r="BV34" s="61">
        <f t="shared" si="37"/>
        <v>1.6796833949660701</v>
      </c>
      <c r="BW34" s="61">
        <f t="shared" si="38"/>
        <v>0.30069693527790986</v>
      </c>
      <c r="BX34" s="64">
        <f t="shared" si="39"/>
        <v>3.9607606604879599</v>
      </c>
      <c r="BY34" s="61">
        <f t="shared" si="40"/>
        <v>0.13973958032122516</v>
      </c>
      <c r="BZ34" s="61">
        <f t="shared" si="41"/>
        <v>23.804364867718043</v>
      </c>
      <c r="CA34" s="61">
        <f t="shared" si="42"/>
        <v>22.124681472751973</v>
      </c>
      <c r="CB34" s="61">
        <f>AE34*O34/0.2</f>
        <v>5.6979306085525998</v>
      </c>
      <c r="CC34" s="61">
        <f>AG34*AC34/0.2</f>
        <v>9.9019016512198998</v>
      </c>
      <c r="CD34" s="61">
        <f>CB34*'Oxidant Feed Composition'!$N$22</f>
        <v>0.56979306085526005</v>
      </c>
      <c r="CE34" s="61">
        <f>CC34*'Oxidant Feed Composition'!$N$22</f>
        <v>0.99019016512198998</v>
      </c>
      <c r="CF34" s="61">
        <f>1.2*CB34</f>
        <v>6.8375167302631192</v>
      </c>
      <c r="CG34" s="61">
        <f>CC34*1.2</f>
        <v>11.88228198146388</v>
      </c>
      <c r="CH34" s="61">
        <f>BY34/('TEA Revised EYZ Inc'!CA34*'TEA Revised EYZ Inc'!BZ34)</f>
        <v>1.9999999999999997E-2</v>
      </c>
      <c r="CI34" s="84">
        <f>BR34/('TEA Revised EYZ Inc'!BY34)</f>
        <v>1.2336524503175246E-2</v>
      </c>
    </row>
    <row r="35" spans="1:87">
      <c r="A35" s="61">
        <v>6</v>
      </c>
      <c r="B35" s="61">
        <v>1.54143585092054E-3</v>
      </c>
      <c r="C35" s="61">
        <v>1.54143585092054E-3</v>
      </c>
      <c r="D35" s="61">
        <v>3.4254130020456501E-4</v>
      </c>
      <c r="E35" s="61">
        <v>0</v>
      </c>
      <c r="F35" s="61">
        <v>0</v>
      </c>
      <c r="G35" s="61">
        <v>0</v>
      </c>
      <c r="H35" s="69">
        <v>1.7693893431643E-5</v>
      </c>
      <c r="I35" s="69">
        <v>3.7175600603836103E-8</v>
      </c>
      <c r="J35" s="61">
        <v>3.36890310328726E-4</v>
      </c>
      <c r="K35" s="61">
        <v>0.133710118829723</v>
      </c>
      <c r="L35" s="61">
        <v>0.13525951632913</v>
      </c>
      <c r="M35" s="61">
        <v>4.9588089642288804E-4</v>
      </c>
      <c r="N35" s="61" t="s">
        <v>323</v>
      </c>
      <c r="O35" s="61">
        <v>0.1</v>
      </c>
      <c r="P35" s="61">
        <v>7</v>
      </c>
      <c r="Q35" s="61">
        <v>1.64951815726537E-3</v>
      </c>
      <c r="R35" s="61">
        <v>1.6686323374819601E-3</v>
      </c>
      <c r="S35" s="61">
        <v>6.1174468293775103E-6</v>
      </c>
      <c r="T35" s="61">
        <v>0</v>
      </c>
      <c r="U35" s="61">
        <v>0</v>
      </c>
      <c r="V35" s="61">
        <v>0</v>
      </c>
      <c r="W35" s="61">
        <v>1.61236068920583E-3</v>
      </c>
      <c r="X35" s="61">
        <v>7.8784098873371198E-5</v>
      </c>
      <c r="Y35" s="61">
        <v>6.0769898417647796E-6</v>
      </c>
      <c r="Z35" s="61">
        <v>1.7396945907611301E-3</v>
      </c>
      <c r="AA35" s="61">
        <v>7.4435921644561601E-2</v>
      </c>
      <c r="AB35" s="61">
        <v>1.8941764922222101E-6</v>
      </c>
      <c r="AC35" s="61">
        <v>0.1</v>
      </c>
      <c r="AD35" s="61">
        <v>100</v>
      </c>
      <c r="AE35" s="61">
        <v>11.395861217105201</v>
      </c>
      <c r="AF35" s="61">
        <v>92.374973309314697</v>
      </c>
      <c r="AG35" s="61">
        <v>19.7300154776898</v>
      </c>
      <c r="AH35" s="61">
        <f t="shared" si="0"/>
        <v>1.1395861217105201</v>
      </c>
      <c r="AI35" s="61">
        <f t="shared" si="27"/>
        <v>1.9730015477689802</v>
      </c>
      <c r="AJ35" s="61">
        <f t="shared" si="28"/>
        <v>1.1395861217105201</v>
      </c>
      <c r="AK35" s="61">
        <f t="shared" si="28"/>
        <v>1.9730015477689802</v>
      </c>
      <c r="AL35" s="61">
        <f t="shared" si="1"/>
        <v>0.6147234237398963</v>
      </c>
      <c r="AM35" s="61">
        <f t="shared" si="29"/>
        <v>0.52486269797062379</v>
      </c>
      <c r="AN35" s="61">
        <f t="shared" si="30"/>
        <v>0.6147234237398963</v>
      </c>
      <c r="AO35" s="69">
        <f t="shared" si="2"/>
        <v>1.7693893431643E-3</v>
      </c>
      <c r="AP35" s="69">
        <f t="shared" si="3"/>
        <v>3.7175600603836104E-6</v>
      </c>
      <c r="AQ35" s="69">
        <f t="shared" si="4"/>
        <v>3.3689031032872602E-2</v>
      </c>
      <c r="AR35" s="61">
        <f t="shared" si="31"/>
        <v>10</v>
      </c>
      <c r="AS35" s="69">
        <f t="shared" si="5"/>
        <v>0.154143585092054</v>
      </c>
      <c r="AT35" s="70">
        <f t="shared" si="6"/>
        <v>0.154143585092054</v>
      </c>
      <c r="AU35" s="69">
        <f t="shared" si="7"/>
        <v>3.4254130020456498E-2</v>
      </c>
      <c r="AV35" s="69">
        <f t="shared" si="43"/>
        <v>0.15237419574888969</v>
      </c>
      <c r="AW35" s="70">
        <f t="shared" si="43"/>
        <v>0.15413986753199363</v>
      </c>
      <c r="AX35" s="69">
        <f t="shared" si="43"/>
        <v>5.6509898758389659E-4</v>
      </c>
      <c r="AY35" s="69">
        <f t="shared" si="9"/>
        <v>0.1489417756303768</v>
      </c>
      <c r="AZ35" s="61">
        <f t="shared" si="10"/>
        <v>7.2776790306260742E-3</v>
      </c>
      <c r="BA35" s="61">
        <f t="shared" si="11"/>
        <v>5.6136177443399807E-4</v>
      </c>
      <c r="BB35" s="69">
        <f t="shared" si="12"/>
        <v>95.000000010659321</v>
      </c>
      <c r="BC35" s="69">
        <f t="shared" si="13"/>
        <v>0.15678081643543687</v>
      </c>
      <c r="BD35" s="69">
        <f t="shared" si="14"/>
        <v>0.3060032729530307</v>
      </c>
      <c r="BE35" s="69">
        <f t="shared" si="15"/>
        <v>0.31412299464530774</v>
      </c>
      <c r="BF35" s="61">
        <f t="shared" si="16"/>
        <v>3.4324201202170323E-3</v>
      </c>
      <c r="BG35" s="61">
        <f t="shared" si="17"/>
        <v>0.14686218861433056</v>
      </c>
      <c r="BH35" s="61">
        <f t="shared" si="18"/>
        <v>3.737213150902038E-6</v>
      </c>
      <c r="BI35" s="61">
        <f t="shared" si="19"/>
        <v>0.3006004291085479</v>
      </c>
      <c r="BJ35" s="61">
        <f t="shared" si="20"/>
        <v>1.6724011186604324</v>
      </c>
      <c r="BK35" s="61">
        <f t="shared" si="21"/>
        <v>0.3006004291085479</v>
      </c>
      <c r="BL35" s="61">
        <f t="shared" si="32"/>
        <v>0.82546312707917169</v>
      </c>
      <c r="BM35" s="61">
        <f t="shared" si="33"/>
        <v>0.153732634674491</v>
      </c>
      <c r="BN35" s="61">
        <f t="shared" si="34"/>
        <v>0.3006004291085479</v>
      </c>
      <c r="BO35" s="69">
        <f t="shared" si="22"/>
        <v>0.82546312707917169</v>
      </c>
      <c r="BP35" s="69">
        <f t="shared" si="23"/>
        <v>0.31412299464530774</v>
      </c>
      <c r="BQ35" s="64">
        <f t="shared" si="35"/>
        <v>2.2791722434210402</v>
      </c>
      <c r="BR35" s="69">
        <f t="shared" si="24"/>
        <v>0.13803681121739764</v>
      </c>
      <c r="BS35" s="61">
        <f t="shared" si="25"/>
        <v>6.8147497418038796</v>
      </c>
      <c r="BT35" s="61">
        <f t="shared" si="26"/>
        <v>6.5141493126953316</v>
      </c>
      <c r="BU35" s="61">
        <f t="shared" si="36"/>
        <v>5.9892866147247075</v>
      </c>
      <c r="BV35" s="61">
        <f t="shared" si="37"/>
        <v>1.6724011186604324</v>
      </c>
      <c r="BW35" s="61">
        <f t="shared" si="38"/>
        <v>0.3006004291085479</v>
      </c>
      <c r="BX35" s="64">
        <f t="shared" si="39"/>
        <v>3.9460030955379604</v>
      </c>
      <c r="BY35" s="61">
        <f t="shared" si="40"/>
        <v>0.13966105110802726</v>
      </c>
      <c r="BZ35" s="61">
        <f t="shared" si="41"/>
        <v>23.626128898710213</v>
      </c>
      <c r="CA35" s="61">
        <f t="shared" si="42"/>
        <v>21.953727780049782</v>
      </c>
      <c r="CB35" s="61">
        <f>AE35*O35/0.2</f>
        <v>5.6979306085525998</v>
      </c>
      <c r="CC35" s="61">
        <f>AG35*AC35/0.2</f>
        <v>9.8650077388449002</v>
      </c>
      <c r="CD35" s="61">
        <f>CB35*'Oxidant Feed Composition'!$N$22</f>
        <v>0.56979306085526005</v>
      </c>
      <c r="CE35" s="61">
        <f>CC35*'Oxidant Feed Composition'!$N$22</f>
        <v>0.98650077388449009</v>
      </c>
      <c r="CF35" s="61">
        <f>1.2*CB35</f>
        <v>6.8375167302631192</v>
      </c>
      <c r="CG35" s="61">
        <f>CC35*1.2</f>
        <v>11.838009286613881</v>
      </c>
      <c r="CH35" s="61">
        <f>BY35/('TEA Revised EYZ Inc'!CA35*'TEA Revised EYZ Inc'!BZ35)</f>
        <v>1.9999999999999997E-2</v>
      </c>
      <c r="CI35" s="84">
        <f>BR35/('TEA Revised EYZ Inc'!BY35)</f>
        <v>1.2336524503175246E-2</v>
      </c>
    </row>
    <row r="36" spans="1:87">
      <c r="A36" s="61">
        <v>6</v>
      </c>
      <c r="B36" s="61">
        <v>1.54143585092054E-3</v>
      </c>
      <c r="C36" s="61">
        <v>1.54143585092054E-3</v>
      </c>
      <c r="D36" s="61">
        <v>3.4254130020456501E-4</v>
      </c>
      <c r="E36" s="61">
        <v>0</v>
      </c>
      <c r="F36" s="61">
        <v>0</v>
      </c>
      <c r="G36" s="61">
        <v>0</v>
      </c>
      <c r="H36" s="69">
        <v>1.7693893431643E-5</v>
      </c>
      <c r="I36" s="69">
        <v>3.7175600603836103E-8</v>
      </c>
      <c r="J36" s="61">
        <v>3.36890310328726E-4</v>
      </c>
      <c r="K36" s="61">
        <v>0.133710118829723</v>
      </c>
      <c r="L36" s="61">
        <v>0.13525951632913</v>
      </c>
      <c r="M36" s="61">
        <v>4.9588089642288804E-4</v>
      </c>
      <c r="N36" s="61" t="s">
        <v>323</v>
      </c>
      <c r="O36" s="61">
        <v>0.1</v>
      </c>
      <c r="P36" s="61">
        <v>8</v>
      </c>
      <c r="Q36" s="61">
        <v>1.64951815726537E-3</v>
      </c>
      <c r="R36" s="61">
        <v>1.6686323374819601E-3</v>
      </c>
      <c r="S36" s="61">
        <v>6.1174468293775103E-6</v>
      </c>
      <c r="T36" s="61">
        <v>0</v>
      </c>
      <c r="U36" s="61">
        <v>0</v>
      </c>
      <c r="V36" s="61">
        <v>0</v>
      </c>
      <c r="W36" s="61">
        <v>1.6125021937551699E-3</v>
      </c>
      <c r="X36" s="61">
        <v>7.8791398968760994E-5</v>
      </c>
      <c r="Y36" s="61">
        <v>6.0771375446680096E-6</v>
      </c>
      <c r="Z36" s="61">
        <v>1.73492050588017E-3</v>
      </c>
      <c r="AA36" s="61">
        <v>7.4515084509212501E-2</v>
      </c>
      <c r="AB36" s="61">
        <v>1.8892768957738701E-6</v>
      </c>
      <c r="AC36" s="61">
        <v>0.1</v>
      </c>
      <c r="AD36" s="61">
        <v>100</v>
      </c>
      <c r="AE36" s="61">
        <v>11.395861217105201</v>
      </c>
      <c r="AF36" s="61">
        <v>92.374973309314697</v>
      </c>
      <c r="AG36" s="61">
        <v>19.708964352883601</v>
      </c>
      <c r="AH36" s="61">
        <f t="shared" si="0"/>
        <v>1.1395861217105201</v>
      </c>
      <c r="AI36" s="61">
        <f t="shared" si="27"/>
        <v>1.9708964352883602</v>
      </c>
      <c r="AJ36" s="61">
        <f t="shared" si="28"/>
        <v>1.1395861217105201</v>
      </c>
      <c r="AK36" s="61">
        <f t="shared" si="28"/>
        <v>1.9708964352883602</v>
      </c>
      <c r="AL36" s="61">
        <f t="shared" si="1"/>
        <v>0.6147234237398963</v>
      </c>
      <c r="AM36" s="61">
        <f t="shared" si="29"/>
        <v>0.52486269797062379</v>
      </c>
      <c r="AN36" s="61">
        <f t="shared" si="30"/>
        <v>0.6147234237398963</v>
      </c>
      <c r="AO36" s="69">
        <f t="shared" si="2"/>
        <v>1.7693893431643E-3</v>
      </c>
      <c r="AP36" s="69">
        <f t="shared" si="3"/>
        <v>3.7175600603836104E-6</v>
      </c>
      <c r="AQ36" s="69">
        <f t="shared" si="4"/>
        <v>3.3689031032872602E-2</v>
      </c>
      <c r="AR36" s="61">
        <f t="shared" si="31"/>
        <v>10</v>
      </c>
      <c r="AS36" s="69">
        <f t="shared" si="5"/>
        <v>0.154143585092054</v>
      </c>
      <c r="AT36" s="70">
        <f t="shared" si="6"/>
        <v>0.154143585092054</v>
      </c>
      <c r="AU36" s="69">
        <f t="shared" si="7"/>
        <v>3.4254130020456498E-2</v>
      </c>
      <c r="AV36" s="69">
        <f t="shared" si="43"/>
        <v>0.15237419574888969</v>
      </c>
      <c r="AW36" s="70">
        <f t="shared" si="43"/>
        <v>0.15413986753199363</v>
      </c>
      <c r="AX36" s="69">
        <f t="shared" si="43"/>
        <v>5.6509898758389659E-4</v>
      </c>
      <c r="AY36" s="69">
        <f t="shared" si="9"/>
        <v>0.14895484710934523</v>
      </c>
      <c r="AZ36" s="61">
        <f t="shared" si="10"/>
        <v>7.2783533767428622E-3</v>
      </c>
      <c r="BA36" s="61">
        <f t="shared" si="11"/>
        <v>5.6137541848574164E-4</v>
      </c>
      <c r="BB36" s="69">
        <f t="shared" si="12"/>
        <v>95.000000000000043</v>
      </c>
      <c r="BC36" s="69">
        <f t="shared" si="13"/>
        <v>0.15679457590457385</v>
      </c>
      <c r="BD36" s="69">
        <f t="shared" si="14"/>
        <v>0.30603011072316194</v>
      </c>
      <c r="BE36" s="69">
        <f t="shared" si="15"/>
        <v>0.31415052722763342</v>
      </c>
      <c r="BF36" s="61">
        <f t="shared" si="16"/>
        <v>3.419348640547906E-3</v>
      </c>
      <c r="BG36" s="61">
        <f t="shared" si="17"/>
        <v>0.14686151443441783</v>
      </c>
      <c r="BH36" s="61">
        <f t="shared" si="18"/>
        <v>3.7235690991533795E-6</v>
      </c>
      <c r="BI36" s="61">
        <f t="shared" si="19"/>
        <v>0.30057289685722893</v>
      </c>
      <c r="BJ36" s="61">
        <f t="shared" si="20"/>
        <v>1.6703235384311312</v>
      </c>
      <c r="BK36" s="61">
        <f t="shared" si="21"/>
        <v>0.30057289685722893</v>
      </c>
      <c r="BL36" s="61">
        <f t="shared" si="32"/>
        <v>0.82543559482785267</v>
      </c>
      <c r="BM36" s="61">
        <f t="shared" si="33"/>
        <v>0.15370579706916238</v>
      </c>
      <c r="BN36" s="61">
        <f t="shared" si="34"/>
        <v>0.30057289685722893</v>
      </c>
      <c r="BO36" s="69">
        <f t="shared" si="22"/>
        <v>0.82543559482785267</v>
      </c>
      <c r="BP36" s="69">
        <f t="shared" si="23"/>
        <v>0.31415052722763342</v>
      </c>
      <c r="BQ36" s="64">
        <f t="shared" si="35"/>
        <v>2.2791722434210402</v>
      </c>
      <c r="BR36" s="69">
        <f t="shared" si="24"/>
        <v>0.1380474443862251</v>
      </c>
      <c r="BS36" s="61">
        <f t="shared" si="25"/>
        <v>6.8139975528989289</v>
      </c>
      <c r="BT36" s="61">
        <f t="shared" si="26"/>
        <v>6.5134246560416997</v>
      </c>
      <c r="BU36" s="61">
        <f t="shared" si="36"/>
        <v>5.9885619580710756</v>
      </c>
      <c r="BV36" s="61">
        <f t="shared" si="37"/>
        <v>1.6703235384311312</v>
      </c>
      <c r="BW36" s="61">
        <f t="shared" si="38"/>
        <v>0.30057289685722893</v>
      </c>
      <c r="BX36" s="64">
        <f t="shared" si="39"/>
        <v>3.9417928705767205</v>
      </c>
      <c r="BY36" s="61">
        <f t="shared" si="40"/>
        <v>0.13963860813409501</v>
      </c>
      <c r="BZ36" s="61">
        <f t="shared" si="41"/>
        <v>23.575390442955541</v>
      </c>
      <c r="CA36" s="61">
        <f t="shared" si="42"/>
        <v>21.905066904524411</v>
      </c>
      <c r="CB36" s="61">
        <f>AE36*O36/0.2</f>
        <v>5.6979306085525998</v>
      </c>
      <c r="CC36" s="61">
        <f>AG36*AC36/0.2</f>
        <v>9.8544821764418007</v>
      </c>
      <c r="CD36" s="61">
        <f>CB36*'Oxidant Feed Composition'!$N$22</f>
        <v>0.56979306085526005</v>
      </c>
      <c r="CE36" s="61">
        <f>CC36*'Oxidant Feed Composition'!$N$22</f>
        <v>0.98544821764418011</v>
      </c>
      <c r="CF36" s="61">
        <f>1.2*CB36</f>
        <v>6.8375167302631192</v>
      </c>
      <c r="CG36" s="61">
        <f>CC36*1.2</f>
        <v>11.82537861173016</v>
      </c>
      <c r="CH36" s="61">
        <f>BY36/('TEA Revised EYZ Inc'!CA36*'TEA Revised EYZ Inc'!BZ36)</f>
        <v>2.0000000000000004E-2</v>
      </c>
      <c r="CI36" s="84">
        <f>BR36/('TEA Revised EYZ Inc'!BY36)</f>
        <v>1.2336524503175248E-2</v>
      </c>
    </row>
    <row r="37" spans="1:87">
      <c r="A37" s="61">
        <v>6</v>
      </c>
      <c r="B37" s="61">
        <v>1.54143585092054E-3</v>
      </c>
      <c r="C37" s="61">
        <v>1.54143585092054E-3</v>
      </c>
      <c r="D37" s="61">
        <v>3.4254130020456501E-4</v>
      </c>
      <c r="E37" s="61">
        <v>0</v>
      </c>
      <c r="F37" s="61">
        <v>0</v>
      </c>
      <c r="G37" s="61">
        <v>0</v>
      </c>
      <c r="H37" s="69">
        <v>1.7693893431643E-5</v>
      </c>
      <c r="I37" s="69">
        <v>3.7175600603836103E-8</v>
      </c>
      <c r="J37" s="61">
        <v>3.36890310328726E-4</v>
      </c>
      <c r="K37" s="61">
        <v>0.133710118829723</v>
      </c>
      <c r="L37" s="61">
        <v>0.13525951632913</v>
      </c>
      <c r="M37" s="61">
        <v>4.9588089642288804E-4</v>
      </c>
      <c r="N37" s="61" t="s">
        <v>323</v>
      </c>
      <c r="O37" s="61">
        <v>0.1</v>
      </c>
      <c r="P37" s="61">
        <v>9</v>
      </c>
      <c r="Q37" s="61">
        <v>1.64951815726537E-3</v>
      </c>
      <c r="R37" s="61">
        <v>1.6686323374819601E-3</v>
      </c>
      <c r="S37" s="61">
        <v>6.1174468293775103E-6</v>
      </c>
      <c r="T37" s="61">
        <v>0</v>
      </c>
      <c r="U37" s="61">
        <v>0</v>
      </c>
      <c r="V37" s="61">
        <v>0</v>
      </c>
      <c r="W37" s="61">
        <v>1.6125422035540001E-3</v>
      </c>
      <c r="X37" s="61">
        <v>7.8793462951453095E-5</v>
      </c>
      <c r="Y37" s="61">
        <v>6.0771793070157197E-6</v>
      </c>
      <c r="Z37" s="61">
        <v>1.7335688061823E-3</v>
      </c>
      <c r="AA37" s="61">
        <v>7.4537498106893293E-2</v>
      </c>
      <c r="AB37" s="61">
        <v>1.8878896596870901E-6</v>
      </c>
      <c r="AC37" s="61">
        <v>0.1</v>
      </c>
      <c r="AD37" s="61">
        <v>100</v>
      </c>
      <c r="AE37" s="61">
        <v>11.395861217105201</v>
      </c>
      <c r="AF37" s="61">
        <v>92.374973309314697</v>
      </c>
      <c r="AG37" s="61">
        <v>19.703012219574401</v>
      </c>
      <c r="AH37" s="61">
        <f t="shared" si="0"/>
        <v>1.1395861217105201</v>
      </c>
      <c r="AI37" s="61">
        <f t="shared" si="27"/>
        <v>1.9703012219574401</v>
      </c>
      <c r="AJ37" s="61">
        <f t="shared" si="28"/>
        <v>1.1395861217105201</v>
      </c>
      <c r="AK37" s="61">
        <f t="shared" si="28"/>
        <v>1.9703012219574401</v>
      </c>
      <c r="AL37" s="61">
        <f t="shared" si="1"/>
        <v>0.6147234237398963</v>
      </c>
      <c r="AM37" s="61">
        <f t="shared" si="29"/>
        <v>0.52486269797062379</v>
      </c>
      <c r="AN37" s="61">
        <f t="shared" si="30"/>
        <v>0.6147234237398963</v>
      </c>
      <c r="AO37" s="69">
        <f t="shared" si="2"/>
        <v>1.7693893431643E-3</v>
      </c>
      <c r="AP37" s="69">
        <f t="shared" si="3"/>
        <v>3.7175600603836104E-6</v>
      </c>
      <c r="AQ37" s="69">
        <f t="shared" si="4"/>
        <v>3.3689031032872602E-2</v>
      </c>
      <c r="AR37" s="61">
        <f t="shared" si="31"/>
        <v>10</v>
      </c>
      <c r="AS37" s="69">
        <f t="shared" si="5"/>
        <v>0.154143585092054</v>
      </c>
      <c r="AT37" s="70">
        <f t="shared" si="6"/>
        <v>0.154143585092054</v>
      </c>
      <c r="AU37" s="69">
        <f t="shared" si="7"/>
        <v>3.4254130020456498E-2</v>
      </c>
      <c r="AV37" s="69">
        <f t="shared" si="43"/>
        <v>0.15237419574888969</v>
      </c>
      <c r="AW37" s="70">
        <f t="shared" si="43"/>
        <v>0.15413986753199363</v>
      </c>
      <c r="AX37" s="69">
        <f t="shared" si="43"/>
        <v>5.6509898758389659E-4</v>
      </c>
      <c r="AY37" s="69">
        <f t="shared" si="9"/>
        <v>0.14895854301344427</v>
      </c>
      <c r="AZ37" s="61">
        <f t="shared" si="10"/>
        <v>7.2785440370889565E-3</v>
      </c>
      <c r="BA37" s="61">
        <f t="shared" si="11"/>
        <v>5.6137927628149668E-4</v>
      </c>
      <c r="BB37" s="69">
        <f t="shared" si="12"/>
        <v>95.000000001894321</v>
      </c>
      <c r="BC37" s="69">
        <f t="shared" si="13"/>
        <v>0.15679846632681474</v>
      </c>
      <c r="BD37" s="69">
        <f t="shared" si="14"/>
        <v>0.30603769897839972</v>
      </c>
      <c r="BE37" s="69">
        <f t="shared" si="15"/>
        <v>0.31415831192991095</v>
      </c>
      <c r="BF37" s="61">
        <f t="shared" si="16"/>
        <v>3.415652737168286E-3</v>
      </c>
      <c r="BG37" s="61">
        <f t="shared" si="17"/>
        <v>0.14686132360166224</v>
      </c>
      <c r="BH37" s="61">
        <f t="shared" si="18"/>
        <v>3.7197113034022892E-6</v>
      </c>
      <c r="BI37" s="61">
        <f t="shared" si="19"/>
        <v>0.30056511181157125</v>
      </c>
      <c r="BJ37" s="61">
        <f t="shared" si="20"/>
        <v>1.6697361101458688</v>
      </c>
      <c r="BK37" s="61">
        <f t="shared" si="21"/>
        <v>0.30056511181157125</v>
      </c>
      <c r="BL37" s="61">
        <f t="shared" si="32"/>
        <v>0.82542780978219499</v>
      </c>
      <c r="BM37" s="61">
        <f t="shared" si="33"/>
        <v>0.15369820864295392</v>
      </c>
      <c r="BN37" s="61">
        <f t="shared" si="34"/>
        <v>0.30056511181157125</v>
      </c>
      <c r="BO37" s="69">
        <f t="shared" si="22"/>
        <v>0.82542780978219499</v>
      </c>
      <c r="BP37" s="69">
        <f t="shared" si="23"/>
        <v>0.31415831192991095</v>
      </c>
      <c r="BQ37" s="64">
        <f t="shared" si="35"/>
        <v>2.2791722434210402</v>
      </c>
      <c r="BR37" s="69">
        <f t="shared" si="24"/>
        <v>0.13805045082148509</v>
      </c>
      <c r="BS37" s="61">
        <f t="shared" si="25"/>
        <v>6.8137848946111932</v>
      </c>
      <c r="BT37" s="61">
        <f t="shared" si="26"/>
        <v>6.5132197827996219</v>
      </c>
      <c r="BU37" s="61">
        <f t="shared" si="36"/>
        <v>5.9883570848289978</v>
      </c>
      <c r="BV37" s="61">
        <f t="shared" si="37"/>
        <v>1.6697361101458688</v>
      </c>
      <c r="BW37" s="61">
        <f t="shared" si="38"/>
        <v>0.30056511181157125</v>
      </c>
      <c r="BX37" s="64">
        <f t="shared" si="39"/>
        <v>3.9406024439148801</v>
      </c>
      <c r="BY37" s="61">
        <f t="shared" si="40"/>
        <v>0.13963225911235599</v>
      </c>
      <c r="BZ37" s="61">
        <f t="shared" si="41"/>
        <v>23.561053291558096</v>
      </c>
      <c r="CA37" s="61">
        <f t="shared" si="42"/>
        <v>21.891317181412226</v>
      </c>
      <c r="CB37" s="61">
        <f>AE37*O37/0.2</f>
        <v>5.6979306085525998</v>
      </c>
      <c r="CC37" s="61">
        <f>AG37*AC37/0.2</f>
        <v>9.8515061097872003</v>
      </c>
      <c r="CD37" s="61">
        <f>CB37*'Oxidant Feed Composition'!$N$22</f>
        <v>0.56979306085526005</v>
      </c>
      <c r="CE37" s="61">
        <f>CC37*'Oxidant Feed Composition'!$N$22</f>
        <v>0.98515061097872003</v>
      </c>
      <c r="CF37" s="61">
        <f>1.2*CB37</f>
        <v>6.8375167302631192</v>
      </c>
      <c r="CG37" s="61">
        <f>CC37*1.2</f>
        <v>11.82180733174464</v>
      </c>
      <c r="CH37" s="61">
        <f>BY37/('TEA Revised EYZ Inc'!CA37*'TEA Revised EYZ Inc'!BZ37)</f>
        <v>0.02</v>
      </c>
      <c r="CI37" s="84">
        <f>BR37/('TEA Revised EYZ Inc'!BY37)</f>
        <v>1.2336524503175248E-2</v>
      </c>
    </row>
    <row r="38" spans="1:87">
      <c r="A38" s="61">
        <v>6</v>
      </c>
      <c r="B38" s="61">
        <v>1.54143585092054E-3</v>
      </c>
      <c r="C38" s="61">
        <v>1.54143585092054E-3</v>
      </c>
      <c r="D38" s="61">
        <v>3.4254130020456501E-4</v>
      </c>
      <c r="E38" s="61">
        <v>0</v>
      </c>
      <c r="F38" s="61">
        <v>0</v>
      </c>
      <c r="G38" s="61">
        <v>0</v>
      </c>
      <c r="H38" s="69">
        <v>1.7693893431643E-5</v>
      </c>
      <c r="I38" s="69">
        <v>3.7175600603836103E-8</v>
      </c>
      <c r="J38" s="61">
        <v>3.36890310328726E-4</v>
      </c>
      <c r="K38" s="61">
        <v>0.133710118829723</v>
      </c>
      <c r="L38" s="61">
        <v>0.13525951632913</v>
      </c>
      <c r="M38" s="61">
        <v>4.9588089642288804E-4</v>
      </c>
      <c r="N38" s="61" t="s">
        <v>323</v>
      </c>
      <c r="O38" s="61">
        <v>0.1</v>
      </c>
      <c r="P38" s="61">
        <v>10</v>
      </c>
      <c r="Q38" s="61">
        <v>1.64951815726537E-3</v>
      </c>
      <c r="R38" s="61">
        <v>1.6686323374819601E-3</v>
      </c>
      <c r="S38" s="61">
        <v>6.1174468293775103E-6</v>
      </c>
      <c r="T38" s="61">
        <v>0</v>
      </c>
      <c r="U38" s="61">
        <v>0</v>
      </c>
      <c r="V38" s="61">
        <v>0</v>
      </c>
      <c r="W38" s="61">
        <v>1.61255347742774E-3</v>
      </c>
      <c r="X38" s="61">
        <v>7.8794044578505199E-5</v>
      </c>
      <c r="Y38" s="61">
        <v>6.07719107473002E-6</v>
      </c>
      <c r="Z38" s="61">
        <v>1.7331877781333199E-3</v>
      </c>
      <c r="AA38" s="61">
        <v>7.4543816233418506E-2</v>
      </c>
      <c r="AB38" s="61">
        <v>1.88749861433376E-6</v>
      </c>
      <c r="AC38" s="61">
        <v>0.1</v>
      </c>
      <c r="AD38" s="61">
        <v>100</v>
      </c>
      <c r="AE38" s="61">
        <v>11.395861217105201</v>
      </c>
      <c r="AF38" s="61">
        <v>92.374973309314697</v>
      </c>
      <c r="AG38" s="61">
        <v>19.7013350519025</v>
      </c>
      <c r="AH38" s="61">
        <f t="shared" si="0"/>
        <v>1.1395861217105201</v>
      </c>
      <c r="AI38" s="61">
        <f t="shared" si="27"/>
        <v>1.9701335051902502</v>
      </c>
      <c r="AJ38" s="61">
        <f t="shared" si="28"/>
        <v>1.1395861217105201</v>
      </c>
      <c r="AK38" s="61">
        <f t="shared" si="28"/>
        <v>1.9701335051902502</v>
      </c>
      <c r="AL38" s="61">
        <f t="shared" si="1"/>
        <v>0.6147234237398963</v>
      </c>
      <c r="AM38" s="61">
        <f t="shared" si="29"/>
        <v>0.52486269797062379</v>
      </c>
      <c r="AN38" s="61">
        <f t="shared" si="30"/>
        <v>0.6147234237398963</v>
      </c>
      <c r="AO38" s="69">
        <f t="shared" si="2"/>
        <v>1.7693893431643E-3</v>
      </c>
      <c r="AP38" s="69">
        <f t="shared" si="3"/>
        <v>3.7175600603836104E-6</v>
      </c>
      <c r="AQ38" s="69">
        <f t="shared" si="4"/>
        <v>3.3689031032872602E-2</v>
      </c>
      <c r="AR38" s="61">
        <f t="shared" si="31"/>
        <v>10</v>
      </c>
      <c r="AS38" s="69">
        <f t="shared" si="5"/>
        <v>0.154143585092054</v>
      </c>
      <c r="AT38" s="70">
        <f t="shared" si="6"/>
        <v>0.154143585092054</v>
      </c>
      <c r="AU38" s="69">
        <f t="shared" si="7"/>
        <v>3.4254130020456498E-2</v>
      </c>
      <c r="AV38" s="69">
        <f t="shared" si="43"/>
        <v>0.15237419574888969</v>
      </c>
      <c r="AW38" s="70">
        <f t="shared" si="43"/>
        <v>0.15413986753199363</v>
      </c>
      <c r="AX38" s="69">
        <f t="shared" si="43"/>
        <v>5.6509898758389659E-4</v>
      </c>
      <c r="AY38" s="69">
        <f t="shared" si="9"/>
        <v>0.14895958443723009</v>
      </c>
      <c r="AZ38" s="61">
        <f t="shared" si="10"/>
        <v>7.2785977648723698E-3</v>
      </c>
      <c r="BA38" s="61">
        <f t="shared" si="11"/>
        <v>5.6138036332379108E-4</v>
      </c>
      <c r="BB38" s="69">
        <f t="shared" si="12"/>
        <v>95.000000000047933</v>
      </c>
      <c r="BC38" s="69">
        <f t="shared" si="13"/>
        <v>0.15679956256542624</v>
      </c>
      <c r="BD38" s="69">
        <f t="shared" si="14"/>
        <v>0.30603983718431826</v>
      </c>
      <c r="BE38" s="69">
        <f t="shared" si="15"/>
        <v>0.31416050549417629</v>
      </c>
      <c r="BF38" s="61">
        <f t="shared" si="16"/>
        <v>3.4146113124866994E-3</v>
      </c>
      <c r="BG38" s="61">
        <f t="shared" si="17"/>
        <v>0.14686126996620266</v>
      </c>
      <c r="BH38" s="61">
        <f t="shared" si="18"/>
        <v>3.718624261099111E-6</v>
      </c>
      <c r="BI38" s="61">
        <f t="shared" si="19"/>
        <v>0.30056291843016197</v>
      </c>
      <c r="BJ38" s="61">
        <f t="shared" si="20"/>
        <v>1.6695705867600883</v>
      </c>
      <c r="BK38" s="61">
        <f t="shared" si="21"/>
        <v>0.30056291843016197</v>
      </c>
      <c r="BL38" s="61">
        <f t="shared" si="32"/>
        <v>0.82542561640078582</v>
      </c>
      <c r="BM38" s="61">
        <f t="shared" si="33"/>
        <v>0.1536960705275677</v>
      </c>
      <c r="BN38" s="61">
        <f t="shared" si="34"/>
        <v>0.30056291843016197</v>
      </c>
      <c r="BO38" s="69">
        <f t="shared" si="22"/>
        <v>0.82542561640078582</v>
      </c>
      <c r="BP38" s="69">
        <f t="shared" si="23"/>
        <v>0.31416050549417629</v>
      </c>
      <c r="BQ38" s="64">
        <f t="shared" si="35"/>
        <v>2.2791722434210402</v>
      </c>
      <c r="BR38" s="69">
        <f t="shared" si="24"/>
        <v>0.13805129796802232</v>
      </c>
      <c r="BS38" s="61">
        <f t="shared" si="25"/>
        <v>6.8137249761503451</v>
      </c>
      <c r="BT38" s="61">
        <f t="shared" si="26"/>
        <v>6.5131620577201828</v>
      </c>
      <c r="BU38" s="61">
        <f t="shared" si="36"/>
        <v>5.9882993597495586</v>
      </c>
      <c r="BV38" s="61">
        <f t="shared" si="37"/>
        <v>1.6695705867600883</v>
      </c>
      <c r="BW38" s="61">
        <f t="shared" si="38"/>
        <v>0.30056291843016197</v>
      </c>
      <c r="BX38" s="64">
        <f t="shared" si="39"/>
        <v>3.9402670103805004</v>
      </c>
      <c r="BY38" s="61">
        <f t="shared" si="40"/>
        <v>0.13963046996866812</v>
      </c>
      <c r="BZ38" s="61">
        <f t="shared" si="41"/>
        <v>23.557014117293175</v>
      </c>
      <c r="CA38" s="61">
        <f t="shared" si="42"/>
        <v>21.887443530533087</v>
      </c>
      <c r="CB38" s="61">
        <f>AE38*O38/0.2</f>
        <v>5.6979306085525998</v>
      </c>
      <c r="CC38" s="61">
        <f>AG38*AC38/0.2</f>
        <v>9.8506675259512502</v>
      </c>
      <c r="CD38" s="61">
        <f>CB38*'Oxidant Feed Composition'!$N$22</f>
        <v>0.56979306085526005</v>
      </c>
      <c r="CE38" s="61">
        <f>CC38*'Oxidant Feed Composition'!$N$22</f>
        <v>0.98506675259512511</v>
      </c>
      <c r="CF38" s="61">
        <f>1.2*CB38</f>
        <v>6.8375167302631192</v>
      </c>
      <c r="CG38" s="61">
        <f>CC38*1.2</f>
        <v>11.820801031141499</v>
      </c>
      <c r="CH38" s="61">
        <f>BY38/('TEA Revised EYZ Inc'!CA38*'TEA Revised EYZ Inc'!BZ38)</f>
        <v>1.9999999999999997E-2</v>
      </c>
      <c r="CI38" s="84">
        <f>BR38/('TEA Revised EYZ Inc'!BY38)</f>
        <v>1.2336524503175248E-2</v>
      </c>
    </row>
    <row r="39" spans="1:87">
      <c r="A39" s="61">
        <v>6</v>
      </c>
      <c r="B39" s="61">
        <v>1.54143585092054E-3</v>
      </c>
      <c r="C39" s="61">
        <v>1.54143585092054E-3</v>
      </c>
      <c r="D39" s="61">
        <v>3.4254130020456501E-4</v>
      </c>
      <c r="E39" s="61">
        <v>0</v>
      </c>
      <c r="F39" s="61">
        <v>0</v>
      </c>
      <c r="G39" s="61">
        <v>0</v>
      </c>
      <c r="H39" s="69">
        <v>1.7693893431643E-5</v>
      </c>
      <c r="I39" s="69">
        <v>3.7175600603836103E-8</v>
      </c>
      <c r="J39" s="61">
        <v>3.36890310328726E-4</v>
      </c>
      <c r="K39" s="61">
        <v>0.133710118829723</v>
      </c>
      <c r="L39" s="61">
        <v>0.13525951632913</v>
      </c>
      <c r="M39" s="61">
        <v>4.9588089642288804E-4</v>
      </c>
      <c r="N39" s="61" t="s">
        <v>323</v>
      </c>
      <c r="O39" s="61">
        <v>0.1</v>
      </c>
      <c r="P39" s="61">
        <v>11</v>
      </c>
      <c r="Q39" s="61">
        <v>1.64951815726537E-3</v>
      </c>
      <c r="R39" s="61">
        <v>1.6686323374819601E-3</v>
      </c>
      <c r="S39" s="61">
        <v>6.1174468293775103E-6</v>
      </c>
      <c r="T39" s="61">
        <v>0</v>
      </c>
      <c r="U39" s="61">
        <v>0</v>
      </c>
      <c r="V39" s="61">
        <v>0</v>
      </c>
      <c r="W39" s="61">
        <v>1.61255664991154E-3</v>
      </c>
      <c r="X39" s="61">
        <v>7.87942082405777E-5</v>
      </c>
      <c r="Y39" s="61">
        <v>6.0771943863253104E-6</v>
      </c>
      <c r="Z39" s="61">
        <v>1.7330805296501401E-3</v>
      </c>
      <c r="AA39" s="61">
        <v>7.4545594606665405E-2</v>
      </c>
      <c r="AB39" s="61">
        <v>1.8873885461363599E-6</v>
      </c>
      <c r="AC39" s="61">
        <v>0.1</v>
      </c>
      <c r="AD39" s="61">
        <v>100</v>
      </c>
      <c r="AE39" s="61">
        <v>11.395861217105201</v>
      </c>
      <c r="AF39" s="61">
        <v>92.374973309314697</v>
      </c>
      <c r="AG39" s="61">
        <v>19.700863184865998</v>
      </c>
      <c r="AH39" s="61">
        <f t="shared" si="0"/>
        <v>1.1395861217105201</v>
      </c>
      <c r="AI39" s="61">
        <f t="shared" si="27"/>
        <v>1.9700863184866</v>
      </c>
      <c r="AJ39" s="61">
        <f t="shared" si="28"/>
        <v>1.1395861217105201</v>
      </c>
      <c r="AK39" s="61">
        <f t="shared" si="28"/>
        <v>1.9700863184866</v>
      </c>
      <c r="AL39" s="61">
        <f t="shared" si="1"/>
        <v>0.6147234237398963</v>
      </c>
      <c r="AM39" s="61">
        <f t="shared" si="29"/>
        <v>0.52486269797062379</v>
      </c>
      <c r="AN39" s="61">
        <f t="shared" si="30"/>
        <v>0.6147234237398963</v>
      </c>
      <c r="AO39" s="69">
        <f t="shared" si="2"/>
        <v>1.7693893431643E-3</v>
      </c>
      <c r="AP39" s="69">
        <f t="shared" si="3"/>
        <v>3.7175600603836104E-6</v>
      </c>
      <c r="AQ39" s="69">
        <f t="shared" si="4"/>
        <v>3.3689031032872602E-2</v>
      </c>
      <c r="AR39" s="61">
        <f t="shared" si="31"/>
        <v>10</v>
      </c>
      <c r="AS39" s="69">
        <f t="shared" si="5"/>
        <v>0.154143585092054</v>
      </c>
      <c r="AT39" s="70">
        <f t="shared" si="6"/>
        <v>0.154143585092054</v>
      </c>
      <c r="AU39" s="69">
        <f t="shared" si="7"/>
        <v>3.4254130020456498E-2</v>
      </c>
      <c r="AV39" s="69">
        <f t="shared" si="43"/>
        <v>0.15237419574888969</v>
      </c>
      <c r="AW39" s="70">
        <f t="shared" si="43"/>
        <v>0.15413986753199363</v>
      </c>
      <c r="AX39" s="69">
        <f t="shared" si="43"/>
        <v>5.6509898758389659E-4</v>
      </c>
      <c r="AY39" s="69">
        <f t="shared" si="9"/>
        <v>0.14895987749533643</v>
      </c>
      <c r="AZ39" s="61">
        <f t="shared" si="10"/>
        <v>7.2786128831519494E-3</v>
      </c>
      <c r="BA39" s="61">
        <f t="shared" si="11"/>
        <v>5.6138066923231767E-4</v>
      </c>
      <c r="BB39" s="69">
        <f t="shared" si="12"/>
        <v>95.000000000001123</v>
      </c>
      <c r="BC39" s="69">
        <f t="shared" si="13"/>
        <v>0.1567998710477207</v>
      </c>
      <c r="BD39" s="69">
        <f t="shared" si="14"/>
        <v>0.30604043887767329</v>
      </c>
      <c r="BE39" s="69">
        <f t="shared" si="15"/>
        <v>0.31416112276467373</v>
      </c>
      <c r="BF39" s="61">
        <f t="shared" si="16"/>
        <v>3.4143182402992514E-3</v>
      </c>
      <c r="BG39" s="61">
        <f t="shared" si="17"/>
        <v>0.14686125603803998</v>
      </c>
      <c r="BH39" s="61">
        <f t="shared" si="18"/>
        <v>3.7183183524115578E-6</v>
      </c>
      <c r="BI39" s="61">
        <f t="shared" si="19"/>
        <v>0.30056230351173568</v>
      </c>
      <c r="BJ39" s="61">
        <f t="shared" si="20"/>
        <v>1.6695240149748642</v>
      </c>
      <c r="BK39" s="61">
        <f t="shared" si="21"/>
        <v>0.30056230351173568</v>
      </c>
      <c r="BL39" s="61">
        <f t="shared" si="32"/>
        <v>0.82542500148235942</v>
      </c>
      <c r="BM39" s="61">
        <f t="shared" si="33"/>
        <v>0.15369546999616709</v>
      </c>
      <c r="BN39" s="61">
        <f t="shared" si="34"/>
        <v>0.30056230351173568</v>
      </c>
      <c r="BO39" s="69">
        <f t="shared" si="22"/>
        <v>0.82542500148235942</v>
      </c>
      <c r="BP39" s="69">
        <f t="shared" si="23"/>
        <v>0.31416112276467373</v>
      </c>
      <c r="BQ39" s="64">
        <f t="shared" si="35"/>
        <v>2.2791722434210402</v>
      </c>
      <c r="BR39" s="69">
        <f t="shared" si="24"/>
        <v>0.13805153635538386</v>
      </c>
      <c r="BS39" s="61">
        <f t="shared" si="25"/>
        <v>6.8137081341905565</v>
      </c>
      <c r="BT39" s="61">
        <f t="shared" si="26"/>
        <v>6.5131458306788206</v>
      </c>
      <c r="BU39" s="61">
        <f t="shared" si="36"/>
        <v>5.9882831327081965</v>
      </c>
      <c r="BV39" s="61">
        <f t="shared" si="37"/>
        <v>1.6695240149748642</v>
      </c>
      <c r="BW39" s="61">
        <f t="shared" si="38"/>
        <v>0.30056230351173568</v>
      </c>
      <c r="BX39" s="64">
        <f t="shared" si="39"/>
        <v>3.9401726369732</v>
      </c>
      <c r="BY39" s="61">
        <f t="shared" si="40"/>
        <v>0.13962996752010534</v>
      </c>
      <c r="BZ39" s="61">
        <f t="shared" si="41"/>
        <v>23.555877572006157</v>
      </c>
      <c r="CA39" s="61">
        <f t="shared" si="42"/>
        <v>21.886353557031292</v>
      </c>
      <c r="CB39" s="61">
        <f>AE39*O39/0.2</f>
        <v>5.6979306085525998</v>
      </c>
      <c r="CC39" s="61">
        <f>AG39*AC39/0.2</f>
        <v>9.850431592432999</v>
      </c>
      <c r="CD39" s="61">
        <f>CB39*'Oxidant Feed Composition'!$N$22</f>
        <v>0.56979306085526005</v>
      </c>
      <c r="CE39" s="61">
        <f>CC39*'Oxidant Feed Composition'!$N$22</f>
        <v>0.98504315924329999</v>
      </c>
      <c r="CF39" s="61">
        <f>1.2*CB39</f>
        <v>6.8375167302631192</v>
      </c>
      <c r="CG39" s="61">
        <f>CC39*1.2</f>
        <v>11.820517910919598</v>
      </c>
      <c r="CH39" s="61">
        <f>BY39/('TEA Revised EYZ Inc'!CA39*'TEA Revised EYZ Inc'!BZ39)</f>
        <v>1.9999999999999993E-2</v>
      </c>
      <c r="CI39" s="84">
        <f>BR39/('TEA Revised EYZ Inc'!BY39)</f>
        <v>1.2336524503175248E-2</v>
      </c>
    </row>
    <row r="40" spans="1:87">
      <c r="A40" s="61">
        <v>6</v>
      </c>
      <c r="B40" s="61">
        <v>1.54143585092054E-3</v>
      </c>
      <c r="C40" s="61">
        <v>1.54143585092054E-3</v>
      </c>
      <c r="D40" s="61">
        <v>3.4254130020456501E-4</v>
      </c>
      <c r="E40" s="61">
        <v>0</v>
      </c>
      <c r="F40" s="61">
        <v>0</v>
      </c>
      <c r="G40" s="61">
        <v>0</v>
      </c>
      <c r="H40" s="69">
        <v>1.7693893431643E-5</v>
      </c>
      <c r="I40" s="69">
        <v>3.7175600603836103E-8</v>
      </c>
      <c r="J40" s="61">
        <v>3.36890310328726E-4</v>
      </c>
      <c r="K40" s="61">
        <v>0.133710118829723</v>
      </c>
      <c r="L40" s="61">
        <v>0.13525951632913</v>
      </c>
      <c r="M40" s="61">
        <v>4.9588089642288804E-4</v>
      </c>
      <c r="N40" s="61" t="s">
        <v>323</v>
      </c>
      <c r="O40" s="61">
        <v>0.1</v>
      </c>
      <c r="P40" s="61">
        <v>12</v>
      </c>
      <c r="Q40" s="61">
        <v>1.64951815726537E-3</v>
      </c>
      <c r="R40" s="61">
        <v>1.6686323374819601E-3</v>
      </c>
      <c r="S40" s="61">
        <v>6.1174468293775103E-6</v>
      </c>
      <c r="T40" s="61">
        <v>0</v>
      </c>
      <c r="U40" s="61">
        <v>0</v>
      </c>
      <c r="V40" s="61">
        <v>0</v>
      </c>
      <c r="W40" s="61">
        <v>1.6125575429752001E-3</v>
      </c>
      <c r="X40" s="61">
        <v>7.8794254311918995E-5</v>
      </c>
      <c r="Y40" s="61">
        <v>6.0771953183527996E-6</v>
      </c>
      <c r="Z40" s="61">
        <v>1.7330503585533999E-3</v>
      </c>
      <c r="AA40" s="61">
        <v>7.4546094895645801E-2</v>
      </c>
      <c r="AB40" s="61">
        <v>1.8873575819805E-6</v>
      </c>
      <c r="AC40" s="61">
        <v>0.1</v>
      </c>
      <c r="AD40" s="61">
        <v>100</v>
      </c>
      <c r="AE40" s="61">
        <v>11.395861217105201</v>
      </c>
      <c r="AF40" s="61">
        <v>92.374973309314697</v>
      </c>
      <c r="AG40" s="61">
        <v>19.700730227634299</v>
      </c>
      <c r="AH40" s="61">
        <f t="shared" si="0"/>
        <v>1.1395861217105201</v>
      </c>
      <c r="AI40" s="61">
        <f t="shared" si="27"/>
        <v>1.97007302276343</v>
      </c>
      <c r="AJ40" s="61">
        <f t="shared" si="28"/>
        <v>1.1395861217105201</v>
      </c>
      <c r="AK40" s="61">
        <f t="shared" si="28"/>
        <v>1.97007302276343</v>
      </c>
      <c r="AL40" s="61">
        <f t="shared" si="1"/>
        <v>0.6147234237398963</v>
      </c>
      <c r="AM40" s="61">
        <f t="shared" si="29"/>
        <v>0.52486269797062379</v>
      </c>
      <c r="AN40" s="61">
        <f t="shared" si="30"/>
        <v>0.6147234237398963</v>
      </c>
      <c r="AO40" s="69">
        <f t="shared" si="2"/>
        <v>1.7693893431643E-3</v>
      </c>
      <c r="AP40" s="69">
        <f t="shared" si="3"/>
        <v>3.7175600603836104E-6</v>
      </c>
      <c r="AQ40" s="69">
        <f t="shared" si="4"/>
        <v>3.3689031032872602E-2</v>
      </c>
      <c r="AR40" s="61">
        <f t="shared" si="31"/>
        <v>10</v>
      </c>
      <c r="AS40" s="69">
        <f t="shared" si="5"/>
        <v>0.154143585092054</v>
      </c>
      <c r="AT40" s="70">
        <f t="shared" si="6"/>
        <v>0.154143585092054</v>
      </c>
      <c r="AU40" s="69">
        <f t="shared" si="7"/>
        <v>3.4254130020456498E-2</v>
      </c>
      <c r="AV40" s="69">
        <f t="shared" si="43"/>
        <v>0.15237419574888969</v>
      </c>
      <c r="AW40" s="70">
        <f t="shared" si="43"/>
        <v>0.15413986753199363</v>
      </c>
      <c r="AX40" s="69">
        <f t="shared" si="43"/>
        <v>5.6509898758389659E-4</v>
      </c>
      <c r="AY40" s="69">
        <f t="shared" si="9"/>
        <v>0.14895995999206821</v>
      </c>
      <c r="AZ40" s="61">
        <f t="shared" si="10"/>
        <v>7.278617138990872E-3</v>
      </c>
      <c r="BA40" s="61">
        <f t="shared" si="11"/>
        <v>5.613807553283321E-4</v>
      </c>
      <c r="BB40" s="69">
        <f t="shared" si="12"/>
        <v>95.000000000000114</v>
      </c>
      <c r="BC40" s="69">
        <f t="shared" si="13"/>
        <v>0.1567999578863874</v>
      </c>
      <c r="BD40" s="69">
        <f t="shared" si="14"/>
        <v>0.30604060825611978</v>
      </c>
      <c r="BE40" s="69">
        <f t="shared" si="15"/>
        <v>0.31416129652810315</v>
      </c>
      <c r="BF40" s="61">
        <f t="shared" si="16"/>
        <v>3.4142357584765427E-3</v>
      </c>
      <c r="BG40" s="61">
        <f t="shared" si="17"/>
        <v>0.14686125050627441</v>
      </c>
      <c r="BH40" s="61">
        <f t="shared" si="18"/>
        <v>3.7182322565678017E-6</v>
      </c>
      <c r="BI40" s="61">
        <f t="shared" si="19"/>
        <v>0.30056212722627162</v>
      </c>
      <c r="BJ40" s="61">
        <f t="shared" si="20"/>
        <v>1.6695108955371585</v>
      </c>
      <c r="BK40" s="61">
        <f t="shared" si="21"/>
        <v>0.30056212722627162</v>
      </c>
      <c r="BL40" s="61">
        <f t="shared" si="32"/>
        <v>0.82542482519689542</v>
      </c>
      <c r="BM40" s="61">
        <f t="shared" si="33"/>
        <v>0.15369529937161236</v>
      </c>
      <c r="BN40" s="61">
        <f t="shared" si="34"/>
        <v>0.30056212722627162</v>
      </c>
      <c r="BO40" s="69">
        <f t="shared" si="22"/>
        <v>0.82542482519689542</v>
      </c>
      <c r="BP40" s="69">
        <f t="shared" si="23"/>
        <v>0.31416129652810315</v>
      </c>
      <c r="BQ40" s="64">
        <f t="shared" si="35"/>
        <v>2.2791722434210402</v>
      </c>
      <c r="BR40" s="69">
        <f t="shared" si="24"/>
        <v>0.1380516034620948</v>
      </c>
      <c r="BS40" s="61">
        <f t="shared" si="25"/>
        <v>6.8137033668572258</v>
      </c>
      <c r="BT40" s="61">
        <f t="shared" si="26"/>
        <v>6.5131412396309543</v>
      </c>
      <c r="BU40" s="61">
        <f t="shared" si="36"/>
        <v>5.9882785416603301</v>
      </c>
      <c r="BV40" s="61">
        <f t="shared" si="37"/>
        <v>1.6695108955371585</v>
      </c>
      <c r="BW40" s="61">
        <f t="shared" si="38"/>
        <v>0.30056212722627162</v>
      </c>
      <c r="BX40" s="64">
        <f t="shared" si="39"/>
        <v>3.94014604552686</v>
      </c>
      <c r="BY40" s="61">
        <f t="shared" si="40"/>
        <v>0.13962982464045581</v>
      </c>
      <c r="BZ40" s="61">
        <f t="shared" si="41"/>
        <v>23.555557596499423</v>
      </c>
      <c r="CA40" s="61">
        <f t="shared" si="42"/>
        <v>21.886046700962265</v>
      </c>
      <c r="CB40" s="61">
        <f>AE40*O40/0.2</f>
        <v>5.6979306085525998</v>
      </c>
      <c r="CC40" s="61">
        <f>AG40*AC40/0.2</f>
        <v>9.8503651138171495</v>
      </c>
      <c r="CD40" s="61">
        <f>CB40*'Oxidant Feed Composition'!$N$22</f>
        <v>0.56979306085526005</v>
      </c>
      <c r="CE40" s="61">
        <f>CC40*'Oxidant Feed Composition'!$N$22</f>
        <v>0.985036511381715</v>
      </c>
      <c r="CF40" s="61">
        <f>1.2*CB40</f>
        <v>6.8375167302631192</v>
      </c>
      <c r="CG40" s="61">
        <f>CC40*1.2</f>
        <v>11.820438136580579</v>
      </c>
      <c r="CH40" s="61">
        <f>BY40/('TEA Revised EYZ Inc'!CA40*'TEA Revised EYZ Inc'!BZ40)</f>
        <v>0.02</v>
      </c>
      <c r="CI40" s="84">
        <f>BR40/('TEA Revised EYZ Inc'!BY40)</f>
        <v>1.2336524503175246E-2</v>
      </c>
    </row>
    <row r="41" spans="1:87">
      <c r="A41" s="61">
        <v>6</v>
      </c>
      <c r="B41" s="61">
        <v>1.54143585092054E-3</v>
      </c>
      <c r="C41" s="61">
        <v>1.54143585092054E-3</v>
      </c>
      <c r="D41" s="61">
        <v>3.4254130020456501E-4</v>
      </c>
      <c r="E41" s="61">
        <v>0</v>
      </c>
      <c r="F41" s="61">
        <v>0</v>
      </c>
      <c r="G41" s="61">
        <v>0</v>
      </c>
      <c r="H41" s="69">
        <v>1.7693893431643E-5</v>
      </c>
      <c r="I41" s="69">
        <v>3.7175600603836103E-8</v>
      </c>
      <c r="J41" s="61">
        <v>3.36890310328726E-4</v>
      </c>
      <c r="K41" s="61">
        <v>0.133710118829723</v>
      </c>
      <c r="L41" s="61">
        <v>0.13525951632913</v>
      </c>
      <c r="M41" s="61">
        <v>4.9588089642288804E-4</v>
      </c>
      <c r="N41" s="61" t="s">
        <v>323</v>
      </c>
      <c r="O41" s="61">
        <v>0.1</v>
      </c>
      <c r="P41" s="61">
        <v>13</v>
      </c>
      <c r="Q41" s="61">
        <v>1.64951815726537E-3</v>
      </c>
      <c r="R41" s="61">
        <v>1.6686323374819601E-3</v>
      </c>
      <c r="S41" s="61">
        <v>6.1174468293775103E-6</v>
      </c>
      <c r="T41" s="61">
        <v>0</v>
      </c>
      <c r="U41" s="61">
        <v>0</v>
      </c>
      <c r="V41" s="61">
        <v>0</v>
      </c>
      <c r="W41" s="61">
        <v>1.6125577940565899E-3</v>
      </c>
      <c r="X41" s="61">
        <v>7.87942672646522E-5</v>
      </c>
      <c r="Y41" s="61">
        <v>6.0771955804315697E-6</v>
      </c>
      <c r="Z41" s="61">
        <v>1.73304187149951E-3</v>
      </c>
      <c r="AA41" s="61">
        <v>7.4546235626165996E-2</v>
      </c>
      <c r="AB41" s="61">
        <v>1.8873488718012801E-6</v>
      </c>
      <c r="AC41" s="61">
        <v>0.1</v>
      </c>
      <c r="AD41" s="61">
        <v>100</v>
      </c>
      <c r="AE41" s="61">
        <v>11.395861217105201</v>
      </c>
      <c r="AF41" s="61">
        <v>92.374973309314697</v>
      </c>
      <c r="AG41" s="61">
        <v>19.7006928745454</v>
      </c>
      <c r="AH41" s="61">
        <f t="shared" si="0"/>
        <v>1.1395861217105201</v>
      </c>
      <c r="AI41" s="61">
        <f t="shared" si="27"/>
        <v>1.97006928745454</v>
      </c>
      <c r="AJ41" s="61">
        <f t="shared" si="28"/>
        <v>1.1395861217105201</v>
      </c>
      <c r="AK41" s="61">
        <f t="shared" si="28"/>
        <v>1.97006928745454</v>
      </c>
      <c r="AL41" s="61">
        <f t="shared" si="1"/>
        <v>0.6147234237398963</v>
      </c>
      <c r="AM41" s="61">
        <f t="shared" si="29"/>
        <v>0.52486269797062379</v>
      </c>
      <c r="AN41" s="61">
        <f t="shared" si="30"/>
        <v>0.6147234237398963</v>
      </c>
      <c r="AO41" s="69">
        <f t="shared" si="2"/>
        <v>1.7693893431643E-3</v>
      </c>
      <c r="AP41" s="69">
        <f t="shared" si="3"/>
        <v>3.7175600603836104E-6</v>
      </c>
      <c r="AQ41" s="69">
        <f t="shared" si="4"/>
        <v>3.3689031032872602E-2</v>
      </c>
      <c r="AR41" s="61">
        <f t="shared" si="31"/>
        <v>10</v>
      </c>
      <c r="AS41" s="69">
        <f t="shared" si="5"/>
        <v>0.154143585092054</v>
      </c>
      <c r="AT41" s="70">
        <f t="shared" si="6"/>
        <v>0.154143585092054</v>
      </c>
      <c r="AU41" s="69">
        <f t="shared" si="7"/>
        <v>3.4254130020456498E-2</v>
      </c>
      <c r="AV41" s="69">
        <f t="shared" si="43"/>
        <v>0.15237419574888969</v>
      </c>
      <c r="AW41" s="70">
        <f t="shared" si="43"/>
        <v>0.15413986753199363</v>
      </c>
      <c r="AX41" s="69">
        <f t="shared" si="43"/>
        <v>5.6509898758389659E-4</v>
      </c>
      <c r="AY41" s="69">
        <f t="shared" si="9"/>
        <v>0.14895998318570489</v>
      </c>
      <c r="AZ41" s="61">
        <f t="shared" si="10"/>
        <v>7.2786183354992557E-3</v>
      </c>
      <c r="BA41" s="61">
        <f t="shared" si="11"/>
        <v>5.6138077953785147E-4</v>
      </c>
      <c r="BB41" s="69">
        <f t="shared" si="12"/>
        <v>95</v>
      </c>
      <c r="BC41" s="69">
        <f t="shared" si="13"/>
        <v>0.15679998230074199</v>
      </c>
      <c r="BD41" s="69">
        <f t="shared" si="14"/>
        <v>0.30604065587621582</v>
      </c>
      <c r="BE41" s="69">
        <f t="shared" si="15"/>
        <v>0.31416134538102186</v>
      </c>
      <c r="BF41" s="61">
        <f t="shared" si="16"/>
        <v>3.4142125649139223E-3</v>
      </c>
      <c r="BG41" s="61">
        <f t="shared" si="17"/>
        <v>0.14686124930245908</v>
      </c>
      <c r="BH41" s="61">
        <f t="shared" si="18"/>
        <v>3.7182080470476777E-6</v>
      </c>
      <c r="BI41" s="61">
        <f t="shared" si="19"/>
        <v>0.30056207835888715</v>
      </c>
      <c r="BJ41" s="61">
        <f t="shared" si="20"/>
        <v>1.6695072090956529</v>
      </c>
      <c r="BK41" s="61">
        <f t="shared" si="21"/>
        <v>0.30056207835888715</v>
      </c>
      <c r="BL41" s="61">
        <f t="shared" si="32"/>
        <v>0.82542477632951095</v>
      </c>
      <c r="BM41" s="61">
        <f t="shared" si="33"/>
        <v>0.1536952517443575</v>
      </c>
      <c r="BN41" s="61">
        <f t="shared" si="34"/>
        <v>0.30056207835888715</v>
      </c>
      <c r="BO41" s="69">
        <f t="shared" si="22"/>
        <v>0.82542477632951095</v>
      </c>
      <c r="BP41" s="69">
        <f t="shared" si="23"/>
        <v>0.31416134538102186</v>
      </c>
      <c r="BQ41" s="64">
        <f t="shared" si="35"/>
        <v>2.2791722434210402</v>
      </c>
      <c r="BR41" s="69">
        <f t="shared" si="24"/>
        <v>0.13805162232888643</v>
      </c>
      <c r="BS41" s="61">
        <f t="shared" si="25"/>
        <v>6.8137020322744686</v>
      </c>
      <c r="BT41" s="61">
        <f t="shared" si="26"/>
        <v>6.5131399539155819</v>
      </c>
      <c r="BU41" s="61">
        <f t="shared" si="36"/>
        <v>5.9882772559449577</v>
      </c>
      <c r="BV41" s="61">
        <f t="shared" si="37"/>
        <v>1.6695072090956529</v>
      </c>
      <c r="BW41" s="61">
        <f t="shared" si="38"/>
        <v>0.30056207835888715</v>
      </c>
      <c r="BX41" s="64">
        <f t="shared" si="39"/>
        <v>3.94013857490908</v>
      </c>
      <c r="BY41" s="61">
        <f t="shared" si="40"/>
        <v>0.13962978478380522</v>
      </c>
      <c r="BZ41" s="61">
        <f t="shared" si="41"/>
        <v>23.555467645501707</v>
      </c>
      <c r="CA41" s="61">
        <f t="shared" si="42"/>
        <v>21.885960436406055</v>
      </c>
      <c r="CB41" s="61">
        <f>AE41*O41/0.2</f>
        <v>5.6979306085525998</v>
      </c>
      <c r="CC41" s="61">
        <f>AG41*AC41/0.2</f>
        <v>9.8503464372726999</v>
      </c>
      <c r="CD41" s="61">
        <f>CB41*'Oxidant Feed Composition'!$N$22</f>
        <v>0.56979306085526005</v>
      </c>
      <c r="CE41" s="61">
        <f>CC41*'Oxidant Feed Composition'!$N$22</f>
        <v>0.98503464372727001</v>
      </c>
      <c r="CF41" s="61">
        <f>1.2*CB41</f>
        <v>6.8375167302631192</v>
      </c>
      <c r="CG41" s="61">
        <f>CC41*1.2</f>
        <v>11.820415724727239</v>
      </c>
      <c r="CH41" s="61">
        <f>BY41/('TEA Revised EYZ Inc'!CA41*'TEA Revised EYZ Inc'!BZ41)</f>
        <v>0.02</v>
      </c>
      <c r="CI41" s="84">
        <f>BR41/('TEA Revised EYZ Inc'!BY41)</f>
        <v>1.2336524503175248E-2</v>
      </c>
    </row>
    <row r="42" spans="1:87">
      <c r="A42" s="61">
        <v>7</v>
      </c>
      <c r="B42" s="61">
        <v>1.54143585092054E-3</v>
      </c>
      <c r="C42" s="61">
        <v>1.54143585092054E-3</v>
      </c>
      <c r="D42" s="61">
        <v>3.4254130020456501E-4</v>
      </c>
      <c r="E42" s="61">
        <v>0</v>
      </c>
      <c r="F42" s="61">
        <v>0</v>
      </c>
      <c r="G42" s="61">
        <v>0</v>
      </c>
      <c r="H42" s="69">
        <v>1.7744466230058299E-5</v>
      </c>
      <c r="I42" s="69">
        <v>1.2927742824924801E-8</v>
      </c>
      <c r="J42" s="61">
        <v>3.3739048286900598E-4</v>
      </c>
      <c r="K42" s="61">
        <v>0.13716795306346499</v>
      </c>
      <c r="L42" s="61">
        <v>0.138764207307677</v>
      </c>
      <c r="M42" s="61">
        <v>4.6369433969460899E-4</v>
      </c>
      <c r="N42" s="61" t="s">
        <v>323</v>
      </c>
      <c r="O42" s="61">
        <v>0.1</v>
      </c>
      <c r="P42" s="61">
        <v>4</v>
      </c>
      <c r="Q42" s="61">
        <v>1.64967327652189E-3</v>
      </c>
      <c r="R42" s="61">
        <v>1.66887089455438E-3</v>
      </c>
      <c r="S42" s="61">
        <v>5.5766973522943398E-6</v>
      </c>
      <c r="T42" s="61">
        <v>0</v>
      </c>
      <c r="U42" s="61">
        <v>0</v>
      </c>
      <c r="V42" s="61">
        <v>0</v>
      </c>
      <c r="W42" s="61">
        <v>1.6047223792851101E-3</v>
      </c>
      <c r="X42" s="61">
        <v>7.8926667299838998E-5</v>
      </c>
      <c r="Y42" s="61">
        <v>5.5324052965634797E-6</v>
      </c>
      <c r="Z42" s="61">
        <v>1.9882830340612E-3</v>
      </c>
      <c r="AA42" s="61">
        <v>7.0326941752228797E-2</v>
      </c>
      <c r="AB42" s="61">
        <v>1.9591409371835302E-6</v>
      </c>
      <c r="AC42" s="61">
        <v>0.1</v>
      </c>
      <c r="AD42" s="61">
        <v>100</v>
      </c>
      <c r="AE42" s="61">
        <v>11.1082169753281</v>
      </c>
      <c r="AF42" s="61">
        <v>92.363221637625401</v>
      </c>
      <c r="AG42" s="61">
        <v>20.881381645079998</v>
      </c>
      <c r="AH42" s="61">
        <f t="shared" si="0"/>
        <v>1.11082169753281</v>
      </c>
      <c r="AI42" s="61">
        <f t="shared" si="27"/>
        <v>2.0881381645079999</v>
      </c>
      <c r="AJ42" s="61">
        <f t="shared" si="28"/>
        <v>1.11082169753281</v>
      </c>
      <c r="AK42" s="61">
        <f t="shared" si="28"/>
        <v>2.0881381645079999</v>
      </c>
      <c r="AL42" s="61">
        <f t="shared" si="1"/>
        <v>0.61456810677540286</v>
      </c>
      <c r="AM42" s="61">
        <f t="shared" si="29"/>
        <v>0.49625359075740716</v>
      </c>
      <c r="AN42" s="61">
        <f t="shared" si="30"/>
        <v>0.61456810677540286</v>
      </c>
      <c r="AO42" s="69">
        <f t="shared" si="2"/>
        <v>1.7744466230058299E-3</v>
      </c>
      <c r="AP42" s="69">
        <f t="shared" si="3"/>
        <v>1.29277428249248E-6</v>
      </c>
      <c r="AQ42" s="69">
        <f t="shared" si="4"/>
        <v>3.3739048286900594E-2</v>
      </c>
      <c r="AR42" s="61">
        <f t="shared" si="31"/>
        <v>10</v>
      </c>
      <c r="AS42" s="69">
        <f t="shared" si="5"/>
        <v>0.154143585092054</v>
      </c>
      <c r="AT42" s="70">
        <f t="shared" si="6"/>
        <v>0.154143585092054</v>
      </c>
      <c r="AU42" s="69">
        <f t="shared" si="7"/>
        <v>3.4254130020456498E-2</v>
      </c>
      <c r="AV42" s="69">
        <f t="shared" si="43"/>
        <v>0.15236913846904818</v>
      </c>
      <c r="AW42" s="70">
        <f t="shared" si="43"/>
        <v>0.15414229231777152</v>
      </c>
      <c r="AX42" s="69">
        <f t="shared" si="43"/>
        <v>5.1508173355590409E-4</v>
      </c>
      <c r="AY42" s="69">
        <f t="shared" si="9"/>
        <v>0.1482173287847682</v>
      </c>
      <c r="AZ42" s="61">
        <f t="shared" si="10"/>
        <v>7.2899212649341506E-3</v>
      </c>
      <c r="BA42" s="61">
        <f t="shared" si="11"/>
        <v>5.1099077659566539E-4</v>
      </c>
      <c r="BB42" s="69">
        <f t="shared" si="12"/>
        <v>94.99999999986224</v>
      </c>
      <c r="BC42" s="69">
        <f t="shared" si="13"/>
        <v>0.15601824082629803</v>
      </c>
      <c r="BD42" s="69">
        <f t="shared" si="14"/>
        <v>0.30449106499936407</v>
      </c>
      <c r="BE42" s="69">
        <f t="shared" si="15"/>
        <v>0.31254747242919173</v>
      </c>
      <c r="BF42" s="61">
        <f t="shared" si="16"/>
        <v>4.1518096852669511E-3</v>
      </c>
      <c r="BG42" s="61">
        <f t="shared" si="17"/>
        <v>0.14685237106596005</v>
      </c>
      <c r="BH42" s="61">
        <f t="shared" si="18"/>
        <v>4.0909569605828993E-6</v>
      </c>
      <c r="BI42" s="61">
        <f t="shared" si="19"/>
        <v>0.30202063437333576</v>
      </c>
      <c r="BJ42" s="61">
        <f t="shared" si="20"/>
        <v>1.7861175301346641</v>
      </c>
      <c r="BK42" s="61">
        <f t="shared" si="21"/>
        <v>0.30202063437333576</v>
      </c>
      <c r="BL42" s="61">
        <f t="shared" si="32"/>
        <v>0.79827422513074286</v>
      </c>
      <c r="BM42" s="61">
        <f t="shared" si="33"/>
        <v>0.15516212687193481</v>
      </c>
      <c r="BN42" s="61">
        <f t="shared" si="34"/>
        <v>0.30202063437333576</v>
      </c>
      <c r="BO42" s="69">
        <f t="shared" si="22"/>
        <v>0.79827422513074286</v>
      </c>
      <c r="BP42" s="69">
        <f t="shared" si="23"/>
        <v>0.31254747242919173</v>
      </c>
      <c r="BQ42" s="64">
        <f t="shared" si="35"/>
        <v>2.22164339506562</v>
      </c>
      <c r="BR42" s="69">
        <f t="shared" si="24"/>
        <v>0.13700014404463348</v>
      </c>
      <c r="BS42" s="61">
        <f t="shared" si="25"/>
        <v>6.4725503468633425</v>
      </c>
      <c r="BT42" s="61">
        <f t="shared" si="26"/>
        <v>6.1705297124900067</v>
      </c>
      <c r="BU42" s="61">
        <f t="shared" si="36"/>
        <v>5.6742761217325999</v>
      </c>
      <c r="BV42" s="61">
        <f t="shared" si="37"/>
        <v>1.7861175301346641</v>
      </c>
      <c r="BW42" s="61">
        <f t="shared" si="38"/>
        <v>0.30202063437333576</v>
      </c>
      <c r="BX42" s="64">
        <f t="shared" si="39"/>
        <v>4.1762763290159999</v>
      </c>
      <c r="BY42" s="61">
        <f t="shared" si="40"/>
        <v>0.14082603683043216</v>
      </c>
      <c r="BZ42" s="61">
        <f t="shared" si="41"/>
        <v>26.484166315507569</v>
      </c>
      <c r="CA42" s="61">
        <f t="shared" si="42"/>
        <v>24.698048785372904</v>
      </c>
      <c r="CB42" s="61">
        <f>AE42*O42/0.2</f>
        <v>5.5541084876640499</v>
      </c>
      <c r="CC42" s="61">
        <f>AG42*AC42/0.2</f>
        <v>10.440690822539999</v>
      </c>
      <c r="CD42" s="61">
        <f>CB42*'Oxidant Feed Composition'!$N$22</f>
        <v>0.55541084876640501</v>
      </c>
      <c r="CE42" s="61">
        <f>CC42*'Oxidant Feed Composition'!$N$22</f>
        <v>1.044069082254</v>
      </c>
      <c r="CF42" s="61">
        <f>1.2*CB42</f>
        <v>6.6649301851968596</v>
      </c>
      <c r="CG42" s="61">
        <f>CC42*1.2</f>
        <v>12.528828987047998</v>
      </c>
      <c r="CH42" s="61">
        <f>BY42/('TEA Revised EYZ Inc'!CA42*'TEA Revised EYZ Inc'!BZ42)</f>
        <v>0.02</v>
      </c>
      <c r="CI42" s="84">
        <f>BR42/('TEA Revised EYZ Inc'!BY42)</f>
        <v>1.2026666868452995E-2</v>
      </c>
    </row>
    <row r="43" spans="1:87">
      <c r="A43" s="61">
        <v>7</v>
      </c>
      <c r="B43" s="61">
        <v>1.54143585092054E-3</v>
      </c>
      <c r="C43" s="61">
        <v>1.54143585092054E-3</v>
      </c>
      <c r="D43" s="61">
        <v>3.4254130020456501E-4</v>
      </c>
      <c r="E43" s="61">
        <v>0</v>
      </c>
      <c r="F43" s="61">
        <v>0</v>
      </c>
      <c r="G43" s="61">
        <v>0</v>
      </c>
      <c r="H43" s="69">
        <v>1.7744466230058299E-5</v>
      </c>
      <c r="I43" s="69">
        <v>1.2927742824924801E-8</v>
      </c>
      <c r="J43" s="61">
        <v>3.3739048286900598E-4</v>
      </c>
      <c r="K43" s="61">
        <v>0.13716795306346499</v>
      </c>
      <c r="L43" s="61">
        <v>0.138764207307677</v>
      </c>
      <c r="M43" s="61">
        <v>4.6369433969460899E-4</v>
      </c>
      <c r="N43" s="61" t="s">
        <v>323</v>
      </c>
      <c r="O43" s="61">
        <v>0.1</v>
      </c>
      <c r="P43" s="61">
        <v>5</v>
      </c>
      <c r="Q43" s="61">
        <v>1.64967327652189E-3</v>
      </c>
      <c r="R43" s="61">
        <v>1.66887089455438E-3</v>
      </c>
      <c r="S43" s="61">
        <v>5.5766973522943398E-6</v>
      </c>
      <c r="T43" s="61">
        <v>0</v>
      </c>
      <c r="U43" s="61">
        <v>0</v>
      </c>
      <c r="V43" s="61">
        <v>0</v>
      </c>
      <c r="W43" s="61">
        <v>1.6103462731678301E-3</v>
      </c>
      <c r="X43" s="61">
        <v>7.9217310821158102E-5</v>
      </c>
      <c r="Y43" s="61">
        <v>5.5377562230767902E-6</v>
      </c>
      <c r="Z43" s="61">
        <v>1.8120934755895301E-3</v>
      </c>
      <c r="AA43" s="61">
        <v>7.3247403612026599E-2</v>
      </c>
      <c r="AB43" s="61">
        <v>1.7943133259324499E-6</v>
      </c>
      <c r="AC43" s="61">
        <v>0.1</v>
      </c>
      <c r="AD43" s="61">
        <v>100</v>
      </c>
      <c r="AE43" s="61">
        <v>11.1082169753281</v>
      </c>
      <c r="AF43" s="61">
        <v>92.363221637625401</v>
      </c>
      <c r="AG43" s="61">
        <v>20.0451509597636</v>
      </c>
      <c r="AH43" s="61">
        <f t="shared" si="0"/>
        <v>1.11082169753281</v>
      </c>
      <c r="AI43" s="61">
        <f t="shared" si="27"/>
        <v>2.0045150959763602</v>
      </c>
      <c r="AJ43" s="61">
        <f t="shared" si="28"/>
        <v>1.11082169753281</v>
      </c>
      <c r="AK43" s="61">
        <f t="shared" si="28"/>
        <v>2.0045150959763602</v>
      </c>
      <c r="AL43" s="61">
        <f t="shared" si="1"/>
        <v>0.61456810677540286</v>
      </c>
      <c r="AM43" s="61">
        <f t="shared" si="29"/>
        <v>0.49625359075740716</v>
      </c>
      <c r="AN43" s="61">
        <f t="shared" si="30"/>
        <v>0.61456810677540286</v>
      </c>
      <c r="AO43" s="69">
        <f t="shared" si="2"/>
        <v>1.7744466230058299E-3</v>
      </c>
      <c r="AP43" s="69">
        <f t="shared" si="3"/>
        <v>1.29277428249248E-6</v>
      </c>
      <c r="AQ43" s="69">
        <f t="shared" si="4"/>
        <v>3.3739048286900594E-2</v>
      </c>
      <c r="AR43" s="61">
        <f t="shared" si="31"/>
        <v>10</v>
      </c>
      <c r="AS43" s="69">
        <f t="shared" si="5"/>
        <v>0.154143585092054</v>
      </c>
      <c r="AT43" s="70">
        <f t="shared" si="6"/>
        <v>0.154143585092054</v>
      </c>
      <c r="AU43" s="69">
        <f t="shared" si="7"/>
        <v>3.4254130020456498E-2</v>
      </c>
      <c r="AV43" s="69">
        <f t="shared" si="43"/>
        <v>0.15236913846904818</v>
      </c>
      <c r="AW43" s="70">
        <f t="shared" si="43"/>
        <v>0.15414229231777152</v>
      </c>
      <c r="AX43" s="69">
        <f t="shared" si="43"/>
        <v>5.1508173355590409E-4</v>
      </c>
      <c r="AY43" s="69">
        <f t="shared" si="9"/>
        <v>0.14873676974192435</v>
      </c>
      <c r="AZ43" s="61">
        <f t="shared" si="10"/>
        <v>7.3167660369112871E-3</v>
      </c>
      <c r="BA43" s="61">
        <f t="shared" si="11"/>
        <v>5.1148500540718089E-4</v>
      </c>
      <c r="BB43" s="69">
        <f t="shared" si="12"/>
        <v>94.999999998015952</v>
      </c>
      <c r="BC43" s="69">
        <f t="shared" si="13"/>
        <v>0.15656502078424281</v>
      </c>
      <c r="BD43" s="69">
        <f t="shared" si="14"/>
        <v>0.30555753302887073</v>
      </c>
      <c r="BE43" s="69">
        <f t="shared" si="15"/>
        <v>0.31364152657389283</v>
      </c>
      <c r="BF43" s="61">
        <f t="shared" si="16"/>
        <v>3.6323687271394831E-3</v>
      </c>
      <c r="BG43" s="61">
        <f t="shared" si="17"/>
        <v>0.14682552628138068</v>
      </c>
      <c r="BH43" s="61">
        <f t="shared" si="18"/>
        <v>3.5967281487431472E-6</v>
      </c>
      <c r="BI43" s="61">
        <f t="shared" si="19"/>
        <v>0.30092658020148655</v>
      </c>
      <c r="BJ43" s="61">
        <f t="shared" si="20"/>
        <v>1.7035885157748738</v>
      </c>
      <c r="BK43" s="61">
        <f t="shared" si="21"/>
        <v>0.30092658020148655</v>
      </c>
      <c r="BL43" s="61">
        <f t="shared" si="32"/>
        <v>0.79718017095889371</v>
      </c>
      <c r="BM43" s="61">
        <f t="shared" si="33"/>
        <v>0.15409565882788276</v>
      </c>
      <c r="BN43" s="61">
        <f t="shared" si="34"/>
        <v>0.30092658020148655</v>
      </c>
      <c r="BO43" s="69">
        <f t="shared" si="22"/>
        <v>0.79718017095889371</v>
      </c>
      <c r="BP43" s="69">
        <f t="shared" si="23"/>
        <v>0.31364152657389283</v>
      </c>
      <c r="BQ43" s="64">
        <f t="shared" si="35"/>
        <v>2.22164339506562</v>
      </c>
      <c r="BR43" s="69">
        <f t="shared" si="24"/>
        <v>0.1374203782746008</v>
      </c>
      <c r="BS43" s="61">
        <f t="shared" si="25"/>
        <v>6.4439135000381844</v>
      </c>
      <c r="BT43" s="61">
        <f t="shared" si="26"/>
        <v>6.142986919836698</v>
      </c>
      <c r="BU43" s="61">
        <f t="shared" si="36"/>
        <v>5.6467333290792912</v>
      </c>
      <c r="BV43" s="61">
        <f t="shared" si="37"/>
        <v>1.7035885157748738</v>
      </c>
      <c r="BW43" s="61">
        <f t="shared" si="38"/>
        <v>0.30092658020148655</v>
      </c>
      <c r="BX43" s="64">
        <f t="shared" si="39"/>
        <v>4.0090301919527205</v>
      </c>
      <c r="BY43" s="61">
        <f t="shared" si="40"/>
        <v>0.13995775472544303</v>
      </c>
      <c r="BZ43" s="61">
        <f t="shared" si="41"/>
        <v>24.399283225868331</v>
      </c>
      <c r="CA43" s="61">
        <f t="shared" si="42"/>
        <v>22.695694710093456</v>
      </c>
      <c r="CB43" s="61">
        <f>AE43*O43/0.2</f>
        <v>5.5541084876640499</v>
      </c>
      <c r="CC43" s="61">
        <f>AG43*AC43/0.2</f>
        <v>10.0225754798818</v>
      </c>
      <c r="CD43" s="61">
        <f>CB43*'Oxidant Feed Composition'!$N$22</f>
        <v>0.55541084876640501</v>
      </c>
      <c r="CE43" s="61">
        <f>CC43*'Oxidant Feed Composition'!$N$22</f>
        <v>1.0022575479881801</v>
      </c>
      <c r="CF43" s="61">
        <f>1.2*CB43</f>
        <v>6.6649301851968596</v>
      </c>
      <c r="CG43" s="61">
        <f>CC43*1.2</f>
        <v>12.027090575858159</v>
      </c>
      <c r="CH43" s="61">
        <f>BY43/('TEA Revised EYZ Inc'!CA43*'TEA Revised EYZ Inc'!BZ43)</f>
        <v>1.9999999999999997E-2</v>
      </c>
      <c r="CI43" s="84">
        <f>BR43/('TEA Revised EYZ Inc'!BY43)</f>
        <v>1.2026666868452992E-2</v>
      </c>
    </row>
    <row r="44" spans="1:87">
      <c r="A44" s="61">
        <v>7</v>
      </c>
      <c r="B44" s="61">
        <v>1.54143585092054E-3</v>
      </c>
      <c r="C44" s="61">
        <v>1.54143585092054E-3</v>
      </c>
      <c r="D44" s="61">
        <v>3.4254130020456501E-4</v>
      </c>
      <c r="E44" s="61">
        <v>0</v>
      </c>
      <c r="F44" s="61">
        <v>0</v>
      </c>
      <c r="G44" s="61">
        <v>0</v>
      </c>
      <c r="H44" s="69">
        <v>1.7744466230058299E-5</v>
      </c>
      <c r="I44" s="69">
        <v>1.2927742824924801E-8</v>
      </c>
      <c r="J44" s="61">
        <v>3.3739048286900598E-4</v>
      </c>
      <c r="K44" s="61">
        <v>0.13716795306346499</v>
      </c>
      <c r="L44" s="61">
        <v>0.138764207307677</v>
      </c>
      <c r="M44" s="61">
        <v>4.6369433969460899E-4</v>
      </c>
      <c r="N44" s="61" t="s">
        <v>323</v>
      </c>
      <c r="O44" s="61">
        <v>0.1</v>
      </c>
      <c r="P44" s="61">
        <v>6</v>
      </c>
      <c r="Q44" s="61">
        <v>1.64967327652189E-3</v>
      </c>
      <c r="R44" s="61">
        <v>1.66887089455438E-3</v>
      </c>
      <c r="S44" s="61">
        <v>5.5766973522943398E-6</v>
      </c>
      <c r="T44" s="61">
        <v>0</v>
      </c>
      <c r="U44" s="61">
        <v>0</v>
      </c>
      <c r="V44" s="61">
        <v>0</v>
      </c>
      <c r="W44" s="61">
        <v>1.6120355192372701E-3</v>
      </c>
      <c r="X44" s="61">
        <v>7.9304611498975396E-5</v>
      </c>
      <c r="Y44" s="61">
        <v>5.5393634244761098E-6</v>
      </c>
      <c r="Z44" s="61">
        <v>1.7562637605677701E-3</v>
      </c>
      <c r="AA44" s="61">
        <v>7.4172795069579203E-2</v>
      </c>
      <c r="AB44" s="61">
        <v>1.7420863833882601E-6</v>
      </c>
      <c r="AC44" s="61">
        <v>0.1</v>
      </c>
      <c r="AD44" s="61">
        <v>100</v>
      </c>
      <c r="AE44" s="61">
        <v>11.1082169753281</v>
      </c>
      <c r="AF44" s="61">
        <v>92.363221637625401</v>
      </c>
      <c r="AG44" s="61">
        <v>19.793977397216402</v>
      </c>
      <c r="AH44" s="61">
        <f t="shared" si="0"/>
        <v>1.11082169753281</v>
      </c>
      <c r="AI44" s="61">
        <f t="shared" si="27"/>
        <v>1.9793977397216402</v>
      </c>
      <c r="AJ44" s="61">
        <f t="shared" si="28"/>
        <v>1.11082169753281</v>
      </c>
      <c r="AK44" s="61">
        <f t="shared" si="28"/>
        <v>1.9793977397216402</v>
      </c>
      <c r="AL44" s="61">
        <f t="shared" si="1"/>
        <v>0.61456810677540286</v>
      </c>
      <c r="AM44" s="61">
        <f t="shared" si="29"/>
        <v>0.49625359075740716</v>
      </c>
      <c r="AN44" s="61">
        <f t="shared" si="30"/>
        <v>0.61456810677540286</v>
      </c>
      <c r="AO44" s="69">
        <f t="shared" si="2"/>
        <v>1.7744466230058299E-3</v>
      </c>
      <c r="AP44" s="69">
        <f t="shared" si="3"/>
        <v>1.29277428249248E-6</v>
      </c>
      <c r="AQ44" s="69">
        <f t="shared" si="4"/>
        <v>3.3739048286900594E-2</v>
      </c>
      <c r="AR44" s="61">
        <f t="shared" si="31"/>
        <v>10</v>
      </c>
      <c r="AS44" s="69">
        <f t="shared" si="5"/>
        <v>0.154143585092054</v>
      </c>
      <c r="AT44" s="70">
        <f t="shared" si="6"/>
        <v>0.154143585092054</v>
      </c>
      <c r="AU44" s="69">
        <f t="shared" si="7"/>
        <v>3.4254130020456498E-2</v>
      </c>
      <c r="AV44" s="69">
        <f t="shared" si="43"/>
        <v>0.15236913846904818</v>
      </c>
      <c r="AW44" s="70">
        <f t="shared" si="43"/>
        <v>0.15414229231777152</v>
      </c>
      <c r="AX44" s="69">
        <f t="shared" si="43"/>
        <v>5.1508173355590409E-4</v>
      </c>
      <c r="AY44" s="69">
        <f t="shared" si="9"/>
        <v>0.14889279395103652</v>
      </c>
      <c r="AZ44" s="61">
        <f t="shared" si="10"/>
        <v>7.3248294087656408E-3</v>
      </c>
      <c r="BA44" s="61">
        <f t="shared" si="11"/>
        <v>5.1163345170624256E-4</v>
      </c>
      <c r="BB44" s="69">
        <f t="shared" si="12"/>
        <v>94.999999987305202</v>
      </c>
      <c r="BC44" s="69">
        <f t="shared" si="13"/>
        <v>0.1567292568115084</v>
      </c>
      <c r="BD44" s="69">
        <f t="shared" si="14"/>
        <v>0.30587786748839807</v>
      </c>
      <c r="BE44" s="69">
        <f t="shared" si="15"/>
        <v>0.31397014707472304</v>
      </c>
      <c r="BF44" s="61">
        <f t="shared" si="16"/>
        <v>3.4763445180228721E-3</v>
      </c>
      <c r="BG44" s="61">
        <f t="shared" si="17"/>
        <v>0.14681746290956149</v>
      </c>
      <c r="BH44" s="61">
        <f t="shared" si="18"/>
        <v>3.4482818496785689E-6</v>
      </c>
      <c r="BI44" s="61">
        <f t="shared" si="19"/>
        <v>0.30059795970071773</v>
      </c>
      <c r="BJ44" s="61">
        <f t="shared" si="20"/>
        <v>1.6787997800209224</v>
      </c>
      <c r="BK44" s="61">
        <f t="shared" si="21"/>
        <v>0.30059795970071773</v>
      </c>
      <c r="BL44" s="61">
        <f t="shared" si="32"/>
        <v>0.79685155045812484</v>
      </c>
      <c r="BM44" s="61">
        <f t="shared" si="33"/>
        <v>0.15377532436838173</v>
      </c>
      <c r="BN44" s="61">
        <f t="shared" si="34"/>
        <v>0.30059795970071773</v>
      </c>
      <c r="BO44" s="69">
        <f t="shared" si="22"/>
        <v>0.79685155045812484</v>
      </c>
      <c r="BP44" s="69">
        <f t="shared" si="23"/>
        <v>0.31397014707472304</v>
      </c>
      <c r="BQ44" s="64">
        <f t="shared" si="35"/>
        <v>2.22164339506562</v>
      </c>
      <c r="BR44" s="69">
        <f t="shared" si="24"/>
        <v>0.13754653299957262</v>
      </c>
      <c r="BS44" s="61">
        <f t="shared" si="25"/>
        <v>6.4353493516575675</v>
      </c>
      <c r="BT44" s="61">
        <f t="shared" si="26"/>
        <v>6.1347513919568497</v>
      </c>
      <c r="BU44" s="61">
        <f t="shared" si="36"/>
        <v>5.6384978011994429</v>
      </c>
      <c r="BV44" s="61">
        <f t="shared" si="37"/>
        <v>1.6787997800209224</v>
      </c>
      <c r="BW44" s="61">
        <f t="shared" si="38"/>
        <v>0.30059795970071773</v>
      </c>
      <c r="BX44" s="64">
        <f t="shared" si="39"/>
        <v>3.9587954794432805</v>
      </c>
      <c r="BY44" s="61">
        <f t="shared" si="40"/>
        <v>0.13969193747833589</v>
      </c>
      <c r="BZ44" s="61">
        <f t="shared" si="41"/>
        <v>23.788148049231186</v>
      </c>
      <c r="CA44" s="61">
        <f t="shared" si="42"/>
        <v>22.109348269210262</v>
      </c>
      <c r="CB44" s="61">
        <f>AE44*O44/0.2</f>
        <v>5.5541084876640499</v>
      </c>
      <c r="CC44" s="61">
        <f>AG44*AC44/0.2</f>
        <v>9.896988698608201</v>
      </c>
      <c r="CD44" s="61">
        <f>CB44*'Oxidant Feed Composition'!$N$22</f>
        <v>0.55541084876640501</v>
      </c>
      <c r="CE44" s="61">
        <f>CC44*'Oxidant Feed Composition'!$N$22</f>
        <v>0.98969886986082012</v>
      </c>
      <c r="CF44" s="61">
        <f>1.2*CB44</f>
        <v>6.6649301851968596</v>
      </c>
      <c r="CG44" s="61">
        <f>CC44*1.2</f>
        <v>11.87638643832984</v>
      </c>
      <c r="CH44" s="61">
        <f>BY44/('TEA Revised EYZ Inc'!CA44*'TEA Revised EYZ Inc'!BZ44)</f>
        <v>0.02</v>
      </c>
      <c r="CI44" s="84">
        <f>BR44/('TEA Revised EYZ Inc'!BY44)</f>
        <v>1.2026666868452992E-2</v>
      </c>
    </row>
    <row r="45" spans="1:87">
      <c r="A45" s="61">
        <v>7</v>
      </c>
      <c r="B45" s="61">
        <v>1.54143585092054E-3</v>
      </c>
      <c r="C45" s="61">
        <v>1.54143585092054E-3</v>
      </c>
      <c r="D45" s="61">
        <v>3.4254130020456501E-4</v>
      </c>
      <c r="E45" s="61">
        <v>0</v>
      </c>
      <c r="F45" s="61">
        <v>0</v>
      </c>
      <c r="G45" s="61">
        <v>0</v>
      </c>
      <c r="H45" s="69">
        <v>1.7744466230058299E-5</v>
      </c>
      <c r="I45" s="69">
        <v>1.2927742824924801E-8</v>
      </c>
      <c r="J45" s="61">
        <v>3.3739048286900598E-4</v>
      </c>
      <c r="K45" s="61">
        <v>0.13716795306346499</v>
      </c>
      <c r="L45" s="61">
        <v>0.138764207307677</v>
      </c>
      <c r="M45" s="61">
        <v>4.6369433969460899E-4</v>
      </c>
      <c r="N45" s="61" t="s">
        <v>323</v>
      </c>
      <c r="O45" s="61">
        <v>0.1</v>
      </c>
      <c r="P45" s="61">
        <v>7</v>
      </c>
      <c r="Q45" s="61">
        <v>1.64967327652189E-3</v>
      </c>
      <c r="R45" s="61">
        <v>1.66887089455438E-3</v>
      </c>
      <c r="S45" s="61">
        <v>5.5766973522943398E-6</v>
      </c>
      <c r="T45" s="61">
        <v>0</v>
      </c>
      <c r="U45" s="61">
        <v>0</v>
      </c>
      <c r="V45" s="61">
        <v>0</v>
      </c>
      <c r="W45" s="61">
        <v>1.6125268282720601E-3</v>
      </c>
      <c r="X45" s="61">
        <v>7.9330002196474706E-5</v>
      </c>
      <c r="Y45" s="61">
        <v>5.5398308704750104E-6</v>
      </c>
      <c r="Z45" s="61">
        <v>1.7397589915908601E-3</v>
      </c>
      <c r="AA45" s="61">
        <v>7.4446365407150494E-2</v>
      </c>
      <c r="AB45" s="61">
        <v>1.7266467254719899E-6</v>
      </c>
      <c r="AC45" s="61">
        <v>0.1</v>
      </c>
      <c r="AD45" s="61">
        <v>100</v>
      </c>
      <c r="AE45" s="61">
        <v>11.1082169753281</v>
      </c>
      <c r="AF45" s="61">
        <v>92.363221637625401</v>
      </c>
      <c r="AG45" s="61">
        <v>19.7209248484066</v>
      </c>
      <c r="AH45" s="61">
        <f t="shared" si="0"/>
        <v>1.11082169753281</v>
      </c>
      <c r="AI45" s="61">
        <f t="shared" si="27"/>
        <v>1.97209248484066</v>
      </c>
      <c r="AJ45" s="61">
        <f t="shared" si="28"/>
        <v>1.11082169753281</v>
      </c>
      <c r="AK45" s="61">
        <f t="shared" si="28"/>
        <v>1.97209248484066</v>
      </c>
      <c r="AL45" s="61">
        <f t="shared" si="1"/>
        <v>0.61456810677540286</v>
      </c>
      <c r="AM45" s="61">
        <f t="shared" si="29"/>
        <v>0.49625359075740716</v>
      </c>
      <c r="AN45" s="61">
        <f t="shared" si="30"/>
        <v>0.61456810677540286</v>
      </c>
      <c r="AO45" s="69">
        <f t="shared" si="2"/>
        <v>1.7744466230058299E-3</v>
      </c>
      <c r="AP45" s="69">
        <f t="shared" si="3"/>
        <v>1.29277428249248E-6</v>
      </c>
      <c r="AQ45" s="69">
        <f t="shared" si="4"/>
        <v>3.3739048286900594E-2</v>
      </c>
      <c r="AR45" s="61">
        <f t="shared" si="31"/>
        <v>10</v>
      </c>
      <c r="AS45" s="69">
        <f t="shared" si="5"/>
        <v>0.154143585092054</v>
      </c>
      <c r="AT45" s="70">
        <f t="shared" si="6"/>
        <v>0.154143585092054</v>
      </c>
      <c r="AU45" s="69">
        <f t="shared" si="7"/>
        <v>3.4254130020456498E-2</v>
      </c>
      <c r="AV45" s="69">
        <f t="shared" si="43"/>
        <v>0.15236913846904818</v>
      </c>
      <c r="AW45" s="70">
        <f t="shared" si="43"/>
        <v>0.15414229231777152</v>
      </c>
      <c r="AX45" s="69">
        <f t="shared" si="43"/>
        <v>5.1508173355590409E-4</v>
      </c>
      <c r="AY45" s="69">
        <f t="shared" si="9"/>
        <v>0.14893817283630939</v>
      </c>
      <c r="AZ45" s="61">
        <f t="shared" si="10"/>
        <v>7.3271745753863034E-3</v>
      </c>
      <c r="BA45" s="61">
        <f t="shared" si="11"/>
        <v>5.1167662652464268E-4</v>
      </c>
      <c r="BB45" s="69">
        <f t="shared" si="12"/>
        <v>95.000000000000028</v>
      </c>
      <c r="BC45" s="69">
        <f t="shared" si="13"/>
        <v>0.15677702403822036</v>
      </c>
      <c r="BD45" s="69">
        <f t="shared" si="14"/>
        <v>0.30597103518779201</v>
      </c>
      <c r="BE45" s="69">
        <f t="shared" si="15"/>
        <v>0.31406572470296534</v>
      </c>
      <c r="BF45" s="61">
        <f t="shared" si="16"/>
        <v>3.4309656327503003E-3</v>
      </c>
      <c r="BG45" s="61">
        <f t="shared" si="17"/>
        <v>0.14681511774314318</v>
      </c>
      <c r="BH45" s="61">
        <f t="shared" si="18"/>
        <v>3.4051070312780458E-6</v>
      </c>
      <c r="BI45" s="61">
        <f t="shared" si="19"/>
        <v>0.30050238207288082</v>
      </c>
      <c r="BJ45" s="61">
        <f t="shared" si="20"/>
        <v>1.6715901027677793</v>
      </c>
      <c r="BK45" s="61">
        <f t="shared" si="21"/>
        <v>0.30050238207288082</v>
      </c>
      <c r="BL45" s="61">
        <f t="shared" si="32"/>
        <v>0.79675597283028798</v>
      </c>
      <c r="BM45" s="61">
        <f t="shared" si="33"/>
        <v>0.15368215666919072</v>
      </c>
      <c r="BN45" s="61">
        <f t="shared" si="34"/>
        <v>0.30050238207288082</v>
      </c>
      <c r="BO45" s="69">
        <f t="shared" si="22"/>
        <v>0.79675597283028798</v>
      </c>
      <c r="BP45" s="69">
        <f t="shared" si="23"/>
        <v>0.31406572470296534</v>
      </c>
      <c r="BQ45" s="64">
        <f t="shared" si="35"/>
        <v>2.22164339506562</v>
      </c>
      <c r="BR45" s="69">
        <f t="shared" si="24"/>
        <v>0.13758321833194295</v>
      </c>
      <c r="BS45" s="61">
        <f t="shared" si="25"/>
        <v>6.4328617471602003</v>
      </c>
      <c r="BT45" s="61">
        <f t="shared" si="26"/>
        <v>6.1323593650873196</v>
      </c>
      <c r="BU45" s="61">
        <f t="shared" si="36"/>
        <v>5.6361057743299128</v>
      </c>
      <c r="BV45" s="61">
        <f t="shared" si="37"/>
        <v>1.6715901027677793</v>
      </c>
      <c r="BW45" s="61">
        <f t="shared" si="38"/>
        <v>0.30050238207288082</v>
      </c>
      <c r="BX45" s="64">
        <f t="shared" si="39"/>
        <v>3.94418496968132</v>
      </c>
      <c r="BY45" s="61">
        <f t="shared" si="40"/>
        <v>0.13961416713476757</v>
      </c>
      <c r="BZ45" s="61">
        <f t="shared" si="41"/>
        <v>23.611717543107716</v>
      </c>
      <c r="CA45" s="61">
        <f t="shared" si="42"/>
        <v>21.940127440339936</v>
      </c>
      <c r="CB45" s="61">
        <f>AE45*O45/0.2</f>
        <v>5.5541084876640499</v>
      </c>
      <c r="CC45" s="61">
        <f>AG45*AC45/0.2</f>
        <v>9.8604624242033001</v>
      </c>
      <c r="CD45" s="61">
        <f>CB45*'Oxidant Feed Composition'!$N$22</f>
        <v>0.55541084876640501</v>
      </c>
      <c r="CE45" s="61">
        <f>CC45*'Oxidant Feed Composition'!$N$22</f>
        <v>0.98604624242033001</v>
      </c>
      <c r="CF45" s="61">
        <f>1.2*CB45</f>
        <v>6.6649301851968596</v>
      </c>
      <c r="CG45" s="61">
        <f>CC45*1.2</f>
        <v>11.83255490904396</v>
      </c>
      <c r="CH45" s="61">
        <f>BY45/('TEA Revised EYZ Inc'!CA45*'TEA Revised EYZ Inc'!BZ45)</f>
        <v>2.0000000000000004E-2</v>
      </c>
      <c r="CI45" s="84">
        <f>BR45/('TEA Revised EYZ Inc'!BY45)</f>
        <v>1.2026666868452997E-2</v>
      </c>
    </row>
    <row r="46" spans="1:87">
      <c r="A46" s="61">
        <v>7</v>
      </c>
      <c r="B46" s="61">
        <v>1.54143585092054E-3</v>
      </c>
      <c r="C46" s="61">
        <v>1.54143585092054E-3</v>
      </c>
      <c r="D46" s="61">
        <v>3.4254130020456501E-4</v>
      </c>
      <c r="E46" s="61">
        <v>0</v>
      </c>
      <c r="F46" s="61">
        <v>0</v>
      </c>
      <c r="G46" s="61">
        <v>0</v>
      </c>
      <c r="H46" s="69">
        <v>1.7744466230058299E-5</v>
      </c>
      <c r="I46" s="69">
        <v>1.2927742824924801E-8</v>
      </c>
      <c r="J46" s="61">
        <v>3.3739048286900598E-4</v>
      </c>
      <c r="K46" s="61">
        <v>0.13716795306346499</v>
      </c>
      <c r="L46" s="61">
        <v>0.138764207307677</v>
      </c>
      <c r="M46" s="61">
        <v>4.6369433969460899E-4</v>
      </c>
      <c r="N46" s="61" t="s">
        <v>323</v>
      </c>
      <c r="O46" s="61">
        <v>0.1</v>
      </c>
      <c r="P46" s="61">
        <v>8</v>
      </c>
      <c r="Q46" s="61">
        <v>1.64967327652189E-3</v>
      </c>
      <c r="R46" s="61">
        <v>1.66887089455438E-3</v>
      </c>
      <c r="S46" s="61">
        <v>5.5766973522943398E-6</v>
      </c>
      <c r="T46" s="61">
        <v>0</v>
      </c>
      <c r="U46" s="61">
        <v>0</v>
      </c>
      <c r="V46" s="61">
        <v>0</v>
      </c>
      <c r="W46" s="61">
        <v>1.6126668855832699E-3</v>
      </c>
      <c r="X46" s="61">
        <v>7.9337240379229206E-5</v>
      </c>
      <c r="Y46" s="61">
        <v>5.5399641251523699E-6</v>
      </c>
      <c r="Z46" s="61">
        <v>1.7350315599837401E-3</v>
      </c>
      <c r="AA46" s="61">
        <v>7.4524723667687906E-2</v>
      </c>
      <c r="AB46" s="61">
        <v>1.7222243722089301E-6</v>
      </c>
      <c r="AC46" s="61">
        <v>0.1</v>
      </c>
      <c r="AD46" s="61">
        <v>100</v>
      </c>
      <c r="AE46" s="61">
        <v>11.1082169753281</v>
      </c>
      <c r="AF46" s="61">
        <v>92.363221637625401</v>
      </c>
      <c r="AG46" s="61">
        <v>19.700099793756003</v>
      </c>
      <c r="AH46" s="61">
        <f t="shared" si="0"/>
        <v>1.11082169753281</v>
      </c>
      <c r="AI46" s="61">
        <f t="shared" si="27"/>
        <v>1.9700099793756003</v>
      </c>
      <c r="AJ46" s="61">
        <f t="shared" si="28"/>
        <v>1.11082169753281</v>
      </c>
      <c r="AK46" s="61">
        <f t="shared" si="28"/>
        <v>1.9700099793756003</v>
      </c>
      <c r="AL46" s="61">
        <f t="shared" si="1"/>
        <v>0.61456810677540286</v>
      </c>
      <c r="AM46" s="61">
        <f t="shared" si="29"/>
        <v>0.49625359075740716</v>
      </c>
      <c r="AN46" s="61">
        <f t="shared" si="30"/>
        <v>0.61456810677540286</v>
      </c>
      <c r="AO46" s="69">
        <f t="shared" si="2"/>
        <v>1.7744466230058299E-3</v>
      </c>
      <c r="AP46" s="69">
        <f t="shared" si="3"/>
        <v>1.29277428249248E-6</v>
      </c>
      <c r="AQ46" s="69">
        <f t="shared" si="4"/>
        <v>3.3739048286900594E-2</v>
      </c>
      <c r="AR46" s="61">
        <f t="shared" si="31"/>
        <v>10</v>
      </c>
      <c r="AS46" s="69">
        <f t="shared" si="5"/>
        <v>0.154143585092054</v>
      </c>
      <c r="AT46" s="70">
        <f t="shared" si="6"/>
        <v>0.154143585092054</v>
      </c>
      <c r="AU46" s="69">
        <f t="shared" si="7"/>
        <v>3.4254130020456498E-2</v>
      </c>
      <c r="AV46" s="69">
        <f t="shared" si="43"/>
        <v>0.15236913846904818</v>
      </c>
      <c r="AW46" s="70">
        <f t="shared" si="43"/>
        <v>0.15414229231777152</v>
      </c>
      <c r="AX46" s="69">
        <f t="shared" si="43"/>
        <v>5.1508173355590409E-4</v>
      </c>
      <c r="AY46" s="69">
        <f t="shared" si="9"/>
        <v>0.14895110898078665</v>
      </c>
      <c r="AZ46" s="61">
        <f t="shared" si="10"/>
        <v>7.3278431172643108E-3</v>
      </c>
      <c r="BA46" s="61">
        <f t="shared" si="11"/>
        <v>5.1168893435594184E-4</v>
      </c>
      <c r="BB46" s="69">
        <f t="shared" si="12"/>
        <v>95.000000000000057</v>
      </c>
      <c r="BC46" s="69">
        <f t="shared" si="13"/>
        <v>0.15679064103240689</v>
      </c>
      <c r="BD46" s="69">
        <f t="shared" si="14"/>
        <v>0.3059975944803715</v>
      </c>
      <c r="BE46" s="69">
        <f t="shared" si="15"/>
        <v>0.31409297099916972</v>
      </c>
      <c r="BF46" s="61">
        <f t="shared" si="16"/>
        <v>3.4180294876995834E-3</v>
      </c>
      <c r="BG46" s="61">
        <f t="shared" si="17"/>
        <v>0.14681444933555415</v>
      </c>
      <c r="BH46" s="61">
        <f t="shared" si="18"/>
        <v>3.3927991999754704E-6</v>
      </c>
      <c r="BI46" s="61">
        <f t="shared" si="19"/>
        <v>0.30047513604410742</v>
      </c>
      <c r="BJ46" s="61">
        <f t="shared" si="20"/>
        <v>1.6695348433314929</v>
      </c>
      <c r="BK46" s="61">
        <f t="shared" si="21"/>
        <v>0.30047513604410742</v>
      </c>
      <c r="BL46" s="61">
        <f t="shared" si="32"/>
        <v>0.79672872680151463</v>
      </c>
      <c r="BM46" s="61">
        <f t="shared" si="33"/>
        <v>0.15365559750975327</v>
      </c>
      <c r="BN46" s="61">
        <f t="shared" si="34"/>
        <v>0.30047513604410742</v>
      </c>
      <c r="BO46" s="69">
        <f t="shared" si="22"/>
        <v>0.79672872680151463</v>
      </c>
      <c r="BP46" s="69">
        <f t="shared" si="23"/>
        <v>0.31409297099916972</v>
      </c>
      <c r="BQ46" s="64">
        <f t="shared" si="35"/>
        <v>2.22164339506562</v>
      </c>
      <c r="BR46" s="69">
        <f t="shared" si="24"/>
        <v>0.13759367570607564</v>
      </c>
      <c r="BS46" s="61">
        <f t="shared" si="25"/>
        <v>6.4321528750302397</v>
      </c>
      <c r="BT46" s="61">
        <f t="shared" si="26"/>
        <v>6.1316777389861326</v>
      </c>
      <c r="BU46" s="61">
        <f t="shared" si="36"/>
        <v>5.6354241482287257</v>
      </c>
      <c r="BV46" s="61">
        <f t="shared" si="37"/>
        <v>1.6695348433314929</v>
      </c>
      <c r="BW46" s="61">
        <f t="shared" si="38"/>
        <v>0.30047513604410742</v>
      </c>
      <c r="BX46" s="64">
        <f t="shared" si="39"/>
        <v>3.9400199587512006</v>
      </c>
      <c r="BY46" s="61">
        <f t="shared" si="40"/>
        <v>0.13959195879926048</v>
      </c>
      <c r="BZ46" s="61">
        <f t="shared" si="41"/>
        <v>23.561531269921151</v>
      </c>
      <c r="CA46" s="61">
        <f t="shared" si="42"/>
        <v>21.891996426589657</v>
      </c>
      <c r="CB46" s="61">
        <f>AE46*O46/0.2</f>
        <v>5.5541084876640499</v>
      </c>
      <c r="CC46" s="61">
        <f>AG46*AC46/0.2</f>
        <v>9.8500498968780015</v>
      </c>
      <c r="CD46" s="61">
        <f>CB46*'Oxidant Feed Composition'!$N$22</f>
        <v>0.55541084876640501</v>
      </c>
      <c r="CE46" s="61">
        <f>CC46*'Oxidant Feed Composition'!$N$22</f>
        <v>0.98500498968780015</v>
      </c>
      <c r="CF46" s="61">
        <f>1.2*CB46</f>
        <v>6.6649301851968596</v>
      </c>
      <c r="CG46" s="61">
        <f>CC46*1.2</f>
        <v>11.820059876253602</v>
      </c>
      <c r="CH46" s="61">
        <f>BY46/('TEA Revised EYZ Inc'!CA46*'TEA Revised EYZ Inc'!BZ46)</f>
        <v>2.0000000000000004E-2</v>
      </c>
      <c r="CI46" s="84">
        <f>BR46/('TEA Revised EYZ Inc'!BY46)</f>
        <v>1.2026666868452992E-2</v>
      </c>
    </row>
    <row r="47" spans="1:87">
      <c r="A47" s="61">
        <v>7</v>
      </c>
      <c r="B47" s="61">
        <v>1.54143585092054E-3</v>
      </c>
      <c r="C47" s="61">
        <v>1.54143585092054E-3</v>
      </c>
      <c r="D47" s="61">
        <v>3.4254130020456501E-4</v>
      </c>
      <c r="E47" s="61">
        <v>0</v>
      </c>
      <c r="F47" s="61">
        <v>0</v>
      </c>
      <c r="G47" s="61">
        <v>0</v>
      </c>
      <c r="H47" s="69">
        <v>1.7744466230058299E-5</v>
      </c>
      <c r="I47" s="69">
        <v>1.2927742824924801E-8</v>
      </c>
      <c r="J47" s="61">
        <v>3.3739048286900598E-4</v>
      </c>
      <c r="K47" s="61">
        <v>0.13716795306346499</v>
      </c>
      <c r="L47" s="61">
        <v>0.138764207307677</v>
      </c>
      <c r="M47" s="61">
        <v>4.6369433969460899E-4</v>
      </c>
      <c r="N47" s="61" t="s">
        <v>323</v>
      </c>
      <c r="O47" s="61">
        <v>0.1</v>
      </c>
      <c r="P47" s="61">
        <v>9</v>
      </c>
      <c r="Q47" s="61">
        <v>1.64967327652189E-3</v>
      </c>
      <c r="R47" s="61">
        <v>1.66887089455438E-3</v>
      </c>
      <c r="S47" s="61">
        <v>5.5766973522943398E-6</v>
      </c>
      <c r="T47" s="61">
        <v>0</v>
      </c>
      <c r="U47" s="61">
        <v>0</v>
      </c>
      <c r="V47" s="61">
        <v>0</v>
      </c>
      <c r="W47" s="61">
        <v>1.6127064588001699E-3</v>
      </c>
      <c r="X47" s="61">
        <v>7.9339285496144799E-5</v>
      </c>
      <c r="Y47" s="61">
        <v>5.5400017762774897E-6</v>
      </c>
      <c r="Z47" s="61">
        <v>1.7336940135680801E-3</v>
      </c>
      <c r="AA47" s="61">
        <v>7.4546893805151004E-2</v>
      </c>
      <c r="AB47" s="61">
        <v>1.7209731425580199E-6</v>
      </c>
      <c r="AC47" s="61">
        <v>0.1</v>
      </c>
      <c r="AD47" s="61">
        <v>100</v>
      </c>
      <c r="AE47" s="61">
        <v>11.1082169753281</v>
      </c>
      <c r="AF47" s="61">
        <v>92.363221637625401</v>
      </c>
      <c r="AG47" s="61">
        <v>19.6942156559561</v>
      </c>
      <c r="AH47" s="61">
        <f t="shared" si="0"/>
        <v>1.11082169753281</v>
      </c>
      <c r="AI47" s="61">
        <f t="shared" si="27"/>
        <v>1.96942156559561</v>
      </c>
      <c r="AJ47" s="61">
        <f t="shared" si="28"/>
        <v>1.11082169753281</v>
      </c>
      <c r="AK47" s="61">
        <f t="shared" si="28"/>
        <v>1.96942156559561</v>
      </c>
      <c r="AL47" s="61">
        <f t="shared" si="1"/>
        <v>0.61456810677540286</v>
      </c>
      <c r="AM47" s="61">
        <f t="shared" si="29"/>
        <v>0.49625359075740716</v>
      </c>
      <c r="AN47" s="61">
        <f t="shared" si="30"/>
        <v>0.61456810677540286</v>
      </c>
      <c r="AO47" s="69">
        <f t="shared" si="2"/>
        <v>1.7744466230058299E-3</v>
      </c>
      <c r="AP47" s="69">
        <f t="shared" si="3"/>
        <v>1.29277428249248E-6</v>
      </c>
      <c r="AQ47" s="69">
        <f t="shared" si="4"/>
        <v>3.3739048286900594E-2</v>
      </c>
      <c r="AR47" s="61">
        <f t="shared" si="31"/>
        <v>10</v>
      </c>
      <c r="AS47" s="69">
        <f t="shared" si="5"/>
        <v>0.154143585092054</v>
      </c>
      <c r="AT47" s="70">
        <f t="shared" si="6"/>
        <v>0.154143585092054</v>
      </c>
      <c r="AU47" s="69">
        <f t="shared" si="7"/>
        <v>3.4254130020456498E-2</v>
      </c>
      <c r="AV47" s="69">
        <f t="shared" si="43"/>
        <v>0.15236913846904818</v>
      </c>
      <c r="AW47" s="70">
        <f t="shared" si="43"/>
        <v>0.15414229231777152</v>
      </c>
      <c r="AX47" s="69">
        <f t="shared" si="43"/>
        <v>5.1508173355590409E-4</v>
      </c>
      <c r="AY47" s="69">
        <f t="shared" si="9"/>
        <v>0.14895476409059008</v>
      </c>
      <c r="AZ47" s="61">
        <f t="shared" si="10"/>
        <v>7.3280320108512608E-3</v>
      </c>
      <c r="BA47" s="61">
        <f t="shared" si="11"/>
        <v>5.1169241193515624E-4</v>
      </c>
      <c r="BB47" s="69">
        <f t="shared" si="12"/>
        <v>95.00000000183833</v>
      </c>
      <c r="BC47" s="69">
        <f t="shared" si="13"/>
        <v>0.15679448851337649</v>
      </c>
      <c r="BD47" s="69">
        <f t="shared" si="14"/>
        <v>0.30600509880993415</v>
      </c>
      <c r="BE47" s="69">
        <f t="shared" si="15"/>
        <v>0.31410066943868814</v>
      </c>
      <c r="BF47" s="61">
        <f t="shared" si="16"/>
        <v>3.414374378464985E-3</v>
      </c>
      <c r="BG47" s="61">
        <f t="shared" si="17"/>
        <v>0.14681426030803016</v>
      </c>
      <c r="BH47" s="61">
        <f t="shared" si="18"/>
        <v>3.3893216207646124E-6</v>
      </c>
      <c r="BI47" s="61">
        <f t="shared" si="19"/>
        <v>0.30046743733785258</v>
      </c>
      <c r="BJ47" s="61">
        <f t="shared" si="20"/>
        <v>1.6689541282577574</v>
      </c>
      <c r="BK47" s="61">
        <f t="shared" si="21"/>
        <v>0.30046743733785258</v>
      </c>
      <c r="BL47" s="61">
        <f t="shared" si="32"/>
        <v>0.79672102809525969</v>
      </c>
      <c r="BM47" s="61">
        <f t="shared" si="33"/>
        <v>0.15364809304739127</v>
      </c>
      <c r="BN47" s="61">
        <f t="shared" si="34"/>
        <v>0.30046743733785258</v>
      </c>
      <c r="BO47" s="69">
        <f t="shared" si="22"/>
        <v>0.79672102809525969</v>
      </c>
      <c r="BP47" s="69">
        <f t="shared" si="23"/>
        <v>0.31410066943868814</v>
      </c>
      <c r="BQ47" s="64">
        <f t="shared" si="35"/>
        <v>2.22164339506562</v>
      </c>
      <c r="BR47" s="69">
        <f t="shared" si="24"/>
        <v>0.13759663039585229</v>
      </c>
      <c r="BS47" s="61">
        <f t="shared" si="25"/>
        <v>6.4319526019115347</v>
      </c>
      <c r="BT47" s="61">
        <f t="shared" si="26"/>
        <v>6.1314851645736823</v>
      </c>
      <c r="BU47" s="61">
        <f t="shared" si="36"/>
        <v>5.6352315738162755</v>
      </c>
      <c r="BV47" s="61">
        <f t="shared" si="37"/>
        <v>1.6689541282577574</v>
      </c>
      <c r="BW47" s="61">
        <f t="shared" si="38"/>
        <v>0.30046743733785258</v>
      </c>
      <c r="BX47" s="64">
        <f t="shared" si="39"/>
        <v>3.93884313119122</v>
      </c>
      <c r="BY47" s="61">
        <f t="shared" si="40"/>
        <v>0.13958568056921927</v>
      </c>
      <c r="BZ47" s="61">
        <f t="shared" si="41"/>
        <v>23.547359863683997</v>
      </c>
      <c r="CA47" s="61">
        <f t="shared" si="42"/>
        <v>21.878405735426242</v>
      </c>
      <c r="CB47" s="61">
        <f>AE47*O47/0.2</f>
        <v>5.5541084876640499</v>
      </c>
      <c r="CC47" s="61">
        <f>AG47*AC47/0.2</f>
        <v>9.84710782797805</v>
      </c>
      <c r="CD47" s="61">
        <f>CB47*'Oxidant Feed Composition'!$N$22</f>
        <v>0.55541084876640501</v>
      </c>
      <c r="CE47" s="61">
        <f>CC47*'Oxidant Feed Composition'!$N$22</f>
        <v>0.984710782797805</v>
      </c>
      <c r="CF47" s="61">
        <f>1.2*CB47</f>
        <v>6.6649301851968596</v>
      </c>
      <c r="CG47" s="61">
        <f>CC47*1.2</f>
        <v>11.81652939357366</v>
      </c>
      <c r="CH47" s="61">
        <f>BY47/('TEA Revised EYZ Inc'!CA47*'TEA Revised EYZ Inc'!BZ47)</f>
        <v>1.9999999999999993E-2</v>
      </c>
      <c r="CI47" s="84">
        <f>BR47/('TEA Revised EYZ Inc'!BY47)</f>
        <v>1.202666686845299E-2</v>
      </c>
    </row>
    <row r="48" spans="1:87">
      <c r="A48" s="61">
        <v>7</v>
      </c>
      <c r="B48" s="61">
        <v>1.54143585092054E-3</v>
      </c>
      <c r="C48" s="61">
        <v>1.54143585092054E-3</v>
      </c>
      <c r="D48" s="61">
        <v>3.4254130020456501E-4</v>
      </c>
      <c r="E48" s="61">
        <v>0</v>
      </c>
      <c r="F48" s="61">
        <v>0</v>
      </c>
      <c r="G48" s="61">
        <v>0</v>
      </c>
      <c r="H48" s="69">
        <v>1.7744466230058299E-5</v>
      </c>
      <c r="I48" s="69">
        <v>1.2927742824924801E-8</v>
      </c>
      <c r="J48" s="61">
        <v>3.3739048286900598E-4</v>
      </c>
      <c r="K48" s="61">
        <v>0.13716795306346499</v>
      </c>
      <c r="L48" s="61">
        <v>0.138764207307677</v>
      </c>
      <c r="M48" s="61">
        <v>4.6369433969460899E-4</v>
      </c>
      <c r="N48" s="61" t="s">
        <v>323</v>
      </c>
      <c r="O48" s="61">
        <v>0.1</v>
      </c>
      <c r="P48" s="61">
        <v>10</v>
      </c>
      <c r="Q48" s="61">
        <v>1.64967327652189E-3</v>
      </c>
      <c r="R48" s="61">
        <v>1.66887089455438E-3</v>
      </c>
      <c r="S48" s="61">
        <v>5.5766973522943398E-6</v>
      </c>
      <c r="T48" s="61">
        <v>0</v>
      </c>
      <c r="U48" s="61">
        <v>0</v>
      </c>
      <c r="V48" s="61">
        <v>0</v>
      </c>
      <c r="W48" s="61">
        <v>1.6127176023782901E-3</v>
      </c>
      <c r="X48" s="61">
        <v>7.93398614299424E-5</v>
      </c>
      <c r="Y48" s="61">
        <v>5.5400123786141803E-6</v>
      </c>
      <c r="Z48" s="61">
        <v>1.73331722315182E-3</v>
      </c>
      <c r="AA48" s="61">
        <v>7.4553139192579998E-2</v>
      </c>
      <c r="AB48" s="61">
        <v>1.72062066779231E-6</v>
      </c>
      <c r="AC48" s="61">
        <v>0.1</v>
      </c>
      <c r="AD48" s="61">
        <v>100</v>
      </c>
      <c r="AE48" s="61">
        <v>11.1082169753281</v>
      </c>
      <c r="AF48" s="61">
        <v>92.363221637625401</v>
      </c>
      <c r="AG48" s="61">
        <v>19.692558727263098</v>
      </c>
      <c r="AH48" s="61">
        <f t="shared" si="0"/>
        <v>1.11082169753281</v>
      </c>
      <c r="AI48" s="61">
        <f t="shared" si="27"/>
        <v>1.9692558727263099</v>
      </c>
      <c r="AJ48" s="61">
        <f t="shared" si="28"/>
        <v>1.11082169753281</v>
      </c>
      <c r="AK48" s="61">
        <f t="shared" si="28"/>
        <v>1.9692558727263099</v>
      </c>
      <c r="AL48" s="61">
        <f t="shared" si="1"/>
        <v>0.61456810677540286</v>
      </c>
      <c r="AM48" s="61">
        <f t="shared" si="29"/>
        <v>0.49625359075740716</v>
      </c>
      <c r="AN48" s="61">
        <f t="shared" si="30"/>
        <v>0.61456810677540286</v>
      </c>
      <c r="AO48" s="69">
        <f t="shared" si="2"/>
        <v>1.7744466230058299E-3</v>
      </c>
      <c r="AP48" s="69">
        <f t="shared" si="3"/>
        <v>1.29277428249248E-6</v>
      </c>
      <c r="AQ48" s="69">
        <f t="shared" si="4"/>
        <v>3.3739048286900594E-2</v>
      </c>
      <c r="AR48" s="61">
        <f t="shared" si="31"/>
        <v>10</v>
      </c>
      <c r="AS48" s="69">
        <f t="shared" si="5"/>
        <v>0.154143585092054</v>
      </c>
      <c r="AT48" s="70">
        <f t="shared" si="6"/>
        <v>0.154143585092054</v>
      </c>
      <c r="AU48" s="69">
        <f t="shared" si="7"/>
        <v>3.4254130020456498E-2</v>
      </c>
      <c r="AV48" s="69">
        <f t="shared" si="43"/>
        <v>0.15236913846904818</v>
      </c>
      <c r="AW48" s="70">
        <f t="shared" si="43"/>
        <v>0.15414229231777152</v>
      </c>
      <c r="AX48" s="69">
        <f t="shared" si="43"/>
        <v>5.1508173355590409E-4</v>
      </c>
      <c r="AY48" s="69">
        <f t="shared" si="9"/>
        <v>0.14895579334736583</v>
      </c>
      <c r="AZ48" s="61">
        <f t="shared" si="10"/>
        <v>7.3280852059522568E-3</v>
      </c>
      <c r="BA48" s="61">
        <f t="shared" si="11"/>
        <v>5.1169339120112978E-4</v>
      </c>
      <c r="BB48" s="69">
        <f t="shared" si="12"/>
        <v>95.000000000046285</v>
      </c>
      <c r="BC48" s="69">
        <f t="shared" si="13"/>
        <v>0.15679557194451924</v>
      </c>
      <c r="BD48" s="69">
        <f t="shared" si="14"/>
        <v>0.30600721198748559</v>
      </c>
      <c r="BE48" s="69">
        <f t="shared" si="15"/>
        <v>0.31410283728023958</v>
      </c>
      <c r="BF48" s="61">
        <f t="shared" si="16"/>
        <v>3.4133451209893812E-3</v>
      </c>
      <c r="BG48" s="61">
        <f t="shared" si="17"/>
        <v>0.14681420718517019</v>
      </c>
      <c r="BH48" s="61">
        <f t="shared" si="18"/>
        <v>3.3883423547842715E-6</v>
      </c>
      <c r="BI48" s="61">
        <f t="shared" si="19"/>
        <v>0.30046526963938347</v>
      </c>
      <c r="BJ48" s="61">
        <f t="shared" si="20"/>
        <v>1.6687906030869264</v>
      </c>
      <c r="BK48" s="61">
        <f t="shared" si="21"/>
        <v>0.30046526963938347</v>
      </c>
      <c r="BL48" s="61">
        <f t="shared" si="32"/>
        <v>0.79671886039679063</v>
      </c>
      <c r="BM48" s="61">
        <f t="shared" si="33"/>
        <v>0.15364597994068113</v>
      </c>
      <c r="BN48" s="61">
        <f t="shared" si="34"/>
        <v>0.30046526963938347</v>
      </c>
      <c r="BO48" s="69">
        <f t="shared" si="22"/>
        <v>0.79671886039679063</v>
      </c>
      <c r="BP48" s="69">
        <f t="shared" si="23"/>
        <v>0.31410283728023958</v>
      </c>
      <c r="BQ48" s="64">
        <f t="shared" si="35"/>
        <v>2.22164339506562</v>
      </c>
      <c r="BR48" s="69">
        <f t="shared" si="24"/>
        <v>0.13759746241828127</v>
      </c>
      <c r="BS48" s="61">
        <f t="shared" si="25"/>
        <v>6.4318962094811543</v>
      </c>
      <c r="BT48" s="61">
        <f t="shared" si="26"/>
        <v>6.1314309398417706</v>
      </c>
      <c r="BU48" s="61">
        <f t="shared" si="36"/>
        <v>5.6351773490843637</v>
      </c>
      <c r="BV48" s="61">
        <f t="shared" si="37"/>
        <v>1.6687906030869264</v>
      </c>
      <c r="BW48" s="61">
        <f t="shared" si="38"/>
        <v>0.30046526963938347</v>
      </c>
      <c r="BX48" s="64">
        <f t="shared" si="39"/>
        <v>3.9385117454526197</v>
      </c>
      <c r="BY48" s="61">
        <f t="shared" si="40"/>
        <v>0.13958391250555247</v>
      </c>
      <c r="BZ48" s="61">
        <f t="shared" si="41"/>
        <v>23.543369980753951</v>
      </c>
      <c r="CA48" s="61">
        <f t="shared" si="42"/>
        <v>21.874579377667025</v>
      </c>
      <c r="CB48" s="61">
        <f>AE48*O48/0.2</f>
        <v>5.5541084876640499</v>
      </c>
      <c r="CC48" s="61">
        <f>AG48*AC48/0.2</f>
        <v>9.8462793636315489</v>
      </c>
      <c r="CD48" s="61">
        <f>CB48*'Oxidant Feed Composition'!$N$22</f>
        <v>0.55541084876640501</v>
      </c>
      <c r="CE48" s="61">
        <f>CC48*'Oxidant Feed Composition'!$N$22</f>
        <v>0.98462793636315493</v>
      </c>
      <c r="CF48" s="61">
        <f>1.2*CB48</f>
        <v>6.6649301851968596</v>
      </c>
      <c r="CG48" s="61">
        <f>CC48*1.2</f>
        <v>11.815535236357858</v>
      </c>
      <c r="CH48" s="61">
        <f>BY48/('TEA Revised EYZ Inc'!CA48*'TEA Revised EYZ Inc'!BZ48)</f>
        <v>2.0000000000000004E-2</v>
      </c>
      <c r="CI48" s="84">
        <f>BR48/('TEA Revised EYZ Inc'!BY48)</f>
        <v>1.2026666868452992E-2</v>
      </c>
    </row>
    <row r="49" spans="1:87">
      <c r="A49" s="61">
        <v>7</v>
      </c>
      <c r="B49" s="61">
        <v>1.54143585092054E-3</v>
      </c>
      <c r="C49" s="61">
        <v>1.54143585092054E-3</v>
      </c>
      <c r="D49" s="61">
        <v>3.4254130020456501E-4</v>
      </c>
      <c r="E49" s="61">
        <v>0</v>
      </c>
      <c r="F49" s="61">
        <v>0</v>
      </c>
      <c r="G49" s="61">
        <v>0</v>
      </c>
      <c r="H49" s="69">
        <v>1.7744466230058299E-5</v>
      </c>
      <c r="I49" s="69">
        <v>1.2927742824924801E-8</v>
      </c>
      <c r="J49" s="61">
        <v>3.3739048286900598E-4</v>
      </c>
      <c r="K49" s="61">
        <v>0.13716795306346499</v>
      </c>
      <c r="L49" s="61">
        <v>0.138764207307677</v>
      </c>
      <c r="M49" s="61">
        <v>4.6369433969460899E-4</v>
      </c>
      <c r="N49" s="61" t="s">
        <v>323</v>
      </c>
      <c r="O49" s="61">
        <v>0.1</v>
      </c>
      <c r="P49" s="61">
        <v>11</v>
      </c>
      <c r="Q49" s="61">
        <v>1.64967327652189E-3</v>
      </c>
      <c r="R49" s="61">
        <v>1.66887089455438E-3</v>
      </c>
      <c r="S49" s="61">
        <v>5.5766973522943398E-6</v>
      </c>
      <c r="T49" s="61">
        <v>0</v>
      </c>
      <c r="U49" s="61">
        <v>0</v>
      </c>
      <c r="V49" s="61">
        <v>0</v>
      </c>
      <c r="W49" s="61">
        <v>1.6127207366253499E-3</v>
      </c>
      <c r="X49" s="61">
        <v>7.9340023409112399E-5</v>
      </c>
      <c r="Y49" s="61">
        <v>5.5400153606251003E-6</v>
      </c>
      <c r="Z49" s="61">
        <v>1.7332112363545699E-3</v>
      </c>
      <c r="AA49" s="61">
        <v>7.4554895947902003E-2</v>
      </c>
      <c r="AB49" s="61">
        <v>1.7205215207154199E-6</v>
      </c>
      <c r="AC49" s="61">
        <v>0.1</v>
      </c>
      <c r="AD49" s="61">
        <v>100</v>
      </c>
      <c r="AE49" s="61">
        <v>11.1082169753281</v>
      </c>
      <c r="AF49" s="61">
        <v>92.363221637625401</v>
      </c>
      <c r="AG49" s="61">
        <v>19.6920926931768</v>
      </c>
      <c r="AH49" s="61">
        <f t="shared" si="0"/>
        <v>1.11082169753281</v>
      </c>
      <c r="AI49" s="61">
        <f t="shared" si="27"/>
        <v>1.9692092693176801</v>
      </c>
      <c r="AJ49" s="61">
        <f t="shared" si="28"/>
        <v>1.11082169753281</v>
      </c>
      <c r="AK49" s="61">
        <f t="shared" si="28"/>
        <v>1.9692092693176801</v>
      </c>
      <c r="AL49" s="61">
        <f t="shared" si="1"/>
        <v>0.61456810677540286</v>
      </c>
      <c r="AM49" s="61">
        <f t="shared" si="29"/>
        <v>0.49625359075740716</v>
      </c>
      <c r="AN49" s="61">
        <f t="shared" si="30"/>
        <v>0.61456810677540286</v>
      </c>
      <c r="AO49" s="69">
        <f t="shared" si="2"/>
        <v>1.7744466230058299E-3</v>
      </c>
      <c r="AP49" s="69">
        <f t="shared" si="3"/>
        <v>1.29277428249248E-6</v>
      </c>
      <c r="AQ49" s="69">
        <f t="shared" si="4"/>
        <v>3.3739048286900594E-2</v>
      </c>
      <c r="AR49" s="61">
        <f t="shared" si="31"/>
        <v>10</v>
      </c>
      <c r="AS49" s="69">
        <f t="shared" si="5"/>
        <v>0.154143585092054</v>
      </c>
      <c r="AT49" s="70">
        <f t="shared" si="6"/>
        <v>0.154143585092054</v>
      </c>
      <c r="AU49" s="69">
        <f t="shared" si="7"/>
        <v>3.4254130020456498E-2</v>
      </c>
      <c r="AV49" s="69">
        <f t="shared" si="43"/>
        <v>0.15236913846904818</v>
      </c>
      <c r="AW49" s="70">
        <f t="shared" si="43"/>
        <v>0.15414229231777152</v>
      </c>
      <c r="AX49" s="69">
        <f t="shared" si="43"/>
        <v>5.1508173355590409E-4</v>
      </c>
      <c r="AY49" s="69">
        <f t="shared" si="9"/>
        <v>0.1489560828365217</v>
      </c>
      <c r="AZ49" s="61">
        <f t="shared" si="10"/>
        <v>7.3281001668702361E-3</v>
      </c>
      <c r="BA49" s="61">
        <f t="shared" si="11"/>
        <v>5.1169366662926537E-4</v>
      </c>
      <c r="BB49" s="69">
        <f t="shared" si="12"/>
        <v>95.000000000000995</v>
      </c>
      <c r="BC49" s="69">
        <f t="shared" si="13"/>
        <v>0.15679587667002121</v>
      </c>
      <c r="BD49" s="69">
        <f t="shared" si="14"/>
        <v>0.30600780633985752</v>
      </c>
      <c r="BE49" s="69">
        <f t="shared" si="15"/>
        <v>0.3141034470066717</v>
      </c>
      <c r="BF49" s="61">
        <f t="shared" si="16"/>
        <v>3.4130556323149759E-3</v>
      </c>
      <c r="BG49" s="61">
        <f t="shared" si="17"/>
        <v>0.14681419217362376</v>
      </c>
      <c r="BH49" s="61">
        <f t="shared" si="18"/>
        <v>3.3880669266533558E-6</v>
      </c>
      <c r="BI49" s="61">
        <f t="shared" si="19"/>
        <v>0.30046465981265746</v>
      </c>
      <c r="BJ49" s="61">
        <f t="shared" si="20"/>
        <v>1.6687446095050227</v>
      </c>
      <c r="BK49" s="61">
        <f t="shared" si="21"/>
        <v>0.30046465981265746</v>
      </c>
      <c r="BL49" s="61">
        <f t="shared" si="32"/>
        <v>0.79671825057006462</v>
      </c>
      <c r="BM49" s="61">
        <f t="shared" si="33"/>
        <v>0.15364538553864371</v>
      </c>
      <c r="BN49" s="61">
        <f t="shared" si="34"/>
        <v>0.30046465981265746</v>
      </c>
      <c r="BO49" s="69">
        <f t="shared" si="22"/>
        <v>0.79671825057006462</v>
      </c>
      <c r="BP49" s="69">
        <f t="shared" si="23"/>
        <v>0.3141034470066717</v>
      </c>
      <c r="BQ49" s="64">
        <f t="shared" si="35"/>
        <v>2.22164339506562</v>
      </c>
      <c r="BR49" s="69">
        <f t="shared" si="24"/>
        <v>0.13759769643239131</v>
      </c>
      <c r="BS49" s="61">
        <f t="shared" si="25"/>
        <v>6.4318803475642552</v>
      </c>
      <c r="BT49" s="61">
        <f t="shared" si="26"/>
        <v>6.1314156877515975</v>
      </c>
      <c r="BU49" s="61">
        <f t="shared" si="36"/>
        <v>5.6351620969941907</v>
      </c>
      <c r="BV49" s="61">
        <f t="shared" si="37"/>
        <v>1.6687446095050227</v>
      </c>
      <c r="BW49" s="61">
        <f t="shared" si="38"/>
        <v>0.30046465981265746</v>
      </c>
      <c r="BX49" s="64">
        <f t="shared" si="39"/>
        <v>3.9384185386353603</v>
      </c>
      <c r="BY49" s="61">
        <f t="shared" si="40"/>
        <v>0.13958341513682176</v>
      </c>
      <c r="BZ49" s="61">
        <f t="shared" si="41"/>
        <v>23.542247837539374</v>
      </c>
      <c r="CA49" s="61">
        <f t="shared" si="42"/>
        <v>21.873503228034352</v>
      </c>
      <c r="CB49" s="61">
        <f>AE49*O49/0.2</f>
        <v>5.5541084876640499</v>
      </c>
      <c r="CC49" s="61">
        <f>AG49*AC49/0.2</f>
        <v>9.8460463465884001</v>
      </c>
      <c r="CD49" s="61">
        <f>CB49*'Oxidant Feed Composition'!$N$22</f>
        <v>0.55541084876640501</v>
      </c>
      <c r="CE49" s="61">
        <f>CC49*'Oxidant Feed Composition'!$N$22</f>
        <v>0.98460463465884007</v>
      </c>
      <c r="CF49" s="61">
        <f>1.2*CB49</f>
        <v>6.6649301851968596</v>
      </c>
      <c r="CG49" s="61">
        <f>CC49*1.2</f>
        <v>11.81525561590608</v>
      </c>
      <c r="CH49" s="61">
        <f>BY49/('TEA Revised EYZ Inc'!CA49*'TEA Revised EYZ Inc'!BZ49)</f>
        <v>0.02</v>
      </c>
      <c r="CI49" s="84">
        <f>BR49/('TEA Revised EYZ Inc'!BY49)</f>
        <v>1.2026666868452995E-2</v>
      </c>
    </row>
    <row r="50" spans="1:87">
      <c r="A50" s="61">
        <v>7</v>
      </c>
      <c r="B50" s="61">
        <v>1.54143585092054E-3</v>
      </c>
      <c r="C50" s="61">
        <v>1.54143585092054E-3</v>
      </c>
      <c r="D50" s="61">
        <v>3.4254130020456501E-4</v>
      </c>
      <c r="E50" s="61">
        <v>0</v>
      </c>
      <c r="F50" s="61">
        <v>0</v>
      </c>
      <c r="G50" s="61">
        <v>0</v>
      </c>
      <c r="H50" s="69">
        <v>1.7744466230058299E-5</v>
      </c>
      <c r="I50" s="69">
        <v>1.2927742824924801E-8</v>
      </c>
      <c r="J50" s="61">
        <v>3.3739048286900598E-4</v>
      </c>
      <c r="K50" s="61">
        <v>0.13716795306346499</v>
      </c>
      <c r="L50" s="61">
        <v>0.138764207307677</v>
      </c>
      <c r="M50" s="61">
        <v>4.6369433969460899E-4</v>
      </c>
      <c r="N50" s="61" t="s">
        <v>323</v>
      </c>
      <c r="O50" s="61">
        <v>0.1</v>
      </c>
      <c r="P50" s="61">
        <v>12</v>
      </c>
      <c r="Q50" s="61">
        <v>1.64967327652189E-3</v>
      </c>
      <c r="R50" s="61">
        <v>1.66887089455438E-3</v>
      </c>
      <c r="S50" s="61">
        <v>5.5766973522943398E-6</v>
      </c>
      <c r="T50" s="61">
        <v>0</v>
      </c>
      <c r="U50" s="61">
        <v>0</v>
      </c>
      <c r="V50" s="61">
        <v>0</v>
      </c>
      <c r="W50" s="61">
        <v>1.6127216178039401E-3</v>
      </c>
      <c r="X50" s="61">
        <v>7.9340068948572E-5</v>
      </c>
      <c r="Y50" s="61">
        <v>5.5400161990028701E-6</v>
      </c>
      <c r="Z50" s="61">
        <v>1.7331814378101901E-3</v>
      </c>
      <c r="AA50" s="61">
        <v>7.4555389865565105E-2</v>
      </c>
      <c r="AB50" s="61">
        <v>1.7204936451815799E-6</v>
      </c>
      <c r="AC50" s="61">
        <v>0.1</v>
      </c>
      <c r="AD50" s="61">
        <v>100</v>
      </c>
      <c r="AE50" s="61">
        <v>11.1082169753281</v>
      </c>
      <c r="AF50" s="61">
        <v>92.363221637625401</v>
      </c>
      <c r="AG50" s="61">
        <v>19.691961669677699</v>
      </c>
      <c r="AH50" s="61">
        <f t="shared" si="0"/>
        <v>1.11082169753281</v>
      </c>
      <c r="AI50" s="61">
        <f t="shared" si="27"/>
        <v>1.96919616696777</v>
      </c>
      <c r="AJ50" s="61">
        <f t="shared" si="28"/>
        <v>1.11082169753281</v>
      </c>
      <c r="AK50" s="61">
        <f t="shared" si="28"/>
        <v>1.96919616696777</v>
      </c>
      <c r="AL50" s="61">
        <f t="shared" si="1"/>
        <v>0.61456810677540286</v>
      </c>
      <c r="AM50" s="61">
        <f t="shared" si="29"/>
        <v>0.49625359075740716</v>
      </c>
      <c r="AN50" s="61">
        <f t="shared" si="30"/>
        <v>0.61456810677540286</v>
      </c>
      <c r="AO50" s="69">
        <f t="shared" si="2"/>
        <v>1.7744466230058299E-3</v>
      </c>
      <c r="AP50" s="69">
        <f t="shared" si="3"/>
        <v>1.29277428249248E-6</v>
      </c>
      <c r="AQ50" s="69">
        <f t="shared" si="4"/>
        <v>3.3739048286900594E-2</v>
      </c>
      <c r="AR50" s="61">
        <f t="shared" si="31"/>
        <v>10</v>
      </c>
      <c r="AS50" s="69">
        <f t="shared" si="5"/>
        <v>0.154143585092054</v>
      </c>
      <c r="AT50" s="70">
        <f t="shared" si="6"/>
        <v>0.154143585092054</v>
      </c>
      <c r="AU50" s="69">
        <f t="shared" si="7"/>
        <v>3.4254130020456498E-2</v>
      </c>
      <c r="AV50" s="69">
        <f t="shared" si="43"/>
        <v>0.15236913846904818</v>
      </c>
      <c r="AW50" s="70">
        <f t="shared" si="43"/>
        <v>0.15414229231777152</v>
      </c>
      <c r="AX50" s="69">
        <f t="shared" si="43"/>
        <v>5.1508173355590409E-4</v>
      </c>
      <c r="AY50" s="69">
        <f t="shared" si="9"/>
        <v>0.14895616422501512</v>
      </c>
      <c r="AZ50" s="61">
        <f t="shared" si="10"/>
        <v>7.3281043730414365E-3</v>
      </c>
      <c r="BA50" s="61">
        <f t="shared" si="11"/>
        <v>5.1169374406453711E-4</v>
      </c>
      <c r="BB50" s="69">
        <f t="shared" si="12"/>
        <v>95.000000000000057</v>
      </c>
      <c r="BC50" s="69">
        <f t="shared" si="13"/>
        <v>0.15679596234212109</v>
      </c>
      <c r="BD50" s="69">
        <f t="shared" si="14"/>
        <v>0.30600797343916847</v>
      </c>
      <c r="BE50" s="69">
        <f t="shared" si="15"/>
        <v>0.3141036184283067</v>
      </c>
      <c r="BF50" s="61">
        <f t="shared" si="16"/>
        <v>3.4129742439955148E-3</v>
      </c>
      <c r="BG50" s="61">
        <f t="shared" si="17"/>
        <v>0.14681418795005854</v>
      </c>
      <c r="BH50" s="61">
        <f t="shared" si="18"/>
        <v>3.3879894913839737E-6</v>
      </c>
      <c r="BI50" s="61">
        <f t="shared" si="19"/>
        <v>0.30046448835658224</v>
      </c>
      <c r="BJ50" s="61">
        <f t="shared" si="20"/>
        <v>1.6687316786111879</v>
      </c>
      <c r="BK50" s="61">
        <f t="shared" si="21"/>
        <v>0.30046448835658224</v>
      </c>
      <c r="BL50" s="61">
        <f t="shared" si="32"/>
        <v>0.7967180791139894</v>
      </c>
      <c r="BM50" s="61">
        <f t="shared" si="33"/>
        <v>0.15364521842228665</v>
      </c>
      <c r="BN50" s="61">
        <f t="shared" si="34"/>
        <v>0.30046448835658224</v>
      </c>
      <c r="BO50" s="69">
        <f t="shared" si="22"/>
        <v>0.7967180791139894</v>
      </c>
      <c r="BP50" s="69">
        <f t="shared" si="23"/>
        <v>0.3141036184283067</v>
      </c>
      <c r="BQ50" s="64">
        <f t="shared" si="35"/>
        <v>2.22164339506562</v>
      </c>
      <c r="BR50" s="69">
        <f t="shared" si="24"/>
        <v>0.13759776222430534</v>
      </c>
      <c r="BS50" s="61">
        <f t="shared" si="25"/>
        <v>6.4318758880233631</v>
      </c>
      <c r="BT50" s="61">
        <f t="shared" si="26"/>
        <v>6.1314113996667805</v>
      </c>
      <c r="BU50" s="61">
        <f t="shared" si="36"/>
        <v>5.6351578089093737</v>
      </c>
      <c r="BV50" s="61">
        <f t="shared" si="37"/>
        <v>1.6687316786111879</v>
      </c>
      <c r="BW50" s="61">
        <f t="shared" si="38"/>
        <v>0.30046448835658224</v>
      </c>
      <c r="BX50" s="64">
        <f t="shared" si="39"/>
        <v>3.93839233393554</v>
      </c>
      <c r="BY50" s="61">
        <f t="shared" si="40"/>
        <v>0.13958327529962947</v>
      </c>
      <c r="BZ50" s="61">
        <f t="shared" si="41"/>
        <v>23.541932356616417</v>
      </c>
      <c r="CA50" s="61">
        <f t="shared" si="42"/>
        <v>21.873200678005229</v>
      </c>
      <c r="CB50" s="61">
        <f>AE50*O50/0.2</f>
        <v>5.5541084876640499</v>
      </c>
      <c r="CC50" s="61">
        <f>AG50*AC50/0.2</f>
        <v>9.8459808348388496</v>
      </c>
      <c r="CD50" s="61">
        <f>CB50*'Oxidant Feed Composition'!$N$22</f>
        <v>0.55541084876640501</v>
      </c>
      <c r="CE50" s="61">
        <f>CC50*'Oxidant Feed Composition'!$N$22</f>
        <v>0.984598083483885</v>
      </c>
      <c r="CF50" s="61">
        <f>1.2*CB50</f>
        <v>6.6649301851968596</v>
      </c>
      <c r="CG50" s="61">
        <f>CC50*1.2</f>
        <v>11.815177001806619</v>
      </c>
      <c r="CH50" s="61">
        <f>BY50/('TEA Revised EYZ Inc'!CA50*'TEA Revised EYZ Inc'!BZ50)</f>
        <v>0.02</v>
      </c>
      <c r="CI50" s="84">
        <f>BR50/('TEA Revised EYZ Inc'!BY50)</f>
        <v>1.2026666868452994E-2</v>
      </c>
    </row>
    <row r="51" spans="1:87">
      <c r="A51" s="61">
        <v>7</v>
      </c>
      <c r="B51" s="61">
        <v>1.54143585092054E-3</v>
      </c>
      <c r="C51" s="61">
        <v>1.54143585092054E-3</v>
      </c>
      <c r="D51" s="61">
        <v>3.4254130020456501E-4</v>
      </c>
      <c r="E51" s="61">
        <v>0</v>
      </c>
      <c r="F51" s="61">
        <v>0</v>
      </c>
      <c r="G51" s="61">
        <v>0</v>
      </c>
      <c r="H51" s="69">
        <v>1.7744466230058299E-5</v>
      </c>
      <c r="I51" s="69">
        <v>1.2927742824924801E-8</v>
      </c>
      <c r="J51" s="61">
        <v>3.3739048286900598E-4</v>
      </c>
      <c r="K51" s="61">
        <v>0.13716795306346499</v>
      </c>
      <c r="L51" s="61">
        <v>0.138764207307677</v>
      </c>
      <c r="M51" s="61">
        <v>4.6369433969460899E-4</v>
      </c>
      <c r="N51" s="61" t="s">
        <v>323</v>
      </c>
      <c r="O51" s="61">
        <v>0.1</v>
      </c>
      <c r="P51" s="61">
        <v>13</v>
      </c>
      <c r="Q51" s="61">
        <v>1.64967327652189E-3</v>
      </c>
      <c r="R51" s="61">
        <v>1.66887089455438E-3</v>
      </c>
      <c r="S51" s="61">
        <v>5.5766973522943398E-6</v>
      </c>
      <c r="T51" s="61">
        <v>0</v>
      </c>
      <c r="U51" s="61">
        <v>0</v>
      </c>
      <c r="V51" s="61">
        <v>0</v>
      </c>
      <c r="W51" s="61">
        <v>1.61272186550998E-3</v>
      </c>
      <c r="X51" s="61">
        <v>7.93400817500593E-5</v>
      </c>
      <c r="Y51" s="61">
        <v>5.54001643467726E-6</v>
      </c>
      <c r="Z51" s="61">
        <v>1.7331730611392299E-3</v>
      </c>
      <c r="AA51" s="61">
        <v>7.4555528710795793E-2</v>
      </c>
      <c r="AB51" s="61">
        <v>1.7204858090881901E-6</v>
      </c>
      <c r="AC51" s="61">
        <v>0.1</v>
      </c>
      <c r="AD51" s="61">
        <v>100</v>
      </c>
      <c r="AE51" s="61">
        <v>11.1082169753281</v>
      </c>
      <c r="AF51" s="61">
        <v>92.363221637625401</v>
      </c>
      <c r="AG51" s="61">
        <v>19.691924837979698</v>
      </c>
      <c r="AH51" s="61">
        <f t="shared" si="0"/>
        <v>1.11082169753281</v>
      </c>
      <c r="AI51" s="61">
        <f t="shared" si="27"/>
        <v>1.96919248379797</v>
      </c>
      <c r="AJ51" s="61">
        <f t="shared" si="28"/>
        <v>1.11082169753281</v>
      </c>
      <c r="AK51" s="61">
        <f t="shared" si="28"/>
        <v>1.96919248379797</v>
      </c>
      <c r="AL51" s="61">
        <f t="shared" si="1"/>
        <v>0.61456810677540286</v>
      </c>
      <c r="AM51" s="61">
        <f t="shared" si="29"/>
        <v>0.49625359075740716</v>
      </c>
      <c r="AN51" s="61">
        <f t="shared" si="30"/>
        <v>0.61456810677540286</v>
      </c>
      <c r="AO51" s="69">
        <f t="shared" si="2"/>
        <v>1.7744466230058299E-3</v>
      </c>
      <c r="AP51" s="69">
        <f t="shared" si="3"/>
        <v>1.29277428249248E-6</v>
      </c>
      <c r="AQ51" s="69">
        <f t="shared" si="4"/>
        <v>3.3739048286900594E-2</v>
      </c>
      <c r="AR51" s="61">
        <f t="shared" si="31"/>
        <v>10</v>
      </c>
      <c r="AS51" s="69">
        <f t="shared" si="5"/>
        <v>0.154143585092054</v>
      </c>
      <c r="AT51" s="70">
        <f t="shared" si="6"/>
        <v>0.154143585092054</v>
      </c>
      <c r="AU51" s="69">
        <f t="shared" si="7"/>
        <v>3.4254130020456498E-2</v>
      </c>
      <c r="AV51" s="69">
        <f t="shared" si="43"/>
        <v>0.15236913846904818</v>
      </c>
      <c r="AW51" s="70">
        <f t="shared" si="43"/>
        <v>0.15414229231777152</v>
      </c>
      <c r="AX51" s="69">
        <f t="shared" si="43"/>
        <v>5.1508173355590409E-4</v>
      </c>
      <c r="AY51" s="69">
        <f t="shared" si="9"/>
        <v>0.14895618710394298</v>
      </c>
      <c r="AZ51" s="61">
        <f t="shared" si="10"/>
        <v>7.3281055554280453E-3</v>
      </c>
      <c r="BA51" s="61">
        <f t="shared" si="11"/>
        <v>5.1169376583218306E-4</v>
      </c>
      <c r="BB51" s="69">
        <f t="shared" si="12"/>
        <v>94.999999999999957</v>
      </c>
      <c r="BC51" s="69">
        <f t="shared" si="13"/>
        <v>0.1567959864252032</v>
      </c>
      <c r="BD51" s="69">
        <f t="shared" si="14"/>
        <v>0.30600802041206232</v>
      </c>
      <c r="BE51" s="69">
        <f t="shared" si="15"/>
        <v>0.31410366661623862</v>
      </c>
      <c r="BF51" s="61">
        <f t="shared" si="16"/>
        <v>3.4129513651164909E-3</v>
      </c>
      <c r="BG51" s="61">
        <f t="shared" si="17"/>
        <v>0.14681418676288283</v>
      </c>
      <c r="BH51" s="61">
        <f t="shared" si="18"/>
        <v>3.3879677237375331E-6</v>
      </c>
      <c r="BI51" s="61">
        <f t="shared" si="19"/>
        <v>0.30046444015916984</v>
      </c>
      <c r="BJ51" s="61">
        <f t="shared" si="20"/>
        <v>1.6687280436388001</v>
      </c>
      <c r="BK51" s="61">
        <f t="shared" si="21"/>
        <v>0.30046444015916984</v>
      </c>
      <c r="BL51" s="61">
        <f t="shared" si="32"/>
        <v>0.796718030916577</v>
      </c>
      <c r="BM51" s="61">
        <f t="shared" si="33"/>
        <v>0.15364517144470141</v>
      </c>
      <c r="BN51" s="61">
        <f t="shared" si="34"/>
        <v>0.30046444015916984</v>
      </c>
      <c r="BO51" s="69">
        <f t="shared" si="22"/>
        <v>0.796718030916577</v>
      </c>
      <c r="BP51" s="69">
        <f t="shared" si="23"/>
        <v>0.31410366661623862</v>
      </c>
      <c r="BQ51" s="64">
        <f t="shared" si="35"/>
        <v>2.22164339506562</v>
      </c>
      <c r="BR51" s="69">
        <f t="shared" si="24"/>
        <v>0.13759778071891365</v>
      </c>
      <c r="BS51" s="61">
        <f t="shared" si="25"/>
        <v>6.431874634414795</v>
      </c>
      <c r="BT51" s="61">
        <f t="shared" si="26"/>
        <v>6.1314101942556256</v>
      </c>
      <c r="BU51" s="61">
        <f t="shared" si="36"/>
        <v>5.6351566034982188</v>
      </c>
      <c r="BV51" s="61">
        <f t="shared" si="37"/>
        <v>1.6687280436388001</v>
      </c>
      <c r="BW51" s="61">
        <f t="shared" si="38"/>
        <v>0.30046444015916984</v>
      </c>
      <c r="BX51" s="64">
        <f t="shared" si="39"/>
        <v>3.9383849675959399</v>
      </c>
      <c r="BY51" s="61">
        <f t="shared" si="40"/>
        <v>0.13958323599029465</v>
      </c>
      <c r="BZ51" s="61">
        <f t="shared" si="41"/>
        <v>23.541843672866975</v>
      </c>
      <c r="CA51" s="61">
        <f t="shared" si="42"/>
        <v>21.873115629228174</v>
      </c>
      <c r="CB51" s="61">
        <f>AE51*O51/0.2</f>
        <v>5.5541084876640499</v>
      </c>
      <c r="CC51" s="61">
        <f>AG51*AC51/0.2</f>
        <v>9.8459624189898491</v>
      </c>
      <c r="CD51" s="61">
        <f>CB51*'Oxidant Feed Composition'!$N$22</f>
        <v>0.55541084876640501</v>
      </c>
      <c r="CE51" s="61">
        <f>CC51*'Oxidant Feed Composition'!$N$22</f>
        <v>0.98459624189898498</v>
      </c>
      <c r="CF51" s="61">
        <f>1.2*CB51</f>
        <v>6.6649301851968596</v>
      </c>
      <c r="CG51" s="61">
        <f>CC51*1.2</f>
        <v>11.815154902787819</v>
      </c>
      <c r="CH51" s="61">
        <f>BY51/('TEA Revised EYZ Inc'!CA51*'TEA Revised EYZ Inc'!BZ51)</f>
        <v>2.0000000000000004E-2</v>
      </c>
      <c r="CI51" s="84">
        <f>BR51/('TEA Revised EYZ Inc'!BY51)</f>
        <v>1.2026666868452992E-2</v>
      </c>
    </row>
    <row r="52" spans="1:87">
      <c r="A52" s="61">
        <v>8</v>
      </c>
      <c r="B52" s="61">
        <v>1.54143585092054E-3</v>
      </c>
      <c r="C52" s="61">
        <v>1.54143585092054E-3</v>
      </c>
      <c r="D52" s="61">
        <v>3.4254130020456501E-4</v>
      </c>
      <c r="E52" s="61">
        <v>0</v>
      </c>
      <c r="F52" s="61">
        <v>0</v>
      </c>
      <c r="G52" s="61">
        <v>0</v>
      </c>
      <c r="H52" s="69">
        <v>1.7762434284205799E-5</v>
      </c>
      <c r="I52" s="69">
        <v>4.4591984978445998E-9</v>
      </c>
      <c r="J52" s="61">
        <v>3.37570976171142E-4</v>
      </c>
      <c r="K52" s="61">
        <v>0.13846015972746001</v>
      </c>
      <c r="L52" s="61">
        <v>0.14007387303476199</v>
      </c>
      <c r="M52" s="61">
        <v>4.5166625081916902E-4</v>
      </c>
      <c r="N52" s="61" t="s">
        <v>323</v>
      </c>
      <c r="O52" s="61">
        <v>0.1</v>
      </c>
      <c r="P52" s="61">
        <v>4</v>
      </c>
      <c r="Q52" s="61">
        <v>1.6497294784823999E-3</v>
      </c>
      <c r="R52" s="61">
        <v>1.66895660069658E-3</v>
      </c>
      <c r="S52" s="61">
        <v>5.38152729188446E-6</v>
      </c>
      <c r="T52" s="61">
        <v>0</v>
      </c>
      <c r="U52" s="61">
        <v>0</v>
      </c>
      <c r="V52" s="61">
        <v>0</v>
      </c>
      <c r="W52" s="61">
        <v>1.6048042794156499E-3</v>
      </c>
      <c r="X52" s="61">
        <v>7.91245725580603E-5</v>
      </c>
      <c r="Y52" s="61">
        <v>5.33881057128359E-6</v>
      </c>
      <c r="Z52" s="61">
        <v>1.9876957232607701E-3</v>
      </c>
      <c r="AA52" s="61">
        <v>7.0341420588359904E-2</v>
      </c>
      <c r="AB52" s="61">
        <v>1.8899825621476501E-6</v>
      </c>
      <c r="AC52" s="61">
        <v>0.1</v>
      </c>
      <c r="AD52" s="61">
        <v>100</v>
      </c>
      <c r="AE52" s="61">
        <v>11.004417585793099</v>
      </c>
      <c r="AF52" s="61">
        <v>92.358985913147194</v>
      </c>
      <c r="AG52" s="61">
        <v>20.8746528965852</v>
      </c>
      <c r="AH52" s="61">
        <f t="shared" si="0"/>
        <v>1.10044175857931</v>
      </c>
      <c r="AI52" s="61">
        <f t="shared" si="27"/>
        <v>2.0874652896585202</v>
      </c>
      <c r="AJ52" s="61">
        <f t="shared" si="28"/>
        <v>1.10044175857931</v>
      </c>
      <c r="AK52" s="61">
        <f t="shared" si="28"/>
        <v>2.0874652896585202</v>
      </c>
      <c r="AL52" s="61">
        <f t="shared" si="1"/>
        <v>0.61451205888412053</v>
      </c>
      <c r="AM52" s="61">
        <f t="shared" si="29"/>
        <v>0.48592969969518951</v>
      </c>
      <c r="AN52" s="61">
        <f t="shared" si="30"/>
        <v>0.61451205888412053</v>
      </c>
      <c r="AO52" s="69">
        <f t="shared" si="2"/>
        <v>1.7762434284205799E-3</v>
      </c>
      <c r="AP52" s="69">
        <f t="shared" si="3"/>
        <v>4.4591984978445997E-7</v>
      </c>
      <c r="AQ52" s="69">
        <f t="shared" si="4"/>
        <v>3.37570976171142E-2</v>
      </c>
      <c r="AR52" s="61">
        <f t="shared" si="31"/>
        <v>10</v>
      </c>
      <c r="AS52" s="69">
        <f t="shared" si="5"/>
        <v>0.154143585092054</v>
      </c>
      <c r="AT52" s="70">
        <f t="shared" si="6"/>
        <v>0.154143585092054</v>
      </c>
      <c r="AU52" s="69">
        <f t="shared" si="7"/>
        <v>3.4254130020456498E-2</v>
      </c>
      <c r="AV52" s="69">
        <f t="shared" si="43"/>
        <v>0.15236734166363342</v>
      </c>
      <c r="AW52" s="70">
        <f t="shared" si="43"/>
        <v>0.15414313917220421</v>
      </c>
      <c r="AX52" s="69">
        <f t="shared" si="43"/>
        <v>4.9703240334229848E-4</v>
      </c>
      <c r="AY52" s="69">
        <f t="shared" si="9"/>
        <v>0.14821809583590834</v>
      </c>
      <c r="AZ52" s="61">
        <f t="shared" si="10"/>
        <v>7.3078652822736847E-3</v>
      </c>
      <c r="BA52" s="61">
        <f t="shared" si="11"/>
        <v>4.9308713034614243E-4</v>
      </c>
      <c r="BB52" s="69">
        <f t="shared" si="12"/>
        <v>94.999999999876025</v>
      </c>
      <c r="BC52" s="69">
        <f t="shared" si="13"/>
        <v>0.15601904824852816</v>
      </c>
      <c r="BD52" s="69">
        <f t="shared" si="14"/>
        <v>0.30448368764960954</v>
      </c>
      <c r="BE52" s="69">
        <f t="shared" si="15"/>
        <v>0.31253118362740245</v>
      </c>
      <c r="BF52" s="61">
        <f t="shared" si="16"/>
        <v>4.1492458287095456E-3</v>
      </c>
      <c r="BG52" s="61">
        <f t="shared" si="17"/>
        <v>0.14683527390347251</v>
      </c>
      <c r="BH52" s="61">
        <f t="shared" si="18"/>
        <v>3.9452729965430964E-6</v>
      </c>
      <c r="BI52" s="61">
        <f t="shared" si="19"/>
        <v>0.30198087528335371</v>
      </c>
      <c r="BJ52" s="61">
        <f t="shared" si="20"/>
        <v>1.7854844143751665</v>
      </c>
      <c r="BK52" s="61">
        <f t="shared" si="21"/>
        <v>0.30198087528335371</v>
      </c>
      <c r="BL52" s="61">
        <f t="shared" si="32"/>
        <v>0.78791057497854322</v>
      </c>
      <c r="BM52" s="61">
        <f t="shared" si="33"/>
        <v>0.1551396834703864</v>
      </c>
      <c r="BN52" s="61">
        <f t="shared" si="34"/>
        <v>0.30198087528335371</v>
      </c>
      <c r="BO52" s="69">
        <f t="shared" si="22"/>
        <v>0.78791057497854322</v>
      </c>
      <c r="BP52" s="69">
        <f t="shared" si="23"/>
        <v>0.31253118362740245</v>
      </c>
      <c r="BQ52" s="64">
        <f t="shared" si="35"/>
        <v>2.2008835171586201</v>
      </c>
      <c r="BR52" s="69">
        <f t="shared" si="24"/>
        <v>0.13683470746560719</v>
      </c>
      <c r="BS52" s="61">
        <f t="shared" si="25"/>
        <v>6.3364749689003617</v>
      </c>
      <c r="BT52" s="61">
        <f t="shared" si="26"/>
        <v>6.0344940936170079</v>
      </c>
      <c r="BU52" s="61">
        <f t="shared" si="36"/>
        <v>5.5485643939218185</v>
      </c>
      <c r="BV52" s="61">
        <f t="shared" si="37"/>
        <v>1.7854844143751665</v>
      </c>
      <c r="BW52" s="61">
        <f t="shared" si="38"/>
        <v>0.30198087528335371</v>
      </c>
      <c r="BX52" s="64">
        <f t="shared" si="39"/>
        <v>4.1749305793170404</v>
      </c>
      <c r="BY52" s="61">
        <f t="shared" si="40"/>
        <v>0.14080568751185324</v>
      </c>
      <c r="BZ52" s="61">
        <f t="shared" si="41"/>
        <v>26.470072381988647</v>
      </c>
      <c r="CA52" s="61">
        <f t="shared" si="42"/>
        <v>24.684587967613481</v>
      </c>
      <c r="CB52" s="61">
        <f>AE52*O52/0.2</f>
        <v>5.5022087928965497</v>
      </c>
      <c r="CC52" s="61">
        <f>AG52*AC52/0.2</f>
        <v>10.4373264482926</v>
      </c>
      <c r="CD52" s="61">
        <f>CB52*'Oxidant Feed Composition'!$N$22</f>
        <v>0.55022087928965502</v>
      </c>
      <c r="CE52" s="61">
        <f>CC52*'Oxidant Feed Composition'!$N$22</f>
        <v>1.0437326448292601</v>
      </c>
      <c r="CF52" s="61">
        <f>1.2*CB52</f>
        <v>6.6026505514758593</v>
      </c>
      <c r="CG52" s="61">
        <f>CC52*1.2</f>
        <v>12.524791737951119</v>
      </c>
      <c r="CH52" s="61">
        <f>BY52/('TEA Revised EYZ Inc'!CA52*'TEA Revised EYZ Inc'!BZ52)</f>
        <v>0.02</v>
      </c>
      <c r="CI52" s="84">
        <f>BR52/('TEA Revised EYZ Inc'!BY52)</f>
        <v>1.1914831542370405E-2</v>
      </c>
    </row>
    <row r="53" spans="1:87">
      <c r="A53" s="61">
        <v>8</v>
      </c>
      <c r="B53" s="61">
        <v>1.54143585092054E-3</v>
      </c>
      <c r="C53" s="61">
        <v>1.54143585092054E-3</v>
      </c>
      <c r="D53" s="61">
        <v>3.4254130020456501E-4</v>
      </c>
      <c r="E53" s="61">
        <v>0</v>
      </c>
      <c r="F53" s="61">
        <v>0</v>
      </c>
      <c r="G53" s="61">
        <v>0</v>
      </c>
      <c r="H53" s="69">
        <v>1.7762434284205799E-5</v>
      </c>
      <c r="I53" s="69">
        <v>4.4591984978445998E-9</v>
      </c>
      <c r="J53" s="61">
        <v>3.37570976171142E-4</v>
      </c>
      <c r="K53" s="61">
        <v>0.13846015972746001</v>
      </c>
      <c r="L53" s="61">
        <v>0.14007387303476199</v>
      </c>
      <c r="M53" s="61">
        <v>4.5166625081916902E-4</v>
      </c>
      <c r="N53" s="61" t="s">
        <v>323</v>
      </c>
      <c r="O53" s="61">
        <v>0.1</v>
      </c>
      <c r="P53" s="61">
        <v>5</v>
      </c>
      <c r="Q53" s="61">
        <v>1.6497294784823999E-3</v>
      </c>
      <c r="R53" s="61">
        <v>1.66895660069658E-3</v>
      </c>
      <c r="S53" s="61">
        <v>5.38152729188446E-6</v>
      </c>
      <c r="T53" s="61">
        <v>0</v>
      </c>
      <c r="U53" s="61">
        <v>0</v>
      </c>
      <c r="V53" s="61">
        <v>0</v>
      </c>
      <c r="W53" s="61">
        <v>1.6104132966485E-3</v>
      </c>
      <c r="X53" s="61">
        <v>7.9414634231904594E-5</v>
      </c>
      <c r="Y53" s="61">
        <v>5.3439603602742398E-6</v>
      </c>
      <c r="Z53" s="61">
        <v>1.8119059661181E-3</v>
      </c>
      <c r="AA53" s="61">
        <v>7.3254839053204804E-2</v>
      </c>
      <c r="AB53" s="61">
        <v>1.7312908918998299E-6</v>
      </c>
      <c r="AC53" s="61">
        <v>0.1</v>
      </c>
      <c r="AD53" s="61">
        <v>100</v>
      </c>
      <c r="AE53" s="61">
        <v>11.004417585793099</v>
      </c>
      <c r="AF53" s="61">
        <v>92.358985913147194</v>
      </c>
      <c r="AG53" s="61">
        <v>20.040789930945397</v>
      </c>
      <c r="AH53" s="61">
        <f t="shared" si="0"/>
        <v>1.10044175857931</v>
      </c>
      <c r="AI53" s="61">
        <f t="shared" si="27"/>
        <v>2.0040789930945397</v>
      </c>
      <c r="AJ53" s="61">
        <f t="shared" si="28"/>
        <v>1.10044175857931</v>
      </c>
      <c r="AK53" s="61">
        <f t="shared" si="28"/>
        <v>2.0040789930945397</v>
      </c>
      <c r="AL53" s="61">
        <f t="shared" si="1"/>
        <v>0.61451205888412053</v>
      </c>
      <c r="AM53" s="61">
        <f t="shared" si="29"/>
        <v>0.48592969969518951</v>
      </c>
      <c r="AN53" s="61">
        <f t="shared" si="30"/>
        <v>0.61451205888412053</v>
      </c>
      <c r="AO53" s="69">
        <f t="shared" si="2"/>
        <v>1.7762434284205799E-3</v>
      </c>
      <c r="AP53" s="69">
        <f t="shared" si="3"/>
        <v>4.4591984978445997E-7</v>
      </c>
      <c r="AQ53" s="69">
        <f t="shared" si="4"/>
        <v>3.37570976171142E-2</v>
      </c>
      <c r="AR53" s="61">
        <f t="shared" si="31"/>
        <v>10</v>
      </c>
      <c r="AS53" s="69">
        <f t="shared" si="5"/>
        <v>0.154143585092054</v>
      </c>
      <c r="AT53" s="70">
        <f t="shared" si="6"/>
        <v>0.154143585092054</v>
      </c>
      <c r="AU53" s="69">
        <f t="shared" si="7"/>
        <v>3.4254130020456498E-2</v>
      </c>
      <c r="AV53" s="69">
        <f t="shared" si="43"/>
        <v>0.15236734166363342</v>
      </c>
      <c r="AW53" s="70">
        <f t="shared" si="43"/>
        <v>0.15414313917220421</v>
      </c>
      <c r="AX53" s="69">
        <f t="shared" si="43"/>
        <v>4.9703240334229848E-4</v>
      </c>
      <c r="AY53" s="69">
        <f t="shared" si="9"/>
        <v>0.14873613897950375</v>
      </c>
      <c r="AZ53" s="61">
        <f t="shared" si="10"/>
        <v>7.3346550843222131E-3</v>
      </c>
      <c r="BA53" s="61">
        <f t="shared" si="11"/>
        <v>4.9356275963498557E-4</v>
      </c>
      <c r="BB53" s="69">
        <f t="shared" si="12"/>
        <v>94.999999998221725</v>
      </c>
      <c r="BC53" s="69">
        <f t="shared" si="13"/>
        <v>0.15656435682346095</v>
      </c>
      <c r="BD53" s="69">
        <f t="shared" si="14"/>
        <v>0.30554727718278218</v>
      </c>
      <c r="BE53" s="69">
        <f t="shared" si="15"/>
        <v>0.31362227640655688</v>
      </c>
      <c r="BF53" s="61">
        <f t="shared" si="16"/>
        <v>3.631202684159951E-3</v>
      </c>
      <c r="BG53" s="61">
        <f t="shared" si="17"/>
        <v>0.14680848408904926</v>
      </c>
      <c r="BH53" s="61">
        <f t="shared" si="18"/>
        <v>3.4696437073923588E-6</v>
      </c>
      <c r="BI53" s="61">
        <f t="shared" si="19"/>
        <v>0.30088978247754061</v>
      </c>
      <c r="BJ53" s="61">
        <f t="shared" si="20"/>
        <v>1.703189210616999</v>
      </c>
      <c r="BK53" s="61">
        <f t="shared" si="21"/>
        <v>0.30088978247754061</v>
      </c>
      <c r="BL53" s="61">
        <f t="shared" si="32"/>
        <v>0.78681948217273012</v>
      </c>
      <c r="BM53" s="61">
        <f t="shared" si="33"/>
        <v>0.15407609392293026</v>
      </c>
      <c r="BN53" s="61">
        <f t="shared" si="34"/>
        <v>0.30088978247754061</v>
      </c>
      <c r="BO53" s="69">
        <f t="shared" si="22"/>
        <v>0.78681948217273012</v>
      </c>
      <c r="BP53" s="69">
        <f t="shared" si="23"/>
        <v>0.31362227640655688</v>
      </c>
      <c r="BQ53" s="64">
        <f t="shared" si="35"/>
        <v>2.2008835171586201</v>
      </c>
      <c r="BR53" s="69">
        <f t="shared" si="24"/>
        <v>0.13725283523373685</v>
      </c>
      <c r="BS53" s="61">
        <f t="shared" si="25"/>
        <v>6.3084235248919276</v>
      </c>
      <c r="BT53" s="61">
        <f t="shared" si="26"/>
        <v>6.0075337424143873</v>
      </c>
      <c r="BU53" s="61">
        <f t="shared" si="36"/>
        <v>5.5216040427191979</v>
      </c>
      <c r="BV53" s="61">
        <f t="shared" si="37"/>
        <v>1.703189210616999</v>
      </c>
      <c r="BW53" s="61">
        <f t="shared" si="38"/>
        <v>0.30088978247754061</v>
      </c>
      <c r="BX53" s="64">
        <f t="shared" si="39"/>
        <v>4.0081579861890795</v>
      </c>
      <c r="BY53" s="61">
        <f t="shared" si="40"/>
        <v>0.13993970934479047</v>
      </c>
      <c r="BZ53" s="61">
        <f t="shared" si="41"/>
        <v>24.391402084828375</v>
      </c>
      <c r="CA53" s="61">
        <f t="shared" si="42"/>
        <v>22.688212874211377</v>
      </c>
      <c r="CB53" s="61">
        <f>AE53*O53/0.2</f>
        <v>5.5022087928965497</v>
      </c>
      <c r="CC53" s="61">
        <f>AG53*AC53/0.2</f>
        <v>10.020394965472699</v>
      </c>
      <c r="CD53" s="61">
        <f>CB53*'Oxidant Feed Composition'!$N$22</f>
        <v>0.55022087928965502</v>
      </c>
      <c r="CE53" s="61">
        <f>CC53*'Oxidant Feed Composition'!$N$22</f>
        <v>1.0020394965472699</v>
      </c>
      <c r="CF53" s="61">
        <f>1.2*CB53</f>
        <v>6.6026505514758593</v>
      </c>
      <c r="CG53" s="61">
        <f>CC53*1.2</f>
        <v>12.024473958567238</v>
      </c>
      <c r="CH53" s="61">
        <f>BY53/('TEA Revised EYZ Inc'!CA53*'TEA Revised EYZ Inc'!BZ53)</f>
        <v>0.02</v>
      </c>
      <c r="CI53" s="84">
        <f>BR53/('TEA Revised EYZ Inc'!BY53)</f>
        <v>1.1914831542370408E-2</v>
      </c>
    </row>
    <row r="54" spans="1:87">
      <c r="A54" s="61">
        <v>8</v>
      </c>
      <c r="B54" s="61">
        <v>1.54143585092054E-3</v>
      </c>
      <c r="C54" s="61">
        <v>1.54143585092054E-3</v>
      </c>
      <c r="D54" s="61">
        <v>3.4254130020456501E-4</v>
      </c>
      <c r="E54" s="61">
        <v>0</v>
      </c>
      <c r="F54" s="61">
        <v>0</v>
      </c>
      <c r="G54" s="61">
        <v>0</v>
      </c>
      <c r="H54" s="69">
        <v>1.7762434284205799E-5</v>
      </c>
      <c r="I54" s="69">
        <v>4.4591984978445998E-9</v>
      </c>
      <c r="J54" s="61">
        <v>3.37570976171142E-4</v>
      </c>
      <c r="K54" s="61">
        <v>0.13846015972746001</v>
      </c>
      <c r="L54" s="61">
        <v>0.14007387303476199</v>
      </c>
      <c r="M54" s="61">
        <v>4.5166625081916902E-4</v>
      </c>
      <c r="N54" s="61" t="s">
        <v>323</v>
      </c>
      <c r="O54" s="61">
        <v>0.1</v>
      </c>
      <c r="P54" s="61">
        <v>6</v>
      </c>
      <c r="Q54" s="61">
        <v>1.6497294784823999E-3</v>
      </c>
      <c r="R54" s="61">
        <v>1.66895660069658E-3</v>
      </c>
      <c r="S54" s="61">
        <v>5.38152729188446E-6</v>
      </c>
      <c r="T54" s="61">
        <v>0</v>
      </c>
      <c r="U54" s="61">
        <v>0</v>
      </c>
      <c r="V54" s="61">
        <v>0</v>
      </c>
      <c r="W54" s="61">
        <v>1.6120973624594601E-3</v>
      </c>
      <c r="X54" s="61">
        <v>7.9501723318735999E-5</v>
      </c>
      <c r="Y54" s="61">
        <v>5.3455064946735699E-6</v>
      </c>
      <c r="Z54" s="61">
        <v>1.7562344447916399E-3</v>
      </c>
      <c r="AA54" s="61">
        <v>7.4177476557294494E-2</v>
      </c>
      <c r="AB54" s="61">
        <v>1.6810366111767E-6</v>
      </c>
      <c r="AC54" s="61">
        <v>0.1</v>
      </c>
      <c r="AD54" s="61">
        <v>100</v>
      </c>
      <c r="AE54" s="61">
        <v>11.004417585793099</v>
      </c>
      <c r="AF54" s="61">
        <v>92.358985913147194</v>
      </c>
      <c r="AG54" s="61">
        <v>19.790433355595599</v>
      </c>
      <c r="AH54" s="61">
        <f t="shared" si="0"/>
        <v>1.10044175857931</v>
      </c>
      <c r="AI54" s="61">
        <f t="shared" si="27"/>
        <v>1.97904333555956</v>
      </c>
      <c r="AJ54" s="61">
        <f t="shared" si="28"/>
        <v>1.10044175857931</v>
      </c>
      <c r="AK54" s="61">
        <f t="shared" si="28"/>
        <v>1.97904333555956</v>
      </c>
      <c r="AL54" s="61">
        <f t="shared" si="1"/>
        <v>0.61451205888412053</v>
      </c>
      <c r="AM54" s="61">
        <f t="shared" si="29"/>
        <v>0.48592969969518951</v>
      </c>
      <c r="AN54" s="61">
        <f t="shared" si="30"/>
        <v>0.61451205888412053</v>
      </c>
      <c r="AO54" s="69">
        <f t="shared" si="2"/>
        <v>1.7762434284205799E-3</v>
      </c>
      <c r="AP54" s="69">
        <f t="shared" si="3"/>
        <v>4.4591984978445997E-7</v>
      </c>
      <c r="AQ54" s="69">
        <f t="shared" si="4"/>
        <v>3.37570976171142E-2</v>
      </c>
      <c r="AR54" s="61">
        <f t="shared" si="31"/>
        <v>10</v>
      </c>
      <c r="AS54" s="69">
        <f t="shared" si="5"/>
        <v>0.154143585092054</v>
      </c>
      <c r="AT54" s="70">
        <f t="shared" si="6"/>
        <v>0.154143585092054</v>
      </c>
      <c r="AU54" s="69">
        <f t="shared" si="7"/>
        <v>3.4254130020456498E-2</v>
      </c>
      <c r="AV54" s="69">
        <f t="shared" si="43"/>
        <v>0.15236734166363342</v>
      </c>
      <c r="AW54" s="70">
        <f t="shared" si="43"/>
        <v>0.15414313917220421</v>
      </c>
      <c r="AX54" s="69">
        <f t="shared" si="43"/>
        <v>4.9703240334229848E-4</v>
      </c>
      <c r="AY54" s="69">
        <f t="shared" si="9"/>
        <v>0.14889167759001501</v>
      </c>
      <c r="AZ54" s="61">
        <f t="shared" si="10"/>
        <v>7.3426985440660638E-3</v>
      </c>
      <c r="BA54" s="61">
        <f t="shared" si="11"/>
        <v>4.9370555904019303E-4</v>
      </c>
      <c r="BB54" s="69">
        <f t="shared" si="12"/>
        <v>94.999999988227913</v>
      </c>
      <c r="BC54" s="69">
        <f t="shared" si="13"/>
        <v>0.15672808169312125</v>
      </c>
      <c r="BD54" s="69">
        <f t="shared" si="14"/>
        <v>0.30586661206265636</v>
      </c>
      <c r="BE54" s="69">
        <f t="shared" si="15"/>
        <v>0.31394986894528271</v>
      </c>
      <c r="BF54" s="61">
        <f t="shared" si="16"/>
        <v>3.4756640736450391E-3</v>
      </c>
      <c r="BG54" s="61">
        <f t="shared" si="17"/>
        <v>0.14680044062933917</v>
      </c>
      <c r="BH54" s="61">
        <f t="shared" si="18"/>
        <v>3.3268443021808755E-6</v>
      </c>
      <c r="BI54" s="61">
        <f t="shared" si="19"/>
        <v>0.30056218993887496</v>
      </c>
      <c r="BJ54" s="61">
        <f t="shared" si="20"/>
        <v>1.678481145620685</v>
      </c>
      <c r="BK54" s="61">
        <f t="shared" si="21"/>
        <v>0.30056218993887496</v>
      </c>
      <c r="BL54" s="61">
        <f t="shared" si="32"/>
        <v>0.78649188963406447</v>
      </c>
      <c r="BM54" s="61">
        <f t="shared" si="33"/>
        <v>0.1537567590430825</v>
      </c>
      <c r="BN54" s="61">
        <f t="shared" si="34"/>
        <v>0.30056218993887496</v>
      </c>
      <c r="BO54" s="69">
        <f t="shared" si="22"/>
        <v>0.78649188963406447</v>
      </c>
      <c r="BP54" s="69">
        <f t="shared" si="23"/>
        <v>0.31394986894528271</v>
      </c>
      <c r="BQ54" s="64">
        <f t="shared" si="35"/>
        <v>2.2008835171586201</v>
      </c>
      <c r="BR54" s="69">
        <f t="shared" si="24"/>
        <v>0.13737830418385291</v>
      </c>
      <c r="BS54" s="61">
        <f t="shared" si="25"/>
        <v>6.3000378646324986</v>
      </c>
      <c r="BT54" s="61">
        <f t="shared" si="26"/>
        <v>5.999475674693624</v>
      </c>
      <c r="BU54" s="61">
        <f t="shared" si="36"/>
        <v>5.5135459749984346</v>
      </c>
      <c r="BV54" s="61">
        <f t="shared" si="37"/>
        <v>1.678481145620685</v>
      </c>
      <c r="BW54" s="61">
        <f t="shared" si="38"/>
        <v>0.30056218993887496</v>
      </c>
      <c r="BX54" s="64">
        <f t="shared" si="39"/>
        <v>3.95808667111912</v>
      </c>
      <c r="BY54" s="61">
        <f t="shared" si="40"/>
        <v>0.13967472274103904</v>
      </c>
      <c r="BZ54" s="61">
        <f t="shared" si="41"/>
        <v>23.782305487455169</v>
      </c>
      <c r="CA54" s="61">
        <f t="shared" si="42"/>
        <v>22.103824341834482</v>
      </c>
      <c r="CB54" s="61">
        <f>AE54*O54/0.2</f>
        <v>5.5022087928965497</v>
      </c>
      <c r="CC54" s="61">
        <f>AG54*AC54/0.2</f>
        <v>9.8952166777977997</v>
      </c>
      <c r="CD54" s="61">
        <f>CB54*'Oxidant Feed Composition'!$N$22</f>
        <v>0.55022087928965502</v>
      </c>
      <c r="CE54" s="61">
        <f>CC54*'Oxidant Feed Composition'!$N$22</f>
        <v>0.98952166777978001</v>
      </c>
      <c r="CF54" s="61">
        <f>1.2*CB54</f>
        <v>6.6026505514758593</v>
      </c>
      <c r="CG54" s="61">
        <f>CC54*1.2</f>
        <v>11.874260013357359</v>
      </c>
      <c r="CH54" s="61">
        <f>BY54/('TEA Revised EYZ Inc'!CA54*'TEA Revised EYZ Inc'!BZ54)</f>
        <v>1.9999999999999997E-2</v>
      </c>
      <c r="CI54" s="84">
        <f>BR54/('TEA Revised EYZ Inc'!BY54)</f>
        <v>1.1914831542370405E-2</v>
      </c>
    </row>
    <row r="55" spans="1:87">
      <c r="A55" s="61">
        <v>8</v>
      </c>
      <c r="B55" s="61">
        <v>1.54143585092054E-3</v>
      </c>
      <c r="C55" s="61">
        <v>1.54143585092054E-3</v>
      </c>
      <c r="D55" s="61">
        <v>3.4254130020456501E-4</v>
      </c>
      <c r="E55" s="61">
        <v>0</v>
      </c>
      <c r="F55" s="61">
        <v>0</v>
      </c>
      <c r="G55" s="61">
        <v>0</v>
      </c>
      <c r="H55" s="69">
        <v>1.7762434284205799E-5</v>
      </c>
      <c r="I55" s="69">
        <v>4.4591984978445998E-9</v>
      </c>
      <c r="J55" s="61">
        <v>3.37570976171142E-4</v>
      </c>
      <c r="K55" s="61">
        <v>0.13846015972746001</v>
      </c>
      <c r="L55" s="61">
        <v>0.14007387303476199</v>
      </c>
      <c r="M55" s="61">
        <v>4.5166625081916902E-4</v>
      </c>
      <c r="N55" s="61" t="s">
        <v>323</v>
      </c>
      <c r="O55" s="61">
        <v>0.1</v>
      </c>
      <c r="P55" s="61">
        <v>7</v>
      </c>
      <c r="Q55" s="61">
        <v>1.6497294784823999E-3</v>
      </c>
      <c r="R55" s="61">
        <v>1.66895660069658E-3</v>
      </c>
      <c r="S55" s="61">
        <v>5.38152729188446E-6</v>
      </c>
      <c r="T55" s="61">
        <v>0</v>
      </c>
      <c r="U55" s="61">
        <v>0</v>
      </c>
      <c r="V55" s="61">
        <v>0</v>
      </c>
      <c r="W55" s="61">
        <v>1.6125869955133201E-3</v>
      </c>
      <c r="X55" s="61">
        <v>7.9527043739658596E-5</v>
      </c>
      <c r="Y55" s="61">
        <v>5.3459560242007103E-6</v>
      </c>
      <c r="Z55" s="61">
        <v>1.7397829738956801E-3</v>
      </c>
      <c r="AA55" s="61">
        <v>7.4450124503133999E-2</v>
      </c>
      <c r="AB55" s="61">
        <v>1.6661860201321599E-6</v>
      </c>
      <c r="AC55" s="61">
        <v>0.1</v>
      </c>
      <c r="AD55" s="61">
        <v>100</v>
      </c>
      <c r="AE55" s="61">
        <v>11.004417585793099</v>
      </c>
      <c r="AF55" s="61">
        <v>92.358985913147194</v>
      </c>
      <c r="AG55" s="61">
        <v>19.7176435957374</v>
      </c>
      <c r="AH55" s="61">
        <f t="shared" si="0"/>
        <v>1.10044175857931</v>
      </c>
      <c r="AI55" s="61">
        <f t="shared" si="27"/>
        <v>1.97176435957374</v>
      </c>
      <c r="AJ55" s="61">
        <f t="shared" si="28"/>
        <v>1.10044175857931</v>
      </c>
      <c r="AK55" s="61">
        <f t="shared" si="28"/>
        <v>1.97176435957374</v>
      </c>
      <c r="AL55" s="61">
        <f t="shared" si="1"/>
        <v>0.61451205888412053</v>
      </c>
      <c r="AM55" s="61">
        <f t="shared" si="29"/>
        <v>0.48592969969518951</v>
      </c>
      <c r="AN55" s="61">
        <f t="shared" si="30"/>
        <v>0.61451205888412053</v>
      </c>
      <c r="AO55" s="69">
        <f t="shared" si="2"/>
        <v>1.7762434284205799E-3</v>
      </c>
      <c r="AP55" s="69">
        <f t="shared" si="3"/>
        <v>4.4591984978445997E-7</v>
      </c>
      <c r="AQ55" s="69">
        <f t="shared" si="4"/>
        <v>3.37570976171142E-2</v>
      </c>
      <c r="AR55" s="61">
        <f t="shared" si="31"/>
        <v>10</v>
      </c>
      <c r="AS55" s="69">
        <f t="shared" si="5"/>
        <v>0.154143585092054</v>
      </c>
      <c r="AT55" s="70">
        <f t="shared" si="6"/>
        <v>0.154143585092054</v>
      </c>
      <c r="AU55" s="69">
        <f t="shared" si="7"/>
        <v>3.4254130020456498E-2</v>
      </c>
      <c r="AV55" s="69">
        <f t="shared" si="43"/>
        <v>0.15236734166363342</v>
      </c>
      <c r="AW55" s="70">
        <f t="shared" si="43"/>
        <v>0.15414313917220421</v>
      </c>
      <c r="AX55" s="69">
        <f t="shared" si="43"/>
        <v>4.9703240334229848E-4</v>
      </c>
      <c r="AY55" s="69">
        <f t="shared" si="9"/>
        <v>0.14893689960233908</v>
      </c>
      <c r="AZ55" s="61">
        <f t="shared" si="10"/>
        <v>7.3450371124653691E-3</v>
      </c>
      <c r="BA55" s="61">
        <f t="shared" si="11"/>
        <v>4.937470771314578E-4</v>
      </c>
      <c r="BB55" s="69">
        <f t="shared" si="12"/>
        <v>94.999999999999986</v>
      </c>
      <c r="BC55" s="69">
        <f t="shared" si="13"/>
        <v>0.1567756837919359</v>
      </c>
      <c r="BD55" s="69">
        <f t="shared" si="14"/>
        <v>0.30595945693284071</v>
      </c>
      <c r="BE55" s="69">
        <f t="shared" si="15"/>
        <v>0.31404511466100327</v>
      </c>
      <c r="BF55" s="61">
        <f t="shared" si="16"/>
        <v>3.4304420613207125E-3</v>
      </c>
      <c r="BG55" s="61">
        <f t="shared" si="17"/>
        <v>0.14679810206110722</v>
      </c>
      <c r="BH55" s="61">
        <f t="shared" si="18"/>
        <v>3.2853262109166071E-6</v>
      </c>
      <c r="BI55" s="61">
        <f t="shared" si="19"/>
        <v>0.30046694422348857</v>
      </c>
      <c r="BJ55" s="61">
        <f t="shared" si="20"/>
        <v>1.6712974153502513</v>
      </c>
      <c r="BK55" s="61">
        <f t="shared" si="21"/>
        <v>0.30046694422348857</v>
      </c>
      <c r="BL55" s="61">
        <f t="shared" si="32"/>
        <v>0.78639664391867803</v>
      </c>
      <c r="BM55" s="61">
        <f t="shared" si="33"/>
        <v>0.15366391417306502</v>
      </c>
      <c r="BN55" s="61">
        <f t="shared" si="34"/>
        <v>0.30046694422348857</v>
      </c>
      <c r="BO55" s="69">
        <f t="shared" si="22"/>
        <v>0.78639664391867803</v>
      </c>
      <c r="BP55" s="69">
        <f t="shared" si="23"/>
        <v>0.31404511466100327</v>
      </c>
      <c r="BQ55" s="64">
        <f t="shared" si="35"/>
        <v>2.2008835171586201</v>
      </c>
      <c r="BR55" s="69">
        <f t="shared" si="24"/>
        <v>0.13741477745265174</v>
      </c>
      <c r="BS55" s="61">
        <f t="shared" si="25"/>
        <v>6.297602934829321</v>
      </c>
      <c r="BT55" s="61">
        <f t="shared" si="26"/>
        <v>5.9971359906058321</v>
      </c>
      <c r="BU55" s="61">
        <f t="shared" si="36"/>
        <v>5.5112062909106427</v>
      </c>
      <c r="BV55" s="61">
        <f t="shared" si="37"/>
        <v>1.6712974153502513</v>
      </c>
      <c r="BW55" s="61">
        <f t="shared" si="38"/>
        <v>0.30046694422348857</v>
      </c>
      <c r="BX55" s="64">
        <f t="shared" si="39"/>
        <v>3.9435287191474799</v>
      </c>
      <c r="BY55" s="61">
        <f t="shared" si="40"/>
        <v>0.13959722366429744</v>
      </c>
      <c r="BZ55" s="61">
        <f t="shared" si="41"/>
        <v>23.60652018237916</v>
      </c>
      <c r="CA55" s="61">
        <f t="shared" si="42"/>
        <v>21.935222767028907</v>
      </c>
      <c r="CB55" s="61">
        <f>AE55*O55/0.2</f>
        <v>5.5022087928965497</v>
      </c>
      <c r="CC55" s="61">
        <f>AG55*AC55/0.2</f>
        <v>9.8588217978686998</v>
      </c>
      <c r="CD55" s="61">
        <f>CB55*'Oxidant Feed Composition'!$N$22</f>
        <v>0.55022087928965502</v>
      </c>
      <c r="CE55" s="61">
        <f>CC55*'Oxidant Feed Composition'!$N$22</f>
        <v>0.98588217978686998</v>
      </c>
      <c r="CF55" s="61">
        <f>1.2*CB55</f>
        <v>6.6026505514758593</v>
      </c>
      <c r="CG55" s="61">
        <f>CC55*1.2</f>
        <v>11.83058615744244</v>
      </c>
      <c r="CH55" s="61">
        <f>BY55/('TEA Revised EYZ Inc'!CA55*'TEA Revised EYZ Inc'!BZ55)</f>
        <v>1.9999999999999993E-2</v>
      </c>
      <c r="CI55" s="84">
        <f>BR55/('TEA Revised EYZ Inc'!BY55)</f>
        <v>1.1914831542370403E-2</v>
      </c>
    </row>
    <row r="56" spans="1:87">
      <c r="A56" s="61">
        <v>8</v>
      </c>
      <c r="B56" s="61">
        <v>1.54143585092054E-3</v>
      </c>
      <c r="C56" s="61">
        <v>1.54143585092054E-3</v>
      </c>
      <c r="D56" s="61">
        <v>3.4254130020456501E-4</v>
      </c>
      <c r="E56" s="61">
        <v>0</v>
      </c>
      <c r="F56" s="61">
        <v>0</v>
      </c>
      <c r="G56" s="61">
        <v>0</v>
      </c>
      <c r="H56" s="69">
        <v>1.7762434284205799E-5</v>
      </c>
      <c r="I56" s="69">
        <v>4.4591984978445998E-9</v>
      </c>
      <c r="J56" s="61">
        <v>3.37570976171142E-4</v>
      </c>
      <c r="K56" s="61">
        <v>0.13846015972746001</v>
      </c>
      <c r="L56" s="61">
        <v>0.14007387303476199</v>
      </c>
      <c r="M56" s="61">
        <v>4.5166625081916902E-4</v>
      </c>
      <c r="N56" s="61" t="s">
        <v>323</v>
      </c>
      <c r="O56" s="61">
        <v>0.1</v>
      </c>
      <c r="P56" s="61">
        <v>8</v>
      </c>
      <c r="Q56" s="61">
        <v>1.6497294784823999E-3</v>
      </c>
      <c r="R56" s="61">
        <v>1.66895660069658E-3</v>
      </c>
      <c r="S56" s="61">
        <v>5.38152729188446E-6</v>
      </c>
      <c r="T56" s="61">
        <v>0</v>
      </c>
      <c r="U56" s="61">
        <v>0</v>
      </c>
      <c r="V56" s="61">
        <v>0</v>
      </c>
      <c r="W56" s="61">
        <v>1.6127265357375701E-3</v>
      </c>
      <c r="X56" s="61">
        <v>7.9534259850848901E-5</v>
      </c>
      <c r="Y56" s="61">
        <v>5.3460841353395197E-6</v>
      </c>
      <c r="Z56" s="61">
        <v>1.7350722139013899E-3</v>
      </c>
      <c r="AA56" s="61">
        <v>7.4528195270851597E-2</v>
      </c>
      <c r="AB56" s="61">
        <v>1.6619336609946501E-6</v>
      </c>
      <c r="AC56" s="61">
        <v>0.1</v>
      </c>
      <c r="AD56" s="61">
        <v>100</v>
      </c>
      <c r="AE56" s="61">
        <v>11.004417585793099</v>
      </c>
      <c r="AF56" s="61">
        <v>92.358985913147194</v>
      </c>
      <c r="AG56" s="61">
        <v>19.696899297954801</v>
      </c>
      <c r="AH56" s="61">
        <f t="shared" si="0"/>
        <v>1.10044175857931</v>
      </c>
      <c r="AI56" s="61">
        <f t="shared" si="27"/>
        <v>1.9696899297954802</v>
      </c>
      <c r="AJ56" s="61">
        <f t="shared" si="28"/>
        <v>1.10044175857931</v>
      </c>
      <c r="AK56" s="61">
        <f t="shared" si="28"/>
        <v>1.9696899297954802</v>
      </c>
      <c r="AL56" s="61">
        <f t="shared" si="1"/>
        <v>0.61451205888412053</v>
      </c>
      <c r="AM56" s="61">
        <f t="shared" si="29"/>
        <v>0.48592969969518951</v>
      </c>
      <c r="AN56" s="61">
        <f t="shared" si="30"/>
        <v>0.61451205888412053</v>
      </c>
      <c r="AO56" s="69">
        <f t="shared" si="2"/>
        <v>1.7762434284205799E-3</v>
      </c>
      <c r="AP56" s="69">
        <f t="shared" si="3"/>
        <v>4.4591984978445997E-7</v>
      </c>
      <c r="AQ56" s="69">
        <f t="shared" si="4"/>
        <v>3.37570976171142E-2</v>
      </c>
      <c r="AR56" s="61">
        <f t="shared" si="31"/>
        <v>10</v>
      </c>
      <c r="AS56" s="69">
        <f t="shared" si="5"/>
        <v>0.154143585092054</v>
      </c>
      <c r="AT56" s="70">
        <f t="shared" si="6"/>
        <v>0.154143585092054</v>
      </c>
      <c r="AU56" s="69">
        <f t="shared" si="7"/>
        <v>3.4254130020456498E-2</v>
      </c>
      <c r="AV56" s="69">
        <f t="shared" si="43"/>
        <v>0.15236734166363342</v>
      </c>
      <c r="AW56" s="70">
        <f t="shared" si="43"/>
        <v>0.15414313917220421</v>
      </c>
      <c r="AX56" s="69">
        <f t="shared" si="43"/>
        <v>4.9703240334229848E-4</v>
      </c>
      <c r="AY56" s="69">
        <f t="shared" si="9"/>
        <v>0.14894978739594492</v>
      </c>
      <c r="AZ56" s="61">
        <f t="shared" si="10"/>
        <v>7.3457035851771423E-3</v>
      </c>
      <c r="BA56" s="61">
        <f t="shared" si="11"/>
        <v>4.9375890934632237E-4</v>
      </c>
      <c r="BB56" s="69">
        <f t="shared" si="12"/>
        <v>94.999999999999972</v>
      </c>
      <c r="BC56" s="69">
        <f t="shared" si="13"/>
        <v>0.15678924989046839</v>
      </c>
      <c r="BD56" s="69">
        <f t="shared" si="14"/>
        <v>0.30598591674108649</v>
      </c>
      <c r="BE56" s="69">
        <f t="shared" si="15"/>
        <v>0.3140722586902831</v>
      </c>
      <c r="BF56" s="61">
        <f t="shared" si="16"/>
        <v>3.4175542671895172E-3</v>
      </c>
      <c r="BG56" s="61">
        <f t="shared" si="17"/>
        <v>0.14679743571082751</v>
      </c>
      <c r="BH56" s="61">
        <f t="shared" si="18"/>
        <v>3.2734939960492976E-6</v>
      </c>
      <c r="BI56" s="61">
        <f t="shared" si="19"/>
        <v>0.30043980043802221</v>
      </c>
      <c r="BJ56" s="61">
        <f t="shared" si="20"/>
        <v>1.669250129357458</v>
      </c>
      <c r="BK56" s="61">
        <f t="shared" si="21"/>
        <v>0.30043980043802221</v>
      </c>
      <c r="BL56" s="61">
        <f t="shared" si="32"/>
        <v>0.78636950013321172</v>
      </c>
      <c r="BM56" s="61">
        <f t="shared" si="33"/>
        <v>0.15363745448620064</v>
      </c>
      <c r="BN56" s="61">
        <f t="shared" si="34"/>
        <v>0.30043980043802221</v>
      </c>
      <c r="BO56" s="69">
        <f t="shared" si="22"/>
        <v>0.78636950013321172</v>
      </c>
      <c r="BP56" s="69">
        <f t="shared" si="23"/>
        <v>0.3140722586902831</v>
      </c>
      <c r="BQ56" s="64">
        <f t="shared" si="35"/>
        <v>2.2008835171586201</v>
      </c>
      <c r="BR56" s="69">
        <f t="shared" si="24"/>
        <v>0.13742517144558952</v>
      </c>
      <c r="BS56" s="61">
        <f t="shared" si="25"/>
        <v>6.2969092671813938</v>
      </c>
      <c r="BT56" s="61">
        <f t="shared" si="26"/>
        <v>5.9964694667433713</v>
      </c>
      <c r="BU56" s="61">
        <f t="shared" si="36"/>
        <v>5.5105397670481819</v>
      </c>
      <c r="BV56" s="61">
        <f t="shared" si="37"/>
        <v>1.669250129357458</v>
      </c>
      <c r="BW56" s="61">
        <f t="shared" si="38"/>
        <v>0.30043980043802221</v>
      </c>
      <c r="BX56" s="64">
        <f t="shared" si="39"/>
        <v>3.9393798595909604</v>
      </c>
      <c r="BY56" s="61">
        <f t="shared" si="40"/>
        <v>0.13957509915138486</v>
      </c>
      <c r="BZ56" s="61">
        <f t="shared" si="41"/>
        <v>23.556531144133995</v>
      </c>
      <c r="CA56" s="61">
        <f t="shared" si="42"/>
        <v>21.887281014776537</v>
      </c>
      <c r="CB56" s="61">
        <f>AE56*O56/0.2</f>
        <v>5.5022087928965497</v>
      </c>
      <c r="CC56" s="61">
        <f>AG56*AC56/0.2</f>
        <v>9.8484496489774003</v>
      </c>
      <c r="CD56" s="61">
        <f>CB56*'Oxidant Feed Composition'!$N$22</f>
        <v>0.55022087928965502</v>
      </c>
      <c r="CE56" s="61">
        <f>CC56*'Oxidant Feed Composition'!$N$22</f>
        <v>0.98484496489774009</v>
      </c>
      <c r="CF56" s="61">
        <f>1.2*CB56</f>
        <v>6.6026505514758593</v>
      </c>
      <c r="CG56" s="61">
        <f>CC56*1.2</f>
        <v>11.818139578772881</v>
      </c>
      <c r="CH56" s="61">
        <f>BY56/('TEA Revised EYZ Inc'!CA56*'TEA Revised EYZ Inc'!BZ56)</f>
        <v>0.02</v>
      </c>
      <c r="CI56" s="84">
        <f>BR56/('TEA Revised EYZ Inc'!BY56)</f>
        <v>1.1914831542370403E-2</v>
      </c>
    </row>
    <row r="57" spans="1:87">
      <c r="A57" s="61">
        <v>8</v>
      </c>
      <c r="B57" s="61">
        <v>1.54143585092054E-3</v>
      </c>
      <c r="C57" s="61">
        <v>1.54143585092054E-3</v>
      </c>
      <c r="D57" s="61">
        <v>3.4254130020456501E-4</v>
      </c>
      <c r="E57" s="61">
        <v>0</v>
      </c>
      <c r="F57" s="61">
        <v>0</v>
      </c>
      <c r="G57" s="61">
        <v>0</v>
      </c>
      <c r="H57" s="69">
        <v>1.7762434284205799E-5</v>
      </c>
      <c r="I57" s="69">
        <v>4.4591984978445998E-9</v>
      </c>
      <c r="J57" s="61">
        <v>3.37570976171142E-4</v>
      </c>
      <c r="K57" s="61">
        <v>0.13846015972746001</v>
      </c>
      <c r="L57" s="61">
        <v>0.14007387303476199</v>
      </c>
      <c r="M57" s="61">
        <v>4.5166625081916902E-4</v>
      </c>
      <c r="N57" s="61" t="s">
        <v>323</v>
      </c>
      <c r="O57" s="61">
        <v>0.1</v>
      </c>
      <c r="P57" s="61">
        <v>9</v>
      </c>
      <c r="Q57" s="61">
        <v>1.6497294784823999E-3</v>
      </c>
      <c r="R57" s="61">
        <v>1.66895660069658E-3</v>
      </c>
      <c r="S57" s="61">
        <v>5.38152729188446E-6</v>
      </c>
      <c r="T57" s="61">
        <v>0</v>
      </c>
      <c r="U57" s="61">
        <v>0</v>
      </c>
      <c r="V57" s="61">
        <v>0</v>
      </c>
      <c r="W57" s="61">
        <v>1.61276595302466E-3</v>
      </c>
      <c r="X57" s="61">
        <v>7.9536298223616001E-5</v>
      </c>
      <c r="Y57" s="61">
        <v>5.3461203241357404E-6</v>
      </c>
      <c r="Z57" s="61">
        <v>1.7337397232919901E-3</v>
      </c>
      <c r="AA57" s="61">
        <v>7.4550278451312305E-2</v>
      </c>
      <c r="AB57" s="61">
        <v>1.66073083417147E-6</v>
      </c>
      <c r="AC57" s="61">
        <v>0.1</v>
      </c>
      <c r="AD57" s="61">
        <v>100</v>
      </c>
      <c r="AE57" s="61">
        <v>11.004417585793099</v>
      </c>
      <c r="AF57" s="61">
        <v>92.358985913147194</v>
      </c>
      <c r="AG57" s="61">
        <v>19.691039440255501</v>
      </c>
      <c r="AH57" s="61">
        <f t="shared" si="0"/>
        <v>1.10044175857931</v>
      </c>
      <c r="AI57" s="61">
        <f t="shared" si="27"/>
        <v>1.9691039440255502</v>
      </c>
      <c r="AJ57" s="61">
        <f t="shared" si="28"/>
        <v>1.10044175857931</v>
      </c>
      <c r="AK57" s="61">
        <f t="shared" si="28"/>
        <v>1.9691039440255502</v>
      </c>
      <c r="AL57" s="61">
        <f t="shared" si="1"/>
        <v>0.61451205888412053</v>
      </c>
      <c r="AM57" s="61">
        <f t="shared" si="29"/>
        <v>0.48592969969518951</v>
      </c>
      <c r="AN57" s="61">
        <f t="shared" si="30"/>
        <v>0.61451205888412053</v>
      </c>
      <c r="AO57" s="69">
        <f t="shared" si="2"/>
        <v>1.7762434284205799E-3</v>
      </c>
      <c r="AP57" s="69">
        <f t="shared" si="3"/>
        <v>4.4591984978445997E-7</v>
      </c>
      <c r="AQ57" s="69">
        <f t="shared" si="4"/>
        <v>3.37570976171142E-2</v>
      </c>
      <c r="AR57" s="61">
        <f t="shared" si="31"/>
        <v>10</v>
      </c>
      <c r="AS57" s="69">
        <f t="shared" si="5"/>
        <v>0.154143585092054</v>
      </c>
      <c r="AT57" s="70">
        <f t="shared" si="6"/>
        <v>0.154143585092054</v>
      </c>
      <c r="AU57" s="69">
        <f t="shared" si="7"/>
        <v>3.4254130020456498E-2</v>
      </c>
      <c r="AV57" s="69">
        <f t="shared" si="43"/>
        <v>0.15236734166363342</v>
      </c>
      <c r="AW57" s="70">
        <f t="shared" si="43"/>
        <v>0.15414313917220421</v>
      </c>
      <c r="AX57" s="69">
        <f t="shared" si="43"/>
        <v>4.9703240334229848E-4</v>
      </c>
      <c r="AY57" s="69">
        <f t="shared" si="9"/>
        <v>0.14895342793660798</v>
      </c>
      <c r="AZ57" s="61">
        <f t="shared" si="10"/>
        <v>7.3458918472188248E-3</v>
      </c>
      <c r="BA57" s="61">
        <f t="shared" si="11"/>
        <v>4.9376225170684278E-4</v>
      </c>
      <c r="BB57" s="69">
        <f t="shared" si="12"/>
        <v>95.000000001818336</v>
      </c>
      <c r="BC57" s="69">
        <f t="shared" si="13"/>
        <v>0.15679308203553363</v>
      </c>
      <c r="BD57" s="69">
        <f t="shared" si="14"/>
        <v>0.30599339109799506</v>
      </c>
      <c r="BE57" s="69">
        <f t="shared" si="15"/>
        <v>0.31407992632277415</v>
      </c>
      <c r="BF57" s="61">
        <f t="shared" si="16"/>
        <v>3.413913727048024E-3</v>
      </c>
      <c r="BG57" s="61">
        <f t="shared" si="17"/>
        <v>0.14679724732668203</v>
      </c>
      <c r="BH57" s="61">
        <f t="shared" si="18"/>
        <v>3.2701516355318838E-6</v>
      </c>
      <c r="BI57" s="61">
        <f t="shared" si="19"/>
        <v>0.30043213256236673</v>
      </c>
      <c r="BJ57" s="61">
        <f t="shared" si="20"/>
        <v>1.6686718114631836</v>
      </c>
      <c r="BK57" s="61">
        <f t="shared" si="21"/>
        <v>0.30043213256236673</v>
      </c>
      <c r="BL57" s="61">
        <f t="shared" si="32"/>
        <v>0.78636183225755629</v>
      </c>
      <c r="BM57" s="61">
        <f t="shared" si="33"/>
        <v>0.15362998000823139</v>
      </c>
      <c r="BN57" s="61">
        <f t="shared" si="34"/>
        <v>0.30043213256236673</v>
      </c>
      <c r="BO57" s="69">
        <f t="shared" si="22"/>
        <v>0.78636183225755629</v>
      </c>
      <c r="BP57" s="69">
        <f t="shared" si="23"/>
        <v>0.31407992632277415</v>
      </c>
      <c r="BQ57" s="64">
        <f t="shared" si="35"/>
        <v>2.2008835171586201</v>
      </c>
      <c r="BR57" s="69">
        <f t="shared" si="24"/>
        <v>0.13742810749513412</v>
      </c>
      <c r="BS57" s="61">
        <f t="shared" si="25"/>
        <v>6.2967133386435723</v>
      </c>
      <c r="BT57" s="61">
        <f t="shared" si="26"/>
        <v>5.9962812060812052</v>
      </c>
      <c r="BU57" s="61">
        <f t="shared" si="36"/>
        <v>5.5103515063860158</v>
      </c>
      <c r="BV57" s="61">
        <f t="shared" si="37"/>
        <v>1.6686718114631836</v>
      </c>
      <c r="BW57" s="61">
        <f t="shared" si="38"/>
        <v>0.30043213256236673</v>
      </c>
      <c r="BX57" s="64">
        <f t="shared" si="39"/>
        <v>3.9382078880511004</v>
      </c>
      <c r="BY57" s="61">
        <f t="shared" si="40"/>
        <v>0.13956884620150931</v>
      </c>
      <c r="BZ57" s="61">
        <f t="shared" si="41"/>
        <v>23.542418918419642</v>
      </c>
      <c r="CA57" s="61">
        <f t="shared" si="42"/>
        <v>21.873747106956458</v>
      </c>
      <c r="CB57" s="61">
        <f>AE57*O57/0.2</f>
        <v>5.5022087928965497</v>
      </c>
      <c r="CC57" s="61">
        <f>AG57*AC57/0.2</f>
        <v>9.8455197201277507</v>
      </c>
      <c r="CD57" s="61">
        <f>CB57*'Oxidant Feed Composition'!$N$22</f>
        <v>0.55022087928965502</v>
      </c>
      <c r="CE57" s="61">
        <f>CC57*'Oxidant Feed Composition'!$N$22</f>
        <v>0.98455197201277511</v>
      </c>
      <c r="CF57" s="61">
        <f>1.2*CB57</f>
        <v>6.6026505514758593</v>
      </c>
      <c r="CG57" s="61">
        <f>CC57*1.2</f>
        <v>11.8146236641533</v>
      </c>
      <c r="CH57" s="61">
        <f>BY57/('TEA Revised EYZ Inc'!CA57*'TEA Revised EYZ Inc'!BZ57)</f>
        <v>0.02</v>
      </c>
      <c r="CI57" s="84">
        <f>BR57/('TEA Revised EYZ Inc'!BY57)</f>
        <v>1.1914831542370405E-2</v>
      </c>
    </row>
    <row r="58" spans="1:87">
      <c r="A58" s="61">
        <v>8</v>
      </c>
      <c r="B58" s="61">
        <v>1.54143585092054E-3</v>
      </c>
      <c r="C58" s="61">
        <v>1.54143585092054E-3</v>
      </c>
      <c r="D58" s="61">
        <v>3.4254130020456501E-4</v>
      </c>
      <c r="E58" s="61">
        <v>0</v>
      </c>
      <c r="F58" s="61">
        <v>0</v>
      </c>
      <c r="G58" s="61">
        <v>0</v>
      </c>
      <c r="H58" s="69">
        <v>1.7762434284205799E-5</v>
      </c>
      <c r="I58" s="69">
        <v>4.4591984978445998E-9</v>
      </c>
      <c r="J58" s="61">
        <v>3.37570976171142E-4</v>
      </c>
      <c r="K58" s="61">
        <v>0.13846015972746001</v>
      </c>
      <c r="L58" s="61">
        <v>0.14007387303476199</v>
      </c>
      <c r="M58" s="61">
        <v>4.5166625081916902E-4</v>
      </c>
      <c r="N58" s="61" t="s">
        <v>323</v>
      </c>
      <c r="O58" s="61">
        <v>0.1</v>
      </c>
      <c r="P58" s="61">
        <v>10</v>
      </c>
      <c r="Q58" s="61">
        <v>1.6497294784823999E-3</v>
      </c>
      <c r="R58" s="61">
        <v>1.66895660069658E-3</v>
      </c>
      <c r="S58" s="61">
        <v>5.38152729188446E-6</v>
      </c>
      <c r="T58" s="61">
        <v>0</v>
      </c>
      <c r="U58" s="61">
        <v>0</v>
      </c>
      <c r="V58" s="61">
        <v>0</v>
      </c>
      <c r="W58" s="61">
        <v>1.61277705008137E-3</v>
      </c>
      <c r="X58" s="61">
        <v>7.9536872122754404E-5</v>
      </c>
      <c r="Y58" s="61">
        <v>5.3461305122899801E-6</v>
      </c>
      <c r="Z58" s="61">
        <v>1.73336444614092E-3</v>
      </c>
      <c r="AA58" s="61">
        <v>7.4556497867205695E-2</v>
      </c>
      <c r="AB58" s="61">
        <v>1.6603920749814E-6</v>
      </c>
      <c r="AC58" s="61">
        <v>0.1</v>
      </c>
      <c r="AD58" s="61">
        <v>100</v>
      </c>
      <c r="AE58" s="61">
        <v>11.004417585793099</v>
      </c>
      <c r="AF58" s="61">
        <v>92.358985913147194</v>
      </c>
      <c r="AG58" s="61">
        <v>19.689389736263298</v>
      </c>
      <c r="AH58" s="61">
        <f t="shared" si="0"/>
        <v>1.10044175857931</v>
      </c>
      <c r="AI58" s="61">
        <f t="shared" si="27"/>
        <v>1.9689389736263299</v>
      </c>
      <c r="AJ58" s="61">
        <f t="shared" si="28"/>
        <v>1.10044175857931</v>
      </c>
      <c r="AK58" s="61">
        <f t="shared" si="28"/>
        <v>1.9689389736263299</v>
      </c>
      <c r="AL58" s="61">
        <f t="shared" si="1"/>
        <v>0.61451205888412053</v>
      </c>
      <c r="AM58" s="61">
        <f t="shared" si="29"/>
        <v>0.48592969969518951</v>
      </c>
      <c r="AN58" s="61">
        <f t="shared" si="30"/>
        <v>0.61451205888412053</v>
      </c>
      <c r="AO58" s="69">
        <f t="shared" si="2"/>
        <v>1.7762434284205799E-3</v>
      </c>
      <c r="AP58" s="69">
        <f t="shared" si="3"/>
        <v>4.4591984978445997E-7</v>
      </c>
      <c r="AQ58" s="69">
        <f t="shared" si="4"/>
        <v>3.37570976171142E-2</v>
      </c>
      <c r="AR58" s="61">
        <f t="shared" si="31"/>
        <v>10</v>
      </c>
      <c r="AS58" s="69">
        <f t="shared" si="5"/>
        <v>0.154143585092054</v>
      </c>
      <c r="AT58" s="70">
        <f t="shared" si="6"/>
        <v>0.154143585092054</v>
      </c>
      <c r="AU58" s="69">
        <f t="shared" si="7"/>
        <v>3.4254130020456498E-2</v>
      </c>
      <c r="AV58" s="69">
        <f t="shared" si="43"/>
        <v>0.15236734166363342</v>
      </c>
      <c r="AW58" s="70">
        <f t="shared" si="43"/>
        <v>0.15414313917220421</v>
      </c>
      <c r="AX58" s="69">
        <f t="shared" si="43"/>
        <v>4.9703240334229848E-4</v>
      </c>
      <c r="AY58" s="69">
        <f t="shared" si="9"/>
        <v>0.14895445284951234</v>
      </c>
      <c r="AZ58" s="61">
        <f t="shared" si="10"/>
        <v>7.3459448519612638E-3</v>
      </c>
      <c r="BA58" s="61">
        <f t="shared" si="11"/>
        <v>4.9376319267443666E-4</v>
      </c>
      <c r="BB58" s="69">
        <f t="shared" si="12"/>
        <v>95.000000000045731</v>
      </c>
      <c r="BC58" s="69">
        <f t="shared" si="13"/>
        <v>0.15679416089414805</v>
      </c>
      <c r="BD58" s="69">
        <f t="shared" si="14"/>
        <v>0.30599549533999759</v>
      </c>
      <c r="BE58" s="69">
        <f t="shared" si="15"/>
        <v>0.31408208498097051</v>
      </c>
      <c r="BF58" s="61">
        <f t="shared" si="16"/>
        <v>3.4128888135050747E-3</v>
      </c>
      <c r="BG58" s="61">
        <f t="shared" si="17"/>
        <v>0.14679719438782962</v>
      </c>
      <c r="BH58" s="61">
        <f t="shared" si="18"/>
        <v>3.2692106679311698E-6</v>
      </c>
      <c r="BI58" s="61">
        <f t="shared" si="19"/>
        <v>0.3004299740346732</v>
      </c>
      <c r="BJ58" s="61">
        <f t="shared" si="20"/>
        <v>1.6685089995916567</v>
      </c>
      <c r="BK58" s="61">
        <f t="shared" si="21"/>
        <v>0.3004299740346732</v>
      </c>
      <c r="BL58" s="61">
        <f t="shared" si="32"/>
        <v>0.78635967372986271</v>
      </c>
      <c r="BM58" s="61">
        <f t="shared" si="33"/>
        <v>0.15362787583084167</v>
      </c>
      <c r="BN58" s="61">
        <f t="shared" si="34"/>
        <v>0.3004299740346732</v>
      </c>
      <c r="BO58" s="69">
        <f t="shared" si="22"/>
        <v>0.78635967372986271</v>
      </c>
      <c r="BP58" s="69">
        <f t="shared" si="23"/>
        <v>0.31408208498097051</v>
      </c>
      <c r="BQ58" s="64">
        <f t="shared" si="35"/>
        <v>2.2008835171586201</v>
      </c>
      <c r="BR58" s="69">
        <f t="shared" si="24"/>
        <v>0.13742893407395865</v>
      </c>
      <c r="BS58" s="61">
        <f t="shared" si="25"/>
        <v>6.2966581823988417</v>
      </c>
      <c r="BT58" s="61">
        <f t="shared" si="26"/>
        <v>5.9962282083641689</v>
      </c>
      <c r="BU58" s="61">
        <f t="shared" si="36"/>
        <v>5.5102985086689795</v>
      </c>
      <c r="BV58" s="61">
        <f t="shared" si="37"/>
        <v>1.6685089995916567</v>
      </c>
      <c r="BW58" s="61">
        <f t="shared" si="38"/>
        <v>0.3004299740346732</v>
      </c>
      <c r="BX58" s="64">
        <f t="shared" si="39"/>
        <v>3.9378779472526597</v>
      </c>
      <c r="BY58" s="61">
        <f t="shared" si="40"/>
        <v>0.13956708566439999</v>
      </c>
      <c r="BZ58" s="61">
        <f t="shared" si="41"/>
        <v>23.538446629471032</v>
      </c>
      <c r="CA58" s="61">
        <f t="shared" si="42"/>
        <v>21.869937629879374</v>
      </c>
      <c r="CB58" s="61">
        <f>AE58*O58/0.2</f>
        <v>5.5022087928965497</v>
      </c>
      <c r="CC58" s="61">
        <f>AG58*AC58/0.2</f>
        <v>9.8446948681316488</v>
      </c>
      <c r="CD58" s="61">
        <f>CB58*'Oxidant Feed Composition'!$N$22</f>
        <v>0.55022087928965502</v>
      </c>
      <c r="CE58" s="61">
        <f>CC58*'Oxidant Feed Composition'!$N$22</f>
        <v>0.98446948681316493</v>
      </c>
      <c r="CF58" s="61">
        <f>1.2*CB58</f>
        <v>6.6026505514758593</v>
      </c>
      <c r="CG58" s="61">
        <f>CC58*1.2</f>
        <v>11.813633841757978</v>
      </c>
      <c r="CH58" s="61">
        <f>BY58/('TEA Revised EYZ Inc'!CA58*'TEA Revised EYZ Inc'!BZ58)</f>
        <v>0.02</v>
      </c>
      <c r="CI58" s="84">
        <f>BR58/('TEA Revised EYZ Inc'!BY58)</f>
        <v>1.1914831542370405E-2</v>
      </c>
    </row>
    <row r="59" spans="1:87">
      <c r="A59" s="61">
        <v>8</v>
      </c>
      <c r="B59" s="61">
        <v>1.54143585092054E-3</v>
      </c>
      <c r="C59" s="61">
        <v>1.54143585092054E-3</v>
      </c>
      <c r="D59" s="61">
        <v>3.4254130020456501E-4</v>
      </c>
      <c r="E59" s="61">
        <v>0</v>
      </c>
      <c r="F59" s="61">
        <v>0</v>
      </c>
      <c r="G59" s="61">
        <v>0</v>
      </c>
      <c r="H59" s="69">
        <v>1.7762434284205799E-5</v>
      </c>
      <c r="I59" s="69">
        <v>4.4591984978445998E-9</v>
      </c>
      <c r="J59" s="61">
        <v>3.37570976171142E-4</v>
      </c>
      <c r="K59" s="61">
        <v>0.13846015972746001</v>
      </c>
      <c r="L59" s="61">
        <v>0.14007387303476199</v>
      </c>
      <c r="M59" s="61">
        <v>4.5166625081916902E-4</v>
      </c>
      <c r="N59" s="61" t="s">
        <v>323</v>
      </c>
      <c r="O59" s="61">
        <v>0.1</v>
      </c>
      <c r="P59" s="61">
        <v>11</v>
      </c>
      <c r="Q59" s="61">
        <v>1.6497294784823999E-3</v>
      </c>
      <c r="R59" s="61">
        <v>1.66895660069658E-3</v>
      </c>
      <c r="S59" s="61">
        <v>5.38152729188446E-6</v>
      </c>
      <c r="T59" s="61">
        <v>0</v>
      </c>
      <c r="U59" s="61">
        <v>0</v>
      </c>
      <c r="V59" s="61">
        <v>0</v>
      </c>
      <c r="W59" s="61">
        <v>1.6127801705222199E-3</v>
      </c>
      <c r="X59" s="61">
        <v>7.9537033492425895E-5</v>
      </c>
      <c r="Y59" s="61">
        <v>5.3461333771461197E-6</v>
      </c>
      <c r="Z59" s="61">
        <v>1.73325890938514E-3</v>
      </c>
      <c r="AA59" s="61">
        <v>7.4558246913040901E-2</v>
      </c>
      <c r="AB59" s="61">
        <v>1.6602968079419499E-6</v>
      </c>
      <c r="AC59" s="61">
        <v>0.1</v>
      </c>
      <c r="AD59" s="61">
        <v>100</v>
      </c>
      <c r="AE59" s="61">
        <v>11.004417585793099</v>
      </c>
      <c r="AF59" s="61">
        <v>92.358985913147194</v>
      </c>
      <c r="AG59" s="61">
        <v>19.688925842004402</v>
      </c>
      <c r="AH59" s="61">
        <f t="shared" si="0"/>
        <v>1.10044175857931</v>
      </c>
      <c r="AI59" s="61">
        <f t="shared" si="27"/>
        <v>1.9688925842004403</v>
      </c>
      <c r="AJ59" s="61">
        <f t="shared" si="28"/>
        <v>1.10044175857931</v>
      </c>
      <c r="AK59" s="61">
        <f t="shared" si="28"/>
        <v>1.9688925842004403</v>
      </c>
      <c r="AL59" s="61">
        <f t="shared" si="1"/>
        <v>0.61451205888412053</v>
      </c>
      <c r="AM59" s="61">
        <f t="shared" si="29"/>
        <v>0.48592969969518951</v>
      </c>
      <c r="AN59" s="61">
        <f t="shared" si="30"/>
        <v>0.61451205888412053</v>
      </c>
      <c r="AO59" s="69">
        <f t="shared" si="2"/>
        <v>1.7762434284205799E-3</v>
      </c>
      <c r="AP59" s="69">
        <f t="shared" si="3"/>
        <v>4.4591984978445997E-7</v>
      </c>
      <c r="AQ59" s="69">
        <f t="shared" si="4"/>
        <v>3.37570976171142E-2</v>
      </c>
      <c r="AR59" s="61">
        <f t="shared" si="31"/>
        <v>10</v>
      </c>
      <c r="AS59" s="69">
        <f t="shared" si="5"/>
        <v>0.154143585092054</v>
      </c>
      <c r="AT59" s="70">
        <f t="shared" si="6"/>
        <v>0.154143585092054</v>
      </c>
      <c r="AU59" s="69">
        <f t="shared" si="7"/>
        <v>3.4254130020456498E-2</v>
      </c>
      <c r="AV59" s="69">
        <f t="shared" si="43"/>
        <v>0.15236734166363342</v>
      </c>
      <c r="AW59" s="70">
        <f t="shared" si="43"/>
        <v>0.15414313917220421</v>
      </c>
      <c r="AX59" s="69">
        <f t="shared" si="43"/>
        <v>4.9703240334229848E-4</v>
      </c>
      <c r="AY59" s="69">
        <f t="shared" si="9"/>
        <v>0.14895474105026485</v>
      </c>
      <c r="AZ59" s="61">
        <f t="shared" si="10"/>
        <v>7.3459597559004802E-3</v>
      </c>
      <c r="BA59" s="61">
        <f t="shared" si="11"/>
        <v>4.9376345726964449E-4</v>
      </c>
      <c r="BB59" s="69">
        <f t="shared" si="12"/>
        <v>95.000000000001037</v>
      </c>
      <c r="BC59" s="69">
        <f t="shared" si="13"/>
        <v>0.15679446426343496</v>
      </c>
      <c r="BD59" s="69">
        <f t="shared" si="14"/>
        <v>0.30599608704233461</v>
      </c>
      <c r="BE59" s="69">
        <f t="shared" si="15"/>
        <v>0.31408269198413957</v>
      </c>
      <c r="BF59" s="61">
        <f t="shared" si="16"/>
        <v>3.4126006131877449E-3</v>
      </c>
      <c r="BG59" s="61">
        <f t="shared" si="17"/>
        <v>0.14679717943807161</v>
      </c>
      <c r="BH59" s="61">
        <f t="shared" si="18"/>
        <v>3.2689460727285682E-6</v>
      </c>
      <c r="BI59" s="61">
        <f t="shared" si="19"/>
        <v>0.30042936694073685</v>
      </c>
      <c r="BJ59" s="61">
        <f t="shared" si="20"/>
        <v>1.6684632172597036</v>
      </c>
      <c r="BK59" s="61">
        <f t="shared" si="21"/>
        <v>0.30042936694073685</v>
      </c>
      <c r="BL59" s="61">
        <f t="shared" si="32"/>
        <v>0.78635906663592636</v>
      </c>
      <c r="BM59" s="61">
        <f t="shared" si="33"/>
        <v>0.15362728408355616</v>
      </c>
      <c r="BN59" s="61">
        <f t="shared" si="34"/>
        <v>0.30042936694073685</v>
      </c>
      <c r="BO59" s="69">
        <f t="shared" si="22"/>
        <v>0.78635906663592636</v>
      </c>
      <c r="BP59" s="69">
        <f t="shared" si="23"/>
        <v>0.31408269198413957</v>
      </c>
      <c r="BQ59" s="64">
        <f t="shared" si="35"/>
        <v>2.2008835171586201</v>
      </c>
      <c r="BR59" s="69">
        <f t="shared" si="24"/>
        <v>0.13742916650325895</v>
      </c>
      <c r="BS59" s="61">
        <f t="shared" si="25"/>
        <v>6.2966426718676427</v>
      </c>
      <c r="BT59" s="61">
        <f t="shared" si="26"/>
        <v>5.996213304926906</v>
      </c>
      <c r="BU59" s="61">
        <f t="shared" si="36"/>
        <v>5.5102836052317166</v>
      </c>
      <c r="BV59" s="61">
        <f t="shared" si="37"/>
        <v>1.6684632172597036</v>
      </c>
      <c r="BW59" s="61">
        <f t="shared" si="38"/>
        <v>0.30042936694073685</v>
      </c>
      <c r="BX59" s="64">
        <f t="shared" si="39"/>
        <v>3.9377851684008807</v>
      </c>
      <c r="BY59" s="61">
        <f t="shared" si="40"/>
        <v>0.13956659053314566</v>
      </c>
      <c r="BZ59" s="61">
        <f t="shared" si="41"/>
        <v>23.537329692765393</v>
      </c>
      <c r="CA59" s="61">
        <f t="shared" si="42"/>
        <v>21.868866475505691</v>
      </c>
      <c r="CB59" s="61">
        <f>AE59*O59/0.2</f>
        <v>5.5022087928965497</v>
      </c>
      <c r="CC59" s="61">
        <f>AG59*AC59/0.2</f>
        <v>9.8444629210022008</v>
      </c>
      <c r="CD59" s="61">
        <f>CB59*'Oxidant Feed Composition'!$N$22</f>
        <v>0.55022087928965502</v>
      </c>
      <c r="CE59" s="61">
        <f>CC59*'Oxidant Feed Composition'!$N$22</f>
        <v>0.98444629210022017</v>
      </c>
      <c r="CF59" s="61">
        <f>1.2*CB59</f>
        <v>6.6026505514758593</v>
      </c>
      <c r="CG59" s="61">
        <f>CC59*1.2</f>
        <v>11.81335550520264</v>
      </c>
      <c r="CH59" s="61">
        <f>BY59/('TEA Revised EYZ Inc'!CA59*'TEA Revised EYZ Inc'!BZ59)</f>
        <v>1.9999999999999997E-2</v>
      </c>
      <c r="CI59" s="84">
        <f>BR59/('TEA Revised EYZ Inc'!BY59)</f>
        <v>1.1914831542370406E-2</v>
      </c>
    </row>
    <row r="60" spans="1:87">
      <c r="A60" s="61">
        <v>8</v>
      </c>
      <c r="B60" s="61">
        <v>1.54143585092054E-3</v>
      </c>
      <c r="C60" s="61">
        <v>1.54143585092054E-3</v>
      </c>
      <c r="D60" s="61">
        <v>3.4254130020456501E-4</v>
      </c>
      <c r="E60" s="61">
        <v>0</v>
      </c>
      <c r="F60" s="61">
        <v>0</v>
      </c>
      <c r="G60" s="61">
        <v>0</v>
      </c>
      <c r="H60" s="69">
        <v>1.7762434284205799E-5</v>
      </c>
      <c r="I60" s="69">
        <v>4.4591984978445998E-9</v>
      </c>
      <c r="J60" s="61">
        <v>3.37570976171142E-4</v>
      </c>
      <c r="K60" s="61">
        <v>0.13846015972746001</v>
      </c>
      <c r="L60" s="61">
        <v>0.14007387303476199</v>
      </c>
      <c r="M60" s="61">
        <v>4.5166625081916902E-4</v>
      </c>
      <c r="N60" s="61" t="s">
        <v>323</v>
      </c>
      <c r="O60" s="61">
        <v>0.1</v>
      </c>
      <c r="P60" s="61">
        <v>12</v>
      </c>
      <c r="Q60" s="61">
        <v>1.6497294784823999E-3</v>
      </c>
      <c r="R60" s="61">
        <v>1.66895660069658E-3</v>
      </c>
      <c r="S60" s="61">
        <v>5.38152729188446E-6</v>
      </c>
      <c r="T60" s="61">
        <v>0</v>
      </c>
      <c r="U60" s="61">
        <v>0</v>
      </c>
      <c r="V60" s="61">
        <v>0</v>
      </c>
      <c r="W60" s="61">
        <v>1.61278104761876E-3</v>
      </c>
      <c r="X60" s="61">
        <v>7.9537078850164199E-5</v>
      </c>
      <c r="Y60" s="61">
        <v>5.3461341824022602E-6</v>
      </c>
      <c r="Z60" s="61">
        <v>1.7332292441623099E-3</v>
      </c>
      <c r="AA60" s="61">
        <v>7.4558738550610695E-2</v>
      </c>
      <c r="AB60" s="61">
        <v>1.6602700294237901E-6</v>
      </c>
      <c r="AC60" s="61">
        <v>0.1</v>
      </c>
      <c r="AD60" s="61">
        <v>100</v>
      </c>
      <c r="AE60" s="61">
        <v>11.004417585793099</v>
      </c>
      <c r="AF60" s="61">
        <v>92.358985913147194</v>
      </c>
      <c r="AG60" s="61">
        <v>19.688795449878597</v>
      </c>
      <c r="AH60" s="61">
        <f t="shared" si="0"/>
        <v>1.10044175857931</v>
      </c>
      <c r="AI60" s="61">
        <f t="shared" si="27"/>
        <v>1.9688795449878598</v>
      </c>
      <c r="AJ60" s="61">
        <f t="shared" si="28"/>
        <v>1.10044175857931</v>
      </c>
      <c r="AK60" s="61">
        <f t="shared" si="28"/>
        <v>1.9688795449878598</v>
      </c>
      <c r="AL60" s="61">
        <f t="shared" si="1"/>
        <v>0.61451205888412053</v>
      </c>
      <c r="AM60" s="61">
        <f t="shared" si="29"/>
        <v>0.48592969969518951</v>
      </c>
      <c r="AN60" s="61">
        <f t="shared" si="30"/>
        <v>0.61451205888412053</v>
      </c>
      <c r="AO60" s="69">
        <f t="shared" si="2"/>
        <v>1.7762434284205799E-3</v>
      </c>
      <c r="AP60" s="69">
        <f t="shared" si="3"/>
        <v>4.4591984978445997E-7</v>
      </c>
      <c r="AQ60" s="69">
        <f t="shared" si="4"/>
        <v>3.37570976171142E-2</v>
      </c>
      <c r="AR60" s="61">
        <f t="shared" si="31"/>
        <v>10</v>
      </c>
      <c r="AS60" s="69">
        <f t="shared" si="5"/>
        <v>0.154143585092054</v>
      </c>
      <c r="AT60" s="70">
        <f t="shared" si="6"/>
        <v>0.154143585092054</v>
      </c>
      <c r="AU60" s="69">
        <f t="shared" si="7"/>
        <v>3.4254130020456498E-2</v>
      </c>
      <c r="AV60" s="69">
        <f t="shared" si="43"/>
        <v>0.15236734166363342</v>
      </c>
      <c r="AW60" s="70">
        <f t="shared" si="43"/>
        <v>0.15414313917220421</v>
      </c>
      <c r="AX60" s="69">
        <f t="shared" si="43"/>
        <v>4.9703240334229848E-4</v>
      </c>
      <c r="AY60" s="69">
        <f t="shared" si="9"/>
        <v>0.14895482205801183</v>
      </c>
      <c r="AZ60" s="61">
        <f t="shared" si="10"/>
        <v>7.3459639450951927E-3</v>
      </c>
      <c r="BA60" s="61">
        <f t="shared" si="11"/>
        <v>4.9376353164228503E-4</v>
      </c>
      <c r="BB60" s="69">
        <f t="shared" si="12"/>
        <v>95</v>
      </c>
      <c r="BC60" s="69">
        <f t="shared" si="13"/>
        <v>0.15679454953474931</v>
      </c>
      <c r="BD60" s="69">
        <f t="shared" si="14"/>
        <v>0.30599625335858227</v>
      </c>
      <c r="BE60" s="69">
        <f t="shared" si="15"/>
        <v>0.31408286260114088</v>
      </c>
      <c r="BF60" s="61">
        <f t="shared" si="16"/>
        <v>3.412519605605941E-3</v>
      </c>
      <c r="BG60" s="61">
        <f t="shared" si="17"/>
        <v>0.14679717523239519</v>
      </c>
      <c r="BH60" s="61">
        <f t="shared" si="18"/>
        <v>3.2688717000888923E-6</v>
      </c>
      <c r="BI60" s="61">
        <f t="shared" si="19"/>
        <v>0.30042919629110248</v>
      </c>
      <c r="BJ60" s="61">
        <f t="shared" si="20"/>
        <v>1.6684503486967572</v>
      </c>
      <c r="BK60" s="61">
        <f t="shared" si="21"/>
        <v>0.30042919629110248</v>
      </c>
      <c r="BL60" s="61">
        <f t="shared" si="32"/>
        <v>0.78635889598629194</v>
      </c>
      <c r="BM60" s="61">
        <f t="shared" si="33"/>
        <v>0.1536271177511572</v>
      </c>
      <c r="BN60" s="61">
        <f t="shared" si="34"/>
        <v>0.30042919629110248</v>
      </c>
      <c r="BO60" s="69">
        <f t="shared" si="22"/>
        <v>0.78635889598629194</v>
      </c>
      <c r="BP60" s="69">
        <f t="shared" si="23"/>
        <v>0.31408286260114088</v>
      </c>
      <c r="BQ60" s="64">
        <f t="shared" si="35"/>
        <v>2.2008835171586201</v>
      </c>
      <c r="BR60" s="69">
        <f t="shared" si="24"/>
        <v>0.13742923183467731</v>
      </c>
      <c r="BS60" s="61">
        <f t="shared" si="25"/>
        <v>6.2966383121068228</v>
      </c>
      <c r="BT60" s="61">
        <f t="shared" si="26"/>
        <v>5.99620911581572</v>
      </c>
      <c r="BU60" s="61">
        <f t="shared" si="36"/>
        <v>5.5102794161205306</v>
      </c>
      <c r="BV60" s="61">
        <f t="shared" si="37"/>
        <v>1.6684503486967572</v>
      </c>
      <c r="BW60" s="61">
        <f t="shared" si="38"/>
        <v>0.30042919629110248</v>
      </c>
      <c r="BX60" s="64">
        <f t="shared" si="39"/>
        <v>3.9377590899757196</v>
      </c>
      <c r="BY60" s="61">
        <f t="shared" si="40"/>
        <v>0.1395664513564405</v>
      </c>
      <c r="BZ60" s="61">
        <f t="shared" si="41"/>
        <v>23.537015747340039</v>
      </c>
      <c r="CA60" s="61">
        <f t="shared" si="42"/>
        <v>21.86856539864328</v>
      </c>
      <c r="CB60" s="61">
        <f>AE60*O60/0.2</f>
        <v>5.5022087928965497</v>
      </c>
      <c r="CC60" s="61">
        <f>AG60*AC60/0.2</f>
        <v>9.8443977249392987</v>
      </c>
      <c r="CD60" s="61">
        <f>CB60*'Oxidant Feed Composition'!$N$22</f>
        <v>0.55022087928965502</v>
      </c>
      <c r="CE60" s="61">
        <f>CC60*'Oxidant Feed Composition'!$N$22</f>
        <v>0.98443977249392989</v>
      </c>
      <c r="CF60" s="61">
        <f>1.2*CB60</f>
        <v>6.6026505514758593</v>
      </c>
      <c r="CG60" s="61">
        <f>CC60*1.2</f>
        <v>11.813277269927157</v>
      </c>
      <c r="CH60" s="61">
        <f>BY60/('TEA Revised EYZ Inc'!CA60*'TEA Revised EYZ Inc'!BZ60)</f>
        <v>0.02</v>
      </c>
      <c r="CI60" s="84">
        <f>BR60/('TEA Revised EYZ Inc'!BY60)</f>
        <v>1.1914831542370403E-2</v>
      </c>
    </row>
    <row r="61" spans="1:87">
      <c r="A61" s="61">
        <v>8</v>
      </c>
      <c r="B61" s="61">
        <v>1.54143585092054E-3</v>
      </c>
      <c r="C61" s="61">
        <v>1.54143585092054E-3</v>
      </c>
      <c r="D61" s="61">
        <v>3.4254130020456501E-4</v>
      </c>
      <c r="E61" s="61">
        <v>0</v>
      </c>
      <c r="F61" s="61">
        <v>0</v>
      </c>
      <c r="G61" s="61">
        <v>0</v>
      </c>
      <c r="H61" s="69">
        <v>1.7762434284205799E-5</v>
      </c>
      <c r="I61" s="69">
        <v>4.4591984978445998E-9</v>
      </c>
      <c r="J61" s="61">
        <v>3.37570976171142E-4</v>
      </c>
      <c r="K61" s="61">
        <v>0.13846015972746001</v>
      </c>
      <c r="L61" s="61">
        <v>0.14007387303476199</v>
      </c>
      <c r="M61" s="61">
        <v>4.5166625081916902E-4</v>
      </c>
      <c r="N61" s="61" t="s">
        <v>323</v>
      </c>
      <c r="O61" s="61">
        <v>0.1</v>
      </c>
      <c r="P61" s="61">
        <v>13</v>
      </c>
      <c r="Q61" s="61">
        <v>1.6497294784823999E-3</v>
      </c>
      <c r="R61" s="61">
        <v>1.66895660069658E-3</v>
      </c>
      <c r="S61" s="61">
        <v>5.38152729188446E-6</v>
      </c>
      <c r="T61" s="61">
        <v>0</v>
      </c>
      <c r="U61" s="61">
        <v>0</v>
      </c>
      <c r="V61" s="61">
        <v>0</v>
      </c>
      <c r="W61" s="61">
        <v>1.6127812941209201E-3</v>
      </c>
      <c r="X61" s="61">
        <v>7.9537091597651401E-5</v>
      </c>
      <c r="Y61" s="61">
        <v>5.34613440871419E-6</v>
      </c>
      <c r="Z61" s="61">
        <v>1.73322090687147E-3</v>
      </c>
      <c r="AA61" s="61">
        <v>7.4558876723361894E-2</v>
      </c>
      <c r="AB61" s="61">
        <v>1.6602625034295099E-6</v>
      </c>
      <c r="AC61" s="61">
        <v>0.1</v>
      </c>
      <c r="AD61" s="61">
        <v>100</v>
      </c>
      <c r="AE61" s="61">
        <v>11.004417585793099</v>
      </c>
      <c r="AF61" s="61">
        <v>92.358985913147194</v>
      </c>
      <c r="AG61" s="61">
        <v>19.688758804081399</v>
      </c>
      <c r="AH61" s="61">
        <f t="shared" si="0"/>
        <v>1.10044175857931</v>
      </c>
      <c r="AI61" s="61">
        <f t="shared" si="27"/>
        <v>1.9688758804081399</v>
      </c>
      <c r="AJ61" s="61">
        <f t="shared" si="28"/>
        <v>1.10044175857931</v>
      </c>
      <c r="AK61" s="61">
        <f t="shared" si="28"/>
        <v>1.9688758804081399</v>
      </c>
      <c r="AL61" s="61">
        <f t="shared" si="1"/>
        <v>0.61451205888412053</v>
      </c>
      <c r="AM61" s="61">
        <f t="shared" si="29"/>
        <v>0.48592969969518951</v>
      </c>
      <c r="AN61" s="61">
        <f t="shared" si="30"/>
        <v>0.61451205888412053</v>
      </c>
      <c r="AO61" s="69">
        <f t="shared" si="2"/>
        <v>1.7762434284205799E-3</v>
      </c>
      <c r="AP61" s="69">
        <f t="shared" si="3"/>
        <v>4.4591984978445997E-7</v>
      </c>
      <c r="AQ61" s="69">
        <f t="shared" si="4"/>
        <v>3.37570976171142E-2</v>
      </c>
      <c r="AR61" s="61">
        <f t="shared" si="31"/>
        <v>10</v>
      </c>
      <c r="AS61" s="69">
        <f t="shared" si="5"/>
        <v>0.154143585092054</v>
      </c>
      <c r="AT61" s="70">
        <f t="shared" si="6"/>
        <v>0.154143585092054</v>
      </c>
      <c r="AU61" s="69">
        <f t="shared" si="7"/>
        <v>3.4254130020456498E-2</v>
      </c>
      <c r="AV61" s="69">
        <f t="shared" si="43"/>
        <v>0.15236734166363342</v>
      </c>
      <c r="AW61" s="70">
        <f t="shared" si="43"/>
        <v>0.15414313917220421</v>
      </c>
      <c r="AX61" s="69">
        <f t="shared" si="43"/>
        <v>4.9703240334229848E-4</v>
      </c>
      <c r="AY61" s="69">
        <f t="shared" si="9"/>
        <v>0.14895484482470137</v>
      </c>
      <c r="AZ61" s="61">
        <f t="shared" si="10"/>
        <v>7.3459651224401842E-3</v>
      </c>
      <c r="BA61" s="61">
        <f t="shared" si="11"/>
        <v>4.9376355254422536E-4</v>
      </c>
      <c r="BB61" s="69">
        <f t="shared" si="12"/>
        <v>94.999999999999929</v>
      </c>
      <c r="BC61" s="69">
        <f t="shared" si="13"/>
        <v>0.15679457349968576</v>
      </c>
      <c r="BD61" s="69">
        <f t="shared" si="14"/>
        <v>0.30599630010065926</v>
      </c>
      <c r="BE61" s="69">
        <f t="shared" si="15"/>
        <v>0.31408291055191578</v>
      </c>
      <c r="BF61" s="61">
        <f t="shared" si="16"/>
        <v>3.4124968389583599E-3</v>
      </c>
      <c r="BG61" s="61">
        <f t="shared" si="17"/>
        <v>0.14679717405095111</v>
      </c>
      <c r="BH61" s="61">
        <f t="shared" si="18"/>
        <v>3.2688507981483987E-6</v>
      </c>
      <c r="BI61" s="61">
        <f t="shared" si="19"/>
        <v>0.3004291483322134</v>
      </c>
      <c r="BJ61" s="61">
        <f t="shared" si="20"/>
        <v>1.6684467320759264</v>
      </c>
      <c r="BK61" s="61">
        <f t="shared" si="21"/>
        <v>0.3004291483322134</v>
      </c>
      <c r="BL61" s="61">
        <f t="shared" si="32"/>
        <v>0.78635884802740286</v>
      </c>
      <c r="BM61" s="61">
        <f t="shared" si="33"/>
        <v>0.15362707100506506</v>
      </c>
      <c r="BN61" s="61">
        <f t="shared" si="34"/>
        <v>0.3004291483322134</v>
      </c>
      <c r="BO61" s="69">
        <f t="shared" si="22"/>
        <v>0.78635884802740286</v>
      </c>
      <c r="BP61" s="69">
        <f t="shared" si="23"/>
        <v>0.31408291055191578</v>
      </c>
      <c r="BQ61" s="64">
        <f t="shared" si="35"/>
        <v>2.2008835171586201</v>
      </c>
      <c r="BR61" s="69">
        <f t="shared" si="24"/>
        <v>0.1374292501956369</v>
      </c>
      <c r="BS61" s="61">
        <f t="shared" si="25"/>
        <v>6.2966370868342887</v>
      </c>
      <c r="BT61" s="61">
        <f t="shared" si="26"/>
        <v>5.9962079385020752</v>
      </c>
      <c r="BU61" s="61">
        <f t="shared" si="36"/>
        <v>5.5102782388068858</v>
      </c>
      <c r="BV61" s="61">
        <f t="shared" si="37"/>
        <v>1.6684467320759264</v>
      </c>
      <c r="BW61" s="61">
        <f t="shared" si="38"/>
        <v>0.3004291483322134</v>
      </c>
      <c r="BX61" s="64">
        <f t="shared" si="39"/>
        <v>3.9377517608162798</v>
      </c>
      <c r="BY61" s="61">
        <f t="shared" si="40"/>
        <v>0.13956641224210886</v>
      </c>
      <c r="BZ61" s="61">
        <f t="shared" si="41"/>
        <v>23.53692751542237</v>
      </c>
      <c r="CA61" s="61">
        <f t="shared" si="42"/>
        <v>21.868480783346442</v>
      </c>
      <c r="CB61" s="61">
        <f>AE61*O61/0.2</f>
        <v>5.5022087928965497</v>
      </c>
      <c r="CC61" s="61">
        <f>AG61*AC61/0.2</f>
        <v>9.8443794020406994</v>
      </c>
      <c r="CD61" s="61">
        <f>CB61*'Oxidant Feed Composition'!$N$22</f>
        <v>0.55022087928965502</v>
      </c>
      <c r="CE61" s="61">
        <f>CC61*'Oxidant Feed Composition'!$N$22</f>
        <v>0.98443794020406994</v>
      </c>
      <c r="CF61" s="61">
        <f>1.2*CB61</f>
        <v>6.6026505514758593</v>
      </c>
      <c r="CG61" s="61">
        <f>CC61*1.2</f>
        <v>11.813255282448839</v>
      </c>
      <c r="CH61" s="61">
        <f>BY61/('TEA Revised EYZ Inc'!CA61*'TEA Revised EYZ Inc'!BZ61)</f>
        <v>0.02</v>
      </c>
      <c r="CI61" s="84">
        <f>BR61/('TEA Revised EYZ Inc'!BY61)</f>
        <v>1.1914831542370408E-2</v>
      </c>
    </row>
    <row r="62" spans="1:87">
      <c r="A62" s="61">
        <v>9</v>
      </c>
      <c r="B62" s="61">
        <v>1.54143585092054E-3</v>
      </c>
      <c r="C62" s="61">
        <v>1.54143585092054E-3</v>
      </c>
      <c r="D62" s="61">
        <v>3.4254130020456501E-4</v>
      </c>
      <c r="E62" s="61">
        <v>0</v>
      </c>
      <c r="F62" s="61">
        <v>0</v>
      </c>
      <c r="G62" s="61">
        <v>0</v>
      </c>
      <c r="H62" s="69">
        <v>1.7768596981705501E-5</v>
      </c>
      <c r="I62" s="69">
        <v>1.5331283704498101E-9</v>
      </c>
      <c r="J62" s="61">
        <v>3.3763247208936601E-4</v>
      </c>
      <c r="K62" s="61">
        <v>0.13890601070001499</v>
      </c>
      <c r="L62" s="61">
        <v>0.14052575540227799</v>
      </c>
      <c r="M62" s="61">
        <v>4.4751616793740602E-4</v>
      </c>
      <c r="N62" s="61" t="s">
        <v>323</v>
      </c>
      <c r="O62" s="61">
        <v>0.1</v>
      </c>
      <c r="P62" s="61">
        <v>4</v>
      </c>
      <c r="Q62" s="61">
        <v>1.6497485970141401E-3</v>
      </c>
      <c r="R62" s="61">
        <v>1.6689858606617799E-3</v>
      </c>
      <c r="S62" s="61">
        <v>5.3150268046377499E-6</v>
      </c>
      <c r="T62" s="61">
        <v>0</v>
      </c>
      <c r="U62" s="61">
        <v>0</v>
      </c>
      <c r="V62" s="61">
        <v>0</v>
      </c>
      <c r="W62" s="61">
        <v>1.6048321319618701E-3</v>
      </c>
      <c r="X62" s="61">
        <v>7.9192002642469804E-5</v>
      </c>
      <c r="Y62" s="61">
        <v>5.2728464102818699E-6</v>
      </c>
      <c r="Z62" s="61">
        <v>1.9874961185591101E-3</v>
      </c>
      <c r="AA62" s="61">
        <v>7.0346344441502298E-2</v>
      </c>
      <c r="AB62" s="61">
        <v>1.86642849011818E-6</v>
      </c>
      <c r="AC62" s="61">
        <v>0.1</v>
      </c>
      <c r="AD62" s="61">
        <v>100</v>
      </c>
      <c r="AE62" s="61">
        <v>10.969051996096999</v>
      </c>
      <c r="AF62" s="61">
        <v>92.357542033771196</v>
      </c>
      <c r="AG62" s="61">
        <v>20.872364334642199</v>
      </c>
      <c r="AH62" s="61">
        <f t="shared" si="0"/>
        <v>1.0969051996096999</v>
      </c>
      <c r="AI62" s="61">
        <f t="shared" si="27"/>
        <v>2.0872364334642199</v>
      </c>
      <c r="AJ62" s="61">
        <f t="shared" si="28"/>
        <v>1.0969051996096999</v>
      </c>
      <c r="AK62" s="61">
        <f t="shared" si="28"/>
        <v>2.0872364334642199</v>
      </c>
      <c r="AL62" s="61">
        <f t="shared" si="1"/>
        <v>0.61449296278201315</v>
      </c>
      <c r="AM62" s="61">
        <f t="shared" si="29"/>
        <v>0.48241223682768675</v>
      </c>
      <c r="AN62" s="61">
        <f t="shared" si="30"/>
        <v>0.61449296278201315</v>
      </c>
      <c r="AO62" s="69">
        <f t="shared" si="2"/>
        <v>1.77685969817055E-3</v>
      </c>
      <c r="AP62" s="69">
        <f t="shared" si="3"/>
        <v>1.5331283704498101E-7</v>
      </c>
      <c r="AQ62" s="69">
        <f t="shared" si="4"/>
        <v>3.37632472089366E-2</v>
      </c>
      <c r="AR62" s="61">
        <f t="shared" si="31"/>
        <v>10</v>
      </c>
      <c r="AS62" s="69">
        <f t="shared" si="5"/>
        <v>0.154143585092054</v>
      </c>
      <c r="AT62" s="70">
        <f t="shared" si="6"/>
        <v>0.154143585092054</v>
      </c>
      <c r="AU62" s="69">
        <f t="shared" si="7"/>
        <v>3.4254130020456498E-2</v>
      </c>
      <c r="AV62" s="69">
        <f t="shared" si="43"/>
        <v>0.15236672539388346</v>
      </c>
      <c r="AW62" s="70">
        <f t="shared" si="43"/>
        <v>0.15414343177921697</v>
      </c>
      <c r="AX62" s="69">
        <f t="shared" si="43"/>
        <v>4.9088281151989793E-4</v>
      </c>
      <c r="AY62" s="69">
        <f t="shared" si="9"/>
        <v>0.14821835108481507</v>
      </c>
      <c r="AZ62" s="61">
        <f t="shared" si="10"/>
        <v>7.3139787127904244E-3</v>
      </c>
      <c r="BA62" s="61">
        <f t="shared" si="11"/>
        <v>4.8698713397522737E-4</v>
      </c>
      <c r="BB62" s="69">
        <f t="shared" si="12"/>
        <v>94.999999999880387</v>
      </c>
      <c r="BC62" s="69">
        <f t="shared" si="13"/>
        <v>0.15601931693158072</v>
      </c>
      <c r="BD62" s="69">
        <f t="shared" si="14"/>
        <v>0.3044811615833834</v>
      </c>
      <c r="BE62" s="69">
        <f t="shared" si="15"/>
        <v>0.31252562099713671</v>
      </c>
      <c r="BF62" s="61">
        <f t="shared" si="16"/>
        <v>4.1483743100252969E-3</v>
      </c>
      <c r="BG62" s="61">
        <f t="shared" si="17"/>
        <v>0.14682945307932682</v>
      </c>
      <c r="BH62" s="61">
        <f t="shared" si="18"/>
        <v>3.8956775450302789E-6</v>
      </c>
      <c r="BI62" s="61">
        <f t="shared" si="19"/>
        <v>0.30196734181133933</v>
      </c>
      <c r="BJ62" s="61">
        <f t="shared" si="20"/>
        <v>1.7852690916528806</v>
      </c>
      <c r="BK62" s="61">
        <f t="shared" si="21"/>
        <v>0.30196734181133933</v>
      </c>
      <c r="BL62" s="61">
        <f t="shared" si="32"/>
        <v>0.78437957863902608</v>
      </c>
      <c r="BM62" s="61">
        <f t="shared" si="33"/>
        <v>0.15513204521569496</v>
      </c>
      <c r="BN62" s="61">
        <f t="shared" si="34"/>
        <v>0.30196734181133933</v>
      </c>
      <c r="BO62" s="69">
        <f t="shared" si="22"/>
        <v>0.78437957863902608</v>
      </c>
      <c r="BP62" s="69">
        <f t="shared" si="23"/>
        <v>0.31252562099713671</v>
      </c>
      <c r="BQ62" s="64">
        <f t="shared" si="35"/>
        <v>2.1938103992193998</v>
      </c>
      <c r="BR62" s="69">
        <f t="shared" si="24"/>
        <v>0.13677774086069763</v>
      </c>
      <c r="BS62" s="61">
        <f t="shared" si="25"/>
        <v>6.2904243984632275</v>
      </c>
      <c r="BT62" s="61">
        <f t="shared" si="26"/>
        <v>5.988457056651888</v>
      </c>
      <c r="BU62" s="61">
        <f t="shared" si="36"/>
        <v>5.5060448198242016</v>
      </c>
      <c r="BV62" s="61">
        <f t="shared" si="37"/>
        <v>1.7852690916528806</v>
      </c>
      <c r="BW62" s="61">
        <f t="shared" si="38"/>
        <v>0.30196734181133933</v>
      </c>
      <c r="BX62" s="64">
        <f t="shared" si="39"/>
        <v>4.1744728669284399</v>
      </c>
      <c r="BY62" s="61">
        <f t="shared" si="40"/>
        <v>0.14079876155039908</v>
      </c>
      <c r="BZ62" s="61">
        <f t="shared" si="41"/>
        <v>26.465280309313233</v>
      </c>
      <c r="CA62" s="61">
        <f t="shared" si="42"/>
        <v>24.680011217660351</v>
      </c>
      <c r="CB62" s="61">
        <f>AE62*O62/0.2</f>
        <v>5.4845259980484995</v>
      </c>
      <c r="CC62" s="61">
        <f>AG62*AC62/0.2</f>
        <v>10.4361821673211</v>
      </c>
      <c r="CD62" s="61">
        <f>CB62*'Oxidant Feed Composition'!$N$22</f>
        <v>0.54845259980484995</v>
      </c>
      <c r="CE62" s="61">
        <f>CC62*'Oxidant Feed Composition'!$N$22</f>
        <v>1.04361821673211</v>
      </c>
      <c r="CF62" s="61">
        <f>1.2*CB62</f>
        <v>6.5814311976581994</v>
      </c>
      <c r="CG62" s="61">
        <f>CC62*1.2</f>
        <v>12.52341860078532</v>
      </c>
      <c r="CH62" s="61">
        <f>BY62/('TEA Revised EYZ Inc'!CA62*'TEA Revised EYZ Inc'!BZ62)</f>
        <v>1.9999999999999997E-2</v>
      </c>
      <c r="CI62" s="84">
        <f>BR62/('TEA Revised EYZ Inc'!BY62)</f>
        <v>1.1876725770902487E-2</v>
      </c>
    </row>
    <row r="63" spans="1:87">
      <c r="A63" s="61">
        <v>9</v>
      </c>
      <c r="B63" s="61">
        <v>1.54143585092054E-3</v>
      </c>
      <c r="C63" s="61">
        <v>1.54143585092054E-3</v>
      </c>
      <c r="D63" s="61">
        <v>3.4254130020456501E-4</v>
      </c>
      <c r="E63" s="61">
        <v>0</v>
      </c>
      <c r="F63" s="61">
        <v>0</v>
      </c>
      <c r="G63" s="61">
        <v>0</v>
      </c>
      <c r="H63" s="69">
        <v>1.7768596981705501E-5</v>
      </c>
      <c r="I63" s="69">
        <v>1.5331283704498101E-9</v>
      </c>
      <c r="J63" s="61">
        <v>3.3763247208936601E-4</v>
      </c>
      <c r="K63" s="61">
        <v>0.13890601070001499</v>
      </c>
      <c r="L63" s="61">
        <v>0.14052575540227799</v>
      </c>
      <c r="M63" s="61">
        <v>4.4751616793740602E-4</v>
      </c>
      <c r="N63" s="61" t="s">
        <v>323</v>
      </c>
      <c r="O63" s="61">
        <v>0.1</v>
      </c>
      <c r="P63" s="61">
        <v>5</v>
      </c>
      <c r="Q63" s="61">
        <v>1.6497485970141401E-3</v>
      </c>
      <c r="R63" s="61">
        <v>1.6689858606617799E-3</v>
      </c>
      <c r="S63" s="61">
        <v>5.3150268046377499E-6</v>
      </c>
      <c r="T63" s="61">
        <v>0</v>
      </c>
      <c r="U63" s="61">
        <v>0</v>
      </c>
      <c r="V63" s="61">
        <v>0</v>
      </c>
      <c r="W63" s="61">
        <v>1.6104360946851499E-3</v>
      </c>
      <c r="X63" s="61">
        <v>7.9481866578997695E-5</v>
      </c>
      <c r="Y63" s="61">
        <v>5.2779279086813702E-6</v>
      </c>
      <c r="Z63" s="61">
        <v>1.8118422491867001E-3</v>
      </c>
      <c r="AA63" s="61">
        <v>7.32573690584577E-2</v>
      </c>
      <c r="AB63" s="61">
        <v>1.7098211283888001E-6</v>
      </c>
      <c r="AC63" s="61">
        <v>0.1</v>
      </c>
      <c r="AD63" s="61">
        <v>100</v>
      </c>
      <c r="AE63" s="61">
        <v>10.969051996096999</v>
      </c>
      <c r="AF63" s="61">
        <v>92.357542033771196</v>
      </c>
      <c r="AG63" s="61">
        <v>20.039305783583899</v>
      </c>
      <c r="AH63" s="61">
        <f t="shared" si="0"/>
        <v>1.0969051996096999</v>
      </c>
      <c r="AI63" s="61">
        <f t="shared" si="27"/>
        <v>2.0039305783583901</v>
      </c>
      <c r="AJ63" s="61">
        <f t="shared" si="28"/>
        <v>1.0969051996096999</v>
      </c>
      <c r="AK63" s="61">
        <f t="shared" si="28"/>
        <v>2.0039305783583901</v>
      </c>
      <c r="AL63" s="61">
        <f t="shared" si="1"/>
        <v>0.61449296278201315</v>
      </c>
      <c r="AM63" s="61">
        <f t="shared" si="29"/>
        <v>0.48241223682768675</v>
      </c>
      <c r="AN63" s="61">
        <f t="shared" si="30"/>
        <v>0.61449296278201315</v>
      </c>
      <c r="AO63" s="69">
        <f t="shared" si="2"/>
        <v>1.77685969817055E-3</v>
      </c>
      <c r="AP63" s="69">
        <f t="shared" si="3"/>
        <v>1.5331283704498101E-7</v>
      </c>
      <c r="AQ63" s="69">
        <f t="shared" si="4"/>
        <v>3.37632472089366E-2</v>
      </c>
      <c r="AR63" s="61">
        <f t="shared" si="31"/>
        <v>10</v>
      </c>
      <c r="AS63" s="69">
        <f t="shared" si="5"/>
        <v>0.154143585092054</v>
      </c>
      <c r="AT63" s="70">
        <f t="shared" si="6"/>
        <v>0.154143585092054</v>
      </c>
      <c r="AU63" s="69">
        <f t="shared" si="7"/>
        <v>3.4254130020456498E-2</v>
      </c>
      <c r="AV63" s="69">
        <f t="shared" si="43"/>
        <v>0.15236672539388346</v>
      </c>
      <c r="AW63" s="70">
        <f t="shared" si="43"/>
        <v>0.15414343177921697</v>
      </c>
      <c r="AX63" s="69">
        <f t="shared" si="43"/>
        <v>4.9088281151989793E-4</v>
      </c>
      <c r="AY63" s="69">
        <f t="shared" si="9"/>
        <v>0.14873591930758606</v>
      </c>
      <c r="AZ63" s="61">
        <f t="shared" si="10"/>
        <v>7.3407498334923738E-3</v>
      </c>
      <c r="BA63" s="61">
        <f t="shared" si="11"/>
        <v>4.8745644867725376E-4</v>
      </c>
      <c r="BB63" s="69">
        <f t="shared" si="12"/>
        <v>94.999999998287066</v>
      </c>
      <c r="BC63" s="69">
        <f t="shared" si="13"/>
        <v>0.15656412558975569</v>
      </c>
      <c r="BD63" s="69">
        <f t="shared" si="14"/>
        <v>0.30554377312168035</v>
      </c>
      <c r="BE63" s="69">
        <f t="shared" si="15"/>
        <v>0.31361570762818863</v>
      </c>
      <c r="BF63" s="61">
        <f t="shared" si="16"/>
        <v>3.6308060863068699E-3</v>
      </c>
      <c r="BG63" s="61">
        <f t="shared" si="17"/>
        <v>0.14680268194632917</v>
      </c>
      <c r="BH63" s="61">
        <f t="shared" si="18"/>
        <v>3.4263628427015631E-6</v>
      </c>
      <c r="BI63" s="61">
        <f t="shared" si="19"/>
        <v>0.3008772551538002</v>
      </c>
      <c r="BJ63" s="61">
        <f t="shared" si="20"/>
        <v>1.7030533232045899</v>
      </c>
      <c r="BK63" s="61">
        <f t="shared" si="21"/>
        <v>0.3008772551538002</v>
      </c>
      <c r="BL63" s="61">
        <f t="shared" si="32"/>
        <v>0.78328949198148701</v>
      </c>
      <c r="BM63" s="61">
        <f t="shared" si="33"/>
        <v>0.15406943366320697</v>
      </c>
      <c r="BN63" s="61">
        <f t="shared" si="34"/>
        <v>0.3008772551538002</v>
      </c>
      <c r="BO63" s="69">
        <f t="shared" si="22"/>
        <v>0.78328949198148701</v>
      </c>
      <c r="BP63" s="69">
        <f t="shared" si="23"/>
        <v>0.31361570762818863</v>
      </c>
      <c r="BQ63" s="64">
        <f t="shared" si="35"/>
        <v>2.1938103992193998</v>
      </c>
      <c r="BR63" s="69">
        <f t="shared" si="24"/>
        <v>0.1371951498140582</v>
      </c>
      <c r="BS63" s="61">
        <f t="shared" si="25"/>
        <v>6.262570635467851</v>
      </c>
      <c r="BT63" s="61">
        <f t="shared" si="26"/>
        <v>5.9616933803140508</v>
      </c>
      <c r="BU63" s="61">
        <f t="shared" si="36"/>
        <v>5.4792811434863644</v>
      </c>
      <c r="BV63" s="61">
        <f t="shared" si="37"/>
        <v>1.7030533232045899</v>
      </c>
      <c r="BW63" s="61">
        <f t="shared" si="38"/>
        <v>0.3008772551538002</v>
      </c>
      <c r="BX63" s="64">
        <f t="shared" si="39"/>
        <v>4.0078611567167801</v>
      </c>
      <c r="BY63" s="61">
        <f t="shared" si="40"/>
        <v>0.13993356623232153</v>
      </c>
      <c r="BZ63" s="61">
        <f t="shared" si="41"/>
        <v>24.38872046810075</v>
      </c>
      <c r="CA63" s="61">
        <f t="shared" si="42"/>
        <v>22.685667144896161</v>
      </c>
      <c r="CB63" s="61">
        <f>AE63*O63/0.2</f>
        <v>5.4845259980484995</v>
      </c>
      <c r="CC63" s="61">
        <f>AG63*AC63/0.2</f>
        <v>10.019652891791949</v>
      </c>
      <c r="CD63" s="61">
        <f>CB63*'Oxidant Feed Composition'!$N$22</f>
        <v>0.54845259980484995</v>
      </c>
      <c r="CE63" s="61">
        <f>CC63*'Oxidant Feed Composition'!$N$22</f>
        <v>1.001965289179195</v>
      </c>
      <c r="CF63" s="61">
        <f>1.2*CB63</f>
        <v>6.5814311976581994</v>
      </c>
      <c r="CG63" s="61">
        <f>CC63*1.2</f>
        <v>12.023583470150339</v>
      </c>
      <c r="CH63" s="61">
        <f>BY63/('TEA Revised EYZ Inc'!CA63*'TEA Revised EYZ Inc'!BZ63)</f>
        <v>0.02</v>
      </c>
      <c r="CI63" s="84">
        <f>BR63/('TEA Revised EYZ Inc'!BY63)</f>
        <v>1.1876725770902487E-2</v>
      </c>
    </row>
    <row r="64" spans="1:87">
      <c r="A64" s="61">
        <v>9</v>
      </c>
      <c r="B64" s="61">
        <v>1.54143585092054E-3</v>
      </c>
      <c r="C64" s="61">
        <v>1.54143585092054E-3</v>
      </c>
      <c r="D64" s="61">
        <v>3.4254130020456501E-4</v>
      </c>
      <c r="E64" s="61">
        <v>0</v>
      </c>
      <c r="F64" s="61">
        <v>0</v>
      </c>
      <c r="G64" s="61">
        <v>0</v>
      </c>
      <c r="H64" s="69">
        <v>1.7768596981705501E-5</v>
      </c>
      <c r="I64" s="69">
        <v>1.5331283704498101E-9</v>
      </c>
      <c r="J64" s="61">
        <v>3.3763247208936601E-4</v>
      </c>
      <c r="K64" s="61">
        <v>0.13890601070001499</v>
      </c>
      <c r="L64" s="61">
        <v>0.14052575540227799</v>
      </c>
      <c r="M64" s="61">
        <v>4.4751616793740602E-4</v>
      </c>
      <c r="N64" s="61" t="s">
        <v>323</v>
      </c>
      <c r="O64" s="61">
        <v>0.1</v>
      </c>
      <c r="P64" s="61">
        <v>6</v>
      </c>
      <c r="Q64" s="61">
        <v>1.6497485970141401E-3</v>
      </c>
      <c r="R64" s="61">
        <v>1.6689858606617799E-3</v>
      </c>
      <c r="S64" s="61">
        <v>5.3150268046377499E-6</v>
      </c>
      <c r="T64" s="61">
        <v>0</v>
      </c>
      <c r="U64" s="61">
        <v>0</v>
      </c>
      <c r="V64" s="61">
        <v>0</v>
      </c>
      <c r="W64" s="61">
        <v>1.6121184009261799E-3</v>
      </c>
      <c r="X64" s="61">
        <v>7.9568883775184404E-5</v>
      </c>
      <c r="Y64" s="61">
        <v>5.27945332060777E-6</v>
      </c>
      <c r="Z64" s="61">
        <v>1.7562244702796299E-3</v>
      </c>
      <c r="AA64" s="61">
        <v>7.4179071024813498E-2</v>
      </c>
      <c r="AB64" s="61">
        <v>1.6602364494864499E-6</v>
      </c>
      <c r="AC64" s="61">
        <v>0.1</v>
      </c>
      <c r="AD64" s="61">
        <v>100</v>
      </c>
      <c r="AE64" s="61">
        <v>10.969051996096999</v>
      </c>
      <c r="AF64" s="61">
        <v>92.357542033771196</v>
      </c>
      <c r="AG64" s="61">
        <v>19.789226694805201</v>
      </c>
      <c r="AH64" s="61">
        <f t="shared" si="0"/>
        <v>1.0969051996096999</v>
      </c>
      <c r="AI64" s="61">
        <f t="shared" si="27"/>
        <v>1.9789226694805202</v>
      </c>
      <c r="AJ64" s="61">
        <f t="shared" si="28"/>
        <v>1.0969051996096999</v>
      </c>
      <c r="AK64" s="61">
        <f t="shared" si="28"/>
        <v>1.9789226694805202</v>
      </c>
      <c r="AL64" s="61">
        <f t="shared" si="1"/>
        <v>0.61449296278201315</v>
      </c>
      <c r="AM64" s="61">
        <f t="shared" si="29"/>
        <v>0.48241223682768675</v>
      </c>
      <c r="AN64" s="61">
        <f t="shared" si="30"/>
        <v>0.61449296278201315</v>
      </c>
      <c r="AO64" s="69">
        <f t="shared" si="2"/>
        <v>1.77685969817055E-3</v>
      </c>
      <c r="AP64" s="69">
        <f t="shared" si="3"/>
        <v>1.5331283704498101E-7</v>
      </c>
      <c r="AQ64" s="69">
        <f t="shared" si="4"/>
        <v>3.37632472089366E-2</v>
      </c>
      <c r="AR64" s="61">
        <f t="shared" si="31"/>
        <v>10</v>
      </c>
      <c r="AS64" s="69">
        <f t="shared" si="5"/>
        <v>0.154143585092054</v>
      </c>
      <c r="AT64" s="70">
        <f t="shared" si="6"/>
        <v>0.154143585092054</v>
      </c>
      <c r="AU64" s="69">
        <f t="shared" si="7"/>
        <v>3.4254130020456498E-2</v>
      </c>
      <c r="AV64" s="69">
        <f t="shared" si="43"/>
        <v>0.15236672539388346</v>
      </c>
      <c r="AW64" s="70">
        <f t="shared" si="43"/>
        <v>0.15414343177921697</v>
      </c>
      <c r="AX64" s="69">
        <f t="shared" si="43"/>
        <v>4.9088281151989793E-4</v>
      </c>
      <c r="AY64" s="69">
        <f t="shared" si="9"/>
        <v>0.14889129297695566</v>
      </c>
      <c r="AZ64" s="61">
        <f t="shared" si="10"/>
        <v>7.3487865278468482E-3</v>
      </c>
      <c r="BA64" s="61">
        <f t="shared" si="11"/>
        <v>4.8759733197336502E-4</v>
      </c>
      <c r="BB64" s="69">
        <f t="shared" si="12"/>
        <v>94.999999988526966</v>
      </c>
      <c r="BC64" s="69">
        <f t="shared" si="13"/>
        <v>0.15672767683677588</v>
      </c>
      <c r="BD64" s="69">
        <f t="shared" si="14"/>
        <v>0.30586276847971827</v>
      </c>
      <c r="BE64" s="69">
        <f t="shared" si="15"/>
        <v>0.31394295100552511</v>
      </c>
      <c r="BF64" s="61">
        <f t="shared" si="16"/>
        <v>3.4754324169327779E-3</v>
      </c>
      <c r="BG64" s="61">
        <f t="shared" si="17"/>
        <v>0.14679464525200903</v>
      </c>
      <c r="BH64" s="61">
        <f t="shared" si="18"/>
        <v>3.2854795465865863E-6</v>
      </c>
      <c r="BI64" s="61">
        <f t="shared" si="19"/>
        <v>0.30055001177652335</v>
      </c>
      <c r="BJ64" s="61">
        <f t="shared" si="20"/>
        <v>1.6783726577039968</v>
      </c>
      <c r="BK64" s="61">
        <f t="shared" si="21"/>
        <v>0.30055001177652335</v>
      </c>
      <c r="BL64" s="61">
        <f t="shared" si="32"/>
        <v>0.78296224860421004</v>
      </c>
      <c r="BM64" s="61">
        <f t="shared" si="33"/>
        <v>0.15375043830519447</v>
      </c>
      <c r="BN64" s="61">
        <f t="shared" si="34"/>
        <v>0.30055001177652335</v>
      </c>
      <c r="BO64" s="69">
        <f t="shared" si="22"/>
        <v>0.78296224860421004</v>
      </c>
      <c r="BP64" s="69">
        <f t="shared" si="23"/>
        <v>0.31394295100552511</v>
      </c>
      <c r="BQ64" s="64">
        <f t="shared" si="35"/>
        <v>2.1938103992193998</v>
      </c>
      <c r="BR64" s="69">
        <f t="shared" si="24"/>
        <v>0.13732038492058518</v>
      </c>
      <c r="BS64" s="61">
        <f t="shared" si="25"/>
        <v>6.2542452243251443</v>
      </c>
      <c r="BT64" s="61">
        <f t="shared" si="26"/>
        <v>5.9536952125486211</v>
      </c>
      <c r="BU64" s="61">
        <f t="shared" si="36"/>
        <v>5.4712829757209347</v>
      </c>
      <c r="BV64" s="61">
        <f t="shared" si="37"/>
        <v>1.6783726577039968</v>
      </c>
      <c r="BW64" s="61">
        <f t="shared" si="38"/>
        <v>0.30055001177652335</v>
      </c>
      <c r="BX64" s="64">
        <f t="shared" si="39"/>
        <v>3.9578453389610404</v>
      </c>
      <c r="BY64" s="61">
        <f t="shared" si="40"/>
        <v>0.1396688617730584</v>
      </c>
      <c r="BZ64" s="61">
        <f t="shared" si="41"/>
        <v>23.780316227989683</v>
      </c>
      <c r="CA64" s="61">
        <f t="shared" si="42"/>
        <v>22.101943570285687</v>
      </c>
      <c r="CB64" s="61">
        <f>AE64*O64/0.2</f>
        <v>5.4845259980484995</v>
      </c>
      <c r="CC64" s="61">
        <f>AG64*AC64/0.2</f>
        <v>9.8946133474026006</v>
      </c>
      <c r="CD64" s="61">
        <f>CB64*'Oxidant Feed Composition'!$N$22</f>
        <v>0.54845259980484995</v>
      </c>
      <c r="CE64" s="61">
        <f>CC64*'Oxidant Feed Composition'!$N$22</f>
        <v>0.9894613347402601</v>
      </c>
      <c r="CF64" s="61">
        <f>1.2*CB64</f>
        <v>6.5814311976581994</v>
      </c>
      <c r="CG64" s="61">
        <f>CC64*1.2</f>
        <v>11.87353601688312</v>
      </c>
      <c r="CH64" s="61">
        <f>BY64/('TEA Revised EYZ Inc'!CA64*'TEA Revised EYZ Inc'!BZ64)</f>
        <v>1.9999999999999993E-2</v>
      </c>
      <c r="CI64" s="84">
        <f>BR64/('TEA Revised EYZ Inc'!BY64)</f>
        <v>1.1876725770902484E-2</v>
      </c>
    </row>
    <row r="65" spans="1:87">
      <c r="A65" s="63">
        <v>9</v>
      </c>
      <c r="B65" s="63">
        <v>1.54143585092054E-3</v>
      </c>
      <c r="C65" s="63">
        <v>1.54143585092054E-3</v>
      </c>
      <c r="D65" s="63">
        <v>3.4254130020456501E-4</v>
      </c>
      <c r="E65" s="63">
        <v>0</v>
      </c>
      <c r="F65" s="63">
        <v>0</v>
      </c>
      <c r="G65" s="63">
        <v>0</v>
      </c>
      <c r="H65" s="71">
        <v>1.7768596981705501E-5</v>
      </c>
      <c r="I65" s="71">
        <v>1.5331283704498101E-9</v>
      </c>
      <c r="J65" s="63">
        <v>3.3763247208936601E-4</v>
      </c>
      <c r="K65" s="63">
        <v>0.13890601070001499</v>
      </c>
      <c r="L65" s="63">
        <v>0.14052575540227799</v>
      </c>
      <c r="M65" s="63">
        <v>4.4751616793740602E-4</v>
      </c>
      <c r="N65" s="63" t="s">
        <v>323</v>
      </c>
      <c r="O65" s="63">
        <v>0.1</v>
      </c>
      <c r="P65" s="61">
        <v>7</v>
      </c>
      <c r="Q65" s="61">
        <v>1.6497485970141401E-3</v>
      </c>
      <c r="R65" s="61">
        <v>1.6689858606617799E-3</v>
      </c>
      <c r="S65" s="61">
        <v>5.3150268046377499E-6</v>
      </c>
      <c r="T65" s="61">
        <v>0</v>
      </c>
      <c r="U65" s="61">
        <v>0</v>
      </c>
      <c r="V65" s="61">
        <v>0</v>
      </c>
      <c r="W65" s="61">
        <v>1.6126074648206801E-3</v>
      </c>
      <c r="X65" s="61">
        <v>7.9594180322832604E-5</v>
      </c>
      <c r="Y65" s="61">
        <v>5.2798967729928503E-6</v>
      </c>
      <c r="Z65" s="61">
        <v>1.73979110112154E-3</v>
      </c>
      <c r="AA65" s="61">
        <v>7.4451405715099297E-2</v>
      </c>
      <c r="AB65" s="61">
        <v>1.64558571126931E-6</v>
      </c>
      <c r="AC65" s="63">
        <v>0.1</v>
      </c>
      <c r="AD65" s="61">
        <v>100</v>
      </c>
      <c r="AE65" s="61">
        <v>10.969051996096999</v>
      </c>
      <c r="AF65" s="61">
        <v>92.357542033771196</v>
      </c>
      <c r="AG65" s="61">
        <v>19.716526171033898</v>
      </c>
      <c r="AH65" s="61">
        <f t="shared" si="0"/>
        <v>1.0969051996096999</v>
      </c>
      <c r="AI65" s="61">
        <f t="shared" si="27"/>
        <v>1.9716526171033899</v>
      </c>
      <c r="AJ65" s="61">
        <f t="shared" si="28"/>
        <v>1.0969051996096999</v>
      </c>
      <c r="AK65" s="61">
        <f t="shared" si="28"/>
        <v>1.9716526171033899</v>
      </c>
      <c r="AL65" s="61">
        <f t="shared" si="1"/>
        <v>0.61449296278201315</v>
      </c>
      <c r="AM65" s="61">
        <f t="shared" si="29"/>
        <v>0.48241223682768675</v>
      </c>
      <c r="AN65" s="61">
        <f t="shared" si="30"/>
        <v>0.61449296278201315</v>
      </c>
      <c r="AO65" s="69">
        <f t="shared" si="2"/>
        <v>1.77685969817055E-3</v>
      </c>
      <c r="AP65" s="69">
        <f t="shared" si="3"/>
        <v>1.5331283704498101E-7</v>
      </c>
      <c r="AQ65" s="69">
        <f t="shared" si="4"/>
        <v>3.37632472089366E-2</v>
      </c>
      <c r="AR65" s="61">
        <f t="shared" si="31"/>
        <v>10</v>
      </c>
      <c r="AS65" s="69">
        <f t="shared" si="5"/>
        <v>0.154143585092054</v>
      </c>
      <c r="AT65" s="70">
        <f t="shared" si="6"/>
        <v>0.154143585092054</v>
      </c>
      <c r="AU65" s="69">
        <f t="shared" si="7"/>
        <v>3.4254130020456498E-2</v>
      </c>
      <c r="AV65" s="69">
        <f t="shared" si="43"/>
        <v>0.15236672539388346</v>
      </c>
      <c r="AW65" s="70">
        <f t="shared" si="43"/>
        <v>0.15414343177921697</v>
      </c>
      <c r="AX65" s="69">
        <f t="shared" si="43"/>
        <v>4.9088281151989793E-4</v>
      </c>
      <c r="AY65" s="69">
        <f t="shared" si="9"/>
        <v>0.14893646171614916</v>
      </c>
      <c r="AZ65" s="61">
        <f t="shared" si="10"/>
        <v>7.3511228548095763E-3</v>
      </c>
      <c r="BA65" s="61">
        <f t="shared" si="11"/>
        <v>4.8763828814566009E-4</v>
      </c>
      <c r="BB65" s="69">
        <f t="shared" si="12"/>
        <v>95</v>
      </c>
      <c r="BC65" s="69">
        <f t="shared" si="13"/>
        <v>0.15677522285910439</v>
      </c>
      <c r="BD65" s="69">
        <f t="shared" si="14"/>
        <v>0.30595550371932639</v>
      </c>
      <c r="BE65" s="69">
        <f t="shared" si="15"/>
        <v>0.31403808400635447</v>
      </c>
      <c r="BF65" s="61">
        <f t="shared" si="16"/>
        <v>3.4302636777394729E-3</v>
      </c>
      <c r="BG65" s="61">
        <f t="shared" si="17"/>
        <v>0.14679230892520181</v>
      </c>
      <c r="BH65" s="61">
        <f t="shared" si="18"/>
        <v>3.2445233742920785E-6</v>
      </c>
      <c r="BI65" s="61">
        <f t="shared" si="19"/>
        <v>0.30045487877600541</v>
      </c>
      <c r="BJ65" s="61">
        <f t="shared" si="20"/>
        <v>1.6711977383273844</v>
      </c>
      <c r="BK65" s="61">
        <f t="shared" si="21"/>
        <v>0.30045487877600541</v>
      </c>
      <c r="BL65" s="61">
        <f t="shared" si="32"/>
        <v>0.78286711560369215</v>
      </c>
      <c r="BM65" s="61">
        <f t="shared" si="33"/>
        <v>0.1536577030657422</v>
      </c>
      <c r="BN65" s="61">
        <f t="shared" si="34"/>
        <v>0.30045487877600541</v>
      </c>
      <c r="BO65" s="69">
        <f t="shared" si="22"/>
        <v>0.78286711560369215</v>
      </c>
      <c r="BP65" s="69">
        <f t="shared" si="23"/>
        <v>0.31403808400635447</v>
      </c>
      <c r="BQ65" s="64">
        <f t="shared" si="35"/>
        <v>2.1938103992193998</v>
      </c>
      <c r="BR65" s="69">
        <f t="shared" si="24"/>
        <v>0.13735678591673081</v>
      </c>
      <c r="BS65" s="61">
        <f t="shared" si="25"/>
        <v>6.2518280693443327</v>
      </c>
      <c r="BT65" s="61">
        <f t="shared" si="26"/>
        <v>5.9513731905683276</v>
      </c>
      <c r="BU65" s="61">
        <f t="shared" si="36"/>
        <v>5.4689609537406412</v>
      </c>
      <c r="BV65" s="61">
        <f t="shared" si="37"/>
        <v>1.6711977383273844</v>
      </c>
      <c r="BW65" s="61">
        <f t="shared" si="38"/>
        <v>0.30045487877600541</v>
      </c>
      <c r="BX65" s="64">
        <f t="shared" si="39"/>
        <v>3.9433052342067798</v>
      </c>
      <c r="BY65" s="61">
        <f t="shared" si="40"/>
        <v>0.13959145481572038</v>
      </c>
      <c r="BZ65" s="61">
        <f t="shared" si="41"/>
        <v>23.6047500100943</v>
      </c>
      <c r="CA65" s="61">
        <f t="shared" si="42"/>
        <v>21.933552271766914</v>
      </c>
      <c r="CB65" s="61">
        <f>AE65*O65/0.2</f>
        <v>5.4845259980484995</v>
      </c>
      <c r="CC65" s="61">
        <f>AG65*AC65/0.2</f>
        <v>9.8582630855169491</v>
      </c>
      <c r="CD65" s="61">
        <f>CB65*'Oxidant Feed Composition'!$N$22</f>
        <v>0.54845259980484995</v>
      </c>
      <c r="CE65" s="61">
        <f>CC65*'Oxidant Feed Composition'!$N$22</f>
        <v>0.98582630855169495</v>
      </c>
      <c r="CF65" s="61">
        <f>1.2*CB65</f>
        <v>6.5814311976581994</v>
      </c>
      <c r="CG65" s="61">
        <f>CC65*1.2</f>
        <v>11.829915702620339</v>
      </c>
      <c r="CH65" s="61">
        <f>BY65/('TEA Revised EYZ Inc'!CA65*'TEA Revised EYZ Inc'!BZ65)</f>
        <v>0.02</v>
      </c>
      <c r="CI65" s="84">
        <f>BR65/('TEA Revised EYZ Inc'!BY65)</f>
        <v>1.1876725770902487E-2</v>
      </c>
    </row>
    <row r="66" spans="1:87">
      <c r="A66" s="61">
        <v>9</v>
      </c>
      <c r="B66" s="61">
        <v>1.54143585092054E-3</v>
      </c>
      <c r="C66" s="61">
        <v>1.54143585092054E-3</v>
      </c>
      <c r="D66" s="61">
        <v>3.4254130020456501E-4</v>
      </c>
      <c r="E66" s="61">
        <v>0</v>
      </c>
      <c r="F66" s="61">
        <v>0</v>
      </c>
      <c r="G66" s="61">
        <v>0</v>
      </c>
      <c r="H66" s="69">
        <v>1.7768596981705501E-5</v>
      </c>
      <c r="I66" s="69">
        <v>1.5331283704498101E-9</v>
      </c>
      <c r="J66" s="61">
        <v>3.3763247208936601E-4</v>
      </c>
      <c r="K66" s="61">
        <v>0.13890601070001499</v>
      </c>
      <c r="L66" s="61">
        <v>0.14052575540227799</v>
      </c>
      <c r="M66" s="61">
        <v>4.4751616793740602E-4</v>
      </c>
      <c r="N66" s="61" t="s">
        <v>323</v>
      </c>
      <c r="O66" s="61">
        <v>0.1</v>
      </c>
      <c r="P66" s="61">
        <v>8</v>
      </c>
      <c r="Q66" s="61">
        <v>1.6497485970141401E-3</v>
      </c>
      <c r="R66" s="61">
        <v>1.6689858606617799E-3</v>
      </c>
      <c r="S66" s="61">
        <v>5.3150268046377499E-6</v>
      </c>
      <c r="T66" s="61">
        <v>0</v>
      </c>
      <c r="U66" s="61">
        <v>0</v>
      </c>
      <c r="V66" s="61">
        <v>0</v>
      </c>
      <c r="W66" s="61">
        <v>1.6127468294673999E-3</v>
      </c>
      <c r="X66" s="61">
        <v>7.9601388937146201E-5</v>
      </c>
      <c r="Y66" s="61">
        <v>5.2800231400846897E-6</v>
      </c>
      <c r="Z66" s="61">
        <v>1.73508600246416E-3</v>
      </c>
      <c r="AA66" s="61">
        <v>7.4529378862327897E-2</v>
      </c>
      <c r="AB66" s="61">
        <v>1.6413910047206701E-6</v>
      </c>
      <c r="AC66" s="61">
        <v>0.1</v>
      </c>
      <c r="AD66" s="61">
        <v>100</v>
      </c>
      <c r="AE66" s="61">
        <v>10.969051996096999</v>
      </c>
      <c r="AF66" s="61">
        <v>92.357542033771196</v>
      </c>
      <c r="AG66" s="61">
        <v>19.695809292209098</v>
      </c>
      <c r="AH66" s="61">
        <f t="shared" ref="AH66:AH101" si="44">AE66*O66</f>
        <v>1.0969051996096999</v>
      </c>
      <c r="AI66" s="61">
        <f t="shared" si="27"/>
        <v>1.9695809292209099</v>
      </c>
      <c r="AJ66" s="61">
        <f t="shared" si="28"/>
        <v>1.0969051996096999</v>
      </c>
      <c r="AK66" s="61">
        <f t="shared" si="28"/>
        <v>1.9695809292209099</v>
      </c>
      <c r="AL66" s="61">
        <f t="shared" ref="AL66:AL101" si="45">AE66*O66*(K66*2+L66*2+M66*3)</f>
        <v>0.61449296278201315</v>
      </c>
      <c r="AM66" s="61">
        <f t="shared" si="29"/>
        <v>0.48241223682768675</v>
      </c>
      <c r="AN66" s="61">
        <f t="shared" si="30"/>
        <v>0.61449296278201315</v>
      </c>
      <c r="AO66" s="69">
        <f t="shared" ref="AO66:AO101" si="46">H66*AD66</f>
        <v>1.77685969817055E-3</v>
      </c>
      <c r="AP66" s="69">
        <f t="shared" ref="AP66:AP101" si="47">I66*AD66</f>
        <v>1.5331283704498101E-7</v>
      </c>
      <c r="AQ66" s="69">
        <f t="shared" ref="AQ66:AQ101" si="48">J66*AD66</f>
        <v>3.37632472089366E-2</v>
      </c>
      <c r="AR66" s="61">
        <f t="shared" si="31"/>
        <v>10</v>
      </c>
      <c r="AS66" s="69">
        <f t="shared" ref="AS66:AS101" si="49">AD66*B66</f>
        <v>0.154143585092054</v>
      </c>
      <c r="AT66" s="70">
        <f t="shared" ref="AT66:AT101" si="50">AD66*C66</f>
        <v>0.154143585092054</v>
      </c>
      <c r="AU66" s="69">
        <f t="shared" ref="AU66:AU101" si="51">AD66*D66</f>
        <v>3.4254130020456498E-2</v>
      </c>
      <c r="AV66" s="69">
        <f t="shared" ref="AV66:AX101" si="52">AS66-AO66</f>
        <v>0.15236672539388346</v>
      </c>
      <c r="AW66" s="70">
        <f t="shared" si="52"/>
        <v>0.15414343177921697</v>
      </c>
      <c r="AX66" s="69">
        <f t="shared" si="52"/>
        <v>4.9088281151989793E-4</v>
      </c>
      <c r="AY66" s="69">
        <f t="shared" ref="AY66:AY101" si="53">AF66*W66</f>
        <v>0.1489493330923666</v>
      </c>
      <c r="AZ66" s="61">
        <f t="shared" ref="AZ66:AZ101" si="54">AF66*X66</f>
        <v>7.3517886247090498E-3</v>
      </c>
      <c r="BA66" s="61">
        <f t="shared" ref="BA66:BA101" si="55">AF66*Y66</f>
        <v>4.876499590996563E-4</v>
      </c>
      <c r="BB66" s="69">
        <f t="shared" ref="BB66:BB101" si="56">AY66/SUM(AY66:BA66)*100</f>
        <v>95.000000000000028</v>
      </c>
      <c r="BC66" s="69">
        <f t="shared" ref="BC66:BC101" si="57">SUM(AY66:BA66)</f>
        <v>0.15678877167617533</v>
      </c>
      <c r="BD66" s="69">
        <f t="shared" ref="BD66:BD101" si="58">AY66*2+AZ66*1+BA66*3/2</f>
        <v>0.30598192974809174</v>
      </c>
      <c r="BE66" s="69">
        <f t="shared" ref="BE66:BE101" si="59">AY66*2+AZ66*2+BA66*3</f>
        <v>0.31406519331145027</v>
      </c>
      <c r="BF66" s="61">
        <f t="shared" ref="BF66:BF101" si="60">AG66*AC66*Z66</f>
        <v>3.4173923010115542E-3</v>
      </c>
      <c r="BG66" s="61">
        <f t="shared" ref="BG66:BG101" si="61">AG66*AC66*AA66</f>
        <v>0.14679164327392102</v>
      </c>
      <c r="BH66" s="61">
        <f t="shared" ref="BH66:BH101" si="62">AG66*AC66*AB66</f>
        <v>3.2328524202925802E-6</v>
      </c>
      <c r="BI66" s="61">
        <f t="shared" ref="BI66:BI101" si="63">BF66*2+BG66*2+BH66*3</f>
        <v>0.30042776970712604</v>
      </c>
      <c r="BJ66" s="61">
        <f t="shared" ref="BJ66:BJ101" si="64">AK66-BI66</f>
        <v>1.6691531595137838</v>
      </c>
      <c r="BK66" s="61">
        <f t="shared" ref="BK66:BK101" si="65">BI66</f>
        <v>0.30042776970712604</v>
      </c>
      <c r="BL66" s="61">
        <f t="shared" si="32"/>
        <v>0.78284000653481278</v>
      </c>
      <c r="BM66" s="61">
        <f t="shared" si="33"/>
        <v>0.15363127715457456</v>
      </c>
      <c r="BN66" s="61">
        <f t="shared" si="34"/>
        <v>0.30042776970712604</v>
      </c>
      <c r="BO66" s="69">
        <f t="shared" ref="BO66:BO101" si="66">BL66</f>
        <v>0.78284000653481278</v>
      </c>
      <c r="BP66" s="69">
        <f t="shared" ref="BP66:BP101" si="67">BE66</f>
        <v>0.31406519331145027</v>
      </c>
      <c r="BQ66" s="64">
        <f t="shared" si="35"/>
        <v>2.1938103992193998</v>
      </c>
      <c r="BR66" s="69">
        <f t="shared" ref="BR66:BR101" si="68">AJ66/(BQ66+BE66)*BP66</f>
        <v>0.13736715831749041</v>
      </c>
      <c r="BS66" s="61">
        <f t="shared" ref="BS66:BS101" si="69">BO66/BR66*AJ66</f>
        <v>6.2511395310795521</v>
      </c>
      <c r="BT66" s="61">
        <f t="shared" ref="BT66:BT101" si="70">BS66-BK66</f>
        <v>5.9507117613724265</v>
      </c>
      <c r="BU66" s="61">
        <f t="shared" si="36"/>
        <v>5.4682995245447401</v>
      </c>
      <c r="BV66" s="61">
        <f t="shared" si="37"/>
        <v>1.6691531595137838</v>
      </c>
      <c r="BW66" s="61">
        <f t="shared" si="38"/>
        <v>0.30042776970712604</v>
      </c>
      <c r="BX66" s="64">
        <f t="shared" si="39"/>
        <v>3.9391618584418198</v>
      </c>
      <c r="BY66" s="61">
        <f t="shared" si="40"/>
        <v>0.13956935876406446</v>
      </c>
      <c r="BZ66" s="61">
        <f t="shared" si="41"/>
        <v>23.554827936729271</v>
      </c>
      <c r="CA66" s="61">
        <f t="shared" si="42"/>
        <v>21.885674777215488</v>
      </c>
      <c r="CB66" s="61">
        <f>AE66*O66/0.2</f>
        <v>5.4845259980484995</v>
      </c>
      <c r="CC66" s="61">
        <f>AG66*AC66/0.2</f>
        <v>9.8479046461045492</v>
      </c>
      <c r="CD66" s="61">
        <f>CB66*'Oxidant Feed Composition'!$N$22</f>
        <v>0.54845259980484995</v>
      </c>
      <c r="CE66" s="61">
        <f>CC66*'Oxidant Feed Composition'!$N$22</f>
        <v>0.98479046461045494</v>
      </c>
      <c r="CF66" s="61">
        <f>1.2*CB66</f>
        <v>6.5814311976581994</v>
      </c>
      <c r="CG66" s="61">
        <f>CC66*1.2</f>
        <v>11.817485575325458</v>
      </c>
      <c r="CH66" s="61">
        <f>BY66/('TEA Revised EYZ Inc'!CA66*'TEA Revised EYZ Inc'!BZ66)</f>
        <v>1.9999999999999997E-2</v>
      </c>
      <c r="CI66" s="84">
        <f>BR66/('TEA Revised EYZ Inc'!BY66)</f>
        <v>1.1876725770902485E-2</v>
      </c>
    </row>
    <row r="67" spans="1:87">
      <c r="A67" s="61">
        <v>9</v>
      </c>
      <c r="B67" s="61">
        <v>1.54143585092054E-3</v>
      </c>
      <c r="C67" s="61">
        <v>1.54143585092054E-3</v>
      </c>
      <c r="D67" s="61">
        <v>3.4254130020456501E-4</v>
      </c>
      <c r="E67" s="61">
        <v>0</v>
      </c>
      <c r="F67" s="61">
        <v>0</v>
      </c>
      <c r="G67" s="61">
        <v>0</v>
      </c>
      <c r="H67" s="69">
        <v>1.7768596981705501E-5</v>
      </c>
      <c r="I67" s="69">
        <v>1.5331283704498101E-9</v>
      </c>
      <c r="J67" s="61">
        <v>3.3763247208936601E-4</v>
      </c>
      <c r="K67" s="61">
        <v>0.13890601070001499</v>
      </c>
      <c r="L67" s="61">
        <v>0.14052575540227799</v>
      </c>
      <c r="M67" s="61">
        <v>4.4751616793740602E-4</v>
      </c>
      <c r="N67" s="61" t="s">
        <v>323</v>
      </c>
      <c r="O67" s="61">
        <v>0.1</v>
      </c>
      <c r="P67" s="61">
        <v>9</v>
      </c>
      <c r="Q67" s="61">
        <v>1.6497485970141401E-3</v>
      </c>
      <c r="R67" s="61">
        <v>1.6689858606617799E-3</v>
      </c>
      <c r="S67" s="61">
        <v>5.3150268046377499E-6</v>
      </c>
      <c r="T67" s="61">
        <v>0</v>
      </c>
      <c r="U67" s="61">
        <v>0</v>
      </c>
      <c r="V67" s="61">
        <v>0</v>
      </c>
      <c r="W67" s="61">
        <v>1.6127861938138701E-3</v>
      </c>
      <c r="X67" s="61">
        <v>7.9603425019377403E-5</v>
      </c>
      <c r="Y67" s="61">
        <v>5.2800588331914901E-6</v>
      </c>
      <c r="Z67" s="61">
        <v>1.7337552285219199E-3</v>
      </c>
      <c r="AA67" s="61">
        <v>7.4551432519081903E-2</v>
      </c>
      <c r="AB67" s="61">
        <v>1.64020458835788E-6</v>
      </c>
      <c r="AC67" s="61">
        <v>0.1</v>
      </c>
      <c r="AD67" s="61">
        <v>100</v>
      </c>
      <c r="AE67" s="61">
        <v>10.969051996096999</v>
      </c>
      <c r="AF67" s="61">
        <v>92.357542033771196</v>
      </c>
      <c r="AG67" s="61">
        <v>19.689957677272098</v>
      </c>
      <c r="AH67" s="61">
        <f t="shared" si="44"/>
        <v>1.0969051996096999</v>
      </c>
      <c r="AI67" s="61">
        <f t="shared" ref="AI67:AI101" si="71">AG67*AC67</f>
        <v>1.9689957677272099</v>
      </c>
      <c r="AJ67" s="61">
        <f t="shared" ref="AJ67:AK101" si="72">AH67</f>
        <v>1.0969051996096999</v>
      </c>
      <c r="AK67" s="61">
        <f t="shared" si="72"/>
        <v>1.9689957677272099</v>
      </c>
      <c r="AL67" s="61">
        <f t="shared" si="45"/>
        <v>0.61449296278201315</v>
      </c>
      <c r="AM67" s="61">
        <f t="shared" ref="AM67:AM101" si="73">AJ67-AL67</f>
        <v>0.48241223682768675</v>
      </c>
      <c r="AN67" s="61">
        <f t="shared" ref="AN67:AN101" si="74">AJ67-AM67</f>
        <v>0.61449296278201315</v>
      </c>
      <c r="AO67" s="69">
        <f t="shared" si="46"/>
        <v>1.77685969817055E-3</v>
      </c>
      <c r="AP67" s="69">
        <f t="shared" si="47"/>
        <v>1.5331283704498101E-7</v>
      </c>
      <c r="AQ67" s="69">
        <f t="shared" si="48"/>
        <v>3.37632472089366E-2</v>
      </c>
      <c r="AR67" s="61">
        <f t="shared" ref="AR67:AR101" si="75">0.1*AD67</f>
        <v>10</v>
      </c>
      <c r="AS67" s="69">
        <f t="shared" si="49"/>
        <v>0.154143585092054</v>
      </c>
      <c r="AT67" s="70">
        <f t="shared" si="50"/>
        <v>0.154143585092054</v>
      </c>
      <c r="AU67" s="69">
        <f t="shared" si="51"/>
        <v>3.4254130020456498E-2</v>
      </c>
      <c r="AV67" s="69">
        <f t="shared" si="52"/>
        <v>0.15236672539388346</v>
      </c>
      <c r="AW67" s="70">
        <f t="shared" si="52"/>
        <v>0.15414343177921697</v>
      </c>
      <c r="AX67" s="69">
        <f t="shared" si="52"/>
        <v>4.9088281151989793E-4</v>
      </c>
      <c r="AY67" s="69">
        <f t="shared" si="53"/>
        <v>0.14895296868665037</v>
      </c>
      <c r="AZ67" s="61">
        <f t="shared" si="54"/>
        <v>7.3519766722593026E-3</v>
      </c>
      <c r="BA67" s="61">
        <f t="shared" si="55"/>
        <v>4.8765325562726794E-4</v>
      </c>
      <c r="BB67" s="69">
        <f t="shared" si="56"/>
        <v>95.000000001811486</v>
      </c>
      <c r="BC67" s="69">
        <f t="shared" si="57"/>
        <v>0.15679259861453695</v>
      </c>
      <c r="BD67" s="69">
        <f t="shared" si="58"/>
        <v>0.30598939392900093</v>
      </c>
      <c r="BE67" s="69">
        <f t="shared" si="59"/>
        <v>0.31407285048470118</v>
      </c>
      <c r="BF67" s="61">
        <f t="shared" si="60"/>
        <v>3.4137567072345821E-3</v>
      </c>
      <c r="BG67" s="61">
        <f t="shared" si="61"/>
        <v>0.14679145510807295</v>
      </c>
      <c r="BH67" s="61">
        <f t="shared" si="62"/>
        <v>3.2295558926834163E-6</v>
      </c>
      <c r="BI67" s="61">
        <f t="shared" si="63"/>
        <v>0.30042011229829313</v>
      </c>
      <c r="BJ67" s="61">
        <f t="shared" si="64"/>
        <v>1.6685756554289166</v>
      </c>
      <c r="BK67" s="61">
        <f t="shared" si="65"/>
        <v>0.30042011229829313</v>
      </c>
      <c r="BL67" s="61">
        <f t="shared" ref="BL67:BL101" si="76">BK67+AM67</f>
        <v>0.78283234912597988</v>
      </c>
      <c r="BM67" s="61">
        <f t="shared" ref="BM67:BM101" si="77">2*BF67+BG67+3/2*BH67</f>
        <v>0.15362381285638113</v>
      </c>
      <c r="BN67" s="61">
        <f t="shared" ref="BN67:BN101" si="78">2*BF67+BG67*2+3*BH67</f>
        <v>0.30042011229829313</v>
      </c>
      <c r="BO67" s="69">
        <f t="shared" si="66"/>
        <v>0.78283234912597988</v>
      </c>
      <c r="BP67" s="69">
        <f t="shared" si="67"/>
        <v>0.31407285048470118</v>
      </c>
      <c r="BQ67" s="64">
        <f t="shared" ref="BQ67:BQ101" si="79">AJ67*2</f>
        <v>2.1938103992193998</v>
      </c>
      <c r="BR67" s="69">
        <f t="shared" si="68"/>
        <v>0.1373700880188726</v>
      </c>
      <c r="BS67" s="61">
        <f t="shared" si="69"/>
        <v>6.250945067902931</v>
      </c>
      <c r="BT67" s="61">
        <f t="shared" si="70"/>
        <v>5.9505249556046378</v>
      </c>
      <c r="BU67" s="61">
        <f t="shared" ref="BU67:BU101" si="80">BT67-AM67</f>
        <v>5.4681127187769514</v>
      </c>
      <c r="BV67" s="61">
        <f t="shared" ref="BV67:BV101" si="81">BJ67</f>
        <v>1.6685756554289166</v>
      </c>
      <c r="BW67" s="61">
        <f t="shared" ref="BW67:BW101" si="82">BN67</f>
        <v>0.30042011229829313</v>
      </c>
      <c r="BX67" s="64">
        <f t="shared" ref="BX67:BX101" si="83">AK67*2</f>
        <v>3.9379915354544197</v>
      </c>
      <c r="BY67" s="61">
        <f t="shared" ref="BY67:BY101" si="84">AK67/(BX67+BN67)*BW67</f>
        <v>0.13956311439666569</v>
      </c>
      <c r="BZ67" s="61">
        <f t="shared" ref="BZ67:BZ101" si="85">BV67/BY67*AK67</f>
        <v>23.540735801684605</v>
      </c>
      <c r="CA67" s="61">
        <f t="shared" ref="CA67:CA101" si="86">BZ67-BJ67</f>
        <v>21.872160146255688</v>
      </c>
      <c r="CB67" s="61">
        <f>AE67*O67/0.2</f>
        <v>5.4845259980484995</v>
      </c>
      <c r="CC67" s="61">
        <f>AG67*AC67/0.2</f>
        <v>9.8449788386360488</v>
      </c>
      <c r="CD67" s="61">
        <f>CB67*'Oxidant Feed Composition'!$N$22</f>
        <v>0.54845259980484995</v>
      </c>
      <c r="CE67" s="61">
        <f>CC67*'Oxidant Feed Composition'!$N$22</f>
        <v>0.98449788386360493</v>
      </c>
      <c r="CF67" s="61">
        <f>1.2*CB67</f>
        <v>6.5814311976581994</v>
      </c>
      <c r="CG67" s="61">
        <f>CC67*1.2</f>
        <v>11.813974606363258</v>
      </c>
      <c r="CH67" s="61">
        <f>BY67/('TEA Revised EYZ Inc'!CA67*'TEA Revised EYZ Inc'!BZ67)</f>
        <v>1.9999999999999997E-2</v>
      </c>
      <c r="CI67" s="84">
        <f>BR67/('TEA Revised EYZ Inc'!BY67)</f>
        <v>1.1876725770902485E-2</v>
      </c>
    </row>
    <row r="68" spans="1:87">
      <c r="A68" s="61">
        <v>9</v>
      </c>
      <c r="B68" s="61">
        <v>1.54143585092054E-3</v>
      </c>
      <c r="C68" s="61">
        <v>1.54143585092054E-3</v>
      </c>
      <c r="D68" s="61">
        <v>3.4254130020456501E-4</v>
      </c>
      <c r="E68" s="61">
        <v>0</v>
      </c>
      <c r="F68" s="61">
        <v>0</v>
      </c>
      <c r="G68" s="61">
        <v>0</v>
      </c>
      <c r="H68" s="69">
        <v>1.7768596981705501E-5</v>
      </c>
      <c r="I68" s="69">
        <v>1.5331283704498101E-9</v>
      </c>
      <c r="J68" s="61">
        <v>3.3763247208936601E-4</v>
      </c>
      <c r="K68" s="61">
        <v>0.13890601070001499</v>
      </c>
      <c r="L68" s="61">
        <v>0.14052575540227799</v>
      </c>
      <c r="M68" s="61">
        <v>4.4751616793740602E-4</v>
      </c>
      <c r="N68" s="61" t="s">
        <v>323</v>
      </c>
      <c r="O68" s="61">
        <v>0.1</v>
      </c>
      <c r="P68" s="61">
        <v>10</v>
      </c>
      <c r="Q68" s="61">
        <v>1.6497485970141401E-3</v>
      </c>
      <c r="R68" s="61">
        <v>1.6689858606617799E-3</v>
      </c>
      <c r="S68" s="61">
        <v>5.3150268046377499E-6</v>
      </c>
      <c r="T68" s="61">
        <v>0</v>
      </c>
      <c r="U68" s="61">
        <v>0</v>
      </c>
      <c r="V68" s="61">
        <v>0</v>
      </c>
      <c r="W68" s="61">
        <v>1.61279727507717E-3</v>
      </c>
      <c r="X68" s="61">
        <v>7.9603998227522496E-5</v>
      </c>
      <c r="Y68" s="61">
        <v>5.28006888098894E-6</v>
      </c>
      <c r="Z68" s="61">
        <v>1.7333804651433E-3</v>
      </c>
      <c r="AA68" s="61">
        <v>7.4557643117945299E-2</v>
      </c>
      <c r="AB68" s="61">
        <v>1.6398704779534299E-6</v>
      </c>
      <c r="AC68" s="61">
        <v>0.1</v>
      </c>
      <c r="AD68" s="61">
        <v>100</v>
      </c>
      <c r="AE68" s="61">
        <v>10.969051996096999</v>
      </c>
      <c r="AF68" s="61">
        <v>92.357542033771196</v>
      </c>
      <c r="AG68" s="61">
        <v>19.6883104257832</v>
      </c>
      <c r="AH68" s="61">
        <f t="shared" si="44"/>
        <v>1.0969051996096999</v>
      </c>
      <c r="AI68" s="61">
        <f t="shared" si="71"/>
        <v>1.9688310425783202</v>
      </c>
      <c r="AJ68" s="61">
        <f t="shared" si="72"/>
        <v>1.0969051996096999</v>
      </c>
      <c r="AK68" s="61">
        <f t="shared" si="72"/>
        <v>1.9688310425783202</v>
      </c>
      <c r="AL68" s="61">
        <f t="shared" si="45"/>
        <v>0.61449296278201315</v>
      </c>
      <c r="AM68" s="61">
        <f t="shared" si="73"/>
        <v>0.48241223682768675</v>
      </c>
      <c r="AN68" s="61">
        <f t="shared" si="74"/>
        <v>0.61449296278201315</v>
      </c>
      <c r="AO68" s="69">
        <f t="shared" si="46"/>
        <v>1.77685969817055E-3</v>
      </c>
      <c r="AP68" s="69">
        <f t="shared" si="47"/>
        <v>1.5331283704498101E-7</v>
      </c>
      <c r="AQ68" s="69">
        <f t="shared" si="48"/>
        <v>3.37632472089366E-2</v>
      </c>
      <c r="AR68" s="61">
        <f t="shared" si="75"/>
        <v>10</v>
      </c>
      <c r="AS68" s="69">
        <f t="shared" si="49"/>
        <v>0.154143585092054</v>
      </c>
      <c r="AT68" s="70">
        <f t="shared" si="50"/>
        <v>0.154143585092054</v>
      </c>
      <c r="AU68" s="69">
        <f t="shared" si="51"/>
        <v>3.4254130020456498E-2</v>
      </c>
      <c r="AV68" s="69">
        <f t="shared" si="52"/>
        <v>0.15236672539388346</v>
      </c>
      <c r="AW68" s="70">
        <f t="shared" si="52"/>
        <v>0.15414343177921697</v>
      </c>
      <c r="AX68" s="69">
        <f t="shared" si="52"/>
        <v>4.9088281151989793E-4</v>
      </c>
      <c r="AY68" s="69">
        <f t="shared" si="53"/>
        <v>0.14895399212489138</v>
      </c>
      <c r="AZ68" s="61">
        <f t="shared" si="54"/>
        <v>7.3520296123546569E-3</v>
      </c>
      <c r="BA68" s="61">
        <f t="shared" si="55"/>
        <v>4.8765418361714326E-4</v>
      </c>
      <c r="BB68" s="69">
        <f t="shared" si="56"/>
        <v>95.000000000045517</v>
      </c>
      <c r="BC68" s="69">
        <f t="shared" si="57"/>
        <v>0.15679367592086318</v>
      </c>
      <c r="BD68" s="69">
        <f t="shared" si="58"/>
        <v>0.30599149513756313</v>
      </c>
      <c r="BE68" s="69">
        <f t="shared" si="59"/>
        <v>0.31407500602534349</v>
      </c>
      <c r="BF68" s="61">
        <f t="shared" si="60"/>
        <v>3.4127332683729769E-3</v>
      </c>
      <c r="BG68" s="61">
        <f t="shared" si="61"/>
        <v>0.14679140223208656</v>
      </c>
      <c r="BH68" s="61">
        <f t="shared" si="62"/>
        <v>3.2286279028024596E-6</v>
      </c>
      <c r="BI68" s="61">
        <f t="shared" si="63"/>
        <v>0.30041795688462747</v>
      </c>
      <c r="BJ68" s="61">
        <f t="shared" si="64"/>
        <v>1.6684130856936927</v>
      </c>
      <c r="BK68" s="61">
        <f t="shared" si="65"/>
        <v>0.30041795688462747</v>
      </c>
      <c r="BL68" s="61">
        <f t="shared" si="76"/>
        <v>0.78283019371231422</v>
      </c>
      <c r="BM68" s="61">
        <f t="shared" si="77"/>
        <v>0.15362171171068673</v>
      </c>
      <c r="BN68" s="61">
        <f t="shared" si="78"/>
        <v>0.30041795688462747</v>
      </c>
      <c r="BO68" s="69">
        <f t="shared" si="66"/>
        <v>0.78283019371231422</v>
      </c>
      <c r="BP68" s="69">
        <f t="shared" si="67"/>
        <v>0.31407500602534349</v>
      </c>
      <c r="BQ68" s="64">
        <f t="shared" si="79"/>
        <v>2.1938103992193998</v>
      </c>
      <c r="BR68" s="69">
        <f t="shared" si="68"/>
        <v>0.13737091274432711</v>
      </c>
      <c r="BS68" s="61">
        <f t="shared" si="69"/>
        <v>6.2508903285274755</v>
      </c>
      <c r="BT68" s="61">
        <f t="shared" si="70"/>
        <v>5.9504723716428476</v>
      </c>
      <c r="BU68" s="61">
        <f t="shared" si="80"/>
        <v>5.4680601348151612</v>
      </c>
      <c r="BV68" s="61">
        <f t="shared" si="81"/>
        <v>1.6684130856936927</v>
      </c>
      <c r="BW68" s="61">
        <f t="shared" si="82"/>
        <v>0.30041795688462747</v>
      </c>
      <c r="BX68" s="64">
        <f t="shared" si="83"/>
        <v>3.9376620851566404</v>
      </c>
      <c r="BY68" s="61">
        <f t="shared" si="84"/>
        <v>0.13956135641495052</v>
      </c>
      <c r="BZ68" s="61">
        <f t="shared" si="85"/>
        <v>23.53676948503589</v>
      </c>
      <c r="CA68" s="61">
        <f t="shared" si="86"/>
        <v>21.868356399342197</v>
      </c>
      <c r="CB68" s="61">
        <f>AE68*O68/0.2</f>
        <v>5.4845259980484995</v>
      </c>
      <c r="CC68" s="61">
        <f>AG68*AC68/0.2</f>
        <v>9.8441552128916001</v>
      </c>
      <c r="CD68" s="61">
        <f>CB68*'Oxidant Feed Composition'!$N$22</f>
        <v>0.54845259980484995</v>
      </c>
      <c r="CE68" s="61">
        <f>CC68*'Oxidant Feed Composition'!$N$22</f>
        <v>0.9844155212891601</v>
      </c>
      <c r="CF68" s="61">
        <f>1.2*CB68</f>
        <v>6.5814311976581994</v>
      </c>
      <c r="CG68" s="61">
        <f>CC68*1.2</f>
        <v>11.812986255469919</v>
      </c>
      <c r="CH68" s="61">
        <f>BY68/('TEA Revised EYZ Inc'!CA68*'TEA Revised EYZ Inc'!BZ68)</f>
        <v>0.02</v>
      </c>
      <c r="CI68" s="84">
        <f>BR68/('TEA Revised EYZ Inc'!BY68)</f>
        <v>1.1876725770902484E-2</v>
      </c>
    </row>
    <row r="69" spans="1:87">
      <c r="A69" s="61">
        <v>9</v>
      </c>
      <c r="B69" s="61">
        <v>1.54143585092054E-3</v>
      </c>
      <c r="C69" s="61">
        <v>1.54143585092054E-3</v>
      </c>
      <c r="D69" s="61">
        <v>3.4254130020456501E-4</v>
      </c>
      <c r="E69" s="61">
        <v>0</v>
      </c>
      <c r="F69" s="61">
        <v>0</v>
      </c>
      <c r="G69" s="61">
        <v>0</v>
      </c>
      <c r="H69" s="69">
        <v>1.7768596981705501E-5</v>
      </c>
      <c r="I69" s="69">
        <v>1.5331283704498101E-9</v>
      </c>
      <c r="J69" s="61">
        <v>3.3763247208936601E-4</v>
      </c>
      <c r="K69" s="61">
        <v>0.13890601070001499</v>
      </c>
      <c r="L69" s="61">
        <v>0.14052575540227799</v>
      </c>
      <c r="M69" s="61">
        <v>4.4751616793740602E-4</v>
      </c>
      <c r="N69" s="61" t="s">
        <v>323</v>
      </c>
      <c r="O69" s="61">
        <v>0.1</v>
      </c>
      <c r="P69" s="61">
        <v>11</v>
      </c>
      <c r="Q69" s="61">
        <v>1.6497485970141401E-3</v>
      </c>
      <c r="R69" s="61">
        <v>1.6689858606617799E-3</v>
      </c>
      <c r="S69" s="61">
        <v>5.3150268046377499E-6</v>
      </c>
      <c r="T69" s="61">
        <v>0</v>
      </c>
      <c r="U69" s="61">
        <v>0</v>
      </c>
      <c r="V69" s="61">
        <v>0</v>
      </c>
      <c r="W69" s="61">
        <v>1.6128003908315799E-3</v>
      </c>
      <c r="X69" s="61">
        <v>7.9604159390225403E-5</v>
      </c>
      <c r="Y69" s="61">
        <v>5.2800717061551003E-6</v>
      </c>
      <c r="Z69" s="61">
        <v>1.7332750811688499E-3</v>
      </c>
      <c r="AA69" s="61">
        <v>7.4559389546738394E-2</v>
      </c>
      <c r="AB69" s="61">
        <v>1.63977652565795E-6</v>
      </c>
      <c r="AC69" s="61">
        <v>0.1</v>
      </c>
      <c r="AD69" s="61">
        <v>100</v>
      </c>
      <c r="AE69" s="61">
        <v>10.969051996096999</v>
      </c>
      <c r="AF69" s="61">
        <v>92.357542033771196</v>
      </c>
      <c r="AG69" s="61">
        <v>19.687847257780298</v>
      </c>
      <c r="AH69" s="61">
        <f t="shared" si="44"/>
        <v>1.0969051996096999</v>
      </c>
      <c r="AI69" s="61">
        <f t="shared" si="71"/>
        <v>1.96878472577803</v>
      </c>
      <c r="AJ69" s="61">
        <f t="shared" si="72"/>
        <v>1.0969051996096999</v>
      </c>
      <c r="AK69" s="61">
        <f t="shared" si="72"/>
        <v>1.96878472577803</v>
      </c>
      <c r="AL69" s="61">
        <f t="shared" si="45"/>
        <v>0.61449296278201315</v>
      </c>
      <c r="AM69" s="61">
        <f t="shared" si="73"/>
        <v>0.48241223682768675</v>
      </c>
      <c r="AN69" s="61">
        <f t="shared" si="74"/>
        <v>0.61449296278201315</v>
      </c>
      <c r="AO69" s="69">
        <f t="shared" si="46"/>
        <v>1.77685969817055E-3</v>
      </c>
      <c r="AP69" s="69">
        <f t="shared" si="47"/>
        <v>1.5331283704498101E-7</v>
      </c>
      <c r="AQ69" s="69">
        <f t="shared" si="48"/>
        <v>3.37632472089366E-2</v>
      </c>
      <c r="AR69" s="61">
        <f t="shared" si="75"/>
        <v>10</v>
      </c>
      <c r="AS69" s="69">
        <f t="shared" si="49"/>
        <v>0.154143585092054</v>
      </c>
      <c r="AT69" s="70">
        <f t="shared" si="50"/>
        <v>0.154143585092054</v>
      </c>
      <c r="AU69" s="69">
        <f t="shared" si="51"/>
        <v>3.4254130020456498E-2</v>
      </c>
      <c r="AV69" s="69">
        <f t="shared" si="52"/>
        <v>0.15236672539388346</v>
      </c>
      <c r="AW69" s="70">
        <f t="shared" si="52"/>
        <v>0.15414343177921697</v>
      </c>
      <c r="AX69" s="69">
        <f t="shared" si="52"/>
        <v>4.9088281151989793E-4</v>
      </c>
      <c r="AY69" s="69">
        <f t="shared" si="53"/>
        <v>0.14895427988831025</v>
      </c>
      <c r="AZ69" s="61">
        <f t="shared" si="54"/>
        <v>7.3520444969457643E-3</v>
      </c>
      <c r="BA69" s="61">
        <f t="shared" si="55"/>
        <v>4.876544445425457E-4</v>
      </c>
      <c r="BB69" s="69">
        <f t="shared" si="56"/>
        <v>95.000000000001023</v>
      </c>
      <c r="BC69" s="69">
        <f t="shared" si="57"/>
        <v>0.15679397882979856</v>
      </c>
      <c r="BD69" s="69">
        <f t="shared" si="58"/>
        <v>0.30599208594038008</v>
      </c>
      <c r="BE69" s="69">
        <f t="shared" si="59"/>
        <v>0.3140756121041397</v>
      </c>
      <c r="BF69" s="61">
        <f t="shared" si="60"/>
        <v>3.4124455053769066E-3</v>
      </c>
      <c r="BG69" s="61">
        <f t="shared" si="61"/>
        <v>0.14679138730295266</v>
      </c>
      <c r="BH69" s="61">
        <f t="shared" si="62"/>
        <v>3.228366977404738E-6</v>
      </c>
      <c r="BI69" s="61">
        <f t="shared" si="63"/>
        <v>0.30041735071759129</v>
      </c>
      <c r="BJ69" s="61">
        <f t="shared" si="64"/>
        <v>1.6683673750604386</v>
      </c>
      <c r="BK69" s="61">
        <f t="shared" si="65"/>
        <v>0.30041735071759129</v>
      </c>
      <c r="BL69" s="61">
        <f t="shared" si="76"/>
        <v>0.78282958754527798</v>
      </c>
      <c r="BM69" s="61">
        <f t="shared" si="77"/>
        <v>0.15362112086417257</v>
      </c>
      <c r="BN69" s="61">
        <f t="shared" si="78"/>
        <v>0.30041735071759129</v>
      </c>
      <c r="BO69" s="69">
        <f t="shared" si="66"/>
        <v>0.78282958754527798</v>
      </c>
      <c r="BP69" s="69">
        <f t="shared" si="67"/>
        <v>0.3140756121041397</v>
      </c>
      <c r="BQ69" s="64">
        <f t="shared" si="79"/>
        <v>2.1938103992193998</v>
      </c>
      <c r="BR69" s="69">
        <f t="shared" si="68"/>
        <v>0.13737114463420685</v>
      </c>
      <c r="BS69" s="61">
        <f t="shared" si="69"/>
        <v>6.2508749364596135</v>
      </c>
      <c r="BT69" s="61">
        <f t="shared" si="70"/>
        <v>5.9504575857420221</v>
      </c>
      <c r="BU69" s="61">
        <f t="shared" si="80"/>
        <v>5.4680453489143357</v>
      </c>
      <c r="BV69" s="61">
        <f t="shared" si="81"/>
        <v>1.6683673750604386</v>
      </c>
      <c r="BW69" s="61">
        <f t="shared" si="82"/>
        <v>0.30041735071759129</v>
      </c>
      <c r="BX69" s="64">
        <f t="shared" si="83"/>
        <v>3.93756945155606</v>
      </c>
      <c r="BY69" s="61">
        <f t="shared" si="84"/>
        <v>0.13956086204284132</v>
      </c>
      <c r="BZ69" s="61">
        <f t="shared" si="85"/>
        <v>23.535654315441811</v>
      </c>
      <c r="CA69" s="61">
        <f t="shared" si="86"/>
        <v>21.867286940381373</v>
      </c>
      <c r="CB69" s="61">
        <f>AE69*O69/0.2</f>
        <v>5.4845259980484995</v>
      </c>
      <c r="CC69" s="61">
        <f>AG69*AC69/0.2</f>
        <v>9.843923628890149</v>
      </c>
      <c r="CD69" s="61">
        <f>CB69*'Oxidant Feed Composition'!$N$22</f>
        <v>0.54845259980484995</v>
      </c>
      <c r="CE69" s="61">
        <f>CC69*'Oxidant Feed Composition'!$N$22</f>
        <v>0.98439236288901499</v>
      </c>
      <c r="CF69" s="61">
        <f>1.2*CB69</f>
        <v>6.5814311976581994</v>
      </c>
      <c r="CG69" s="61">
        <f>CC69*1.2</f>
        <v>11.812708354668178</v>
      </c>
      <c r="CH69" s="61">
        <f>BY69/('TEA Revised EYZ Inc'!CA69*'TEA Revised EYZ Inc'!BZ69)</f>
        <v>1.9999999999999997E-2</v>
      </c>
      <c r="CI69" s="84">
        <f>BR69/('TEA Revised EYZ Inc'!BY69)</f>
        <v>1.1876725770902485E-2</v>
      </c>
    </row>
    <row r="70" spans="1:87">
      <c r="A70" s="61">
        <v>9</v>
      </c>
      <c r="B70" s="61">
        <v>1.54143585092054E-3</v>
      </c>
      <c r="C70" s="61">
        <v>1.54143585092054E-3</v>
      </c>
      <c r="D70" s="61">
        <v>3.4254130020456501E-4</v>
      </c>
      <c r="E70" s="61">
        <v>0</v>
      </c>
      <c r="F70" s="61">
        <v>0</v>
      </c>
      <c r="G70" s="61">
        <v>0</v>
      </c>
      <c r="H70" s="69">
        <v>1.7768596981705501E-5</v>
      </c>
      <c r="I70" s="69">
        <v>1.5331283704498101E-9</v>
      </c>
      <c r="J70" s="61">
        <v>3.3763247208936601E-4</v>
      </c>
      <c r="K70" s="61">
        <v>0.13890601070001499</v>
      </c>
      <c r="L70" s="61">
        <v>0.14052575540227799</v>
      </c>
      <c r="M70" s="61">
        <v>4.4751616793740602E-4</v>
      </c>
      <c r="N70" s="61" t="s">
        <v>323</v>
      </c>
      <c r="O70" s="61">
        <v>0.1</v>
      </c>
      <c r="P70" s="61">
        <v>12</v>
      </c>
      <c r="Q70" s="61">
        <v>1.6497485970141401E-3</v>
      </c>
      <c r="R70" s="61">
        <v>1.6689858606617799E-3</v>
      </c>
      <c r="S70" s="61">
        <v>5.3150268046377499E-6</v>
      </c>
      <c r="T70" s="61">
        <v>0</v>
      </c>
      <c r="U70" s="61">
        <v>0</v>
      </c>
      <c r="V70" s="61">
        <v>0</v>
      </c>
      <c r="W70" s="61">
        <v>1.61280126654258E-3</v>
      </c>
      <c r="X70" s="61">
        <v>7.9604204686258806E-5</v>
      </c>
      <c r="Y70" s="61">
        <v>5.2800725001932601E-6</v>
      </c>
      <c r="Z70" s="61">
        <v>1.7332454612020299E-3</v>
      </c>
      <c r="AA70" s="61">
        <v>7.4559880410390605E-2</v>
      </c>
      <c r="AB70" s="61">
        <v>1.63975011876007E-6</v>
      </c>
      <c r="AC70" s="61">
        <v>0.1</v>
      </c>
      <c r="AD70" s="61">
        <v>100</v>
      </c>
      <c r="AE70" s="61">
        <v>10.969051996096999</v>
      </c>
      <c r="AF70" s="61">
        <v>92.357542033771196</v>
      </c>
      <c r="AG70" s="61">
        <v>19.687717079934501</v>
      </c>
      <c r="AH70" s="61">
        <f t="shared" si="44"/>
        <v>1.0969051996096999</v>
      </c>
      <c r="AI70" s="61">
        <f t="shared" si="71"/>
        <v>1.9687717079934501</v>
      </c>
      <c r="AJ70" s="61">
        <f t="shared" si="72"/>
        <v>1.0969051996096999</v>
      </c>
      <c r="AK70" s="61">
        <f t="shared" si="72"/>
        <v>1.9687717079934501</v>
      </c>
      <c r="AL70" s="61">
        <f t="shared" si="45"/>
        <v>0.61449296278201315</v>
      </c>
      <c r="AM70" s="61">
        <f t="shared" si="73"/>
        <v>0.48241223682768675</v>
      </c>
      <c r="AN70" s="61">
        <f t="shared" si="74"/>
        <v>0.61449296278201315</v>
      </c>
      <c r="AO70" s="69">
        <f t="shared" si="46"/>
        <v>1.77685969817055E-3</v>
      </c>
      <c r="AP70" s="69">
        <f t="shared" si="47"/>
        <v>1.5331283704498101E-7</v>
      </c>
      <c r="AQ70" s="69">
        <f t="shared" si="48"/>
        <v>3.37632472089366E-2</v>
      </c>
      <c r="AR70" s="61">
        <f t="shared" si="75"/>
        <v>10</v>
      </c>
      <c r="AS70" s="69">
        <f t="shared" si="49"/>
        <v>0.154143585092054</v>
      </c>
      <c r="AT70" s="70">
        <f t="shared" si="50"/>
        <v>0.154143585092054</v>
      </c>
      <c r="AU70" s="69">
        <f t="shared" si="51"/>
        <v>3.4254130020456498E-2</v>
      </c>
      <c r="AV70" s="69">
        <f t="shared" si="52"/>
        <v>0.15236672539388346</v>
      </c>
      <c r="AW70" s="70">
        <f t="shared" si="52"/>
        <v>0.15414343177921697</v>
      </c>
      <c r="AX70" s="69">
        <f t="shared" si="52"/>
        <v>4.9088281151989793E-4</v>
      </c>
      <c r="AY70" s="69">
        <f t="shared" si="53"/>
        <v>0.14895436076682575</v>
      </c>
      <c r="AZ70" s="61">
        <f t="shared" si="54"/>
        <v>7.352048680376074E-3</v>
      </c>
      <c r="BA70" s="61">
        <f t="shared" si="55"/>
        <v>4.8765451787795842E-4</v>
      </c>
      <c r="BB70" s="69">
        <f t="shared" si="56"/>
        <v>94.999999999999972</v>
      </c>
      <c r="BC70" s="69">
        <f t="shared" si="57"/>
        <v>0.15679406396507978</v>
      </c>
      <c r="BD70" s="69">
        <f t="shared" si="58"/>
        <v>0.30599225199084451</v>
      </c>
      <c r="BE70" s="69">
        <f t="shared" si="59"/>
        <v>0.31407578244803752</v>
      </c>
      <c r="BF70" s="61">
        <f t="shared" si="60"/>
        <v>3.4123646270226154E-3</v>
      </c>
      <c r="BG70" s="61">
        <f t="shared" si="61"/>
        <v>0.1467913831033521</v>
      </c>
      <c r="BH70" s="61">
        <f t="shared" si="62"/>
        <v>3.2282936419937257E-6</v>
      </c>
      <c r="BI70" s="61">
        <f t="shared" si="63"/>
        <v>0.30041718034167542</v>
      </c>
      <c r="BJ70" s="61">
        <f t="shared" si="64"/>
        <v>1.6683545276517746</v>
      </c>
      <c r="BK70" s="61">
        <f t="shared" si="65"/>
        <v>0.30041718034167542</v>
      </c>
      <c r="BL70" s="61">
        <f t="shared" si="76"/>
        <v>0.78282941716936216</v>
      </c>
      <c r="BM70" s="61">
        <f t="shared" si="77"/>
        <v>0.15362095479786034</v>
      </c>
      <c r="BN70" s="61">
        <f t="shared" si="78"/>
        <v>0.30041718034167542</v>
      </c>
      <c r="BO70" s="69">
        <f t="shared" si="66"/>
        <v>0.78282941716936216</v>
      </c>
      <c r="BP70" s="69">
        <f t="shared" si="67"/>
        <v>0.31407578244803752</v>
      </c>
      <c r="BQ70" s="64">
        <f t="shared" si="79"/>
        <v>2.1938103992193998</v>
      </c>
      <c r="BR70" s="69">
        <f t="shared" si="68"/>
        <v>0.13737120980892339</v>
      </c>
      <c r="BS70" s="61">
        <f t="shared" si="69"/>
        <v>6.2508706103331217</v>
      </c>
      <c r="BT70" s="61">
        <f t="shared" si="70"/>
        <v>5.9504534299914464</v>
      </c>
      <c r="BU70" s="61">
        <f t="shared" si="80"/>
        <v>5.46804119316376</v>
      </c>
      <c r="BV70" s="61">
        <f t="shared" si="81"/>
        <v>1.6683545276517746</v>
      </c>
      <c r="BW70" s="61">
        <f t="shared" si="82"/>
        <v>0.30041718034167542</v>
      </c>
      <c r="BX70" s="64">
        <f t="shared" si="83"/>
        <v>3.9375434159869003</v>
      </c>
      <c r="BY70" s="61">
        <f t="shared" si="84"/>
        <v>0.13956072309030981</v>
      </c>
      <c r="BZ70" s="61">
        <f t="shared" si="85"/>
        <v>23.535340891133945</v>
      </c>
      <c r="CA70" s="61">
        <f t="shared" si="86"/>
        <v>21.86698636348217</v>
      </c>
      <c r="CB70" s="61">
        <f>AE70*O70/0.2</f>
        <v>5.4845259980484995</v>
      </c>
      <c r="CC70" s="61">
        <f>AG70*AC70/0.2</f>
        <v>9.8438585399672505</v>
      </c>
      <c r="CD70" s="61">
        <f>CB70*'Oxidant Feed Composition'!$N$22</f>
        <v>0.54845259980484995</v>
      </c>
      <c r="CE70" s="61">
        <f>CC70*'Oxidant Feed Composition'!$N$22</f>
        <v>0.98438585399672507</v>
      </c>
      <c r="CF70" s="61">
        <f>1.2*CB70</f>
        <v>6.5814311976581994</v>
      </c>
      <c r="CG70" s="61">
        <f>CC70*1.2</f>
        <v>11.812630247960699</v>
      </c>
      <c r="CH70" s="61">
        <f>BY70/('TEA Revised EYZ Inc'!CA70*'TEA Revised EYZ Inc'!BZ70)</f>
        <v>2.0000000000000004E-2</v>
      </c>
      <c r="CI70" s="84">
        <f>BR70/('TEA Revised EYZ Inc'!BY70)</f>
        <v>1.1876725770902484E-2</v>
      </c>
    </row>
    <row r="71" spans="1:87">
      <c r="A71" s="61">
        <v>9</v>
      </c>
      <c r="B71" s="61">
        <v>1.54143585092054E-3</v>
      </c>
      <c r="C71" s="61">
        <v>1.54143585092054E-3</v>
      </c>
      <c r="D71" s="61">
        <v>3.4254130020456501E-4</v>
      </c>
      <c r="E71" s="61">
        <v>0</v>
      </c>
      <c r="F71" s="61">
        <v>0</v>
      </c>
      <c r="G71" s="61">
        <v>0</v>
      </c>
      <c r="H71" s="69">
        <v>1.7768596981705501E-5</v>
      </c>
      <c r="I71" s="69">
        <v>1.5331283704498101E-9</v>
      </c>
      <c r="J71" s="61">
        <v>3.3763247208936601E-4</v>
      </c>
      <c r="K71" s="61">
        <v>0.13890601070001499</v>
      </c>
      <c r="L71" s="61">
        <v>0.14052575540227799</v>
      </c>
      <c r="M71" s="61">
        <v>4.4751616793740602E-4</v>
      </c>
      <c r="N71" s="61" t="s">
        <v>323</v>
      </c>
      <c r="O71" s="61">
        <v>0.1</v>
      </c>
      <c r="P71" s="61">
        <v>13</v>
      </c>
      <c r="Q71" s="61">
        <v>1.6497485970141401E-3</v>
      </c>
      <c r="R71" s="61">
        <v>1.6689858606617799E-3</v>
      </c>
      <c r="S71" s="61">
        <v>5.3150268046377499E-6</v>
      </c>
      <c r="T71" s="61">
        <v>0</v>
      </c>
      <c r="U71" s="61">
        <v>0</v>
      </c>
      <c r="V71" s="61">
        <v>0</v>
      </c>
      <c r="W71" s="61">
        <v>1.6128015126361699E-3</v>
      </c>
      <c r="X71" s="61">
        <v>7.9604217415409805E-5</v>
      </c>
      <c r="Y71" s="61">
        <v>5.2800727233350599E-6</v>
      </c>
      <c r="Z71" s="61">
        <v>1.7332371372774599E-3</v>
      </c>
      <c r="AA71" s="61">
        <v>7.4560018354909094E-2</v>
      </c>
      <c r="AB71" s="61">
        <v>1.6397426977852001E-6</v>
      </c>
      <c r="AC71" s="61">
        <v>0.1</v>
      </c>
      <c r="AD71" s="61">
        <v>100</v>
      </c>
      <c r="AE71" s="61">
        <v>10.969051996096999</v>
      </c>
      <c r="AF71" s="61">
        <v>92.357542033771196</v>
      </c>
      <c r="AG71" s="61">
        <v>19.6876804972202</v>
      </c>
      <c r="AH71" s="61">
        <f t="shared" si="44"/>
        <v>1.0969051996096999</v>
      </c>
      <c r="AI71" s="61">
        <f t="shared" si="71"/>
        <v>1.9687680497220201</v>
      </c>
      <c r="AJ71" s="61">
        <f t="shared" si="72"/>
        <v>1.0969051996096999</v>
      </c>
      <c r="AK71" s="61">
        <f t="shared" si="72"/>
        <v>1.9687680497220201</v>
      </c>
      <c r="AL71" s="61">
        <f t="shared" si="45"/>
        <v>0.61449296278201315</v>
      </c>
      <c r="AM71" s="61">
        <f t="shared" si="73"/>
        <v>0.48241223682768675</v>
      </c>
      <c r="AN71" s="61">
        <f t="shared" si="74"/>
        <v>0.61449296278201315</v>
      </c>
      <c r="AO71" s="69">
        <f t="shared" si="46"/>
        <v>1.77685969817055E-3</v>
      </c>
      <c r="AP71" s="69">
        <f t="shared" si="47"/>
        <v>1.5331283704498101E-7</v>
      </c>
      <c r="AQ71" s="69">
        <f t="shared" si="48"/>
        <v>3.37632472089366E-2</v>
      </c>
      <c r="AR71" s="61">
        <f t="shared" si="75"/>
        <v>10</v>
      </c>
      <c r="AS71" s="69">
        <f t="shared" si="49"/>
        <v>0.154143585092054</v>
      </c>
      <c r="AT71" s="70">
        <f t="shared" si="50"/>
        <v>0.154143585092054</v>
      </c>
      <c r="AU71" s="69">
        <f t="shared" si="51"/>
        <v>3.4254130020456498E-2</v>
      </c>
      <c r="AV71" s="69">
        <f t="shared" si="52"/>
        <v>0.15236672539388346</v>
      </c>
      <c r="AW71" s="70">
        <f t="shared" si="52"/>
        <v>0.15414343177921697</v>
      </c>
      <c r="AX71" s="69">
        <f t="shared" si="52"/>
        <v>4.9088281151989793E-4</v>
      </c>
      <c r="AY71" s="69">
        <f t="shared" si="53"/>
        <v>0.14895438349542484</v>
      </c>
      <c r="AZ71" s="61">
        <f t="shared" si="54"/>
        <v>7.3520498560091718E-3</v>
      </c>
      <c r="BA71" s="61">
        <f t="shared" si="55"/>
        <v>4.8765453848678654E-4</v>
      </c>
      <c r="BB71" s="69">
        <f t="shared" si="56"/>
        <v>95.000000000000057</v>
      </c>
      <c r="BC71" s="69">
        <f t="shared" si="57"/>
        <v>0.1567940878899208</v>
      </c>
      <c r="BD71" s="69">
        <f t="shared" si="58"/>
        <v>0.30599229865458905</v>
      </c>
      <c r="BE71" s="69">
        <f t="shared" si="59"/>
        <v>0.31407583031832836</v>
      </c>
      <c r="BF71" s="61">
        <f t="shared" si="60"/>
        <v>3.4123418984635221E-3</v>
      </c>
      <c r="BG71" s="61">
        <f t="shared" si="61"/>
        <v>0.1467913819238324</v>
      </c>
      <c r="BH71" s="61">
        <f t="shared" si="62"/>
        <v>3.2282730331644921E-6</v>
      </c>
      <c r="BI71" s="61">
        <f t="shared" si="63"/>
        <v>0.30041713246369134</v>
      </c>
      <c r="BJ71" s="61">
        <f t="shared" si="64"/>
        <v>1.6683509172583288</v>
      </c>
      <c r="BK71" s="61">
        <f t="shared" si="65"/>
        <v>0.30041713246369134</v>
      </c>
      <c r="BL71" s="61">
        <f t="shared" si="76"/>
        <v>0.78282936929137814</v>
      </c>
      <c r="BM71" s="61">
        <f t="shared" si="77"/>
        <v>0.15362090813030921</v>
      </c>
      <c r="BN71" s="61">
        <f t="shared" si="78"/>
        <v>0.30041713246369134</v>
      </c>
      <c r="BO71" s="69">
        <f t="shared" si="66"/>
        <v>0.78282936929137814</v>
      </c>
      <c r="BP71" s="69">
        <f t="shared" si="67"/>
        <v>0.31407583031832836</v>
      </c>
      <c r="BQ71" s="64">
        <f t="shared" si="79"/>
        <v>2.1938103992193998</v>
      </c>
      <c r="BR71" s="69">
        <f t="shared" si="68"/>
        <v>0.1373712281244158</v>
      </c>
      <c r="BS71" s="61">
        <f t="shared" si="69"/>
        <v>6.2508693946099667</v>
      </c>
      <c r="BT71" s="61">
        <f t="shared" si="70"/>
        <v>5.9504522621462757</v>
      </c>
      <c r="BU71" s="61">
        <f t="shared" si="80"/>
        <v>5.4680400253185892</v>
      </c>
      <c r="BV71" s="61">
        <f t="shared" si="81"/>
        <v>1.6683509172583288</v>
      </c>
      <c r="BW71" s="61">
        <f t="shared" si="82"/>
        <v>0.30041713246369134</v>
      </c>
      <c r="BX71" s="64">
        <f t="shared" si="83"/>
        <v>3.9375360994440403</v>
      </c>
      <c r="BY71" s="61">
        <f t="shared" si="84"/>
        <v>0.13956068404213587</v>
      </c>
      <c r="BZ71" s="61">
        <f t="shared" si="85"/>
        <v>23.535252812539561</v>
      </c>
      <c r="CA71" s="61">
        <f t="shared" si="86"/>
        <v>21.866901895281231</v>
      </c>
      <c r="CB71" s="61">
        <f>AE71*O71/0.2</f>
        <v>5.4845259980484995</v>
      </c>
      <c r="CC71" s="61">
        <f>AG71*AC71/0.2</f>
        <v>9.8438402486100998</v>
      </c>
      <c r="CD71" s="61">
        <f>CB71*'Oxidant Feed Composition'!$N$22</f>
        <v>0.54845259980484995</v>
      </c>
      <c r="CE71" s="61">
        <f>CC71*'Oxidant Feed Composition'!$N$22</f>
        <v>0.98438402486101007</v>
      </c>
      <c r="CF71" s="61">
        <f>1.2*CB71</f>
        <v>6.5814311976581994</v>
      </c>
      <c r="CG71" s="61">
        <f>CC71*1.2</f>
        <v>11.812608298332119</v>
      </c>
      <c r="CH71" s="61">
        <f>BY71/('TEA Revised EYZ Inc'!CA71*'TEA Revised EYZ Inc'!BZ71)</f>
        <v>2.0000000000000004E-2</v>
      </c>
      <c r="CI71" s="84">
        <f>BR71/('TEA Revised EYZ Inc'!BY71)</f>
        <v>1.1876725770902485E-2</v>
      </c>
    </row>
    <row r="72" spans="1:87">
      <c r="A72" s="61">
        <v>10</v>
      </c>
      <c r="B72" s="61">
        <v>1.54143585092054E-3</v>
      </c>
      <c r="C72" s="61">
        <v>1.54143585092054E-3</v>
      </c>
      <c r="D72" s="61">
        <v>3.4254130020456501E-4</v>
      </c>
      <c r="E72" s="61">
        <v>0</v>
      </c>
      <c r="F72" s="61">
        <v>0</v>
      </c>
      <c r="G72" s="61">
        <v>0</v>
      </c>
      <c r="H72" s="69">
        <v>1.7770671970930099E-5</v>
      </c>
      <c r="I72" s="69">
        <v>5.2649488631162003E-10</v>
      </c>
      <c r="J72" s="61">
        <v>3.3765279177869602E-4</v>
      </c>
      <c r="K72" s="61">
        <v>0.139053960209192</v>
      </c>
      <c r="L72" s="61">
        <v>0.14067571356050099</v>
      </c>
      <c r="M72" s="61">
        <v>4.4613899794023002E-4</v>
      </c>
      <c r="N72" s="61" t="s">
        <v>323</v>
      </c>
      <c r="O72" s="61">
        <v>0.1</v>
      </c>
      <c r="P72" s="61">
        <v>4</v>
      </c>
      <c r="Q72" s="61">
        <v>1.6497548842793E-3</v>
      </c>
      <c r="R72" s="61">
        <v>1.66899558413707E-3</v>
      </c>
      <c r="S72" s="61">
        <v>5.2930530695573503E-6</v>
      </c>
      <c r="T72" s="61">
        <v>0</v>
      </c>
      <c r="U72" s="61">
        <v>0</v>
      </c>
      <c r="V72" s="61">
        <v>0</v>
      </c>
      <c r="W72" s="61">
        <v>1.6048413033404E-3</v>
      </c>
      <c r="X72" s="61">
        <v>7.9214281912587002E-5</v>
      </c>
      <c r="Y72" s="61">
        <v>5.2510498442721197E-6</v>
      </c>
      <c r="Z72" s="61">
        <v>1.9874301532163399E-3</v>
      </c>
      <c r="AA72" s="61">
        <v>7.0347971160411499E-2</v>
      </c>
      <c r="AB72" s="61">
        <v>1.8586466433211301E-6</v>
      </c>
      <c r="AC72" s="61">
        <v>0.1</v>
      </c>
      <c r="AD72" s="61">
        <v>100</v>
      </c>
      <c r="AE72" s="61">
        <v>10.957366310586</v>
      </c>
      <c r="AF72" s="61">
        <v>92.357064280818008</v>
      </c>
      <c r="AG72" s="61">
        <v>20.8716088768834</v>
      </c>
      <c r="AH72" s="61">
        <f t="shared" si="44"/>
        <v>1.0957366310586001</v>
      </c>
      <c r="AI72" s="61">
        <f t="shared" si="71"/>
        <v>2.0871608876883401</v>
      </c>
      <c r="AJ72" s="61">
        <f t="shared" si="72"/>
        <v>1.0957366310586001</v>
      </c>
      <c r="AK72" s="61">
        <f t="shared" si="72"/>
        <v>2.0871608876883401</v>
      </c>
      <c r="AL72" s="61">
        <f t="shared" si="45"/>
        <v>0.61448665321480989</v>
      </c>
      <c r="AM72" s="61">
        <f t="shared" si="73"/>
        <v>0.4812499778437902</v>
      </c>
      <c r="AN72" s="61">
        <f t="shared" si="74"/>
        <v>0.61448665321480989</v>
      </c>
      <c r="AO72" s="69">
        <f t="shared" si="46"/>
        <v>1.7770671970930099E-3</v>
      </c>
      <c r="AP72" s="69">
        <f t="shared" si="47"/>
        <v>5.2649488631162002E-8</v>
      </c>
      <c r="AQ72" s="69">
        <f t="shared" si="48"/>
        <v>3.3765279177869603E-2</v>
      </c>
      <c r="AR72" s="61">
        <f t="shared" si="75"/>
        <v>10</v>
      </c>
      <c r="AS72" s="69">
        <f t="shared" si="49"/>
        <v>0.154143585092054</v>
      </c>
      <c r="AT72" s="70">
        <f t="shared" si="50"/>
        <v>0.154143585092054</v>
      </c>
      <c r="AU72" s="69">
        <f t="shared" si="51"/>
        <v>3.4254130020456498E-2</v>
      </c>
      <c r="AV72" s="69">
        <f t="shared" si="52"/>
        <v>0.152366517894961</v>
      </c>
      <c r="AW72" s="70">
        <f t="shared" si="52"/>
        <v>0.15414353244256537</v>
      </c>
      <c r="AX72" s="69">
        <f t="shared" si="52"/>
        <v>4.888508425868951E-4</v>
      </c>
      <c r="AY72" s="69">
        <f t="shared" si="53"/>
        <v>0.14821843141312108</v>
      </c>
      <c r="AZ72" s="61">
        <f t="shared" si="54"/>
        <v>7.3159985265596368E-3</v>
      </c>
      <c r="BA72" s="61">
        <f t="shared" si="55"/>
        <v>4.8497154800921955E-4</v>
      </c>
      <c r="BB72" s="69">
        <f t="shared" si="56"/>
        <v>94.999999999881823</v>
      </c>
      <c r="BC72" s="69">
        <f t="shared" si="57"/>
        <v>0.15601940148768995</v>
      </c>
      <c r="BD72" s="69">
        <f t="shared" si="58"/>
        <v>0.30448031867481562</v>
      </c>
      <c r="BE72" s="69">
        <f t="shared" si="59"/>
        <v>0.31252377452338909</v>
      </c>
      <c r="BF72" s="61">
        <f t="shared" si="60"/>
        <v>4.1480864828055894E-3</v>
      </c>
      <c r="BG72" s="61">
        <f t="shared" si="61"/>
        <v>0.1468275339342382</v>
      </c>
      <c r="BH72" s="61">
        <f t="shared" si="62"/>
        <v>3.8792945779730837E-6</v>
      </c>
      <c r="BI72" s="61">
        <f t="shared" si="63"/>
        <v>0.30196287871782151</v>
      </c>
      <c r="BJ72" s="61">
        <f t="shared" si="64"/>
        <v>1.7851980089705186</v>
      </c>
      <c r="BK72" s="61">
        <f t="shared" si="65"/>
        <v>0.30196287871782151</v>
      </c>
      <c r="BL72" s="61">
        <f t="shared" si="76"/>
        <v>0.78321285656161166</v>
      </c>
      <c r="BM72" s="61">
        <f t="shared" si="77"/>
        <v>0.15512952584171635</v>
      </c>
      <c r="BN72" s="61">
        <f t="shared" si="78"/>
        <v>0.30196287871782151</v>
      </c>
      <c r="BO72" s="69">
        <f t="shared" si="66"/>
        <v>0.78321285656161166</v>
      </c>
      <c r="BP72" s="69">
        <f t="shared" si="67"/>
        <v>0.31252377452338909</v>
      </c>
      <c r="BQ72" s="64">
        <f t="shared" si="79"/>
        <v>2.1914732621172002</v>
      </c>
      <c r="BR72" s="69">
        <f t="shared" si="68"/>
        <v>0.13675884707970942</v>
      </c>
      <c r="BS72" s="61">
        <f t="shared" si="69"/>
        <v>6.2752431391177703</v>
      </c>
      <c r="BT72" s="61">
        <f t="shared" si="70"/>
        <v>5.9732802603999486</v>
      </c>
      <c r="BU72" s="61">
        <f t="shared" si="80"/>
        <v>5.4920302825561587</v>
      </c>
      <c r="BV72" s="61">
        <f t="shared" si="81"/>
        <v>1.7851980089705186</v>
      </c>
      <c r="BW72" s="61">
        <f t="shared" si="82"/>
        <v>0.30196287871782151</v>
      </c>
      <c r="BX72" s="64">
        <f t="shared" si="83"/>
        <v>4.1743217753766801</v>
      </c>
      <c r="BY72" s="61">
        <f t="shared" si="84"/>
        <v>0.14079647714475071</v>
      </c>
      <c r="BZ72" s="61">
        <f t="shared" si="85"/>
        <v>26.463698074432116</v>
      </c>
      <c r="CA72" s="61">
        <f t="shared" si="86"/>
        <v>24.678500065461598</v>
      </c>
      <c r="CB72" s="61">
        <f>AE72*O72/0.2</f>
        <v>5.478683155293</v>
      </c>
      <c r="CC72" s="61">
        <f>AG72*AC72/0.2</f>
        <v>10.4358044384417</v>
      </c>
      <c r="CD72" s="61">
        <f>CB72*'Oxidant Feed Composition'!$N$22</f>
        <v>0.54786831552930004</v>
      </c>
      <c r="CE72" s="61">
        <f>CC72*'Oxidant Feed Composition'!$N$22</f>
        <v>1.04358044384417</v>
      </c>
      <c r="CF72" s="61">
        <f>1.2*CB72</f>
        <v>6.5744197863515996</v>
      </c>
      <c r="CG72" s="61">
        <f>CC72*1.2</f>
        <v>12.52296532613004</v>
      </c>
      <c r="CH72" s="61">
        <f>BY72/('TEA Revised EYZ Inc'!CA72*'TEA Revised EYZ Inc'!BZ72)</f>
        <v>1.9999999999999997E-2</v>
      </c>
      <c r="CI72" s="84">
        <f>BR72/('TEA Revised EYZ Inc'!BY72)</f>
        <v>1.1864134482739052E-2</v>
      </c>
    </row>
    <row r="73" spans="1:87">
      <c r="A73" s="61">
        <v>10</v>
      </c>
      <c r="B73" s="61">
        <v>1.54143585092054E-3</v>
      </c>
      <c r="C73" s="61">
        <v>1.54143585092054E-3</v>
      </c>
      <c r="D73" s="61">
        <v>3.4254130020456501E-4</v>
      </c>
      <c r="E73" s="61">
        <v>0</v>
      </c>
      <c r="F73" s="61">
        <v>0</v>
      </c>
      <c r="G73" s="61">
        <v>0</v>
      </c>
      <c r="H73" s="69">
        <v>1.7770671970930099E-5</v>
      </c>
      <c r="I73" s="69">
        <v>5.2649488631162003E-10</v>
      </c>
      <c r="J73" s="61">
        <v>3.3765279177869602E-4</v>
      </c>
      <c r="K73" s="61">
        <v>0.139053960209192</v>
      </c>
      <c r="L73" s="61">
        <v>0.14067571356050099</v>
      </c>
      <c r="M73" s="61">
        <v>4.4613899794023002E-4</v>
      </c>
      <c r="N73" s="61" t="s">
        <v>323</v>
      </c>
      <c r="O73" s="61">
        <v>0.1</v>
      </c>
      <c r="P73" s="61">
        <v>5</v>
      </c>
      <c r="Q73" s="61">
        <v>1.6497548842793E-3</v>
      </c>
      <c r="R73" s="61">
        <v>1.66899558413707E-3</v>
      </c>
      <c r="S73" s="61">
        <v>5.2930530695573503E-6</v>
      </c>
      <c r="T73" s="61">
        <v>0</v>
      </c>
      <c r="U73" s="61">
        <v>0</v>
      </c>
      <c r="V73" s="61">
        <v>0</v>
      </c>
      <c r="W73" s="61">
        <v>1.6104435974931999E-3</v>
      </c>
      <c r="X73" s="61">
        <v>7.9504080567360702E-5</v>
      </c>
      <c r="Y73" s="61">
        <v>5.2561088045772501E-6</v>
      </c>
      <c r="Z73" s="61">
        <v>1.81182114984423E-3</v>
      </c>
      <c r="AA73" s="61">
        <v>7.3258205444439506E-2</v>
      </c>
      <c r="AB73" s="61">
        <v>1.7027272859467399E-6</v>
      </c>
      <c r="AC73" s="61">
        <v>0.1</v>
      </c>
      <c r="AD73" s="61">
        <v>100</v>
      </c>
      <c r="AE73" s="61">
        <v>10.957366310586</v>
      </c>
      <c r="AF73" s="61">
        <v>92.357064280818008</v>
      </c>
      <c r="AG73" s="61">
        <v>20.038815867571198</v>
      </c>
      <c r="AH73" s="61">
        <f t="shared" si="44"/>
        <v>1.0957366310586001</v>
      </c>
      <c r="AI73" s="61">
        <f t="shared" si="71"/>
        <v>2.00388158675712</v>
      </c>
      <c r="AJ73" s="61">
        <f t="shared" si="72"/>
        <v>1.0957366310586001</v>
      </c>
      <c r="AK73" s="61">
        <f t="shared" si="72"/>
        <v>2.00388158675712</v>
      </c>
      <c r="AL73" s="61">
        <f t="shared" si="45"/>
        <v>0.61448665321480989</v>
      </c>
      <c r="AM73" s="61">
        <f t="shared" si="73"/>
        <v>0.4812499778437902</v>
      </c>
      <c r="AN73" s="61">
        <f t="shared" si="74"/>
        <v>0.61448665321480989</v>
      </c>
      <c r="AO73" s="69">
        <f t="shared" si="46"/>
        <v>1.7770671970930099E-3</v>
      </c>
      <c r="AP73" s="69">
        <f t="shared" si="47"/>
        <v>5.2649488631162002E-8</v>
      </c>
      <c r="AQ73" s="69">
        <f t="shared" si="48"/>
        <v>3.3765279177869603E-2</v>
      </c>
      <c r="AR73" s="61">
        <f t="shared" si="75"/>
        <v>10</v>
      </c>
      <c r="AS73" s="69">
        <f t="shared" si="49"/>
        <v>0.154143585092054</v>
      </c>
      <c r="AT73" s="70">
        <f t="shared" si="50"/>
        <v>0.154143585092054</v>
      </c>
      <c r="AU73" s="69">
        <f t="shared" si="51"/>
        <v>3.4254130020456498E-2</v>
      </c>
      <c r="AV73" s="69">
        <f t="shared" si="52"/>
        <v>0.152366517894961</v>
      </c>
      <c r="AW73" s="70">
        <f t="shared" si="52"/>
        <v>0.15414353244256537</v>
      </c>
      <c r="AX73" s="69">
        <f t="shared" si="52"/>
        <v>4.888508425868951E-4</v>
      </c>
      <c r="AY73" s="69">
        <f t="shared" si="53"/>
        <v>0.14873584285431127</v>
      </c>
      <c r="AZ73" s="61">
        <f t="shared" si="54"/>
        <v>7.3427634795470665E-3</v>
      </c>
      <c r="BA73" s="61">
        <f t="shared" si="55"/>
        <v>4.854387787313146E-4</v>
      </c>
      <c r="BB73" s="69">
        <f t="shared" si="56"/>
        <v>94.999999998308098</v>
      </c>
      <c r="BC73" s="69">
        <f t="shared" si="57"/>
        <v>0.15656404511258964</v>
      </c>
      <c r="BD73" s="69">
        <f t="shared" si="58"/>
        <v>0.30554260735626654</v>
      </c>
      <c r="BE73" s="69">
        <f t="shared" si="59"/>
        <v>0.3136135290039106</v>
      </c>
      <c r="BF73" s="61">
        <f t="shared" si="60"/>
        <v>3.6306750406699655E-3</v>
      </c>
      <c r="BG73" s="61">
        <f t="shared" si="61"/>
        <v>0.14680076896898253</v>
      </c>
      <c r="BH73" s="61">
        <f t="shared" si="62"/>
        <v>3.4120638555775979E-6</v>
      </c>
      <c r="BI73" s="61">
        <f t="shared" si="63"/>
        <v>0.30087312421087176</v>
      </c>
      <c r="BJ73" s="61">
        <f t="shared" si="64"/>
        <v>1.7030084625462483</v>
      </c>
      <c r="BK73" s="61">
        <f t="shared" si="65"/>
        <v>0.30087312421087176</v>
      </c>
      <c r="BL73" s="61">
        <f t="shared" si="76"/>
        <v>0.78212310205466196</v>
      </c>
      <c r="BM73" s="61">
        <f t="shared" si="77"/>
        <v>0.15406723714610585</v>
      </c>
      <c r="BN73" s="61">
        <f t="shared" si="78"/>
        <v>0.30087312421087176</v>
      </c>
      <c r="BO73" s="69">
        <f t="shared" si="66"/>
        <v>0.78212310205466196</v>
      </c>
      <c r="BP73" s="69">
        <f t="shared" si="67"/>
        <v>0.3136135290039106</v>
      </c>
      <c r="BQ73" s="64">
        <f t="shared" si="79"/>
        <v>2.1914732621172002</v>
      </c>
      <c r="BR73" s="69">
        <f t="shared" si="68"/>
        <v>0.13717601838910901</v>
      </c>
      <c r="BS73" s="61">
        <f t="shared" si="69"/>
        <v>6.2474544966565224</v>
      </c>
      <c r="BT73" s="61">
        <f t="shared" si="70"/>
        <v>5.9465813724456504</v>
      </c>
      <c r="BU73" s="61">
        <f t="shared" si="80"/>
        <v>5.4653313946018605</v>
      </c>
      <c r="BV73" s="61">
        <f t="shared" si="81"/>
        <v>1.7030084625462483</v>
      </c>
      <c r="BW73" s="61">
        <f t="shared" si="82"/>
        <v>0.30087312421087176</v>
      </c>
      <c r="BX73" s="64">
        <f t="shared" si="83"/>
        <v>4.0077631735142401</v>
      </c>
      <c r="BY73" s="61">
        <f t="shared" si="84"/>
        <v>0.13993154025894047</v>
      </c>
      <c r="BZ73" s="61">
        <f t="shared" si="85"/>
        <v>24.387834893212652</v>
      </c>
      <c r="CA73" s="61">
        <f t="shared" si="86"/>
        <v>22.684826430666405</v>
      </c>
      <c r="CB73" s="61">
        <f>AE73*O73/0.2</f>
        <v>5.478683155293</v>
      </c>
      <c r="CC73" s="61">
        <f>AG73*AC73/0.2</f>
        <v>10.019407933785599</v>
      </c>
      <c r="CD73" s="61">
        <f>CB73*'Oxidant Feed Composition'!$N$22</f>
        <v>0.54786831552930004</v>
      </c>
      <c r="CE73" s="61">
        <f>CC73*'Oxidant Feed Composition'!$N$22</f>
        <v>1.00194079337856</v>
      </c>
      <c r="CF73" s="61">
        <f>1.2*CB73</f>
        <v>6.5744197863515996</v>
      </c>
      <c r="CG73" s="61">
        <f>CC73*1.2</f>
        <v>12.023289520542718</v>
      </c>
      <c r="CH73" s="61">
        <f>BY73/('TEA Revised EYZ Inc'!CA73*'TEA Revised EYZ Inc'!BZ73)</f>
        <v>2.0000000000000007E-2</v>
      </c>
      <c r="CI73" s="84">
        <f>BR73/('TEA Revised EYZ Inc'!BY73)</f>
        <v>1.1864134482739052E-2</v>
      </c>
    </row>
    <row r="74" spans="1:87">
      <c r="A74" s="61">
        <v>10</v>
      </c>
      <c r="B74" s="61">
        <v>1.54143585092054E-3</v>
      </c>
      <c r="C74" s="61">
        <v>1.54143585092054E-3</v>
      </c>
      <c r="D74" s="61">
        <v>3.4254130020456501E-4</v>
      </c>
      <c r="E74" s="61">
        <v>0</v>
      </c>
      <c r="F74" s="61">
        <v>0</v>
      </c>
      <c r="G74" s="61">
        <v>0</v>
      </c>
      <c r="H74" s="69">
        <v>1.7770671970930099E-5</v>
      </c>
      <c r="I74" s="69">
        <v>5.2649488631162003E-10</v>
      </c>
      <c r="J74" s="61">
        <v>3.3765279177869602E-4</v>
      </c>
      <c r="K74" s="61">
        <v>0.139053960209192</v>
      </c>
      <c r="L74" s="61">
        <v>0.14067571356050099</v>
      </c>
      <c r="M74" s="61">
        <v>4.4613899794023002E-4</v>
      </c>
      <c r="N74" s="61" t="s">
        <v>323</v>
      </c>
      <c r="O74" s="61">
        <v>0.1</v>
      </c>
      <c r="P74" s="61">
        <v>6</v>
      </c>
      <c r="Q74" s="61">
        <v>1.6497548842793E-3</v>
      </c>
      <c r="R74" s="61">
        <v>1.66899558413707E-3</v>
      </c>
      <c r="S74" s="61">
        <v>5.2930530695573503E-6</v>
      </c>
      <c r="T74" s="61">
        <v>0</v>
      </c>
      <c r="U74" s="61">
        <v>0</v>
      </c>
      <c r="V74" s="61">
        <v>0</v>
      </c>
      <c r="W74" s="61">
        <v>1.6121253228941501E-3</v>
      </c>
      <c r="X74" s="61">
        <v>7.9591074029532495E-5</v>
      </c>
      <c r="Y74" s="61">
        <v>5.2576273786285902E-6</v>
      </c>
      <c r="Z74" s="61">
        <v>1.75622111317691E-3</v>
      </c>
      <c r="AA74" s="61">
        <v>7.4179598573032607E-2</v>
      </c>
      <c r="AB74" s="61">
        <v>1.65336358086057E-6</v>
      </c>
      <c r="AC74" s="61">
        <v>0.1</v>
      </c>
      <c r="AD74" s="61">
        <v>100</v>
      </c>
      <c r="AE74" s="61">
        <v>10.957366310586</v>
      </c>
      <c r="AF74" s="61">
        <v>92.357064280818008</v>
      </c>
      <c r="AG74" s="61">
        <v>19.788828374922502</v>
      </c>
      <c r="AH74" s="61">
        <f t="shared" si="44"/>
        <v>1.0957366310586001</v>
      </c>
      <c r="AI74" s="61">
        <f t="shared" si="71"/>
        <v>1.9788828374922502</v>
      </c>
      <c r="AJ74" s="61">
        <f t="shared" si="72"/>
        <v>1.0957366310586001</v>
      </c>
      <c r="AK74" s="61">
        <f t="shared" si="72"/>
        <v>1.9788828374922502</v>
      </c>
      <c r="AL74" s="61">
        <f t="shared" si="45"/>
        <v>0.61448665321480989</v>
      </c>
      <c r="AM74" s="61">
        <f t="shared" si="73"/>
        <v>0.4812499778437902</v>
      </c>
      <c r="AN74" s="61">
        <f t="shared" si="74"/>
        <v>0.61448665321480989</v>
      </c>
      <c r="AO74" s="69">
        <f t="shared" si="46"/>
        <v>1.7770671970930099E-3</v>
      </c>
      <c r="AP74" s="69">
        <f t="shared" si="47"/>
        <v>5.2649488631162002E-8</v>
      </c>
      <c r="AQ74" s="69">
        <f t="shared" si="48"/>
        <v>3.3765279177869603E-2</v>
      </c>
      <c r="AR74" s="61">
        <f t="shared" si="75"/>
        <v>10</v>
      </c>
      <c r="AS74" s="69">
        <f t="shared" si="49"/>
        <v>0.154143585092054</v>
      </c>
      <c r="AT74" s="70">
        <f t="shared" si="50"/>
        <v>0.154143585092054</v>
      </c>
      <c r="AU74" s="69">
        <f t="shared" si="51"/>
        <v>3.4254130020456498E-2</v>
      </c>
      <c r="AV74" s="69">
        <f t="shared" si="52"/>
        <v>0.152366517894961</v>
      </c>
      <c r="AW74" s="70">
        <f t="shared" si="52"/>
        <v>0.15414353244256537</v>
      </c>
      <c r="AX74" s="69">
        <f t="shared" si="52"/>
        <v>4.888508425868951E-4</v>
      </c>
      <c r="AY74" s="69">
        <f t="shared" si="53"/>
        <v>0.14889116207526951</v>
      </c>
      <c r="AZ74" s="61">
        <f t="shared" si="54"/>
        <v>7.3507979403248771E-3</v>
      </c>
      <c r="BA74" s="61">
        <f t="shared" si="55"/>
        <v>4.8557902977258938E-4</v>
      </c>
      <c r="BB74" s="69">
        <f t="shared" si="56"/>
        <v>94.99999998862414</v>
      </c>
      <c r="BC74" s="69">
        <f t="shared" si="57"/>
        <v>0.15672753904536696</v>
      </c>
      <c r="BD74" s="69">
        <f t="shared" si="58"/>
        <v>0.30586149063552281</v>
      </c>
      <c r="BE74" s="69">
        <f t="shared" si="59"/>
        <v>0.31394065712050651</v>
      </c>
      <c r="BF74" s="61">
        <f t="shared" si="60"/>
        <v>3.4753558197073218E-3</v>
      </c>
      <c r="BG74" s="61">
        <f t="shared" si="61"/>
        <v>0.14679273450823885</v>
      </c>
      <c r="BH74" s="61">
        <f t="shared" si="62"/>
        <v>3.2718128142997123E-6</v>
      </c>
      <c r="BI74" s="61">
        <f t="shared" si="63"/>
        <v>0.30054599609433524</v>
      </c>
      <c r="BJ74" s="61">
        <f t="shared" si="64"/>
        <v>1.6783368413979149</v>
      </c>
      <c r="BK74" s="61">
        <f t="shared" si="65"/>
        <v>0.30054599609433524</v>
      </c>
      <c r="BL74" s="61">
        <f t="shared" si="76"/>
        <v>0.7817959739381255</v>
      </c>
      <c r="BM74" s="61">
        <f t="shared" si="77"/>
        <v>0.15374835386687494</v>
      </c>
      <c r="BN74" s="61">
        <f t="shared" si="78"/>
        <v>0.30054599609433524</v>
      </c>
      <c r="BO74" s="69">
        <f t="shared" si="66"/>
        <v>0.7817959739381255</v>
      </c>
      <c r="BP74" s="69">
        <f t="shared" si="67"/>
        <v>0.31394065712050651</v>
      </c>
      <c r="BQ74" s="64">
        <f t="shared" si="79"/>
        <v>2.1914732621172002</v>
      </c>
      <c r="BR74" s="69">
        <f t="shared" si="68"/>
        <v>0.13730117620253768</v>
      </c>
      <c r="BS74" s="61">
        <f t="shared" si="69"/>
        <v>6.2391489304831307</v>
      </c>
      <c r="BT74" s="61">
        <f t="shared" si="70"/>
        <v>5.9386029343887952</v>
      </c>
      <c r="BU74" s="61">
        <f t="shared" si="80"/>
        <v>5.4573529565450052</v>
      </c>
      <c r="BV74" s="61">
        <f t="shared" si="81"/>
        <v>1.6783368413979149</v>
      </c>
      <c r="BW74" s="61">
        <f t="shared" si="82"/>
        <v>0.30054599609433524</v>
      </c>
      <c r="BX74" s="64">
        <f t="shared" si="83"/>
        <v>3.9577656749845005</v>
      </c>
      <c r="BY74" s="61">
        <f t="shared" si="84"/>
        <v>0.13966692893510427</v>
      </c>
      <c r="BZ74" s="61">
        <f t="shared" si="85"/>
        <v>23.779659195603028</v>
      </c>
      <c r="CA74" s="61">
        <f t="shared" si="86"/>
        <v>22.101322354205113</v>
      </c>
      <c r="CB74" s="61">
        <f>AE74*O74/0.2</f>
        <v>5.478683155293</v>
      </c>
      <c r="CC74" s="61">
        <f>AG74*AC74/0.2</f>
        <v>9.8944141874612512</v>
      </c>
      <c r="CD74" s="61">
        <f>CB74*'Oxidant Feed Composition'!$N$22</f>
        <v>0.54786831552930004</v>
      </c>
      <c r="CE74" s="61">
        <f>CC74*'Oxidant Feed Composition'!$N$22</f>
        <v>0.98944141874612512</v>
      </c>
      <c r="CF74" s="61">
        <f>1.2*CB74</f>
        <v>6.5744197863515996</v>
      </c>
      <c r="CG74" s="61">
        <f>CC74*1.2</f>
        <v>11.873297024953501</v>
      </c>
      <c r="CH74" s="61">
        <f>BY74/('TEA Revised EYZ Inc'!CA74*'TEA Revised EYZ Inc'!BZ74)</f>
        <v>0.02</v>
      </c>
      <c r="CI74" s="84">
        <f>BR74/('TEA Revised EYZ Inc'!BY74)</f>
        <v>1.1864134482739049E-2</v>
      </c>
    </row>
    <row r="75" spans="1:87">
      <c r="A75" s="61">
        <v>10</v>
      </c>
      <c r="B75" s="61">
        <v>1.54143585092054E-3</v>
      </c>
      <c r="C75" s="61">
        <v>1.54143585092054E-3</v>
      </c>
      <c r="D75" s="61">
        <v>3.4254130020456501E-4</v>
      </c>
      <c r="E75" s="61">
        <v>0</v>
      </c>
      <c r="F75" s="61">
        <v>0</v>
      </c>
      <c r="G75" s="61">
        <v>0</v>
      </c>
      <c r="H75" s="69">
        <v>1.7770671970930099E-5</v>
      </c>
      <c r="I75" s="69">
        <v>5.2649488631162003E-10</v>
      </c>
      <c r="J75" s="61">
        <v>3.3765279177869602E-4</v>
      </c>
      <c r="K75" s="61">
        <v>0.139053960209192</v>
      </c>
      <c r="L75" s="61">
        <v>0.14067571356050099</v>
      </c>
      <c r="M75" s="61">
        <v>4.4613899794023002E-4</v>
      </c>
      <c r="N75" s="61" t="s">
        <v>323</v>
      </c>
      <c r="O75" s="61">
        <v>0.1</v>
      </c>
      <c r="P75" s="61">
        <v>7</v>
      </c>
      <c r="Q75" s="61">
        <v>1.6497548842793E-3</v>
      </c>
      <c r="R75" s="61">
        <v>1.66899558413707E-3</v>
      </c>
      <c r="S75" s="61">
        <v>5.2930530695573503E-6</v>
      </c>
      <c r="T75" s="61">
        <v>0</v>
      </c>
      <c r="U75" s="61">
        <v>0</v>
      </c>
      <c r="V75" s="61">
        <v>0</v>
      </c>
      <c r="W75" s="61">
        <v>1.6126141989109301E-3</v>
      </c>
      <c r="X75" s="61">
        <v>7.9616362695628595E-5</v>
      </c>
      <c r="Y75" s="61">
        <v>5.2580688259994502E-6</v>
      </c>
      <c r="Z75" s="61">
        <v>1.7397937197708099E-3</v>
      </c>
      <c r="AA75" s="61">
        <v>7.4451829856534701E-2</v>
      </c>
      <c r="AB75" s="61">
        <v>1.63877878475564E-6</v>
      </c>
      <c r="AC75" s="61">
        <v>0.1</v>
      </c>
      <c r="AD75" s="61">
        <v>100</v>
      </c>
      <c r="AE75" s="61">
        <v>10.957366310586</v>
      </c>
      <c r="AF75" s="61">
        <v>92.357064280818008</v>
      </c>
      <c r="AG75" s="61">
        <v>19.716157306581898</v>
      </c>
      <c r="AH75" s="61">
        <f t="shared" si="44"/>
        <v>1.0957366310586001</v>
      </c>
      <c r="AI75" s="61">
        <f t="shared" si="71"/>
        <v>1.9716157306581898</v>
      </c>
      <c r="AJ75" s="61">
        <f t="shared" si="72"/>
        <v>1.0957366310586001</v>
      </c>
      <c r="AK75" s="61">
        <f t="shared" si="72"/>
        <v>1.9716157306581898</v>
      </c>
      <c r="AL75" s="61">
        <f t="shared" si="45"/>
        <v>0.61448665321480989</v>
      </c>
      <c r="AM75" s="61">
        <f t="shared" si="73"/>
        <v>0.4812499778437902</v>
      </c>
      <c r="AN75" s="61">
        <f t="shared" si="74"/>
        <v>0.61448665321480989</v>
      </c>
      <c r="AO75" s="69">
        <f t="shared" si="46"/>
        <v>1.7770671970930099E-3</v>
      </c>
      <c r="AP75" s="69">
        <f t="shared" si="47"/>
        <v>5.2649488631162002E-8</v>
      </c>
      <c r="AQ75" s="69">
        <f t="shared" si="48"/>
        <v>3.3765279177869603E-2</v>
      </c>
      <c r="AR75" s="61">
        <f t="shared" si="75"/>
        <v>10</v>
      </c>
      <c r="AS75" s="69">
        <f t="shared" si="49"/>
        <v>0.154143585092054</v>
      </c>
      <c r="AT75" s="70">
        <f t="shared" si="50"/>
        <v>0.154143585092054</v>
      </c>
      <c r="AU75" s="69">
        <f t="shared" si="51"/>
        <v>3.4254130020456498E-2</v>
      </c>
      <c r="AV75" s="69">
        <f t="shared" si="52"/>
        <v>0.152366517894961</v>
      </c>
      <c r="AW75" s="70">
        <f t="shared" si="52"/>
        <v>0.15414353244256537</v>
      </c>
      <c r="AX75" s="69">
        <f t="shared" si="52"/>
        <v>4.888508425868951E-4</v>
      </c>
      <c r="AY75" s="69">
        <f t="shared" si="53"/>
        <v>0.1489363132289766</v>
      </c>
      <c r="AZ75" s="61">
        <f t="shared" si="54"/>
        <v>7.353133527285091E-3</v>
      </c>
      <c r="BA75" s="61">
        <f t="shared" si="55"/>
        <v>4.8561980055579647E-4</v>
      </c>
      <c r="BB75" s="69">
        <f t="shared" si="56"/>
        <v>94.999999999999986</v>
      </c>
      <c r="BC75" s="69">
        <f t="shared" si="57"/>
        <v>0.1567750665568175</v>
      </c>
      <c r="BD75" s="69">
        <f t="shared" si="58"/>
        <v>0.30595418968607202</v>
      </c>
      <c r="BE75" s="69">
        <f t="shared" si="59"/>
        <v>0.31403575291419078</v>
      </c>
      <c r="BF75" s="61">
        <f t="shared" si="60"/>
        <v>3.4302046660004554E-3</v>
      </c>
      <c r="BG75" s="61">
        <f t="shared" si="61"/>
        <v>0.14679039892143089</v>
      </c>
      <c r="BH75" s="61">
        <f t="shared" si="62"/>
        <v>3.2310420310931314E-6</v>
      </c>
      <c r="BI75" s="61">
        <f t="shared" si="63"/>
        <v>0.30045090030095595</v>
      </c>
      <c r="BJ75" s="61">
        <f t="shared" si="64"/>
        <v>1.671164830357234</v>
      </c>
      <c r="BK75" s="61">
        <f t="shared" si="65"/>
        <v>0.30045090030095595</v>
      </c>
      <c r="BL75" s="61">
        <f t="shared" si="76"/>
        <v>0.78170087814474609</v>
      </c>
      <c r="BM75" s="61">
        <f t="shared" si="77"/>
        <v>0.15365565481647844</v>
      </c>
      <c r="BN75" s="61">
        <f t="shared" si="78"/>
        <v>0.30045090030095595</v>
      </c>
      <c r="BO75" s="69">
        <f t="shared" si="66"/>
        <v>0.78170087814474609</v>
      </c>
      <c r="BP75" s="69">
        <f t="shared" si="67"/>
        <v>0.31403575291419078</v>
      </c>
      <c r="BQ75" s="64">
        <f t="shared" si="79"/>
        <v>2.1914732621172002</v>
      </c>
      <c r="BR75" s="69">
        <f t="shared" si="68"/>
        <v>0.13733755331382641</v>
      </c>
      <c r="BS75" s="61">
        <f t="shared" si="69"/>
        <v>6.2367376296315715</v>
      </c>
      <c r="BT75" s="61">
        <f t="shared" si="70"/>
        <v>5.9362867293306154</v>
      </c>
      <c r="BU75" s="61">
        <f t="shared" si="80"/>
        <v>5.4550367514868254</v>
      </c>
      <c r="BV75" s="61">
        <f t="shared" si="81"/>
        <v>1.671164830357234</v>
      </c>
      <c r="BW75" s="61">
        <f t="shared" si="82"/>
        <v>0.30045090030095595</v>
      </c>
      <c r="BX75" s="64">
        <f t="shared" si="83"/>
        <v>3.9432314613163797</v>
      </c>
      <c r="BY75" s="61">
        <f t="shared" si="84"/>
        <v>0.13958955238535267</v>
      </c>
      <c r="BZ75" s="61">
        <f t="shared" si="85"/>
        <v>23.604165295688603</v>
      </c>
      <c r="CA75" s="61">
        <f t="shared" si="86"/>
        <v>21.933000465331368</v>
      </c>
      <c r="CB75" s="61">
        <f>AE75*O75/0.2</f>
        <v>5.478683155293</v>
      </c>
      <c r="CC75" s="61">
        <f>AG75*AC75/0.2</f>
        <v>9.8580786532909492</v>
      </c>
      <c r="CD75" s="61">
        <f>CB75*'Oxidant Feed Composition'!$N$22</f>
        <v>0.54786831552930004</v>
      </c>
      <c r="CE75" s="61">
        <f>CC75*'Oxidant Feed Composition'!$N$22</f>
        <v>0.98580786532909492</v>
      </c>
      <c r="CF75" s="61">
        <f>1.2*CB75</f>
        <v>6.5744197863515996</v>
      </c>
      <c r="CG75" s="61">
        <f>CC75*1.2</f>
        <v>11.829694383949139</v>
      </c>
      <c r="CH75" s="61">
        <f>BY75/('TEA Revised EYZ Inc'!CA75*'TEA Revised EYZ Inc'!BZ75)</f>
        <v>0.02</v>
      </c>
      <c r="CI75" s="84">
        <f>BR75/('TEA Revised EYZ Inc'!BY75)</f>
        <v>1.186413448273905E-2</v>
      </c>
    </row>
    <row r="76" spans="1:87">
      <c r="A76" s="61">
        <v>10</v>
      </c>
      <c r="B76" s="61">
        <v>1.54143585092054E-3</v>
      </c>
      <c r="C76" s="61">
        <v>1.54143585092054E-3</v>
      </c>
      <c r="D76" s="61">
        <v>3.4254130020456501E-4</v>
      </c>
      <c r="E76" s="61">
        <v>0</v>
      </c>
      <c r="F76" s="61">
        <v>0</v>
      </c>
      <c r="G76" s="61">
        <v>0</v>
      </c>
      <c r="H76" s="69">
        <v>1.7770671970930099E-5</v>
      </c>
      <c r="I76" s="69">
        <v>5.2649488631162003E-10</v>
      </c>
      <c r="J76" s="61">
        <v>3.3765279177869602E-4</v>
      </c>
      <c r="K76" s="61">
        <v>0.139053960209192</v>
      </c>
      <c r="L76" s="61">
        <v>0.14067571356050099</v>
      </c>
      <c r="M76" s="61">
        <v>4.4613899794023002E-4</v>
      </c>
      <c r="N76" s="61" t="s">
        <v>323</v>
      </c>
      <c r="O76" s="61">
        <v>0.1</v>
      </c>
      <c r="P76" s="61">
        <v>8</v>
      </c>
      <c r="Q76" s="61">
        <v>1.6497548842793E-3</v>
      </c>
      <c r="R76" s="61">
        <v>1.66899558413707E-3</v>
      </c>
      <c r="S76" s="61">
        <v>5.2930530695573503E-6</v>
      </c>
      <c r="T76" s="61">
        <v>0</v>
      </c>
      <c r="U76" s="61">
        <v>0</v>
      </c>
      <c r="V76" s="61">
        <v>0</v>
      </c>
      <c r="W76" s="61">
        <v>1.61275350560018E-3</v>
      </c>
      <c r="X76" s="61">
        <v>7.9623568834895101E-5</v>
      </c>
      <c r="Y76" s="61">
        <v>5.2581946177476304E-6</v>
      </c>
      <c r="Z76" s="61">
        <v>1.7350904900191701E-3</v>
      </c>
      <c r="AA76" s="61">
        <v>7.4529770779203794E-2</v>
      </c>
      <c r="AB76" s="61">
        <v>1.63460309858261E-6</v>
      </c>
      <c r="AC76" s="61">
        <v>0.1</v>
      </c>
      <c r="AD76" s="61">
        <v>100</v>
      </c>
      <c r="AE76" s="61">
        <v>10.957366310586</v>
      </c>
      <c r="AF76" s="61">
        <v>92.357064280818008</v>
      </c>
      <c r="AG76" s="61">
        <v>19.695449478278203</v>
      </c>
      <c r="AH76" s="61">
        <f t="shared" si="44"/>
        <v>1.0957366310586001</v>
      </c>
      <c r="AI76" s="61">
        <f t="shared" si="71"/>
        <v>1.9695449478278204</v>
      </c>
      <c r="AJ76" s="61">
        <f t="shared" si="72"/>
        <v>1.0957366310586001</v>
      </c>
      <c r="AK76" s="61">
        <f t="shared" si="72"/>
        <v>1.9695449478278204</v>
      </c>
      <c r="AL76" s="61">
        <f t="shared" si="45"/>
        <v>0.61448665321480989</v>
      </c>
      <c r="AM76" s="61">
        <f t="shared" si="73"/>
        <v>0.4812499778437902</v>
      </c>
      <c r="AN76" s="61">
        <f t="shared" si="74"/>
        <v>0.61448665321480989</v>
      </c>
      <c r="AO76" s="69">
        <f t="shared" si="46"/>
        <v>1.7770671970930099E-3</v>
      </c>
      <c r="AP76" s="69">
        <f t="shared" si="47"/>
        <v>5.2649488631162002E-8</v>
      </c>
      <c r="AQ76" s="69">
        <f t="shared" si="48"/>
        <v>3.3765279177869603E-2</v>
      </c>
      <c r="AR76" s="61">
        <f t="shared" si="75"/>
        <v>10</v>
      </c>
      <c r="AS76" s="69">
        <f t="shared" si="49"/>
        <v>0.154143585092054</v>
      </c>
      <c r="AT76" s="70">
        <f t="shared" si="50"/>
        <v>0.154143585092054</v>
      </c>
      <c r="AU76" s="69">
        <f t="shared" si="51"/>
        <v>3.4254130020456498E-2</v>
      </c>
      <c r="AV76" s="69">
        <f t="shared" si="52"/>
        <v>0.152366517894961</v>
      </c>
      <c r="AW76" s="70">
        <f t="shared" si="52"/>
        <v>0.15414353244256537</v>
      </c>
      <c r="AX76" s="69">
        <f t="shared" si="52"/>
        <v>4.888508425868951E-4</v>
      </c>
      <c r="AY76" s="69">
        <f t="shared" si="53"/>
        <v>0.14894917918583039</v>
      </c>
      <c r="AZ76" s="61">
        <f t="shared" si="54"/>
        <v>7.3537990651525442E-3</v>
      </c>
      <c r="BA76" s="61">
        <f t="shared" si="55"/>
        <v>4.8563141831236916E-4</v>
      </c>
      <c r="BB76" s="69">
        <f t="shared" si="56"/>
        <v>94.999999999999901</v>
      </c>
      <c r="BC76" s="69">
        <f t="shared" si="57"/>
        <v>0.15678860966929531</v>
      </c>
      <c r="BD76" s="69">
        <f t="shared" si="58"/>
        <v>0.30598060456428189</v>
      </c>
      <c r="BE76" s="69">
        <f t="shared" si="59"/>
        <v>0.31406285075690299</v>
      </c>
      <c r="BF76" s="61">
        <f t="shared" si="60"/>
        <v>3.4173387086413537E-3</v>
      </c>
      <c r="BG76" s="61">
        <f t="shared" si="61"/>
        <v>0.14678973350094635</v>
      </c>
      <c r="BH76" s="61">
        <f t="shared" si="62"/>
        <v>3.2194242745170804E-6</v>
      </c>
      <c r="BI76" s="61">
        <f t="shared" si="63"/>
        <v>0.30042380269199898</v>
      </c>
      <c r="BJ76" s="61">
        <f t="shared" si="64"/>
        <v>1.6691211451358214</v>
      </c>
      <c r="BK76" s="61">
        <f t="shared" si="65"/>
        <v>0.30042380269199898</v>
      </c>
      <c r="BL76" s="61">
        <f t="shared" si="76"/>
        <v>0.78167378053578918</v>
      </c>
      <c r="BM76" s="61">
        <f t="shared" si="77"/>
        <v>0.15362924005464085</v>
      </c>
      <c r="BN76" s="61">
        <f t="shared" si="78"/>
        <v>0.30042380269199898</v>
      </c>
      <c r="BO76" s="69">
        <f t="shared" si="66"/>
        <v>0.78167378053578918</v>
      </c>
      <c r="BP76" s="69">
        <f t="shared" si="67"/>
        <v>0.31406285075690299</v>
      </c>
      <c r="BQ76" s="64">
        <f t="shared" si="79"/>
        <v>2.1914732621172002</v>
      </c>
      <c r="BR76" s="69">
        <f t="shared" si="68"/>
        <v>0.13734791857949982</v>
      </c>
      <c r="BS76" s="61">
        <f t="shared" si="69"/>
        <v>6.2360507805974521</v>
      </c>
      <c r="BT76" s="61">
        <f t="shared" si="70"/>
        <v>5.9356269779054536</v>
      </c>
      <c r="BU76" s="61">
        <f t="shared" si="80"/>
        <v>5.4543770000616636</v>
      </c>
      <c r="BV76" s="61">
        <f t="shared" si="81"/>
        <v>1.6691211451358214</v>
      </c>
      <c r="BW76" s="61">
        <f t="shared" si="82"/>
        <v>0.30042380269199898</v>
      </c>
      <c r="BX76" s="64">
        <f t="shared" si="83"/>
        <v>3.9390898956556408</v>
      </c>
      <c r="BY76" s="61">
        <f t="shared" si="84"/>
        <v>0.13956746572840753</v>
      </c>
      <c r="BZ76" s="61">
        <f t="shared" si="85"/>
        <v>23.554265326505281</v>
      </c>
      <c r="CA76" s="61">
        <f t="shared" si="86"/>
        <v>21.885144181369458</v>
      </c>
      <c r="CB76" s="61">
        <f>AE76*O76/0.2</f>
        <v>5.478683155293</v>
      </c>
      <c r="CC76" s="61">
        <f>AG76*AC76/0.2</f>
        <v>9.8477247391391014</v>
      </c>
      <c r="CD76" s="61">
        <f>CB76*'Oxidant Feed Composition'!$N$22</f>
        <v>0.54786831552930004</v>
      </c>
      <c r="CE76" s="61">
        <f>CC76*'Oxidant Feed Composition'!$N$22</f>
        <v>0.98477247391391021</v>
      </c>
      <c r="CF76" s="61">
        <f>1.2*CB76</f>
        <v>6.5744197863515996</v>
      </c>
      <c r="CG76" s="61">
        <f>CC76*1.2</f>
        <v>11.817269686966922</v>
      </c>
      <c r="CH76" s="61">
        <f>BY76/('TEA Revised EYZ Inc'!CA76*'TEA Revised EYZ Inc'!BZ76)</f>
        <v>1.9999999999999997E-2</v>
      </c>
      <c r="CI76" s="84">
        <f>BR76/('TEA Revised EYZ Inc'!BY76)</f>
        <v>1.1864134482739052E-2</v>
      </c>
    </row>
    <row r="77" spans="1:87">
      <c r="A77" s="61">
        <v>10</v>
      </c>
      <c r="B77" s="61">
        <v>1.54143585092054E-3</v>
      </c>
      <c r="C77" s="61">
        <v>1.54143585092054E-3</v>
      </c>
      <c r="D77" s="61">
        <v>3.4254130020456501E-4</v>
      </c>
      <c r="E77" s="61">
        <v>0</v>
      </c>
      <c r="F77" s="61">
        <v>0</v>
      </c>
      <c r="G77" s="61">
        <v>0</v>
      </c>
      <c r="H77" s="69">
        <v>1.7770671970930099E-5</v>
      </c>
      <c r="I77" s="69">
        <v>5.2649488631162003E-10</v>
      </c>
      <c r="J77" s="61">
        <v>3.3765279177869602E-4</v>
      </c>
      <c r="K77" s="61">
        <v>0.139053960209192</v>
      </c>
      <c r="L77" s="61">
        <v>0.14067571356050099</v>
      </c>
      <c r="M77" s="61">
        <v>4.4613899794023002E-4</v>
      </c>
      <c r="N77" s="61" t="s">
        <v>323</v>
      </c>
      <c r="O77" s="61">
        <v>0.1</v>
      </c>
      <c r="P77" s="61">
        <v>9</v>
      </c>
      <c r="Q77" s="61">
        <v>1.6497548842793E-3</v>
      </c>
      <c r="R77" s="61">
        <v>1.66899558413707E-3</v>
      </c>
      <c r="S77" s="61">
        <v>5.2930530695573503E-6</v>
      </c>
      <c r="T77" s="61">
        <v>0</v>
      </c>
      <c r="U77" s="61">
        <v>0</v>
      </c>
      <c r="V77" s="61">
        <v>0</v>
      </c>
      <c r="W77" s="61">
        <v>1.6127928524710801E-3</v>
      </c>
      <c r="X77" s="61">
        <v>7.9625604160899597E-5</v>
      </c>
      <c r="Y77" s="61">
        <v>5.2582301473474496E-6</v>
      </c>
      <c r="Z77" s="61">
        <v>1.73376028278021E-3</v>
      </c>
      <c r="AA77" s="61">
        <v>7.4551814690152901E-2</v>
      </c>
      <c r="AB77" s="61">
        <v>1.6334220957110999E-6</v>
      </c>
      <c r="AC77" s="61">
        <v>0.1</v>
      </c>
      <c r="AD77" s="61">
        <v>100</v>
      </c>
      <c r="AE77" s="61">
        <v>10.957366310586</v>
      </c>
      <c r="AF77" s="61">
        <v>92.357064280818008</v>
      </c>
      <c r="AG77" s="61">
        <v>19.6896005841338</v>
      </c>
      <c r="AH77" s="61">
        <f t="shared" si="44"/>
        <v>1.0957366310586001</v>
      </c>
      <c r="AI77" s="61">
        <f t="shared" si="71"/>
        <v>1.96896005841338</v>
      </c>
      <c r="AJ77" s="61">
        <f t="shared" si="72"/>
        <v>1.0957366310586001</v>
      </c>
      <c r="AK77" s="61">
        <f t="shared" si="72"/>
        <v>1.96896005841338</v>
      </c>
      <c r="AL77" s="61">
        <f t="shared" si="45"/>
        <v>0.61448665321480989</v>
      </c>
      <c r="AM77" s="61">
        <f t="shared" si="73"/>
        <v>0.4812499778437902</v>
      </c>
      <c r="AN77" s="61">
        <f t="shared" si="74"/>
        <v>0.61448665321480989</v>
      </c>
      <c r="AO77" s="69">
        <f t="shared" si="46"/>
        <v>1.7770671970930099E-3</v>
      </c>
      <c r="AP77" s="69">
        <f t="shared" si="47"/>
        <v>5.2649488631162002E-8</v>
      </c>
      <c r="AQ77" s="69">
        <f t="shared" si="48"/>
        <v>3.3765279177869603E-2</v>
      </c>
      <c r="AR77" s="61">
        <f t="shared" si="75"/>
        <v>10</v>
      </c>
      <c r="AS77" s="69">
        <f t="shared" si="49"/>
        <v>0.154143585092054</v>
      </c>
      <c r="AT77" s="70">
        <f t="shared" si="50"/>
        <v>0.154143585092054</v>
      </c>
      <c r="AU77" s="69">
        <f t="shared" si="51"/>
        <v>3.4254130020456498E-2</v>
      </c>
      <c r="AV77" s="69">
        <f t="shared" si="52"/>
        <v>0.152366517894961</v>
      </c>
      <c r="AW77" s="70">
        <f t="shared" si="52"/>
        <v>0.15414353244256537</v>
      </c>
      <c r="AX77" s="69">
        <f t="shared" si="52"/>
        <v>4.888508425868951E-4</v>
      </c>
      <c r="AY77" s="69">
        <f t="shared" si="53"/>
        <v>0.14895281314731537</v>
      </c>
      <c r="AZ77" s="61">
        <f t="shared" si="54"/>
        <v>7.3539870418871736E-3</v>
      </c>
      <c r="BA77" s="61">
        <f t="shared" si="55"/>
        <v>4.8563469972190355E-4</v>
      </c>
      <c r="BB77" s="69">
        <f t="shared" si="56"/>
        <v>95.000000001809497</v>
      </c>
      <c r="BC77" s="69">
        <f t="shared" si="57"/>
        <v>0.15679243488892444</v>
      </c>
      <c r="BD77" s="69">
        <f t="shared" si="58"/>
        <v>0.30598806538610074</v>
      </c>
      <c r="BE77" s="69">
        <f t="shared" si="59"/>
        <v>0.31407050447757079</v>
      </c>
      <c r="BF77" s="61">
        <f t="shared" si="60"/>
        <v>3.4137047476577205E-3</v>
      </c>
      <c r="BG77" s="61">
        <f t="shared" si="61"/>
        <v>0.14678954540714692</v>
      </c>
      <c r="BH77" s="61">
        <f t="shared" si="62"/>
        <v>3.2161428649850329E-6</v>
      </c>
      <c r="BI77" s="61">
        <f t="shared" si="63"/>
        <v>0.30041614873820427</v>
      </c>
      <c r="BJ77" s="61">
        <f t="shared" si="64"/>
        <v>1.6685439096751757</v>
      </c>
      <c r="BK77" s="61">
        <f t="shared" si="65"/>
        <v>0.30041614873820427</v>
      </c>
      <c r="BL77" s="61">
        <f t="shared" si="76"/>
        <v>0.78166612658199441</v>
      </c>
      <c r="BM77" s="61">
        <f t="shared" si="77"/>
        <v>0.15362177911675984</v>
      </c>
      <c r="BN77" s="61">
        <f t="shared" si="78"/>
        <v>0.30041614873820427</v>
      </c>
      <c r="BO77" s="69">
        <f t="shared" si="66"/>
        <v>0.78166612658199441</v>
      </c>
      <c r="BP77" s="69">
        <f t="shared" si="67"/>
        <v>0.31407050447757079</v>
      </c>
      <c r="BQ77" s="64">
        <f t="shared" si="79"/>
        <v>2.1914732621172002</v>
      </c>
      <c r="BR77" s="69">
        <f t="shared" si="68"/>
        <v>0.1373508461833175</v>
      </c>
      <c r="BS77" s="61">
        <f t="shared" si="69"/>
        <v>6.2358567999678582</v>
      </c>
      <c r="BT77" s="61">
        <f t="shared" si="70"/>
        <v>5.935440651229654</v>
      </c>
      <c r="BU77" s="61">
        <f t="shared" si="80"/>
        <v>5.4541906733858641</v>
      </c>
      <c r="BV77" s="61">
        <f t="shared" si="81"/>
        <v>1.6685439096751757</v>
      </c>
      <c r="BW77" s="61">
        <f t="shared" si="82"/>
        <v>0.30041614873820427</v>
      </c>
      <c r="BX77" s="64">
        <f t="shared" si="83"/>
        <v>3.9379201168267599</v>
      </c>
      <c r="BY77" s="61">
        <f t="shared" si="84"/>
        <v>0.13956122419395864</v>
      </c>
      <c r="BZ77" s="61">
        <f t="shared" si="85"/>
        <v>23.540179823111199</v>
      </c>
      <c r="CA77" s="61">
        <f t="shared" si="86"/>
        <v>21.871635913436023</v>
      </c>
      <c r="CB77" s="61">
        <f>AE77*O77/0.2</f>
        <v>5.478683155293</v>
      </c>
      <c r="CC77" s="61">
        <f>AG77*AC77/0.2</f>
        <v>9.8448002920668998</v>
      </c>
      <c r="CD77" s="61">
        <f>CB77*'Oxidant Feed Composition'!$N$22</f>
        <v>0.54786831552930004</v>
      </c>
      <c r="CE77" s="61">
        <f>CC77*'Oxidant Feed Composition'!$N$22</f>
        <v>0.98448002920668998</v>
      </c>
      <c r="CF77" s="61">
        <f>1.2*CB77</f>
        <v>6.5744197863515996</v>
      </c>
      <c r="CG77" s="61">
        <f>CC77*1.2</f>
        <v>11.81376035048028</v>
      </c>
      <c r="CH77" s="61">
        <f>BY77/('TEA Revised EYZ Inc'!CA77*'TEA Revised EYZ Inc'!BZ77)</f>
        <v>0.02</v>
      </c>
      <c r="CI77" s="84">
        <f>BR77/('TEA Revised EYZ Inc'!BY77)</f>
        <v>1.1864134482739052E-2</v>
      </c>
    </row>
    <row r="78" spans="1:87">
      <c r="A78" s="61">
        <v>10</v>
      </c>
      <c r="B78" s="61">
        <v>1.54143585092054E-3</v>
      </c>
      <c r="C78" s="61">
        <v>1.54143585092054E-3</v>
      </c>
      <c r="D78" s="61">
        <v>3.4254130020456501E-4</v>
      </c>
      <c r="E78" s="61">
        <v>0</v>
      </c>
      <c r="F78" s="61">
        <v>0</v>
      </c>
      <c r="G78" s="61">
        <v>0</v>
      </c>
      <c r="H78" s="69">
        <v>1.7770671970930099E-5</v>
      </c>
      <c r="I78" s="69">
        <v>5.2649488631162003E-10</v>
      </c>
      <c r="J78" s="61">
        <v>3.3765279177869602E-4</v>
      </c>
      <c r="K78" s="61">
        <v>0.139053960209192</v>
      </c>
      <c r="L78" s="61">
        <v>0.14067571356050099</v>
      </c>
      <c r="M78" s="61">
        <v>4.4613899794023002E-4</v>
      </c>
      <c r="N78" s="61" t="s">
        <v>323</v>
      </c>
      <c r="O78" s="61">
        <v>0.1</v>
      </c>
      <c r="P78" s="61">
        <v>10</v>
      </c>
      <c r="Q78" s="61">
        <v>1.6497548842793E-3</v>
      </c>
      <c r="R78" s="61">
        <v>1.66899558413707E-3</v>
      </c>
      <c r="S78" s="61">
        <v>5.2930530695573503E-6</v>
      </c>
      <c r="T78" s="61">
        <v>0</v>
      </c>
      <c r="U78" s="61">
        <v>0</v>
      </c>
      <c r="V78" s="61">
        <v>0</v>
      </c>
      <c r="W78" s="61">
        <v>1.612803928521E-3</v>
      </c>
      <c r="X78" s="61">
        <v>7.96261771409158E-5</v>
      </c>
      <c r="Y78" s="61">
        <v>5.2582401488513497E-6</v>
      </c>
      <c r="Z78" s="61">
        <v>1.7333856890078599E-3</v>
      </c>
      <c r="AA78" s="61">
        <v>7.4558022378498803E-2</v>
      </c>
      <c r="AB78" s="61">
        <v>1.6330895187087101E-6</v>
      </c>
      <c r="AC78" s="61">
        <v>0.1</v>
      </c>
      <c r="AD78" s="61">
        <v>100</v>
      </c>
      <c r="AE78" s="61">
        <v>10.957366310586</v>
      </c>
      <c r="AF78" s="61">
        <v>92.357064280818008</v>
      </c>
      <c r="AG78" s="61">
        <v>19.6879541421767</v>
      </c>
      <c r="AH78" s="61">
        <f t="shared" si="44"/>
        <v>1.0957366310586001</v>
      </c>
      <c r="AI78" s="61">
        <f t="shared" si="71"/>
        <v>1.96879541421767</v>
      </c>
      <c r="AJ78" s="61">
        <f t="shared" si="72"/>
        <v>1.0957366310586001</v>
      </c>
      <c r="AK78" s="61">
        <f t="shared" si="72"/>
        <v>1.96879541421767</v>
      </c>
      <c r="AL78" s="61">
        <f t="shared" si="45"/>
        <v>0.61448665321480989</v>
      </c>
      <c r="AM78" s="61">
        <f t="shared" si="73"/>
        <v>0.4812499778437902</v>
      </c>
      <c r="AN78" s="61">
        <f t="shared" si="74"/>
        <v>0.61448665321480989</v>
      </c>
      <c r="AO78" s="69">
        <f t="shared" si="46"/>
        <v>1.7770671970930099E-3</v>
      </c>
      <c r="AP78" s="69">
        <f t="shared" si="47"/>
        <v>5.2649488631162002E-8</v>
      </c>
      <c r="AQ78" s="69">
        <f t="shared" si="48"/>
        <v>3.3765279177869603E-2</v>
      </c>
      <c r="AR78" s="61">
        <f t="shared" si="75"/>
        <v>10</v>
      </c>
      <c r="AS78" s="69">
        <f t="shared" si="49"/>
        <v>0.154143585092054</v>
      </c>
      <c r="AT78" s="70">
        <f t="shared" si="50"/>
        <v>0.154143585092054</v>
      </c>
      <c r="AU78" s="69">
        <f t="shared" si="51"/>
        <v>3.4254130020456498E-2</v>
      </c>
      <c r="AV78" s="69">
        <f t="shared" si="52"/>
        <v>0.152366517894961</v>
      </c>
      <c r="AW78" s="70">
        <f t="shared" si="52"/>
        <v>0.15414353244256537</v>
      </c>
      <c r="AX78" s="69">
        <f t="shared" si="52"/>
        <v>4.888508425868951E-4</v>
      </c>
      <c r="AY78" s="69">
        <f t="shared" si="53"/>
        <v>0.1489538360987698</v>
      </c>
      <c r="AZ78" s="61">
        <f t="shared" si="54"/>
        <v>7.354039960639362E-3</v>
      </c>
      <c r="BA78" s="61">
        <f t="shared" si="55"/>
        <v>4.8563562343144215E-4</v>
      </c>
      <c r="BB78" s="69">
        <f t="shared" si="56"/>
        <v>95.000000000045432</v>
      </c>
      <c r="BC78" s="69">
        <f t="shared" si="57"/>
        <v>0.15679351168284059</v>
      </c>
      <c r="BD78" s="69">
        <f t="shared" si="58"/>
        <v>0.30599016559332615</v>
      </c>
      <c r="BE78" s="69">
        <f t="shared" si="59"/>
        <v>0.31407265898911263</v>
      </c>
      <c r="BF78" s="61">
        <f t="shared" si="60"/>
        <v>3.4126817955892111E-3</v>
      </c>
      <c r="BG78" s="61">
        <f t="shared" si="61"/>
        <v>0.14678949255192686</v>
      </c>
      <c r="BH78" s="61">
        <f t="shared" si="62"/>
        <v>3.2152191554406501E-6</v>
      </c>
      <c r="BI78" s="61">
        <f t="shared" si="63"/>
        <v>0.30041399435249844</v>
      </c>
      <c r="BJ78" s="61">
        <f t="shared" si="64"/>
        <v>1.6683814198651716</v>
      </c>
      <c r="BK78" s="61">
        <f t="shared" si="65"/>
        <v>0.30041399435249844</v>
      </c>
      <c r="BL78" s="61">
        <f t="shared" si="76"/>
        <v>0.78166397219628858</v>
      </c>
      <c r="BM78" s="61">
        <f t="shared" si="77"/>
        <v>0.15361967897183842</v>
      </c>
      <c r="BN78" s="61">
        <f t="shared" si="78"/>
        <v>0.30041399435249844</v>
      </c>
      <c r="BO78" s="69">
        <f t="shared" si="66"/>
        <v>0.78166397219628858</v>
      </c>
      <c r="BP78" s="69">
        <f t="shared" si="67"/>
        <v>0.31407265898911263</v>
      </c>
      <c r="BQ78" s="64">
        <f t="shared" si="79"/>
        <v>2.1914732621172002</v>
      </c>
      <c r="BR78" s="69">
        <f t="shared" si="68"/>
        <v>0.13735167029642503</v>
      </c>
      <c r="BS78" s="61">
        <f t="shared" si="69"/>
        <v>6.2358021978604015</v>
      </c>
      <c r="BT78" s="61">
        <f t="shared" si="70"/>
        <v>5.9353882035079026</v>
      </c>
      <c r="BU78" s="61">
        <f t="shared" si="80"/>
        <v>5.4541382256641127</v>
      </c>
      <c r="BV78" s="61">
        <f t="shared" si="81"/>
        <v>1.6683814198651716</v>
      </c>
      <c r="BW78" s="61">
        <f t="shared" si="82"/>
        <v>0.30041399435249844</v>
      </c>
      <c r="BX78" s="64">
        <f t="shared" si="83"/>
        <v>3.93759082843534</v>
      </c>
      <c r="BY78" s="61">
        <f t="shared" si="84"/>
        <v>0.13955946705576014</v>
      </c>
      <c r="BZ78" s="61">
        <f t="shared" si="85"/>
        <v>23.536215477837363</v>
      </c>
      <c r="CA78" s="61">
        <f t="shared" si="86"/>
        <v>21.867834057972193</v>
      </c>
      <c r="CB78" s="61">
        <f>AE78*O78/0.2</f>
        <v>5.478683155293</v>
      </c>
      <c r="CC78" s="61">
        <f>AG78*AC78/0.2</f>
        <v>9.8439770710883501</v>
      </c>
      <c r="CD78" s="61">
        <f>CB78*'Oxidant Feed Composition'!$N$22</f>
        <v>0.54786831552930004</v>
      </c>
      <c r="CE78" s="61">
        <f>CC78*'Oxidant Feed Composition'!$N$22</f>
        <v>0.98439770710883501</v>
      </c>
      <c r="CF78" s="61">
        <f>1.2*CB78</f>
        <v>6.5744197863515996</v>
      </c>
      <c r="CG78" s="61">
        <f>CC78*1.2</f>
        <v>11.81277248530602</v>
      </c>
      <c r="CH78" s="61">
        <f>BY78/('TEA Revised EYZ Inc'!CA78*'TEA Revised EYZ Inc'!BZ78)</f>
        <v>0.02</v>
      </c>
      <c r="CI78" s="84">
        <f>BR78/('TEA Revised EYZ Inc'!BY78)</f>
        <v>1.1864134482739049E-2</v>
      </c>
    </row>
    <row r="79" spans="1:87">
      <c r="A79" s="61">
        <v>10</v>
      </c>
      <c r="B79" s="61">
        <v>1.54143585092054E-3</v>
      </c>
      <c r="C79" s="61">
        <v>1.54143585092054E-3</v>
      </c>
      <c r="D79" s="61">
        <v>3.4254130020456501E-4</v>
      </c>
      <c r="E79" s="61">
        <v>0</v>
      </c>
      <c r="F79" s="61">
        <v>0</v>
      </c>
      <c r="G79" s="61">
        <v>0</v>
      </c>
      <c r="H79" s="69">
        <v>1.7770671970930099E-5</v>
      </c>
      <c r="I79" s="69">
        <v>5.2649488631162003E-10</v>
      </c>
      <c r="J79" s="61">
        <v>3.3765279177869602E-4</v>
      </c>
      <c r="K79" s="61">
        <v>0.139053960209192</v>
      </c>
      <c r="L79" s="61">
        <v>0.14067571356050099</v>
      </c>
      <c r="M79" s="61">
        <v>4.4613899794023002E-4</v>
      </c>
      <c r="N79" s="61" t="s">
        <v>323</v>
      </c>
      <c r="O79" s="61">
        <v>0.1</v>
      </c>
      <c r="P79" s="61">
        <v>11</v>
      </c>
      <c r="Q79" s="61">
        <v>1.6497548842793E-3</v>
      </c>
      <c r="R79" s="61">
        <v>1.66899558413707E-3</v>
      </c>
      <c r="S79" s="61">
        <v>5.2930530695573503E-6</v>
      </c>
      <c r="T79" s="61">
        <v>0</v>
      </c>
      <c r="U79" s="61">
        <v>0</v>
      </c>
      <c r="V79" s="61">
        <v>0</v>
      </c>
      <c r="W79" s="61">
        <v>1.6128070427284199E-3</v>
      </c>
      <c r="X79" s="61">
        <v>7.9626338235286499E-5</v>
      </c>
      <c r="Y79" s="61">
        <v>5.2582429609278296E-6</v>
      </c>
      <c r="Z79" s="61">
        <v>1.73328035546949E-3</v>
      </c>
      <c r="AA79" s="61">
        <v>7.4559767943401897E-2</v>
      </c>
      <c r="AB79" s="61">
        <v>1.6329960000428399E-6</v>
      </c>
      <c r="AC79" s="61">
        <v>0.1</v>
      </c>
      <c r="AD79" s="61">
        <v>100</v>
      </c>
      <c r="AE79" s="61">
        <v>10.957366310586</v>
      </c>
      <c r="AF79" s="61">
        <v>92.357064280818008</v>
      </c>
      <c r="AG79" s="61">
        <v>19.687491213897097</v>
      </c>
      <c r="AH79" s="61">
        <f t="shared" si="44"/>
        <v>1.0957366310586001</v>
      </c>
      <c r="AI79" s="61">
        <f t="shared" si="71"/>
        <v>1.9687491213897097</v>
      </c>
      <c r="AJ79" s="61">
        <f t="shared" si="72"/>
        <v>1.0957366310586001</v>
      </c>
      <c r="AK79" s="61">
        <f t="shared" si="72"/>
        <v>1.9687491213897097</v>
      </c>
      <c r="AL79" s="61">
        <f t="shared" si="45"/>
        <v>0.61448665321480989</v>
      </c>
      <c r="AM79" s="61">
        <f t="shared" si="73"/>
        <v>0.4812499778437902</v>
      </c>
      <c r="AN79" s="61">
        <f t="shared" si="74"/>
        <v>0.61448665321480989</v>
      </c>
      <c r="AO79" s="69">
        <f t="shared" si="46"/>
        <v>1.7770671970930099E-3</v>
      </c>
      <c r="AP79" s="69">
        <f t="shared" si="47"/>
        <v>5.2649488631162002E-8</v>
      </c>
      <c r="AQ79" s="69">
        <f t="shared" si="48"/>
        <v>3.3765279177869603E-2</v>
      </c>
      <c r="AR79" s="61">
        <f t="shared" si="75"/>
        <v>10</v>
      </c>
      <c r="AS79" s="69">
        <f t="shared" si="49"/>
        <v>0.154143585092054</v>
      </c>
      <c r="AT79" s="70">
        <f t="shared" si="50"/>
        <v>0.154143585092054</v>
      </c>
      <c r="AU79" s="69">
        <f t="shared" si="51"/>
        <v>3.4254130020456498E-2</v>
      </c>
      <c r="AV79" s="69">
        <f t="shared" si="52"/>
        <v>0.152366517894961</v>
      </c>
      <c r="AW79" s="70">
        <f t="shared" si="52"/>
        <v>0.15414353244256537</v>
      </c>
      <c r="AX79" s="69">
        <f t="shared" si="52"/>
        <v>4.888508425868951E-4</v>
      </c>
      <c r="AY79" s="69">
        <f t="shared" si="53"/>
        <v>0.14895412371782468</v>
      </c>
      <c r="AZ79" s="61">
        <f t="shared" si="54"/>
        <v>7.3540548388425116E-3</v>
      </c>
      <c r="BA79" s="61">
        <f t="shared" si="55"/>
        <v>4.8563588314657035E-4</v>
      </c>
      <c r="BB79" s="69">
        <f t="shared" si="56"/>
        <v>95.000000000001023</v>
      </c>
      <c r="BC79" s="69">
        <f t="shared" si="57"/>
        <v>0.15679381443981377</v>
      </c>
      <c r="BD79" s="69">
        <f t="shared" si="58"/>
        <v>0.30599075609921172</v>
      </c>
      <c r="BE79" s="69">
        <f t="shared" si="59"/>
        <v>0.31407326476277414</v>
      </c>
      <c r="BF79" s="61">
        <f t="shared" si="60"/>
        <v>3.4123941769526023E-3</v>
      </c>
      <c r="BG79" s="61">
        <f t="shared" si="61"/>
        <v>0.14678947762959313</v>
      </c>
      <c r="BH79" s="61">
        <f t="shared" si="62"/>
        <v>3.2149594403172515E-6</v>
      </c>
      <c r="BI79" s="61">
        <f t="shared" si="63"/>
        <v>0.30041338849141241</v>
      </c>
      <c r="BJ79" s="61">
        <f t="shared" si="64"/>
        <v>1.6683357328982973</v>
      </c>
      <c r="BK79" s="61">
        <f t="shared" si="65"/>
        <v>0.30041338849141241</v>
      </c>
      <c r="BL79" s="61">
        <f t="shared" si="76"/>
        <v>0.78166336633520261</v>
      </c>
      <c r="BM79" s="61">
        <f t="shared" si="77"/>
        <v>0.15361908842265881</v>
      </c>
      <c r="BN79" s="61">
        <f t="shared" si="78"/>
        <v>0.30041338849141241</v>
      </c>
      <c r="BO79" s="69">
        <f t="shared" si="66"/>
        <v>0.78166336633520261</v>
      </c>
      <c r="BP79" s="69">
        <f t="shared" si="67"/>
        <v>0.31407326476277414</v>
      </c>
      <c r="BQ79" s="64">
        <f t="shared" si="79"/>
        <v>2.1914732621172002</v>
      </c>
      <c r="BR79" s="69">
        <f t="shared" si="68"/>
        <v>0.13735190200809377</v>
      </c>
      <c r="BS79" s="61">
        <f t="shared" si="69"/>
        <v>6.2357868447980298</v>
      </c>
      <c r="BT79" s="61">
        <f t="shared" si="70"/>
        <v>5.9353734563066176</v>
      </c>
      <c r="BU79" s="61">
        <f t="shared" si="80"/>
        <v>5.4541234784628276</v>
      </c>
      <c r="BV79" s="61">
        <f t="shared" si="81"/>
        <v>1.6683357328982973</v>
      </c>
      <c r="BW79" s="61">
        <f t="shared" si="82"/>
        <v>0.30041338849141241</v>
      </c>
      <c r="BX79" s="64">
        <f t="shared" si="83"/>
        <v>3.9374982427794194</v>
      </c>
      <c r="BY79" s="61">
        <f t="shared" si="84"/>
        <v>0.13955897293422745</v>
      </c>
      <c r="BZ79" s="61">
        <f t="shared" si="85"/>
        <v>23.535100891538832</v>
      </c>
      <c r="CA79" s="61">
        <f t="shared" si="86"/>
        <v>21.866765158640536</v>
      </c>
      <c r="CB79" s="61">
        <f>AE79*O79/0.2</f>
        <v>5.478683155293</v>
      </c>
      <c r="CC79" s="61">
        <f>AG79*AC79/0.2</f>
        <v>9.8437456069485485</v>
      </c>
      <c r="CD79" s="61">
        <f>CB79*'Oxidant Feed Composition'!$N$22</f>
        <v>0.54786831552930004</v>
      </c>
      <c r="CE79" s="61">
        <f>CC79*'Oxidant Feed Composition'!$N$22</f>
        <v>0.98437456069485485</v>
      </c>
      <c r="CF79" s="61">
        <f>1.2*CB79</f>
        <v>6.5744197863515996</v>
      </c>
      <c r="CG79" s="61">
        <f>CC79*1.2</f>
        <v>11.812494728338258</v>
      </c>
      <c r="CH79" s="61">
        <f>BY79/('TEA Revised EYZ Inc'!CA79*'TEA Revised EYZ Inc'!BZ79)</f>
        <v>0.02</v>
      </c>
      <c r="CI79" s="84">
        <f>BR79/('TEA Revised EYZ Inc'!BY79)</f>
        <v>1.1864134482739054E-2</v>
      </c>
    </row>
    <row r="80" spans="1:87">
      <c r="A80" s="61">
        <v>10</v>
      </c>
      <c r="B80" s="61">
        <v>1.54143585092054E-3</v>
      </c>
      <c r="C80" s="61">
        <v>1.54143585092054E-3</v>
      </c>
      <c r="D80" s="61">
        <v>3.4254130020456501E-4</v>
      </c>
      <c r="E80" s="61">
        <v>0</v>
      </c>
      <c r="F80" s="61">
        <v>0</v>
      </c>
      <c r="G80" s="61">
        <v>0</v>
      </c>
      <c r="H80" s="69">
        <v>1.7770671970930099E-5</v>
      </c>
      <c r="I80" s="69">
        <v>5.2649488631162003E-10</v>
      </c>
      <c r="J80" s="61">
        <v>3.3765279177869602E-4</v>
      </c>
      <c r="K80" s="61">
        <v>0.139053960209192</v>
      </c>
      <c r="L80" s="61">
        <v>0.14067571356050099</v>
      </c>
      <c r="M80" s="61">
        <v>4.4613899794023002E-4</v>
      </c>
      <c r="N80" s="61" t="s">
        <v>323</v>
      </c>
      <c r="O80" s="61">
        <v>0.1</v>
      </c>
      <c r="P80" s="61">
        <v>12</v>
      </c>
      <c r="Q80" s="61">
        <v>1.6497548842793E-3</v>
      </c>
      <c r="R80" s="61">
        <v>1.66899558413707E-3</v>
      </c>
      <c r="S80" s="61">
        <v>5.2930530695573503E-6</v>
      </c>
      <c r="T80" s="61">
        <v>0</v>
      </c>
      <c r="U80" s="61">
        <v>0</v>
      </c>
      <c r="V80" s="61">
        <v>0</v>
      </c>
      <c r="W80" s="61">
        <v>1.6128079179820701E-3</v>
      </c>
      <c r="X80" s="61">
        <v>7.9626383510946294E-5</v>
      </c>
      <c r="Y80" s="61">
        <v>5.2582437512666399E-6</v>
      </c>
      <c r="Z80" s="61">
        <v>1.7332507504425E-3</v>
      </c>
      <c r="AA80" s="61">
        <v>7.4560258551583894E-2</v>
      </c>
      <c r="AB80" s="61">
        <v>1.6329697157021899E-6</v>
      </c>
      <c r="AC80" s="61">
        <v>0.1</v>
      </c>
      <c r="AD80" s="61">
        <v>100</v>
      </c>
      <c r="AE80" s="61">
        <v>10.957366310586</v>
      </c>
      <c r="AF80" s="61">
        <v>92.357064280818008</v>
      </c>
      <c r="AG80" s="61">
        <v>19.687361106780902</v>
      </c>
      <c r="AH80" s="61">
        <f t="shared" si="44"/>
        <v>1.0957366310586001</v>
      </c>
      <c r="AI80" s="61">
        <f t="shared" si="71"/>
        <v>1.9687361106780903</v>
      </c>
      <c r="AJ80" s="61">
        <f t="shared" si="72"/>
        <v>1.0957366310586001</v>
      </c>
      <c r="AK80" s="61">
        <f t="shared" si="72"/>
        <v>1.9687361106780903</v>
      </c>
      <c r="AL80" s="61">
        <f t="shared" si="45"/>
        <v>0.61448665321480989</v>
      </c>
      <c r="AM80" s="61">
        <f t="shared" si="73"/>
        <v>0.4812499778437902</v>
      </c>
      <c r="AN80" s="61">
        <f t="shared" si="74"/>
        <v>0.61448665321480989</v>
      </c>
      <c r="AO80" s="69">
        <f t="shared" si="46"/>
        <v>1.7770671970930099E-3</v>
      </c>
      <c r="AP80" s="69">
        <f t="shared" si="47"/>
        <v>5.2649488631162002E-8</v>
      </c>
      <c r="AQ80" s="69">
        <f t="shared" si="48"/>
        <v>3.3765279177869603E-2</v>
      </c>
      <c r="AR80" s="61">
        <f t="shared" si="75"/>
        <v>10</v>
      </c>
      <c r="AS80" s="69">
        <f t="shared" si="49"/>
        <v>0.154143585092054</v>
      </c>
      <c r="AT80" s="70">
        <f t="shared" si="50"/>
        <v>0.154143585092054</v>
      </c>
      <c r="AU80" s="69">
        <f t="shared" si="51"/>
        <v>3.4254130020456498E-2</v>
      </c>
      <c r="AV80" s="69">
        <f t="shared" si="52"/>
        <v>0.152366517894961</v>
      </c>
      <c r="AW80" s="70">
        <f t="shared" si="52"/>
        <v>0.15414353244256537</v>
      </c>
      <c r="AX80" s="69">
        <f t="shared" si="52"/>
        <v>4.888508425868951E-4</v>
      </c>
      <c r="AY80" s="69">
        <f t="shared" si="53"/>
        <v>0.1489542045536823</v>
      </c>
      <c r="AZ80" s="61">
        <f t="shared" si="54"/>
        <v>7.3540590203695338E-3</v>
      </c>
      <c r="BA80" s="61">
        <f t="shared" si="55"/>
        <v>4.8563595613994266E-4</v>
      </c>
      <c r="BB80" s="69">
        <f t="shared" si="56"/>
        <v>95.000000000000071</v>
      </c>
      <c r="BC80" s="69">
        <f t="shared" si="57"/>
        <v>0.15679389953019177</v>
      </c>
      <c r="BD80" s="69">
        <f t="shared" si="58"/>
        <v>0.305990922061944</v>
      </c>
      <c r="BE80" s="69">
        <f t="shared" si="59"/>
        <v>0.31407343501652352</v>
      </c>
      <c r="BF80" s="61">
        <f t="shared" si="60"/>
        <v>3.4123133412560487E-3</v>
      </c>
      <c r="BG80" s="61">
        <f t="shared" si="61"/>
        <v>0.14678947343199811</v>
      </c>
      <c r="BH80" s="61">
        <f t="shared" si="62"/>
        <v>3.2148864469466361E-6</v>
      </c>
      <c r="BI80" s="61">
        <f t="shared" si="63"/>
        <v>0.30041321820584915</v>
      </c>
      <c r="BJ80" s="61">
        <f t="shared" si="64"/>
        <v>1.6683228924722411</v>
      </c>
      <c r="BK80" s="61">
        <f t="shared" si="65"/>
        <v>0.30041321820584915</v>
      </c>
      <c r="BL80" s="61">
        <f t="shared" si="76"/>
        <v>0.78166319604963941</v>
      </c>
      <c r="BM80" s="61">
        <f t="shared" si="77"/>
        <v>0.15361892244418063</v>
      </c>
      <c r="BN80" s="61">
        <f t="shared" si="78"/>
        <v>0.30041321820584915</v>
      </c>
      <c r="BO80" s="69">
        <f t="shared" si="66"/>
        <v>0.78166319604963941</v>
      </c>
      <c r="BP80" s="69">
        <f t="shared" si="67"/>
        <v>0.31407343501652352</v>
      </c>
      <c r="BQ80" s="64">
        <f t="shared" si="79"/>
        <v>2.1914732621172002</v>
      </c>
      <c r="BR80" s="69">
        <f t="shared" si="68"/>
        <v>0.13735196713104419</v>
      </c>
      <c r="BS80" s="61">
        <f t="shared" si="69"/>
        <v>6.2357825297454017</v>
      </c>
      <c r="BT80" s="61">
        <f t="shared" si="70"/>
        <v>5.9353693115395529</v>
      </c>
      <c r="BU80" s="61">
        <f t="shared" si="80"/>
        <v>5.454119333695763</v>
      </c>
      <c r="BV80" s="61">
        <f t="shared" si="81"/>
        <v>1.6683228924722411</v>
      </c>
      <c r="BW80" s="61">
        <f t="shared" si="82"/>
        <v>0.30041321820584915</v>
      </c>
      <c r="BX80" s="64">
        <f t="shared" si="83"/>
        <v>3.9374722213561806</v>
      </c>
      <c r="BY80" s="61">
        <f t="shared" si="84"/>
        <v>0.1395588340556923</v>
      </c>
      <c r="BZ80" s="61">
        <f t="shared" si="85"/>
        <v>23.534787639242641</v>
      </c>
      <c r="CA80" s="61">
        <f t="shared" si="86"/>
        <v>21.866464746770401</v>
      </c>
      <c r="CB80" s="61">
        <f>AE80*O80/0.2</f>
        <v>5.478683155293</v>
      </c>
      <c r="CC80" s="61">
        <f>AG80*AC80/0.2</f>
        <v>9.8436805533904508</v>
      </c>
      <c r="CD80" s="61">
        <f>CB80*'Oxidant Feed Composition'!$N$22</f>
        <v>0.54786831552930004</v>
      </c>
      <c r="CE80" s="61">
        <f>CC80*'Oxidant Feed Composition'!$N$22</f>
        <v>0.98436805533904514</v>
      </c>
      <c r="CF80" s="61">
        <f>1.2*CB80</f>
        <v>6.5744197863515996</v>
      </c>
      <c r="CG80" s="61">
        <f>CC80*1.2</f>
        <v>11.812416664068541</v>
      </c>
      <c r="CH80" s="61">
        <f>BY80/('TEA Revised EYZ Inc'!CA80*'TEA Revised EYZ Inc'!BZ80)</f>
        <v>0.02</v>
      </c>
      <c r="CI80" s="84">
        <f>BR80/('TEA Revised EYZ Inc'!BY80)</f>
        <v>1.186413448273905E-2</v>
      </c>
    </row>
    <row r="81" spans="1:87">
      <c r="A81" s="61">
        <v>10</v>
      </c>
      <c r="B81" s="61">
        <v>1.54143585092054E-3</v>
      </c>
      <c r="C81" s="61">
        <v>1.54143585092054E-3</v>
      </c>
      <c r="D81" s="61">
        <v>3.4254130020456501E-4</v>
      </c>
      <c r="E81" s="61">
        <v>0</v>
      </c>
      <c r="F81" s="61">
        <v>0</v>
      </c>
      <c r="G81" s="61">
        <v>0</v>
      </c>
      <c r="H81" s="69">
        <v>1.7770671970930099E-5</v>
      </c>
      <c r="I81" s="69">
        <v>5.2649488631162003E-10</v>
      </c>
      <c r="J81" s="61">
        <v>3.3765279177869602E-4</v>
      </c>
      <c r="K81" s="61">
        <v>0.139053960209192</v>
      </c>
      <c r="L81" s="61">
        <v>0.14067571356050099</v>
      </c>
      <c r="M81" s="61">
        <v>4.4613899794023002E-4</v>
      </c>
      <c r="N81" s="61" t="s">
        <v>323</v>
      </c>
      <c r="O81" s="61">
        <v>0.1</v>
      </c>
      <c r="P81" s="61">
        <v>13</v>
      </c>
      <c r="Q81" s="61">
        <v>1.6497548842793E-3</v>
      </c>
      <c r="R81" s="61">
        <v>1.66899558413707E-3</v>
      </c>
      <c r="S81" s="61">
        <v>5.2930530695573503E-6</v>
      </c>
      <c r="T81" s="61">
        <v>0</v>
      </c>
      <c r="U81" s="61">
        <v>0</v>
      </c>
      <c r="V81" s="61">
        <v>0</v>
      </c>
      <c r="W81" s="61">
        <v>1.6128081639407901E-3</v>
      </c>
      <c r="X81" s="61">
        <v>7.96263962340472E-5</v>
      </c>
      <c r="Y81" s="61">
        <v>5.2582439733631299E-6</v>
      </c>
      <c r="Z81" s="61">
        <v>1.7332424309303299E-3</v>
      </c>
      <c r="AA81" s="61">
        <v>7.4560396420763494E-2</v>
      </c>
      <c r="AB81" s="61">
        <v>1.63296232935881E-6</v>
      </c>
      <c r="AC81" s="61">
        <v>0.1</v>
      </c>
      <c r="AD81" s="61">
        <v>100</v>
      </c>
      <c r="AE81" s="61">
        <v>10.957366310586</v>
      </c>
      <c r="AF81" s="61">
        <v>92.357064280818008</v>
      </c>
      <c r="AG81" s="61">
        <v>19.6873245448886</v>
      </c>
      <c r="AH81" s="61">
        <f t="shared" si="44"/>
        <v>1.0957366310586001</v>
      </c>
      <c r="AI81" s="61">
        <f t="shared" si="71"/>
        <v>1.96873245448886</v>
      </c>
      <c r="AJ81" s="61">
        <f t="shared" si="72"/>
        <v>1.0957366310586001</v>
      </c>
      <c r="AK81" s="61">
        <f t="shared" si="72"/>
        <v>1.96873245448886</v>
      </c>
      <c r="AL81" s="61">
        <f t="shared" si="45"/>
        <v>0.61448665321480989</v>
      </c>
      <c r="AM81" s="61">
        <f t="shared" si="73"/>
        <v>0.4812499778437902</v>
      </c>
      <c r="AN81" s="61">
        <f t="shared" si="74"/>
        <v>0.61448665321480989</v>
      </c>
      <c r="AO81" s="69">
        <f t="shared" si="46"/>
        <v>1.7770671970930099E-3</v>
      </c>
      <c r="AP81" s="69">
        <f t="shared" si="47"/>
        <v>5.2649488631162002E-8</v>
      </c>
      <c r="AQ81" s="69">
        <f t="shared" si="48"/>
        <v>3.3765279177869603E-2</v>
      </c>
      <c r="AR81" s="61">
        <f t="shared" si="75"/>
        <v>10</v>
      </c>
      <c r="AS81" s="69">
        <f t="shared" si="49"/>
        <v>0.154143585092054</v>
      </c>
      <c r="AT81" s="70">
        <f t="shared" si="50"/>
        <v>0.154143585092054</v>
      </c>
      <c r="AU81" s="69">
        <f t="shared" si="51"/>
        <v>3.4254130020456498E-2</v>
      </c>
      <c r="AV81" s="69">
        <f t="shared" si="52"/>
        <v>0.152366517894961</v>
      </c>
      <c r="AW81" s="70">
        <f t="shared" si="52"/>
        <v>0.15414353244256537</v>
      </c>
      <c r="AX81" s="69">
        <f t="shared" si="52"/>
        <v>4.888508425868951E-4</v>
      </c>
      <c r="AY81" s="69">
        <f t="shared" si="53"/>
        <v>0.14895422726970761</v>
      </c>
      <c r="AZ81" s="61">
        <f t="shared" si="54"/>
        <v>7.3540601954377822E-3</v>
      </c>
      <c r="BA81" s="61">
        <f t="shared" si="55"/>
        <v>4.8563597665212251E-4</v>
      </c>
      <c r="BB81" s="69">
        <f t="shared" si="56"/>
        <v>94.999999999999986</v>
      </c>
      <c r="BC81" s="69">
        <f t="shared" si="57"/>
        <v>0.15679392344179752</v>
      </c>
      <c r="BD81" s="69">
        <f t="shared" si="58"/>
        <v>0.30599096869983117</v>
      </c>
      <c r="BE81" s="69">
        <f t="shared" si="59"/>
        <v>0.31407348286024711</v>
      </c>
      <c r="BF81" s="61">
        <f t="shared" si="60"/>
        <v>3.4122906252697068E-3</v>
      </c>
      <c r="BG81" s="61">
        <f t="shared" si="61"/>
        <v>0.14678947225311212</v>
      </c>
      <c r="BH81" s="61">
        <f t="shared" si="62"/>
        <v>3.2148659347664164E-6</v>
      </c>
      <c r="BI81" s="61">
        <f t="shared" si="63"/>
        <v>0.30041317035456794</v>
      </c>
      <c r="BJ81" s="61">
        <f t="shared" si="64"/>
        <v>1.668319284134292</v>
      </c>
      <c r="BK81" s="61">
        <f t="shared" si="65"/>
        <v>0.30041317035456794</v>
      </c>
      <c r="BL81" s="61">
        <f t="shared" si="76"/>
        <v>0.78166314819835814</v>
      </c>
      <c r="BM81" s="61">
        <f t="shared" si="77"/>
        <v>0.15361887580255368</v>
      </c>
      <c r="BN81" s="61">
        <f t="shared" si="78"/>
        <v>0.30041317035456794</v>
      </c>
      <c r="BO81" s="69">
        <f t="shared" si="66"/>
        <v>0.78166314819835814</v>
      </c>
      <c r="BP81" s="69">
        <f t="shared" si="67"/>
        <v>0.31407348286024711</v>
      </c>
      <c r="BQ81" s="64">
        <f t="shared" si="79"/>
        <v>2.1914732621172002</v>
      </c>
      <c r="BR81" s="69">
        <f t="shared" si="68"/>
        <v>0.13735198543151739</v>
      </c>
      <c r="BS81" s="61">
        <f t="shared" si="69"/>
        <v>6.2357813171661123</v>
      </c>
      <c r="BT81" s="61">
        <f t="shared" si="70"/>
        <v>5.9353681468115447</v>
      </c>
      <c r="BU81" s="61">
        <f t="shared" si="80"/>
        <v>5.4541181689677547</v>
      </c>
      <c r="BV81" s="61">
        <f t="shared" si="81"/>
        <v>1.668319284134292</v>
      </c>
      <c r="BW81" s="61">
        <f t="shared" si="82"/>
        <v>0.30041317035456794</v>
      </c>
      <c r="BX81" s="64">
        <f t="shared" si="83"/>
        <v>3.9374649089777201</v>
      </c>
      <c r="BY81" s="61">
        <f t="shared" si="84"/>
        <v>0.13955879502935434</v>
      </c>
      <c r="BZ81" s="61">
        <f t="shared" si="85"/>
        <v>23.534699611256723</v>
      </c>
      <c r="CA81" s="61">
        <f t="shared" si="86"/>
        <v>21.866380327122432</v>
      </c>
      <c r="CB81" s="61">
        <f>AE81*O81/0.2</f>
        <v>5.478683155293</v>
      </c>
      <c r="CC81" s="61">
        <f>AG81*AC81/0.2</f>
        <v>9.8436622724443001</v>
      </c>
      <c r="CD81" s="61">
        <f>CB81*'Oxidant Feed Composition'!$N$22</f>
        <v>0.54786831552930004</v>
      </c>
      <c r="CE81" s="61">
        <f>CC81*'Oxidant Feed Composition'!$N$22</f>
        <v>0.98436622724443001</v>
      </c>
      <c r="CF81" s="61">
        <f>1.2*CB81</f>
        <v>6.5744197863515996</v>
      </c>
      <c r="CG81" s="61">
        <f>CC81*1.2</f>
        <v>11.81239472693316</v>
      </c>
      <c r="CH81" s="61">
        <f>BY81/('TEA Revised EYZ Inc'!CA81*'TEA Revised EYZ Inc'!BZ81)</f>
        <v>2.0000000000000004E-2</v>
      </c>
      <c r="CI81" s="84">
        <f>BR81/('TEA Revised EYZ Inc'!BY81)</f>
        <v>1.186413448273905E-2</v>
      </c>
    </row>
    <row r="82" spans="1:87">
      <c r="A82" s="61">
        <v>11</v>
      </c>
      <c r="B82" s="61">
        <v>1.54143585092054E-3</v>
      </c>
      <c r="C82" s="61">
        <v>1.54143585092054E-3</v>
      </c>
      <c r="D82" s="61">
        <v>3.4254130020456501E-4</v>
      </c>
      <c r="E82" s="61">
        <v>0</v>
      </c>
      <c r="F82" s="61">
        <v>0</v>
      </c>
      <c r="G82" s="61">
        <v>0</v>
      </c>
      <c r="H82" s="69">
        <v>1.7771367359861701E-5</v>
      </c>
      <c r="I82" s="69">
        <v>1.8081057367328801E-10</v>
      </c>
      <c r="J82" s="61">
        <v>3.3765941525589702E-4</v>
      </c>
      <c r="K82" s="61">
        <v>0.139102253285185</v>
      </c>
      <c r="L82" s="61">
        <v>0.14072466572308701</v>
      </c>
      <c r="M82" s="61">
        <v>4.4568945720355099E-4</v>
      </c>
      <c r="N82" s="61" t="s">
        <v>323</v>
      </c>
      <c r="O82" s="61">
        <v>0.1</v>
      </c>
      <c r="P82" s="61">
        <v>4</v>
      </c>
      <c r="Q82" s="61">
        <v>1.6497569194096201E-3</v>
      </c>
      <c r="R82" s="61">
        <v>1.6689987798565299E-3</v>
      </c>
      <c r="S82" s="61">
        <v>5.28589040482341E-6</v>
      </c>
      <c r="T82" s="61">
        <v>0</v>
      </c>
      <c r="U82" s="61">
        <v>0</v>
      </c>
      <c r="V82" s="61">
        <v>0</v>
      </c>
      <c r="W82" s="61">
        <v>1.6048442786411501E-3</v>
      </c>
      <c r="X82" s="61">
        <v>7.9221543426505204E-5</v>
      </c>
      <c r="Y82" s="61">
        <v>5.2439449251215197E-6</v>
      </c>
      <c r="Z82" s="61">
        <v>1.9874086219128402E-3</v>
      </c>
      <c r="AA82" s="61">
        <v>7.0348501715363707E-2</v>
      </c>
      <c r="AB82" s="61">
        <v>1.8561101411739801E-6</v>
      </c>
      <c r="AC82" s="61">
        <v>0.1</v>
      </c>
      <c r="AD82" s="61">
        <v>100</v>
      </c>
      <c r="AE82" s="61">
        <v>10.953557168032999</v>
      </c>
      <c r="AF82" s="61">
        <v>92.356908198738694</v>
      </c>
      <c r="AG82" s="61">
        <v>20.8713628170402</v>
      </c>
      <c r="AH82" s="61">
        <f t="shared" si="44"/>
        <v>1.0953557168032999</v>
      </c>
      <c r="AI82" s="61">
        <f t="shared" si="71"/>
        <v>2.0871362817040202</v>
      </c>
      <c r="AJ82" s="61">
        <f t="shared" si="72"/>
        <v>1.0953557168032999</v>
      </c>
      <c r="AK82" s="61">
        <f t="shared" si="72"/>
        <v>2.0871362817040202</v>
      </c>
      <c r="AL82" s="61">
        <f t="shared" si="45"/>
        <v>0.61448459638692998</v>
      </c>
      <c r="AM82" s="61">
        <f t="shared" si="73"/>
        <v>0.48087112041636992</v>
      </c>
      <c r="AN82" s="61">
        <f t="shared" si="74"/>
        <v>0.61448459638692998</v>
      </c>
      <c r="AO82" s="69">
        <f t="shared" si="46"/>
        <v>1.7771367359861701E-3</v>
      </c>
      <c r="AP82" s="69">
        <f t="shared" si="47"/>
        <v>1.8081057367328801E-8</v>
      </c>
      <c r="AQ82" s="69">
        <f t="shared" si="48"/>
        <v>3.3765941525589704E-2</v>
      </c>
      <c r="AR82" s="61">
        <f t="shared" si="75"/>
        <v>10</v>
      </c>
      <c r="AS82" s="69">
        <f t="shared" si="49"/>
        <v>0.154143585092054</v>
      </c>
      <c r="AT82" s="70">
        <f t="shared" si="50"/>
        <v>0.154143585092054</v>
      </c>
      <c r="AU82" s="69">
        <f t="shared" si="51"/>
        <v>3.4254130020456498E-2</v>
      </c>
      <c r="AV82" s="69">
        <f t="shared" si="52"/>
        <v>0.15236644835606783</v>
      </c>
      <c r="AW82" s="70">
        <f t="shared" si="52"/>
        <v>0.15414356701099663</v>
      </c>
      <c r="AX82" s="69">
        <f t="shared" si="52"/>
        <v>4.8818849486679389E-4</v>
      </c>
      <c r="AY82" s="69">
        <f t="shared" si="53"/>
        <v>0.14821845571573172</v>
      </c>
      <c r="AZ82" s="61">
        <f t="shared" si="54"/>
        <v>7.3166568136041315E-3</v>
      </c>
      <c r="BA82" s="61">
        <f t="shared" si="55"/>
        <v>4.8431454004868986E-4</v>
      </c>
      <c r="BB82" s="69">
        <f t="shared" si="56"/>
        <v>94.99999999988232</v>
      </c>
      <c r="BC82" s="69">
        <f t="shared" si="57"/>
        <v>0.15601942706938454</v>
      </c>
      <c r="BD82" s="69">
        <f t="shared" si="58"/>
        <v>0.30448004005514057</v>
      </c>
      <c r="BE82" s="69">
        <f t="shared" si="59"/>
        <v>0.3125231686788178</v>
      </c>
      <c r="BF82" s="61">
        <f t="shared" si="60"/>
        <v>4.1479926413656764E-3</v>
      </c>
      <c r="BG82" s="61">
        <f t="shared" si="61"/>
        <v>0.14682691029365311</v>
      </c>
      <c r="BH82" s="61">
        <f t="shared" si="62"/>
        <v>3.8739548184829848E-6</v>
      </c>
      <c r="BI82" s="61">
        <f t="shared" si="63"/>
        <v>0.30196142773449303</v>
      </c>
      <c r="BJ82" s="61">
        <f t="shared" si="64"/>
        <v>1.7851748539695271</v>
      </c>
      <c r="BK82" s="61">
        <f t="shared" si="65"/>
        <v>0.30196142773449303</v>
      </c>
      <c r="BL82" s="61">
        <f t="shared" si="76"/>
        <v>0.78283254815086289</v>
      </c>
      <c r="BM82" s="61">
        <f t="shared" si="77"/>
        <v>0.15512870650861219</v>
      </c>
      <c r="BN82" s="61">
        <f t="shared" si="78"/>
        <v>0.30196142773449303</v>
      </c>
      <c r="BO82" s="69">
        <f t="shared" si="66"/>
        <v>0.78283254815086289</v>
      </c>
      <c r="BP82" s="69">
        <f t="shared" si="67"/>
        <v>0.3125231686788178</v>
      </c>
      <c r="BQ82" s="64">
        <f t="shared" si="79"/>
        <v>2.1907114336065998</v>
      </c>
      <c r="BR82" s="69">
        <f t="shared" si="68"/>
        <v>0.13675267956638507</v>
      </c>
      <c r="BS82" s="61">
        <f t="shared" si="69"/>
        <v>6.2702983929502318</v>
      </c>
      <c r="BT82" s="61">
        <f t="shared" si="70"/>
        <v>5.9683369652157392</v>
      </c>
      <c r="BU82" s="61">
        <f t="shared" si="80"/>
        <v>5.4874658447993694</v>
      </c>
      <c r="BV82" s="61">
        <f t="shared" si="81"/>
        <v>1.7851748539695271</v>
      </c>
      <c r="BW82" s="61">
        <f t="shared" si="82"/>
        <v>0.30196142773449303</v>
      </c>
      <c r="BX82" s="64">
        <f t="shared" si="83"/>
        <v>4.1742725634080404</v>
      </c>
      <c r="BY82" s="61">
        <f t="shared" si="84"/>
        <v>0.14079573425940212</v>
      </c>
      <c r="BZ82" s="61">
        <f t="shared" si="85"/>
        <v>26.463182471429644</v>
      </c>
      <c r="CA82" s="61">
        <f t="shared" si="86"/>
        <v>24.678007617460118</v>
      </c>
      <c r="CB82" s="61">
        <f>AE82*O82/0.2</f>
        <v>5.4767785840164995</v>
      </c>
      <c r="CC82" s="61">
        <f>AG82*AC82/0.2</f>
        <v>10.4356814085201</v>
      </c>
      <c r="CD82" s="61">
        <f>CB82*'Oxidant Feed Composition'!$N$22</f>
        <v>0.54767785840164995</v>
      </c>
      <c r="CE82" s="61">
        <f>CC82*'Oxidant Feed Composition'!$N$22</f>
        <v>1.0435681408520101</v>
      </c>
      <c r="CF82" s="61">
        <f>1.2*CB82</f>
        <v>6.5721343008197994</v>
      </c>
      <c r="CG82" s="61">
        <f>CC82*1.2</f>
        <v>12.52281769022412</v>
      </c>
      <c r="CH82" s="61">
        <f>BY82/('TEA Revised EYZ Inc'!CA82*'TEA Revised EYZ Inc'!BZ82)</f>
        <v>0.02</v>
      </c>
      <c r="CI82" s="84">
        <f>BR82/('TEA Revised EYZ Inc'!BY82)</f>
        <v>1.1860030160886862E-2</v>
      </c>
    </row>
    <row r="83" spans="1:87">
      <c r="A83" s="61">
        <v>11</v>
      </c>
      <c r="B83" s="61">
        <v>1.54143585092054E-3</v>
      </c>
      <c r="C83" s="61">
        <v>1.54143585092054E-3</v>
      </c>
      <c r="D83" s="61">
        <v>3.4254130020456501E-4</v>
      </c>
      <c r="E83" s="61">
        <v>0</v>
      </c>
      <c r="F83" s="61">
        <v>0</v>
      </c>
      <c r="G83" s="61">
        <v>0</v>
      </c>
      <c r="H83" s="69">
        <v>1.7771367359861701E-5</v>
      </c>
      <c r="I83" s="69">
        <v>1.8081057367328801E-10</v>
      </c>
      <c r="J83" s="61">
        <v>3.3765941525589702E-4</v>
      </c>
      <c r="K83" s="61">
        <v>0.139102253285185</v>
      </c>
      <c r="L83" s="61">
        <v>0.14072466572308701</v>
      </c>
      <c r="M83" s="61">
        <v>4.4568945720355099E-4</v>
      </c>
      <c r="N83" s="61" t="s">
        <v>323</v>
      </c>
      <c r="O83" s="61">
        <v>0.1</v>
      </c>
      <c r="P83" s="61">
        <v>5</v>
      </c>
      <c r="Q83" s="61">
        <v>1.6497569194096201E-3</v>
      </c>
      <c r="R83" s="61">
        <v>1.6689987798565299E-3</v>
      </c>
      <c r="S83" s="61">
        <v>5.28589040482341E-6</v>
      </c>
      <c r="T83" s="61">
        <v>0</v>
      </c>
      <c r="U83" s="61">
        <v>0</v>
      </c>
      <c r="V83" s="61">
        <v>0</v>
      </c>
      <c r="W83" s="61">
        <v>1.6104460290619601E-3</v>
      </c>
      <c r="X83" s="61">
        <v>7.9511320807382698E-5</v>
      </c>
      <c r="Y83" s="61">
        <v>5.2489965417355999E-6</v>
      </c>
      <c r="Z83" s="61">
        <v>1.8118142403982199E-3</v>
      </c>
      <c r="AA83" s="61">
        <v>7.3258478446211001E-2</v>
      </c>
      <c r="AB83" s="61">
        <v>1.7004149724062101E-6</v>
      </c>
      <c r="AC83" s="61">
        <v>0.1</v>
      </c>
      <c r="AD83" s="61">
        <v>100</v>
      </c>
      <c r="AE83" s="61">
        <v>10.953557168032999</v>
      </c>
      <c r="AF83" s="61">
        <v>92.356908198738694</v>
      </c>
      <c r="AG83" s="61">
        <v>20.038656337397899</v>
      </c>
      <c r="AH83" s="61">
        <f t="shared" si="44"/>
        <v>1.0953557168032999</v>
      </c>
      <c r="AI83" s="61">
        <f t="shared" si="71"/>
        <v>2.0038656337397902</v>
      </c>
      <c r="AJ83" s="61">
        <f t="shared" si="72"/>
        <v>1.0953557168032999</v>
      </c>
      <c r="AK83" s="61">
        <f t="shared" si="72"/>
        <v>2.0038656337397902</v>
      </c>
      <c r="AL83" s="61">
        <f t="shared" si="45"/>
        <v>0.61448459638692998</v>
      </c>
      <c r="AM83" s="61">
        <f t="shared" si="73"/>
        <v>0.48087112041636992</v>
      </c>
      <c r="AN83" s="61">
        <f t="shared" si="74"/>
        <v>0.61448459638692998</v>
      </c>
      <c r="AO83" s="69">
        <f t="shared" si="46"/>
        <v>1.7771367359861701E-3</v>
      </c>
      <c r="AP83" s="69">
        <f t="shared" si="47"/>
        <v>1.8081057367328801E-8</v>
      </c>
      <c r="AQ83" s="69">
        <f t="shared" si="48"/>
        <v>3.3765941525589704E-2</v>
      </c>
      <c r="AR83" s="61">
        <f t="shared" si="75"/>
        <v>10</v>
      </c>
      <c r="AS83" s="69">
        <f t="shared" si="49"/>
        <v>0.154143585092054</v>
      </c>
      <c r="AT83" s="70">
        <f t="shared" si="50"/>
        <v>0.154143585092054</v>
      </c>
      <c r="AU83" s="69">
        <f t="shared" si="51"/>
        <v>3.4254130020456498E-2</v>
      </c>
      <c r="AV83" s="69">
        <f t="shared" si="52"/>
        <v>0.15236644835606783</v>
      </c>
      <c r="AW83" s="70">
        <f t="shared" si="52"/>
        <v>0.15414356701099663</v>
      </c>
      <c r="AX83" s="69">
        <f t="shared" si="52"/>
        <v>4.8818849486679389E-4</v>
      </c>
      <c r="AY83" s="69">
        <f t="shared" si="53"/>
        <v>0.14873581606509872</v>
      </c>
      <c r="AZ83" s="61">
        <f t="shared" si="54"/>
        <v>7.3434197565679059E-3</v>
      </c>
      <c r="BA83" s="61">
        <f t="shared" si="55"/>
        <v>4.8478109174057167E-4</v>
      </c>
      <c r="BB83" s="69">
        <f t="shared" si="56"/>
        <v>94.999999998314991</v>
      </c>
      <c r="BC83" s="69">
        <f t="shared" si="57"/>
        <v>0.15656401691340721</v>
      </c>
      <c r="BD83" s="69">
        <f t="shared" si="58"/>
        <v>0.30554222352437621</v>
      </c>
      <c r="BE83" s="69">
        <f t="shared" si="59"/>
        <v>0.31361281491855497</v>
      </c>
      <c r="BF83" s="61">
        <f t="shared" si="60"/>
        <v>3.6306322910543555E-3</v>
      </c>
      <c r="BG83" s="61">
        <f t="shared" si="61"/>
        <v>0.14680014733842936</v>
      </c>
      <c r="BH83" s="61">
        <f t="shared" si="62"/>
        <v>3.4074031263013979E-6</v>
      </c>
      <c r="BI83" s="61">
        <f t="shared" si="63"/>
        <v>0.30087178146834631</v>
      </c>
      <c r="BJ83" s="61">
        <f t="shared" si="64"/>
        <v>1.7029938522714438</v>
      </c>
      <c r="BK83" s="61">
        <f t="shared" si="65"/>
        <v>0.30087178146834631</v>
      </c>
      <c r="BL83" s="61">
        <f t="shared" si="76"/>
        <v>0.78174290188471618</v>
      </c>
      <c r="BM83" s="61">
        <f t="shared" si="77"/>
        <v>0.15406652302522753</v>
      </c>
      <c r="BN83" s="61">
        <f t="shared" si="78"/>
        <v>0.30087178146834631</v>
      </c>
      <c r="BO83" s="69">
        <f t="shared" si="66"/>
        <v>0.78174290188471618</v>
      </c>
      <c r="BP83" s="69">
        <f t="shared" si="67"/>
        <v>0.31361281491855497</v>
      </c>
      <c r="BQ83" s="64">
        <f t="shared" si="79"/>
        <v>2.1907114336065998</v>
      </c>
      <c r="BR83" s="69">
        <f t="shared" si="68"/>
        <v>0.13716977339740197</v>
      </c>
      <c r="BS83" s="61">
        <f t="shared" si="69"/>
        <v>6.2425309559200839</v>
      </c>
      <c r="BT83" s="61">
        <f t="shared" si="70"/>
        <v>5.941659174451738</v>
      </c>
      <c r="BU83" s="61">
        <f t="shared" si="80"/>
        <v>5.4607880540353682</v>
      </c>
      <c r="BV83" s="61">
        <f t="shared" si="81"/>
        <v>1.7029938522714438</v>
      </c>
      <c r="BW83" s="61">
        <f t="shared" si="82"/>
        <v>0.30087178146834631</v>
      </c>
      <c r="BX83" s="64">
        <f t="shared" si="83"/>
        <v>4.0077312674795804</v>
      </c>
      <c r="BY83" s="61">
        <f t="shared" si="84"/>
        <v>0.13993088158671407</v>
      </c>
      <c r="BZ83" s="61">
        <f t="shared" si="85"/>
        <v>24.387546311013125</v>
      </c>
      <c r="CA83" s="61">
        <f t="shared" si="86"/>
        <v>22.684552458741681</v>
      </c>
      <c r="CB83" s="61">
        <f>AE83*O83/0.2</f>
        <v>5.4767785840164995</v>
      </c>
      <c r="CC83" s="61">
        <f>AG83*AC83/0.2</f>
        <v>10.01932816869895</v>
      </c>
      <c r="CD83" s="61">
        <f>CB83*'Oxidant Feed Composition'!$N$22</f>
        <v>0.54767785840164995</v>
      </c>
      <c r="CE83" s="61">
        <f>CC83*'Oxidant Feed Composition'!$N$22</f>
        <v>1.0019328168698951</v>
      </c>
      <c r="CF83" s="61">
        <f>1.2*CB83</f>
        <v>6.5721343008197994</v>
      </c>
      <c r="CG83" s="61">
        <f>CC83*1.2</f>
        <v>12.023193802438739</v>
      </c>
      <c r="CH83" s="61">
        <f>BY83/('TEA Revised EYZ Inc'!CA83*'TEA Revised EYZ Inc'!BZ83)</f>
        <v>1.9999999999999997E-2</v>
      </c>
      <c r="CI83" s="84">
        <f>BR83/('TEA Revised EYZ Inc'!BY83)</f>
        <v>1.1860030160886862E-2</v>
      </c>
    </row>
    <row r="84" spans="1:87">
      <c r="A84" s="61">
        <v>11</v>
      </c>
      <c r="B84" s="61">
        <v>1.54143585092054E-3</v>
      </c>
      <c r="C84" s="61">
        <v>1.54143585092054E-3</v>
      </c>
      <c r="D84" s="61">
        <v>3.4254130020456501E-4</v>
      </c>
      <c r="E84" s="61">
        <v>0</v>
      </c>
      <c r="F84" s="61">
        <v>0</v>
      </c>
      <c r="G84" s="61">
        <v>0</v>
      </c>
      <c r="H84" s="69">
        <v>1.7771367359861701E-5</v>
      </c>
      <c r="I84" s="69">
        <v>1.8081057367328801E-10</v>
      </c>
      <c r="J84" s="61">
        <v>3.3765941525589702E-4</v>
      </c>
      <c r="K84" s="61">
        <v>0.139102253285185</v>
      </c>
      <c r="L84" s="61">
        <v>0.14072466572308701</v>
      </c>
      <c r="M84" s="61">
        <v>4.4568945720355099E-4</v>
      </c>
      <c r="N84" s="61" t="s">
        <v>323</v>
      </c>
      <c r="O84" s="61">
        <v>0.1</v>
      </c>
      <c r="P84" s="61">
        <v>6</v>
      </c>
      <c r="Q84" s="61">
        <v>1.6497569194096201E-3</v>
      </c>
      <c r="R84" s="61">
        <v>1.6689987798565299E-3</v>
      </c>
      <c r="S84" s="61">
        <v>5.28589040482341E-6</v>
      </c>
      <c r="T84" s="61">
        <v>0</v>
      </c>
      <c r="U84" s="61">
        <v>0</v>
      </c>
      <c r="V84" s="61">
        <v>0</v>
      </c>
      <c r="W84" s="61">
        <v>1.61212756517482E-3</v>
      </c>
      <c r="X84" s="61">
        <v>7.9598306534484298E-5</v>
      </c>
      <c r="Y84" s="61">
        <v>5.2505128878875599E-6</v>
      </c>
      <c r="Z84" s="61">
        <v>1.7562199861538999E-3</v>
      </c>
      <c r="AA84" s="61">
        <v>7.4179770926534203E-2</v>
      </c>
      <c r="AB84" s="61">
        <v>1.6511232671055801E-6</v>
      </c>
      <c r="AC84" s="61">
        <v>0.1</v>
      </c>
      <c r="AD84" s="61">
        <v>100</v>
      </c>
      <c r="AE84" s="61">
        <v>10.953557168032999</v>
      </c>
      <c r="AF84" s="61">
        <v>92.356908198738694</v>
      </c>
      <c r="AG84" s="61">
        <v>19.788698694018699</v>
      </c>
      <c r="AH84" s="61">
        <f t="shared" si="44"/>
        <v>1.0953557168032999</v>
      </c>
      <c r="AI84" s="61">
        <f t="shared" si="71"/>
        <v>1.97886986940187</v>
      </c>
      <c r="AJ84" s="61">
        <f t="shared" si="72"/>
        <v>1.0953557168032999</v>
      </c>
      <c r="AK84" s="61">
        <f t="shared" si="72"/>
        <v>1.97886986940187</v>
      </c>
      <c r="AL84" s="61">
        <f t="shared" si="45"/>
        <v>0.61448459638692998</v>
      </c>
      <c r="AM84" s="61">
        <f t="shared" si="73"/>
        <v>0.48087112041636992</v>
      </c>
      <c r="AN84" s="61">
        <f t="shared" si="74"/>
        <v>0.61448459638692998</v>
      </c>
      <c r="AO84" s="69">
        <f t="shared" si="46"/>
        <v>1.7771367359861701E-3</v>
      </c>
      <c r="AP84" s="69">
        <f t="shared" si="47"/>
        <v>1.8081057367328801E-8</v>
      </c>
      <c r="AQ84" s="69">
        <f t="shared" si="48"/>
        <v>3.3765941525589704E-2</v>
      </c>
      <c r="AR84" s="61">
        <f t="shared" si="75"/>
        <v>10</v>
      </c>
      <c r="AS84" s="69">
        <f t="shared" si="49"/>
        <v>0.154143585092054</v>
      </c>
      <c r="AT84" s="70">
        <f t="shared" si="50"/>
        <v>0.154143585092054</v>
      </c>
      <c r="AU84" s="69">
        <f t="shared" si="51"/>
        <v>3.4254130020456498E-2</v>
      </c>
      <c r="AV84" s="69">
        <f t="shared" si="52"/>
        <v>0.15236644835606783</v>
      </c>
      <c r="AW84" s="70">
        <f t="shared" si="52"/>
        <v>0.15414356701099663</v>
      </c>
      <c r="AX84" s="69">
        <f t="shared" si="52"/>
        <v>4.8818849486679389E-4</v>
      </c>
      <c r="AY84" s="69">
        <f t="shared" si="53"/>
        <v>0.148891117541507</v>
      </c>
      <c r="AZ84" s="61">
        <f t="shared" si="54"/>
        <v>7.3514534893804285E-3</v>
      </c>
      <c r="BA84" s="61">
        <f t="shared" si="55"/>
        <v>4.8492113678292578E-4</v>
      </c>
      <c r="BB84" s="69">
        <f t="shared" si="56"/>
        <v>94.999999988655574</v>
      </c>
      <c r="BC84" s="69">
        <f t="shared" si="57"/>
        <v>0.15672749216767035</v>
      </c>
      <c r="BD84" s="69">
        <f t="shared" si="58"/>
        <v>0.30586107027756881</v>
      </c>
      <c r="BE84" s="69">
        <f t="shared" si="59"/>
        <v>0.31393990547212364</v>
      </c>
      <c r="BF84" s="61">
        <f t="shared" si="60"/>
        <v>3.4753308146413218E-3</v>
      </c>
      <c r="BG84" s="61">
        <f t="shared" si="61"/>
        <v>0.14679211360565136</v>
      </c>
      <c r="BH84" s="61">
        <f t="shared" si="62"/>
        <v>3.2673580839436082E-6</v>
      </c>
      <c r="BI84" s="61">
        <f t="shared" si="63"/>
        <v>0.30054469091483721</v>
      </c>
      <c r="BJ84" s="61">
        <f t="shared" si="64"/>
        <v>1.6783251784870328</v>
      </c>
      <c r="BK84" s="61">
        <f t="shared" si="65"/>
        <v>0.30054469091483721</v>
      </c>
      <c r="BL84" s="61">
        <f t="shared" si="76"/>
        <v>0.78141581133120708</v>
      </c>
      <c r="BM84" s="61">
        <f t="shared" si="77"/>
        <v>0.15374767627205993</v>
      </c>
      <c r="BN84" s="61">
        <f t="shared" si="78"/>
        <v>0.30054469091483721</v>
      </c>
      <c r="BO84" s="69">
        <f t="shared" si="66"/>
        <v>0.78141581133120708</v>
      </c>
      <c r="BP84" s="69">
        <f t="shared" si="67"/>
        <v>0.31393990547212364</v>
      </c>
      <c r="BQ84" s="64">
        <f t="shared" si="79"/>
        <v>2.1907114336065998</v>
      </c>
      <c r="BR84" s="69">
        <f t="shared" si="68"/>
        <v>0.13729490601197403</v>
      </c>
      <c r="BS84" s="61">
        <f t="shared" si="69"/>
        <v>6.2342318517445765</v>
      </c>
      <c r="BT84" s="61">
        <f t="shared" si="70"/>
        <v>5.9336871608297397</v>
      </c>
      <c r="BU84" s="61">
        <f t="shared" si="80"/>
        <v>5.4528160404133699</v>
      </c>
      <c r="BV84" s="61">
        <f t="shared" si="81"/>
        <v>1.6783251784870328</v>
      </c>
      <c r="BW84" s="61">
        <f t="shared" si="82"/>
        <v>0.30054469091483721</v>
      </c>
      <c r="BX84" s="64">
        <f t="shared" si="83"/>
        <v>3.9577397388037401</v>
      </c>
      <c r="BY84" s="61">
        <f t="shared" si="84"/>
        <v>0.13966630061378371</v>
      </c>
      <c r="BZ84" s="61">
        <f t="shared" si="85"/>
        <v>23.779445092846796</v>
      </c>
      <c r="CA84" s="61">
        <f t="shared" si="86"/>
        <v>22.101119914359764</v>
      </c>
      <c r="CB84" s="61">
        <f>AE84*O84/0.2</f>
        <v>5.4767785840164995</v>
      </c>
      <c r="CC84" s="61">
        <f>AG84*AC84/0.2</f>
        <v>9.8943493470093493</v>
      </c>
      <c r="CD84" s="61">
        <f>CB84*'Oxidant Feed Composition'!$N$22</f>
        <v>0.54767785840164995</v>
      </c>
      <c r="CE84" s="61">
        <f>CC84*'Oxidant Feed Composition'!$N$22</f>
        <v>0.98943493470093502</v>
      </c>
      <c r="CF84" s="61">
        <f>1.2*CB84</f>
        <v>6.5721343008197994</v>
      </c>
      <c r="CG84" s="61">
        <f>CC84*1.2</f>
        <v>11.873219216411218</v>
      </c>
      <c r="CH84" s="61">
        <f>BY84/('TEA Revised EYZ Inc'!CA84*'TEA Revised EYZ Inc'!BZ84)</f>
        <v>1.9999999999999993E-2</v>
      </c>
      <c r="CI84" s="84">
        <f>BR84/('TEA Revised EYZ Inc'!BY84)</f>
        <v>1.186003016088686E-2</v>
      </c>
    </row>
    <row r="85" spans="1:87">
      <c r="A85" s="61">
        <v>11</v>
      </c>
      <c r="B85" s="61">
        <v>1.54143585092054E-3</v>
      </c>
      <c r="C85" s="61">
        <v>1.54143585092054E-3</v>
      </c>
      <c r="D85" s="61">
        <v>3.4254130020456501E-4</v>
      </c>
      <c r="E85" s="61">
        <v>0</v>
      </c>
      <c r="F85" s="61">
        <v>0</v>
      </c>
      <c r="G85" s="61">
        <v>0</v>
      </c>
      <c r="H85" s="69">
        <v>1.7771367359861701E-5</v>
      </c>
      <c r="I85" s="69">
        <v>1.8081057367328801E-10</v>
      </c>
      <c r="J85" s="61">
        <v>3.3765941525589702E-4</v>
      </c>
      <c r="K85" s="61">
        <v>0.139102253285185</v>
      </c>
      <c r="L85" s="61">
        <v>0.14072466572308701</v>
      </c>
      <c r="M85" s="61">
        <v>4.4568945720355099E-4</v>
      </c>
      <c r="N85" s="61" t="s">
        <v>323</v>
      </c>
      <c r="O85" s="61">
        <v>0.1</v>
      </c>
      <c r="P85" s="61">
        <v>7</v>
      </c>
      <c r="Q85" s="61">
        <v>1.6497569194096201E-3</v>
      </c>
      <c r="R85" s="61">
        <v>1.6689987798565299E-3</v>
      </c>
      <c r="S85" s="61">
        <v>5.28589040482341E-6</v>
      </c>
      <c r="T85" s="61">
        <v>0</v>
      </c>
      <c r="U85" s="61">
        <v>0</v>
      </c>
      <c r="V85" s="61">
        <v>0</v>
      </c>
      <c r="W85" s="61">
        <v>1.6126163799612099E-3</v>
      </c>
      <c r="X85" s="61">
        <v>7.9623592631732702E-5</v>
      </c>
      <c r="Y85" s="61">
        <v>5.2509536820161704E-6</v>
      </c>
      <c r="Z85" s="61">
        <v>1.7397945404161699E-3</v>
      </c>
      <c r="AA85" s="61">
        <v>7.4451968508709498E-2</v>
      </c>
      <c r="AB85" s="61">
        <v>1.63655995585356E-6</v>
      </c>
      <c r="AC85" s="61">
        <v>0.1</v>
      </c>
      <c r="AD85" s="61">
        <v>100</v>
      </c>
      <c r="AE85" s="61">
        <v>10.953557168032999</v>
      </c>
      <c r="AF85" s="61">
        <v>92.356908198738694</v>
      </c>
      <c r="AG85" s="61">
        <v>19.716037225109499</v>
      </c>
      <c r="AH85" s="61">
        <f t="shared" si="44"/>
        <v>1.0953557168032999</v>
      </c>
      <c r="AI85" s="61">
        <f t="shared" si="71"/>
        <v>1.97160372251095</v>
      </c>
      <c r="AJ85" s="61">
        <f t="shared" si="72"/>
        <v>1.0953557168032999</v>
      </c>
      <c r="AK85" s="61">
        <f t="shared" si="72"/>
        <v>1.97160372251095</v>
      </c>
      <c r="AL85" s="61">
        <f t="shared" si="45"/>
        <v>0.61448459638692998</v>
      </c>
      <c r="AM85" s="61">
        <f t="shared" si="73"/>
        <v>0.48087112041636992</v>
      </c>
      <c r="AN85" s="61">
        <f t="shared" si="74"/>
        <v>0.61448459638692998</v>
      </c>
      <c r="AO85" s="69">
        <f t="shared" si="46"/>
        <v>1.7771367359861701E-3</v>
      </c>
      <c r="AP85" s="69">
        <f t="shared" si="47"/>
        <v>1.8081057367328801E-8</v>
      </c>
      <c r="AQ85" s="69">
        <f t="shared" si="48"/>
        <v>3.3765941525589704E-2</v>
      </c>
      <c r="AR85" s="61">
        <f t="shared" si="75"/>
        <v>10</v>
      </c>
      <c r="AS85" s="69">
        <f t="shared" si="49"/>
        <v>0.154143585092054</v>
      </c>
      <c r="AT85" s="70">
        <f t="shared" si="50"/>
        <v>0.154143585092054</v>
      </c>
      <c r="AU85" s="69">
        <f t="shared" si="51"/>
        <v>3.4254130020456498E-2</v>
      </c>
      <c r="AV85" s="69">
        <f t="shared" si="52"/>
        <v>0.15236644835606783</v>
      </c>
      <c r="AW85" s="70">
        <f t="shared" si="52"/>
        <v>0.15414356701099663</v>
      </c>
      <c r="AX85" s="69">
        <f t="shared" si="52"/>
        <v>4.8818849486679389E-4</v>
      </c>
      <c r="AY85" s="69">
        <f t="shared" si="53"/>
        <v>0.14893626296385978</v>
      </c>
      <c r="AZ85" s="61">
        <f t="shared" si="54"/>
        <v>7.3537888351427041E-3</v>
      </c>
      <c r="BA85" s="61">
        <f t="shared" si="55"/>
        <v>4.849618471657964E-4</v>
      </c>
      <c r="BB85" s="69">
        <f t="shared" si="56"/>
        <v>94.999999999999957</v>
      </c>
      <c r="BC85" s="69">
        <f t="shared" si="57"/>
        <v>0.15677501364616828</v>
      </c>
      <c r="BD85" s="69">
        <f t="shared" si="58"/>
        <v>0.30595375753361098</v>
      </c>
      <c r="BE85" s="69">
        <f t="shared" si="59"/>
        <v>0.31403498913950234</v>
      </c>
      <c r="BF85" s="61">
        <f t="shared" si="60"/>
        <v>3.430185392288748E-3</v>
      </c>
      <c r="BG85" s="61">
        <f t="shared" si="61"/>
        <v>0.14678977826003967</v>
      </c>
      <c r="BH85" s="61">
        <f t="shared" si="62"/>
        <v>3.2266477010732348E-6</v>
      </c>
      <c r="BI85" s="61">
        <f t="shared" si="63"/>
        <v>0.3004496072477601</v>
      </c>
      <c r="BJ85" s="61">
        <f t="shared" si="64"/>
        <v>1.6711541152631899</v>
      </c>
      <c r="BK85" s="61">
        <f t="shared" si="65"/>
        <v>0.3004496072477601</v>
      </c>
      <c r="BL85" s="61">
        <f t="shared" si="76"/>
        <v>0.78132072766413008</v>
      </c>
      <c r="BM85" s="61">
        <f t="shared" si="77"/>
        <v>0.15365498901616878</v>
      </c>
      <c r="BN85" s="61">
        <f t="shared" si="78"/>
        <v>0.3004496072477601</v>
      </c>
      <c r="BO85" s="69">
        <f t="shared" si="66"/>
        <v>0.78132072766413008</v>
      </c>
      <c r="BP85" s="69">
        <f t="shared" si="67"/>
        <v>0.31403498913950234</v>
      </c>
      <c r="BQ85" s="64">
        <f t="shared" si="79"/>
        <v>2.1907114336065998</v>
      </c>
      <c r="BR85" s="69">
        <f t="shared" si="68"/>
        <v>0.13733127533648312</v>
      </c>
      <c r="BS85" s="61">
        <f t="shared" si="69"/>
        <v>6.231822457098108</v>
      </c>
      <c r="BT85" s="61">
        <f t="shared" si="70"/>
        <v>5.931372849850348</v>
      </c>
      <c r="BU85" s="61">
        <f t="shared" si="80"/>
        <v>5.4505017294339781</v>
      </c>
      <c r="BV85" s="61">
        <f t="shared" si="81"/>
        <v>1.6711541152631899</v>
      </c>
      <c r="BW85" s="61">
        <f t="shared" si="82"/>
        <v>0.3004496072477601</v>
      </c>
      <c r="BX85" s="64">
        <f t="shared" si="83"/>
        <v>3.9432074450218999</v>
      </c>
      <c r="BY85" s="61">
        <f t="shared" si="84"/>
        <v>0.13958893397378028</v>
      </c>
      <c r="BZ85" s="61">
        <f t="shared" si="85"/>
        <v>23.603974761790845</v>
      </c>
      <c r="CA85" s="61">
        <f t="shared" si="86"/>
        <v>21.932820646527656</v>
      </c>
      <c r="CB85" s="61">
        <f>AE85*O85/0.2</f>
        <v>5.4767785840164995</v>
      </c>
      <c r="CC85" s="61">
        <f>AG85*AC85/0.2</f>
        <v>9.8580186125547495</v>
      </c>
      <c r="CD85" s="61">
        <f>CB85*'Oxidant Feed Composition'!$N$22</f>
        <v>0.54767785840164995</v>
      </c>
      <c r="CE85" s="61">
        <f>CC85*'Oxidant Feed Composition'!$N$22</f>
        <v>0.98580186125547498</v>
      </c>
      <c r="CF85" s="61">
        <f>1.2*CB85</f>
        <v>6.5721343008197994</v>
      </c>
      <c r="CG85" s="61">
        <f>CC85*1.2</f>
        <v>11.829622335065698</v>
      </c>
      <c r="CH85" s="61">
        <f>BY85/('TEA Revised EYZ Inc'!CA85*'TEA Revised EYZ Inc'!BZ85)</f>
        <v>1.9999999999999997E-2</v>
      </c>
      <c r="CI85" s="84">
        <f>BR85/('TEA Revised EYZ Inc'!BY85)</f>
        <v>1.1860030160886858E-2</v>
      </c>
    </row>
    <row r="86" spans="1:87">
      <c r="A86" s="61">
        <v>11</v>
      </c>
      <c r="B86" s="61">
        <v>1.54143585092054E-3</v>
      </c>
      <c r="C86" s="61">
        <v>1.54143585092054E-3</v>
      </c>
      <c r="D86" s="61">
        <v>3.4254130020456501E-4</v>
      </c>
      <c r="E86" s="61">
        <v>0</v>
      </c>
      <c r="F86" s="61">
        <v>0</v>
      </c>
      <c r="G86" s="61">
        <v>0</v>
      </c>
      <c r="H86" s="69">
        <v>1.7771367359861701E-5</v>
      </c>
      <c r="I86" s="69">
        <v>1.8081057367328801E-10</v>
      </c>
      <c r="J86" s="61">
        <v>3.3765941525589702E-4</v>
      </c>
      <c r="K86" s="61">
        <v>0.139102253285185</v>
      </c>
      <c r="L86" s="61">
        <v>0.14072466572308701</v>
      </c>
      <c r="M86" s="61">
        <v>4.4568945720355099E-4</v>
      </c>
      <c r="N86" s="61" t="s">
        <v>323</v>
      </c>
      <c r="O86" s="61">
        <v>0.1</v>
      </c>
      <c r="P86" s="61">
        <v>8</v>
      </c>
      <c r="Q86" s="61">
        <v>1.6497569194096201E-3</v>
      </c>
      <c r="R86" s="61">
        <v>1.6689987798565299E-3</v>
      </c>
      <c r="S86" s="61">
        <v>5.28589040482341E-6</v>
      </c>
      <c r="T86" s="61">
        <v>0</v>
      </c>
      <c r="U86" s="61">
        <v>0</v>
      </c>
      <c r="V86" s="61">
        <v>0</v>
      </c>
      <c r="W86" s="61">
        <v>1.6127556677607399E-3</v>
      </c>
      <c r="X86" s="61">
        <v>7.9630797964244996E-5</v>
      </c>
      <c r="Y86" s="61">
        <v>5.2510792863207299E-6</v>
      </c>
      <c r="Z86" s="61">
        <v>1.7350919198262601E-3</v>
      </c>
      <c r="AA86" s="61">
        <v>7.4529898928506394E-2</v>
      </c>
      <c r="AB86" s="61">
        <v>1.6323904665746701E-6</v>
      </c>
      <c r="AC86" s="61">
        <v>0.1</v>
      </c>
      <c r="AD86" s="61">
        <v>100</v>
      </c>
      <c r="AE86" s="61">
        <v>10.953557168032999</v>
      </c>
      <c r="AF86" s="61">
        <v>92.356908198738694</v>
      </c>
      <c r="AG86" s="61">
        <v>19.695332346498702</v>
      </c>
      <c r="AH86" s="61">
        <f t="shared" si="44"/>
        <v>1.0953557168032999</v>
      </c>
      <c r="AI86" s="61">
        <f t="shared" si="71"/>
        <v>1.9695332346498704</v>
      </c>
      <c r="AJ86" s="61">
        <f t="shared" si="72"/>
        <v>1.0953557168032999</v>
      </c>
      <c r="AK86" s="61">
        <f t="shared" si="72"/>
        <v>1.9695332346498704</v>
      </c>
      <c r="AL86" s="61">
        <f t="shared" si="45"/>
        <v>0.61448459638692998</v>
      </c>
      <c r="AM86" s="61">
        <f t="shared" si="73"/>
        <v>0.48087112041636992</v>
      </c>
      <c r="AN86" s="61">
        <f t="shared" si="74"/>
        <v>0.61448459638692998</v>
      </c>
      <c r="AO86" s="69">
        <f t="shared" si="46"/>
        <v>1.7771367359861701E-3</v>
      </c>
      <c r="AP86" s="69">
        <f t="shared" si="47"/>
        <v>1.8081057367328801E-8</v>
      </c>
      <c r="AQ86" s="69">
        <f t="shared" si="48"/>
        <v>3.3765941525589704E-2</v>
      </c>
      <c r="AR86" s="61">
        <f t="shared" si="75"/>
        <v>10</v>
      </c>
      <c r="AS86" s="69">
        <f t="shared" si="49"/>
        <v>0.154143585092054</v>
      </c>
      <c r="AT86" s="70">
        <f t="shared" si="50"/>
        <v>0.154143585092054</v>
      </c>
      <c r="AU86" s="69">
        <f t="shared" si="51"/>
        <v>3.4254130020456498E-2</v>
      </c>
      <c r="AV86" s="69">
        <f t="shared" si="52"/>
        <v>0.15236644835606783</v>
      </c>
      <c r="AW86" s="70">
        <f t="shared" si="52"/>
        <v>0.15414356701099663</v>
      </c>
      <c r="AX86" s="69">
        <f t="shared" si="52"/>
        <v>4.8818849486679389E-4</v>
      </c>
      <c r="AY86" s="69">
        <f t="shared" si="53"/>
        <v>0.14894912715437417</v>
      </c>
      <c r="AZ86" s="61">
        <f t="shared" si="54"/>
        <v>7.3544542973760828E-3</v>
      </c>
      <c r="BA86" s="61">
        <f t="shared" si="55"/>
        <v>4.8497344759102195E-4</v>
      </c>
      <c r="BB86" s="69">
        <f t="shared" si="56"/>
        <v>94.999999999999972</v>
      </c>
      <c r="BC86" s="69">
        <f t="shared" si="57"/>
        <v>0.15678855489934126</v>
      </c>
      <c r="BD86" s="69">
        <f t="shared" si="58"/>
        <v>0.30598016877751094</v>
      </c>
      <c r="BE86" s="69">
        <f t="shared" si="59"/>
        <v>0.31406208324627355</v>
      </c>
      <c r="BF86" s="61">
        <f t="shared" si="60"/>
        <v>3.4173212012702675E-3</v>
      </c>
      <c r="BG86" s="61">
        <f t="shared" si="61"/>
        <v>0.1467891129147891</v>
      </c>
      <c r="BH86" s="61">
        <f t="shared" si="62"/>
        <v>3.2150472758444213E-6</v>
      </c>
      <c r="BI86" s="61">
        <f t="shared" si="63"/>
        <v>0.30042251337394632</v>
      </c>
      <c r="BJ86" s="61">
        <f t="shared" si="64"/>
        <v>1.6691107212759242</v>
      </c>
      <c r="BK86" s="61">
        <f t="shared" si="65"/>
        <v>0.30042251337394632</v>
      </c>
      <c r="BL86" s="61">
        <f t="shared" si="76"/>
        <v>0.78129363379031624</v>
      </c>
      <c r="BM86" s="61">
        <f t="shared" si="77"/>
        <v>0.15362857788824341</v>
      </c>
      <c r="BN86" s="61">
        <f t="shared" si="78"/>
        <v>0.30042251337394632</v>
      </c>
      <c r="BO86" s="69">
        <f t="shared" si="66"/>
        <v>0.78129363379031624</v>
      </c>
      <c r="BP86" s="69">
        <f t="shared" si="67"/>
        <v>0.31406208324627355</v>
      </c>
      <c r="BQ86" s="64">
        <f t="shared" si="79"/>
        <v>2.1907114336065998</v>
      </c>
      <c r="BR86" s="69">
        <f t="shared" si="68"/>
        <v>0.13734163827601911</v>
      </c>
      <c r="BS86" s="61">
        <f t="shared" si="69"/>
        <v>6.2311361580989297</v>
      </c>
      <c r="BT86" s="61">
        <f t="shared" si="70"/>
        <v>5.9307136447249835</v>
      </c>
      <c r="BU86" s="61">
        <f t="shared" si="80"/>
        <v>5.4498425243086137</v>
      </c>
      <c r="BV86" s="61">
        <f t="shared" si="81"/>
        <v>1.6691107212759242</v>
      </c>
      <c r="BW86" s="61">
        <f t="shared" si="82"/>
        <v>0.30042251337394632</v>
      </c>
      <c r="BX86" s="64">
        <f t="shared" si="83"/>
        <v>3.9390664692997408</v>
      </c>
      <c r="BY86" s="61">
        <f t="shared" si="84"/>
        <v>0.13956685037871577</v>
      </c>
      <c r="BZ86" s="61">
        <f t="shared" si="85"/>
        <v>23.55408199685704</v>
      </c>
      <c r="CA86" s="61">
        <f t="shared" si="86"/>
        <v>21.884971275581115</v>
      </c>
      <c r="CB86" s="61">
        <f>AE86*O86/0.2</f>
        <v>5.4767785840164995</v>
      </c>
      <c r="CC86" s="61">
        <f>AG86*AC86/0.2</f>
        <v>9.8476661732493511</v>
      </c>
      <c r="CD86" s="61">
        <f>CB86*'Oxidant Feed Composition'!$N$22</f>
        <v>0.54767785840164995</v>
      </c>
      <c r="CE86" s="61">
        <f>CC86*'Oxidant Feed Composition'!$N$22</f>
        <v>0.9847666173249352</v>
      </c>
      <c r="CF86" s="61">
        <f>1.2*CB86</f>
        <v>6.5721343008197994</v>
      </c>
      <c r="CG86" s="61">
        <f>CC86*1.2</f>
        <v>11.817199407899221</v>
      </c>
      <c r="CH86" s="61">
        <f>BY86/('TEA Revised EYZ Inc'!CA86*'TEA Revised EYZ Inc'!BZ86)</f>
        <v>0.02</v>
      </c>
      <c r="CI86" s="84">
        <f>BR86/('TEA Revised EYZ Inc'!BY86)</f>
        <v>1.1860030160886858E-2</v>
      </c>
    </row>
    <row r="87" spans="1:87">
      <c r="A87" s="61">
        <v>11</v>
      </c>
      <c r="B87" s="61">
        <v>1.54143585092054E-3</v>
      </c>
      <c r="C87" s="61">
        <v>1.54143585092054E-3</v>
      </c>
      <c r="D87" s="61">
        <v>3.4254130020456501E-4</v>
      </c>
      <c r="E87" s="61">
        <v>0</v>
      </c>
      <c r="F87" s="61">
        <v>0</v>
      </c>
      <c r="G87" s="61">
        <v>0</v>
      </c>
      <c r="H87" s="69">
        <v>1.7771367359861701E-5</v>
      </c>
      <c r="I87" s="69">
        <v>1.8081057367328801E-10</v>
      </c>
      <c r="J87" s="61">
        <v>3.3765941525589702E-4</v>
      </c>
      <c r="K87" s="61">
        <v>0.139102253285185</v>
      </c>
      <c r="L87" s="61">
        <v>0.14072466572308701</v>
      </c>
      <c r="M87" s="61">
        <v>4.4568945720355099E-4</v>
      </c>
      <c r="N87" s="61" t="s">
        <v>323</v>
      </c>
      <c r="O87" s="61">
        <v>0.1</v>
      </c>
      <c r="P87" s="61">
        <v>9</v>
      </c>
      <c r="Q87" s="61">
        <v>1.6497569194096201E-3</v>
      </c>
      <c r="R87" s="61">
        <v>1.6689987798565299E-3</v>
      </c>
      <c r="S87" s="61">
        <v>5.28589040482341E-6</v>
      </c>
      <c r="T87" s="61">
        <v>0</v>
      </c>
      <c r="U87" s="61">
        <v>0</v>
      </c>
      <c r="V87" s="61">
        <v>0</v>
      </c>
      <c r="W87" s="61">
        <v>1.6127950089356499E-3</v>
      </c>
      <c r="X87" s="61">
        <v>7.9632833043740095E-5</v>
      </c>
      <c r="Y87" s="61">
        <v>5.2511147626523301E-6</v>
      </c>
      <c r="Z87" s="61">
        <v>1.7337618973110201E-3</v>
      </c>
      <c r="AA87" s="61">
        <v>7.4551939662868896E-2</v>
      </c>
      <c r="AB87" s="61">
        <v>1.6312112273867399E-6</v>
      </c>
      <c r="AC87" s="61">
        <v>0.1</v>
      </c>
      <c r="AD87" s="61">
        <v>100</v>
      </c>
      <c r="AE87" s="61">
        <v>10.953557168032999</v>
      </c>
      <c r="AF87" s="61">
        <v>92.356908198738694</v>
      </c>
      <c r="AG87" s="61">
        <v>19.6894843391423</v>
      </c>
      <c r="AH87" s="61">
        <f t="shared" si="44"/>
        <v>1.0953557168032999</v>
      </c>
      <c r="AI87" s="61">
        <f t="shared" si="71"/>
        <v>1.96894843391423</v>
      </c>
      <c r="AJ87" s="61">
        <f t="shared" si="72"/>
        <v>1.0953557168032999</v>
      </c>
      <c r="AK87" s="61">
        <f t="shared" si="72"/>
        <v>1.96894843391423</v>
      </c>
      <c r="AL87" s="61">
        <f t="shared" si="45"/>
        <v>0.61448459638692998</v>
      </c>
      <c r="AM87" s="61">
        <f t="shared" si="73"/>
        <v>0.48087112041636992</v>
      </c>
      <c r="AN87" s="61">
        <f t="shared" si="74"/>
        <v>0.61448459638692998</v>
      </c>
      <c r="AO87" s="69">
        <f t="shared" si="46"/>
        <v>1.7771367359861701E-3</v>
      </c>
      <c r="AP87" s="69">
        <f t="shared" si="47"/>
        <v>1.8081057367328801E-8</v>
      </c>
      <c r="AQ87" s="69">
        <f t="shared" si="48"/>
        <v>3.3765941525589704E-2</v>
      </c>
      <c r="AR87" s="61">
        <f t="shared" si="75"/>
        <v>10</v>
      </c>
      <c r="AS87" s="69">
        <f t="shared" si="49"/>
        <v>0.154143585092054</v>
      </c>
      <c r="AT87" s="70">
        <f t="shared" si="50"/>
        <v>0.154143585092054</v>
      </c>
      <c r="AU87" s="69">
        <f t="shared" si="51"/>
        <v>3.4254130020456498E-2</v>
      </c>
      <c r="AV87" s="69">
        <f t="shared" si="52"/>
        <v>0.15236644835606783</v>
      </c>
      <c r="AW87" s="70">
        <f t="shared" si="52"/>
        <v>0.15414356701099663</v>
      </c>
      <c r="AX87" s="69">
        <f t="shared" si="52"/>
        <v>4.8818849486679389E-4</v>
      </c>
      <c r="AY87" s="69">
        <f t="shared" si="53"/>
        <v>0.14895276058365378</v>
      </c>
      <c r="AZ87" s="61">
        <f t="shared" si="54"/>
        <v>7.3546422510261892E-3</v>
      </c>
      <c r="BA87" s="61">
        <f t="shared" si="55"/>
        <v>4.8497672407532278E-4</v>
      </c>
      <c r="BB87" s="69">
        <f t="shared" si="56"/>
        <v>95.000000001808914</v>
      </c>
      <c r="BC87" s="69">
        <f t="shared" si="57"/>
        <v>0.1567923795587553</v>
      </c>
      <c r="BD87" s="69">
        <f t="shared" si="58"/>
        <v>0.30598762850444672</v>
      </c>
      <c r="BE87" s="69">
        <f t="shared" si="59"/>
        <v>0.31406973584158593</v>
      </c>
      <c r="BF87" s="61">
        <f t="shared" si="60"/>
        <v>3.4136877724906972E-3</v>
      </c>
      <c r="BG87" s="61">
        <f t="shared" si="61"/>
        <v>0.14678892484447389</v>
      </c>
      <c r="BH87" s="61">
        <f t="shared" si="62"/>
        <v>3.2117707915464306E-6</v>
      </c>
      <c r="BI87" s="61">
        <f t="shared" si="63"/>
        <v>0.30041486054630384</v>
      </c>
      <c r="BJ87" s="61">
        <f t="shared" si="64"/>
        <v>1.6685335733679261</v>
      </c>
      <c r="BK87" s="61">
        <f t="shared" si="65"/>
        <v>0.30041486054630384</v>
      </c>
      <c r="BL87" s="61">
        <f t="shared" si="76"/>
        <v>0.78128598096267377</v>
      </c>
      <c r="BM87" s="61">
        <f t="shared" si="77"/>
        <v>0.1536211180456426</v>
      </c>
      <c r="BN87" s="61">
        <f t="shared" si="78"/>
        <v>0.30041486054630384</v>
      </c>
      <c r="BO87" s="69">
        <f t="shared" si="66"/>
        <v>0.78128598096267377</v>
      </c>
      <c r="BP87" s="69">
        <f t="shared" si="67"/>
        <v>0.31406973584158593</v>
      </c>
      <c r="BQ87" s="64">
        <f t="shared" si="79"/>
        <v>2.1907114336065998</v>
      </c>
      <c r="BR87" s="69">
        <f t="shared" si="68"/>
        <v>0.13734456519599758</v>
      </c>
      <c r="BS87" s="61">
        <f t="shared" si="69"/>
        <v>6.2309423345910284</v>
      </c>
      <c r="BT87" s="61">
        <f t="shared" si="70"/>
        <v>5.9305274740447249</v>
      </c>
      <c r="BU87" s="61">
        <f t="shared" si="80"/>
        <v>5.4496563536283551</v>
      </c>
      <c r="BV87" s="61">
        <f t="shared" si="81"/>
        <v>1.6685335733679261</v>
      </c>
      <c r="BW87" s="61">
        <f t="shared" si="82"/>
        <v>0.30041486054630384</v>
      </c>
      <c r="BX87" s="64">
        <f t="shared" si="83"/>
        <v>3.93789686782846</v>
      </c>
      <c r="BY87" s="61">
        <f t="shared" si="84"/>
        <v>0.13956060976761275</v>
      </c>
      <c r="BZ87" s="61">
        <f t="shared" si="85"/>
        <v>23.539998654967814</v>
      </c>
      <c r="CA87" s="61">
        <f t="shared" si="86"/>
        <v>21.871465081599887</v>
      </c>
      <c r="CB87" s="61">
        <f>AE87*O87/0.2</f>
        <v>5.4767785840164995</v>
      </c>
      <c r="CC87" s="61">
        <f>AG87*AC87/0.2</f>
        <v>9.8447421695711501</v>
      </c>
      <c r="CD87" s="61">
        <f>CB87*'Oxidant Feed Composition'!$N$22</f>
        <v>0.54767785840164995</v>
      </c>
      <c r="CE87" s="61">
        <f>CC87*'Oxidant Feed Composition'!$N$22</f>
        <v>0.98447421695711501</v>
      </c>
      <c r="CF87" s="61">
        <f>1.2*CB87</f>
        <v>6.5721343008197994</v>
      </c>
      <c r="CG87" s="61">
        <f>CC87*1.2</f>
        <v>11.81369060348538</v>
      </c>
      <c r="CH87" s="61">
        <f>BY87/('TEA Revised EYZ Inc'!CA87*'TEA Revised EYZ Inc'!BZ87)</f>
        <v>2.0000000000000004E-2</v>
      </c>
      <c r="CI87" s="84">
        <f>BR87/('TEA Revised EYZ Inc'!BY87)</f>
        <v>1.1860030160886862E-2</v>
      </c>
    </row>
    <row r="88" spans="1:87">
      <c r="A88" s="61">
        <v>11</v>
      </c>
      <c r="B88" s="61">
        <v>1.54143585092054E-3</v>
      </c>
      <c r="C88" s="61">
        <v>1.54143585092054E-3</v>
      </c>
      <c r="D88" s="61">
        <v>3.4254130020456501E-4</v>
      </c>
      <c r="E88" s="61">
        <v>0</v>
      </c>
      <c r="F88" s="61">
        <v>0</v>
      </c>
      <c r="G88" s="61">
        <v>0</v>
      </c>
      <c r="H88" s="69">
        <v>1.7771367359861701E-5</v>
      </c>
      <c r="I88" s="69">
        <v>1.8081057367328801E-10</v>
      </c>
      <c r="J88" s="61">
        <v>3.3765941525589702E-4</v>
      </c>
      <c r="K88" s="61">
        <v>0.139102253285185</v>
      </c>
      <c r="L88" s="61">
        <v>0.14072466572308701</v>
      </c>
      <c r="M88" s="61">
        <v>4.4568945720355099E-4</v>
      </c>
      <c r="N88" s="61" t="s">
        <v>323</v>
      </c>
      <c r="O88" s="61">
        <v>0.1</v>
      </c>
      <c r="P88" s="61">
        <v>10</v>
      </c>
      <c r="Q88" s="61">
        <v>1.6497569194096201E-3</v>
      </c>
      <c r="R88" s="61">
        <v>1.6689987798565299E-3</v>
      </c>
      <c r="S88" s="61">
        <v>5.28589040482341E-6</v>
      </c>
      <c r="T88" s="61">
        <v>0</v>
      </c>
      <c r="U88" s="61">
        <v>0</v>
      </c>
      <c r="V88" s="61">
        <v>0</v>
      </c>
      <c r="W88" s="61">
        <v>1.61280608328623E-3</v>
      </c>
      <c r="X88" s="61">
        <v>7.9633405949388404E-5</v>
      </c>
      <c r="Y88" s="61">
        <v>5.2511247490748196E-6</v>
      </c>
      <c r="Z88" s="61">
        <v>1.7333873588263201E-3</v>
      </c>
      <c r="AA88" s="61">
        <v>7.4558146402506298E-2</v>
      </c>
      <c r="AB88" s="61">
        <v>1.63087914994542E-6</v>
      </c>
      <c r="AC88" s="61">
        <v>0.1</v>
      </c>
      <c r="AD88" s="61">
        <v>100</v>
      </c>
      <c r="AE88" s="61">
        <v>10.953557168032999</v>
      </c>
      <c r="AF88" s="61">
        <v>92.356908198738694</v>
      </c>
      <c r="AG88" s="61">
        <v>19.687838161047701</v>
      </c>
      <c r="AH88" s="61">
        <f t="shared" si="44"/>
        <v>1.0953557168032999</v>
      </c>
      <c r="AI88" s="61">
        <f t="shared" si="71"/>
        <v>1.9687838161047702</v>
      </c>
      <c r="AJ88" s="61">
        <f t="shared" si="72"/>
        <v>1.0953557168032999</v>
      </c>
      <c r="AK88" s="61">
        <f t="shared" si="72"/>
        <v>1.9687838161047702</v>
      </c>
      <c r="AL88" s="61">
        <f t="shared" si="45"/>
        <v>0.61448459638692998</v>
      </c>
      <c r="AM88" s="61">
        <f t="shared" si="73"/>
        <v>0.48087112041636992</v>
      </c>
      <c r="AN88" s="61">
        <f t="shared" si="74"/>
        <v>0.61448459638692998</v>
      </c>
      <c r="AO88" s="69">
        <f t="shared" si="46"/>
        <v>1.7771367359861701E-3</v>
      </c>
      <c r="AP88" s="69">
        <f t="shared" si="47"/>
        <v>1.8081057367328801E-8</v>
      </c>
      <c r="AQ88" s="69">
        <f t="shared" si="48"/>
        <v>3.3765941525589704E-2</v>
      </c>
      <c r="AR88" s="61">
        <f t="shared" si="75"/>
        <v>10</v>
      </c>
      <c r="AS88" s="69">
        <f t="shared" si="49"/>
        <v>0.154143585092054</v>
      </c>
      <c r="AT88" s="70">
        <f t="shared" si="50"/>
        <v>0.154143585092054</v>
      </c>
      <c r="AU88" s="69">
        <f t="shared" si="51"/>
        <v>3.4254130020456498E-2</v>
      </c>
      <c r="AV88" s="69">
        <f t="shared" si="52"/>
        <v>0.15236644835606783</v>
      </c>
      <c r="AW88" s="70">
        <f t="shared" si="52"/>
        <v>0.15414356701099663</v>
      </c>
      <c r="AX88" s="69">
        <f t="shared" si="52"/>
        <v>4.8818849486679389E-4</v>
      </c>
      <c r="AY88" s="69">
        <f t="shared" si="53"/>
        <v>0.14895378337643364</v>
      </c>
      <c r="AZ88" s="61">
        <f t="shared" si="54"/>
        <v>7.354695162820557E-3</v>
      </c>
      <c r="BA88" s="61">
        <f t="shared" si="55"/>
        <v>4.8497764639042788E-4</v>
      </c>
      <c r="BB88" s="69">
        <f t="shared" si="56"/>
        <v>95.000000000045432</v>
      </c>
      <c r="BC88" s="69">
        <f t="shared" si="57"/>
        <v>0.15679345618564464</v>
      </c>
      <c r="BD88" s="69">
        <f t="shared" si="58"/>
        <v>0.3059897283852735</v>
      </c>
      <c r="BE88" s="69">
        <f t="shared" si="59"/>
        <v>0.31407189001767966</v>
      </c>
      <c r="BF88" s="61">
        <f t="shared" si="60"/>
        <v>3.4126649790978511E-3</v>
      </c>
      <c r="BG88" s="61">
        <f t="shared" si="61"/>
        <v>0.1467888719960245</v>
      </c>
      <c r="BH88" s="61">
        <f t="shared" si="62"/>
        <v>3.2108484764352478E-6</v>
      </c>
      <c r="BI88" s="61">
        <f t="shared" si="63"/>
        <v>0.30041270649567398</v>
      </c>
      <c r="BJ88" s="61">
        <f t="shared" si="64"/>
        <v>1.6683711096090961</v>
      </c>
      <c r="BK88" s="61">
        <f t="shared" si="65"/>
        <v>0.30041270649567398</v>
      </c>
      <c r="BL88" s="61">
        <f t="shared" si="76"/>
        <v>0.7812838269120439</v>
      </c>
      <c r="BM88" s="61">
        <f t="shared" si="77"/>
        <v>0.15361901822693486</v>
      </c>
      <c r="BN88" s="61">
        <f t="shared" si="78"/>
        <v>0.30041270649567398</v>
      </c>
      <c r="BO88" s="69">
        <f t="shared" si="66"/>
        <v>0.7812838269120439</v>
      </c>
      <c r="BP88" s="69">
        <f t="shared" si="67"/>
        <v>0.31407189001767966</v>
      </c>
      <c r="BQ88" s="64">
        <f t="shared" si="79"/>
        <v>2.1907114336065998</v>
      </c>
      <c r="BR88" s="69">
        <f t="shared" si="68"/>
        <v>0.13734538910946781</v>
      </c>
      <c r="BS88" s="61">
        <f t="shared" si="69"/>
        <v>6.2308877771789311</v>
      </c>
      <c r="BT88" s="61">
        <f t="shared" si="70"/>
        <v>5.930475070683257</v>
      </c>
      <c r="BU88" s="61">
        <f t="shared" si="80"/>
        <v>5.4496039502668872</v>
      </c>
      <c r="BV88" s="61">
        <f t="shared" si="81"/>
        <v>1.6683711096090961</v>
      </c>
      <c r="BW88" s="61">
        <f t="shared" si="82"/>
        <v>0.30041270649567398</v>
      </c>
      <c r="BX88" s="64">
        <f t="shared" si="83"/>
        <v>3.9375676322095403</v>
      </c>
      <c r="BY88" s="61">
        <f t="shared" si="84"/>
        <v>0.13955885290435635</v>
      </c>
      <c r="BZ88" s="61">
        <f t="shared" si="85"/>
        <v>23.536034952266473</v>
      </c>
      <c r="CA88" s="61">
        <f t="shared" si="86"/>
        <v>21.867663842657375</v>
      </c>
      <c r="CB88" s="61">
        <f>AE88*O88/0.2</f>
        <v>5.4767785840164995</v>
      </c>
      <c r="CC88" s="61">
        <f>AG88*AC88/0.2</f>
        <v>9.8439190805238503</v>
      </c>
      <c r="CD88" s="61">
        <f>CB88*'Oxidant Feed Composition'!$N$22</f>
        <v>0.54767785840164995</v>
      </c>
      <c r="CE88" s="61">
        <f>CC88*'Oxidant Feed Composition'!$N$22</f>
        <v>0.98439190805238508</v>
      </c>
      <c r="CF88" s="61">
        <f>1.2*CB88</f>
        <v>6.5721343008197994</v>
      </c>
      <c r="CG88" s="61">
        <f>CC88*1.2</f>
        <v>11.81270289662862</v>
      </c>
      <c r="CH88" s="61">
        <f>BY88/('TEA Revised EYZ Inc'!CA88*'TEA Revised EYZ Inc'!BZ88)</f>
        <v>1.9999999999999993E-2</v>
      </c>
      <c r="CI88" s="84">
        <f>BR88/('TEA Revised EYZ Inc'!BY88)</f>
        <v>1.1860030160886862E-2</v>
      </c>
    </row>
    <row r="89" spans="1:87">
      <c r="A89" s="61">
        <v>11</v>
      </c>
      <c r="B89" s="61">
        <v>1.54143585092054E-3</v>
      </c>
      <c r="C89" s="61">
        <v>1.54143585092054E-3</v>
      </c>
      <c r="D89" s="61">
        <v>3.4254130020456501E-4</v>
      </c>
      <c r="E89" s="61">
        <v>0</v>
      </c>
      <c r="F89" s="61">
        <v>0</v>
      </c>
      <c r="G89" s="61">
        <v>0</v>
      </c>
      <c r="H89" s="69">
        <v>1.7771367359861701E-5</v>
      </c>
      <c r="I89" s="69">
        <v>1.8081057367328801E-10</v>
      </c>
      <c r="J89" s="61">
        <v>3.3765941525589702E-4</v>
      </c>
      <c r="K89" s="61">
        <v>0.139102253285185</v>
      </c>
      <c r="L89" s="61">
        <v>0.14072466572308701</v>
      </c>
      <c r="M89" s="61">
        <v>4.4568945720355099E-4</v>
      </c>
      <c r="N89" s="61" t="s">
        <v>323</v>
      </c>
      <c r="O89" s="61">
        <v>0.1</v>
      </c>
      <c r="P89" s="61">
        <v>11</v>
      </c>
      <c r="Q89" s="61">
        <v>1.6497569194096201E-3</v>
      </c>
      <c r="R89" s="61">
        <v>1.6689987798565299E-3</v>
      </c>
      <c r="S89" s="61">
        <v>5.28589040482341E-6</v>
      </c>
      <c r="T89" s="61">
        <v>0</v>
      </c>
      <c r="U89" s="61">
        <v>0</v>
      </c>
      <c r="V89" s="61">
        <v>0</v>
      </c>
      <c r="W89" s="61">
        <v>1.6128091969893901E-3</v>
      </c>
      <c r="X89" s="61">
        <v>7.9633567021484305E-5</v>
      </c>
      <c r="Y89" s="61">
        <v>5.2511275568870697E-6</v>
      </c>
      <c r="Z89" s="61">
        <v>1.7332820417295799E-3</v>
      </c>
      <c r="AA89" s="61">
        <v>7.4559891685805804E-2</v>
      </c>
      <c r="AB89" s="61">
        <v>1.63078577254671E-6</v>
      </c>
      <c r="AC89" s="61">
        <v>0.1</v>
      </c>
      <c r="AD89" s="61">
        <v>100</v>
      </c>
      <c r="AE89" s="61">
        <v>10.953557168032999</v>
      </c>
      <c r="AF89" s="61">
        <v>92.356908198738694</v>
      </c>
      <c r="AG89" s="61">
        <v>19.687375310907502</v>
      </c>
      <c r="AH89" s="61">
        <f t="shared" si="44"/>
        <v>1.0953557168032999</v>
      </c>
      <c r="AI89" s="61">
        <f t="shared" si="71"/>
        <v>1.9687375310907502</v>
      </c>
      <c r="AJ89" s="61">
        <f t="shared" si="72"/>
        <v>1.0953557168032999</v>
      </c>
      <c r="AK89" s="61">
        <f t="shared" si="72"/>
        <v>1.9687375310907502</v>
      </c>
      <c r="AL89" s="61">
        <f t="shared" si="45"/>
        <v>0.61448459638692998</v>
      </c>
      <c r="AM89" s="61">
        <f t="shared" si="73"/>
        <v>0.48087112041636992</v>
      </c>
      <c r="AN89" s="61">
        <f t="shared" si="74"/>
        <v>0.61448459638692998</v>
      </c>
      <c r="AO89" s="69">
        <f t="shared" si="46"/>
        <v>1.7771367359861701E-3</v>
      </c>
      <c r="AP89" s="69">
        <f t="shared" si="47"/>
        <v>1.8081057367328801E-8</v>
      </c>
      <c r="AQ89" s="69">
        <f t="shared" si="48"/>
        <v>3.3765941525589704E-2</v>
      </c>
      <c r="AR89" s="61">
        <f t="shared" si="75"/>
        <v>10</v>
      </c>
      <c r="AS89" s="69">
        <f t="shared" si="49"/>
        <v>0.154143585092054</v>
      </c>
      <c r="AT89" s="70">
        <f t="shared" si="50"/>
        <v>0.154143585092054</v>
      </c>
      <c r="AU89" s="69">
        <f t="shared" si="51"/>
        <v>3.4254130020456498E-2</v>
      </c>
      <c r="AV89" s="69">
        <f t="shared" si="52"/>
        <v>0.15236644835606783</v>
      </c>
      <c r="AW89" s="70">
        <f t="shared" si="52"/>
        <v>0.15414356701099663</v>
      </c>
      <c r="AX89" s="69">
        <f t="shared" si="52"/>
        <v>4.8818849486679389E-4</v>
      </c>
      <c r="AY89" s="69">
        <f t="shared" si="53"/>
        <v>0.14895407094843058</v>
      </c>
      <c r="AZ89" s="61">
        <f t="shared" si="54"/>
        <v>7.3547100389413315E-3</v>
      </c>
      <c r="BA89" s="61">
        <f t="shared" si="55"/>
        <v>4.8497790571128607E-4</v>
      </c>
      <c r="BB89" s="69">
        <f t="shared" si="56"/>
        <v>95.000000000000981</v>
      </c>
      <c r="BC89" s="69">
        <f t="shared" si="57"/>
        <v>0.1567937588930832</v>
      </c>
      <c r="BD89" s="69">
        <f t="shared" si="58"/>
        <v>0.30599031879436944</v>
      </c>
      <c r="BE89" s="69">
        <f t="shared" si="59"/>
        <v>0.31407249569187767</v>
      </c>
      <c r="BF89" s="61">
        <f t="shared" si="60"/>
        <v>3.4123774075186281E-3</v>
      </c>
      <c r="BG89" s="61">
        <f t="shared" si="61"/>
        <v>0.14678885707590708</v>
      </c>
      <c r="BH89" s="61">
        <f t="shared" si="62"/>
        <v>3.2105891555815317E-6</v>
      </c>
      <c r="BI89" s="61">
        <f t="shared" si="63"/>
        <v>0.30041210073431818</v>
      </c>
      <c r="BJ89" s="61">
        <f t="shared" si="64"/>
        <v>1.6683254303564321</v>
      </c>
      <c r="BK89" s="61">
        <f t="shared" si="65"/>
        <v>0.30041210073431818</v>
      </c>
      <c r="BL89" s="61">
        <f t="shared" si="76"/>
        <v>0.78128322115068816</v>
      </c>
      <c r="BM89" s="61">
        <f t="shared" si="77"/>
        <v>0.15361842777467771</v>
      </c>
      <c r="BN89" s="61">
        <f t="shared" si="78"/>
        <v>0.30041210073431818</v>
      </c>
      <c r="BO89" s="69">
        <f t="shared" si="66"/>
        <v>0.78128322115068816</v>
      </c>
      <c r="BP89" s="69">
        <f t="shared" si="67"/>
        <v>0.31407249569187767</v>
      </c>
      <c r="BQ89" s="64">
        <f t="shared" si="79"/>
        <v>2.1907114336065998</v>
      </c>
      <c r="BR89" s="69">
        <f t="shared" si="68"/>
        <v>0.13734562076303686</v>
      </c>
      <c r="BS89" s="61">
        <f t="shared" si="69"/>
        <v>6.230872436816826</v>
      </c>
      <c r="BT89" s="61">
        <f t="shared" si="70"/>
        <v>5.9304603360825077</v>
      </c>
      <c r="BU89" s="61">
        <f t="shared" si="80"/>
        <v>5.4495892156661379</v>
      </c>
      <c r="BV89" s="61">
        <f t="shared" si="81"/>
        <v>1.6683254303564321</v>
      </c>
      <c r="BW89" s="61">
        <f t="shared" si="82"/>
        <v>0.30041210073431818</v>
      </c>
      <c r="BX89" s="64">
        <f t="shared" si="83"/>
        <v>3.9374750621815005</v>
      </c>
      <c r="BY89" s="61">
        <f t="shared" si="84"/>
        <v>0.13955835886450088</v>
      </c>
      <c r="BZ89" s="61">
        <f t="shared" si="85"/>
        <v>23.534920556100811</v>
      </c>
      <c r="CA89" s="61">
        <f t="shared" si="86"/>
        <v>21.866595125744379</v>
      </c>
      <c r="CB89" s="61">
        <f>AE89*O89/0.2</f>
        <v>5.4767785840164995</v>
      </c>
      <c r="CC89" s="61">
        <f>AG89*AC89/0.2</f>
        <v>9.8436876554537509</v>
      </c>
      <c r="CD89" s="61">
        <f>CB89*'Oxidant Feed Composition'!$N$22</f>
        <v>0.54767785840164995</v>
      </c>
      <c r="CE89" s="61">
        <f>CC89*'Oxidant Feed Composition'!$N$22</f>
        <v>0.98436876554537511</v>
      </c>
      <c r="CF89" s="61">
        <f>1.2*CB89</f>
        <v>6.5721343008197994</v>
      </c>
      <c r="CG89" s="61">
        <f>CC89*1.2</f>
        <v>11.8124251865445</v>
      </c>
      <c r="CH89" s="61">
        <f>BY89/('TEA Revised EYZ Inc'!CA89*'TEA Revised EYZ Inc'!BZ89)</f>
        <v>2.0000000000000004E-2</v>
      </c>
      <c r="CI89" s="84">
        <f>BR89/('TEA Revised EYZ Inc'!BY89)</f>
        <v>1.1860030160886862E-2</v>
      </c>
    </row>
    <row r="90" spans="1:87">
      <c r="A90" s="61">
        <v>11</v>
      </c>
      <c r="B90" s="61">
        <v>1.54143585092054E-3</v>
      </c>
      <c r="C90" s="61">
        <v>1.54143585092054E-3</v>
      </c>
      <c r="D90" s="61">
        <v>3.4254130020456501E-4</v>
      </c>
      <c r="E90" s="61">
        <v>0</v>
      </c>
      <c r="F90" s="61">
        <v>0</v>
      </c>
      <c r="G90" s="61">
        <v>0</v>
      </c>
      <c r="H90" s="69">
        <v>1.7771367359861701E-5</v>
      </c>
      <c r="I90" s="69">
        <v>1.8081057367328801E-10</v>
      </c>
      <c r="J90" s="61">
        <v>3.3765941525589702E-4</v>
      </c>
      <c r="K90" s="61">
        <v>0.139102253285185</v>
      </c>
      <c r="L90" s="61">
        <v>0.14072466572308701</v>
      </c>
      <c r="M90" s="61">
        <v>4.4568945720355099E-4</v>
      </c>
      <c r="N90" s="61" t="s">
        <v>323</v>
      </c>
      <c r="O90" s="61">
        <v>0.1</v>
      </c>
      <c r="P90" s="61">
        <v>12</v>
      </c>
      <c r="Q90" s="61">
        <v>1.6497569194096201E-3</v>
      </c>
      <c r="R90" s="61">
        <v>1.6689987798565299E-3</v>
      </c>
      <c r="S90" s="61">
        <v>5.28589040482341E-6</v>
      </c>
      <c r="T90" s="61">
        <v>0</v>
      </c>
      <c r="U90" s="61">
        <v>0</v>
      </c>
      <c r="V90" s="61">
        <v>0</v>
      </c>
      <c r="W90" s="61">
        <v>1.6128100720939401E-3</v>
      </c>
      <c r="X90" s="61">
        <v>7.9633612290502494E-5</v>
      </c>
      <c r="Y90" s="61">
        <v>5.2511283460207698E-6</v>
      </c>
      <c r="Z90" s="61">
        <v>1.73325244157297E-3</v>
      </c>
      <c r="AA90" s="61">
        <v>7.4560382210708806E-2</v>
      </c>
      <c r="AB90" s="61">
        <v>1.63075952813163E-6</v>
      </c>
      <c r="AC90" s="61">
        <v>0.1</v>
      </c>
      <c r="AD90" s="61">
        <v>100</v>
      </c>
      <c r="AE90" s="61">
        <v>10.953557168032999</v>
      </c>
      <c r="AF90" s="61">
        <v>92.356908198738694</v>
      </c>
      <c r="AG90" s="61">
        <v>19.687245226846901</v>
      </c>
      <c r="AH90" s="61">
        <f t="shared" si="44"/>
        <v>1.0953557168032999</v>
      </c>
      <c r="AI90" s="61">
        <f t="shared" si="71"/>
        <v>1.9687245226846901</v>
      </c>
      <c r="AJ90" s="61">
        <f t="shared" si="72"/>
        <v>1.0953557168032999</v>
      </c>
      <c r="AK90" s="61">
        <f t="shared" si="72"/>
        <v>1.9687245226846901</v>
      </c>
      <c r="AL90" s="61">
        <f t="shared" si="45"/>
        <v>0.61448459638692998</v>
      </c>
      <c r="AM90" s="61">
        <f t="shared" si="73"/>
        <v>0.48087112041636992</v>
      </c>
      <c r="AN90" s="61">
        <f t="shared" si="74"/>
        <v>0.61448459638692998</v>
      </c>
      <c r="AO90" s="69">
        <f t="shared" si="46"/>
        <v>1.7771367359861701E-3</v>
      </c>
      <c r="AP90" s="69">
        <f t="shared" si="47"/>
        <v>1.8081057367328801E-8</v>
      </c>
      <c r="AQ90" s="69">
        <f t="shared" si="48"/>
        <v>3.3765941525589704E-2</v>
      </c>
      <c r="AR90" s="61">
        <f t="shared" si="75"/>
        <v>10</v>
      </c>
      <c r="AS90" s="69">
        <f t="shared" si="49"/>
        <v>0.154143585092054</v>
      </c>
      <c r="AT90" s="70">
        <f t="shared" si="50"/>
        <v>0.154143585092054</v>
      </c>
      <c r="AU90" s="69">
        <f t="shared" si="51"/>
        <v>3.4254130020456498E-2</v>
      </c>
      <c r="AV90" s="69">
        <f t="shared" si="52"/>
        <v>0.15236644835606783</v>
      </c>
      <c r="AW90" s="70">
        <f t="shared" si="52"/>
        <v>0.15414356701099663</v>
      </c>
      <c r="AX90" s="69">
        <f t="shared" si="52"/>
        <v>4.8818849486679389E-4</v>
      </c>
      <c r="AY90" s="69">
        <f t="shared" si="53"/>
        <v>0.14895415177038115</v>
      </c>
      <c r="AZ90" s="61">
        <f t="shared" si="54"/>
        <v>7.3547142198478882E-3</v>
      </c>
      <c r="BA90" s="61">
        <f t="shared" si="55"/>
        <v>4.8497797859323481E-4</v>
      </c>
      <c r="BB90" s="69">
        <f t="shared" si="56"/>
        <v>95</v>
      </c>
      <c r="BC90" s="69">
        <f t="shared" si="57"/>
        <v>0.15679384396882226</v>
      </c>
      <c r="BD90" s="69">
        <f t="shared" si="58"/>
        <v>0.30599048472850005</v>
      </c>
      <c r="BE90" s="69">
        <f t="shared" si="59"/>
        <v>0.31407266591623778</v>
      </c>
      <c r="BF90" s="61">
        <f t="shared" si="60"/>
        <v>3.4122965857278191E-3</v>
      </c>
      <c r="BG90" s="61">
        <f t="shared" si="61"/>
        <v>0.14678885287896576</v>
      </c>
      <c r="BH90" s="61">
        <f t="shared" si="62"/>
        <v>3.210516273634454E-6</v>
      </c>
      <c r="BI90" s="61">
        <f t="shared" si="63"/>
        <v>0.30041193047820802</v>
      </c>
      <c r="BJ90" s="61">
        <f t="shared" si="64"/>
        <v>1.6683125922064821</v>
      </c>
      <c r="BK90" s="61">
        <f t="shared" si="65"/>
        <v>0.30041193047820802</v>
      </c>
      <c r="BL90" s="61">
        <f t="shared" si="76"/>
        <v>0.78128305089457795</v>
      </c>
      <c r="BM90" s="61">
        <f t="shared" si="77"/>
        <v>0.15361826182483185</v>
      </c>
      <c r="BN90" s="61">
        <f t="shared" si="78"/>
        <v>0.30041193047820802</v>
      </c>
      <c r="BO90" s="69">
        <f t="shared" si="66"/>
        <v>0.78128305089457795</v>
      </c>
      <c r="BP90" s="69">
        <f t="shared" si="67"/>
        <v>0.31407266591623778</v>
      </c>
      <c r="BQ90" s="64">
        <f t="shared" si="79"/>
        <v>2.1907114336065998</v>
      </c>
      <c r="BR90" s="69">
        <f t="shared" si="68"/>
        <v>0.13734568586910953</v>
      </c>
      <c r="BS90" s="61">
        <f t="shared" si="69"/>
        <v>6.2308681253698843</v>
      </c>
      <c r="BT90" s="61">
        <f t="shared" si="70"/>
        <v>5.9304561948916765</v>
      </c>
      <c r="BU90" s="61">
        <f t="shared" si="80"/>
        <v>5.4495850744753067</v>
      </c>
      <c r="BV90" s="61">
        <f t="shared" si="81"/>
        <v>1.6683125922064821</v>
      </c>
      <c r="BW90" s="61">
        <f t="shared" si="82"/>
        <v>0.30041193047820802</v>
      </c>
      <c r="BX90" s="64">
        <f t="shared" si="83"/>
        <v>3.9374490453693802</v>
      </c>
      <c r="BY90" s="61">
        <f t="shared" si="84"/>
        <v>0.13955822001008622</v>
      </c>
      <c r="BZ90" s="61">
        <f t="shared" si="85"/>
        <v>23.534607359875967</v>
      </c>
      <c r="CA90" s="61">
        <f t="shared" si="86"/>
        <v>21.866294767669483</v>
      </c>
      <c r="CB90" s="61">
        <f>AE90*O90/0.2</f>
        <v>5.4767785840164995</v>
      </c>
      <c r="CC90" s="61">
        <f>AG90*AC90/0.2</f>
        <v>9.8436226134234506</v>
      </c>
      <c r="CD90" s="61">
        <f>CB90*'Oxidant Feed Composition'!$N$22</f>
        <v>0.54767785840164995</v>
      </c>
      <c r="CE90" s="61">
        <f>CC90*'Oxidant Feed Composition'!$N$22</f>
        <v>0.98436226134234506</v>
      </c>
      <c r="CF90" s="61">
        <f>1.2*CB90</f>
        <v>6.5721343008197994</v>
      </c>
      <c r="CG90" s="61">
        <f>CC90*1.2</f>
        <v>11.812347136108141</v>
      </c>
      <c r="CH90" s="61">
        <f>BY90/('TEA Revised EYZ Inc'!CA90*'TEA Revised EYZ Inc'!BZ90)</f>
        <v>2.0000000000000004E-2</v>
      </c>
      <c r="CI90" s="84">
        <f>BR90/('TEA Revised EYZ Inc'!BY90)</f>
        <v>1.1860030160886862E-2</v>
      </c>
    </row>
    <row r="91" spans="1:87">
      <c r="A91" s="61">
        <v>11</v>
      </c>
      <c r="B91" s="61">
        <v>1.54143585092054E-3</v>
      </c>
      <c r="C91" s="61">
        <v>1.54143585092054E-3</v>
      </c>
      <c r="D91" s="61">
        <v>3.4254130020456501E-4</v>
      </c>
      <c r="E91" s="61">
        <v>0</v>
      </c>
      <c r="F91" s="61">
        <v>0</v>
      </c>
      <c r="G91" s="61">
        <v>0</v>
      </c>
      <c r="H91" s="69">
        <v>1.7771367359861701E-5</v>
      </c>
      <c r="I91" s="69">
        <v>1.8081057367328801E-10</v>
      </c>
      <c r="J91" s="61">
        <v>3.3765941525589702E-4</v>
      </c>
      <c r="K91" s="61">
        <v>0.139102253285185</v>
      </c>
      <c r="L91" s="61">
        <v>0.14072466572308701</v>
      </c>
      <c r="M91" s="61">
        <v>4.4568945720355099E-4</v>
      </c>
      <c r="N91" s="61" t="s">
        <v>323</v>
      </c>
      <c r="O91" s="61">
        <v>0.1</v>
      </c>
      <c r="P91" s="61">
        <v>13</v>
      </c>
      <c r="Q91" s="61">
        <v>1.6497569194096201E-3</v>
      </c>
      <c r="R91" s="61">
        <v>1.6689987798565299E-3</v>
      </c>
      <c r="S91" s="61">
        <v>5.28589040482341E-6</v>
      </c>
      <c r="T91" s="61">
        <v>0</v>
      </c>
      <c r="U91" s="61">
        <v>0</v>
      </c>
      <c r="V91" s="61">
        <v>0</v>
      </c>
      <c r="W91" s="61">
        <v>1.6128103180087E-3</v>
      </c>
      <c r="X91" s="61">
        <v>7.9633625011629096E-5</v>
      </c>
      <c r="Y91" s="61">
        <v>5.2511285677767398E-6</v>
      </c>
      <c r="Z91" s="61">
        <v>1.7332441234993001E-3</v>
      </c>
      <c r="AA91" s="61">
        <v>7.4560520055328497E-2</v>
      </c>
      <c r="AB91" s="61">
        <v>1.6307521530699199E-6</v>
      </c>
      <c r="AC91" s="61">
        <v>0.1</v>
      </c>
      <c r="AD91" s="61">
        <v>100</v>
      </c>
      <c r="AE91" s="61">
        <v>10.953557168032999</v>
      </c>
      <c r="AF91" s="61">
        <v>92.356908198738694</v>
      </c>
      <c r="AG91" s="61">
        <v>19.687208671741999</v>
      </c>
      <c r="AH91" s="61">
        <f t="shared" si="44"/>
        <v>1.0953557168032999</v>
      </c>
      <c r="AI91" s="61">
        <f t="shared" si="71"/>
        <v>1.9687208671742</v>
      </c>
      <c r="AJ91" s="61">
        <f t="shared" si="72"/>
        <v>1.0953557168032999</v>
      </c>
      <c r="AK91" s="61">
        <f t="shared" si="72"/>
        <v>1.9687208671742</v>
      </c>
      <c r="AL91" s="61">
        <f t="shared" si="45"/>
        <v>0.61448459638692998</v>
      </c>
      <c r="AM91" s="61">
        <f t="shared" si="73"/>
        <v>0.48087112041636992</v>
      </c>
      <c r="AN91" s="61">
        <f t="shared" si="74"/>
        <v>0.61448459638692998</v>
      </c>
      <c r="AO91" s="69">
        <f t="shared" si="46"/>
        <v>1.7771367359861701E-3</v>
      </c>
      <c r="AP91" s="69">
        <f t="shared" si="47"/>
        <v>1.8081057367328801E-8</v>
      </c>
      <c r="AQ91" s="69">
        <f t="shared" si="48"/>
        <v>3.3765941525589704E-2</v>
      </c>
      <c r="AR91" s="61">
        <f t="shared" si="75"/>
        <v>10</v>
      </c>
      <c r="AS91" s="69">
        <f t="shared" si="49"/>
        <v>0.154143585092054</v>
      </c>
      <c r="AT91" s="70">
        <f t="shared" si="50"/>
        <v>0.154143585092054</v>
      </c>
      <c r="AU91" s="69">
        <f t="shared" si="51"/>
        <v>3.4254130020456498E-2</v>
      </c>
      <c r="AV91" s="69">
        <f t="shared" si="52"/>
        <v>0.15236644835606783</v>
      </c>
      <c r="AW91" s="70">
        <f t="shared" si="52"/>
        <v>0.15414356701099663</v>
      </c>
      <c r="AX91" s="69">
        <f t="shared" si="52"/>
        <v>4.8818849486679389E-4</v>
      </c>
      <c r="AY91" s="69">
        <f t="shared" si="53"/>
        <v>0.14895417448230808</v>
      </c>
      <c r="AZ91" s="61">
        <f t="shared" si="54"/>
        <v>7.3547153947318101E-3</v>
      </c>
      <c r="BA91" s="61">
        <f t="shared" si="55"/>
        <v>4.8497799907393056E-4</v>
      </c>
      <c r="BB91" s="69">
        <f t="shared" si="56"/>
        <v>94.999999999999957</v>
      </c>
      <c r="BC91" s="69">
        <f t="shared" si="57"/>
        <v>0.15679386787611382</v>
      </c>
      <c r="BD91" s="69">
        <f t="shared" si="58"/>
        <v>0.30599053135795884</v>
      </c>
      <c r="BE91" s="69">
        <f t="shared" si="59"/>
        <v>0.31407271375130158</v>
      </c>
      <c r="BF91" s="61">
        <f t="shared" si="60"/>
        <v>3.4122738738401283E-3</v>
      </c>
      <c r="BG91" s="61">
        <f t="shared" si="61"/>
        <v>0.14678885170028566</v>
      </c>
      <c r="BH91" s="61">
        <f t="shared" si="62"/>
        <v>3.2104957929380064E-6</v>
      </c>
      <c r="BI91" s="61">
        <f t="shared" si="63"/>
        <v>0.3004118826356304</v>
      </c>
      <c r="BJ91" s="61">
        <f t="shared" si="64"/>
        <v>1.6683089845385697</v>
      </c>
      <c r="BK91" s="61">
        <f t="shared" si="65"/>
        <v>0.3004118826356304</v>
      </c>
      <c r="BL91" s="61">
        <f t="shared" si="76"/>
        <v>0.78128300305200038</v>
      </c>
      <c r="BM91" s="61">
        <f t="shared" si="77"/>
        <v>0.15361821519165533</v>
      </c>
      <c r="BN91" s="61">
        <f t="shared" si="78"/>
        <v>0.3004118826356304</v>
      </c>
      <c r="BO91" s="69">
        <f t="shared" si="66"/>
        <v>0.78128300305200038</v>
      </c>
      <c r="BP91" s="69">
        <f t="shared" si="67"/>
        <v>0.31407271375130158</v>
      </c>
      <c r="BQ91" s="64">
        <f t="shared" si="79"/>
        <v>2.1907114336065998</v>
      </c>
      <c r="BR91" s="69">
        <f t="shared" si="68"/>
        <v>0.13734570416468639</v>
      </c>
      <c r="BS91" s="61">
        <f t="shared" si="69"/>
        <v>6.2308669138142081</v>
      </c>
      <c r="BT91" s="61">
        <f t="shared" si="70"/>
        <v>5.9304550311785773</v>
      </c>
      <c r="BU91" s="61">
        <f t="shared" si="80"/>
        <v>5.4495839107622075</v>
      </c>
      <c r="BV91" s="61">
        <f t="shared" si="81"/>
        <v>1.6683089845385697</v>
      </c>
      <c r="BW91" s="61">
        <f t="shared" si="82"/>
        <v>0.3004118826356304</v>
      </c>
      <c r="BX91" s="64">
        <f t="shared" si="83"/>
        <v>3.9374417343484001</v>
      </c>
      <c r="BY91" s="61">
        <f t="shared" si="84"/>
        <v>0.13955818099086573</v>
      </c>
      <c r="BZ91" s="61">
        <f t="shared" si="85"/>
        <v>23.534519348387413</v>
      </c>
      <c r="CA91" s="61">
        <f t="shared" si="86"/>
        <v>21.866210363848843</v>
      </c>
      <c r="CB91" s="61">
        <f>AE91*O91/0.2</f>
        <v>5.4767785840164995</v>
      </c>
      <c r="CC91" s="61">
        <f>AG91*AC91/0.2</f>
        <v>9.8436043358709995</v>
      </c>
      <c r="CD91" s="61">
        <f>CB91*'Oxidant Feed Composition'!$N$22</f>
        <v>0.54767785840164995</v>
      </c>
      <c r="CE91" s="61">
        <f>CC91*'Oxidant Feed Composition'!$N$22</f>
        <v>0.98436043358710001</v>
      </c>
      <c r="CF91" s="61">
        <f>1.2*CB91</f>
        <v>6.5721343008197994</v>
      </c>
      <c r="CG91" s="61">
        <f>CC91*1.2</f>
        <v>11.8123252030452</v>
      </c>
      <c r="CH91" s="61">
        <f>BY91/('TEA Revised EYZ Inc'!CA91*'TEA Revised EYZ Inc'!BZ91)</f>
        <v>0.02</v>
      </c>
      <c r="CI91" s="84">
        <f>BR91/('TEA Revised EYZ Inc'!BY91)</f>
        <v>1.1860030160886863E-2</v>
      </c>
    </row>
    <row r="92" spans="1:87">
      <c r="A92" s="61">
        <v>12</v>
      </c>
      <c r="B92" s="61">
        <v>1.54143585092054E-3</v>
      </c>
      <c r="C92" s="61">
        <v>1.54143585092054E-3</v>
      </c>
      <c r="D92" s="61">
        <v>3.4254130020456501E-4</v>
      </c>
      <c r="E92" s="61">
        <v>0</v>
      </c>
      <c r="F92" s="61">
        <v>0</v>
      </c>
      <c r="G92" s="61">
        <v>0</v>
      </c>
      <c r="H92" s="69">
        <v>1.7771599281349402E-5</v>
      </c>
      <c r="I92" s="69">
        <v>6.3113732322488897E-11</v>
      </c>
      <c r="J92" s="61">
        <v>3.37661562480901E-4</v>
      </c>
      <c r="K92" s="61">
        <v>0.13911791568267901</v>
      </c>
      <c r="L92" s="61">
        <v>0.140740543921716</v>
      </c>
      <c r="M92" s="61">
        <v>4.45543656000266E-4</v>
      </c>
      <c r="N92" s="61" t="s">
        <v>323</v>
      </c>
      <c r="O92" s="61">
        <v>0.1</v>
      </c>
      <c r="P92" s="61">
        <v>4</v>
      </c>
      <c r="Q92" s="61">
        <v>1.6497575706444501E-3</v>
      </c>
      <c r="R92" s="61">
        <v>1.66899983148883E-3</v>
      </c>
      <c r="S92" s="61">
        <v>5.28356837386519E-6</v>
      </c>
      <c r="T92" s="61">
        <v>0</v>
      </c>
      <c r="U92" s="61">
        <v>0</v>
      </c>
      <c r="V92" s="61">
        <v>0</v>
      </c>
      <c r="W92" s="61">
        <v>1.6048452348297699E-3</v>
      </c>
      <c r="X92" s="61">
        <v>7.9223897063492306E-5</v>
      </c>
      <c r="Y92" s="61">
        <v>5.2416416138490404E-6</v>
      </c>
      <c r="Z92" s="61">
        <v>1.9874016210830801E-3</v>
      </c>
      <c r="AA92" s="61">
        <v>7.0348673954820695E-2</v>
      </c>
      <c r="AB92" s="61">
        <v>1.85528784684309E-6</v>
      </c>
      <c r="AC92" s="61">
        <v>0.1</v>
      </c>
      <c r="AD92" s="61">
        <v>100</v>
      </c>
      <c r="AE92" s="61">
        <v>10.952322309941399</v>
      </c>
      <c r="AF92" s="61">
        <v>92.356857683566091</v>
      </c>
      <c r="AG92" s="61">
        <v>20.871283207272999</v>
      </c>
      <c r="AH92" s="61">
        <f t="shared" si="44"/>
        <v>1.09523223099414</v>
      </c>
      <c r="AI92" s="61">
        <f t="shared" si="71"/>
        <v>2.0871283207273001</v>
      </c>
      <c r="AJ92" s="61">
        <f t="shared" si="72"/>
        <v>1.09523223099414</v>
      </c>
      <c r="AK92" s="61">
        <f t="shared" si="72"/>
        <v>2.0871283207273001</v>
      </c>
      <c r="AL92" s="61">
        <f t="shared" si="45"/>
        <v>0.6144839314673094</v>
      </c>
      <c r="AM92" s="61">
        <f t="shared" si="73"/>
        <v>0.48074829952683062</v>
      </c>
      <c r="AN92" s="61">
        <f t="shared" si="74"/>
        <v>0.6144839314673094</v>
      </c>
      <c r="AO92" s="69">
        <f t="shared" si="46"/>
        <v>1.7771599281349402E-3</v>
      </c>
      <c r="AP92" s="69">
        <f t="shared" si="47"/>
        <v>6.3113732322488894E-9</v>
      </c>
      <c r="AQ92" s="69">
        <f t="shared" si="48"/>
        <v>3.3766156248090103E-2</v>
      </c>
      <c r="AR92" s="61">
        <f t="shared" si="75"/>
        <v>10</v>
      </c>
      <c r="AS92" s="69">
        <f t="shared" si="49"/>
        <v>0.154143585092054</v>
      </c>
      <c r="AT92" s="70">
        <f t="shared" si="50"/>
        <v>0.154143585092054</v>
      </c>
      <c r="AU92" s="69">
        <f t="shared" si="51"/>
        <v>3.4254130020456498E-2</v>
      </c>
      <c r="AV92" s="69">
        <f t="shared" si="52"/>
        <v>0.15236642516391907</v>
      </c>
      <c r="AW92" s="70">
        <f t="shared" si="52"/>
        <v>0.15414357878068077</v>
      </c>
      <c r="AX92" s="69">
        <f t="shared" si="52"/>
        <v>4.8797377236639572E-4</v>
      </c>
      <c r="AY92" s="69">
        <f t="shared" si="53"/>
        <v>0.14821846295732227</v>
      </c>
      <c r="AZ92" s="61">
        <f t="shared" si="54"/>
        <v>7.3168701862304482E-3</v>
      </c>
      <c r="BA92" s="61">
        <f t="shared" si="55"/>
        <v>4.8410154855851352E-4</v>
      </c>
      <c r="BB92" s="69">
        <f t="shared" si="56"/>
        <v>94.999999999882448</v>
      </c>
      <c r="BC92" s="69">
        <f t="shared" si="57"/>
        <v>0.15601943469211124</v>
      </c>
      <c r="BD92" s="69">
        <f t="shared" si="58"/>
        <v>0.30447994842371279</v>
      </c>
      <c r="BE92" s="69">
        <f t="shared" si="59"/>
        <v>0.31252297093278097</v>
      </c>
      <c r="BF92" s="61">
        <f t="shared" si="60"/>
        <v>4.1479622080218435E-3</v>
      </c>
      <c r="BG92" s="61">
        <f t="shared" si="61"/>
        <v>0.14682670973671727</v>
      </c>
      <c r="BH92" s="61">
        <f t="shared" si="62"/>
        <v>3.8722238082473869E-6</v>
      </c>
      <c r="BI92" s="61">
        <f t="shared" si="63"/>
        <v>0.30196096056090299</v>
      </c>
      <c r="BJ92" s="61">
        <f t="shared" si="64"/>
        <v>1.7851673601663971</v>
      </c>
      <c r="BK92" s="61">
        <f t="shared" si="65"/>
        <v>0.30196096056090299</v>
      </c>
      <c r="BL92" s="61">
        <f t="shared" si="76"/>
        <v>0.78270926008773367</v>
      </c>
      <c r="BM92" s="61">
        <f t="shared" si="77"/>
        <v>0.15512844248847332</v>
      </c>
      <c r="BN92" s="61">
        <f t="shared" si="78"/>
        <v>0.30196096056090299</v>
      </c>
      <c r="BO92" s="69">
        <f t="shared" si="66"/>
        <v>0.78270926008773367</v>
      </c>
      <c r="BP92" s="69">
        <f t="shared" si="67"/>
        <v>0.31252297093278097</v>
      </c>
      <c r="BQ92" s="64">
        <f t="shared" si="79"/>
        <v>2.19046446198828</v>
      </c>
      <c r="BR92" s="69">
        <f t="shared" si="68"/>
        <v>0.13675067888461967</v>
      </c>
      <c r="BS92" s="61">
        <f t="shared" si="69"/>
        <v>6.2686958202887268</v>
      </c>
      <c r="BT92" s="61">
        <f t="shared" si="70"/>
        <v>5.9667348597278238</v>
      </c>
      <c r="BU92" s="61">
        <f t="shared" si="80"/>
        <v>5.4859865602009936</v>
      </c>
      <c r="BV92" s="61">
        <f t="shared" si="81"/>
        <v>1.7851673601663971</v>
      </c>
      <c r="BW92" s="61">
        <f t="shared" si="82"/>
        <v>0.30196096056090299</v>
      </c>
      <c r="BX92" s="64">
        <f t="shared" si="83"/>
        <v>4.1742566414546003</v>
      </c>
      <c r="BY92" s="61">
        <f t="shared" si="84"/>
        <v>0.14079549489660784</v>
      </c>
      <c r="BZ92" s="61">
        <f t="shared" si="85"/>
        <v>26.463015435098605</v>
      </c>
      <c r="CA92" s="61">
        <f t="shared" si="86"/>
        <v>24.677848074932207</v>
      </c>
      <c r="CB92" s="61">
        <f>AE92*O92/0.2</f>
        <v>5.4761611549706997</v>
      </c>
      <c r="CC92" s="61">
        <f>AG92*AC92/0.2</f>
        <v>10.435641603636499</v>
      </c>
      <c r="CD92" s="61">
        <f>CB92*'Oxidant Feed Composition'!$N$22</f>
        <v>0.54761611549707001</v>
      </c>
      <c r="CE92" s="61">
        <f>CC92*'Oxidant Feed Composition'!$N$22</f>
        <v>1.0435641603636501</v>
      </c>
      <c r="CF92" s="61">
        <f>1.2*CB92</f>
        <v>6.5713933859648392</v>
      </c>
      <c r="CG92" s="61">
        <f>CC92*1.2</f>
        <v>12.522769924363798</v>
      </c>
      <c r="CH92" s="61">
        <f>BY92/('TEA Revised EYZ Inc'!CA92*'TEA Revised EYZ Inc'!BZ92)</f>
        <v>2.0000000000000004E-2</v>
      </c>
      <c r="CI92" s="84">
        <f>BR92/('TEA Revised EYZ Inc'!BY92)</f>
        <v>1.1858699597020015E-2</v>
      </c>
    </row>
    <row r="93" spans="1:87">
      <c r="A93" s="61">
        <v>12</v>
      </c>
      <c r="B93" s="61">
        <v>1.54143585092054E-3</v>
      </c>
      <c r="C93" s="61">
        <v>1.54143585092054E-3</v>
      </c>
      <c r="D93" s="61">
        <v>3.4254130020456501E-4</v>
      </c>
      <c r="E93" s="61">
        <v>0</v>
      </c>
      <c r="F93" s="61">
        <v>0</v>
      </c>
      <c r="G93" s="61">
        <v>0</v>
      </c>
      <c r="H93" s="69">
        <v>1.7771599281349402E-5</v>
      </c>
      <c r="I93" s="69">
        <v>6.3113732322488897E-11</v>
      </c>
      <c r="J93" s="61">
        <v>3.37661562480901E-4</v>
      </c>
      <c r="K93" s="61">
        <v>0.13911791568267901</v>
      </c>
      <c r="L93" s="61">
        <v>0.140740543921716</v>
      </c>
      <c r="M93" s="61">
        <v>4.45543656000266E-4</v>
      </c>
      <c r="N93" s="61" t="s">
        <v>323</v>
      </c>
      <c r="O93" s="61">
        <v>0.1</v>
      </c>
      <c r="P93" s="61">
        <v>5</v>
      </c>
      <c r="Q93" s="61">
        <v>1.6497575706444501E-3</v>
      </c>
      <c r="R93" s="61">
        <v>1.66899983148883E-3</v>
      </c>
      <c r="S93" s="61">
        <v>5.28356837386519E-6</v>
      </c>
      <c r="T93" s="61">
        <v>0</v>
      </c>
      <c r="U93" s="61">
        <v>0</v>
      </c>
      <c r="V93" s="61">
        <v>0</v>
      </c>
      <c r="W93" s="61">
        <v>1.61044680899333E-3</v>
      </c>
      <c r="X93" s="61">
        <v>7.9513667548027593E-5</v>
      </c>
      <c r="Y93" s="61">
        <v>5.2466908500710802E-6</v>
      </c>
      <c r="Z93" s="61">
        <v>1.8118119800337601E-3</v>
      </c>
      <c r="AA93" s="61">
        <v>7.3258567195411697E-2</v>
      </c>
      <c r="AB93" s="61">
        <v>1.6996653485653601E-6</v>
      </c>
      <c r="AC93" s="61">
        <v>0.1</v>
      </c>
      <c r="AD93" s="61">
        <v>100</v>
      </c>
      <c r="AE93" s="61">
        <v>10.952322309941399</v>
      </c>
      <c r="AF93" s="61">
        <v>92.356857683566091</v>
      </c>
      <c r="AG93" s="61">
        <v>20.038604773893702</v>
      </c>
      <c r="AH93" s="61">
        <f t="shared" si="44"/>
        <v>1.09523223099414</v>
      </c>
      <c r="AI93" s="61">
        <f t="shared" si="71"/>
        <v>2.0038604773893702</v>
      </c>
      <c r="AJ93" s="61">
        <f t="shared" si="72"/>
        <v>1.09523223099414</v>
      </c>
      <c r="AK93" s="61">
        <f t="shared" si="72"/>
        <v>2.0038604773893702</v>
      </c>
      <c r="AL93" s="61">
        <f t="shared" si="45"/>
        <v>0.6144839314673094</v>
      </c>
      <c r="AM93" s="61">
        <f t="shared" si="73"/>
        <v>0.48074829952683062</v>
      </c>
      <c r="AN93" s="61">
        <f t="shared" si="74"/>
        <v>0.6144839314673094</v>
      </c>
      <c r="AO93" s="69">
        <f t="shared" si="46"/>
        <v>1.7771599281349402E-3</v>
      </c>
      <c r="AP93" s="69">
        <f t="shared" si="47"/>
        <v>6.3113732322488894E-9</v>
      </c>
      <c r="AQ93" s="69">
        <f t="shared" si="48"/>
        <v>3.3766156248090103E-2</v>
      </c>
      <c r="AR93" s="61">
        <f t="shared" si="75"/>
        <v>10</v>
      </c>
      <c r="AS93" s="69">
        <f t="shared" si="49"/>
        <v>0.154143585092054</v>
      </c>
      <c r="AT93" s="70">
        <f t="shared" si="50"/>
        <v>0.154143585092054</v>
      </c>
      <c r="AU93" s="69">
        <f t="shared" si="51"/>
        <v>3.4254130020456498E-2</v>
      </c>
      <c r="AV93" s="69">
        <f t="shared" si="52"/>
        <v>0.15236642516391907</v>
      </c>
      <c r="AW93" s="70">
        <f t="shared" si="52"/>
        <v>0.15414357878068077</v>
      </c>
      <c r="AX93" s="69">
        <f t="shared" si="52"/>
        <v>4.8797377236639572E-4</v>
      </c>
      <c r="AY93" s="69">
        <f t="shared" si="53"/>
        <v>0.14873580674515011</v>
      </c>
      <c r="AZ93" s="61">
        <f t="shared" si="54"/>
        <v>7.3436324776315716E-3</v>
      </c>
      <c r="BA93" s="61">
        <f t="shared" si="55"/>
        <v>4.8456788014968315E-4</v>
      </c>
      <c r="BB93" s="69">
        <f t="shared" si="56"/>
        <v>94.999999998317179</v>
      </c>
      <c r="BC93" s="69">
        <f t="shared" si="57"/>
        <v>0.15656400710293136</v>
      </c>
      <c r="BD93" s="69">
        <f t="shared" si="58"/>
        <v>0.30554209778815633</v>
      </c>
      <c r="BE93" s="69">
        <f t="shared" si="59"/>
        <v>0.31361258208601239</v>
      </c>
      <c r="BF93" s="61">
        <f t="shared" si="60"/>
        <v>3.6306184192502304E-3</v>
      </c>
      <c r="BG93" s="61">
        <f t="shared" si="61"/>
        <v>0.14679994743305894</v>
      </c>
      <c r="BH93" s="61">
        <f t="shared" si="62"/>
        <v>3.405892216778353E-6</v>
      </c>
      <c r="BI93" s="61">
        <f t="shared" si="63"/>
        <v>0.30087134938126864</v>
      </c>
      <c r="BJ93" s="61">
        <f t="shared" si="64"/>
        <v>1.7029891280081015</v>
      </c>
      <c r="BK93" s="61">
        <f t="shared" si="65"/>
        <v>0.30087134938126864</v>
      </c>
      <c r="BL93" s="61">
        <f t="shared" si="76"/>
        <v>0.78161964890809932</v>
      </c>
      <c r="BM93" s="61">
        <f t="shared" si="77"/>
        <v>0.15406629310988457</v>
      </c>
      <c r="BN93" s="61">
        <f t="shared" si="78"/>
        <v>0.30087134938126864</v>
      </c>
      <c r="BO93" s="69">
        <f t="shared" si="66"/>
        <v>0.78161964890809932</v>
      </c>
      <c r="BP93" s="69">
        <f t="shared" si="67"/>
        <v>0.31361258208601239</v>
      </c>
      <c r="BQ93" s="64">
        <f t="shared" si="79"/>
        <v>2.19046446198828</v>
      </c>
      <c r="BR93" s="69">
        <f t="shared" si="68"/>
        <v>0.13716774759734818</v>
      </c>
      <c r="BS93" s="61">
        <f t="shared" si="69"/>
        <v>6.2409352552423476</v>
      </c>
      <c r="BT93" s="61">
        <f t="shared" si="70"/>
        <v>5.9400639058610789</v>
      </c>
      <c r="BU93" s="61">
        <f t="shared" si="80"/>
        <v>5.4593156063342487</v>
      </c>
      <c r="BV93" s="61">
        <f t="shared" si="81"/>
        <v>1.7029891280081015</v>
      </c>
      <c r="BW93" s="61">
        <f t="shared" si="82"/>
        <v>0.30087134938126864</v>
      </c>
      <c r="BX93" s="64">
        <f t="shared" si="83"/>
        <v>4.0077209547787405</v>
      </c>
      <c r="BY93" s="61">
        <f t="shared" si="84"/>
        <v>0.13993066951863145</v>
      </c>
      <c r="BZ93" s="61">
        <f t="shared" si="85"/>
        <v>24.387452863468564</v>
      </c>
      <c r="CA93" s="61">
        <f t="shared" si="86"/>
        <v>22.684463735460461</v>
      </c>
      <c r="CB93" s="61">
        <f>AE93*O93/0.2</f>
        <v>5.4761611549706997</v>
      </c>
      <c r="CC93" s="61">
        <f>AG93*AC93/0.2</f>
        <v>10.019302386946851</v>
      </c>
      <c r="CD93" s="61">
        <f>CB93*'Oxidant Feed Composition'!$N$22</f>
        <v>0.54761611549707001</v>
      </c>
      <c r="CE93" s="61">
        <f>CC93*'Oxidant Feed Composition'!$N$22</f>
        <v>1.0019302386946851</v>
      </c>
      <c r="CF93" s="61">
        <f>1.2*CB93</f>
        <v>6.5713933859648392</v>
      </c>
      <c r="CG93" s="61">
        <f>CC93*1.2</f>
        <v>12.023162864336221</v>
      </c>
      <c r="CH93" s="61">
        <f>BY93/('TEA Revised EYZ Inc'!CA93*'TEA Revised EYZ Inc'!BZ93)</f>
        <v>0.02</v>
      </c>
      <c r="CI93" s="84">
        <f>BR93/('TEA Revised EYZ Inc'!BY93)</f>
        <v>1.1858699597020014E-2</v>
      </c>
    </row>
    <row r="94" spans="1:87">
      <c r="A94" s="61">
        <v>12</v>
      </c>
      <c r="B94" s="61">
        <v>1.54143585092054E-3</v>
      </c>
      <c r="C94" s="61">
        <v>1.54143585092054E-3</v>
      </c>
      <c r="D94" s="61">
        <v>3.4254130020456501E-4</v>
      </c>
      <c r="E94" s="61">
        <v>0</v>
      </c>
      <c r="F94" s="61">
        <v>0</v>
      </c>
      <c r="G94" s="61">
        <v>0</v>
      </c>
      <c r="H94" s="69">
        <v>1.7771599281349402E-5</v>
      </c>
      <c r="I94" s="69">
        <v>6.3113732322488897E-11</v>
      </c>
      <c r="J94" s="61">
        <v>3.37661562480901E-4</v>
      </c>
      <c r="K94" s="61">
        <v>0.13911791568267901</v>
      </c>
      <c r="L94" s="61">
        <v>0.140740543921716</v>
      </c>
      <c r="M94" s="61">
        <v>4.45543656000266E-4</v>
      </c>
      <c r="N94" s="61" t="s">
        <v>323</v>
      </c>
      <c r="O94" s="61">
        <v>0.1</v>
      </c>
      <c r="P94" s="61">
        <v>6</v>
      </c>
      <c r="Q94" s="61">
        <v>1.6497575706444501E-3</v>
      </c>
      <c r="R94" s="61">
        <v>1.66899983148883E-3</v>
      </c>
      <c r="S94" s="61">
        <v>5.28356837386519E-6</v>
      </c>
      <c r="T94" s="61">
        <v>0</v>
      </c>
      <c r="U94" s="61">
        <v>0</v>
      </c>
      <c r="V94" s="61">
        <v>0</v>
      </c>
      <c r="W94" s="61">
        <v>1.6121282837362799E-3</v>
      </c>
      <c r="X94" s="61">
        <v>7.9600650767137996E-5</v>
      </c>
      <c r="Y94" s="61">
        <v>5.2482064740735796E-6</v>
      </c>
      <c r="Z94" s="61">
        <v>1.7562196007610399E-3</v>
      </c>
      <c r="AA94" s="61">
        <v>7.4179827043465804E-2</v>
      </c>
      <c r="AB94" s="61">
        <v>1.6503969816312101E-6</v>
      </c>
      <c r="AC94" s="61">
        <v>0.1</v>
      </c>
      <c r="AD94" s="61">
        <v>100</v>
      </c>
      <c r="AE94" s="61">
        <v>10.952322309941399</v>
      </c>
      <c r="AF94" s="61">
        <v>92.356857683566091</v>
      </c>
      <c r="AG94" s="61">
        <v>19.788656806963402</v>
      </c>
      <c r="AH94" s="61">
        <f t="shared" si="44"/>
        <v>1.09523223099414</v>
      </c>
      <c r="AI94" s="61">
        <f t="shared" si="71"/>
        <v>1.9788656806963403</v>
      </c>
      <c r="AJ94" s="61">
        <f t="shared" si="72"/>
        <v>1.09523223099414</v>
      </c>
      <c r="AK94" s="61">
        <f t="shared" si="72"/>
        <v>1.9788656806963403</v>
      </c>
      <c r="AL94" s="61">
        <f t="shared" si="45"/>
        <v>0.6144839314673094</v>
      </c>
      <c r="AM94" s="61">
        <f t="shared" si="73"/>
        <v>0.48074829952683062</v>
      </c>
      <c r="AN94" s="61">
        <f t="shared" si="74"/>
        <v>0.6144839314673094</v>
      </c>
      <c r="AO94" s="69">
        <f t="shared" si="46"/>
        <v>1.7771599281349402E-3</v>
      </c>
      <c r="AP94" s="69">
        <f t="shared" si="47"/>
        <v>6.3113732322488894E-9</v>
      </c>
      <c r="AQ94" s="69">
        <f t="shared" si="48"/>
        <v>3.3766156248090103E-2</v>
      </c>
      <c r="AR94" s="61">
        <f t="shared" si="75"/>
        <v>10</v>
      </c>
      <c r="AS94" s="69">
        <f t="shared" si="49"/>
        <v>0.154143585092054</v>
      </c>
      <c r="AT94" s="70">
        <f t="shared" si="50"/>
        <v>0.154143585092054</v>
      </c>
      <c r="AU94" s="69">
        <f t="shared" si="51"/>
        <v>3.4254130020456498E-2</v>
      </c>
      <c r="AV94" s="69">
        <f t="shared" si="52"/>
        <v>0.15236642516391907</v>
      </c>
      <c r="AW94" s="70">
        <f t="shared" si="52"/>
        <v>0.15414357878068077</v>
      </c>
      <c r="AX94" s="69">
        <f t="shared" si="52"/>
        <v>4.8797377236639572E-4</v>
      </c>
      <c r="AY94" s="69">
        <f t="shared" si="53"/>
        <v>0.14889110246868326</v>
      </c>
      <c r="AZ94" s="61">
        <f t="shared" si="54"/>
        <v>7.3516659744198099E-3</v>
      </c>
      <c r="BA94" s="61">
        <f t="shared" si="55"/>
        <v>4.8470785841998377E-4</v>
      </c>
      <c r="BB94" s="69">
        <f t="shared" si="56"/>
        <v>94.99999998866592</v>
      </c>
      <c r="BC94" s="69">
        <f t="shared" si="57"/>
        <v>0.15672747630152303</v>
      </c>
      <c r="BD94" s="69">
        <f t="shared" si="58"/>
        <v>0.30586093269941633</v>
      </c>
      <c r="BE94" s="69">
        <f t="shared" si="59"/>
        <v>0.31393966046146604</v>
      </c>
      <c r="BF94" s="61">
        <f t="shared" si="60"/>
        <v>3.4753226957122503E-3</v>
      </c>
      <c r="BG94" s="61">
        <f t="shared" si="61"/>
        <v>0.14679191393630475</v>
      </c>
      <c r="BH94" s="61">
        <f t="shared" si="62"/>
        <v>3.2659139464748301E-6</v>
      </c>
      <c r="BI94" s="61">
        <f t="shared" si="63"/>
        <v>0.30054427100587339</v>
      </c>
      <c r="BJ94" s="61">
        <f t="shared" si="64"/>
        <v>1.6783214096904668</v>
      </c>
      <c r="BK94" s="61">
        <f t="shared" si="65"/>
        <v>0.30054427100587339</v>
      </c>
      <c r="BL94" s="61">
        <f t="shared" si="76"/>
        <v>0.78129257053270407</v>
      </c>
      <c r="BM94" s="61">
        <f t="shared" si="77"/>
        <v>0.15374745819864896</v>
      </c>
      <c r="BN94" s="61">
        <f t="shared" si="78"/>
        <v>0.30054427100587339</v>
      </c>
      <c r="BO94" s="69">
        <f t="shared" si="66"/>
        <v>0.78129257053270407</v>
      </c>
      <c r="BP94" s="69">
        <f t="shared" si="67"/>
        <v>0.31393966046146604</v>
      </c>
      <c r="BQ94" s="64">
        <f t="shared" si="79"/>
        <v>2.19046446198828</v>
      </c>
      <c r="BR94" s="69">
        <f t="shared" si="68"/>
        <v>0.13729287204192173</v>
      </c>
      <c r="BS94" s="61">
        <f t="shared" si="69"/>
        <v>6.2326382452134661</v>
      </c>
      <c r="BT94" s="61">
        <f t="shared" si="70"/>
        <v>5.9320939742075929</v>
      </c>
      <c r="BU94" s="61">
        <f t="shared" si="80"/>
        <v>5.4513456746807627</v>
      </c>
      <c r="BV94" s="61">
        <f t="shared" si="81"/>
        <v>1.6783214096904668</v>
      </c>
      <c r="BW94" s="61">
        <f t="shared" si="82"/>
        <v>0.30054427100587339</v>
      </c>
      <c r="BX94" s="64">
        <f t="shared" si="83"/>
        <v>3.9577313613926806</v>
      </c>
      <c r="BY94" s="61">
        <f t="shared" si="84"/>
        <v>0.1396660983846239</v>
      </c>
      <c r="BZ94" s="61">
        <f t="shared" si="85"/>
        <v>23.779375791455493</v>
      </c>
      <c r="CA94" s="61">
        <f t="shared" si="86"/>
        <v>22.101054381765024</v>
      </c>
      <c r="CB94" s="61">
        <f>AE94*O94/0.2</f>
        <v>5.4761611549706997</v>
      </c>
      <c r="CC94" s="61">
        <f>AG94*AC94/0.2</f>
        <v>9.8943284034817012</v>
      </c>
      <c r="CD94" s="61">
        <f>CB94*'Oxidant Feed Composition'!$N$22</f>
        <v>0.54761611549707001</v>
      </c>
      <c r="CE94" s="61">
        <f>CC94*'Oxidant Feed Composition'!$N$22</f>
        <v>0.98943284034817014</v>
      </c>
      <c r="CF94" s="61">
        <f>1.2*CB94</f>
        <v>6.5713933859648392</v>
      </c>
      <c r="CG94" s="61">
        <f>CC94*1.2</f>
        <v>11.87319408417804</v>
      </c>
      <c r="CH94" s="61">
        <f>BY94/('TEA Revised EYZ Inc'!CA94*'TEA Revised EYZ Inc'!BZ94)</f>
        <v>1.9999999999999997E-2</v>
      </c>
      <c r="CI94" s="84">
        <f>BR94/('TEA Revised EYZ Inc'!BY94)</f>
        <v>1.1858699597020012E-2</v>
      </c>
    </row>
    <row r="95" spans="1:87">
      <c r="A95" s="61">
        <v>12</v>
      </c>
      <c r="B95" s="61">
        <v>1.54143585092054E-3</v>
      </c>
      <c r="C95" s="61">
        <v>1.54143585092054E-3</v>
      </c>
      <c r="D95" s="61">
        <v>3.4254130020456501E-4</v>
      </c>
      <c r="E95" s="61">
        <v>0</v>
      </c>
      <c r="F95" s="61">
        <v>0</v>
      </c>
      <c r="G95" s="61">
        <v>0</v>
      </c>
      <c r="H95" s="69">
        <v>1.7771599281349402E-5</v>
      </c>
      <c r="I95" s="69">
        <v>6.3113732322488897E-11</v>
      </c>
      <c r="J95" s="61">
        <v>3.37661562480901E-4</v>
      </c>
      <c r="K95" s="61">
        <v>0.13911791568267901</v>
      </c>
      <c r="L95" s="61">
        <v>0.140740543921716</v>
      </c>
      <c r="M95" s="61">
        <v>4.45543656000266E-4</v>
      </c>
      <c r="N95" s="61" t="s">
        <v>323</v>
      </c>
      <c r="O95" s="61">
        <v>0.1</v>
      </c>
      <c r="P95" s="61">
        <v>7</v>
      </c>
      <c r="Q95" s="61">
        <v>1.6497575706444501E-3</v>
      </c>
      <c r="R95" s="61">
        <v>1.66899983148883E-3</v>
      </c>
      <c r="S95" s="61">
        <v>5.28356837386519E-6</v>
      </c>
      <c r="T95" s="61">
        <v>0</v>
      </c>
      <c r="U95" s="61">
        <v>0</v>
      </c>
      <c r="V95" s="61">
        <v>0</v>
      </c>
      <c r="W95" s="61">
        <v>1.61261707866804E-3</v>
      </c>
      <c r="X95" s="61">
        <v>7.9625936031329294E-5</v>
      </c>
      <c r="Y95" s="61">
        <v>5.2486470564610397E-6</v>
      </c>
      <c r="Z95" s="61">
        <v>1.7397947866492501E-3</v>
      </c>
      <c r="AA95" s="61">
        <v>7.4452013697398206E-2</v>
      </c>
      <c r="AB95" s="61">
        <v>1.6358406345626599E-6</v>
      </c>
      <c r="AC95" s="61">
        <v>0.1</v>
      </c>
      <c r="AD95" s="61">
        <v>100</v>
      </c>
      <c r="AE95" s="61">
        <v>10.952322309941399</v>
      </c>
      <c r="AF95" s="61">
        <v>92.356857683566091</v>
      </c>
      <c r="AG95" s="61">
        <v>19.7159984504273</v>
      </c>
      <c r="AH95" s="61">
        <f t="shared" si="44"/>
        <v>1.09523223099414</v>
      </c>
      <c r="AI95" s="61">
        <f t="shared" si="71"/>
        <v>1.9715998450427301</v>
      </c>
      <c r="AJ95" s="61">
        <f t="shared" si="72"/>
        <v>1.09523223099414</v>
      </c>
      <c r="AK95" s="61">
        <f t="shared" si="72"/>
        <v>1.9715998450427301</v>
      </c>
      <c r="AL95" s="61">
        <f t="shared" si="45"/>
        <v>0.6144839314673094</v>
      </c>
      <c r="AM95" s="61">
        <f t="shared" si="73"/>
        <v>0.48074829952683062</v>
      </c>
      <c r="AN95" s="61">
        <f t="shared" si="74"/>
        <v>0.6144839314673094</v>
      </c>
      <c r="AO95" s="69">
        <f t="shared" si="46"/>
        <v>1.7771599281349402E-3</v>
      </c>
      <c r="AP95" s="69">
        <f t="shared" si="47"/>
        <v>6.3113732322488894E-9</v>
      </c>
      <c r="AQ95" s="69">
        <f t="shared" si="48"/>
        <v>3.3766156248090103E-2</v>
      </c>
      <c r="AR95" s="61">
        <f t="shared" si="75"/>
        <v>10</v>
      </c>
      <c r="AS95" s="69">
        <f t="shared" si="49"/>
        <v>0.154143585092054</v>
      </c>
      <c r="AT95" s="70">
        <f t="shared" si="50"/>
        <v>0.154143585092054</v>
      </c>
      <c r="AU95" s="69">
        <f t="shared" si="51"/>
        <v>3.4254130020456498E-2</v>
      </c>
      <c r="AV95" s="69">
        <f t="shared" si="52"/>
        <v>0.15236642516391907</v>
      </c>
      <c r="AW95" s="70">
        <f t="shared" si="52"/>
        <v>0.15414357878068077</v>
      </c>
      <c r="AX95" s="69">
        <f t="shared" si="52"/>
        <v>4.8797377236639572E-4</v>
      </c>
      <c r="AY95" s="69">
        <f t="shared" si="53"/>
        <v>0.14893624603263228</v>
      </c>
      <c r="AZ95" s="61">
        <f t="shared" si="54"/>
        <v>7.3540012419662168E-3</v>
      </c>
      <c r="BA95" s="61">
        <f t="shared" si="55"/>
        <v>4.8474854922484032E-4</v>
      </c>
      <c r="BB95" s="69">
        <f t="shared" si="56"/>
        <v>95.000000000000057</v>
      </c>
      <c r="BC95" s="69">
        <f t="shared" si="57"/>
        <v>0.15677499582382334</v>
      </c>
      <c r="BD95" s="69">
        <f t="shared" si="58"/>
        <v>0.30595361613106803</v>
      </c>
      <c r="BE95" s="69">
        <f t="shared" si="59"/>
        <v>0.31403474019687155</v>
      </c>
      <c r="BF95" s="61">
        <f t="shared" si="60"/>
        <v>3.430179131763811E-3</v>
      </c>
      <c r="BG95" s="61">
        <f t="shared" si="61"/>
        <v>0.14678957866890952</v>
      </c>
      <c r="BH95" s="61">
        <f t="shared" si="62"/>
        <v>3.2252231416183417E-6</v>
      </c>
      <c r="BI95" s="61">
        <f t="shared" si="63"/>
        <v>0.30044919127077147</v>
      </c>
      <c r="BJ95" s="61">
        <f t="shared" si="64"/>
        <v>1.6711506537719587</v>
      </c>
      <c r="BK95" s="61">
        <f t="shared" si="65"/>
        <v>0.30044919127077147</v>
      </c>
      <c r="BL95" s="61">
        <f t="shared" si="76"/>
        <v>0.78119749079760203</v>
      </c>
      <c r="BM95" s="61">
        <f t="shared" si="77"/>
        <v>0.15365477476714956</v>
      </c>
      <c r="BN95" s="61">
        <f t="shared" si="78"/>
        <v>0.30044919127077147</v>
      </c>
      <c r="BO95" s="69">
        <f t="shared" si="66"/>
        <v>0.78119749079760203</v>
      </c>
      <c r="BP95" s="69">
        <f t="shared" si="67"/>
        <v>0.31403474019687155</v>
      </c>
      <c r="BQ95" s="64">
        <f t="shared" si="79"/>
        <v>2.19046446198828</v>
      </c>
      <c r="BR95" s="69">
        <f t="shared" si="68"/>
        <v>0.13732923884160136</v>
      </c>
      <c r="BS95" s="61">
        <f t="shared" si="69"/>
        <v>6.2302294683227775</v>
      </c>
      <c r="BT95" s="61">
        <f t="shared" si="70"/>
        <v>5.9297802770520063</v>
      </c>
      <c r="BU95" s="61">
        <f t="shared" si="80"/>
        <v>5.4490319775251752</v>
      </c>
      <c r="BV95" s="61">
        <f t="shared" si="81"/>
        <v>1.6711506537719587</v>
      </c>
      <c r="BW95" s="61">
        <f t="shared" si="82"/>
        <v>0.30044919127077147</v>
      </c>
      <c r="BX95" s="64">
        <f t="shared" si="83"/>
        <v>3.9431996900854602</v>
      </c>
      <c r="BY95" s="61">
        <f t="shared" si="84"/>
        <v>0.13958873495758017</v>
      </c>
      <c r="BZ95" s="61">
        <f t="shared" si="85"/>
        <v>23.603913102451461</v>
      </c>
      <c r="CA95" s="61">
        <f t="shared" si="86"/>
        <v>21.932762448679501</v>
      </c>
      <c r="CB95" s="61">
        <f>AE95*O95/0.2</f>
        <v>5.4761611549706997</v>
      </c>
      <c r="CC95" s="61">
        <f>AG95*AC95/0.2</f>
        <v>9.8579992252136499</v>
      </c>
      <c r="CD95" s="61">
        <f>CB95*'Oxidant Feed Composition'!$N$22</f>
        <v>0.54761611549707001</v>
      </c>
      <c r="CE95" s="61">
        <f>CC95*'Oxidant Feed Composition'!$N$22</f>
        <v>0.98579992252136506</v>
      </c>
      <c r="CF95" s="61">
        <f>1.2*CB95</f>
        <v>6.5713933859648392</v>
      </c>
      <c r="CG95" s="61">
        <f>CC95*1.2</f>
        <v>11.82959907025638</v>
      </c>
      <c r="CH95" s="61">
        <f>BY95/('TEA Revised EYZ Inc'!CA95*'TEA Revised EYZ Inc'!BZ95)</f>
        <v>1.9999999999999997E-2</v>
      </c>
      <c r="CI95" s="84">
        <f>BR95/('TEA Revised EYZ Inc'!BY95)</f>
        <v>1.1858699597020014E-2</v>
      </c>
    </row>
    <row r="96" spans="1:87">
      <c r="A96" s="61">
        <v>12</v>
      </c>
      <c r="B96" s="61">
        <v>1.54143585092054E-3</v>
      </c>
      <c r="C96" s="61">
        <v>1.54143585092054E-3</v>
      </c>
      <c r="D96" s="61">
        <v>3.4254130020456501E-4</v>
      </c>
      <c r="E96" s="61">
        <v>0</v>
      </c>
      <c r="F96" s="61">
        <v>0</v>
      </c>
      <c r="G96" s="61">
        <v>0</v>
      </c>
      <c r="H96" s="69">
        <v>1.7771599281349402E-5</v>
      </c>
      <c r="I96" s="69">
        <v>6.3113732322488897E-11</v>
      </c>
      <c r="J96" s="61">
        <v>3.37661562480901E-4</v>
      </c>
      <c r="K96" s="61">
        <v>0.13911791568267901</v>
      </c>
      <c r="L96" s="61">
        <v>0.140740543921716</v>
      </c>
      <c r="M96" s="61">
        <v>4.45543656000266E-4</v>
      </c>
      <c r="N96" s="61" t="s">
        <v>323</v>
      </c>
      <c r="O96" s="61">
        <v>0.1</v>
      </c>
      <c r="P96" s="61">
        <v>8</v>
      </c>
      <c r="Q96" s="61">
        <v>1.6497575706444501E-3</v>
      </c>
      <c r="R96" s="61">
        <v>1.66899983148883E-3</v>
      </c>
      <c r="S96" s="61">
        <v>5.28356837386519E-6</v>
      </c>
      <c r="T96" s="61">
        <v>0</v>
      </c>
      <c r="U96" s="61">
        <v>0</v>
      </c>
      <c r="V96" s="61">
        <v>0</v>
      </c>
      <c r="W96" s="61">
        <v>1.6127563603415801E-3</v>
      </c>
      <c r="X96" s="61">
        <v>7.96331411021806E-5</v>
      </c>
      <c r="Y96" s="61">
        <v>5.2487726000077404E-6</v>
      </c>
      <c r="Z96" s="61">
        <v>1.73509236363433E-3</v>
      </c>
      <c r="AA96" s="61">
        <v>7.4529940711020898E-2</v>
      </c>
      <c r="AB96" s="61">
        <v>1.63167315397143E-6</v>
      </c>
      <c r="AC96" s="61">
        <v>0.1</v>
      </c>
      <c r="AD96" s="61">
        <v>100</v>
      </c>
      <c r="AE96" s="61">
        <v>10.952322309941399</v>
      </c>
      <c r="AF96" s="61">
        <v>92.356857683566091</v>
      </c>
      <c r="AG96" s="61">
        <v>19.695294528304</v>
      </c>
      <c r="AH96" s="61">
        <f t="shared" si="44"/>
        <v>1.09523223099414</v>
      </c>
      <c r="AI96" s="61">
        <f t="shared" si="71"/>
        <v>1.9695294528304002</v>
      </c>
      <c r="AJ96" s="61">
        <f t="shared" si="72"/>
        <v>1.09523223099414</v>
      </c>
      <c r="AK96" s="61">
        <f t="shared" si="72"/>
        <v>1.9695294528304002</v>
      </c>
      <c r="AL96" s="61">
        <f t="shared" si="45"/>
        <v>0.6144839314673094</v>
      </c>
      <c r="AM96" s="61">
        <f t="shared" si="73"/>
        <v>0.48074829952683062</v>
      </c>
      <c r="AN96" s="61">
        <f t="shared" si="74"/>
        <v>0.6144839314673094</v>
      </c>
      <c r="AO96" s="69">
        <f t="shared" si="46"/>
        <v>1.7771599281349402E-3</v>
      </c>
      <c r="AP96" s="69">
        <f t="shared" si="47"/>
        <v>6.3113732322488894E-9</v>
      </c>
      <c r="AQ96" s="69">
        <f t="shared" si="48"/>
        <v>3.3766156248090103E-2</v>
      </c>
      <c r="AR96" s="61">
        <f t="shared" si="75"/>
        <v>10</v>
      </c>
      <c r="AS96" s="69">
        <f t="shared" si="49"/>
        <v>0.154143585092054</v>
      </c>
      <c r="AT96" s="70">
        <f t="shared" si="50"/>
        <v>0.154143585092054</v>
      </c>
      <c r="AU96" s="69">
        <f t="shared" si="51"/>
        <v>3.4254130020456498E-2</v>
      </c>
      <c r="AV96" s="69">
        <f t="shared" si="52"/>
        <v>0.15236642516391907</v>
      </c>
      <c r="AW96" s="70">
        <f t="shared" si="52"/>
        <v>0.15414357878068077</v>
      </c>
      <c r="AX96" s="69">
        <f t="shared" si="52"/>
        <v>4.8797377236639572E-4</v>
      </c>
      <c r="AY96" s="69">
        <f t="shared" si="53"/>
        <v>0.14894910965033334</v>
      </c>
      <c r="AZ96" s="61">
        <f t="shared" si="54"/>
        <v>7.3546666796694311E-3</v>
      </c>
      <c r="BA96" s="61">
        <f t="shared" si="55"/>
        <v>4.8476014403231606E-4</v>
      </c>
      <c r="BB96" s="69">
        <f t="shared" si="56"/>
        <v>95</v>
      </c>
      <c r="BC96" s="69">
        <f t="shared" si="57"/>
        <v>0.1567885364740351</v>
      </c>
      <c r="BD96" s="69">
        <f t="shared" si="58"/>
        <v>0.30598002619638459</v>
      </c>
      <c r="BE96" s="69">
        <f t="shared" si="59"/>
        <v>0.3140618330921025</v>
      </c>
      <c r="BF96" s="61">
        <f t="shared" si="60"/>
        <v>3.4173155135589278E-3</v>
      </c>
      <c r="BG96" s="61">
        <f t="shared" si="61"/>
        <v>0.14678891334805916</v>
      </c>
      <c r="BH96" s="61">
        <f t="shared" si="62"/>
        <v>3.2136283341394039E-6</v>
      </c>
      <c r="BI96" s="61">
        <f t="shared" si="63"/>
        <v>0.3004220986082386</v>
      </c>
      <c r="BJ96" s="61">
        <f t="shared" si="64"/>
        <v>1.6691073542221615</v>
      </c>
      <c r="BK96" s="61">
        <f t="shared" si="65"/>
        <v>0.3004220986082386</v>
      </c>
      <c r="BL96" s="61">
        <f t="shared" si="76"/>
        <v>0.78117039813506928</v>
      </c>
      <c r="BM96" s="61">
        <f t="shared" si="77"/>
        <v>0.15362836481767822</v>
      </c>
      <c r="BN96" s="61">
        <f t="shared" si="78"/>
        <v>0.3004220986082386</v>
      </c>
      <c r="BO96" s="69">
        <f t="shared" si="66"/>
        <v>0.78117039813506928</v>
      </c>
      <c r="BP96" s="69">
        <f t="shared" si="67"/>
        <v>0.3140618330921025</v>
      </c>
      <c r="BQ96" s="64">
        <f t="shared" si="79"/>
        <v>2.19046446198828</v>
      </c>
      <c r="BR96" s="69">
        <f t="shared" si="68"/>
        <v>0.13733960102684126</v>
      </c>
      <c r="BS96" s="61">
        <f t="shared" si="69"/>
        <v>6.2295433475800168</v>
      </c>
      <c r="BT96" s="61">
        <f t="shared" si="70"/>
        <v>5.9291212489717786</v>
      </c>
      <c r="BU96" s="61">
        <f t="shared" si="80"/>
        <v>5.4483729494449484</v>
      </c>
      <c r="BV96" s="61">
        <f t="shared" si="81"/>
        <v>1.6691073542221615</v>
      </c>
      <c r="BW96" s="61">
        <f t="shared" si="82"/>
        <v>0.3004220986082386</v>
      </c>
      <c r="BX96" s="64">
        <f t="shared" si="83"/>
        <v>3.9390589056608003</v>
      </c>
      <c r="BY96" s="61">
        <f t="shared" si="84"/>
        <v>0.13956665235537774</v>
      </c>
      <c r="BZ96" s="61">
        <f t="shared" si="85"/>
        <v>23.554022673738675</v>
      </c>
      <c r="CA96" s="61">
        <f t="shared" si="86"/>
        <v>21.884915319516512</v>
      </c>
      <c r="CB96" s="61">
        <f>AE96*O96/0.2</f>
        <v>5.4761611549706997</v>
      </c>
      <c r="CC96" s="61">
        <f>AG96*AC96/0.2</f>
        <v>9.8476472641520001</v>
      </c>
      <c r="CD96" s="61">
        <f>CB96*'Oxidant Feed Composition'!$N$22</f>
        <v>0.54761611549707001</v>
      </c>
      <c r="CE96" s="61">
        <f>CC96*'Oxidant Feed Composition'!$N$22</f>
        <v>0.98476472641520008</v>
      </c>
      <c r="CF96" s="61">
        <f>1.2*CB96</f>
        <v>6.5713933859648392</v>
      </c>
      <c r="CG96" s="61">
        <f>CC96*1.2</f>
        <v>11.8171767169824</v>
      </c>
      <c r="CH96" s="61">
        <f>BY96/('TEA Revised EYZ Inc'!CA96*'TEA Revised EYZ Inc'!BZ96)</f>
        <v>2.0000000000000007E-2</v>
      </c>
      <c r="CI96" s="84">
        <f>BR96/('TEA Revised EYZ Inc'!BY96)</f>
        <v>1.1858699597020015E-2</v>
      </c>
    </row>
    <row r="97" spans="1:87">
      <c r="A97" s="61">
        <v>12</v>
      </c>
      <c r="B97" s="61">
        <v>1.54143585092054E-3</v>
      </c>
      <c r="C97" s="61">
        <v>1.54143585092054E-3</v>
      </c>
      <c r="D97" s="61">
        <v>3.4254130020456501E-4</v>
      </c>
      <c r="E97" s="61">
        <v>0</v>
      </c>
      <c r="F97" s="61">
        <v>0</v>
      </c>
      <c r="G97" s="61">
        <v>0</v>
      </c>
      <c r="H97" s="69">
        <v>1.7771599281349402E-5</v>
      </c>
      <c r="I97" s="69">
        <v>6.3113732322488897E-11</v>
      </c>
      <c r="J97" s="61">
        <v>3.37661562480901E-4</v>
      </c>
      <c r="K97" s="61">
        <v>0.13911791568267901</v>
      </c>
      <c r="L97" s="61">
        <v>0.140740543921716</v>
      </c>
      <c r="M97" s="61">
        <v>4.45543656000266E-4</v>
      </c>
      <c r="N97" s="61" t="s">
        <v>323</v>
      </c>
      <c r="O97" s="61">
        <v>0.1</v>
      </c>
      <c r="P97" s="61">
        <v>9</v>
      </c>
      <c r="Q97" s="61">
        <v>1.6497575706444501E-3</v>
      </c>
      <c r="R97" s="61">
        <v>1.66899983148883E-3</v>
      </c>
      <c r="S97" s="61">
        <v>5.28356837386519E-6</v>
      </c>
      <c r="T97" s="61">
        <v>0</v>
      </c>
      <c r="U97" s="61">
        <v>0</v>
      </c>
      <c r="V97" s="61">
        <v>0</v>
      </c>
      <c r="W97" s="61">
        <v>1.6127956996690499E-3</v>
      </c>
      <c r="X97" s="61">
        <v>7.9635176101710897E-5</v>
      </c>
      <c r="Y97" s="61">
        <v>5.24880805907295E-6</v>
      </c>
      <c r="Z97" s="61">
        <v>1.7337624010389399E-3</v>
      </c>
      <c r="AA97" s="61">
        <v>7.4551980415071106E-2</v>
      </c>
      <c r="AB97" s="61">
        <v>1.6304944864730899E-6</v>
      </c>
      <c r="AC97" s="61">
        <v>0.1</v>
      </c>
      <c r="AD97" s="61">
        <v>100</v>
      </c>
      <c r="AE97" s="61">
        <v>10.952322309941399</v>
      </c>
      <c r="AF97" s="61">
        <v>92.356857683566091</v>
      </c>
      <c r="AG97" s="61">
        <v>19.689446808536701</v>
      </c>
      <c r="AH97" s="61">
        <f t="shared" si="44"/>
        <v>1.09523223099414</v>
      </c>
      <c r="AI97" s="61">
        <f t="shared" si="71"/>
        <v>1.9689446808536701</v>
      </c>
      <c r="AJ97" s="61">
        <f t="shared" si="72"/>
        <v>1.09523223099414</v>
      </c>
      <c r="AK97" s="61">
        <f t="shared" si="72"/>
        <v>1.9689446808536701</v>
      </c>
      <c r="AL97" s="61">
        <f t="shared" si="45"/>
        <v>0.6144839314673094</v>
      </c>
      <c r="AM97" s="61">
        <f t="shared" si="73"/>
        <v>0.48074829952683062</v>
      </c>
      <c r="AN97" s="61">
        <f t="shared" si="74"/>
        <v>0.6144839314673094</v>
      </c>
      <c r="AO97" s="69">
        <f t="shared" si="46"/>
        <v>1.7771599281349402E-3</v>
      </c>
      <c r="AP97" s="69">
        <f t="shared" si="47"/>
        <v>6.3113732322488894E-9</v>
      </c>
      <c r="AQ97" s="69">
        <f t="shared" si="48"/>
        <v>3.3766156248090103E-2</v>
      </c>
      <c r="AR97" s="61">
        <f t="shared" si="75"/>
        <v>10</v>
      </c>
      <c r="AS97" s="69">
        <f t="shared" si="49"/>
        <v>0.154143585092054</v>
      </c>
      <c r="AT97" s="70">
        <f t="shared" si="50"/>
        <v>0.154143585092054</v>
      </c>
      <c r="AU97" s="69">
        <f t="shared" si="51"/>
        <v>3.4254130020456498E-2</v>
      </c>
      <c r="AV97" s="69">
        <f t="shared" si="52"/>
        <v>0.15236642516391907</v>
      </c>
      <c r="AW97" s="70">
        <f t="shared" si="52"/>
        <v>0.15414357878068077</v>
      </c>
      <c r="AX97" s="69">
        <f t="shared" si="52"/>
        <v>4.8797377236639572E-4</v>
      </c>
      <c r="AY97" s="69">
        <f t="shared" si="53"/>
        <v>0.14895274290700183</v>
      </c>
      <c r="AZ97" s="61">
        <f t="shared" si="54"/>
        <v>7.3548546258314371E-3</v>
      </c>
      <c r="BA97" s="61">
        <f t="shared" si="55"/>
        <v>4.8476341892015522E-4</v>
      </c>
      <c r="BB97" s="69">
        <f t="shared" si="56"/>
        <v>95.000000001808814</v>
      </c>
      <c r="BC97" s="69">
        <f t="shared" si="57"/>
        <v>0.15679236095175342</v>
      </c>
      <c r="BD97" s="69">
        <f t="shared" si="58"/>
        <v>0.30598748556821537</v>
      </c>
      <c r="BE97" s="69">
        <f t="shared" si="59"/>
        <v>0.31406948532242701</v>
      </c>
      <c r="BF97" s="61">
        <f t="shared" si="60"/>
        <v>3.4136822573897084E-3</v>
      </c>
      <c r="BG97" s="61">
        <f t="shared" si="61"/>
        <v>0.14678872528536124</v>
      </c>
      <c r="BH97" s="61">
        <f t="shared" si="62"/>
        <v>3.2103534463024269E-6</v>
      </c>
      <c r="BI97" s="61">
        <f t="shared" si="63"/>
        <v>0.30041444614584084</v>
      </c>
      <c r="BJ97" s="61">
        <f t="shared" si="64"/>
        <v>1.6685302347078292</v>
      </c>
      <c r="BK97" s="61">
        <f t="shared" si="65"/>
        <v>0.30041444614584084</v>
      </c>
      <c r="BL97" s="61">
        <f t="shared" si="76"/>
        <v>0.78116274567267152</v>
      </c>
      <c r="BM97" s="61">
        <f t="shared" si="77"/>
        <v>0.15362090533031011</v>
      </c>
      <c r="BN97" s="61">
        <f t="shared" si="78"/>
        <v>0.30041444614584084</v>
      </c>
      <c r="BO97" s="69">
        <f t="shared" si="66"/>
        <v>0.78116274567267152</v>
      </c>
      <c r="BP97" s="69">
        <f t="shared" si="67"/>
        <v>0.31406948532242701</v>
      </c>
      <c r="BQ97" s="64">
        <f t="shared" si="79"/>
        <v>2.19046446198828</v>
      </c>
      <c r="BR97" s="69">
        <f t="shared" si="68"/>
        <v>0.13734252772505531</v>
      </c>
      <c r="BS97" s="61">
        <f t="shared" si="69"/>
        <v>6.2293495749933667</v>
      </c>
      <c r="BT97" s="61">
        <f t="shared" si="70"/>
        <v>5.9289351288475256</v>
      </c>
      <c r="BU97" s="61">
        <f t="shared" si="80"/>
        <v>5.4481868293206954</v>
      </c>
      <c r="BV97" s="61">
        <f t="shared" si="81"/>
        <v>1.6685302347078292</v>
      </c>
      <c r="BW97" s="61">
        <f t="shared" si="82"/>
        <v>0.30041444614584084</v>
      </c>
      <c r="BX97" s="64">
        <f t="shared" si="83"/>
        <v>3.9378893617073403</v>
      </c>
      <c r="BY97" s="61">
        <f t="shared" si="84"/>
        <v>0.13956041204371936</v>
      </c>
      <c r="BZ97" s="61">
        <f t="shared" si="85"/>
        <v>23.539940032868024</v>
      </c>
      <c r="CA97" s="61">
        <f>BZ97-BJ97</f>
        <v>21.871409798160194</v>
      </c>
      <c r="CB97" s="61">
        <f>AE97*O97/0.2</f>
        <v>5.4761611549706997</v>
      </c>
      <c r="CC97" s="61">
        <f>AG97*AC97/0.2</f>
        <v>9.8447234042683505</v>
      </c>
      <c r="CD97" s="61">
        <f>CB97*'Oxidant Feed Composition'!$N$22</f>
        <v>0.54761611549707001</v>
      </c>
      <c r="CE97" s="61">
        <f>CC97*'Oxidant Feed Composition'!$N$22</f>
        <v>0.98447234042683507</v>
      </c>
      <c r="CF97" s="61">
        <f>1.2*CB97</f>
        <v>6.5713933859648392</v>
      </c>
      <c r="CG97" s="61">
        <f>CC97*1.2</f>
        <v>11.813668085122019</v>
      </c>
      <c r="CH97" s="61">
        <f>BY97/('TEA Revised EYZ Inc'!CA97*'TEA Revised EYZ Inc'!BZ97)</f>
        <v>2.0000000000000004E-2</v>
      </c>
      <c r="CI97" s="84">
        <f>BR97/('TEA Revised EYZ Inc'!BY97)</f>
        <v>1.1858699597020014E-2</v>
      </c>
    </row>
    <row r="98" spans="1:87">
      <c r="A98" s="61">
        <v>12</v>
      </c>
      <c r="B98" s="61">
        <v>1.54143585092054E-3</v>
      </c>
      <c r="C98" s="61">
        <v>1.54143585092054E-3</v>
      </c>
      <c r="D98" s="61">
        <v>3.4254130020456501E-4</v>
      </c>
      <c r="E98" s="61">
        <v>0</v>
      </c>
      <c r="F98" s="61">
        <v>0</v>
      </c>
      <c r="G98" s="61">
        <v>0</v>
      </c>
      <c r="H98" s="69">
        <v>1.7771599281349402E-5</v>
      </c>
      <c r="I98" s="69">
        <v>6.3113732322488897E-11</v>
      </c>
      <c r="J98" s="61">
        <v>3.37661562480901E-4</v>
      </c>
      <c r="K98" s="61">
        <v>0.13911791568267901</v>
      </c>
      <c r="L98" s="61">
        <v>0.140740543921716</v>
      </c>
      <c r="M98" s="61">
        <v>4.45543656000266E-4</v>
      </c>
      <c r="N98" s="61" t="s">
        <v>323</v>
      </c>
      <c r="O98" s="61">
        <v>0.1</v>
      </c>
      <c r="P98" s="61">
        <v>10</v>
      </c>
      <c r="Q98" s="61">
        <v>1.6497575706444501E-3</v>
      </c>
      <c r="R98" s="61">
        <v>1.66899983148883E-3</v>
      </c>
      <c r="S98" s="61">
        <v>5.28356837386519E-6</v>
      </c>
      <c r="T98" s="61">
        <v>0</v>
      </c>
      <c r="U98" s="61">
        <v>0</v>
      </c>
      <c r="V98" s="61">
        <v>0</v>
      </c>
      <c r="W98" s="61">
        <v>1.61280677346842E-3</v>
      </c>
      <c r="X98" s="61">
        <v>7.9635748983234095E-5</v>
      </c>
      <c r="Y98" s="61">
        <v>5.2488180406069303E-6</v>
      </c>
      <c r="Z98" s="61">
        <v>1.73338788049E-3</v>
      </c>
      <c r="AA98" s="61">
        <v>7.4558186846967897E-2</v>
      </c>
      <c r="AB98" s="61">
        <v>1.6301625709626699E-6</v>
      </c>
      <c r="AC98" s="61">
        <v>0.1</v>
      </c>
      <c r="AD98" s="61">
        <v>100</v>
      </c>
      <c r="AE98" s="61">
        <v>10.952322309941399</v>
      </c>
      <c r="AF98" s="61">
        <v>92.356857683566091</v>
      </c>
      <c r="AG98" s="61">
        <v>19.687800716022601</v>
      </c>
      <c r="AH98" s="61">
        <f t="shared" si="44"/>
        <v>1.09523223099414</v>
      </c>
      <c r="AI98" s="61">
        <f t="shared" si="71"/>
        <v>1.9687800716022601</v>
      </c>
      <c r="AJ98" s="61">
        <f t="shared" si="72"/>
        <v>1.09523223099414</v>
      </c>
      <c r="AK98" s="61">
        <f t="shared" si="72"/>
        <v>1.9687800716022601</v>
      </c>
      <c r="AL98" s="61">
        <f t="shared" si="45"/>
        <v>0.6144839314673094</v>
      </c>
      <c r="AM98" s="61">
        <f t="shared" si="73"/>
        <v>0.48074829952683062</v>
      </c>
      <c r="AN98" s="61">
        <f t="shared" si="74"/>
        <v>0.6144839314673094</v>
      </c>
      <c r="AO98" s="69">
        <f t="shared" si="46"/>
        <v>1.7771599281349402E-3</v>
      </c>
      <c r="AP98" s="69">
        <f t="shared" si="47"/>
        <v>6.3113732322488894E-9</v>
      </c>
      <c r="AQ98" s="69">
        <f t="shared" si="48"/>
        <v>3.3766156248090103E-2</v>
      </c>
      <c r="AR98" s="61">
        <f t="shared" si="75"/>
        <v>10</v>
      </c>
      <c r="AS98" s="69">
        <f t="shared" si="49"/>
        <v>0.154143585092054</v>
      </c>
      <c r="AT98" s="70">
        <f t="shared" si="50"/>
        <v>0.154143585092054</v>
      </c>
      <c r="AU98" s="69">
        <f t="shared" si="51"/>
        <v>3.4254130020456498E-2</v>
      </c>
      <c r="AV98" s="69">
        <f t="shared" si="52"/>
        <v>0.15236642516391907</v>
      </c>
      <c r="AW98" s="70">
        <f t="shared" si="52"/>
        <v>0.15414357878068077</v>
      </c>
      <c r="AX98" s="69">
        <f t="shared" si="52"/>
        <v>4.8797377236639572E-4</v>
      </c>
      <c r="AY98" s="69">
        <f t="shared" si="53"/>
        <v>0.14895376564831428</v>
      </c>
      <c r="AZ98" s="61">
        <f t="shared" si="54"/>
        <v>7.3549075353687441E-3</v>
      </c>
      <c r="BA98" s="61">
        <f t="shared" si="55"/>
        <v>4.8476434078326846E-4</v>
      </c>
      <c r="BB98" s="69">
        <f t="shared" si="56"/>
        <v>95.000000000045475</v>
      </c>
      <c r="BC98" s="69">
        <f t="shared" si="57"/>
        <v>0.15679343752446628</v>
      </c>
      <c r="BD98" s="69">
        <f t="shared" si="58"/>
        <v>0.30598958534317222</v>
      </c>
      <c r="BE98" s="69">
        <f t="shared" si="59"/>
        <v>0.31407163938971583</v>
      </c>
      <c r="BF98" s="61">
        <f t="shared" si="60"/>
        <v>3.4126595154655923E-3</v>
      </c>
      <c r="BG98" s="61">
        <f t="shared" si="61"/>
        <v>0.14678867243910815</v>
      </c>
      <c r="BH98" s="61">
        <f t="shared" si="62"/>
        <v>3.2094315831832099E-6</v>
      </c>
      <c r="BI98" s="61">
        <f t="shared" si="63"/>
        <v>0.30041229220389704</v>
      </c>
      <c r="BJ98" s="61">
        <f t="shared" si="64"/>
        <v>1.6683677793983631</v>
      </c>
      <c r="BK98" s="61">
        <f t="shared" si="65"/>
        <v>0.30041229220389704</v>
      </c>
      <c r="BL98" s="61">
        <f t="shared" si="76"/>
        <v>0.7811605917307276</v>
      </c>
      <c r="BM98" s="61">
        <f t="shared" si="77"/>
        <v>0.15361880561741412</v>
      </c>
      <c r="BN98" s="61">
        <f t="shared" si="78"/>
        <v>0.30041229220389704</v>
      </c>
      <c r="BO98" s="69">
        <f t="shared" si="66"/>
        <v>0.7811605917307276</v>
      </c>
      <c r="BP98" s="69">
        <f t="shared" si="67"/>
        <v>0.31407163938971583</v>
      </c>
      <c r="BQ98" s="64">
        <f t="shared" si="79"/>
        <v>2.19046446198828</v>
      </c>
      <c r="BR98" s="69">
        <f t="shared" si="68"/>
        <v>0.13734335157378125</v>
      </c>
      <c r="BS98" s="61">
        <f t="shared" si="69"/>
        <v>6.2292950320667115</v>
      </c>
      <c r="BT98" s="61">
        <f t="shared" si="70"/>
        <v>5.9288827398628143</v>
      </c>
      <c r="BU98" s="61">
        <f t="shared" si="80"/>
        <v>5.4481344403359842</v>
      </c>
      <c r="BV98" s="61">
        <f t="shared" si="81"/>
        <v>1.6683677793983631</v>
      </c>
      <c r="BW98" s="61">
        <f t="shared" si="82"/>
        <v>0.30041229220389704</v>
      </c>
      <c r="BX98" s="64">
        <f t="shared" si="83"/>
        <v>3.9375601432045202</v>
      </c>
      <c r="BY98" s="61">
        <f t="shared" si="84"/>
        <v>0.13955865526963707</v>
      </c>
      <c r="BZ98" s="61">
        <f t="shared" si="85"/>
        <v>23.535976538586169</v>
      </c>
      <c r="CA98" s="61">
        <f t="shared" si="86"/>
        <v>21.867608759187807</v>
      </c>
      <c r="CB98" s="61">
        <f>AE98*O98/0.2</f>
        <v>5.4761611549706997</v>
      </c>
      <c r="CC98" s="61">
        <f>AG98*AC98/0.2</f>
        <v>9.8439003580113003</v>
      </c>
      <c r="CD98" s="61">
        <f>CB98*'Oxidant Feed Composition'!$N$22</f>
        <v>0.54761611549707001</v>
      </c>
      <c r="CE98" s="61">
        <f>CC98*'Oxidant Feed Composition'!$N$22</f>
        <v>0.98439003580113005</v>
      </c>
      <c r="CF98" s="61">
        <f>1.2*CB98</f>
        <v>6.5713933859648392</v>
      </c>
      <c r="CG98" s="61">
        <f>CC98*1.2</f>
        <v>11.812680429613559</v>
      </c>
      <c r="CH98" s="61">
        <f>BY98/('TEA Revised EYZ Inc'!CA98*'TEA Revised EYZ Inc'!BZ98)</f>
        <v>0.02</v>
      </c>
      <c r="CI98" s="84">
        <f>BR98/('TEA Revised EYZ Inc'!BY98)</f>
        <v>1.1858699597020015E-2</v>
      </c>
    </row>
    <row r="99" spans="1:87">
      <c r="A99" s="61">
        <v>12</v>
      </c>
      <c r="B99" s="61">
        <v>1.54143585092054E-3</v>
      </c>
      <c r="C99" s="61">
        <v>1.54143585092054E-3</v>
      </c>
      <c r="D99" s="61">
        <v>3.4254130020456501E-4</v>
      </c>
      <c r="E99" s="61">
        <v>0</v>
      </c>
      <c r="F99" s="61">
        <v>0</v>
      </c>
      <c r="G99" s="61">
        <v>0</v>
      </c>
      <c r="H99" s="69">
        <v>1.7771599281349402E-5</v>
      </c>
      <c r="I99" s="69">
        <v>6.3113732322488897E-11</v>
      </c>
      <c r="J99" s="61">
        <v>3.37661562480901E-4</v>
      </c>
      <c r="K99" s="61">
        <v>0.13911791568267901</v>
      </c>
      <c r="L99" s="61">
        <v>0.140740543921716</v>
      </c>
      <c r="M99" s="61">
        <v>4.45543656000266E-4</v>
      </c>
      <c r="N99" s="61" t="s">
        <v>323</v>
      </c>
      <c r="O99" s="61">
        <v>0.1</v>
      </c>
      <c r="P99" s="61">
        <v>11</v>
      </c>
      <c r="Q99" s="61">
        <v>1.6497575706444501E-3</v>
      </c>
      <c r="R99" s="61">
        <v>1.66899983148883E-3</v>
      </c>
      <c r="S99" s="61">
        <v>5.28356837386519E-6</v>
      </c>
      <c r="T99" s="61">
        <v>0</v>
      </c>
      <c r="U99" s="61">
        <v>0</v>
      </c>
      <c r="V99" s="61">
        <v>0</v>
      </c>
      <c r="W99" s="61">
        <v>1.61280988700799E-3</v>
      </c>
      <c r="X99" s="61">
        <v>7.9635910048100197E-5</v>
      </c>
      <c r="Y99" s="61">
        <v>5.2488208470369598E-6</v>
      </c>
      <c r="Z99" s="61">
        <v>1.73328256872752E-3</v>
      </c>
      <c r="AA99" s="61">
        <v>7.4559932038912993E-2</v>
      </c>
      <c r="AB99" s="61">
        <v>1.6300692393553599E-6</v>
      </c>
      <c r="AC99" s="61">
        <v>0.1</v>
      </c>
      <c r="AD99" s="61">
        <v>100</v>
      </c>
      <c r="AE99" s="61">
        <v>10.952322309941399</v>
      </c>
      <c r="AF99" s="61">
        <v>92.356857683566091</v>
      </c>
      <c r="AG99" s="61">
        <v>19.687337891228299</v>
      </c>
      <c r="AH99" s="61">
        <f t="shared" si="44"/>
        <v>1.09523223099414</v>
      </c>
      <c r="AI99" s="61">
        <f t="shared" si="71"/>
        <v>1.96873378912283</v>
      </c>
      <c r="AJ99" s="61">
        <f t="shared" si="72"/>
        <v>1.09523223099414</v>
      </c>
      <c r="AK99" s="61">
        <f t="shared" si="72"/>
        <v>1.96873378912283</v>
      </c>
      <c r="AL99" s="61">
        <f t="shared" si="45"/>
        <v>0.6144839314673094</v>
      </c>
      <c r="AM99" s="61">
        <f t="shared" si="73"/>
        <v>0.48074829952683062</v>
      </c>
      <c r="AN99" s="61">
        <f t="shared" si="74"/>
        <v>0.6144839314673094</v>
      </c>
      <c r="AO99" s="69">
        <f t="shared" si="46"/>
        <v>1.7771599281349402E-3</v>
      </c>
      <c r="AP99" s="69">
        <f t="shared" si="47"/>
        <v>6.3113732322488894E-9</v>
      </c>
      <c r="AQ99" s="69">
        <f t="shared" si="48"/>
        <v>3.3766156248090103E-2</v>
      </c>
      <c r="AR99" s="61">
        <f t="shared" si="75"/>
        <v>10</v>
      </c>
      <c r="AS99" s="69">
        <f t="shared" si="49"/>
        <v>0.154143585092054</v>
      </c>
      <c r="AT99" s="70">
        <f t="shared" si="50"/>
        <v>0.154143585092054</v>
      </c>
      <c r="AU99" s="69">
        <f t="shared" si="51"/>
        <v>3.4254130020456498E-2</v>
      </c>
      <c r="AV99" s="69">
        <f t="shared" si="52"/>
        <v>0.15236642516391907</v>
      </c>
      <c r="AW99" s="70">
        <f t="shared" si="52"/>
        <v>0.15414357878068077</v>
      </c>
      <c r="AX99" s="69">
        <f t="shared" si="52"/>
        <v>4.8797377236639572E-4</v>
      </c>
      <c r="AY99" s="69">
        <f t="shared" si="53"/>
        <v>0.14895405320504523</v>
      </c>
      <c r="AZ99" s="61">
        <f t="shared" si="54"/>
        <v>7.3549224108136607E-3</v>
      </c>
      <c r="BA99" s="61">
        <f t="shared" si="55"/>
        <v>4.847645999763273E-4</v>
      </c>
      <c r="BB99" s="69">
        <f t="shared" si="56"/>
        <v>95.000000000001151</v>
      </c>
      <c r="BC99" s="69">
        <f t="shared" si="57"/>
        <v>0.1567937402158352</v>
      </c>
      <c r="BD99" s="69">
        <f t="shared" si="58"/>
        <v>0.30599017572086862</v>
      </c>
      <c r="BE99" s="69">
        <f t="shared" si="59"/>
        <v>0.31407224503164677</v>
      </c>
      <c r="BF99" s="61">
        <f t="shared" si="60"/>
        <v>3.4123719591514826E-3</v>
      </c>
      <c r="BG99" s="61">
        <f t="shared" si="61"/>
        <v>0.14678865751970988</v>
      </c>
      <c r="BH99" s="61">
        <f t="shared" si="62"/>
        <v>3.2091723901286471E-6</v>
      </c>
      <c r="BI99" s="61">
        <f t="shared" si="63"/>
        <v>0.30041168647489308</v>
      </c>
      <c r="BJ99" s="61">
        <f t="shared" si="64"/>
        <v>1.6683221026479369</v>
      </c>
      <c r="BK99" s="61">
        <f t="shared" si="65"/>
        <v>0.30041168647489308</v>
      </c>
      <c r="BL99" s="61">
        <f t="shared" si="76"/>
        <v>0.78115998600172376</v>
      </c>
      <c r="BM99" s="61">
        <f t="shared" si="77"/>
        <v>0.15361821519659802</v>
      </c>
      <c r="BN99" s="61">
        <f t="shared" si="78"/>
        <v>0.30041168647489308</v>
      </c>
      <c r="BO99" s="69">
        <f t="shared" si="66"/>
        <v>0.78115998600172376</v>
      </c>
      <c r="BP99" s="69">
        <f t="shared" si="67"/>
        <v>0.31407224503164677</v>
      </c>
      <c r="BQ99" s="64">
        <f t="shared" si="79"/>
        <v>2.19046446198828</v>
      </c>
      <c r="BR99" s="69">
        <f t="shared" si="68"/>
        <v>0.1373435832085059</v>
      </c>
      <c r="BS99" s="61">
        <f t="shared" si="69"/>
        <v>6.2292796958207912</v>
      </c>
      <c r="BT99" s="61">
        <f t="shared" si="70"/>
        <v>5.9288680093458979</v>
      </c>
      <c r="BU99" s="61">
        <f t="shared" si="80"/>
        <v>5.4481197098190677</v>
      </c>
      <c r="BV99" s="61">
        <f t="shared" si="81"/>
        <v>1.6683221026479369</v>
      </c>
      <c r="BW99" s="61">
        <f t="shared" si="82"/>
        <v>0.30041168647489308</v>
      </c>
      <c r="BX99" s="64">
        <f t="shared" si="83"/>
        <v>3.9374675782456601</v>
      </c>
      <c r="BY99" s="61">
        <f t="shared" si="84"/>
        <v>0.13955816125627518</v>
      </c>
      <c r="BZ99" s="61">
        <f t="shared" si="85"/>
        <v>23.534862204095962</v>
      </c>
      <c r="CA99" s="61">
        <f t="shared" si="86"/>
        <v>21.866540101448024</v>
      </c>
      <c r="CB99" s="61">
        <f>AE99*O99/0.2</f>
        <v>5.4761611549706997</v>
      </c>
      <c r="CC99" s="61">
        <f>AG99*AC99/0.2</f>
        <v>9.8436689456141497</v>
      </c>
      <c r="CD99" s="61">
        <f>CB99*'Oxidant Feed Composition'!$N$22</f>
        <v>0.54761611549707001</v>
      </c>
      <c r="CE99" s="61">
        <f>CC99*'Oxidant Feed Composition'!$N$22</f>
        <v>0.98436689456141502</v>
      </c>
      <c r="CF99" s="61">
        <f>1.2*CB99</f>
        <v>6.5713933859648392</v>
      </c>
      <c r="CG99" s="61">
        <f>CC99*1.2</f>
        <v>11.812402734736979</v>
      </c>
      <c r="CH99" s="61">
        <f>BY99/('TEA Revised EYZ Inc'!CA99*'TEA Revised EYZ Inc'!BZ99)</f>
        <v>0.02</v>
      </c>
      <c r="CI99" s="84">
        <f>BR99/('TEA Revised EYZ Inc'!BY99)</f>
        <v>1.185869959702001E-2</v>
      </c>
    </row>
    <row r="100" spans="1:87">
      <c r="A100" s="61">
        <v>12</v>
      </c>
      <c r="B100" s="61">
        <v>1.54143585092054E-3</v>
      </c>
      <c r="C100" s="61">
        <v>1.54143585092054E-3</v>
      </c>
      <c r="D100" s="61">
        <v>3.4254130020456501E-4</v>
      </c>
      <c r="E100" s="61">
        <v>0</v>
      </c>
      <c r="F100" s="61">
        <v>0</v>
      </c>
      <c r="G100" s="61">
        <v>0</v>
      </c>
      <c r="H100" s="69">
        <v>1.7771599281349402E-5</v>
      </c>
      <c r="I100" s="69">
        <v>6.3113732322488897E-11</v>
      </c>
      <c r="J100" s="61">
        <v>3.37661562480901E-4</v>
      </c>
      <c r="K100" s="61">
        <v>0.13911791568267901</v>
      </c>
      <c r="L100" s="61">
        <v>0.140740543921716</v>
      </c>
      <c r="M100" s="61">
        <v>4.45543656000266E-4</v>
      </c>
      <c r="N100" s="61" t="s">
        <v>323</v>
      </c>
      <c r="O100" s="61">
        <v>0.1</v>
      </c>
      <c r="P100" s="61">
        <v>12</v>
      </c>
      <c r="Q100" s="61">
        <v>1.6497575706444501E-3</v>
      </c>
      <c r="R100" s="61">
        <v>1.66899983148883E-3</v>
      </c>
      <c r="S100" s="61">
        <v>5.28356837386519E-6</v>
      </c>
      <c r="T100" s="61">
        <v>0</v>
      </c>
      <c r="U100" s="61">
        <v>0</v>
      </c>
      <c r="V100" s="61">
        <v>0</v>
      </c>
      <c r="W100" s="61">
        <v>1.6128107620641699E-3</v>
      </c>
      <c r="X100" s="61">
        <v>7.9635955314965296E-5</v>
      </c>
      <c r="Y100" s="61">
        <v>5.2488216357800397E-6</v>
      </c>
      <c r="Z100" s="61">
        <v>1.7332529701511801E-3</v>
      </c>
      <c r="AA100" s="61">
        <v>7.4560422536797497E-2</v>
      </c>
      <c r="AB100" s="61">
        <v>1.6300430078820901E-6</v>
      </c>
      <c r="AC100" s="61">
        <v>0.1</v>
      </c>
      <c r="AD100" s="61">
        <v>100</v>
      </c>
      <c r="AE100" s="61">
        <v>10.952322309941399</v>
      </c>
      <c r="AF100" s="61">
        <v>92.356857683566091</v>
      </c>
      <c r="AG100" s="61">
        <v>19.687207814646801</v>
      </c>
      <c r="AH100" s="61">
        <f t="shared" si="44"/>
        <v>1.09523223099414</v>
      </c>
      <c r="AI100" s="61">
        <f t="shared" si="71"/>
        <v>1.9687207814646801</v>
      </c>
      <c r="AJ100" s="61">
        <f t="shared" si="72"/>
        <v>1.09523223099414</v>
      </c>
      <c r="AK100" s="61">
        <f t="shared" si="72"/>
        <v>1.9687207814646801</v>
      </c>
      <c r="AL100" s="61">
        <f t="shared" si="45"/>
        <v>0.6144839314673094</v>
      </c>
      <c r="AM100" s="61">
        <f t="shared" si="73"/>
        <v>0.48074829952683062</v>
      </c>
      <c r="AN100" s="61">
        <f t="shared" si="74"/>
        <v>0.6144839314673094</v>
      </c>
      <c r="AO100" s="69">
        <f t="shared" si="46"/>
        <v>1.7771599281349402E-3</v>
      </c>
      <c r="AP100" s="69">
        <f t="shared" si="47"/>
        <v>6.3113732322488894E-9</v>
      </c>
      <c r="AQ100" s="69">
        <f t="shared" si="48"/>
        <v>3.3766156248090103E-2</v>
      </c>
      <c r="AR100" s="61">
        <f t="shared" si="75"/>
        <v>10</v>
      </c>
      <c r="AS100" s="69">
        <f t="shared" si="49"/>
        <v>0.154143585092054</v>
      </c>
      <c r="AT100" s="70">
        <f t="shared" si="50"/>
        <v>0.154143585092054</v>
      </c>
      <c r="AU100" s="69">
        <f t="shared" si="51"/>
        <v>3.4254130020456498E-2</v>
      </c>
      <c r="AV100" s="69">
        <f t="shared" si="52"/>
        <v>0.15236642516391907</v>
      </c>
      <c r="AW100" s="70">
        <f t="shared" si="52"/>
        <v>0.15414357878068077</v>
      </c>
      <c r="AX100" s="69">
        <f t="shared" si="52"/>
        <v>4.8797377236639572E-4</v>
      </c>
      <c r="AY100" s="69">
        <f t="shared" si="53"/>
        <v>0.14895413402248431</v>
      </c>
      <c r="AZ100" s="61">
        <f t="shared" si="54"/>
        <v>7.3549265915190789E-3</v>
      </c>
      <c r="BA100" s="61">
        <f t="shared" si="55"/>
        <v>4.8476467282215969E-4</v>
      </c>
      <c r="BB100" s="69">
        <f t="shared" si="56"/>
        <v>95.000000000000028</v>
      </c>
      <c r="BC100" s="69">
        <f t="shared" si="57"/>
        <v>0.15679382528682553</v>
      </c>
      <c r="BD100" s="69">
        <f t="shared" si="58"/>
        <v>0.30599034164572098</v>
      </c>
      <c r="BE100" s="69">
        <f t="shared" si="59"/>
        <v>0.31407241524647322</v>
      </c>
      <c r="BF100" s="61">
        <f t="shared" si="60"/>
        <v>3.412291141872009E-3</v>
      </c>
      <c r="BG100" s="61">
        <f t="shared" si="61"/>
        <v>0.14678865332298072</v>
      </c>
      <c r="BH100" s="61">
        <f t="shared" si="62"/>
        <v>3.2090995442986659E-6</v>
      </c>
      <c r="BI100" s="61">
        <f t="shared" si="63"/>
        <v>0.30041151622833834</v>
      </c>
      <c r="BJ100" s="61">
        <f t="shared" si="64"/>
        <v>1.6683092652363418</v>
      </c>
      <c r="BK100" s="61">
        <f t="shared" si="65"/>
        <v>0.30041151622833834</v>
      </c>
      <c r="BL100" s="61">
        <f t="shared" si="76"/>
        <v>0.78115981575516891</v>
      </c>
      <c r="BM100" s="61">
        <f t="shared" si="77"/>
        <v>0.15361804925604119</v>
      </c>
      <c r="BN100" s="61">
        <f t="shared" si="78"/>
        <v>0.30041151622833834</v>
      </c>
      <c r="BO100" s="69">
        <f t="shared" si="66"/>
        <v>0.78115981575516891</v>
      </c>
      <c r="BP100" s="69">
        <f t="shared" si="67"/>
        <v>0.31407241524647322</v>
      </c>
      <c r="BQ100" s="64">
        <f t="shared" si="79"/>
        <v>2.19046446198828</v>
      </c>
      <c r="BR100" s="69">
        <f t="shared" si="68"/>
        <v>0.13734364830910453</v>
      </c>
      <c r="BS100" s="61">
        <f t="shared" si="69"/>
        <v>6.2292753855424596</v>
      </c>
      <c r="BT100" s="61">
        <f t="shared" si="70"/>
        <v>5.9288638693141209</v>
      </c>
      <c r="BU100" s="61">
        <f t="shared" si="80"/>
        <v>5.4481155697872907</v>
      </c>
      <c r="BV100" s="61">
        <f t="shared" si="81"/>
        <v>1.6683092652363418</v>
      </c>
      <c r="BW100" s="61">
        <f t="shared" si="82"/>
        <v>0.30041151622833834</v>
      </c>
      <c r="BX100" s="64">
        <f t="shared" si="83"/>
        <v>3.9374415629293602</v>
      </c>
      <c r="BY100" s="61">
        <f t="shared" si="84"/>
        <v>0.13955802240968523</v>
      </c>
      <c r="BZ100" s="61">
        <f t="shared" si="85"/>
        <v>23.534549026061001</v>
      </c>
      <c r="CA100" s="61">
        <f t="shared" si="86"/>
        <v>21.866239760824659</v>
      </c>
      <c r="CB100" s="61">
        <f>AE100*O100/0.2</f>
        <v>5.4761611549706997</v>
      </c>
      <c r="CC100" s="61">
        <f>AG100*AC100/0.2</f>
        <v>9.8436039073234003</v>
      </c>
      <c r="CD100" s="61">
        <f>CB100*'Oxidant Feed Composition'!$N$22</f>
        <v>0.54761611549707001</v>
      </c>
      <c r="CE100" s="61">
        <f>CC100*'Oxidant Feed Composition'!$N$22</f>
        <v>0.98436039073234005</v>
      </c>
      <c r="CF100" s="61">
        <f>1.2*CB100</f>
        <v>6.5713933859648392</v>
      </c>
      <c r="CG100" s="61">
        <f>CC100*1.2</f>
        <v>11.812324688788079</v>
      </c>
      <c r="CH100" s="61">
        <f>BY100/('TEA Revised EYZ Inc'!CA100*'TEA Revised EYZ Inc'!BZ100)</f>
        <v>2.0000000000000004E-2</v>
      </c>
      <c r="CI100" s="84">
        <f>BR100/('TEA Revised EYZ Inc'!BY100)</f>
        <v>1.1858699597020014E-2</v>
      </c>
    </row>
    <row r="101" spans="1:87">
      <c r="A101" s="61">
        <v>12</v>
      </c>
      <c r="B101" s="61">
        <v>1.54143585092054E-3</v>
      </c>
      <c r="C101" s="61">
        <v>1.54143585092054E-3</v>
      </c>
      <c r="D101" s="61">
        <v>3.4254130020456501E-4</v>
      </c>
      <c r="E101" s="61">
        <v>0</v>
      </c>
      <c r="F101" s="61">
        <v>0</v>
      </c>
      <c r="G101" s="61">
        <v>0</v>
      </c>
      <c r="H101" s="69">
        <v>1.7771599281349402E-5</v>
      </c>
      <c r="I101" s="69">
        <v>6.3113732322488897E-11</v>
      </c>
      <c r="J101" s="61">
        <v>3.37661562480901E-4</v>
      </c>
      <c r="K101" s="61">
        <v>0.13911791568267901</v>
      </c>
      <c r="L101" s="61">
        <v>0.140740543921716</v>
      </c>
      <c r="M101" s="61">
        <v>4.45543656000266E-4</v>
      </c>
      <c r="N101" s="61" t="s">
        <v>323</v>
      </c>
      <c r="O101" s="61">
        <v>0.1</v>
      </c>
      <c r="P101" s="61">
        <v>13</v>
      </c>
      <c r="Q101" s="61">
        <v>1.6497575706444501E-3</v>
      </c>
      <c r="R101" s="61">
        <v>1.66899983148883E-3</v>
      </c>
      <c r="S101" s="61">
        <v>5.28356837386519E-6</v>
      </c>
      <c r="T101" s="61">
        <v>0</v>
      </c>
      <c r="U101" s="61">
        <v>0</v>
      </c>
      <c r="V101" s="61">
        <v>0</v>
      </c>
      <c r="W101" s="61">
        <v>1.61281100796467E-3</v>
      </c>
      <c r="X101" s="61">
        <v>7.9635968035451799E-5</v>
      </c>
      <c r="Y101" s="61">
        <v>5.2488218574256396E-6</v>
      </c>
      <c r="Z101" s="61">
        <v>1.73324465254427E-3</v>
      </c>
      <c r="AA101" s="61">
        <v>7.4560560373448506E-2</v>
      </c>
      <c r="AB101" s="61">
        <v>1.6300356364773401E-6</v>
      </c>
      <c r="AC101" s="61">
        <v>0.1</v>
      </c>
      <c r="AD101" s="61">
        <v>100</v>
      </c>
      <c r="AE101" s="61">
        <v>10.952322309941399</v>
      </c>
      <c r="AF101" s="61">
        <v>92.356857683566091</v>
      </c>
      <c r="AG101" s="61">
        <v>19.687171261743899</v>
      </c>
      <c r="AH101" s="61">
        <f t="shared" si="44"/>
        <v>1.09523223099414</v>
      </c>
      <c r="AI101" s="61">
        <f t="shared" si="71"/>
        <v>1.9687171261743899</v>
      </c>
      <c r="AJ101" s="61">
        <f t="shared" si="72"/>
        <v>1.09523223099414</v>
      </c>
      <c r="AK101" s="61">
        <f t="shared" si="72"/>
        <v>1.9687171261743899</v>
      </c>
      <c r="AL101" s="61">
        <f t="shared" si="45"/>
        <v>0.6144839314673094</v>
      </c>
      <c r="AM101" s="61">
        <f t="shared" si="73"/>
        <v>0.48074829952683062</v>
      </c>
      <c r="AN101" s="61">
        <f t="shared" si="74"/>
        <v>0.6144839314673094</v>
      </c>
      <c r="AO101" s="69">
        <f t="shared" si="46"/>
        <v>1.7771599281349402E-3</v>
      </c>
      <c r="AP101" s="69">
        <f t="shared" si="47"/>
        <v>6.3113732322488894E-9</v>
      </c>
      <c r="AQ101" s="69">
        <f t="shared" si="48"/>
        <v>3.3766156248090103E-2</v>
      </c>
      <c r="AR101" s="61">
        <f t="shared" si="75"/>
        <v>10</v>
      </c>
      <c r="AS101" s="69">
        <f t="shared" si="49"/>
        <v>0.154143585092054</v>
      </c>
      <c r="AT101" s="70">
        <f t="shared" si="50"/>
        <v>0.154143585092054</v>
      </c>
      <c r="AU101" s="69">
        <f t="shared" si="51"/>
        <v>3.4254130020456498E-2</v>
      </c>
      <c r="AV101" s="69">
        <f t="shared" si="52"/>
        <v>0.15236642516391907</v>
      </c>
      <c r="AW101" s="70">
        <f t="shared" si="52"/>
        <v>0.15414357878068077</v>
      </c>
      <c r="AX101" s="69">
        <f t="shared" si="52"/>
        <v>4.8797377236639572E-4</v>
      </c>
      <c r="AY101" s="69">
        <f t="shared" si="53"/>
        <v>0.14895415673308179</v>
      </c>
      <c r="AZ101" s="61">
        <f t="shared" si="54"/>
        <v>7.3549277663432404E-3</v>
      </c>
      <c r="BA101" s="61">
        <f t="shared" si="55"/>
        <v>4.8476469329265082E-4</v>
      </c>
      <c r="BB101" s="69">
        <f t="shared" si="56"/>
        <v>95</v>
      </c>
      <c r="BC101" s="69">
        <f t="shared" si="57"/>
        <v>0.15679384919271769</v>
      </c>
      <c r="BD101" s="69">
        <f t="shared" si="58"/>
        <v>0.30599038827244579</v>
      </c>
      <c r="BE101" s="69">
        <f t="shared" si="59"/>
        <v>0.31407246307872805</v>
      </c>
      <c r="BF101" s="61">
        <f t="shared" si="60"/>
        <v>3.4122684313140843E-3</v>
      </c>
      <c r="BG101" s="61">
        <f t="shared" si="61"/>
        <v>0.14678865214436765</v>
      </c>
      <c r="BH101" s="61">
        <f t="shared" si="62"/>
        <v>3.2090790738075114E-6</v>
      </c>
      <c r="BI101" s="61">
        <f t="shared" si="63"/>
        <v>0.3004114683885849</v>
      </c>
      <c r="BJ101" s="61">
        <f t="shared" si="64"/>
        <v>1.6683056577858051</v>
      </c>
      <c r="BK101" s="61">
        <f t="shared" si="65"/>
        <v>0.3004114683885849</v>
      </c>
      <c r="BL101" s="61">
        <f t="shared" si="76"/>
        <v>0.78115976791541553</v>
      </c>
      <c r="BM101" s="61">
        <f t="shared" si="77"/>
        <v>0.15361800262560651</v>
      </c>
      <c r="BN101" s="61">
        <f t="shared" si="78"/>
        <v>0.3004114683885849</v>
      </c>
      <c r="BO101" s="69">
        <f t="shared" si="66"/>
        <v>0.78115976791541553</v>
      </c>
      <c r="BP101" s="69">
        <f t="shared" si="67"/>
        <v>0.31407246307872805</v>
      </c>
      <c r="BQ101" s="64">
        <f t="shared" si="79"/>
        <v>2.19046446198828</v>
      </c>
      <c r="BR101" s="69">
        <f t="shared" si="68"/>
        <v>0.13734366660309344</v>
      </c>
      <c r="BS101" s="69">
        <f t="shared" si="69"/>
        <v>6.2292741743185358</v>
      </c>
      <c r="BT101" s="69">
        <f t="shared" si="70"/>
        <v>5.9288627059299506</v>
      </c>
      <c r="BU101" s="61">
        <f t="shared" si="80"/>
        <v>5.4481144064031195</v>
      </c>
      <c r="BV101" s="61">
        <f t="shared" si="81"/>
        <v>1.6683056577858051</v>
      </c>
      <c r="BW101" s="61">
        <f t="shared" si="82"/>
        <v>0.3004114683885849</v>
      </c>
      <c r="BX101" s="64">
        <f t="shared" si="83"/>
        <v>3.9374342523487798</v>
      </c>
      <c r="BY101" s="61">
        <f t="shared" si="84"/>
        <v>0.13955798339277398</v>
      </c>
      <c r="BZ101" s="61">
        <f t="shared" si="85"/>
        <v>23.534461019924755</v>
      </c>
      <c r="CA101" s="61">
        <f t="shared" si="86"/>
        <v>21.866155362138951</v>
      </c>
      <c r="CB101" s="61">
        <f>AE101*O101/0.2</f>
        <v>5.4761611549706997</v>
      </c>
      <c r="CC101" s="61">
        <f>AG101*AC101/0.2</f>
        <v>9.8435856308719494</v>
      </c>
      <c r="CD101" s="61">
        <f>CB101*'Oxidant Feed Composition'!$N$22</f>
        <v>0.54761611549707001</v>
      </c>
      <c r="CE101" s="61">
        <f>CC101*'Oxidant Feed Composition'!$N$22</f>
        <v>0.98435856308719494</v>
      </c>
      <c r="CF101" s="61">
        <f>1.2*CB101</f>
        <v>6.5713933859648392</v>
      </c>
      <c r="CG101" s="61">
        <f>CC101*1.2</f>
        <v>11.812302757046339</v>
      </c>
      <c r="CH101" s="61">
        <f>BY101/('TEA Revised EYZ Inc'!CA101*'TEA Revised EYZ Inc'!BZ101)</f>
        <v>2.0000000000000004E-2</v>
      </c>
      <c r="CI101" s="84">
        <f>BR101/('TEA Revised EYZ Inc'!BY101)</f>
        <v>1.1858699597020015E-2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9954-8361-43C7-B880-215F5CA1F831}">
  <dimension ref="A1:GD101"/>
  <sheetViews>
    <sheetView topLeftCell="BQ1" workbookViewId="0">
      <selection activeCell="GA1" sqref="GA1:GD101"/>
    </sheetView>
  </sheetViews>
  <sheetFormatPr defaultRowHeight="15"/>
  <cols>
    <col min="66" max="66" width="23.140625" bestFit="1" customWidth="1"/>
    <col min="67" max="67" width="18.140625" bestFit="1" customWidth="1"/>
    <col min="68" max="68" width="19" bestFit="1" customWidth="1"/>
    <col min="69" max="69" width="18.42578125" bestFit="1" customWidth="1"/>
    <col min="70" max="70" width="19.28515625" bestFit="1" customWidth="1"/>
    <col min="71" max="72" width="18.42578125" bestFit="1" customWidth="1"/>
    <col min="73" max="73" width="19.28515625" bestFit="1" customWidth="1"/>
    <col min="74" max="75" width="14.7109375" bestFit="1" customWidth="1"/>
    <col min="76" max="76" width="21" bestFit="1" customWidth="1"/>
    <col min="77" max="77" width="31.140625" bestFit="1" customWidth="1"/>
    <col min="78" max="78" width="21" bestFit="1" customWidth="1"/>
    <col min="79" max="79" width="19.28515625" bestFit="1" customWidth="1"/>
    <col min="80" max="80" width="12" bestFit="1" customWidth="1"/>
    <col min="81" max="81" width="12.140625" bestFit="1" customWidth="1"/>
    <col min="82" max="82" width="12" bestFit="1" customWidth="1"/>
    <col min="83" max="83" width="12.140625" bestFit="1" customWidth="1"/>
    <col min="84" max="84" width="22.140625" bestFit="1" customWidth="1"/>
    <col min="85" max="85" width="23" bestFit="1" customWidth="1"/>
    <col min="86" max="86" width="22" bestFit="1" customWidth="1"/>
    <col min="87" max="87" width="23.7109375" bestFit="1" customWidth="1"/>
    <col min="88" max="88" width="24" bestFit="1" customWidth="1"/>
    <col min="89" max="89" width="21.42578125" bestFit="1" customWidth="1"/>
    <col min="90" max="90" width="22.85546875" bestFit="1" customWidth="1"/>
    <col min="91" max="91" width="20.28515625" bestFit="1" customWidth="1"/>
    <col min="92" max="92" width="21.42578125" bestFit="1" customWidth="1"/>
    <col min="93" max="94" width="20.140625" bestFit="1" customWidth="1"/>
    <col min="95" max="95" width="22.85546875" bestFit="1" customWidth="1"/>
    <col min="96" max="96" width="20.28515625" bestFit="1" customWidth="1"/>
    <col min="97" max="97" width="25" bestFit="1" customWidth="1"/>
    <col min="98" max="98" width="22.42578125" bestFit="1" customWidth="1"/>
    <col min="99" max="99" width="23.85546875" bestFit="1" customWidth="1"/>
    <col min="100" max="100" width="21.42578125" bestFit="1" customWidth="1"/>
    <col min="101" max="101" width="22.42578125" bestFit="1" customWidth="1"/>
    <col min="102" max="102" width="23.85546875" bestFit="1" customWidth="1"/>
    <col min="103" max="103" width="21.42578125" bestFit="1" customWidth="1"/>
    <col min="104" max="104" width="30.7109375" bestFit="1" customWidth="1"/>
    <col min="105" max="105" width="22.5703125" bestFit="1" customWidth="1"/>
    <col min="106" max="106" width="25" bestFit="1" customWidth="1"/>
    <col min="107" max="107" width="30.7109375" bestFit="1" customWidth="1"/>
    <col min="108" max="108" width="22.5703125" bestFit="1" customWidth="1"/>
    <col min="109" max="109" width="25" bestFit="1" customWidth="1"/>
    <col min="110" max="111" width="12.42578125" bestFit="1" customWidth="1"/>
    <col min="112" max="113" width="13.42578125" bestFit="1" customWidth="1"/>
    <col min="114" max="114" width="11.7109375" bestFit="1" customWidth="1"/>
    <col min="115" max="115" width="12.5703125" bestFit="1" customWidth="1"/>
    <col min="116" max="116" width="11.7109375" bestFit="1" customWidth="1"/>
    <col min="117" max="117" width="12.5703125" bestFit="1" customWidth="1"/>
    <col min="118" max="118" width="28" bestFit="1" customWidth="1"/>
    <col min="119" max="119" width="15.5703125" bestFit="1" customWidth="1"/>
    <col min="120" max="120" width="15.7109375" bestFit="1" customWidth="1"/>
    <col min="121" max="121" width="15.28515625" bestFit="1" customWidth="1"/>
    <col min="122" max="122" width="15.7109375" bestFit="1" customWidth="1"/>
    <col min="123" max="123" width="13.7109375" bestFit="1" customWidth="1"/>
    <col min="128" max="128" width="12" bestFit="1" customWidth="1"/>
    <col min="129" max="129" width="17.42578125" bestFit="1" customWidth="1"/>
    <col min="130" max="134" width="12" bestFit="1" customWidth="1"/>
    <col min="135" max="135" width="17.42578125" bestFit="1" customWidth="1"/>
    <col min="136" max="136" width="17.5703125" bestFit="1" customWidth="1"/>
    <col min="137" max="137" width="34.28515625" bestFit="1" customWidth="1"/>
    <col min="138" max="139" width="15.28515625" bestFit="1" customWidth="1"/>
    <col min="140" max="143" width="12" bestFit="1" customWidth="1"/>
    <col min="145" max="145" width="17.42578125" bestFit="1" customWidth="1"/>
    <col min="146" max="146" width="31.85546875" bestFit="1" customWidth="1"/>
    <col min="147" max="147" width="33.5703125" bestFit="1" customWidth="1"/>
    <col min="148" max="148" width="18" bestFit="1" customWidth="1"/>
    <col min="149" max="149" width="34.28515625" bestFit="1" customWidth="1"/>
    <col min="150" max="150" width="25.85546875" bestFit="1" customWidth="1"/>
    <col min="151" max="151" width="33.28515625" bestFit="1" customWidth="1"/>
    <col min="152" max="152" width="34.7109375" bestFit="1" customWidth="1"/>
    <col min="153" max="153" width="23.5703125" bestFit="1" customWidth="1"/>
    <col min="154" max="154" width="24.42578125" bestFit="1" customWidth="1"/>
    <col min="155" max="155" width="18.42578125" bestFit="1" customWidth="1"/>
    <col min="156" max="156" width="19.85546875" bestFit="1" customWidth="1"/>
    <col min="157" max="157" width="27.85546875" bestFit="1" customWidth="1"/>
    <col min="158" max="158" width="14.42578125" bestFit="1" customWidth="1"/>
    <col min="159" max="159" width="14.5703125" bestFit="1" customWidth="1"/>
    <col min="160" max="161" width="15.28515625" bestFit="1" customWidth="1"/>
    <col min="162" max="162" width="17.5703125" bestFit="1" customWidth="1"/>
    <col min="163" max="163" width="12.85546875" bestFit="1" customWidth="1"/>
    <col min="164" max="164" width="13.5703125" bestFit="1" customWidth="1"/>
    <col min="165" max="165" width="12.7109375" bestFit="1" customWidth="1"/>
    <col min="166" max="166" width="12.28515625" bestFit="1" customWidth="1"/>
    <col min="167" max="167" width="16" bestFit="1" customWidth="1"/>
    <col min="168" max="168" width="17.5703125" bestFit="1" customWidth="1"/>
    <col min="169" max="169" width="12.85546875" bestFit="1" customWidth="1"/>
    <col min="170" max="170" width="13.5703125" bestFit="1" customWidth="1"/>
    <col min="171" max="171" width="12.7109375" bestFit="1" customWidth="1"/>
    <col min="172" max="172" width="12.28515625" bestFit="1" customWidth="1"/>
    <col min="173" max="173" width="16" bestFit="1" customWidth="1"/>
    <col min="174" max="174" width="17.42578125" bestFit="1" customWidth="1"/>
    <col min="175" max="175" width="12" bestFit="1" customWidth="1"/>
    <col min="176" max="177" width="15.42578125" bestFit="1" customWidth="1"/>
    <col min="178" max="178" width="23.85546875" bestFit="1" customWidth="1"/>
    <col min="179" max="180" width="23.7109375" bestFit="1" customWidth="1"/>
    <col min="181" max="181" width="15.28515625" bestFit="1" customWidth="1"/>
    <col min="184" max="184" width="21.5703125" bestFit="1" customWidth="1"/>
    <col min="185" max="185" width="18.85546875" bestFit="1" customWidth="1"/>
    <col min="186" max="186" width="19.28515625" bestFit="1" customWidth="1"/>
  </cols>
  <sheetData>
    <row r="1" spans="1:186">
      <c r="A1" t="str">
        <f>'TEA Revised Non EYZ'!A1</f>
        <v>S1 Stages</v>
      </c>
      <c r="B1" t="str">
        <f>'TEA Revised Non EYZ'!B1</f>
        <v>S1 C_Pt_in [M]</v>
      </c>
      <c r="C1" t="str">
        <f>'TEA Revised Non EYZ'!C1</f>
        <v>S1 C_Pd_in [M]</v>
      </c>
      <c r="D1" t="str">
        <f>'TEA Revised Non EYZ'!D1</f>
        <v>S1 C_Rh_in [M]</v>
      </c>
      <c r="E1" t="str">
        <f>'TEA Revised Non EYZ'!E1</f>
        <v>S1 q_Pt_in [mol PGM/mol ligand]</v>
      </c>
      <c r="F1" t="str">
        <f>'TEA Revised Non EYZ'!F1</f>
        <v>S1 q_Pd_in [mol PGM/mol ligand]</v>
      </c>
      <c r="G1" t="str">
        <f>'TEA Revised Non EYZ'!G1</f>
        <v>S1 q_Rh_in [mol PGM/mol ligand]</v>
      </c>
      <c r="H1" t="str">
        <f>'TEA Revised Non EYZ'!H1</f>
        <v>S1 C_Pt_out [M]</v>
      </c>
      <c r="I1" t="str">
        <f>'TEA Revised Non EYZ'!I1</f>
        <v>S1 C_Pd_out [M]</v>
      </c>
      <c r="J1" t="str">
        <f>'TEA Revised Non EYZ'!J1</f>
        <v>S1 C_Rh_out [M]</v>
      </c>
      <c r="K1" t="str">
        <f>'TEA Revised Non EYZ'!K1</f>
        <v>S1 q_Pt_out [mol PGM/mol ligand]</v>
      </c>
      <c r="L1" t="str">
        <f>'TEA Revised Non EYZ'!L1</f>
        <v>S1 q_Pd_out [mol PGM/mol ligand]</v>
      </c>
      <c r="M1" t="str">
        <f>'TEA Revised Non EYZ'!M1</f>
        <v>S1 q_Rh_out [mol PGM/mol ligand]</v>
      </c>
      <c r="N1" t="str">
        <f>'TEA Revised Non EYZ'!N1</f>
        <v>S1 Material Residual Pt [mol PGM/time]</v>
      </c>
      <c r="O1" t="str">
        <f>'TEA Revised Non EYZ'!O1</f>
        <v>S1 Material Residual Pd [mol PGM/time]</v>
      </c>
      <c r="P1" t="str">
        <f>'TEA Revised Non EYZ'!P1</f>
        <v>S1 Material Residual Rh [mol PGM/time]</v>
      </c>
      <c r="Q1" t="str">
        <f>'TEA Revised Non EYZ'!Q1</f>
        <v>S1 Q_org [L/time]</v>
      </c>
      <c r="R1" t="str">
        <f>'TEA Revised Non EYZ'!R1</f>
        <v>S1 PGM Recovery [%]</v>
      </c>
      <c r="S1" t="str">
        <f>'TEA Revised Non EYZ'!S1</f>
        <v>S1 PPM Mass Total Feed [mg/L]</v>
      </c>
      <c r="T1" t="str">
        <f>'TEA Revised Non EYZ'!T1</f>
        <v>S1 PGM Relative Purity [%]</v>
      </c>
      <c r="U1" t="str">
        <f>'TEA Revised Non EYZ'!U1</f>
        <v>S1 Q_aq [L/time]</v>
      </c>
      <c r="V1" t="str">
        <f>'TEA Revised Non EYZ'!V1</f>
        <v>S1 C_lig [L/time]</v>
      </c>
      <c r="W1" t="str">
        <f>'TEA Revised Non EYZ'!W1</f>
        <v>S1 Q_aq/(Q_org*C_lig) [1/M]</v>
      </c>
      <c r="X1" t="str">
        <f>'TEA Revised Non EYZ'!X1</f>
        <v>S1 Ligand</v>
      </c>
      <c r="Y1" t="str">
        <f>'TEA Revised Non EYZ'!Y1</f>
        <v>S1 ier</v>
      </c>
      <c r="Z1" t="str">
        <f>'TEA Revised Non EYZ'!Z1</f>
        <v>S1 q_max_Pt</v>
      </c>
      <c r="AA1" t="str">
        <f>'TEA Revised Non EYZ'!AA1</f>
        <v>S1 q_max_Pd</v>
      </c>
      <c r="AB1" t="str">
        <f>'TEA Revised Non EYZ'!AB1</f>
        <v>S1 q_max_Rh</v>
      </c>
      <c r="AC1" t="str">
        <f>'TEA Revised Non EYZ'!AC1</f>
        <v>S1 K_eq_Pt</v>
      </c>
      <c r="AD1" t="str">
        <f>'TEA Revised Non EYZ'!AD1</f>
        <v>S1 K_eq_Pd</v>
      </c>
      <c r="AE1" t="str">
        <f>'TEA Revised Non EYZ'!AE1</f>
        <v>S1 K_eq_Rh</v>
      </c>
      <c r="AF1" t="str">
        <f>'TEA Revised Non EYZ'!AF1</f>
        <v>S2 Stages</v>
      </c>
      <c r="AG1" t="str">
        <f>'TEA Revised Non EYZ'!AG1</f>
        <v>S2 C_Pt_in [M]</v>
      </c>
      <c r="AH1" t="str">
        <f>'TEA Revised Non EYZ'!AH1</f>
        <v>S2 C_Pd_in [M]</v>
      </c>
      <c r="AI1" t="str">
        <f>'TEA Revised Non EYZ'!AI1</f>
        <v>S2 C_Rh_in [M]</v>
      </c>
      <c r="AJ1" t="str">
        <f>'TEA Revised Non EYZ'!AJ1</f>
        <v>S2 q_Pt_in [mol PGM/mol ligand]</v>
      </c>
      <c r="AK1" t="str">
        <f>'TEA Revised Non EYZ'!AK1</f>
        <v>S2 q_Pd_in [mol PGM/mol ligand]</v>
      </c>
      <c r="AL1" t="str">
        <f>'TEA Revised Non EYZ'!AL1</f>
        <v>S2 q_Rh_in [mol PGM/mol ligand]</v>
      </c>
      <c r="AM1" t="str">
        <f>'TEA Revised Non EYZ'!AM1</f>
        <v>S2 C_Pt_out [M]</v>
      </c>
      <c r="AN1" t="str">
        <f>'TEA Revised Non EYZ'!AN1</f>
        <v>S2 C_Pd_out [M]</v>
      </c>
      <c r="AO1" t="str">
        <f>'TEA Revised Non EYZ'!AO1</f>
        <v>S2 C_Rh_out [M]</v>
      </c>
      <c r="AP1" t="str">
        <f>'TEA Revised Non EYZ'!AP1</f>
        <v>S2 q_Pt_out [mol PGM/mol ligand]</v>
      </c>
      <c r="AQ1" t="str">
        <f>'TEA Revised Non EYZ'!AQ1</f>
        <v>S2 q_Pd_out [mol PGM/mol ligand]</v>
      </c>
      <c r="AR1" t="str">
        <f>'TEA Revised Non EYZ'!AR1</f>
        <v>S2 q_Rh_out [mol PGM/mol ligand]</v>
      </c>
      <c r="AS1" t="str">
        <f>'TEA Revised Non EYZ'!AS1</f>
        <v>S2 Material Residual Pt [mol PGM/time]</v>
      </c>
      <c r="AT1" t="str">
        <f>'TEA Revised Non EYZ'!AT1</f>
        <v>S2 Material Residual Pd [mol PGM/time]</v>
      </c>
      <c r="AU1" t="str">
        <f>'TEA Revised Non EYZ'!AU1</f>
        <v>S2 Material Residual Rh [mol PGM/time]</v>
      </c>
      <c r="AV1" t="str">
        <f>'TEA Revised Non EYZ'!AV1</f>
        <v>S2 Q_org [L/time]</v>
      </c>
      <c r="AW1" t="str">
        <f>'TEA Revised Non EYZ'!AW1</f>
        <v>S2 PGM Recovery [%]</v>
      </c>
      <c r="AX1" t="str">
        <f>'TEA Revised Non EYZ'!AX1</f>
        <v>S2 PPM Mass Total Feed [mg/L]</v>
      </c>
      <c r="AY1" t="str">
        <f>'TEA Revised Non EYZ'!AY1</f>
        <v>S2 PGM Relative Purity [%]</v>
      </c>
      <c r="AZ1" t="str">
        <f>'TEA Revised Non EYZ'!AZ1</f>
        <v>S2 Q_aq [L/time]</v>
      </c>
      <c r="BA1" t="str">
        <f>'TEA Revised Non EYZ'!BA1</f>
        <v>S2 C_lig [L/time]</v>
      </c>
      <c r="BB1" t="str">
        <f>'TEA Revised Non EYZ'!BB1</f>
        <v>S2 Q_aq/(Q_org*C_lig) [1/M]</v>
      </c>
      <c r="BC1" t="str">
        <f>'TEA Revised Non EYZ'!BC1</f>
        <v>S2 Ligand</v>
      </c>
      <c r="BD1" t="str">
        <f>'TEA Revised Non EYZ'!BD1</f>
        <v>S2 ier</v>
      </c>
      <c r="BE1" t="str">
        <f>'TEA Revised Non EYZ'!BE1</f>
        <v>S2 q_max_Pt</v>
      </c>
      <c r="BF1" t="str">
        <f>'TEA Revised Non EYZ'!BF1</f>
        <v>S2 q_max_Pd</v>
      </c>
      <c r="BG1" t="str">
        <f>'TEA Revised Non EYZ'!BG1</f>
        <v>S2 q_max_Rh</v>
      </c>
      <c r="BH1" t="str">
        <f>'TEA Revised Non EYZ'!BH1</f>
        <v>S2 K_eq_Pt</v>
      </c>
      <c r="BI1" t="str">
        <f>'TEA Revised Non EYZ'!BI1</f>
        <v>S2 K_eq_Pd</v>
      </c>
      <c r="BJ1" t="str">
        <f>'TEA Revised Non EYZ'!BJ1</f>
        <v>S2 K_eq_Rh</v>
      </c>
      <c r="BK1" t="str">
        <f>'TEA Revised Non EYZ'!BK1</f>
        <v>S1 Q_aq Costing [L/min]</v>
      </c>
      <c r="BL1" t="str">
        <f>'TEA Revised Non EYZ'!BL1</f>
        <v>S1 Q_org Costing [L/min]</v>
      </c>
      <c r="BM1" t="str">
        <f>'TEA Revised Non EYZ'!BM1</f>
        <v>S2 Q_aq Costing [L/min]</v>
      </c>
      <c r="BN1" t="str">
        <f>'TEA Revised Non EYZ'!BN1</f>
        <v>S2 Q_org Costing [L/min]</v>
      </c>
      <c r="BO1" t="str">
        <f>'TEA Revised Non EYZ'!BO1</f>
        <v>V_ddFc_Recycle [L]</v>
      </c>
      <c r="BP1" t="str">
        <f>'TEA Revised Non EYZ'!BP1</f>
        <v>V_coeFc_Recycle [L]</v>
      </c>
      <c r="BQ1" t="str">
        <f>'TEA Revised Non EYZ'!BQ1</f>
        <v>ddFc_Recycle [mol]</v>
      </c>
      <c r="BR1" t="str">
        <f>'TEA Revised Non EYZ'!BR1</f>
        <v>coeFc_Recycle [mol]</v>
      </c>
      <c r="BS1" t="s">
        <v>575</v>
      </c>
      <c r="BT1" t="s">
        <v>576</v>
      </c>
      <c r="BU1" t="s">
        <v>577</v>
      </c>
      <c r="BV1" t="s">
        <v>585</v>
      </c>
      <c r="BW1" t="s">
        <v>586</v>
      </c>
      <c r="BX1" t="s">
        <v>587</v>
      </c>
      <c r="BY1" t="s">
        <v>588</v>
      </c>
      <c r="BZ1" t="s">
        <v>589</v>
      </c>
      <c r="CA1" t="s">
        <v>578</v>
      </c>
      <c r="CB1" t="s">
        <v>526</v>
      </c>
      <c r="CC1" t="s">
        <v>527</v>
      </c>
      <c r="CD1" t="s">
        <v>528</v>
      </c>
      <c r="CE1" t="s">
        <v>529</v>
      </c>
      <c r="CF1" s="56" t="s">
        <v>533</v>
      </c>
      <c r="CG1" s="56" t="s">
        <v>534</v>
      </c>
      <c r="CH1" s="56" t="s">
        <v>535</v>
      </c>
      <c r="CI1" s="56" t="s">
        <v>536</v>
      </c>
      <c r="CJ1" s="82" t="s">
        <v>594</v>
      </c>
      <c r="CK1" s="81" t="s">
        <v>595</v>
      </c>
      <c r="CL1" t="s">
        <v>598</v>
      </c>
      <c r="CM1" t="s">
        <v>599</v>
      </c>
      <c r="CN1" t="s">
        <v>600</v>
      </c>
      <c r="CO1" s="79" t="s">
        <v>601</v>
      </c>
      <c r="CP1" t="s">
        <v>602</v>
      </c>
      <c r="CQ1" s="81" t="s">
        <v>597</v>
      </c>
      <c r="CR1" s="81" t="s">
        <v>596</v>
      </c>
      <c r="CS1" s="81" t="s">
        <v>603</v>
      </c>
      <c r="CT1" s="81" t="s">
        <v>604</v>
      </c>
      <c r="CU1" t="s">
        <v>605</v>
      </c>
      <c r="CV1" t="s">
        <v>606</v>
      </c>
      <c r="CW1" t="s">
        <v>607</v>
      </c>
      <c r="CX1" s="81" t="s">
        <v>608</v>
      </c>
      <c r="CY1" s="81" t="s">
        <v>609</v>
      </c>
      <c r="CZ1" s="79" t="s">
        <v>610</v>
      </c>
      <c r="DA1" t="s">
        <v>611</v>
      </c>
      <c r="DB1" t="s">
        <v>612</v>
      </c>
      <c r="DC1" t="s">
        <v>613</v>
      </c>
      <c r="DD1" t="s">
        <v>614</v>
      </c>
      <c r="DE1" t="s">
        <v>615</v>
      </c>
      <c r="DF1" s="54" t="s">
        <v>590</v>
      </c>
      <c r="DG1" s="56" t="s">
        <v>592</v>
      </c>
      <c r="DH1" s="56" t="s">
        <v>591</v>
      </c>
      <c r="DI1" s="56" t="s">
        <v>593</v>
      </c>
      <c r="DJ1" s="56" t="s">
        <v>539</v>
      </c>
      <c r="DK1" s="56" t="s">
        <v>540</v>
      </c>
      <c r="DL1" s="56" t="s">
        <v>541</v>
      </c>
      <c r="DM1" s="56" t="s">
        <v>542</v>
      </c>
      <c r="DN1" t="str">
        <f>'TEA Revised Non EYZ'!CM1</f>
        <v>10000 L/min to ST [for costing]</v>
      </c>
      <c r="DO1" t="str">
        <f>'TEA Revised Non EYZ'!CN1</f>
        <v>CAPEX Labor Ref</v>
      </c>
      <c r="DP1" t="str">
        <f>'TEA Revised Non EYZ'!CO1</f>
        <v>CAPEX Equip Ref</v>
      </c>
      <c r="DQ1" t="str">
        <f>'TEA Revised Non EYZ'!CP1</f>
        <v>CAPEX Steel Ref</v>
      </c>
      <c r="DR1" t="str">
        <f>'TEA Revised Non EYZ'!CQ1</f>
        <v>CAPEX Const Ref</v>
      </c>
      <c r="DS1" t="str">
        <f>'TEA Revised Non EYZ'!CR1</f>
        <v>CAPEX Tax Ref</v>
      </c>
      <c r="DT1" t="str">
        <f>'TEA Revised Non EYZ'!CS1</f>
        <v>S1 labor</v>
      </c>
      <c r="DU1" t="str">
        <f>'TEA Revised Non EYZ'!CT1</f>
        <v>S1 Equip</v>
      </c>
      <c r="DV1" t="str">
        <f>'TEA Revised Non EYZ'!CU1</f>
        <v>S1 Steel</v>
      </c>
      <c r="DW1" t="str">
        <f>'TEA Revised Non EYZ'!CV1</f>
        <v>S1 Const</v>
      </c>
      <c r="DX1" t="str">
        <f>'TEA Revised Non EYZ'!CW1</f>
        <v>S1 Tax</v>
      </c>
      <c r="DY1" s="56" t="str">
        <f>'TEA Revised Non EYZ'!CX1</f>
        <v>CAPEX S1 LLE + EW</v>
      </c>
      <c r="DZ1" t="str">
        <f>'TEA Revised Non EYZ'!CY1</f>
        <v>S2 labor</v>
      </c>
      <c r="EA1" t="str">
        <f>'TEA Revised Non EYZ'!CZ1</f>
        <v>S2 Equip</v>
      </c>
      <c r="EB1" t="str">
        <f>'TEA Revised Non EYZ'!DA1</f>
        <v>S2 Steel</v>
      </c>
      <c r="EC1" t="str">
        <f>'TEA Revised Non EYZ'!DB1</f>
        <v>S2 Const</v>
      </c>
      <c r="ED1" t="str">
        <f>'TEA Revised Non EYZ'!DC1</f>
        <v>S2 Tax</v>
      </c>
      <c r="EE1" s="56" t="str">
        <f>'TEA Revised Non EYZ'!DD1</f>
        <v>CAPEX S2 LLE + EW</v>
      </c>
      <c r="EF1" t="s">
        <v>570</v>
      </c>
      <c r="EG1" t="s">
        <v>618</v>
      </c>
      <c r="EH1" t="s">
        <v>619</v>
      </c>
      <c r="EI1" t="s">
        <v>620</v>
      </c>
      <c r="EJ1" t="s">
        <v>621</v>
      </c>
      <c r="EK1" t="s">
        <v>622</v>
      </c>
      <c r="EL1" s="56" t="s">
        <v>623</v>
      </c>
      <c r="EM1" s="56" t="s">
        <v>624</v>
      </c>
      <c r="EN1" s="56" t="s">
        <v>625</v>
      </c>
      <c r="EO1" s="54" t="s">
        <v>626</v>
      </c>
      <c r="EP1" t="str">
        <f>'TEA Revised Non EYZ'!DG1</f>
        <v>Cost FF Aq OX1 + OX2 [annualized]</v>
      </c>
      <c r="EQ1" t="str">
        <f>'TEA Revised Non EYZ'!DH1</f>
        <v>Cost FF Aq RED1 + RED2 [annualized]</v>
      </c>
      <c r="ER1" t="str">
        <f>'TEA Revised Non EYZ'!DI1</f>
        <v>Cost NaCl Leachate</v>
      </c>
      <c r="ES1" t="str">
        <f>'TEA Revised Non EYZ'!DJ1</f>
        <v>Annual Cost DCM Makeup LLE1 + LLE2</v>
      </c>
      <c r="ET1" t="str">
        <f>'TEA Revised Non EYZ'!DK1</f>
        <v>Annual Cost Ligand Makeup</v>
      </c>
      <c r="EU1" s="56" t="str">
        <f>'TEA Revised Non EYZ'!DL1</f>
        <v>OPEX Chemical Purchase With Tariff</v>
      </c>
      <c r="EV1" t="str">
        <f>'TEA Revised Non EYZ'!DM1</f>
        <v>Mass Ions Entering Leachate [kg/min]</v>
      </c>
      <c r="EW1" t="str">
        <f>'TEA Revised Non EYZ'!DN1</f>
        <v>Mass Ions OX FF [kg/min]</v>
      </c>
      <c r="EX1" t="str">
        <f>'TEA Revised Non EYZ'!DO1</f>
        <v>Mass Ions RED FF [kg/min]</v>
      </c>
      <c r="EY1" t="str">
        <f>'TEA Revised Non EYZ'!DP1</f>
        <v>Mass PGM [kg/min]</v>
      </c>
      <c r="EZ1" t="str">
        <f>'TEA Revised Non EYZ'!DQ1</f>
        <v>Mass Waste [kg/min]</v>
      </c>
      <c r="FA1" s="56" t="str">
        <f>'TEA Revised Non EYZ'!DR1</f>
        <v>Annual Waste Treatment Cost</v>
      </c>
      <c r="FB1" t="s">
        <v>569</v>
      </c>
      <c r="FC1" t="s">
        <v>627</v>
      </c>
      <c r="FD1" t="str">
        <f>'TEA Revised Non EYZ'!DT1</f>
        <v>EW1 Current [A]</v>
      </c>
      <c r="FE1" t="str">
        <f>'TEA Revised Non EYZ'!DU1</f>
        <v>EW2 Current [A]</v>
      </c>
      <c r="FF1" t="str">
        <f>'TEA Revised Non EYZ'!DV1</f>
        <v>Faradaic Efficiency</v>
      </c>
      <c r="FG1" t="str">
        <f>'TEA Revised Non EYZ'!DW1</f>
        <v>opex labor S1</v>
      </c>
      <c r="FH1" t="str">
        <f>'TEA Revised Non EYZ'!DX1</f>
        <v>opex equip S1</v>
      </c>
      <c r="FI1" t="str">
        <f>'TEA Revised Non EYZ'!DY1</f>
        <v>opex steel S1</v>
      </c>
      <c r="FJ1" t="str">
        <f>'TEA Revised Non EYZ'!DZ1</f>
        <v>opex lube S1</v>
      </c>
      <c r="FK1" t="str">
        <f>'TEA Revised Non EYZ'!EA1</f>
        <v>opex sales tax S1</v>
      </c>
      <c r="FL1" t="str">
        <f>'TEA Revised Non EYZ'!EB1</f>
        <v>OPEX Electricity S1</v>
      </c>
      <c r="FM1" t="str">
        <f>'TEA Revised Non EYZ'!EC1</f>
        <v>opex labor S2</v>
      </c>
      <c r="FN1" t="str">
        <f>'TEA Revised Non EYZ'!ED1</f>
        <v>opex equip S2</v>
      </c>
      <c r="FO1" t="str">
        <f>'TEA Revised Non EYZ'!EE1</f>
        <v>opex steel S2</v>
      </c>
      <c r="FP1" t="str">
        <f>'TEA Revised Non EYZ'!EF1</f>
        <v>opex lube S2</v>
      </c>
      <c r="FQ1" t="str">
        <f>'TEA Revised Non EYZ'!EG1</f>
        <v>opex sales tax S2</v>
      </c>
      <c r="FR1" t="str">
        <f>'TEA Revised Non EYZ'!EH1</f>
        <v>opex electricity S2</v>
      </c>
      <c r="FS1" s="56" t="str">
        <f>'TEA Revised Non EYZ'!EI1</f>
        <v>OPEX S1+S2</v>
      </c>
      <c r="FT1" t="s">
        <v>628</v>
      </c>
      <c r="FU1" t="s">
        <v>629</v>
      </c>
      <c r="FV1" t="s">
        <v>630</v>
      </c>
      <c r="FW1" t="s">
        <v>631</v>
      </c>
      <c r="FX1" t="s">
        <v>632</v>
      </c>
      <c r="FY1" s="56" t="s">
        <v>633</v>
      </c>
      <c r="FZ1" s="56" t="s">
        <v>574</v>
      </c>
      <c r="GA1" s="56" t="s">
        <v>419</v>
      </c>
      <c r="GB1" s="56" t="s">
        <v>428</v>
      </c>
      <c r="GC1" s="56" t="s">
        <v>425</v>
      </c>
      <c r="GD1" s="56" t="s">
        <v>426</v>
      </c>
    </row>
    <row r="2" spans="1:186">
      <c r="A2">
        <f>'TEA Revised Non EYZ'!A2</f>
        <v>3</v>
      </c>
      <c r="B2">
        <f>'TEA Revised Non EYZ'!B2</f>
        <v>1.54143585092054E-3</v>
      </c>
      <c r="C2">
        <f>'TEA Revised Non EYZ'!C2</f>
        <v>1.54143585092054E-3</v>
      </c>
      <c r="D2">
        <f>'TEA Revised Non EYZ'!D2</f>
        <v>3.4254130020456501E-4</v>
      </c>
      <c r="E2">
        <f>'TEA Revised Non EYZ'!E2</f>
        <v>0</v>
      </c>
      <c r="F2">
        <f>'TEA Revised Non EYZ'!F2</f>
        <v>0</v>
      </c>
      <c r="G2">
        <f>'TEA Revised Non EYZ'!G2</f>
        <v>0</v>
      </c>
      <c r="H2">
        <f>'TEA Revised Non EYZ'!H2</f>
        <v>1.6300358850230801E-5</v>
      </c>
      <c r="I2">
        <f>'TEA Revised Non EYZ'!I2</f>
        <v>7.4474859607128495E-7</v>
      </c>
      <c r="J2">
        <f>'TEA Revised Non EYZ'!J2</f>
        <v>3.2385704147932398E-4</v>
      </c>
      <c r="K2">
        <f>'TEA Revised Non EYZ'!K2</f>
        <v>8.07271092797512E-2</v>
      </c>
      <c r="L2">
        <f>'TEA Revised Non EYZ'!L2</f>
        <v>8.15504849440159E-2</v>
      </c>
      <c r="M2">
        <f>'TEA Revised Non EYZ'!M2</f>
        <v>9.8897848995466706E-4</v>
      </c>
      <c r="N2">
        <f>'TEA Revised Non EYZ'!N2</f>
        <v>-9.8011876392689601E-17</v>
      </c>
      <c r="O2">
        <f>'TEA Revised Non EYZ'!O2</f>
        <v>1.94289029309402E-16</v>
      </c>
      <c r="P2">
        <f>'TEA Revised Non EYZ'!P2</f>
        <v>-4.3537493488870999E-18</v>
      </c>
      <c r="Q2">
        <f>'TEA Revised Non EYZ'!Q2</f>
        <v>0.18892482409907799</v>
      </c>
      <c r="R2">
        <f>'TEA Revised Non EYZ'!R2</f>
        <v>94.545399718491396</v>
      </c>
      <c r="S2">
        <f>'TEA Revised Non EYZ'!S2</f>
        <v>500</v>
      </c>
      <c r="T2">
        <f>'TEA Revised Non EYZ'!T2</f>
        <v>95</v>
      </c>
      <c r="U2">
        <f>'TEA Revised Non EYZ'!U2</f>
        <v>1</v>
      </c>
      <c r="V2">
        <f>'TEA Revised Non EYZ'!V2</f>
        <v>0.1</v>
      </c>
      <c r="W2">
        <f>'TEA Revised Non EYZ'!W2</f>
        <v>52.931106580020597</v>
      </c>
      <c r="X2" t="str">
        <f>'TEA Revised Non EYZ'!X2</f>
        <v>ddFc</v>
      </c>
      <c r="Y2">
        <f>'TEA Revised Non EYZ'!Y2</f>
        <v>1</v>
      </c>
      <c r="Z2">
        <f>'TEA Revised Non EYZ'!Z2</f>
        <v>0.28318429382522198</v>
      </c>
      <c r="AA2">
        <f>'TEA Revised Non EYZ'!AA2</f>
        <v>0.56945642916197003</v>
      </c>
      <c r="AB2">
        <f>'TEA Revised Non EYZ'!AB2</f>
        <v>3.7698628972227502E-3</v>
      </c>
      <c r="AC2">
        <f>'TEA Revised Non EYZ'!AC2</f>
        <v>1822.2107908876901</v>
      </c>
      <c r="AD2">
        <f>'TEA Revised Non EYZ'!AD2</f>
        <v>2662.6059073104898</v>
      </c>
      <c r="AE2">
        <f>'TEA Revised Non EYZ'!AE2</f>
        <v>2401.5030938442701</v>
      </c>
      <c r="AF2">
        <f>'TEA Revised Non EYZ'!AF2</f>
        <v>4</v>
      </c>
      <c r="AG2">
        <f>'TEA Revised Non EYZ'!AG2</f>
        <v>1.6455478770638001E-3</v>
      </c>
      <c r="AH2">
        <f>'TEA Revised Non EYZ'!AH2</f>
        <v>1.66233163271225E-3</v>
      </c>
      <c r="AI2">
        <f>'TEA Revised Non EYZ'!AI2</f>
        <v>2.0159416943409301E-5</v>
      </c>
      <c r="AJ2">
        <f>'TEA Revised Non EYZ'!AJ2</f>
        <v>0</v>
      </c>
      <c r="AK2">
        <f>'TEA Revised Non EYZ'!AK2</f>
        <v>0</v>
      </c>
      <c r="AL2">
        <f>'TEA Revised Non EYZ'!AL2</f>
        <v>0</v>
      </c>
      <c r="AM2">
        <f>'TEA Revised Non EYZ'!AM2</f>
        <v>1.5983351284394301E-3</v>
      </c>
      <c r="AN2">
        <f>'TEA Revised Non EYZ'!AN2</f>
        <v>6.4131851460064998E-5</v>
      </c>
      <c r="AO2">
        <f>'TEA Revised Non EYZ'!AO2</f>
        <v>1.99910500367739E-5</v>
      </c>
      <c r="AP2">
        <f>'TEA Revised Non EYZ'!AP2</f>
        <v>2.04098585158686E-3</v>
      </c>
      <c r="AQ2">
        <f>'TEA Revised Non EYZ'!AQ2</f>
        <v>6.9089456483383896E-2</v>
      </c>
      <c r="AR2">
        <f>'TEA Revised Non EYZ'!AR2</f>
        <v>7.2784255170584696E-6</v>
      </c>
      <c r="AS2">
        <f>'TEA Revised Non EYZ'!AS2</f>
        <v>-1.4297916149652499E-18</v>
      </c>
      <c r="AT2">
        <f>'TEA Revised Non EYZ'!AT2</f>
        <v>2.4286128663675299E-17</v>
      </c>
      <c r="AU2">
        <f>'TEA Revised Non EYZ'!AU2</f>
        <v>-3.7851784830426501E-21</v>
      </c>
      <c r="AV2">
        <f>'TEA Revised Non EYZ'!AV2</f>
        <v>0.21439625549974001</v>
      </c>
      <c r="AW2">
        <f>'TEA Revised Non EYZ'!AW2</f>
        <v>99.164822538727407</v>
      </c>
      <c r="AX2">
        <f>'TEA Revised Non EYZ'!AX2</f>
        <v>500</v>
      </c>
      <c r="AY2">
        <f>'TEA Revised Non EYZ'!AY2</f>
        <v>95</v>
      </c>
      <c r="AZ2">
        <f>'TEA Revised Non EYZ'!AZ2</f>
        <v>0.92682535301965796</v>
      </c>
      <c r="BA2">
        <f>'TEA Revised Non EYZ'!BA2</f>
        <v>0.1</v>
      </c>
      <c r="BB2">
        <f>'TEA Revised Non EYZ'!BB2</f>
        <v>43.229549455483898</v>
      </c>
      <c r="BC2" t="str">
        <f>'TEA Revised Non EYZ'!BC2</f>
        <v>coeFc</v>
      </c>
      <c r="BD2">
        <f>'TEA Revised Non EYZ'!BD2</f>
        <v>1</v>
      </c>
      <c r="BE2">
        <f>'TEA Revised Non EYZ'!BE2</f>
        <v>1.8775014999999999E-2</v>
      </c>
      <c r="BF2">
        <f>'TEA Revised Non EYZ'!BF2</f>
        <v>0.10492961100000001</v>
      </c>
      <c r="BG2">
        <f>'TEA Revised Non EYZ'!BG2</f>
        <v>1.814625E-3</v>
      </c>
      <c r="BH2">
        <f>'TEA Revised Non EYZ'!BH2</f>
        <v>285.1951444</v>
      </c>
      <c r="BI2">
        <f>'TEA Revised Non EYZ'!BI2</f>
        <v>2169.8944889999998</v>
      </c>
      <c r="BJ2">
        <f>'TEA Revised Non EYZ'!BJ2</f>
        <v>866.49409060000005</v>
      </c>
      <c r="BK2">
        <f>'TEA Revised Non EYZ'!BK2</f>
        <v>100</v>
      </c>
      <c r="BL2">
        <f>'TEA Revised Non EYZ'!BL2</f>
        <v>18.892482409907799</v>
      </c>
      <c r="BM2">
        <f>'TEA Revised Non EYZ'!BM2</f>
        <v>92.6825353019658</v>
      </c>
      <c r="BN2">
        <f>'TEA Revised Non EYZ'!BN2</f>
        <v>21.439625549974</v>
      </c>
      <c r="BO2">
        <f>'TEA Revised Non EYZ'!BO2</f>
        <v>188.92482409907799</v>
      </c>
      <c r="BP2">
        <f>'TEA Revised Non EYZ'!BP2</f>
        <v>257.27550659968801</v>
      </c>
      <c r="BQ2">
        <f>'TEA Revised Non EYZ'!BQ2</f>
        <v>18.892482409907799</v>
      </c>
      <c r="BR2">
        <f>'TEA Revised Non EYZ'!BR2</f>
        <v>25.727550659968802</v>
      </c>
      <c r="BS2">
        <f>'eLLE Bals'!CF2</f>
        <v>11.335489445944679</v>
      </c>
      <c r="BT2">
        <f>'eLLE Bals'!CG2</f>
        <v>12.863775329984399</v>
      </c>
      <c r="BU2">
        <f>BM2</f>
        <v>92.6825353019658</v>
      </c>
      <c r="BV2">
        <f>BU2*(AM2*2+AN2*2+AO2*3)</f>
        <v>0.31372177270804485</v>
      </c>
      <c r="BW2">
        <f>BN2*BA2*(AP2*2+AQ2*2+AR2*3)</f>
        <v>0.30504882378846204</v>
      </c>
      <c r="BX2">
        <f>BV2/(2*V2*BL2+BV2)</f>
        <v>7.6663010910653556E-2</v>
      </c>
      <c r="BY2">
        <f>BU2*BX2</f>
        <v>7.1053222150816371</v>
      </c>
      <c r="BZ2">
        <f>BW2/(2*BN2*BA2+BW2)</f>
        <v>6.6416406490944616E-2</v>
      </c>
      <c r="CA2">
        <f>2*BN2*BA2/0.04</f>
        <v>107.19812774987001</v>
      </c>
      <c r="CB2">
        <f>(BS2+BL2)*2</f>
        <v>60.455943711704961</v>
      </c>
      <c r="CC2">
        <f>(BU2+BL2)*2</f>
        <v>223.1500354237472</v>
      </c>
      <c r="CD2">
        <f>(BT2+BN2)*2</f>
        <v>68.606801759916806</v>
      </c>
      <c r="CE2">
        <f>(CA2+BN2)*2</f>
        <v>257.27550659968801</v>
      </c>
      <c r="CF2">
        <f>'TEA Revised Non EYZ'!CB2</f>
        <v>2493.8076781078298</v>
      </c>
      <c r="CG2">
        <f>'TEA Revised Non EYZ'!CC2</f>
        <v>3396.0366871158817</v>
      </c>
      <c r="CH2">
        <f>'TEA Revised Non EYZ'!CD2</f>
        <v>3012.9816471142385</v>
      </c>
      <c r="CI2">
        <f>'TEA Revised Non EYZ'!CE2</f>
        <v>26193.932801696468</v>
      </c>
      <c r="CJ2">
        <f>BL2*V2</f>
        <v>1.88924824099078</v>
      </c>
      <c r="CK2">
        <f>CJ2/2*1.2</f>
        <v>1.133548944594468</v>
      </c>
      <c r="CL2">
        <f>'eLLE Bals'!CB2*'Oxidant Feed Composition'!$N$20</f>
        <v>6.2974941366359366E-2</v>
      </c>
      <c r="CM2">
        <f>'eLLE Bals'!CB2*'Oxidant Feed Composition'!$N$21</f>
        <v>3.148747068317967</v>
      </c>
      <c r="CN2">
        <f>'eLLE Bals'!CB2*'Oxidant Feed Composition'!$N$22</f>
        <v>0.94462412049539002</v>
      </c>
      <c r="CO2">
        <f>CN2/CK2</f>
        <v>0.83333333333333337</v>
      </c>
      <c r="CP2">
        <f>CO2</f>
        <v>0.83333333333333337</v>
      </c>
      <c r="CQ2">
        <f>CL2/CO2</f>
        <v>7.5569929639631231E-2</v>
      </c>
      <c r="CR2">
        <f>CM2/CO2</f>
        <v>3.7784964819815601</v>
      </c>
      <c r="CS2">
        <f>BN2*BA2</f>
        <v>2.1439625549974002</v>
      </c>
      <c r="CT2">
        <f>CS2/2*1.2</f>
        <v>1.2863775329984402</v>
      </c>
      <c r="CU2">
        <f>'eLLE Bals'!CC2*'Oxidant Feed Composition'!$N$20</f>
        <v>7.1465418499913363E-2</v>
      </c>
      <c r="CV2">
        <f>'eLLE Bals'!CC2*'Oxidant Feed Composition'!$N$21</f>
        <v>3.5732709249956671</v>
      </c>
      <c r="CW2">
        <f>'eLLE Bals'!CC2*'Oxidant Feed Composition'!$N$22</f>
        <v>1.0719812774987001</v>
      </c>
      <c r="CX2">
        <f>CU2/CP2</f>
        <v>8.5758502199896031E-2</v>
      </c>
      <c r="CY2">
        <f>CV2/CP2</f>
        <v>4.2879251099948004</v>
      </c>
      <c r="CZ2">
        <f>CJ2</f>
        <v>1.88924824099078</v>
      </c>
      <c r="DA2">
        <f>'eLLE Bals'!BQ2</f>
        <v>3.7784964819815601</v>
      </c>
      <c r="DB2">
        <f>'eLLE Bals'!BU2</f>
        <v>18.975798734935829</v>
      </c>
      <c r="DC2">
        <f>CS2</f>
        <v>2.1439625549974002</v>
      </c>
      <c r="DD2">
        <f>'eLLE Bals'!BX2</f>
        <v>4.2879251099948004</v>
      </c>
      <c r="DE2">
        <f>'eLLE Bals'!CA2</f>
        <v>25.848728951772728</v>
      </c>
      <c r="DF2">
        <f>2*2*(CJ2*'Reagent cost'!$C$36*122.44/1000+CK2*'Oxidant Feed Composition'!$N$26+CQ2*'Reagent cost'!$C$34+CR2*'Reagent cost'!$C$35)</f>
        <v>159.58047571195635</v>
      </c>
      <c r="DG2">
        <f>2*2*(CS2*'Reagent cost'!$C$36*122.44/1000+CT2*'Oxidant Feed Composition'!$N$26+CX2*'Reagent cost'!$C$34+CY2*'Reagent cost'!$C$35)</f>
        <v>181.09561094823655</v>
      </c>
      <c r="DH2">
        <f>(AF2+3)*2*(CZ2*'Reagent cost'!$C$38+DA2*'Reagent cost'!$C$39+DB2*'Reagent cost'!$C$36*122.44/1000)</f>
        <v>2414.9987137573976</v>
      </c>
      <c r="DI2">
        <f>3*2*(DC2*'Reagent cost'!$C$38+DD2*'Reagent cost'!$C$39+DE2*'Reagent cost'!$C$36*122.44/1000)</f>
        <v>1398.381549683601</v>
      </c>
      <c r="DJ2">
        <f>7963.6*(CB2/1000)^0.6*1.7*('CAPEX+OPEX'!$G$116/'CAPEX+OPEX'!$G$115)</f>
        <v>2965.5437179814326</v>
      </c>
      <c r="DK2">
        <f>7963.6*(CC2/1000)^0.6*1.7*('CAPEX+OPEX'!$G$116/'CAPEX+OPEX'!$G$115)</f>
        <v>6492.3078360569407</v>
      </c>
      <c r="DL2">
        <f>7963.6*(CD2/1000)^0.6*1.7*('CAPEX+OPEX'!$G$116/'CAPEX+OPEX'!$G$115)</f>
        <v>3199.3461630818579</v>
      </c>
      <c r="DM2">
        <f>7963.6*(CE2/1000)^0.6*1.7*('CAPEX+OPEX'!$G$116/'CAPEX+OPEX'!$G$115)</f>
        <v>7070.9862558210971</v>
      </c>
      <c r="DN2">
        <f>'TEA Revised Non EYZ'!CM2</f>
        <v>39625.826528698344</v>
      </c>
      <c r="DO2">
        <f>'TEA Revised Non EYZ'!CN2</f>
        <v>4586243.4239371875</v>
      </c>
      <c r="DP2">
        <f>'TEA Revised Non EYZ'!CO2</f>
        <v>11794834.586807497</v>
      </c>
      <c r="DQ2">
        <f>'TEA Revised Non EYZ'!CP2</f>
        <v>2275209.1661185985</v>
      </c>
      <c r="DR2">
        <f>'TEA Revised Non EYZ'!CQ2</f>
        <v>14083914.336508472</v>
      </c>
      <c r="DS2">
        <f>'TEA Revised Non EYZ'!CR2</f>
        <v>1662824.8986326549</v>
      </c>
      <c r="DT2">
        <f>'TEA Revised Non EYZ'!CS2</f>
        <v>461850.0978118488</v>
      </c>
      <c r="DU2">
        <f>'TEA Revised Non EYZ'!CT2</f>
        <v>1187779.4098672394</v>
      </c>
      <c r="DV2">
        <f>'TEA Revised Non EYZ'!CU2</f>
        <v>229121.19544936769</v>
      </c>
      <c r="DW2">
        <f>'TEA Revised Non EYZ'!CV2</f>
        <v>1418297.4196136401</v>
      </c>
      <c r="DX2">
        <f>'TEA Revised Non EYZ'!CW2</f>
        <v>167452.04540804314</v>
      </c>
      <c r="DY2">
        <f>'TEA Revised Non EYZ'!CX2</f>
        <v>3464500.168150139</v>
      </c>
      <c r="DZ2">
        <f>'TEA Revised Non EYZ'!CY2</f>
        <v>499902.7657598143</v>
      </c>
      <c r="EA2">
        <f>'TEA Revised Non EYZ'!CZ2</f>
        <v>1285642.7116035565</v>
      </c>
      <c r="EB2">
        <f>'TEA Revised Non EYZ'!DA2</f>
        <v>247998.90666255786</v>
      </c>
      <c r="EC2">
        <f>'TEA Revised Non EYZ'!DB2</f>
        <v>1535153.5186286946</v>
      </c>
      <c r="ED2">
        <f>'TEA Revised Non EYZ'!DC2</f>
        <v>181248.72340228659</v>
      </c>
      <c r="EE2">
        <f>'TEA Revised Non EYZ'!DD2</f>
        <v>3749946.6260569096</v>
      </c>
      <c r="EF2">
        <v>0.7</v>
      </c>
      <c r="EG2">
        <v>100</v>
      </c>
      <c r="EH2">
        <f>96485*BL2*V2/EF2/EG2/60</f>
        <v>43.40098012666558</v>
      </c>
      <c r="EI2">
        <f>96485*BN2*BA2/EF2/EG2/60</f>
        <v>49.252435028315283</v>
      </c>
      <c r="EJ2">
        <f>EH2*('CAPEX+OPEX'!$O$25+'CAPEX+OPEX'!$O$26)</f>
        <v>1383276.0385970853</v>
      </c>
      <c r="EK2">
        <f>EI2*('CAPEX+OPEX'!$O$25+'CAPEX+OPEX'!$O$26)</f>
        <v>1569773.6092224647</v>
      </c>
      <c r="EL2">
        <f>EJ2*1.12/0.6*'CAPEX+OPEX'!$G$116/'CAPEX+OPEX'!$G$115</f>
        <v>3045497.132381544</v>
      </c>
      <c r="EM2">
        <f>EK2*1.12/0.6*'CAPEX+OPEX'!$G$116/'CAPEX+OPEX'!$G$115</f>
        <v>3456100.5121030342</v>
      </c>
      <c r="EN2">
        <f>EL2+EM2+DY2+EE2+1.15*(SUM(DF2:DM2)+SUM(CF2:CI2))</f>
        <v>13783870.287699265</v>
      </c>
      <c r="EO2">
        <f>EN2/15</f>
        <v>918924.68584661768</v>
      </c>
      <c r="EP2">
        <f>('eLLE Bals'!CB2+'eLLE Bals'!CC2)*'Oxidant Feed Composition'!$N$25*60*7200</f>
        <v>16240796.117024412</v>
      </c>
      <c r="EQ2" s="83">
        <f>('eLLE Bals'!BR2+'eLLE Bals'!BY2)*'Reagent cost'!$C$38*60*7200</f>
        <v>524115.24276920466</v>
      </c>
      <c r="ER2">
        <f>'TEA Revised Non EYZ'!DI2</f>
        <v>504921.59999999998</v>
      </c>
      <c r="ES2">
        <f>'TEA Revised Non EYZ'!DJ2</f>
        <v>58.898443652237113</v>
      </c>
      <c r="ET2">
        <f>'TEA Revised Non EYZ'!DK2</f>
        <v>584.13828897621408</v>
      </c>
      <c r="EU2">
        <f>1.2*SUM(EP2:ET2)</f>
        <v>20724571.195831489</v>
      </c>
      <c r="EV2">
        <f>'TEA Revised Non EYZ'!DM2</f>
        <v>0.70639694042110623</v>
      </c>
      <c r="EW2">
        <f>(BS2*CO2+BT2*CP2)/1000*('Oxidant Feed Composition'!$B$11*'Oxidant Feed Composition'!$O$20+'Oxidant Feed Composition'!$D$11*'Oxidant Feed Composition'!$O$21+'Oxidant Feed Composition'!$F$11*'Oxidant Feed Composition'!$O$27-'Oxidant Feed Composition'!$J$15*18.015)</f>
        <v>2.3550833376625668</v>
      </c>
      <c r="EX2">
        <f>(CZ2*BX2+DC2*BZ2)*368.34/1000</f>
        <v>0.10579820503432018</v>
      </c>
      <c r="EY2">
        <f>'TEA Revised Non EYZ'!DP2</f>
        <v>4.999938342565946E-2</v>
      </c>
      <c r="EZ2">
        <f>SUM(EV2:EX2)-EY2</f>
        <v>3.1172790996923339</v>
      </c>
      <c r="FA2">
        <f>EZ2*0.33*60*7200</f>
        <v>444399.30845213908</v>
      </c>
      <c r="FB2">
        <f>'TEA Revised Non EYZ'!DS2</f>
        <v>1.2</v>
      </c>
      <c r="FC2">
        <v>0.5</v>
      </c>
      <c r="FD2">
        <f>'TEA Revised Non EYZ'!DT2</f>
        <v>1401.3235056334981</v>
      </c>
      <c r="FE2">
        <f>'TEA Revised Non EYZ'!DU2</f>
        <v>720.88174659145932</v>
      </c>
      <c r="FF2">
        <f>'TEA Revised Non EYZ'!DV2</f>
        <v>0.7</v>
      </c>
      <c r="FG2">
        <f>'TEA Revised Non EYZ'!DW2</f>
        <v>27520.276190787874</v>
      </c>
      <c r="FH2">
        <f>'TEA Revised Non EYZ'!DX2</f>
        <v>16610.439588917834</v>
      </c>
      <c r="FI2">
        <f>'TEA Revised Non EYZ'!DY2</f>
        <v>7032.645793695051</v>
      </c>
      <c r="FJ2">
        <f>'TEA Revised Non EYZ'!DZ2</f>
        <v>3725.3886787897172</v>
      </c>
      <c r="FK2">
        <f>'TEA Revised Non EYZ'!EA2</f>
        <v>3750.7444233040283</v>
      </c>
      <c r="FL2">
        <f>'TEA Revised Non EYZ'!EB2</f>
        <v>847.52045620713966</v>
      </c>
      <c r="FM2">
        <f>'TEA Revised Non EYZ'!EC2</f>
        <v>28370.153420241466</v>
      </c>
      <c r="FN2">
        <f>'TEA Revised Non EYZ'!ED2</f>
        <v>19455.45293762091</v>
      </c>
      <c r="FO2">
        <f>'TEA Revised Non EYZ'!EE2</f>
        <v>8237.1877356862715</v>
      </c>
      <c r="FP2">
        <f>'TEA Revised Non EYZ'!EF2</f>
        <v>4365.7898317079243</v>
      </c>
      <c r="FQ2">
        <f>'TEA Revised Non EYZ'!EG2</f>
        <v>4393.1667923660125</v>
      </c>
      <c r="FR2">
        <f>'TEA Revised Non EYZ'!EH2</f>
        <v>435.98928033851462</v>
      </c>
      <c r="FS2">
        <f>'TEA Revised Non EYZ'!EI2</f>
        <v>124744.75512966275</v>
      </c>
      <c r="FT2">
        <f>EG2*EH2</f>
        <v>4340.0980126665581</v>
      </c>
      <c r="FU2">
        <f>EG2*EI2</f>
        <v>4925.2435028315285</v>
      </c>
      <c r="FV2">
        <f>FC2*(FT2+FU2)/(3.6*10^6)*3600*7200*0.07</f>
        <v>2334.8660619055177</v>
      </c>
      <c r="FW2">
        <f>('CAPEX+OPEX'!$C$39/7/100+0.03)*EL2</f>
        <v>156625.56680819369</v>
      </c>
      <c r="FX2">
        <f>('CAPEX+OPEX'!$C$39/7/100+0.03)*EM2</f>
        <v>177742.31205101317</v>
      </c>
      <c r="FY2">
        <f>SUM(FV2:FX2)</f>
        <v>336702.74492111237</v>
      </c>
      <c r="FZ2">
        <f>FY2+FA2+FS2+EU2</f>
        <v>21630418.004334401</v>
      </c>
      <c r="GA2">
        <f>FZ2+EO2</f>
        <v>22549342.690181021</v>
      </c>
      <c r="GB2">
        <f>GA2/(BK2*60*7200)</f>
        <v>0.52197552523567181</v>
      </c>
      <c r="GC2">
        <f>'TEA Revised Non EYZ'!EM2/'TEA Revised Non EYZ'!EK2*GA2</f>
        <v>1756.161092836644</v>
      </c>
      <c r="GD2">
        <f>'TEA Revised Non EYZ'!EN2/'TEA Revised Non EYZ'!EK2*GA2</f>
        <v>3140.885360457647</v>
      </c>
    </row>
    <row r="3" spans="1:186">
      <c r="A3">
        <f>'TEA Revised Non EYZ'!A3</f>
        <v>3</v>
      </c>
      <c r="B3">
        <f>'TEA Revised Non EYZ'!B3</f>
        <v>1.54143585092054E-3</v>
      </c>
      <c r="C3">
        <f>'TEA Revised Non EYZ'!C3</f>
        <v>1.54143585092054E-3</v>
      </c>
      <c r="D3">
        <f>'TEA Revised Non EYZ'!D3</f>
        <v>3.4254130020456501E-4</v>
      </c>
      <c r="E3">
        <f>'TEA Revised Non EYZ'!E3</f>
        <v>0</v>
      </c>
      <c r="F3">
        <f>'TEA Revised Non EYZ'!F3</f>
        <v>0</v>
      </c>
      <c r="G3">
        <f>'TEA Revised Non EYZ'!G3</f>
        <v>0</v>
      </c>
      <c r="H3">
        <f>'TEA Revised Non EYZ'!H3</f>
        <v>1.6300358850230801E-5</v>
      </c>
      <c r="I3">
        <f>'TEA Revised Non EYZ'!I3</f>
        <v>7.4474859607128495E-7</v>
      </c>
      <c r="J3">
        <f>'TEA Revised Non EYZ'!J3</f>
        <v>3.2385704147932398E-4</v>
      </c>
      <c r="K3">
        <f>'TEA Revised Non EYZ'!K3</f>
        <v>8.07271092797512E-2</v>
      </c>
      <c r="L3">
        <f>'TEA Revised Non EYZ'!L3</f>
        <v>8.15504849440159E-2</v>
      </c>
      <c r="M3">
        <f>'TEA Revised Non EYZ'!M3</f>
        <v>9.8897848995466706E-4</v>
      </c>
      <c r="N3">
        <f>'TEA Revised Non EYZ'!N3</f>
        <v>-9.8011876392689601E-17</v>
      </c>
      <c r="O3">
        <f>'TEA Revised Non EYZ'!O3</f>
        <v>1.94289029309402E-16</v>
      </c>
      <c r="P3">
        <f>'TEA Revised Non EYZ'!P3</f>
        <v>-4.3537493488870999E-18</v>
      </c>
      <c r="Q3">
        <f>'TEA Revised Non EYZ'!Q3</f>
        <v>0.18892482409907799</v>
      </c>
      <c r="R3">
        <f>'TEA Revised Non EYZ'!R3</f>
        <v>94.545399718491396</v>
      </c>
      <c r="S3">
        <f>'TEA Revised Non EYZ'!S3</f>
        <v>500</v>
      </c>
      <c r="T3">
        <f>'TEA Revised Non EYZ'!T3</f>
        <v>95</v>
      </c>
      <c r="U3">
        <f>'TEA Revised Non EYZ'!U3</f>
        <v>1</v>
      </c>
      <c r="V3">
        <f>'TEA Revised Non EYZ'!V3</f>
        <v>0.1</v>
      </c>
      <c r="W3">
        <f>'TEA Revised Non EYZ'!W3</f>
        <v>52.931106580020597</v>
      </c>
      <c r="X3" t="str">
        <f>'TEA Revised Non EYZ'!X3</f>
        <v>ddFc</v>
      </c>
      <c r="Y3">
        <f>'TEA Revised Non EYZ'!Y3</f>
        <v>1</v>
      </c>
      <c r="Z3">
        <f>'TEA Revised Non EYZ'!Z3</f>
        <v>0.28318429382522198</v>
      </c>
      <c r="AA3">
        <f>'TEA Revised Non EYZ'!AA3</f>
        <v>0.56945642916197003</v>
      </c>
      <c r="AB3">
        <f>'TEA Revised Non EYZ'!AB3</f>
        <v>3.7698628972227502E-3</v>
      </c>
      <c r="AC3">
        <f>'TEA Revised Non EYZ'!AC3</f>
        <v>1822.2107908876901</v>
      </c>
      <c r="AD3">
        <f>'TEA Revised Non EYZ'!AD3</f>
        <v>2662.6059073104898</v>
      </c>
      <c r="AE3">
        <f>'TEA Revised Non EYZ'!AE3</f>
        <v>2401.5030938442701</v>
      </c>
      <c r="AF3">
        <f>'TEA Revised Non EYZ'!AF3</f>
        <v>5</v>
      </c>
      <c r="AG3">
        <f>'TEA Revised Non EYZ'!AG3</f>
        <v>1.6455478770638001E-3</v>
      </c>
      <c r="AH3">
        <f>'TEA Revised Non EYZ'!AH3</f>
        <v>1.66233163271225E-3</v>
      </c>
      <c r="AI3">
        <f>'TEA Revised Non EYZ'!AI3</f>
        <v>2.0159416943409301E-5</v>
      </c>
      <c r="AJ3">
        <f>'TEA Revised Non EYZ'!AJ3</f>
        <v>0</v>
      </c>
      <c r="AK3">
        <f>'TEA Revised Non EYZ'!AK3</f>
        <v>0</v>
      </c>
      <c r="AL3">
        <f>'TEA Revised Non EYZ'!AL3</f>
        <v>0</v>
      </c>
      <c r="AM3">
        <f>'TEA Revised Non EYZ'!AM3</f>
        <v>1.6052842060858799E-3</v>
      </c>
      <c r="AN3">
        <f>'TEA Revised Non EYZ'!AN3</f>
        <v>6.4473619347604606E-5</v>
      </c>
      <c r="AO3">
        <f>'TEA Revised Non EYZ'!AO3</f>
        <v>2.0015023078929502E-5</v>
      </c>
      <c r="AP3">
        <f>'TEA Revised Non EYZ'!AP3</f>
        <v>1.83001337116067E-3</v>
      </c>
      <c r="AQ3">
        <f>'TEA Revised Non EYZ'!AQ3</f>
        <v>7.2623818410792906E-2</v>
      </c>
      <c r="AR3">
        <f>'TEA Revised Non EYZ'!AR3</f>
        <v>6.5628070240175303E-6</v>
      </c>
      <c r="AS3">
        <f>'TEA Revised Non EYZ'!AS3</f>
        <v>-1.0199428649750001E-15</v>
      </c>
      <c r="AT3">
        <f>'TEA Revised Non EYZ'!AT3</f>
        <v>-2.9988815250514499E-14</v>
      </c>
      <c r="AU3">
        <f>'TEA Revised Non EYZ'!AU3</f>
        <v>-1.2040043949627799E-18</v>
      </c>
      <c r="AV3">
        <f>'TEA Revised Non EYZ'!AV3</f>
        <v>0.20391867981453801</v>
      </c>
      <c r="AW3">
        <f>'TEA Revised Non EYZ'!AW3</f>
        <v>99.283739877571406</v>
      </c>
      <c r="AX3">
        <f>'TEA Revised Non EYZ'!AX3</f>
        <v>500</v>
      </c>
      <c r="AY3">
        <f>'TEA Revised Non EYZ'!AY3</f>
        <v>95</v>
      </c>
      <c r="AZ3">
        <f>'TEA Revised Non EYZ'!AZ3</f>
        <v>0.92682535301965796</v>
      </c>
      <c r="BA3">
        <f>'TEA Revised Non EYZ'!BA3</f>
        <v>0.1</v>
      </c>
      <c r="BB3">
        <f>'TEA Revised Non EYZ'!BB3</f>
        <v>45.450733295379898</v>
      </c>
      <c r="BC3" t="str">
        <f>'TEA Revised Non EYZ'!BC3</f>
        <v>coeFc</v>
      </c>
      <c r="BD3">
        <f>'TEA Revised Non EYZ'!BD3</f>
        <v>1</v>
      </c>
      <c r="BE3">
        <f>'TEA Revised Non EYZ'!BE3</f>
        <v>1.8775014999999999E-2</v>
      </c>
      <c r="BF3">
        <f>'TEA Revised Non EYZ'!BF3</f>
        <v>0.10492961100000001</v>
      </c>
      <c r="BG3">
        <f>'TEA Revised Non EYZ'!BG3</f>
        <v>1.814625E-3</v>
      </c>
      <c r="BH3">
        <f>'TEA Revised Non EYZ'!BH3</f>
        <v>285.1951444</v>
      </c>
      <c r="BI3">
        <f>'TEA Revised Non EYZ'!BI3</f>
        <v>2169.8944889999998</v>
      </c>
      <c r="BJ3">
        <f>'TEA Revised Non EYZ'!BJ3</f>
        <v>866.49409060000005</v>
      </c>
      <c r="BK3">
        <f>'TEA Revised Non EYZ'!BK3</f>
        <v>100</v>
      </c>
      <c r="BL3">
        <f>'TEA Revised Non EYZ'!BL3</f>
        <v>18.892482409907799</v>
      </c>
      <c r="BM3">
        <f>'TEA Revised Non EYZ'!BM3</f>
        <v>92.6825353019658</v>
      </c>
      <c r="BN3">
        <f>'TEA Revised Non EYZ'!BN3</f>
        <v>20.3918679814538</v>
      </c>
      <c r="BO3">
        <f>'TEA Revised Non EYZ'!BO3</f>
        <v>188.92482409907799</v>
      </c>
      <c r="BP3">
        <f>'TEA Revised Non EYZ'!BP3</f>
        <v>285.48615174035319</v>
      </c>
      <c r="BQ3">
        <f>'TEA Revised Non EYZ'!BQ3</f>
        <v>18.892482409907799</v>
      </c>
      <c r="BR3">
        <f>'TEA Revised Non EYZ'!BR3</f>
        <v>28.548615174035319</v>
      </c>
      <c r="BS3">
        <f>'eLLE Bals'!CF3</f>
        <v>11.335489445944679</v>
      </c>
      <c r="BT3">
        <f>'eLLE Bals'!CG3</f>
        <v>12.23512078887228</v>
      </c>
      <c r="BU3">
        <f>BM3</f>
        <v>92.6825353019658</v>
      </c>
      <c r="BV3">
        <f>BU3*(AM3*2+AN3*2+AO3*3)</f>
        <v>0.3150799064521928</v>
      </c>
      <c r="BW3">
        <f>BN3*BA3*(AP3*2+AQ3*2+AR3*3)</f>
        <v>0.3036906900505198</v>
      </c>
      <c r="BX3">
        <f>BV3/(2*V3*BL3+BV3)</f>
        <v>7.6969348206726837E-2</v>
      </c>
      <c r="BY3">
        <f>BU3*BX3</f>
        <v>7.1337143323392578</v>
      </c>
      <c r="BZ3">
        <f>BW3/(2*BN3*BA3+BW3)</f>
        <v>6.9303111548845053E-2</v>
      </c>
      <c r="CA3">
        <f>2*BN3*BA3/0.04</f>
        <v>101.959339907269</v>
      </c>
      <c r="CB3">
        <f>(BS3+BL3)*2</f>
        <v>60.455943711704961</v>
      </c>
      <c r="CC3">
        <f>(BU3+BL3)*2</f>
        <v>223.1500354237472</v>
      </c>
      <c r="CD3">
        <f>(BT3+BN3)*2</f>
        <v>65.253977540652158</v>
      </c>
      <c r="CE3">
        <f>(CA3+BN3)*2</f>
        <v>244.70241577744559</v>
      </c>
      <c r="CF3">
        <f>'TEA Revised Non EYZ'!CB3</f>
        <v>2493.8076781078298</v>
      </c>
      <c r="CG3">
        <f>'TEA Revised Non EYZ'!CC3</f>
        <v>3768.4172029726624</v>
      </c>
      <c r="CH3">
        <f>'TEA Revised Non EYZ'!CD3</f>
        <v>3012.9816471142385</v>
      </c>
      <c r="CI3">
        <f>'TEA Revised Non EYZ'!CE3</f>
        <v>29066.136817047478</v>
      </c>
      <c r="CJ3">
        <f>BL3*V3</f>
        <v>1.88924824099078</v>
      </c>
      <c r="CK3">
        <f>CJ3/2*1.2</f>
        <v>1.133548944594468</v>
      </c>
      <c r="CL3">
        <f>'eLLE Bals'!CB3*'Oxidant Feed Composition'!$N$20</f>
        <v>6.2974941366359366E-2</v>
      </c>
      <c r="CM3">
        <f>'eLLE Bals'!CB3*'Oxidant Feed Composition'!$N$21</f>
        <v>3.148747068317967</v>
      </c>
      <c r="CN3">
        <f>'eLLE Bals'!CB3*'Oxidant Feed Composition'!$N$22</f>
        <v>0.94462412049539002</v>
      </c>
      <c r="CO3">
        <f>CN3/CK3</f>
        <v>0.83333333333333337</v>
      </c>
      <c r="CP3">
        <f>CO3</f>
        <v>0.83333333333333337</v>
      </c>
      <c r="CQ3">
        <f>CL3/CO3</f>
        <v>7.5569929639631231E-2</v>
      </c>
      <c r="CR3">
        <f>CM3/CO3</f>
        <v>3.7784964819815601</v>
      </c>
      <c r="CS3">
        <f>BN3*BA3</f>
        <v>2.03918679814538</v>
      </c>
      <c r="CT3">
        <f>CS3/2*1.2</f>
        <v>1.223512078887228</v>
      </c>
      <c r="CU3">
        <f>'eLLE Bals'!CC3*'Oxidant Feed Composition'!$N$20</f>
        <v>6.7972893271512694E-2</v>
      </c>
      <c r="CV3">
        <f>'eLLE Bals'!CC3*'Oxidant Feed Composition'!$N$21</f>
        <v>3.3986446635756336</v>
      </c>
      <c r="CW3">
        <f>'eLLE Bals'!CC3*'Oxidant Feed Composition'!$N$22</f>
        <v>1.01959339907269</v>
      </c>
      <c r="CX3">
        <f>CU3/CP3</f>
        <v>8.1567471925815233E-2</v>
      </c>
      <c r="CY3">
        <f>CV3/CP3</f>
        <v>4.0783735962907599</v>
      </c>
      <c r="CZ3">
        <f>CJ3</f>
        <v>1.88924824099078</v>
      </c>
      <c r="DA3">
        <f>'eLLE Bals'!BQ3</f>
        <v>3.7784964819815601</v>
      </c>
      <c r="DB3">
        <f>'eLLE Bals'!BU3</f>
        <v>18.877717659303535</v>
      </c>
      <c r="DC3">
        <f>CS3</f>
        <v>2.03918679814538</v>
      </c>
      <c r="DD3">
        <f>'eLLE Bals'!BX3</f>
        <v>4.0783735962907599</v>
      </c>
      <c r="DE3">
        <f>'eLLE Bals'!CA3</f>
        <v>23.306613391875818</v>
      </c>
      <c r="DF3">
        <f>2*2*(CJ3*'Reagent cost'!$C$36*122.44/1000+CK3*'Oxidant Feed Composition'!$N$26+CQ3*'Reagent cost'!$C$34+CR3*'Reagent cost'!$C$35)</f>
        <v>159.58047571195635</v>
      </c>
      <c r="DG3">
        <f>2*2*(CS3*'Reagent cost'!$C$36*122.44/1000+CT3*'Oxidant Feed Composition'!$N$26+CX3*'Reagent cost'!$C$34+CY3*'Reagent cost'!$C$35)</f>
        <v>172.24544252740634</v>
      </c>
      <c r="DH3">
        <f>(AF3+3)*2*(CZ3*'Reagent cost'!$C$38+DA3*'Reagent cost'!$C$39+DB3*'Reagent cost'!$C$36*122.44/1000)</f>
        <v>2746.4292677347339</v>
      </c>
      <c r="DI3">
        <f>3*2*(DC3*'Reagent cost'!$C$38+DD3*'Reagent cost'!$C$39+DE3*'Reagent cost'!$C$36*122.44/1000)</f>
        <v>1263.6935625768288</v>
      </c>
      <c r="DJ3">
        <f>7963.6*(CB3/1000)^0.6*1.7*('CAPEX+OPEX'!$G$116/'CAPEX+OPEX'!$G$115)</f>
        <v>2965.5437179814326</v>
      </c>
      <c r="DK3">
        <f>7963.6*(CC3/1000)^0.6*1.7*('CAPEX+OPEX'!$G$116/'CAPEX+OPEX'!$G$115)</f>
        <v>6492.3078360569407</v>
      </c>
      <c r="DL3">
        <f>7963.6*(CD3/1000)^0.6*1.7*('CAPEX+OPEX'!$G$116/'CAPEX+OPEX'!$G$115)</f>
        <v>3104.5961983371071</v>
      </c>
      <c r="DM3">
        <f>7963.6*(CE3/1000)^0.6*1.7*('CAPEX+OPEX'!$G$116/'CAPEX+OPEX'!$G$115)</f>
        <v>6861.5760625195089</v>
      </c>
      <c r="DN3">
        <f>'TEA Revised Non EYZ'!CM3</f>
        <v>39625.826528698344</v>
      </c>
      <c r="DO3">
        <f>'TEA Revised Non EYZ'!CN3</f>
        <v>4586243.4239371875</v>
      </c>
      <c r="DP3">
        <f>'TEA Revised Non EYZ'!CO3</f>
        <v>11794834.586807497</v>
      </c>
      <c r="DQ3">
        <f>'TEA Revised Non EYZ'!CP3</f>
        <v>2275209.1661185985</v>
      </c>
      <c r="DR3">
        <f>'TEA Revised Non EYZ'!CQ3</f>
        <v>14083914.336508472</v>
      </c>
      <c r="DS3">
        <f>'TEA Revised Non EYZ'!CR3</f>
        <v>1662824.8986326549</v>
      </c>
      <c r="DT3">
        <f>'TEA Revised Non EYZ'!CS3</f>
        <v>461850.0978118488</v>
      </c>
      <c r="DU3">
        <f>'TEA Revised Non EYZ'!CT3</f>
        <v>1187779.4098672394</v>
      </c>
      <c r="DV3">
        <f>'TEA Revised Non EYZ'!CU3</f>
        <v>229121.19544936769</v>
      </c>
      <c r="DW3">
        <f>'TEA Revised Non EYZ'!CV3</f>
        <v>1418297.4196136401</v>
      </c>
      <c r="DX3">
        <f>'TEA Revised Non EYZ'!CW3</f>
        <v>167452.04540804314</v>
      </c>
      <c r="DY3">
        <f>'TEA Revised Non EYZ'!CX3</f>
        <v>3464500.168150139</v>
      </c>
      <c r="DZ3">
        <f>'TEA Revised Non EYZ'!CY3</f>
        <v>557691.83628610906</v>
      </c>
      <c r="EA3">
        <f>'TEA Revised Non EYZ'!CZ3</f>
        <v>1434263.8083873487</v>
      </c>
      <c r="EB3">
        <f>'TEA Revised Non EYZ'!DA3</f>
        <v>276667.73446106695</v>
      </c>
      <c r="EC3">
        <f>'TEA Revised Non EYZ'!DB3</f>
        <v>1712618.2198329037</v>
      </c>
      <c r="ED3">
        <f>'TEA Revised Non EYZ'!DC3</f>
        <v>202201.18851532842</v>
      </c>
      <c r="EE3">
        <f>'TEA Revised Non EYZ'!DD3</f>
        <v>4183442.7874827567</v>
      </c>
      <c r="EF3">
        <v>0.7</v>
      </c>
      <c r="EG3">
        <v>100</v>
      </c>
      <c r="EH3">
        <f>96485*BL3*V3/EF3/EG3/60</f>
        <v>43.40098012666558</v>
      </c>
      <c r="EI3">
        <f>96485*BN3*BA3/EF3/EG3/60</f>
        <v>46.845461480727856</v>
      </c>
      <c r="EJ3">
        <f>EH3*('CAPEX+OPEX'!$O$25+'CAPEX+OPEX'!$O$26)</f>
        <v>1383276.0385970853</v>
      </c>
      <c r="EK3">
        <f>EI3*('CAPEX+OPEX'!$O$25+'CAPEX+OPEX'!$O$26)</f>
        <v>1493058.5483137583</v>
      </c>
      <c r="EL3">
        <f>EJ3*1.12/0.6*'CAPEX+OPEX'!$G$116/'CAPEX+OPEX'!$G$115</f>
        <v>3045497.132381544</v>
      </c>
      <c r="EM3">
        <f>EK3*1.12/0.6*'CAPEX+OPEX'!$G$116/'CAPEX+OPEX'!$G$115</f>
        <v>3287200.3855275079</v>
      </c>
      <c r="EN3">
        <f>EL3+EM3+DY3+EE3+1.15*(SUM(DF3:DM3)+SUM(CF3:CI3))</f>
        <v>14052063.88683694</v>
      </c>
      <c r="EO3">
        <f>EN3/15</f>
        <v>936804.25912246271</v>
      </c>
      <c r="EP3">
        <f>('eLLE Bals'!CB3+'eLLE Bals'!CC3)*'Oxidant Feed Composition'!$N$25*60*7200</f>
        <v>15818888.661373153</v>
      </c>
      <c r="EQ3" s="83">
        <f>('eLLE Bals'!BR3+'eLLE Bals'!BY3)*'Reagent cost'!$C$38*60*7200</f>
        <v>523214.6476261866</v>
      </c>
      <c r="ER3">
        <f>'TEA Revised Non EYZ'!DI3</f>
        <v>504921.59999999998</v>
      </c>
      <c r="ES3">
        <f>'TEA Revised Non EYZ'!DJ3</f>
        <v>62.622248810804926</v>
      </c>
      <c r="ET3">
        <f>'TEA Revised Non EYZ'!DK3</f>
        <v>641.58236928323436</v>
      </c>
      <c r="EU3">
        <f>1.2*SUM(EP3:ET3)</f>
        <v>20217274.936340917</v>
      </c>
      <c r="EV3">
        <f>'TEA Revised Non EYZ'!DM3</f>
        <v>0.70639694042110623</v>
      </c>
      <c r="EW3">
        <f>(BS3*CO3+BT3*CP3)/1000*('Oxidant Feed Composition'!$B$11*'Oxidant Feed Composition'!$O$20+'Oxidant Feed Composition'!$D$11*'Oxidant Feed Composition'!$O$21+'Oxidant Feed Composition'!$F$11*'Oxidant Feed Composition'!$O$27-'Oxidant Feed Composition'!$J$15*18.015)</f>
        <v>2.2939023948269917</v>
      </c>
      <c r="EX3">
        <f>(CZ3*BX3+DC3*BZ3)*368.34/1000</f>
        <v>0.10561641037959783</v>
      </c>
      <c r="EY3">
        <f>'TEA Revised Non EYZ'!DP3</f>
        <v>4.999938342565946E-2</v>
      </c>
      <c r="EZ3">
        <f>SUM(EV3:EX3)-EY3</f>
        <v>3.0559163622020362</v>
      </c>
      <c r="FA3">
        <f>EZ3*0.33*60*7200</f>
        <v>435651.43659552239</v>
      </c>
      <c r="FB3">
        <f>'TEA Revised Non EYZ'!DS3</f>
        <v>1.2</v>
      </c>
      <c r="FC3">
        <v>0.5</v>
      </c>
      <c r="FD3">
        <f>'TEA Revised Non EYZ'!DT3</f>
        <v>1407.4026349781827</v>
      </c>
      <c r="FE3">
        <f>'TEA Revised Non EYZ'!DU3</f>
        <v>714.80261726149911</v>
      </c>
      <c r="FF3">
        <f>'TEA Revised Non EYZ'!DV3</f>
        <v>0.7</v>
      </c>
      <c r="FG3">
        <f>'TEA Revised Non EYZ'!DW3</f>
        <v>27520.276190787874</v>
      </c>
      <c r="FH3">
        <f>'TEA Revised Non EYZ'!DX3</f>
        <v>16610.439588917834</v>
      </c>
      <c r="FI3">
        <f>'TEA Revised Non EYZ'!DY3</f>
        <v>7032.645793695051</v>
      </c>
      <c r="FJ3">
        <f>'TEA Revised Non EYZ'!DZ3</f>
        <v>3725.3886787897172</v>
      </c>
      <c r="FK3">
        <f>'TEA Revised Non EYZ'!EA3</f>
        <v>3750.7444233040283</v>
      </c>
      <c r="FL3">
        <f>'TEA Revised Non EYZ'!EB3</f>
        <v>851.19711363480485</v>
      </c>
      <c r="FM3">
        <f>'TEA Revised Non EYZ'!EC3</f>
        <v>30949.25827662705</v>
      </c>
      <c r="FN3">
        <f>'TEA Revised Non EYZ'!ED3</f>
        <v>23346.543525145094</v>
      </c>
      <c r="FO3">
        <f>'TEA Revised Non EYZ'!EE3</f>
        <v>9884.6252828235265</v>
      </c>
      <c r="FP3">
        <f>'TEA Revised Non EYZ'!EF3</f>
        <v>5238.9477980495094</v>
      </c>
      <c r="FQ3">
        <f>'TEA Revised Non EYZ'!EG3</f>
        <v>5271.8001508392153</v>
      </c>
      <c r="FR3">
        <f>'TEA Revised Non EYZ'!EH3</f>
        <v>432.31262291975469</v>
      </c>
      <c r="FS3">
        <f>'TEA Revised Non EYZ'!EI3</f>
        <v>134614.17944553349</v>
      </c>
      <c r="FT3">
        <f>EG3*EH3</f>
        <v>4340.0980126665581</v>
      </c>
      <c r="FU3">
        <f>EG3*EI3</f>
        <v>4684.5461480727854</v>
      </c>
      <c r="FV3">
        <f>FC3*(FT3+FU3)/(3.6*10^6)*3600*7200*0.07</f>
        <v>2274.2103285063145</v>
      </c>
      <c r="FW3">
        <f>('CAPEX+OPEX'!$C$39/7/100+0.03)*EL3</f>
        <v>156625.56680819369</v>
      </c>
      <c r="FX3">
        <f>('CAPEX+OPEX'!$C$39/7/100+0.03)*EM3</f>
        <v>169056.01982712897</v>
      </c>
      <c r="FY3">
        <f>SUM(FV3:FX3)</f>
        <v>327955.79696382897</v>
      </c>
      <c r="FZ3">
        <f>FY3+FA3+FS3+EU3</f>
        <v>21115496.349345803</v>
      </c>
      <c r="GA3">
        <f>FZ3+EO3</f>
        <v>22052300.608468264</v>
      </c>
      <c r="GB3">
        <f>GA3/(BK3*60*7200)</f>
        <v>0.51046992149232095</v>
      </c>
      <c r="GC3">
        <f>'TEA Revised Non EYZ'!EM3/'TEA Revised Non EYZ'!EK3*GA3</f>
        <v>1710.0152457687495</v>
      </c>
      <c r="GD3">
        <f>'TEA Revised Non EYZ'!EN3/'TEA Revised Non EYZ'!EK3*GA3</f>
        <v>3095.7283330509749</v>
      </c>
    </row>
    <row r="4" spans="1:186">
      <c r="A4">
        <f>'TEA Revised Non EYZ'!A4</f>
        <v>3</v>
      </c>
      <c r="B4">
        <f>'TEA Revised Non EYZ'!B4</f>
        <v>1.54143585092054E-3</v>
      </c>
      <c r="C4">
        <f>'TEA Revised Non EYZ'!C4</f>
        <v>1.54143585092054E-3</v>
      </c>
      <c r="D4">
        <f>'TEA Revised Non EYZ'!D4</f>
        <v>3.4254130020456501E-4</v>
      </c>
      <c r="E4">
        <f>'TEA Revised Non EYZ'!E4</f>
        <v>0</v>
      </c>
      <c r="F4">
        <f>'TEA Revised Non EYZ'!F4</f>
        <v>0</v>
      </c>
      <c r="G4">
        <f>'TEA Revised Non EYZ'!G4</f>
        <v>0</v>
      </c>
      <c r="H4">
        <f>'TEA Revised Non EYZ'!H4</f>
        <v>1.6300358850230801E-5</v>
      </c>
      <c r="I4">
        <f>'TEA Revised Non EYZ'!I4</f>
        <v>7.4474859607128495E-7</v>
      </c>
      <c r="J4">
        <f>'TEA Revised Non EYZ'!J4</f>
        <v>3.2385704147932398E-4</v>
      </c>
      <c r="K4">
        <f>'TEA Revised Non EYZ'!K4</f>
        <v>8.07271092797512E-2</v>
      </c>
      <c r="L4">
        <f>'TEA Revised Non EYZ'!L4</f>
        <v>8.15504849440159E-2</v>
      </c>
      <c r="M4">
        <f>'TEA Revised Non EYZ'!M4</f>
        <v>9.8897848995466706E-4</v>
      </c>
      <c r="N4">
        <f>'TEA Revised Non EYZ'!N4</f>
        <v>-9.8011876392689601E-17</v>
      </c>
      <c r="O4">
        <f>'TEA Revised Non EYZ'!O4</f>
        <v>1.94289029309402E-16</v>
      </c>
      <c r="P4">
        <f>'TEA Revised Non EYZ'!P4</f>
        <v>-4.3537493488870999E-18</v>
      </c>
      <c r="Q4">
        <f>'TEA Revised Non EYZ'!Q4</f>
        <v>0.18892482409907799</v>
      </c>
      <c r="R4">
        <f>'TEA Revised Non EYZ'!R4</f>
        <v>94.545399718491396</v>
      </c>
      <c r="S4">
        <f>'TEA Revised Non EYZ'!S4</f>
        <v>500</v>
      </c>
      <c r="T4">
        <f>'TEA Revised Non EYZ'!T4</f>
        <v>95</v>
      </c>
      <c r="U4">
        <f>'TEA Revised Non EYZ'!U4</f>
        <v>1</v>
      </c>
      <c r="V4">
        <f>'TEA Revised Non EYZ'!V4</f>
        <v>0.1</v>
      </c>
      <c r="W4">
        <f>'TEA Revised Non EYZ'!W4</f>
        <v>52.931106580020597</v>
      </c>
      <c r="X4" t="str">
        <f>'TEA Revised Non EYZ'!X4</f>
        <v>ddFc</v>
      </c>
      <c r="Y4">
        <f>'TEA Revised Non EYZ'!Y4</f>
        <v>1</v>
      </c>
      <c r="Z4">
        <f>'TEA Revised Non EYZ'!Z4</f>
        <v>0.28318429382522198</v>
      </c>
      <c r="AA4">
        <f>'TEA Revised Non EYZ'!AA4</f>
        <v>0.56945642916197003</v>
      </c>
      <c r="AB4">
        <f>'TEA Revised Non EYZ'!AB4</f>
        <v>3.7698628972227502E-3</v>
      </c>
      <c r="AC4">
        <f>'TEA Revised Non EYZ'!AC4</f>
        <v>1822.2107908876901</v>
      </c>
      <c r="AD4">
        <f>'TEA Revised Non EYZ'!AD4</f>
        <v>2662.6059073104898</v>
      </c>
      <c r="AE4">
        <f>'TEA Revised Non EYZ'!AE4</f>
        <v>2401.5030938442701</v>
      </c>
      <c r="AF4">
        <f>'TEA Revised Non EYZ'!AF4</f>
        <v>6</v>
      </c>
      <c r="AG4">
        <f>'TEA Revised Non EYZ'!AG4</f>
        <v>1.6455478770638001E-3</v>
      </c>
      <c r="AH4">
        <f>'TEA Revised Non EYZ'!AH4</f>
        <v>1.66233163271225E-3</v>
      </c>
      <c r="AI4">
        <f>'TEA Revised Non EYZ'!AI4</f>
        <v>2.0159416943409301E-5</v>
      </c>
      <c r="AJ4">
        <f>'TEA Revised Non EYZ'!AJ4</f>
        <v>0</v>
      </c>
      <c r="AK4">
        <f>'TEA Revised Non EYZ'!AK4</f>
        <v>0</v>
      </c>
      <c r="AL4">
        <f>'TEA Revised Non EYZ'!AL4</f>
        <v>0</v>
      </c>
      <c r="AM4">
        <f>'TEA Revised Non EYZ'!AM4</f>
        <v>1.60744374164569E-3</v>
      </c>
      <c r="AN4">
        <f>'TEA Revised Non EYZ'!AN4</f>
        <v>6.4579829374686502E-5</v>
      </c>
      <c r="AO4">
        <f>'TEA Revised Non EYZ'!AO4</f>
        <v>2.0022472818809102E-5</v>
      </c>
      <c r="AP4">
        <f>'TEA Revised Non EYZ'!AP4</f>
        <v>1.75996255360512E-3</v>
      </c>
      <c r="AQ4">
        <f>'TEA Revised Non EYZ'!AQ4</f>
        <v>7.3797327061053505E-2</v>
      </c>
      <c r="AR4">
        <f>'TEA Revised Non EYZ'!AR4</f>
        <v>6.3252066629497999E-6</v>
      </c>
      <c r="AS4">
        <f>'TEA Revised Non EYZ'!AS4</f>
        <v>-1.5043305143236301E-18</v>
      </c>
      <c r="AT4">
        <f>'TEA Revised Non EYZ'!AT4</f>
        <v>1.5178830414797E-17</v>
      </c>
      <c r="AU4">
        <f>'TEA Revised Non EYZ'!AU4</f>
        <v>-9.2908926401955993E-21</v>
      </c>
      <c r="AV4">
        <f>'TEA Revised Non EYZ'!AV4</f>
        <v>0.20066267141911501</v>
      </c>
      <c r="AW4">
        <f>'TEA Revised Non EYZ'!AW4</f>
        <v>99.320694021138493</v>
      </c>
      <c r="AX4">
        <f>'TEA Revised Non EYZ'!AX4</f>
        <v>500</v>
      </c>
      <c r="AY4">
        <f>'TEA Revised Non EYZ'!AY4</f>
        <v>95</v>
      </c>
      <c r="AZ4">
        <f>'TEA Revised Non EYZ'!AZ4</f>
        <v>0.92682535301965796</v>
      </c>
      <c r="BA4">
        <f>'TEA Revised Non EYZ'!BA4</f>
        <v>0.1</v>
      </c>
      <c r="BB4">
        <f>'TEA Revised Non EYZ'!BB4</f>
        <v>46.188229552861699</v>
      </c>
      <c r="BC4" t="str">
        <f>'TEA Revised Non EYZ'!BC4</f>
        <v>coeFc</v>
      </c>
      <c r="BD4">
        <f>'TEA Revised Non EYZ'!BD4</f>
        <v>1</v>
      </c>
      <c r="BE4">
        <f>'TEA Revised Non EYZ'!BE4</f>
        <v>1.8775014999999999E-2</v>
      </c>
      <c r="BF4">
        <f>'TEA Revised Non EYZ'!BF4</f>
        <v>0.10492961100000001</v>
      </c>
      <c r="BG4">
        <f>'TEA Revised Non EYZ'!BG4</f>
        <v>1.814625E-3</v>
      </c>
      <c r="BH4">
        <f>'TEA Revised Non EYZ'!BH4</f>
        <v>285.1951444</v>
      </c>
      <c r="BI4">
        <f>'TEA Revised Non EYZ'!BI4</f>
        <v>2169.8944889999998</v>
      </c>
      <c r="BJ4">
        <f>'TEA Revised Non EYZ'!BJ4</f>
        <v>866.49409060000005</v>
      </c>
      <c r="BK4">
        <f>'TEA Revised Non EYZ'!BK4</f>
        <v>100</v>
      </c>
      <c r="BL4">
        <f>'TEA Revised Non EYZ'!BL4</f>
        <v>18.892482409907799</v>
      </c>
      <c r="BM4">
        <f>'TEA Revised Non EYZ'!BM4</f>
        <v>92.6825353019658</v>
      </c>
      <c r="BN4">
        <f>'TEA Revised Non EYZ'!BN4</f>
        <v>20.066267141911499</v>
      </c>
      <c r="BO4">
        <f>'TEA Revised Non EYZ'!BO4</f>
        <v>188.92482409907799</v>
      </c>
      <c r="BP4">
        <f>'TEA Revised Non EYZ'!BP4</f>
        <v>321.06027427058399</v>
      </c>
      <c r="BQ4">
        <f>'TEA Revised Non EYZ'!BQ4</f>
        <v>18.892482409907799</v>
      </c>
      <c r="BR4">
        <f>'TEA Revised Non EYZ'!BR4</f>
        <v>32.1060274270584</v>
      </c>
      <c r="BS4">
        <f>'eLLE Bals'!CF4</f>
        <v>11.335489445944679</v>
      </c>
      <c r="BT4">
        <f>'eLLE Bals'!CG4</f>
        <v>12.039760285146899</v>
      </c>
      <c r="BU4">
        <f>BM4</f>
        <v>92.6825353019658</v>
      </c>
      <c r="BV4">
        <f>BU4*(AM4*2+AN4*2+AO4*3)</f>
        <v>0.31550196792521573</v>
      </c>
      <c r="BW4">
        <f>BN4*BA4*(AP4*2+AQ4*2+AR4*3)</f>
        <v>0.30326862857129105</v>
      </c>
      <c r="BX4">
        <f>BV4/(2*V4*BL4+BV4)</f>
        <v>7.7064505955638546E-2</v>
      </c>
      <c r="BY4">
        <f>BU4*BX4</f>
        <v>7.1425337937620235</v>
      </c>
      <c r="BZ4">
        <f>BW4/(2*BN4*BA4+BW4)</f>
        <v>7.0257634403315089E-2</v>
      </c>
      <c r="CA4">
        <f>2*BN4*BA4/0.04</f>
        <v>100.33133570955749</v>
      </c>
      <c r="CB4">
        <f>(BS4+BL4)*2</f>
        <v>60.455943711704961</v>
      </c>
      <c r="CC4">
        <f>(BU4+BL4)*2</f>
        <v>223.1500354237472</v>
      </c>
      <c r="CD4">
        <f>(BT4+BN4)*2</f>
        <v>64.212054854116801</v>
      </c>
      <c r="CE4">
        <f>(CA4+BN4)*2</f>
        <v>240.79520570293798</v>
      </c>
      <c r="CF4">
        <f>'TEA Revised Non EYZ'!CB4</f>
        <v>2493.8076781078298</v>
      </c>
      <c r="CG4">
        <f>'TEA Revised Non EYZ'!CC4</f>
        <v>4237.9956203717084</v>
      </c>
      <c r="CH4">
        <f>'TEA Revised Non EYZ'!CD4</f>
        <v>3012.9816471142385</v>
      </c>
      <c r="CI4">
        <f>'TEA Revised Non EYZ'!CE4</f>
        <v>32688.036885778358</v>
      </c>
      <c r="CJ4">
        <f>BL4*V4</f>
        <v>1.88924824099078</v>
      </c>
      <c r="CK4">
        <f>CJ4/2*1.2</f>
        <v>1.133548944594468</v>
      </c>
      <c r="CL4">
        <f>'eLLE Bals'!CB4*'Oxidant Feed Composition'!$N$20</f>
        <v>6.2974941366359366E-2</v>
      </c>
      <c r="CM4">
        <f>'eLLE Bals'!CB4*'Oxidant Feed Composition'!$N$21</f>
        <v>3.148747068317967</v>
      </c>
      <c r="CN4">
        <f>'eLLE Bals'!CB4*'Oxidant Feed Composition'!$N$22</f>
        <v>0.94462412049539002</v>
      </c>
      <c r="CO4">
        <f>CN4/CK4</f>
        <v>0.83333333333333337</v>
      </c>
      <c r="CP4">
        <f>CO4</f>
        <v>0.83333333333333337</v>
      </c>
      <c r="CQ4">
        <f>CL4/CO4</f>
        <v>7.5569929639631231E-2</v>
      </c>
      <c r="CR4">
        <f>CM4/CO4</f>
        <v>3.7784964819815601</v>
      </c>
      <c r="CS4">
        <f>BN4*BA4</f>
        <v>2.00662671419115</v>
      </c>
      <c r="CT4">
        <f>CS4/2*1.2</f>
        <v>1.2039760285146899</v>
      </c>
      <c r="CU4">
        <f>'eLLE Bals'!CC4*'Oxidant Feed Composition'!$N$20</f>
        <v>6.6887557139705026E-2</v>
      </c>
      <c r="CV4">
        <f>'eLLE Bals'!CC4*'Oxidant Feed Composition'!$N$21</f>
        <v>3.3443778569852505</v>
      </c>
      <c r="CW4">
        <f>'eLLE Bals'!CC4*'Oxidant Feed Composition'!$N$22</f>
        <v>1.003313357095575</v>
      </c>
      <c r="CX4">
        <f>CU4/CP4</f>
        <v>8.0265068567646022E-2</v>
      </c>
      <c r="CY4">
        <f>CV4/CP4</f>
        <v>4.0132534283823</v>
      </c>
      <c r="CZ4">
        <f>CJ4</f>
        <v>1.88924824099078</v>
      </c>
      <c r="DA4">
        <f>'eLLE Bals'!BQ4</f>
        <v>3.7784964819815601</v>
      </c>
      <c r="DB4">
        <f>'eLLE Bals'!BU4</f>
        <v>18.847409401006679</v>
      </c>
      <c r="DC4">
        <f>CS4</f>
        <v>2.00662671419115</v>
      </c>
      <c r="DD4">
        <f>'eLLE Bals'!BX4</f>
        <v>4.0132534283823</v>
      </c>
      <c r="DE4">
        <f>'eLLE Bals'!CA4</f>
        <v>22.541097340273136</v>
      </c>
      <c r="DF4">
        <f>2*2*(CJ4*'Reagent cost'!$C$36*122.44/1000+CK4*'Oxidant Feed Composition'!$N$26+CQ4*'Reagent cost'!$C$34+CR4*'Reagent cost'!$C$35)</f>
        <v>159.58047571195635</v>
      </c>
      <c r="DG4">
        <f>2*2*(CS4*'Reagent cost'!$C$36*122.44/1000+CT4*'Oxidant Feed Composition'!$N$26+CX4*'Reagent cost'!$C$34+CY4*'Reagent cost'!$C$35)</f>
        <v>169.49516674368385</v>
      </c>
      <c r="DH4">
        <f>(AF4+3)*2*(CZ4*'Reagent cost'!$C$38+DA4*'Reagent cost'!$C$39+DB4*'Reagent cost'!$C$36*122.44/1000)</f>
        <v>3085.0157237122753</v>
      </c>
      <c r="DI4">
        <f>3*2*(DC4*'Reagent cost'!$C$38+DD4*'Reagent cost'!$C$39+DE4*'Reagent cost'!$C$36*122.44/1000)</f>
        <v>1223.107527221802</v>
      </c>
      <c r="DJ4">
        <f>7963.6*(CB4/1000)^0.6*1.7*('CAPEX+OPEX'!$G$116/'CAPEX+OPEX'!$G$115)</f>
        <v>2965.5437179814326</v>
      </c>
      <c r="DK4">
        <f>7963.6*(CC4/1000)^0.6*1.7*('CAPEX+OPEX'!$G$116/'CAPEX+OPEX'!$G$115)</f>
        <v>6492.3078360569407</v>
      </c>
      <c r="DL4">
        <f>7963.6*(CD4/1000)^0.6*1.7*('CAPEX+OPEX'!$G$116/'CAPEX+OPEX'!$G$115)</f>
        <v>3074.7574940340096</v>
      </c>
      <c r="DM4">
        <f>7963.6*(CE4/1000)^0.6*1.7*('CAPEX+OPEX'!$G$116/'CAPEX+OPEX'!$G$115)</f>
        <v>6795.6285040922976</v>
      </c>
      <c r="DN4">
        <f>'TEA Revised Non EYZ'!CM4</f>
        <v>39625.826528698344</v>
      </c>
      <c r="DO4">
        <f>'TEA Revised Non EYZ'!CN4</f>
        <v>4586243.4239371875</v>
      </c>
      <c r="DP4">
        <f>'TEA Revised Non EYZ'!CO4</f>
        <v>11794834.586807497</v>
      </c>
      <c r="DQ4">
        <f>'TEA Revised Non EYZ'!CP4</f>
        <v>2275209.1661185985</v>
      </c>
      <c r="DR4">
        <f>'TEA Revised Non EYZ'!CQ4</f>
        <v>14083914.336508472</v>
      </c>
      <c r="DS4">
        <f>'TEA Revised Non EYZ'!CR4</f>
        <v>1662824.8986326549</v>
      </c>
      <c r="DT4">
        <f>'TEA Revised Non EYZ'!CS4</f>
        <v>461850.0978118488</v>
      </c>
      <c r="DU4">
        <f>'TEA Revised Non EYZ'!CT4</f>
        <v>1187779.4098672394</v>
      </c>
      <c r="DV4">
        <f>'TEA Revised Non EYZ'!CU4</f>
        <v>229121.19544936769</v>
      </c>
      <c r="DW4">
        <f>'TEA Revised Non EYZ'!CV4</f>
        <v>1418297.4196136401</v>
      </c>
      <c r="DX4">
        <f>'TEA Revised Non EYZ'!CW4</f>
        <v>167452.04540804314</v>
      </c>
      <c r="DY4">
        <f>'TEA Revised Non EYZ'!CX4</f>
        <v>3464500.168150139</v>
      </c>
      <c r="DZ4">
        <f>'TEA Revised Non EYZ'!CY4</f>
        <v>611733.63632254547</v>
      </c>
      <c r="EA4">
        <f>'TEA Revised Non EYZ'!CZ4</f>
        <v>1573247.7290567602</v>
      </c>
      <c r="EB4">
        <f>'TEA Revised Non EYZ'!DA4</f>
        <v>303477.56277386361</v>
      </c>
      <c r="EC4">
        <f>'TEA Revised Non EYZ'!DB4</f>
        <v>1878575.4122338442</v>
      </c>
      <c r="ED4">
        <f>'TEA Revised Non EYZ'!DC4</f>
        <v>221795.01343061589</v>
      </c>
      <c r="EE4">
        <f>'TEA Revised Non EYZ'!DD4</f>
        <v>4588829.3538176296</v>
      </c>
      <c r="EF4">
        <v>0.7</v>
      </c>
      <c r="EG4">
        <v>100</v>
      </c>
      <c r="EH4">
        <f>96485*BL4*V4/EF4/EG4/60</f>
        <v>43.40098012666558</v>
      </c>
      <c r="EI4">
        <f>96485*BN4*BA4/EF4/EG4/60</f>
        <v>46.097471075888841</v>
      </c>
      <c r="EJ4">
        <f>EH4*('CAPEX+OPEX'!$O$25+'CAPEX+OPEX'!$O$26)</f>
        <v>1383276.0385970853</v>
      </c>
      <c r="EK4">
        <f>EI4*('CAPEX+OPEX'!$O$25+'CAPEX+OPEX'!$O$26)</f>
        <v>1469218.598130729</v>
      </c>
      <c r="EL4">
        <f>EJ4*1.12/0.6*'CAPEX+OPEX'!$G$116/'CAPEX+OPEX'!$G$115</f>
        <v>3045497.132381544</v>
      </c>
      <c r="EM4">
        <f>EK4*1.12/0.6*'CAPEX+OPEX'!$G$116/'CAPEX+OPEX'!$G$115</f>
        <v>3234713.0309484676</v>
      </c>
      <c r="EN4">
        <f>EL4+EM4+DY4+EE4+1.15*(SUM(DF4:DM4)+SUM(CF4:CI4))</f>
        <v>14409897.682316246</v>
      </c>
      <c r="EO4">
        <f>EN4/15</f>
        <v>960659.84548774967</v>
      </c>
      <c r="EP4">
        <f>('eLLE Bals'!CB4+'eLLE Bals'!CC4)*'Oxidant Feed Composition'!$N$25*60*7200</f>
        <v>15687776.822244918</v>
      </c>
      <c r="EQ4" s="83">
        <f>('eLLE Bals'!BR4+'eLLE Bals'!BY4)*'Reagent cost'!$C$38*60*7200</f>
        <v>522920.19641729986</v>
      </c>
      <c r="ER4">
        <f>'TEA Revised Non EYZ'!DI4</f>
        <v>504921.59999999998</v>
      </c>
      <c r="ES4">
        <f>'TEA Revised Non EYZ'!DJ4</f>
        <v>67.31803298479538</v>
      </c>
      <c r="ET4">
        <f>'TEA Revised Non EYZ'!DK4</f>
        <v>714.02037065785191</v>
      </c>
      <c r="EU4">
        <f>1.2*SUM(EP4:ET4)</f>
        <v>20059679.948479034</v>
      </c>
      <c r="EV4">
        <f>'TEA Revised Non EYZ'!DM4</f>
        <v>0.70639694042110623</v>
      </c>
      <c r="EW4">
        <f>(BS4*CO4+BT4*CP4)/1000*('Oxidant Feed Composition'!$B$11*'Oxidant Feed Composition'!$O$20+'Oxidant Feed Composition'!$D$11*'Oxidant Feed Composition'!$O$21+'Oxidant Feed Composition'!$F$11*'Oxidant Feed Composition'!$O$27-'Oxidant Feed Composition'!$J$15*18.015)</f>
        <v>2.2748898226922107</v>
      </c>
      <c r="EX4">
        <f>(CZ4*BX4+DC4*BZ4)*368.34/1000</f>
        <v>0.10555697228883405</v>
      </c>
      <c r="EY4">
        <f>'TEA Revised Non EYZ'!DP4</f>
        <v>4.999938342565946E-2</v>
      </c>
      <c r="EZ4">
        <f>SUM(EV4:EX4)-EY4</f>
        <v>3.0368443519764914</v>
      </c>
      <c r="FA4">
        <f>EZ4*0.33*60*7200</f>
        <v>432932.53081776859</v>
      </c>
      <c r="FB4">
        <f>'TEA Revised Non EYZ'!DS4</f>
        <v>1.2</v>
      </c>
      <c r="FC4">
        <v>0.5</v>
      </c>
      <c r="FD4">
        <f>'TEA Revised Non EYZ'!DT4</f>
        <v>1409.2918203168488</v>
      </c>
      <c r="FE4">
        <f>'TEA Revised Non EYZ'!DU4</f>
        <v>712.91343190810642</v>
      </c>
      <c r="FF4">
        <f>'TEA Revised Non EYZ'!DV4</f>
        <v>0.7</v>
      </c>
      <c r="FG4">
        <f>'TEA Revised Non EYZ'!DW4</f>
        <v>27520.276190787874</v>
      </c>
      <c r="FH4">
        <f>'TEA Revised Non EYZ'!DX4</f>
        <v>16610.439588917834</v>
      </c>
      <c r="FI4">
        <f>'TEA Revised Non EYZ'!DY4</f>
        <v>7032.645793695051</v>
      </c>
      <c r="FJ4">
        <f>'TEA Revised Non EYZ'!DZ4</f>
        <v>3725.3886787897172</v>
      </c>
      <c r="FK4">
        <f>'TEA Revised Non EYZ'!EA4</f>
        <v>3750.7444233040283</v>
      </c>
      <c r="FL4">
        <f>'TEA Revised Non EYZ'!EB4</f>
        <v>852.33969292763015</v>
      </c>
      <c r="FM4">
        <f>'TEA Revised Non EYZ'!EC4</f>
        <v>33528.363133012637</v>
      </c>
      <c r="FN4">
        <f>'TEA Revised Non EYZ'!ED4</f>
        <v>27237.634112669275</v>
      </c>
      <c r="FO4">
        <f>'TEA Revised Non EYZ'!EE4</f>
        <v>11532.06282996078</v>
      </c>
      <c r="FP4">
        <f>'TEA Revised Non EYZ'!EF4</f>
        <v>6112.1057643910935</v>
      </c>
      <c r="FQ4">
        <f>'TEA Revised Non EYZ'!EG4</f>
        <v>6150.4335093124173</v>
      </c>
      <c r="FR4">
        <f>'TEA Revised Non EYZ'!EH4</f>
        <v>431.1700436180227</v>
      </c>
      <c r="FS4">
        <f>'TEA Revised Non EYZ'!EI4</f>
        <v>144483.60376138636</v>
      </c>
      <c r="FT4">
        <f>EG4*EH4</f>
        <v>4340.0980126665581</v>
      </c>
      <c r="FU4">
        <f>EG4*EI4</f>
        <v>4609.7471075888843</v>
      </c>
      <c r="FV4">
        <f>FC4*(FT4+FU4)/(3.6*10^6)*3600*7200*0.07</f>
        <v>2255.3609703043717</v>
      </c>
      <c r="FW4">
        <f>('CAPEX+OPEX'!$C$39/7/100+0.03)*EL4</f>
        <v>156625.56680819369</v>
      </c>
      <c r="FX4">
        <f>('CAPEX+OPEX'!$C$39/7/100+0.03)*EM4</f>
        <v>166356.67016306403</v>
      </c>
      <c r="FY4">
        <f>SUM(FV4:FX4)</f>
        <v>325237.59794156207</v>
      </c>
      <c r="FZ4">
        <f>FY4+FA4+FS4+EU4</f>
        <v>20962333.680999752</v>
      </c>
      <c r="GA4">
        <f>FZ4+EO4</f>
        <v>21922993.526487503</v>
      </c>
      <c r="GB4">
        <f>GA4/(BK4*60*7200)</f>
        <v>0.50747670200202555</v>
      </c>
      <c r="GC4">
        <f>'TEA Revised Non EYZ'!EM4/'TEA Revised Non EYZ'!EK4*GA4</f>
        <v>1697.7040812093094</v>
      </c>
      <c r="GD4">
        <f>'TEA Revised Non EYZ'!EN4/'TEA Revised Non EYZ'!EK4*GA4</f>
        <v>3085.0906822377888</v>
      </c>
    </row>
    <row r="5" spans="1:186">
      <c r="A5">
        <f>'TEA Revised Non EYZ'!A5</f>
        <v>3</v>
      </c>
      <c r="B5">
        <f>'TEA Revised Non EYZ'!B5</f>
        <v>1.54143585092054E-3</v>
      </c>
      <c r="C5">
        <f>'TEA Revised Non EYZ'!C5</f>
        <v>1.54143585092054E-3</v>
      </c>
      <c r="D5">
        <f>'TEA Revised Non EYZ'!D5</f>
        <v>3.4254130020456501E-4</v>
      </c>
      <c r="E5">
        <f>'TEA Revised Non EYZ'!E5</f>
        <v>0</v>
      </c>
      <c r="F5">
        <f>'TEA Revised Non EYZ'!F5</f>
        <v>0</v>
      </c>
      <c r="G5">
        <f>'TEA Revised Non EYZ'!G5</f>
        <v>0</v>
      </c>
      <c r="H5">
        <f>'TEA Revised Non EYZ'!H5</f>
        <v>1.6300358850230801E-5</v>
      </c>
      <c r="I5">
        <f>'TEA Revised Non EYZ'!I5</f>
        <v>7.4474859607128495E-7</v>
      </c>
      <c r="J5">
        <f>'TEA Revised Non EYZ'!J5</f>
        <v>3.2385704147932398E-4</v>
      </c>
      <c r="K5">
        <f>'TEA Revised Non EYZ'!K5</f>
        <v>8.07271092797512E-2</v>
      </c>
      <c r="L5">
        <f>'TEA Revised Non EYZ'!L5</f>
        <v>8.15504849440159E-2</v>
      </c>
      <c r="M5">
        <f>'TEA Revised Non EYZ'!M5</f>
        <v>9.8897848995466706E-4</v>
      </c>
      <c r="N5">
        <f>'TEA Revised Non EYZ'!N5</f>
        <v>-9.8011876392689601E-17</v>
      </c>
      <c r="O5">
        <f>'TEA Revised Non EYZ'!O5</f>
        <v>1.94289029309402E-16</v>
      </c>
      <c r="P5">
        <f>'TEA Revised Non EYZ'!P5</f>
        <v>-4.3537493488870999E-18</v>
      </c>
      <c r="Q5">
        <f>'TEA Revised Non EYZ'!Q5</f>
        <v>0.18892482409907799</v>
      </c>
      <c r="R5">
        <f>'TEA Revised Non EYZ'!R5</f>
        <v>94.545399718491396</v>
      </c>
      <c r="S5">
        <f>'TEA Revised Non EYZ'!S5</f>
        <v>500</v>
      </c>
      <c r="T5">
        <f>'TEA Revised Non EYZ'!T5</f>
        <v>95</v>
      </c>
      <c r="U5">
        <f>'TEA Revised Non EYZ'!U5</f>
        <v>1</v>
      </c>
      <c r="V5">
        <f>'TEA Revised Non EYZ'!V5</f>
        <v>0.1</v>
      </c>
      <c r="W5">
        <f>'TEA Revised Non EYZ'!W5</f>
        <v>52.931106580020597</v>
      </c>
      <c r="X5" t="str">
        <f>'TEA Revised Non EYZ'!X5</f>
        <v>ddFc</v>
      </c>
      <c r="Y5">
        <f>'TEA Revised Non EYZ'!Y5</f>
        <v>1</v>
      </c>
      <c r="Z5">
        <f>'TEA Revised Non EYZ'!Z5</f>
        <v>0.28318429382522198</v>
      </c>
      <c r="AA5">
        <f>'TEA Revised Non EYZ'!AA5</f>
        <v>0.56945642916197003</v>
      </c>
      <c r="AB5">
        <f>'TEA Revised Non EYZ'!AB5</f>
        <v>3.7698628972227502E-3</v>
      </c>
      <c r="AC5">
        <f>'TEA Revised Non EYZ'!AC5</f>
        <v>1822.2107908876901</v>
      </c>
      <c r="AD5">
        <f>'TEA Revised Non EYZ'!AD5</f>
        <v>2662.6059073104898</v>
      </c>
      <c r="AE5">
        <f>'TEA Revised Non EYZ'!AE5</f>
        <v>2401.5030938442701</v>
      </c>
      <c r="AF5">
        <f>'TEA Revised Non EYZ'!AF5</f>
        <v>7</v>
      </c>
      <c r="AG5">
        <f>'TEA Revised Non EYZ'!AG5</f>
        <v>1.6455478770638001E-3</v>
      </c>
      <c r="AH5">
        <f>'TEA Revised Non EYZ'!AH5</f>
        <v>1.66233163271225E-3</v>
      </c>
      <c r="AI5">
        <f>'TEA Revised Non EYZ'!AI5</f>
        <v>2.0159416943409301E-5</v>
      </c>
      <c r="AJ5">
        <f>'TEA Revised Non EYZ'!AJ5</f>
        <v>0</v>
      </c>
      <c r="AK5">
        <f>'TEA Revised Non EYZ'!AK5</f>
        <v>0</v>
      </c>
      <c r="AL5">
        <f>'TEA Revised Non EYZ'!AL5</f>
        <v>0</v>
      </c>
      <c r="AM5">
        <f>'TEA Revised Non EYZ'!AM5</f>
        <v>1.60808949136668E-3</v>
      </c>
      <c r="AN5">
        <f>'TEA Revised Non EYZ'!AN5</f>
        <v>6.4611588564249294E-5</v>
      </c>
      <c r="AO5">
        <f>'TEA Revised Non EYZ'!AO5</f>
        <v>2.0024700455054798E-5</v>
      </c>
      <c r="AP5">
        <f>'TEA Revised Non EYZ'!AP5</f>
        <v>1.7385721005278799E-3</v>
      </c>
      <c r="AQ5">
        <f>'TEA Revised Non EYZ'!AQ5</f>
        <v>7.4155664786925493E-2</v>
      </c>
      <c r="AR5">
        <f>'TEA Revised Non EYZ'!AR5</f>
        <v>6.2526540793269999E-6</v>
      </c>
      <c r="AS5">
        <f>'TEA Revised Non EYZ'!AS5</f>
        <v>-2.20838430008141E-17</v>
      </c>
      <c r="AT5">
        <f>'TEA Revised Non EYZ'!AT5</f>
        <v>-3.7493879528893699E-15</v>
      </c>
      <c r="AU5">
        <f>'TEA Revised Non EYZ'!AU5</f>
        <v>-5.9159957409792503E-20</v>
      </c>
      <c r="AV5">
        <f>'TEA Revised Non EYZ'!AV5</f>
        <v>0.19968905250902499</v>
      </c>
      <c r="AW5">
        <f>'TEA Revised Non EYZ'!AW5</f>
        <v>99.331744123688495</v>
      </c>
      <c r="AX5">
        <f>'TEA Revised Non EYZ'!AX5</f>
        <v>500</v>
      </c>
      <c r="AY5">
        <f>'TEA Revised Non EYZ'!AY5</f>
        <v>95</v>
      </c>
      <c r="AZ5">
        <f>'TEA Revised Non EYZ'!AZ5</f>
        <v>0.92682535301965796</v>
      </c>
      <c r="BA5">
        <f>'TEA Revised Non EYZ'!BA5</f>
        <v>0.1</v>
      </c>
      <c r="BB5">
        <f>'TEA Revised Non EYZ'!BB5</f>
        <v>46.413428346442103</v>
      </c>
      <c r="BC5" t="str">
        <f>'TEA Revised Non EYZ'!BC5</f>
        <v>coeFc</v>
      </c>
      <c r="BD5">
        <f>'TEA Revised Non EYZ'!BD5</f>
        <v>1</v>
      </c>
      <c r="BE5">
        <f>'TEA Revised Non EYZ'!BE5</f>
        <v>1.8775014999999999E-2</v>
      </c>
      <c r="BF5">
        <f>'TEA Revised Non EYZ'!BF5</f>
        <v>0.10492961100000001</v>
      </c>
      <c r="BG5">
        <f>'TEA Revised Non EYZ'!BG5</f>
        <v>1.814625E-3</v>
      </c>
      <c r="BH5">
        <f>'TEA Revised Non EYZ'!BH5</f>
        <v>285.1951444</v>
      </c>
      <c r="BI5">
        <f>'TEA Revised Non EYZ'!BI5</f>
        <v>2169.8944889999998</v>
      </c>
      <c r="BJ5">
        <f>'TEA Revised Non EYZ'!BJ5</f>
        <v>866.49409060000005</v>
      </c>
      <c r="BK5">
        <f>'TEA Revised Non EYZ'!BK5</f>
        <v>100</v>
      </c>
      <c r="BL5">
        <f>'TEA Revised Non EYZ'!BL5</f>
        <v>18.892482409907799</v>
      </c>
      <c r="BM5">
        <f>'TEA Revised Non EYZ'!BM5</f>
        <v>92.6825353019658</v>
      </c>
      <c r="BN5">
        <f>'TEA Revised Non EYZ'!BN5</f>
        <v>19.968905250902498</v>
      </c>
      <c r="BO5">
        <f>'TEA Revised Non EYZ'!BO5</f>
        <v>188.92482409907799</v>
      </c>
      <c r="BP5">
        <f>'TEA Revised Non EYZ'!BP5</f>
        <v>359.44029451624499</v>
      </c>
      <c r="BQ5">
        <f>'TEA Revised Non EYZ'!BQ5</f>
        <v>18.892482409907799</v>
      </c>
      <c r="BR5">
        <f>'TEA Revised Non EYZ'!BR5</f>
        <v>35.944029451624502</v>
      </c>
      <c r="BS5">
        <f>'eLLE Bals'!CF5</f>
        <v>11.335489445944679</v>
      </c>
      <c r="BT5">
        <f>'eLLE Bals'!CG5</f>
        <v>11.981343150541498</v>
      </c>
      <c r="BU5">
        <f>BM5</f>
        <v>92.6825353019658</v>
      </c>
      <c r="BV5">
        <f>BU5*(AM5*2+AN5*2+AO5*3)</f>
        <v>0.31562817380118002</v>
      </c>
      <c r="BW5">
        <f>BN5*BA5*(AP5*2+AQ5*2+AR5*3)</f>
        <v>0.30314242269608427</v>
      </c>
      <c r="BX5">
        <f>BV5/(2*V5*BL5+BV5)</f>
        <v>7.7092956452943243E-2</v>
      </c>
      <c r="BY5">
        <f>BU5*BX5</f>
        <v>7.145170657982824</v>
      </c>
      <c r="BZ5">
        <f>BW5/(2*BN5*BA5+BW5)</f>
        <v>7.0548713424757575E-2</v>
      </c>
      <c r="CA5">
        <f>2*BN5*BA5/0.04</f>
        <v>99.844526254512502</v>
      </c>
      <c r="CB5">
        <f>(BS5+BL5)*2</f>
        <v>60.455943711704961</v>
      </c>
      <c r="CC5">
        <f>(BU5+BL5)*2</f>
        <v>223.1500354237472</v>
      </c>
      <c r="CD5">
        <f>(BT5+BN5)*2</f>
        <v>63.900496802887993</v>
      </c>
      <c r="CE5">
        <f>(CA5+BN5)*2</f>
        <v>239.62686301082999</v>
      </c>
      <c r="CF5">
        <f>'TEA Revised Non EYZ'!CB5</f>
        <v>2493.8076781078298</v>
      </c>
      <c r="CG5">
        <f>'TEA Revised Non EYZ'!CC5</f>
        <v>4744.6118876144337</v>
      </c>
      <c r="CH5">
        <f>'TEA Revised Non EYZ'!CD5</f>
        <v>3012.9816471142385</v>
      </c>
      <c r="CI5">
        <f>'TEA Revised Non EYZ'!CE5</f>
        <v>36595.613182214707</v>
      </c>
      <c r="CJ5">
        <f>BL5*V5</f>
        <v>1.88924824099078</v>
      </c>
      <c r="CK5">
        <f>CJ5/2*1.2</f>
        <v>1.133548944594468</v>
      </c>
      <c r="CL5">
        <f>'eLLE Bals'!CB5*'Oxidant Feed Composition'!$N$20</f>
        <v>6.2974941366359366E-2</v>
      </c>
      <c r="CM5">
        <f>'eLLE Bals'!CB5*'Oxidant Feed Composition'!$N$21</f>
        <v>3.148747068317967</v>
      </c>
      <c r="CN5">
        <f>'eLLE Bals'!CB5*'Oxidant Feed Composition'!$N$22</f>
        <v>0.94462412049539002</v>
      </c>
      <c r="CO5">
        <f>CN5/CK5</f>
        <v>0.83333333333333337</v>
      </c>
      <c r="CP5">
        <f>CO5</f>
        <v>0.83333333333333337</v>
      </c>
      <c r="CQ5">
        <f>CL5/CO5</f>
        <v>7.5569929639631231E-2</v>
      </c>
      <c r="CR5">
        <f>CM5/CO5</f>
        <v>3.7784964819815601</v>
      </c>
      <c r="CS5">
        <f>BN5*BA5</f>
        <v>1.99689052509025</v>
      </c>
      <c r="CT5">
        <f>CS5/2*1.2</f>
        <v>1.1981343150541499</v>
      </c>
      <c r="CU5">
        <f>'eLLE Bals'!CC5*'Oxidant Feed Composition'!$N$20</f>
        <v>6.6563017503008359E-2</v>
      </c>
      <c r="CV5">
        <f>'eLLE Bals'!CC5*'Oxidant Feed Composition'!$N$21</f>
        <v>3.3281508751504165</v>
      </c>
      <c r="CW5">
        <f>'eLLE Bals'!CC5*'Oxidant Feed Composition'!$N$22</f>
        <v>0.998445262545125</v>
      </c>
      <c r="CX5">
        <f>CU5/CP5</f>
        <v>7.9875621003610023E-2</v>
      </c>
      <c r="CY5">
        <f>CV5/CP5</f>
        <v>3.9937810501804996</v>
      </c>
      <c r="CZ5">
        <f>CJ5</f>
        <v>1.88924824099078</v>
      </c>
      <c r="DA5">
        <f>'eLLE Bals'!BQ5</f>
        <v>3.7784964819815601</v>
      </c>
      <c r="DB5">
        <f>'eLLE Bals'!BU5</f>
        <v>18.838362292714045</v>
      </c>
      <c r="DC5">
        <f>CS5</f>
        <v>1.99689052509025</v>
      </c>
      <c r="DD5">
        <f>'eLLE Bals'!BX5</f>
        <v>3.9937810501805</v>
      </c>
      <c r="DE5">
        <f>'eLLE Bals'!CA5</f>
        <v>22.314458712044793</v>
      </c>
      <c r="DF5">
        <f>2*2*(CJ5*'Reagent cost'!$C$36*122.44/1000+CK5*'Oxidant Feed Composition'!$N$26+CQ5*'Reagent cost'!$C$34+CR5*'Reagent cost'!$C$35)</f>
        <v>159.58047571195635</v>
      </c>
      <c r="DG5">
        <f>2*2*(CS5*'Reagent cost'!$C$36*122.44/1000+CT5*'Oxidant Feed Composition'!$N$26+CX5*'Reagent cost'!$C$34+CY5*'Reagent cost'!$C$35)</f>
        <v>168.67277312984703</v>
      </c>
      <c r="DH5">
        <f>(AF5+3)*2*(CZ5*'Reagent cost'!$C$38+DA5*'Reagent cost'!$C$39+DB5*'Reagent cost'!$C$36*122.44/1000)</f>
        <v>3426.2306936276564</v>
      </c>
      <c r="DI5">
        <f>3*2*(DC5*'Reagent cost'!$C$38+DD5*'Reagent cost'!$C$39+DE5*'Reagent cost'!$C$36*122.44/1000)</f>
        <v>1211.0890487314982</v>
      </c>
      <c r="DJ5">
        <f>7963.6*(CB5/1000)^0.6*1.7*('CAPEX+OPEX'!$G$116/'CAPEX+OPEX'!$G$115)</f>
        <v>2965.5437179814326</v>
      </c>
      <c r="DK5">
        <f>7963.6*(CC5/1000)^0.6*1.7*('CAPEX+OPEX'!$G$116/'CAPEX+OPEX'!$G$115)</f>
        <v>6492.3078360569407</v>
      </c>
      <c r="DL5">
        <f>7963.6*(CD5/1000)^0.6*1.7*('CAPEX+OPEX'!$G$116/'CAPEX+OPEX'!$G$115)</f>
        <v>3065.7975205909352</v>
      </c>
      <c r="DM5">
        <f>7963.6*(CE5/1000)^0.6*1.7*('CAPEX+OPEX'!$G$116/'CAPEX+OPEX'!$G$115)</f>
        <v>6775.8257550807739</v>
      </c>
      <c r="DN5">
        <f>'TEA Revised Non EYZ'!CM5</f>
        <v>39625.826528698344</v>
      </c>
      <c r="DO5">
        <f>'TEA Revised Non EYZ'!CN5</f>
        <v>4586243.4239371875</v>
      </c>
      <c r="DP5">
        <f>'TEA Revised Non EYZ'!CO5</f>
        <v>11794834.586807497</v>
      </c>
      <c r="DQ5">
        <f>'TEA Revised Non EYZ'!CP5</f>
        <v>2275209.1661185985</v>
      </c>
      <c r="DR5">
        <f>'TEA Revised Non EYZ'!CQ5</f>
        <v>14083914.336508472</v>
      </c>
      <c r="DS5">
        <f>'TEA Revised Non EYZ'!CR5</f>
        <v>1662824.8986326549</v>
      </c>
      <c r="DT5">
        <f>'TEA Revised Non EYZ'!CS5</f>
        <v>461850.0978118488</v>
      </c>
      <c r="DU5">
        <f>'TEA Revised Non EYZ'!CT5</f>
        <v>1187779.4098672394</v>
      </c>
      <c r="DV5">
        <f>'TEA Revised Non EYZ'!CU5</f>
        <v>229121.19544936769</v>
      </c>
      <c r="DW5">
        <f>'TEA Revised Non EYZ'!CV5</f>
        <v>1418297.4196136401</v>
      </c>
      <c r="DX5">
        <f>'TEA Revised Non EYZ'!CW5</f>
        <v>167452.04540804314</v>
      </c>
      <c r="DY5">
        <f>'TEA Revised Non EYZ'!CX5</f>
        <v>3464500.168150139</v>
      </c>
      <c r="DZ5">
        <f>'TEA Revised Non EYZ'!CY5</f>
        <v>662761.89210079471</v>
      </c>
      <c r="EA5">
        <f>'TEA Revised Non EYZ'!CZ5</f>
        <v>1704481.4601353123</v>
      </c>
      <c r="EB5">
        <f>'TEA Revised Non EYZ'!DA5</f>
        <v>328792.38899345568</v>
      </c>
      <c r="EC5">
        <f>'TEA Revised Non EYZ'!DB5</f>
        <v>2035278.2988209969</v>
      </c>
      <c r="ED5">
        <f>'TEA Revised Non EYZ'!DC5</f>
        <v>240296.22376738113</v>
      </c>
      <c r="EE5">
        <f>'TEA Revised Non EYZ'!DD5</f>
        <v>4971610.2638179408</v>
      </c>
      <c r="EF5">
        <v>0.7</v>
      </c>
      <c r="EG5">
        <v>100</v>
      </c>
      <c r="EH5">
        <f>96485*BL5*V5/EF5/EG5/60</f>
        <v>43.40098012666558</v>
      </c>
      <c r="EI5">
        <f>96485*BN5*BA5/EF5/EG5/60</f>
        <v>45.873805312698281</v>
      </c>
      <c r="EJ5">
        <f>EH5*('CAPEX+OPEX'!$O$25+'CAPEX+OPEX'!$O$26)</f>
        <v>1383276.0385970853</v>
      </c>
      <c r="EK5">
        <f>EI5*('CAPEX+OPEX'!$O$25+'CAPEX+OPEX'!$O$26)</f>
        <v>1462089.9229263195</v>
      </c>
      <c r="EL5">
        <f>EJ5*1.12/0.6*'CAPEX+OPEX'!$G$116/'CAPEX+OPEX'!$G$115</f>
        <v>3045497.132381544</v>
      </c>
      <c r="EM5">
        <f>EK5*1.12/0.6*'CAPEX+OPEX'!$G$116/'CAPEX+OPEX'!$G$115</f>
        <v>3219018.1448325147</v>
      </c>
      <c r="EN5">
        <f>EL5+EM5+DY5+EE5+1.15*(SUM(DF5:DM5)+SUM(CF5:CI5))</f>
        <v>14782404.580730496</v>
      </c>
      <c r="EO5">
        <f>EN5/15</f>
        <v>985493.63871536637</v>
      </c>
      <c r="EP5">
        <f>('eLLE Bals'!CB5+'eLLE Bals'!CC5)*'Oxidant Feed Composition'!$N$25*60*7200</f>
        <v>15648571.466972688</v>
      </c>
      <c r="EQ5" s="83">
        <f>('eLLE Bals'!BR5+'eLLE Bals'!BY5)*'Reagent cost'!$C$38*60*7200</f>
        <v>522830.71442689735</v>
      </c>
      <c r="ER5">
        <f>'TEA Revised Non EYZ'!DI5</f>
        <v>504921.59999999998</v>
      </c>
      <c r="ES5">
        <f>'TEA Revised Non EYZ'!DJ5</f>
        <v>72.384195657222634</v>
      </c>
      <c r="ET5">
        <f>'TEA Revised Non EYZ'!DK5</f>
        <v>792.17189658657901</v>
      </c>
      <c r="EU5">
        <f>1.2*SUM(EP5:ET5)</f>
        <v>20012626.004990194</v>
      </c>
      <c r="EV5">
        <f>'TEA Revised Non EYZ'!DM5</f>
        <v>0.70639694042110623</v>
      </c>
      <c r="EW5">
        <f>(BS5*CO5+BT5*CP5)/1000*('Oxidant Feed Composition'!$B$11*'Oxidant Feed Composition'!$O$20+'Oxidant Feed Composition'!$D$11*'Oxidant Feed Composition'!$O$21+'Oxidant Feed Composition'!$F$11*'Oxidant Feed Composition'!$O$27-'Oxidant Feed Composition'!$J$15*18.015)</f>
        <v>2.2692046408647024</v>
      </c>
      <c r="EX5">
        <f>(CZ5*BX5+DC5*BZ5)*368.34/1000</f>
        <v>0.10553890940266906</v>
      </c>
      <c r="EY5">
        <f>'TEA Revised Non EYZ'!DP5</f>
        <v>4.999938342565946E-2</v>
      </c>
      <c r="EZ5">
        <f>SUM(EV5:EX5)-EY5</f>
        <v>3.031141107262818</v>
      </c>
      <c r="FA5">
        <f>EZ5*0.33*60*7200</f>
        <v>432119.47625138739</v>
      </c>
      <c r="FB5">
        <f>'TEA Revised Non EYZ'!DS5</f>
        <v>1.2</v>
      </c>
      <c r="FC5">
        <v>0.5</v>
      </c>
      <c r="FD5">
        <f>'TEA Revised Non EYZ'!DT5</f>
        <v>1409.8567292374196</v>
      </c>
      <c r="FE5">
        <f>'TEA Revised Non EYZ'!DU5</f>
        <v>712.34852298928593</v>
      </c>
      <c r="FF5">
        <f>'TEA Revised Non EYZ'!DV5</f>
        <v>0.7</v>
      </c>
      <c r="FG5">
        <f>'TEA Revised Non EYZ'!DW5</f>
        <v>27520.276190787874</v>
      </c>
      <c r="FH5">
        <f>'TEA Revised Non EYZ'!DX5</f>
        <v>16610.439588917834</v>
      </c>
      <c r="FI5">
        <f>'TEA Revised Non EYZ'!DY5</f>
        <v>7032.645793695051</v>
      </c>
      <c r="FJ5">
        <f>'TEA Revised Non EYZ'!DZ5</f>
        <v>3725.3886787897172</v>
      </c>
      <c r="FK5">
        <f>'TEA Revised Non EYZ'!EA5</f>
        <v>3750.7444233040283</v>
      </c>
      <c r="FL5">
        <f>'TEA Revised Non EYZ'!EB5</f>
        <v>852.68134984279141</v>
      </c>
      <c r="FM5">
        <f>'TEA Revised Non EYZ'!EC5</f>
        <v>36107.467989398225</v>
      </c>
      <c r="FN5">
        <f>'TEA Revised Non EYZ'!ED5</f>
        <v>31128.724700193463</v>
      </c>
      <c r="FO5">
        <f>'TEA Revised Non EYZ'!EE5</f>
        <v>13179.500377098037</v>
      </c>
      <c r="FP5">
        <f>'TEA Revised Non EYZ'!EF5</f>
        <v>6985.2637307326804</v>
      </c>
      <c r="FQ5">
        <f>'TEA Revised Non EYZ'!EG5</f>
        <v>7029.0668677856211</v>
      </c>
      <c r="FR5">
        <f>'TEA Revised Non EYZ'!EH5</f>
        <v>430.82838670392022</v>
      </c>
      <c r="FS5">
        <f>'TEA Revised Non EYZ'!EI5</f>
        <v>154353.02807724921</v>
      </c>
      <c r="FT5">
        <f>EG5*EH5</f>
        <v>4340.0980126665581</v>
      </c>
      <c r="FU5">
        <f>EG5*EI5</f>
        <v>4587.3805312698278</v>
      </c>
      <c r="FV5">
        <f>FC5*(FT5+FU5)/(3.6*10^6)*3600*7200*0.07</f>
        <v>2249.7245930719696</v>
      </c>
      <c r="FW5">
        <f>('CAPEX+OPEX'!$C$39/7/100+0.03)*EL5</f>
        <v>156625.56680819369</v>
      </c>
      <c r="FX5">
        <f>('CAPEX+OPEX'!$C$39/7/100+0.03)*EM5</f>
        <v>165549.50459138647</v>
      </c>
      <c r="FY5">
        <f>SUM(FV5:FX5)</f>
        <v>324424.79599265213</v>
      </c>
      <c r="FZ5">
        <f>FY5+FA5+FS5+EU5</f>
        <v>20923523.305311482</v>
      </c>
      <c r="GA5">
        <f>FZ5+EO5</f>
        <v>21909016.94402685</v>
      </c>
      <c r="GB5">
        <f>GA5/(BK5*60*7200)</f>
        <v>0.50715317000062154</v>
      </c>
      <c r="GC5">
        <f>'TEA Revised Non EYZ'!EM5/'TEA Revised Non EYZ'!EK5*GA5</f>
        <v>1695.9403343634319</v>
      </c>
      <c r="GD5">
        <f>'TEA Revised Non EYZ'!EN5/'TEA Revised Non EYZ'!EK5*GA5</f>
        <v>3085.3765815180996</v>
      </c>
    </row>
    <row r="6" spans="1:186">
      <c r="A6">
        <f>'TEA Revised Non EYZ'!A6</f>
        <v>3</v>
      </c>
      <c r="B6">
        <f>'TEA Revised Non EYZ'!B6</f>
        <v>1.54143585092054E-3</v>
      </c>
      <c r="C6">
        <f>'TEA Revised Non EYZ'!C6</f>
        <v>1.54143585092054E-3</v>
      </c>
      <c r="D6">
        <f>'TEA Revised Non EYZ'!D6</f>
        <v>3.4254130020456501E-4</v>
      </c>
      <c r="E6">
        <f>'TEA Revised Non EYZ'!E6</f>
        <v>0</v>
      </c>
      <c r="F6">
        <f>'TEA Revised Non EYZ'!F6</f>
        <v>0</v>
      </c>
      <c r="G6">
        <f>'TEA Revised Non EYZ'!G6</f>
        <v>0</v>
      </c>
      <c r="H6">
        <f>'TEA Revised Non EYZ'!H6</f>
        <v>1.6300358850230801E-5</v>
      </c>
      <c r="I6">
        <f>'TEA Revised Non EYZ'!I6</f>
        <v>7.4474859607128495E-7</v>
      </c>
      <c r="J6">
        <f>'TEA Revised Non EYZ'!J6</f>
        <v>3.2385704147932398E-4</v>
      </c>
      <c r="K6">
        <f>'TEA Revised Non EYZ'!K6</f>
        <v>8.07271092797512E-2</v>
      </c>
      <c r="L6">
        <f>'TEA Revised Non EYZ'!L6</f>
        <v>8.15504849440159E-2</v>
      </c>
      <c r="M6">
        <f>'TEA Revised Non EYZ'!M6</f>
        <v>9.8897848995466706E-4</v>
      </c>
      <c r="N6">
        <f>'TEA Revised Non EYZ'!N6</f>
        <v>-9.8011876392689601E-17</v>
      </c>
      <c r="O6">
        <f>'TEA Revised Non EYZ'!O6</f>
        <v>1.94289029309402E-16</v>
      </c>
      <c r="P6">
        <f>'TEA Revised Non EYZ'!P6</f>
        <v>-4.3537493488870999E-18</v>
      </c>
      <c r="Q6">
        <f>'TEA Revised Non EYZ'!Q6</f>
        <v>0.18892482409907799</v>
      </c>
      <c r="R6">
        <f>'TEA Revised Non EYZ'!R6</f>
        <v>94.545399718491396</v>
      </c>
      <c r="S6">
        <f>'TEA Revised Non EYZ'!S6</f>
        <v>500</v>
      </c>
      <c r="T6">
        <f>'TEA Revised Non EYZ'!T6</f>
        <v>95</v>
      </c>
      <c r="U6">
        <f>'TEA Revised Non EYZ'!U6</f>
        <v>1</v>
      </c>
      <c r="V6">
        <f>'TEA Revised Non EYZ'!V6</f>
        <v>0.1</v>
      </c>
      <c r="W6">
        <f>'TEA Revised Non EYZ'!W6</f>
        <v>52.931106580020597</v>
      </c>
      <c r="X6" t="str">
        <f>'TEA Revised Non EYZ'!X6</f>
        <v>ddFc</v>
      </c>
      <c r="Y6">
        <f>'TEA Revised Non EYZ'!Y6</f>
        <v>1</v>
      </c>
      <c r="Z6">
        <f>'TEA Revised Non EYZ'!Z6</f>
        <v>0.28318429382522198</v>
      </c>
      <c r="AA6">
        <f>'TEA Revised Non EYZ'!AA6</f>
        <v>0.56945642916197003</v>
      </c>
      <c r="AB6">
        <f>'TEA Revised Non EYZ'!AB6</f>
        <v>3.7698628972227502E-3</v>
      </c>
      <c r="AC6">
        <f>'TEA Revised Non EYZ'!AC6</f>
        <v>1822.2107908876901</v>
      </c>
      <c r="AD6">
        <f>'TEA Revised Non EYZ'!AD6</f>
        <v>2662.6059073104898</v>
      </c>
      <c r="AE6">
        <f>'TEA Revised Non EYZ'!AE6</f>
        <v>2401.5030938442701</v>
      </c>
      <c r="AF6">
        <f>'TEA Revised Non EYZ'!AF6</f>
        <v>8</v>
      </c>
      <c r="AG6">
        <f>'TEA Revised Non EYZ'!AG6</f>
        <v>1.6455478770638001E-3</v>
      </c>
      <c r="AH6">
        <f>'TEA Revised Non EYZ'!AH6</f>
        <v>1.66233163271225E-3</v>
      </c>
      <c r="AI6">
        <f>'TEA Revised Non EYZ'!AI6</f>
        <v>2.0159416943409301E-5</v>
      </c>
      <c r="AJ6">
        <f>'TEA Revised Non EYZ'!AJ6</f>
        <v>0</v>
      </c>
      <c r="AK6">
        <f>'TEA Revised Non EYZ'!AK6</f>
        <v>0</v>
      </c>
      <c r="AL6">
        <f>'TEA Revised Non EYZ'!AL6</f>
        <v>0</v>
      </c>
      <c r="AM6">
        <f>'TEA Revised Non EYZ'!AM6</f>
        <v>1.60827767677345E-3</v>
      </c>
      <c r="AN6">
        <f>'TEA Revised Non EYZ'!AN6</f>
        <v>6.4620843878105105E-5</v>
      </c>
      <c r="AO6">
        <f>'TEA Revised Non EYZ'!AO6</f>
        <v>2.0025349636286901E-5</v>
      </c>
      <c r="AP6">
        <f>'TEA Revised Non EYZ'!AP6</f>
        <v>1.7322991543913E-3</v>
      </c>
      <c r="AQ6">
        <f>'TEA Revised Non EYZ'!AQ6</f>
        <v>7.4260750598247896E-2</v>
      </c>
      <c r="AR6">
        <f>'TEA Revised Non EYZ'!AR6</f>
        <v>6.23137737256415E-6</v>
      </c>
      <c r="AS6">
        <f>'TEA Revised Non EYZ'!AS6</f>
        <v>8.2236734783025499E-17</v>
      </c>
      <c r="AT6">
        <f>'TEA Revised Non EYZ'!AT6</f>
        <v>-2.2797735921287199E-14</v>
      </c>
      <c r="AU6">
        <f>'TEA Revised Non EYZ'!AU6</f>
        <v>-1.82906177047725E-20</v>
      </c>
      <c r="AV6">
        <f>'TEA Revised Non EYZ'!AV6</f>
        <v>0.19940531895758401</v>
      </c>
      <c r="AW6">
        <f>'TEA Revised Non EYZ'!AW6</f>
        <v>99.334964361822799</v>
      </c>
      <c r="AX6">
        <f>'TEA Revised Non EYZ'!AX6</f>
        <v>500</v>
      </c>
      <c r="AY6">
        <f>'TEA Revised Non EYZ'!AY6</f>
        <v>95</v>
      </c>
      <c r="AZ6">
        <f>'TEA Revised Non EYZ'!AZ6</f>
        <v>0.92682535301965796</v>
      </c>
      <c r="BA6">
        <f>'TEA Revised Non EYZ'!BA6</f>
        <v>0.1</v>
      </c>
      <c r="BB6">
        <f>'TEA Revised Non EYZ'!BB6</f>
        <v>46.479469949184399</v>
      </c>
      <c r="BC6" t="str">
        <f>'TEA Revised Non EYZ'!BC6</f>
        <v>coeFc</v>
      </c>
      <c r="BD6">
        <f>'TEA Revised Non EYZ'!BD6</f>
        <v>1</v>
      </c>
      <c r="BE6">
        <f>'TEA Revised Non EYZ'!BE6</f>
        <v>1.8775014999999999E-2</v>
      </c>
      <c r="BF6">
        <f>'TEA Revised Non EYZ'!BF6</f>
        <v>0.10492961100000001</v>
      </c>
      <c r="BG6">
        <f>'TEA Revised Non EYZ'!BG6</f>
        <v>1.814625E-3</v>
      </c>
      <c r="BH6">
        <f>'TEA Revised Non EYZ'!BH6</f>
        <v>285.1951444</v>
      </c>
      <c r="BI6">
        <f>'TEA Revised Non EYZ'!BI6</f>
        <v>2169.8944889999998</v>
      </c>
      <c r="BJ6">
        <f>'TEA Revised Non EYZ'!BJ6</f>
        <v>866.49409060000005</v>
      </c>
      <c r="BK6">
        <f>'TEA Revised Non EYZ'!BK6</f>
        <v>100</v>
      </c>
      <c r="BL6">
        <f>'TEA Revised Non EYZ'!BL6</f>
        <v>18.892482409907799</v>
      </c>
      <c r="BM6">
        <f>'TEA Revised Non EYZ'!BM6</f>
        <v>92.6825353019658</v>
      </c>
      <c r="BN6">
        <f>'TEA Revised Non EYZ'!BN6</f>
        <v>19.940531895758401</v>
      </c>
      <c r="BO6">
        <f>'TEA Revised Non EYZ'!BO6</f>
        <v>188.92482409907799</v>
      </c>
      <c r="BP6">
        <f>'TEA Revised Non EYZ'!BP6</f>
        <v>398.810637915168</v>
      </c>
      <c r="BQ6">
        <f>'TEA Revised Non EYZ'!BQ6</f>
        <v>18.892482409907799</v>
      </c>
      <c r="BR6">
        <f>'TEA Revised Non EYZ'!BR6</f>
        <v>39.881063791516802</v>
      </c>
      <c r="BS6">
        <f>'eLLE Bals'!CF6</f>
        <v>11.335489445944679</v>
      </c>
      <c r="BT6">
        <f>'eLLE Bals'!CG6</f>
        <v>11.964319137455041</v>
      </c>
      <c r="BU6">
        <f>BM6</f>
        <v>92.6825353019658</v>
      </c>
      <c r="BV6">
        <f>BU6*(AM6*2+AN6*2+AO6*3)</f>
        <v>0.31566495291758628</v>
      </c>
      <c r="BW6">
        <f>BN6*BA6*(AP6*2+AQ6*2+AR6*3)</f>
        <v>0.30310564358346703</v>
      </c>
      <c r="BX6">
        <f>BV6/(2*V6*BL6+BV6)</f>
        <v>7.7101247211899981E-2</v>
      </c>
      <c r="BY6">
        <f>BU6*BX6</f>
        <v>7.1459390665425122</v>
      </c>
      <c r="BZ6">
        <f>BW6/(2*BN6*BA6+BW6)</f>
        <v>7.0634040447685106E-2</v>
      </c>
      <c r="CA6">
        <f>2*BN6*BA6/0.04</f>
        <v>99.702659478792015</v>
      </c>
      <c r="CB6">
        <f>(BS6+BL6)*2</f>
        <v>60.455943711704961</v>
      </c>
      <c r="CC6">
        <f>(BU6+BL6)*2</f>
        <v>223.1500354237472</v>
      </c>
      <c r="CD6">
        <f>(BT6+BN6)*2</f>
        <v>63.80970206642688</v>
      </c>
      <c r="CE6">
        <f>(CA6+BN6)*2</f>
        <v>239.28638274910082</v>
      </c>
      <c r="CF6">
        <f>'TEA Revised Non EYZ'!CB6</f>
        <v>2493.8076781078298</v>
      </c>
      <c r="CG6">
        <f>'TEA Revised Non EYZ'!CC6</f>
        <v>5264.3004204802173</v>
      </c>
      <c r="CH6">
        <f>'TEA Revised Non EYZ'!CD6</f>
        <v>3012.9816471142385</v>
      </c>
      <c r="CI6">
        <f>'TEA Revised Non EYZ'!CE6</f>
        <v>40604.017025242465</v>
      </c>
      <c r="CJ6">
        <f>BL6*V6</f>
        <v>1.88924824099078</v>
      </c>
      <c r="CK6">
        <f>CJ6/2*1.2</f>
        <v>1.133548944594468</v>
      </c>
      <c r="CL6">
        <f>'eLLE Bals'!CB6*'Oxidant Feed Composition'!$N$20</f>
        <v>6.2974941366359366E-2</v>
      </c>
      <c r="CM6">
        <f>'eLLE Bals'!CB6*'Oxidant Feed Composition'!$N$21</f>
        <v>3.148747068317967</v>
      </c>
      <c r="CN6">
        <f>'eLLE Bals'!CB6*'Oxidant Feed Composition'!$N$22</f>
        <v>0.94462412049539002</v>
      </c>
      <c r="CO6">
        <f>CN6/CK6</f>
        <v>0.83333333333333337</v>
      </c>
      <c r="CP6">
        <f>CO6</f>
        <v>0.83333333333333337</v>
      </c>
      <c r="CQ6">
        <f>CL6/CO6</f>
        <v>7.5569929639631231E-2</v>
      </c>
      <c r="CR6">
        <f>CM6/CO6</f>
        <v>3.7784964819815601</v>
      </c>
      <c r="CS6">
        <f>BN6*BA6</f>
        <v>1.9940531895758402</v>
      </c>
      <c r="CT6">
        <f>CS6/2*1.2</f>
        <v>1.1964319137455042</v>
      </c>
      <c r="CU6">
        <f>'eLLE Bals'!CC6*'Oxidant Feed Composition'!$N$20</f>
        <v>6.6468439652528036E-2</v>
      </c>
      <c r="CV6">
        <f>'eLLE Bals'!CC6*'Oxidant Feed Composition'!$N$21</f>
        <v>3.3234219826264004</v>
      </c>
      <c r="CW6">
        <f>'eLLE Bals'!CC6*'Oxidant Feed Composition'!$N$22</f>
        <v>0.99702659478792011</v>
      </c>
      <c r="CX6">
        <f>CU6/CP6</f>
        <v>7.9762127583033637E-2</v>
      </c>
      <c r="CY6">
        <f>CV6/CP6</f>
        <v>3.9881063791516804</v>
      </c>
      <c r="CZ6">
        <f>CJ6</f>
        <v>1.88924824099078</v>
      </c>
      <c r="DA6">
        <f>'eLLE Bals'!BQ6</f>
        <v>3.7784964819815601</v>
      </c>
      <c r="DB6">
        <f>'eLLE Bals'!BU6</f>
        <v>18.835727131415286</v>
      </c>
      <c r="DC6">
        <f>CS6</f>
        <v>1.9940531895758402</v>
      </c>
      <c r="DD6">
        <f>'eLLE Bals'!BX6</f>
        <v>3.9881063791516804</v>
      </c>
      <c r="DE6">
        <f>'eLLE Bals'!CA6</f>
        <v>22.248608159372779</v>
      </c>
      <c r="DF6">
        <f>2*2*(CJ6*'Reagent cost'!$C$36*122.44/1000+CK6*'Oxidant Feed Composition'!$N$26+CQ6*'Reagent cost'!$C$34+CR6*'Reagent cost'!$C$35)</f>
        <v>159.58047571195635</v>
      </c>
      <c r="DG6">
        <f>2*2*(CS6*'Reagent cost'!$C$36*122.44/1000+CT6*'Oxidant Feed Composition'!$N$26+CX6*'Reagent cost'!$C$34+CY6*'Reagent cost'!$C$35)</f>
        <v>168.43310989167648</v>
      </c>
      <c r="DH6">
        <f>(AF6+3)*2*(CZ6*'Reagent cost'!$C$38+DA6*'Reagent cost'!$C$39+DB6*'Reagent cost'!$C$36*122.44/1000)</f>
        <v>3768.3524823659172</v>
      </c>
      <c r="DI6">
        <f>3*2*(DC6*'Reagent cost'!$C$38+DD6*'Reagent cost'!$C$39+DE6*'Reagent cost'!$C$36*122.44/1000)</f>
        <v>1207.5968165692661</v>
      </c>
      <c r="DJ6">
        <f>7963.6*(CB6/1000)^0.6*1.7*('CAPEX+OPEX'!$G$116/'CAPEX+OPEX'!$G$115)</f>
        <v>2965.5437179814326</v>
      </c>
      <c r="DK6">
        <f>7963.6*(CC6/1000)^0.6*1.7*('CAPEX+OPEX'!$G$116/'CAPEX+OPEX'!$G$115)</f>
        <v>6492.3078360569407</v>
      </c>
      <c r="DL6">
        <f>7963.6*(CD6/1000)^0.6*1.7*('CAPEX+OPEX'!$G$116/'CAPEX+OPEX'!$G$115)</f>
        <v>3063.1831049267225</v>
      </c>
      <c r="DM6">
        <f>7963.6*(CE6/1000)^0.6*1.7*('CAPEX+OPEX'!$G$116/'CAPEX+OPEX'!$G$115)</f>
        <v>6770.047544069419</v>
      </c>
      <c r="DN6">
        <f>'TEA Revised Non EYZ'!CM6</f>
        <v>39625.826528698344</v>
      </c>
      <c r="DO6">
        <f>'TEA Revised Non EYZ'!CN6</f>
        <v>4586243.4239371875</v>
      </c>
      <c r="DP6">
        <f>'TEA Revised Non EYZ'!CO6</f>
        <v>11794834.586807497</v>
      </c>
      <c r="DQ6">
        <f>'TEA Revised Non EYZ'!CP6</f>
        <v>2275209.1661185985</v>
      </c>
      <c r="DR6">
        <f>'TEA Revised Non EYZ'!CQ6</f>
        <v>14083914.336508472</v>
      </c>
      <c r="DS6">
        <f>'TEA Revised Non EYZ'!CR6</f>
        <v>1662824.8986326549</v>
      </c>
      <c r="DT6">
        <f>'TEA Revised Non EYZ'!CS6</f>
        <v>461850.0978118488</v>
      </c>
      <c r="DU6">
        <f>'TEA Revised Non EYZ'!CT6</f>
        <v>1187779.4098672394</v>
      </c>
      <c r="DV6">
        <f>'TEA Revised Non EYZ'!CU6</f>
        <v>229121.19544936769</v>
      </c>
      <c r="DW6">
        <f>'TEA Revised Non EYZ'!CV6</f>
        <v>1418297.4196136401</v>
      </c>
      <c r="DX6">
        <f>'TEA Revised Non EYZ'!CW6</f>
        <v>167452.04540804314</v>
      </c>
      <c r="DY6">
        <f>'TEA Revised Non EYZ'!CX6</f>
        <v>3464500.168150139</v>
      </c>
      <c r="DZ6">
        <f>'TEA Revised Non EYZ'!CY6</f>
        <v>711293.83179829107</v>
      </c>
      <c r="EA6">
        <f>'TEA Revised Non EYZ'!CZ6</f>
        <v>1829295.2015780793</v>
      </c>
      <c r="EB6">
        <f>'TEA Revised Non EYZ'!DA6</f>
        <v>352868.80706427526</v>
      </c>
      <c r="EC6">
        <f>'TEA Revised Non EYZ'!DB6</f>
        <v>2184315.2377930121</v>
      </c>
      <c r="ED6">
        <f>'TEA Revised Non EYZ'!DC6</f>
        <v>257892.34988810416</v>
      </c>
      <c r="EE6">
        <f>'TEA Revised Non EYZ'!DD6</f>
        <v>5335665.4281217614</v>
      </c>
      <c r="EF6">
        <v>0.7</v>
      </c>
      <c r="EG6">
        <v>100</v>
      </c>
      <c r="EH6">
        <f>96485*BL6*V6/EF6/EG6/60</f>
        <v>43.40098012666558</v>
      </c>
      <c r="EI6">
        <f>96485*BN6*BA6/EF6/EG6/60</f>
        <v>45.808624284815465</v>
      </c>
      <c r="EJ6">
        <f>EH6*('CAPEX+OPEX'!$O$25+'CAPEX+OPEX'!$O$26)</f>
        <v>1383276.0385970853</v>
      </c>
      <c r="EK6">
        <f>EI6*('CAPEX+OPEX'!$O$25+'CAPEX+OPEX'!$O$26)</f>
        <v>1460012.4732056386</v>
      </c>
      <c r="EL6">
        <f>EJ6*1.12/0.6*'CAPEX+OPEX'!$G$116/'CAPEX+OPEX'!$G$115</f>
        <v>3045497.132381544</v>
      </c>
      <c r="EM6">
        <f>EK6*1.12/0.6*'CAPEX+OPEX'!$G$116/'CAPEX+OPEX'!$G$115</f>
        <v>3214444.3164783292</v>
      </c>
      <c r="EN6">
        <f>EL6+EM6+DY6+EE6+1.15*(SUM(DF6:DM6)+SUM(CF6:CI6))</f>
        <v>15147472.719769068</v>
      </c>
      <c r="EO6">
        <f>EN6/15</f>
        <v>1009831.5146512712</v>
      </c>
      <c r="EP6">
        <f>('eLLE Bals'!CB6+'eLLE Bals'!CC6)*'Oxidant Feed Composition'!$N$25*60*7200</f>
        <v>15637146.180783588</v>
      </c>
      <c r="EQ6" s="83">
        <f>('eLLE Bals'!BR6+'eLLE Bals'!BY6)*'Reagent cost'!$C$38*60*7200</f>
        <v>522804.51056476933</v>
      </c>
      <c r="ER6">
        <f>'TEA Revised Non EYZ'!DI6</f>
        <v>504921.59999999998</v>
      </c>
      <c r="ES6">
        <f>'TEA Revised Non EYZ'!DJ6</f>
        <v>77.581080985880476</v>
      </c>
      <c r="ET6">
        <f>'TEA Revised Non EYZ'!DK6</f>
        <v>872.33997344713407</v>
      </c>
      <c r="EU6">
        <f>1.2*SUM(EP6:ET6)</f>
        <v>19998986.654883347</v>
      </c>
      <c r="EV6">
        <f>'TEA Revised Non EYZ'!DM6</f>
        <v>0.70639694042110623</v>
      </c>
      <c r="EW6">
        <f>(BS6*CO6+BT6*CP6)/1000*('Oxidant Feed Composition'!$B$11*'Oxidant Feed Composition'!$O$20+'Oxidant Feed Composition'!$D$11*'Oxidant Feed Composition'!$O$21+'Oxidant Feed Composition'!$F$11*'Oxidant Feed Composition'!$O$27-'Oxidant Feed Composition'!$J$15*18.015)</f>
        <v>2.2675478562503226</v>
      </c>
      <c r="EX6">
        <f>(CZ6*BX6+DC6*BZ6)*368.34/1000</f>
        <v>0.10553361987595447</v>
      </c>
      <c r="EY6">
        <f>'TEA Revised Non EYZ'!DP6</f>
        <v>4.999938342565946E-2</v>
      </c>
      <c r="EZ6">
        <f>SUM(EV6:EX6)-EY6</f>
        <v>3.0294790331217238</v>
      </c>
      <c r="FA6">
        <f>EZ6*0.33*60*7200</f>
        <v>431882.53096183302</v>
      </c>
      <c r="FB6">
        <f>'TEA Revised Non EYZ'!DS6</f>
        <v>1.2</v>
      </c>
      <c r="FC6">
        <v>0.5</v>
      </c>
      <c r="FD6">
        <f>'TEA Revised Non EYZ'!DT6</f>
        <v>1410.0213558902396</v>
      </c>
      <c r="FE6">
        <f>'TEA Revised Non EYZ'!DU6</f>
        <v>712.18389634512152</v>
      </c>
      <c r="FF6">
        <f>'TEA Revised Non EYZ'!DV6</f>
        <v>0.7</v>
      </c>
      <c r="FG6">
        <f>'TEA Revised Non EYZ'!DW6</f>
        <v>27520.276190787874</v>
      </c>
      <c r="FH6">
        <f>'TEA Revised Non EYZ'!DX6</f>
        <v>16610.439588917834</v>
      </c>
      <c r="FI6">
        <f>'TEA Revised Non EYZ'!DY6</f>
        <v>7032.645793695051</v>
      </c>
      <c r="FJ6">
        <f>'TEA Revised Non EYZ'!DZ6</f>
        <v>3725.3886787897172</v>
      </c>
      <c r="FK6">
        <f>'TEA Revised Non EYZ'!EA6</f>
        <v>3750.7444233040283</v>
      </c>
      <c r="FL6">
        <f>'TEA Revised Non EYZ'!EB6</f>
        <v>852.78091604241706</v>
      </c>
      <c r="FM6">
        <f>'TEA Revised Non EYZ'!EC6</f>
        <v>38686.572845783812</v>
      </c>
      <c r="FN6">
        <f>'TEA Revised Non EYZ'!ED6</f>
        <v>35019.81528771764</v>
      </c>
      <c r="FO6">
        <f>'TEA Revised Non EYZ'!EE6</f>
        <v>14826.93792423529</v>
      </c>
      <c r="FP6">
        <f>'TEA Revised Non EYZ'!EF6</f>
        <v>7858.4216970742636</v>
      </c>
      <c r="FQ6">
        <f>'TEA Revised Non EYZ'!EG6</f>
        <v>7907.700226258823</v>
      </c>
      <c r="FR6">
        <f>'TEA Revised Non EYZ'!EH6</f>
        <v>430.72882050952956</v>
      </c>
      <c r="FS6">
        <f>'TEA Revised Non EYZ'!EI6</f>
        <v>164222.45239311631</v>
      </c>
      <c r="FT6">
        <f>EG6*EH6</f>
        <v>4340.0980126665581</v>
      </c>
      <c r="FU6">
        <f>EG6*EI6</f>
        <v>4580.8624284815469</v>
      </c>
      <c r="FV6">
        <f>FC6*(FT6+FU6)/(3.6*10^6)*3600*7200*0.07</f>
        <v>2248.0820311693228</v>
      </c>
      <c r="FW6">
        <f>('CAPEX+OPEX'!$C$39/7/100+0.03)*EL6</f>
        <v>156625.56680819369</v>
      </c>
      <c r="FX6">
        <f>('CAPEX+OPEX'!$C$39/7/100+0.03)*EM6</f>
        <v>165314.27913317122</v>
      </c>
      <c r="FY6">
        <f>SUM(FV6:FX6)</f>
        <v>324187.92797253421</v>
      </c>
      <c r="FZ6">
        <f>FY6+FA6+FS6+EU6</f>
        <v>20919279.566210832</v>
      </c>
      <c r="GA6">
        <f>FZ6+EO6</f>
        <v>21929111.080862105</v>
      </c>
      <c r="GB6">
        <f>GA6/(BK6*60*7200)</f>
        <v>0.50761831205699315</v>
      </c>
      <c r="GC6">
        <f>'TEA Revised Non EYZ'!EM6/'TEA Revised Non EYZ'!EK6*GA6</f>
        <v>1697.2971317320425</v>
      </c>
      <c r="GD6">
        <f>'TEA Revised Non EYZ'!EN6/'TEA Revised Non EYZ'!EK6*GA6</f>
        <v>3088.8640935057761</v>
      </c>
    </row>
    <row r="7" spans="1:186">
      <c r="A7">
        <f>'TEA Revised Non EYZ'!A7</f>
        <v>3</v>
      </c>
      <c r="B7">
        <f>'TEA Revised Non EYZ'!B7</f>
        <v>1.54143585092054E-3</v>
      </c>
      <c r="C7">
        <f>'TEA Revised Non EYZ'!C7</f>
        <v>1.54143585092054E-3</v>
      </c>
      <c r="D7">
        <f>'TEA Revised Non EYZ'!D7</f>
        <v>3.4254130020456501E-4</v>
      </c>
      <c r="E7">
        <f>'TEA Revised Non EYZ'!E7</f>
        <v>0</v>
      </c>
      <c r="F7">
        <f>'TEA Revised Non EYZ'!F7</f>
        <v>0</v>
      </c>
      <c r="G7">
        <f>'TEA Revised Non EYZ'!G7</f>
        <v>0</v>
      </c>
      <c r="H7">
        <f>'TEA Revised Non EYZ'!H7</f>
        <v>1.6300358850230801E-5</v>
      </c>
      <c r="I7">
        <f>'TEA Revised Non EYZ'!I7</f>
        <v>7.4474859607128495E-7</v>
      </c>
      <c r="J7">
        <f>'TEA Revised Non EYZ'!J7</f>
        <v>3.2385704147932398E-4</v>
      </c>
      <c r="K7">
        <f>'TEA Revised Non EYZ'!K7</f>
        <v>8.07271092797512E-2</v>
      </c>
      <c r="L7">
        <f>'TEA Revised Non EYZ'!L7</f>
        <v>8.15504849440159E-2</v>
      </c>
      <c r="M7">
        <f>'TEA Revised Non EYZ'!M7</f>
        <v>9.8897848995466706E-4</v>
      </c>
      <c r="N7">
        <f>'TEA Revised Non EYZ'!N7</f>
        <v>-9.8011876392689601E-17</v>
      </c>
      <c r="O7">
        <f>'TEA Revised Non EYZ'!O7</f>
        <v>1.94289029309402E-16</v>
      </c>
      <c r="P7">
        <f>'TEA Revised Non EYZ'!P7</f>
        <v>-4.3537493488870999E-18</v>
      </c>
      <c r="Q7">
        <f>'TEA Revised Non EYZ'!Q7</f>
        <v>0.18892482409907799</v>
      </c>
      <c r="R7">
        <f>'TEA Revised Non EYZ'!R7</f>
        <v>94.545399718491396</v>
      </c>
      <c r="S7">
        <f>'TEA Revised Non EYZ'!S7</f>
        <v>500</v>
      </c>
      <c r="T7">
        <f>'TEA Revised Non EYZ'!T7</f>
        <v>95</v>
      </c>
      <c r="U7">
        <f>'TEA Revised Non EYZ'!U7</f>
        <v>1</v>
      </c>
      <c r="V7">
        <f>'TEA Revised Non EYZ'!V7</f>
        <v>0.1</v>
      </c>
      <c r="W7">
        <f>'TEA Revised Non EYZ'!W7</f>
        <v>52.931106580020597</v>
      </c>
      <c r="X7" t="str">
        <f>'TEA Revised Non EYZ'!X7</f>
        <v>ddFc</v>
      </c>
      <c r="Y7">
        <f>'TEA Revised Non EYZ'!Y7</f>
        <v>1</v>
      </c>
      <c r="Z7">
        <f>'TEA Revised Non EYZ'!Z7</f>
        <v>0.28318429382522198</v>
      </c>
      <c r="AA7">
        <f>'TEA Revised Non EYZ'!AA7</f>
        <v>0.56945642916197003</v>
      </c>
      <c r="AB7">
        <f>'TEA Revised Non EYZ'!AB7</f>
        <v>3.7698628972227502E-3</v>
      </c>
      <c r="AC7">
        <f>'TEA Revised Non EYZ'!AC7</f>
        <v>1822.2107908876901</v>
      </c>
      <c r="AD7">
        <f>'TEA Revised Non EYZ'!AD7</f>
        <v>2662.6059073104898</v>
      </c>
      <c r="AE7">
        <f>'TEA Revised Non EYZ'!AE7</f>
        <v>2401.5030938442701</v>
      </c>
      <c r="AF7">
        <f>'TEA Revised Non EYZ'!AF7</f>
        <v>9</v>
      </c>
      <c r="AG7">
        <f>'TEA Revised Non EYZ'!AG7</f>
        <v>1.6455478770638001E-3</v>
      </c>
      <c r="AH7">
        <f>'TEA Revised Non EYZ'!AH7</f>
        <v>1.66233163271225E-3</v>
      </c>
      <c r="AI7">
        <f>'TEA Revised Non EYZ'!AI7</f>
        <v>2.0159416943409301E-5</v>
      </c>
      <c r="AJ7">
        <f>'TEA Revised Non EYZ'!AJ7</f>
        <v>0</v>
      </c>
      <c r="AK7">
        <f>'TEA Revised Non EYZ'!AK7</f>
        <v>0</v>
      </c>
      <c r="AL7">
        <f>'TEA Revised Non EYZ'!AL7</f>
        <v>0</v>
      </c>
      <c r="AM7">
        <f>'TEA Revised Non EYZ'!AM7</f>
        <v>1.6083318712016E-3</v>
      </c>
      <c r="AN7">
        <f>'TEA Revised Non EYZ'!AN7</f>
        <v>6.46235091896047E-5</v>
      </c>
      <c r="AO7">
        <f>'TEA Revised Non EYZ'!AO7</f>
        <v>2.0025536590245201E-5</v>
      </c>
      <c r="AP7">
        <f>'TEA Revised Non EYZ'!AP7</f>
        <v>1.7304893324093099E-3</v>
      </c>
      <c r="AQ7">
        <f>'TEA Revised Non EYZ'!AQ7</f>
        <v>7.4291069145050903E-2</v>
      </c>
      <c r="AR7">
        <f>'TEA Revised Non EYZ'!AR7</f>
        <v>6.2252387814425299E-6</v>
      </c>
      <c r="AS7">
        <f>'TEA Revised Non EYZ'!AS7</f>
        <v>2.10275590342701E-15</v>
      </c>
      <c r="AT7">
        <f>'TEA Revised Non EYZ'!AT7</f>
        <v>-3.1233609448788598E-13</v>
      </c>
      <c r="AU7">
        <f>'TEA Revised Non EYZ'!AU7</f>
        <v>8.7085574889582693E-21</v>
      </c>
      <c r="AV7">
        <f>'TEA Revised Non EYZ'!AV7</f>
        <v>0.19932360820213499</v>
      </c>
      <c r="AW7">
        <f>'TEA Revised Non EYZ'!AW7</f>
        <v>99.335891739627598</v>
      </c>
      <c r="AX7">
        <f>'TEA Revised Non EYZ'!AX7</f>
        <v>500</v>
      </c>
      <c r="AY7">
        <f>'TEA Revised Non EYZ'!AY7</f>
        <v>95</v>
      </c>
      <c r="AZ7">
        <f>'TEA Revised Non EYZ'!AZ7</f>
        <v>0.92682535301965796</v>
      </c>
      <c r="BA7">
        <f>'TEA Revised Non EYZ'!BA7</f>
        <v>0.1</v>
      </c>
      <c r="BB7">
        <f>'TEA Revised Non EYZ'!BB7</f>
        <v>46.498523751374002</v>
      </c>
      <c r="BC7" t="str">
        <f>'TEA Revised Non EYZ'!BC7</f>
        <v>coeFc</v>
      </c>
      <c r="BD7">
        <f>'TEA Revised Non EYZ'!BD7</f>
        <v>1</v>
      </c>
      <c r="BE7">
        <f>'TEA Revised Non EYZ'!BE7</f>
        <v>1.8775014999999999E-2</v>
      </c>
      <c r="BF7">
        <f>'TEA Revised Non EYZ'!BF7</f>
        <v>0.10492961100000001</v>
      </c>
      <c r="BG7">
        <f>'TEA Revised Non EYZ'!BG7</f>
        <v>1.814625E-3</v>
      </c>
      <c r="BH7">
        <f>'TEA Revised Non EYZ'!BH7</f>
        <v>285.1951444</v>
      </c>
      <c r="BI7">
        <f>'TEA Revised Non EYZ'!BI7</f>
        <v>2169.8944889999998</v>
      </c>
      <c r="BJ7">
        <f>'TEA Revised Non EYZ'!BJ7</f>
        <v>866.49409060000005</v>
      </c>
      <c r="BK7">
        <f>'TEA Revised Non EYZ'!BK7</f>
        <v>100</v>
      </c>
      <c r="BL7">
        <f>'TEA Revised Non EYZ'!BL7</f>
        <v>18.892482409907799</v>
      </c>
      <c r="BM7">
        <f>'TEA Revised Non EYZ'!BM7</f>
        <v>92.6825353019658</v>
      </c>
      <c r="BN7">
        <f>'TEA Revised Non EYZ'!BN7</f>
        <v>19.9323608202135</v>
      </c>
      <c r="BO7">
        <f>'TEA Revised Non EYZ'!BO7</f>
        <v>188.92482409907799</v>
      </c>
      <c r="BP7">
        <f>'TEA Revised Non EYZ'!BP7</f>
        <v>438.51193804469699</v>
      </c>
      <c r="BQ7">
        <f>'TEA Revised Non EYZ'!BQ7</f>
        <v>18.892482409907799</v>
      </c>
      <c r="BR7">
        <f>'TEA Revised Non EYZ'!BR7</f>
        <v>43.851193804469702</v>
      </c>
      <c r="BS7">
        <f>'eLLE Bals'!CF7</f>
        <v>11.335489445944679</v>
      </c>
      <c r="BT7">
        <f>'eLLE Bals'!CG7</f>
        <v>11.959416492128099</v>
      </c>
      <c r="BU7">
        <f>BM7</f>
        <v>92.6825353019658</v>
      </c>
      <c r="BV7">
        <f>BU7*(AM7*2+AN7*2+AO7*3)</f>
        <v>0.31567554470934156</v>
      </c>
      <c r="BW7">
        <f>BN7*BA7*(AP7*2+AQ7*2+AR7*3)</f>
        <v>0.30309505184921465</v>
      </c>
      <c r="BX7">
        <f>BV7/(2*V7*BL7+BV7)</f>
        <v>7.7103634789006434E-2</v>
      </c>
      <c r="BY7">
        <f>BU7*BX7</f>
        <v>7.1461603532419673</v>
      </c>
      <c r="BZ7">
        <f>BW7/(2*BN7*BA7+BW7)</f>
        <v>7.0658655429459954E-2</v>
      </c>
      <c r="CA7">
        <f>2*BN7*BA7/0.04</f>
        <v>99.661804101067503</v>
      </c>
      <c r="CB7">
        <f>(BS7+BL7)*2</f>
        <v>60.455943711704961</v>
      </c>
      <c r="CC7">
        <f>(BU7+BL7)*2</f>
        <v>223.1500354237472</v>
      </c>
      <c r="CD7">
        <f>(BT7+BN7)*2</f>
        <v>63.783554624683198</v>
      </c>
      <c r="CE7">
        <f>(CA7+BN7)*2</f>
        <v>239.18832984256201</v>
      </c>
      <c r="CF7">
        <f>'TEA Revised Non EYZ'!CB7</f>
        <v>2493.8076781078298</v>
      </c>
      <c r="CG7">
        <f>'TEA Revised Non EYZ'!CC7</f>
        <v>5788.3575821900004</v>
      </c>
      <c r="CH7">
        <f>'TEA Revised Non EYZ'!CD7</f>
        <v>3012.9816471142385</v>
      </c>
      <c r="CI7">
        <f>'TEA Revised Non EYZ'!CE7</f>
        <v>44646.116490820306</v>
      </c>
      <c r="CJ7">
        <f>BL7*V7</f>
        <v>1.88924824099078</v>
      </c>
      <c r="CK7">
        <f>CJ7/2*1.2</f>
        <v>1.133548944594468</v>
      </c>
      <c r="CL7">
        <f>'eLLE Bals'!CB7*'Oxidant Feed Composition'!$N$20</f>
        <v>6.2974941366359366E-2</v>
      </c>
      <c r="CM7">
        <f>'eLLE Bals'!CB7*'Oxidant Feed Composition'!$N$21</f>
        <v>3.148747068317967</v>
      </c>
      <c r="CN7">
        <f>'eLLE Bals'!CB7*'Oxidant Feed Composition'!$N$22</f>
        <v>0.94462412049539002</v>
      </c>
      <c r="CO7">
        <f>CN7/CK7</f>
        <v>0.83333333333333337</v>
      </c>
      <c r="CP7">
        <f>CO7</f>
        <v>0.83333333333333337</v>
      </c>
      <c r="CQ7">
        <f>CL7/CO7</f>
        <v>7.5569929639631231E-2</v>
      </c>
      <c r="CR7">
        <f>CM7/CO7</f>
        <v>3.7784964819815601</v>
      </c>
      <c r="CS7">
        <f>BN7*BA7</f>
        <v>1.9932360820213502</v>
      </c>
      <c r="CT7">
        <f>CS7/2*1.2</f>
        <v>1.1959416492128101</v>
      </c>
      <c r="CU7">
        <f>'eLLE Bals'!CC7*'Oxidant Feed Composition'!$N$20</f>
        <v>6.6441202734045024E-2</v>
      </c>
      <c r="CV7">
        <f>'eLLE Bals'!CC7*'Oxidant Feed Composition'!$N$21</f>
        <v>3.3220601367022504</v>
      </c>
      <c r="CW7">
        <f>'eLLE Bals'!CC7*'Oxidant Feed Composition'!$N$22</f>
        <v>0.99661804101067508</v>
      </c>
      <c r="CX7">
        <f>CU7/CP7</f>
        <v>7.9729443280854032E-2</v>
      </c>
      <c r="CY7">
        <f>CV7/CP7</f>
        <v>3.9864721640427003</v>
      </c>
      <c r="CZ7">
        <f>CJ7</f>
        <v>1.88924824099078</v>
      </c>
      <c r="DA7">
        <f>'eLLE Bals'!BQ7</f>
        <v>3.7784964819815601</v>
      </c>
      <c r="DB7">
        <f>'eLLE Bals'!BU7</f>
        <v>18.834968362058714</v>
      </c>
      <c r="DC7">
        <f>CS7</f>
        <v>1.9932360820213502</v>
      </c>
      <c r="DD7">
        <f>'eLLE Bals'!BX7</f>
        <v>3.9864721640427003</v>
      </c>
      <c r="DE7">
        <f>'eLLE Bals'!CA7</f>
        <v>22.229660725176007</v>
      </c>
      <c r="DF7">
        <f>2*2*(CJ7*'Reagent cost'!$C$36*122.44/1000+CK7*'Oxidant Feed Composition'!$N$26+CQ7*'Reagent cost'!$C$34+CR7*'Reagent cost'!$C$35)</f>
        <v>159.58047571195635</v>
      </c>
      <c r="DG7">
        <f>2*2*(CS7*'Reagent cost'!$C$36*122.44/1000+CT7*'Oxidant Feed Composition'!$N$26+CX7*'Reagent cost'!$C$34+CY7*'Reagent cost'!$C$35)</f>
        <v>168.36409068635223</v>
      </c>
      <c r="DH7">
        <f>(AF7+3)*2*(CZ7*'Reagent cost'!$C$38+DA7*'Reagent cost'!$C$39+DB7*'Reagent cost'!$C$36*122.44/1000)</f>
        <v>4110.7725201058347</v>
      </c>
      <c r="DI7">
        <f>3*2*(DC7*'Reagent cost'!$C$38+DD7*'Reagent cost'!$C$39+DE7*'Reagent cost'!$C$36*122.44/1000)</f>
        <v>1206.5919641125197</v>
      </c>
      <c r="DJ7">
        <f>7963.6*(CB7/1000)^0.6*1.7*('CAPEX+OPEX'!$G$116/'CAPEX+OPEX'!$G$115)</f>
        <v>2965.5437179814326</v>
      </c>
      <c r="DK7">
        <f>7963.6*(CC7/1000)^0.6*1.7*('CAPEX+OPEX'!$G$116/'CAPEX+OPEX'!$G$115)</f>
        <v>6492.3078360569407</v>
      </c>
      <c r="DL7">
        <f>7963.6*(CD7/1000)^0.6*1.7*('CAPEX+OPEX'!$G$116/'CAPEX+OPEX'!$G$115)</f>
        <v>3062.4299188323866</v>
      </c>
      <c r="DM7">
        <f>7963.6*(CE7/1000)^0.6*1.7*('CAPEX+OPEX'!$G$116/'CAPEX+OPEX'!$G$115)</f>
        <v>6768.3829012800315</v>
      </c>
      <c r="DN7">
        <f>'TEA Revised Non EYZ'!CM7</f>
        <v>39625.826528698344</v>
      </c>
      <c r="DO7">
        <f>'TEA Revised Non EYZ'!CN7</f>
        <v>4586243.4239371875</v>
      </c>
      <c r="DP7">
        <f>'TEA Revised Non EYZ'!CO7</f>
        <v>11794834.586807497</v>
      </c>
      <c r="DQ7">
        <f>'TEA Revised Non EYZ'!CP7</f>
        <v>2275209.1661185985</v>
      </c>
      <c r="DR7">
        <f>'TEA Revised Non EYZ'!CQ7</f>
        <v>14083914.336508472</v>
      </c>
      <c r="DS7">
        <f>'TEA Revised Non EYZ'!CR7</f>
        <v>1662824.8986326549</v>
      </c>
      <c r="DT7">
        <f>'TEA Revised Non EYZ'!CS7</f>
        <v>461850.0978118488</v>
      </c>
      <c r="DU7">
        <f>'TEA Revised Non EYZ'!CT7</f>
        <v>1187779.4098672394</v>
      </c>
      <c r="DV7">
        <f>'TEA Revised Non EYZ'!CU7</f>
        <v>229121.19544936769</v>
      </c>
      <c r="DW7">
        <f>'TEA Revised Non EYZ'!CV7</f>
        <v>1418297.4196136401</v>
      </c>
      <c r="DX7">
        <f>'TEA Revised Non EYZ'!CW7</f>
        <v>167452.04540804314</v>
      </c>
      <c r="DY7">
        <f>'TEA Revised Non EYZ'!CX7</f>
        <v>3464500.168150139</v>
      </c>
      <c r="DZ7">
        <f>'TEA Revised Non EYZ'!CY7</f>
        <v>757710.90370651742</v>
      </c>
      <c r="EA7">
        <f>'TEA Revised Non EYZ'!CZ7</f>
        <v>1948669.9565908599</v>
      </c>
      <c r="EB7">
        <f>'TEA Revised Non EYZ'!DA7</f>
        <v>375896.05130490486</v>
      </c>
      <c r="EC7">
        <f>'TEA Revised Non EYZ'!DB7</f>
        <v>2326857.620322241</v>
      </c>
      <c r="ED7">
        <f>'TEA Revised Non EYZ'!DC7</f>
        <v>274721.69271970663</v>
      </c>
      <c r="EE7">
        <f>'TEA Revised Non EYZ'!DD7</f>
        <v>5683856.2246442297</v>
      </c>
      <c r="EF7">
        <v>0.7</v>
      </c>
      <c r="EG7">
        <v>100</v>
      </c>
      <c r="EH7">
        <f>96485*BL7*V7/EF7/EG7/60</f>
        <v>43.40098012666558</v>
      </c>
      <c r="EI7">
        <f>96485*BN7*BA7/EF7/EG7/60</f>
        <v>45.789853184245231</v>
      </c>
      <c r="EJ7">
        <f>EH7*('CAPEX+OPEX'!$O$25+'CAPEX+OPEX'!$O$26)</f>
        <v>1383276.0385970853</v>
      </c>
      <c r="EK7">
        <f>EI7*('CAPEX+OPEX'!$O$25+'CAPEX+OPEX'!$O$26)</f>
        <v>1459414.2006882641</v>
      </c>
      <c r="EL7">
        <f>EJ7*1.12/0.6*'CAPEX+OPEX'!$G$116/'CAPEX+OPEX'!$G$115</f>
        <v>3045497.132381544</v>
      </c>
      <c r="EM7">
        <f>EK7*1.12/0.6*'CAPEX+OPEX'!$G$116/'CAPEX+OPEX'!$G$115</f>
        <v>3213127.1265717549</v>
      </c>
      <c r="EN7">
        <f>EL7+EM7+DY7+EE7+1.15*(SUM(DF7:DM7)+SUM(CF7:CI7))</f>
        <v>15499987.174094116</v>
      </c>
      <c r="EO7">
        <f>EN7/15</f>
        <v>1033332.4782729411</v>
      </c>
      <c r="EP7">
        <f>('eLLE Bals'!CB7+'eLLE Bals'!CC7)*'Oxidant Feed Composition'!$N$25*60*7200</f>
        <v>15633855.879862214</v>
      </c>
      <c r="EQ7" s="83">
        <f>('eLLE Bals'!BR7+'eLLE Bals'!BY7)*'Reagent cost'!$C$38*60*7200</f>
        <v>522796.95362690423</v>
      </c>
      <c r="ER7">
        <f>'TEA Revised Non EYZ'!DI7</f>
        <v>504921.59999999998</v>
      </c>
      <c r="ES7">
        <f>'TEA Revised Non EYZ'!DJ7</f>
        <v>82.821652602978304</v>
      </c>
      <c r="ET7">
        <f>'TEA Revised Non EYZ'!DK7</f>
        <v>953.18196275869093</v>
      </c>
      <c r="EU7">
        <f>1.2*SUM(EP7:ET7)</f>
        <v>19995132.524525374</v>
      </c>
      <c r="EV7">
        <f>'TEA Revised Non EYZ'!DM7</f>
        <v>0.70639694042110623</v>
      </c>
      <c r="EW7">
        <f>(BS7*CO7+BT7*CP7)/1000*('Oxidant Feed Composition'!$B$11*'Oxidant Feed Composition'!$O$20+'Oxidant Feed Composition'!$D$11*'Oxidant Feed Composition'!$O$21+'Oxidant Feed Composition'!$F$11*'Oxidant Feed Composition'!$O$27-'Oxidant Feed Composition'!$J$15*18.015)</f>
        <v>2.2670707286009146</v>
      </c>
      <c r="EX7">
        <f>(CZ7*BX7+DC7*BZ7)*368.34/1000</f>
        <v>0.10553209442812084</v>
      </c>
      <c r="EY7">
        <f>'TEA Revised Non EYZ'!DP7</f>
        <v>4.999938342565946E-2</v>
      </c>
      <c r="EZ7">
        <f>SUM(EV7:EX7)-EY7</f>
        <v>3.0290003800244825</v>
      </c>
      <c r="FA7">
        <f>EZ7*0.33*60*7200</f>
        <v>431814.29417629022</v>
      </c>
      <c r="FB7">
        <f>'TEA Revised Non EYZ'!DS7</f>
        <v>1.2</v>
      </c>
      <c r="FC7">
        <v>0.5</v>
      </c>
      <c r="FD7">
        <f>'TEA Revised Non EYZ'!DT7</f>
        <v>1410.0687657379119</v>
      </c>
      <c r="FE7">
        <f>'TEA Revised Non EYZ'!DU7</f>
        <v>712.1364866286201</v>
      </c>
      <c r="FF7">
        <f>'TEA Revised Non EYZ'!DV7</f>
        <v>0.7</v>
      </c>
      <c r="FG7">
        <f>'TEA Revised Non EYZ'!DW7</f>
        <v>27520.276190787874</v>
      </c>
      <c r="FH7">
        <f>'TEA Revised Non EYZ'!DX7</f>
        <v>16610.439588917834</v>
      </c>
      <c r="FI7">
        <f>'TEA Revised Non EYZ'!DY7</f>
        <v>7032.645793695051</v>
      </c>
      <c r="FJ7">
        <f>'TEA Revised Non EYZ'!DZ7</f>
        <v>3725.3886787897172</v>
      </c>
      <c r="FK7">
        <f>'TEA Revised Non EYZ'!EA7</f>
        <v>3750.7444233040283</v>
      </c>
      <c r="FL7">
        <f>'TEA Revised Non EYZ'!EB7</f>
        <v>852.80958951828916</v>
      </c>
      <c r="FM7">
        <f>'TEA Revised Non EYZ'!EC7</f>
        <v>41265.6777021694</v>
      </c>
      <c r="FN7">
        <f>'TEA Revised Non EYZ'!ED7</f>
        <v>38910.905875241828</v>
      </c>
      <c r="FO7">
        <f>'TEA Revised Non EYZ'!EE7</f>
        <v>16474.375471372547</v>
      </c>
      <c r="FP7">
        <f>'TEA Revised Non EYZ'!EF7</f>
        <v>8731.5796634158487</v>
      </c>
      <c r="FQ7">
        <f>'TEA Revised Non EYZ'!EG7</f>
        <v>8786.3335847320268</v>
      </c>
      <c r="FR7">
        <f>'TEA Revised Non EYZ'!EH7</f>
        <v>430.7001471129895</v>
      </c>
      <c r="FS7">
        <f>'TEA Revised Non EYZ'!EI7</f>
        <v>174091.87670905743</v>
      </c>
      <c r="FT7">
        <f>EG7*EH7</f>
        <v>4340.0980126665581</v>
      </c>
      <c r="FU7">
        <f>EG7*EI7</f>
        <v>4578.985318424523</v>
      </c>
      <c r="FV7">
        <f>FC7*(FT7+FU7)/(3.6*10^6)*3600*7200*0.07</f>
        <v>2247.6089994349531</v>
      </c>
      <c r="FW7">
        <f>('CAPEX+OPEX'!$C$39/7/100+0.03)*EL7</f>
        <v>156625.56680819369</v>
      </c>
      <c r="FX7">
        <f>('CAPEX+OPEX'!$C$39/7/100+0.03)*EM7</f>
        <v>165246.53793797595</v>
      </c>
      <c r="FY7">
        <f>SUM(FV7:FX7)</f>
        <v>324119.71374560462</v>
      </c>
      <c r="FZ7">
        <f>FY7+FA7+FS7+EU7</f>
        <v>20925158.409156326</v>
      </c>
      <c r="GA7">
        <f>FZ7+EO7</f>
        <v>21958490.887429267</v>
      </c>
      <c r="GB7">
        <f>GA7/(BK7*60*7200)</f>
        <v>0.50829840017197381</v>
      </c>
      <c r="GC7">
        <f>'TEA Revised Non EYZ'!EM7/'TEA Revised Non EYZ'!EK7*GA7</f>
        <v>1699.5138294312471</v>
      </c>
      <c r="GD7">
        <f>'TEA Revised Non EYZ'!EN7/'TEA Revised Non EYZ'!EK7*GA7</f>
        <v>3093.192156455133</v>
      </c>
    </row>
    <row r="8" spans="1:186">
      <c r="A8">
        <f>'TEA Revised Non EYZ'!A8</f>
        <v>3</v>
      </c>
      <c r="B8">
        <f>'TEA Revised Non EYZ'!B8</f>
        <v>1.54143585092054E-3</v>
      </c>
      <c r="C8">
        <f>'TEA Revised Non EYZ'!C8</f>
        <v>1.54143585092054E-3</v>
      </c>
      <c r="D8">
        <f>'TEA Revised Non EYZ'!D8</f>
        <v>3.4254130020456501E-4</v>
      </c>
      <c r="E8">
        <f>'TEA Revised Non EYZ'!E8</f>
        <v>0</v>
      </c>
      <c r="F8">
        <f>'TEA Revised Non EYZ'!F8</f>
        <v>0</v>
      </c>
      <c r="G8">
        <f>'TEA Revised Non EYZ'!G8</f>
        <v>0</v>
      </c>
      <c r="H8">
        <f>'TEA Revised Non EYZ'!H8</f>
        <v>1.6300358850230801E-5</v>
      </c>
      <c r="I8">
        <f>'TEA Revised Non EYZ'!I8</f>
        <v>7.4474859607128495E-7</v>
      </c>
      <c r="J8">
        <f>'TEA Revised Non EYZ'!J8</f>
        <v>3.2385704147932398E-4</v>
      </c>
      <c r="K8">
        <f>'TEA Revised Non EYZ'!K8</f>
        <v>8.07271092797512E-2</v>
      </c>
      <c r="L8">
        <f>'TEA Revised Non EYZ'!L8</f>
        <v>8.15504849440159E-2</v>
      </c>
      <c r="M8">
        <f>'TEA Revised Non EYZ'!M8</f>
        <v>9.8897848995466706E-4</v>
      </c>
      <c r="N8">
        <f>'TEA Revised Non EYZ'!N8</f>
        <v>-9.8011876392689601E-17</v>
      </c>
      <c r="O8">
        <f>'TEA Revised Non EYZ'!O8</f>
        <v>1.94289029309402E-16</v>
      </c>
      <c r="P8">
        <f>'TEA Revised Non EYZ'!P8</f>
        <v>-4.3537493488870999E-18</v>
      </c>
      <c r="Q8">
        <f>'TEA Revised Non EYZ'!Q8</f>
        <v>0.18892482409907799</v>
      </c>
      <c r="R8">
        <f>'TEA Revised Non EYZ'!R8</f>
        <v>94.545399718491396</v>
      </c>
      <c r="S8">
        <f>'TEA Revised Non EYZ'!S8</f>
        <v>500</v>
      </c>
      <c r="T8">
        <f>'TEA Revised Non EYZ'!T8</f>
        <v>95</v>
      </c>
      <c r="U8">
        <f>'TEA Revised Non EYZ'!U8</f>
        <v>1</v>
      </c>
      <c r="V8">
        <f>'TEA Revised Non EYZ'!V8</f>
        <v>0.1</v>
      </c>
      <c r="W8">
        <f>'TEA Revised Non EYZ'!W8</f>
        <v>52.931106580020597</v>
      </c>
      <c r="X8" t="str">
        <f>'TEA Revised Non EYZ'!X8</f>
        <v>ddFc</v>
      </c>
      <c r="Y8">
        <f>'TEA Revised Non EYZ'!Y8</f>
        <v>1</v>
      </c>
      <c r="Z8">
        <f>'TEA Revised Non EYZ'!Z8</f>
        <v>0.28318429382522198</v>
      </c>
      <c r="AA8">
        <f>'TEA Revised Non EYZ'!AA8</f>
        <v>0.56945642916197003</v>
      </c>
      <c r="AB8">
        <f>'TEA Revised Non EYZ'!AB8</f>
        <v>3.7698628972227502E-3</v>
      </c>
      <c r="AC8">
        <f>'TEA Revised Non EYZ'!AC8</f>
        <v>1822.2107908876901</v>
      </c>
      <c r="AD8">
        <f>'TEA Revised Non EYZ'!AD8</f>
        <v>2662.6059073104898</v>
      </c>
      <c r="AE8">
        <f>'TEA Revised Non EYZ'!AE8</f>
        <v>2401.5030938442701</v>
      </c>
      <c r="AF8">
        <f>'TEA Revised Non EYZ'!AF8</f>
        <v>10</v>
      </c>
      <c r="AG8">
        <f>'TEA Revised Non EYZ'!AG8</f>
        <v>1.6455478770638001E-3</v>
      </c>
      <c r="AH8">
        <f>'TEA Revised Non EYZ'!AH8</f>
        <v>1.66233163271225E-3</v>
      </c>
      <c r="AI8">
        <f>'TEA Revised Non EYZ'!AI8</f>
        <v>2.0159416943409301E-5</v>
      </c>
      <c r="AJ8">
        <f>'TEA Revised Non EYZ'!AJ8</f>
        <v>0</v>
      </c>
      <c r="AK8">
        <f>'TEA Revised Non EYZ'!AK8</f>
        <v>0</v>
      </c>
      <c r="AL8">
        <f>'TEA Revised Non EYZ'!AL8</f>
        <v>0</v>
      </c>
      <c r="AM8">
        <f>'TEA Revised Non EYZ'!AM8</f>
        <v>1.6083474060022401E-3</v>
      </c>
      <c r="AN8">
        <f>'TEA Revised Non EYZ'!AN8</f>
        <v>6.4624273291128494E-5</v>
      </c>
      <c r="AO8">
        <f>'TEA Revised Non EYZ'!AO8</f>
        <v>2.0025590180477699E-5</v>
      </c>
      <c r="AP8">
        <f>'TEA Revised Non EYZ'!AP8</f>
        <v>1.7299702748473499E-3</v>
      </c>
      <c r="AQ8">
        <f>'TEA Revised Non EYZ'!AQ8</f>
        <v>7.42997645145482E-2</v>
      </c>
      <c r="AR8">
        <f>'TEA Revised Non EYZ'!AR8</f>
        <v>6.2234782314335099E-6</v>
      </c>
      <c r="AS8">
        <f>'TEA Revised Non EYZ'!AS8</f>
        <v>1.84991995680339E-18</v>
      </c>
      <c r="AT8">
        <f>'TEA Revised Non EYZ'!AT8</f>
        <v>-4.37800837249646E-16</v>
      </c>
      <c r="AU8">
        <f>'TEA Revised Non EYZ'!AU8</f>
        <v>-4.9498487855173101E-21</v>
      </c>
      <c r="AV8">
        <f>'TEA Revised Non EYZ'!AV8</f>
        <v>0.19930018582065301</v>
      </c>
      <c r="AW8">
        <f>'TEA Revised Non EYZ'!AW8</f>
        <v>99.336157571881799</v>
      </c>
      <c r="AX8">
        <f>'TEA Revised Non EYZ'!AX8</f>
        <v>500</v>
      </c>
      <c r="AY8">
        <f>'TEA Revised Non EYZ'!AY8</f>
        <v>95</v>
      </c>
      <c r="AZ8">
        <f>'TEA Revised Non EYZ'!AZ8</f>
        <v>0.92682535301965796</v>
      </c>
      <c r="BA8">
        <f>'TEA Revised Non EYZ'!BA8</f>
        <v>0.1</v>
      </c>
      <c r="BB8">
        <f>'TEA Revised Non EYZ'!BB8</f>
        <v>46.503988403387098</v>
      </c>
      <c r="BC8" t="str">
        <f>'TEA Revised Non EYZ'!BC8</f>
        <v>coeFc</v>
      </c>
      <c r="BD8">
        <f>'TEA Revised Non EYZ'!BD8</f>
        <v>1</v>
      </c>
      <c r="BE8">
        <f>'TEA Revised Non EYZ'!BE8</f>
        <v>1.8775014999999999E-2</v>
      </c>
      <c r="BF8">
        <f>'TEA Revised Non EYZ'!BF8</f>
        <v>0.10492961100000001</v>
      </c>
      <c r="BG8">
        <f>'TEA Revised Non EYZ'!BG8</f>
        <v>1.814625E-3</v>
      </c>
      <c r="BH8">
        <f>'TEA Revised Non EYZ'!BH8</f>
        <v>285.1951444</v>
      </c>
      <c r="BI8">
        <f>'TEA Revised Non EYZ'!BI8</f>
        <v>2169.8944889999998</v>
      </c>
      <c r="BJ8">
        <f>'TEA Revised Non EYZ'!BJ8</f>
        <v>866.49409060000005</v>
      </c>
      <c r="BK8">
        <f>'TEA Revised Non EYZ'!BK8</f>
        <v>100</v>
      </c>
      <c r="BL8">
        <f>'TEA Revised Non EYZ'!BL8</f>
        <v>18.892482409907799</v>
      </c>
      <c r="BM8">
        <f>'TEA Revised Non EYZ'!BM8</f>
        <v>92.6825353019658</v>
      </c>
      <c r="BN8">
        <f>'TEA Revised Non EYZ'!BN8</f>
        <v>19.930018582065301</v>
      </c>
      <c r="BO8">
        <f>'TEA Revised Non EYZ'!BO8</f>
        <v>188.92482409907799</v>
      </c>
      <c r="BP8">
        <f>'TEA Revised Non EYZ'!BP8</f>
        <v>478.32044596956723</v>
      </c>
      <c r="BQ8">
        <f>'TEA Revised Non EYZ'!BQ8</f>
        <v>18.892482409907799</v>
      </c>
      <c r="BR8">
        <f>'TEA Revised Non EYZ'!BR8</f>
        <v>47.832044596956727</v>
      </c>
      <c r="BS8">
        <f>'eLLE Bals'!CF8</f>
        <v>11.335489445944679</v>
      </c>
      <c r="BT8">
        <f>'eLLE Bals'!CG8</f>
        <v>11.95801114923918</v>
      </c>
      <c r="BU8">
        <f>BM8</f>
        <v>92.6825353019658</v>
      </c>
      <c r="BV8">
        <f>BU8*(AM8*2+AN8*2+AO8*3)</f>
        <v>0.31567858085712774</v>
      </c>
      <c r="BW8">
        <f>BN8*BA8*(AP8*2+AQ8*2+AR8*3)</f>
        <v>0.3030920156394693</v>
      </c>
      <c r="BX8">
        <f>BV8/(2*V8*BL8+BV8)</f>
        <v>7.7104319188113238E-2</v>
      </c>
      <c r="BY8">
        <f>BU8*BX8</f>
        <v>7.1462237850863444</v>
      </c>
      <c r="BZ8">
        <f>BW8/(2*BN8*BA8+BW8)</f>
        <v>7.0665714773968408E-2</v>
      </c>
      <c r="CA8">
        <f>2*BN8*BA8/0.04</f>
        <v>99.650092910326507</v>
      </c>
      <c r="CB8">
        <f>(BS8+BL8)*2</f>
        <v>60.455943711704961</v>
      </c>
      <c r="CC8">
        <f>(BU8+BL8)*2</f>
        <v>223.1500354237472</v>
      </c>
      <c r="CD8">
        <f>(BT8+BN8)*2</f>
        <v>63.776059462608963</v>
      </c>
      <c r="CE8">
        <f>(CA8+BN8)*2</f>
        <v>239.16022298478362</v>
      </c>
      <c r="CF8">
        <f>'TEA Revised Non EYZ'!CB8</f>
        <v>2493.8076781078298</v>
      </c>
      <c r="CG8">
        <f>'TEA Revised Non EYZ'!CC8</f>
        <v>6313.8298867982885</v>
      </c>
      <c r="CH8">
        <f>'TEA Revised Non EYZ'!CD8</f>
        <v>3012.9816471142385</v>
      </c>
      <c r="CI8">
        <f>'TEA Revised Non EYZ'!CE8</f>
        <v>48699.131079349805</v>
      </c>
      <c r="CJ8">
        <f>BL8*V8</f>
        <v>1.88924824099078</v>
      </c>
      <c r="CK8">
        <f>CJ8/2*1.2</f>
        <v>1.133548944594468</v>
      </c>
      <c r="CL8">
        <f>'eLLE Bals'!CB8*'Oxidant Feed Composition'!$N$20</f>
        <v>6.2974941366359366E-2</v>
      </c>
      <c r="CM8">
        <f>'eLLE Bals'!CB8*'Oxidant Feed Composition'!$N$21</f>
        <v>3.148747068317967</v>
      </c>
      <c r="CN8">
        <f>'eLLE Bals'!CB8*'Oxidant Feed Composition'!$N$22</f>
        <v>0.94462412049539002</v>
      </c>
      <c r="CO8">
        <f>CN8/CK8</f>
        <v>0.83333333333333337</v>
      </c>
      <c r="CP8">
        <f>CO8</f>
        <v>0.83333333333333337</v>
      </c>
      <c r="CQ8">
        <f>CL8/CO8</f>
        <v>7.5569929639631231E-2</v>
      </c>
      <c r="CR8">
        <f>CM8/CO8</f>
        <v>3.7784964819815601</v>
      </c>
      <c r="CS8">
        <f>BN8*BA8</f>
        <v>1.9930018582065303</v>
      </c>
      <c r="CT8">
        <f>CS8/2*1.2</f>
        <v>1.1958011149239181</v>
      </c>
      <c r="CU8">
        <f>'eLLE Bals'!CC8*'Oxidant Feed Composition'!$N$20</f>
        <v>6.6433395273551035E-2</v>
      </c>
      <c r="CV8">
        <f>'eLLE Bals'!CC8*'Oxidant Feed Composition'!$N$21</f>
        <v>3.3216697636775505</v>
      </c>
      <c r="CW8">
        <f>'eLLE Bals'!CC8*'Oxidant Feed Composition'!$N$22</f>
        <v>0.99650092910326515</v>
      </c>
      <c r="CX8">
        <f>CU8/CP8</f>
        <v>7.972007432826124E-2</v>
      </c>
      <c r="CY8">
        <f>CV8/CP8</f>
        <v>3.9860037164130606</v>
      </c>
      <c r="CZ8">
        <f>CJ8</f>
        <v>1.88924824099078</v>
      </c>
      <c r="DA8">
        <f>'eLLE Bals'!BQ8</f>
        <v>3.7784964819815601</v>
      </c>
      <c r="DB8">
        <f>'eLLE Bals'!BU8</f>
        <v>18.834750868508316</v>
      </c>
      <c r="DC8">
        <f>CS8</f>
        <v>1.9930018582065303</v>
      </c>
      <c r="DD8">
        <f>'eLLE Bals'!BX8</f>
        <v>3.9860037164130606</v>
      </c>
      <c r="DE8">
        <f>'eLLE Bals'!CA8</f>
        <v>22.224230812097126</v>
      </c>
      <c r="DF8">
        <f>2*2*(CJ8*'Reagent cost'!$C$36*122.44/1000+CK8*'Oxidant Feed Composition'!$N$26+CQ8*'Reagent cost'!$C$34+CR8*'Reagent cost'!$C$35)</f>
        <v>159.58047571195635</v>
      </c>
      <c r="DG8">
        <f>2*2*(CS8*'Reagent cost'!$C$36*122.44/1000+CT8*'Oxidant Feed Composition'!$N$26+CX8*'Reagent cost'!$C$34+CY8*'Reagent cost'!$C$35)</f>
        <v>168.34430633669348</v>
      </c>
      <c r="DH8">
        <f>(AF8+3)*2*(CZ8*'Reagent cost'!$C$38+DA8*'Reagent cost'!$C$39+DB8*'Reagent cost'!$C$36*122.44/1000)</f>
        <v>4453.2880010704002</v>
      </c>
      <c r="DI8">
        <f>3*2*(DC8*'Reagent cost'!$C$38+DD8*'Reagent cost'!$C$39+DE8*'Reagent cost'!$C$36*122.44/1000)</f>
        <v>1206.3039941782054</v>
      </c>
      <c r="DJ8">
        <f>7963.6*(CB8/1000)^0.6*1.7*('CAPEX+OPEX'!$G$116/'CAPEX+OPEX'!$G$115)</f>
        <v>2965.5437179814326</v>
      </c>
      <c r="DK8">
        <f>7963.6*(CC8/1000)^0.6*1.7*('CAPEX+OPEX'!$G$116/'CAPEX+OPEX'!$G$115)</f>
        <v>6492.3078360569407</v>
      </c>
      <c r="DL8">
        <f>7963.6*(CD8/1000)^0.6*1.7*('CAPEX+OPEX'!$G$116/'CAPEX+OPEX'!$G$115)</f>
        <v>3062.2139953248757</v>
      </c>
      <c r="DM8">
        <f>7963.6*(CE8/1000)^0.6*1.7*('CAPEX+OPEX'!$G$116/'CAPEX+OPEX'!$G$115)</f>
        <v>6767.9056812244044</v>
      </c>
      <c r="DN8">
        <f>'TEA Revised Non EYZ'!CM8</f>
        <v>39625.826528698344</v>
      </c>
      <c r="DO8">
        <f>'TEA Revised Non EYZ'!CN8</f>
        <v>4586243.4239371875</v>
      </c>
      <c r="DP8">
        <f>'TEA Revised Non EYZ'!CO8</f>
        <v>11794834.586807497</v>
      </c>
      <c r="DQ8">
        <f>'TEA Revised Non EYZ'!CP8</f>
        <v>2275209.1661185985</v>
      </c>
      <c r="DR8">
        <f>'TEA Revised Non EYZ'!CQ8</f>
        <v>14083914.336508472</v>
      </c>
      <c r="DS8">
        <f>'TEA Revised Non EYZ'!CR8</f>
        <v>1662824.8986326549</v>
      </c>
      <c r="DT8">
        <f>'TEA Revised Non EYZ'!CS8</f>
        <v>461850.0978118488</v>
      </c>
      <c r="DU8">
        <f>'TEA Revised Non EYZ'!CT8</f>
        <v>1187779.4098672394</v>
      </c>
      <c r="DV8">
        <f>'TEA Revised Non EYZ'!CU8</f>
        <v>229121.19544936769</v>
      </c>
      <c r="DW8">
        <f>'TEA Revised Non EYZ'!CV8</f>
        <v>1418297.4196136401</v>
      </c>
      <c r="DX8">
        <f>'TEA Revised Non EYZ'!CW8</f>
        <v>167452.04540804314</v>
      </c>
      <c r="DY8">
        <f>'TEA Revised Non EYZ'!CX8</f>
        <v>3464500.168150139</v>
      </c>
      <c r="DZ8">
        <f>'TEA Revised Non EYZ'!CY8</f>
        <v>802304.35207958962</v>
      </c>
      <c r="EA8">
        <f>'TEA Revised Non EYZ'!CZ8</f>
        <v>2063354.7429392026</v>
      </c>
      <c r="EB8">
        <f>'TEA Revised Non EYZ'!DA8</f>
        <v>398018.60632623197</v>
      </c>
      <c r="EC8">
        <f>'TEA Revised Non EYZ'!DB8</f>
        <v>2463799.8296209997</v>
      </c>
      <c r="ED8">
        <f>'TEA Revised Non EYZ'!DC8</f>
        <v>290889.84809576324</v>
      </c>
      <c r="EE8">
        <f>'TEA Revised Non EYZ'!DD8</f>
        <v>6018367.3790617865</v>
      </c>
      <c r="EF8">
        <v>0.7</v>
      </c>
      <c r="EG8">
        <v>100</v>
      </c>
      <c r="EH8">
        <f>96485*BL8*V8/EF8/EG8/60</f>
        <v>43.40098012666558</v>
      </c>
      <c r="EI8">
        <f>96485*BN8*BA8/EF8/EG8/60</f>
        <v>45.7844724497755</v>
      </c>
      <c r="EJ8">
        <f>EH8*('CAPEX+OPEX'!$O$25+'CAPEX+OPEX'!$O$26)</f>
        <v>1383276.0385970853</v>
      </c>
      <c r="EK8">
        <f>EI8*('CAPEX+OPEX'!$O$25+'CAPEX+OPEX'!$O$26)</f>
        <v>1459242.7059192448</v>
      </c>
      <c r="EL8">
        <f>EJ8*1.12/0.6*'CAPEX+OPEX'!$G$116/'CAPEX+OPEX'!$G$115</f>
        <v>3045497.132381544</v>
      </c>
      <c r="EM8">
        <f>EK8*1.12/0.6*'CAPEX+OPEX'!$G$116/'CAPEX+OPEX'!$G$115</f>
        <v>3212749.5541909034</v>
      </c>
      <c r="EN8">
        <f>EL8+EM8+DY8+EE8+1.15*(SUM(DF8:DM8)+SUM(CF8:CI8))</f>
        <v>15839778.757828515</v>
      </c>
      <c r="EO8">
        <f>EN8/15</f>
        <v>1055985.2505219011</v>
      </c>
      <c r="EP8">
        <f>('eLLE Bals'!CB8+'eLLE Bals'!CC8)*'Oxidant Feed Composition'!$N$25*60*7200</f>
        <v>15632912.715367554</v>
      </c>
      <c r="EQ8" s="83">
        <f>('eLLE Bals'!BR8+'eLLE Bals'!BY8)*'Reagent cost'!$C$38*60*7200</f>
        <v>522794.78648648667</v>
      </c>
      <c r="ER8">
        <f>'TEA Revised Non EYZ'!DI8</f>
        <v>504921.59999999998</v>
      </c>
      <c r="ES8">
        <f>'TEA Revised Non EYZ'!DJ8</f>
        <v>88.076375649061191</v>
      </c>
      <c r="ET8">
        <f>'TEA Revised Non EYZ'!DK8</f>
        <v>1034.2422545292809</v>
      </c>
      <c r="EU8">
        <f>1.2*SUM(EP8:ET8)</f>
        <v>19994101.70458106</v>
      </c>
      <c r="EV8">
        <f>'TEA Revised Non EYZ'!DM8</f>
        <v>0.70639694042110623</v>
      </c>
      <c r="EW8">
        <f>(BS8*CO8+BT8*CP8)/1000*('Oxidant Feed Composition'!$B$11*'Oxidant Feed Composition'!$O$20+'Oxidant Feed Composition'!$D$11*'Oxidant Feed Composition'!$O$21+'Oxidant Feed Composition'!$F$11*'Oxidant Feed Composition'!$O$27-'Oxidant Feed Composition'!$J$15*18.015)</f>
        <v>2.266933959998561</v>
      </c>
      <c r="EX8">
        <f>(CZ8*BX8+DC8*BZ8)*368.34/1000</f>
        <v>0.10553165696790689</v>
      </c>
      <c r="EY8">
        <f>'TEA Revised Non EYZ'!DP8</f>
        <v>4.999938342565946E-2</v>
      </c>
      <c r="EZ8">
        <f>SUM(EV8:EX8)-EY8</f>
        <v>3.0288631739619145</v>
      </c>
      <c r="FA8">
        <f>EZ8*0.33*60*7200</f>
        <v>431794.73408001056</v>
      </c>
      <c r="FB8">
        <f>'TEA Revised Non EYZ'!DS8</f>
        <v>1.2</v>
      </c>
      <c r="FC8">
        <v>0.5</v>
      </c>
      <c r="FD8">
        <f>'TEA Revised Non EYZ'!DT8</f>
        <v>1410.0823557815738</v>
      </c>
      <c r="FE8">
        <f>'TEA Revised Non EYZ'!DU8</f>
        <v>712.12289644358816</v>
      </c>
      <c r="FF8">
        <f>'TEA Revised Non EYZ'!DV8</f>
        <v>0.7</v>
      </c>
      <c r="FG8">
        <f>'TEA Revised Non EYZ'!DW8</f>
        <v>27520.276190787874</v>
      </c>
      <c r="FH8">
        <f>'TEA Revised Non EYZ'!DX8</f>
        <v>16610.439588917834</v>
      </c>
      <c r="FI8">
        <f>'TEA Revised Non EYZ'!DY8</f>
        <v>7032.645793695051</v>
      </c>
      <c r="FJ8">
        <f>'TEA Revised Non EYZ'!DZ8</f>
        <v>3725.3886787897172</v>
      </c>
      <c r="FK8">
        <f>'TEA Revised Non EYZ'!EA8</f>
        <v>3750.7444233040283</v>
      </c>
      <c r="FL8">
        <f>'TEA Revised Non EYZ'!EB8</f>
        <v>852.81780877669598</v>
      </c>
      <c r="FM8">
        <f>'TEA Revised Non EYZ'!EC8</f>
        <v>43844.782558554987</v>
      </c>
      <c r="FN8">
        <f>'TEA Revised Non EYZ'!ED8</f>
        <v>42801.996462766008</v>
      </c>
      <c r="FO8">
        <f>'TEA Revised Non EYZ'!EE8</f>
        <v>18121.813018509798</v>
      </c>
      <c r="FP8">
        <f>'TEA Revised Non EYZ'!EF8</f>
        <v>9604.7376297574338</v>
      </c>
      <c r="FQ8">
        <f>'TEA Revised Non EYZ'!EG8</f>
        <v>9664.9669432052269</v>
      </c>
      <c r="FR8">
        <f>'TEA Revised Non EYZ'!EH8</f>
        <v>430.6919277690821</v>
      </c>
      <c r="FS8">
        <f>'TEA Revised Non EYZ'!EI8</f>
        <v>183961.30102483375</v>
      </c>
      <c r="FT8">
        <f>EG8*EH8</f>
        <v>4340.0980126665581</v>
      </c>
      <c r="FU8">
        <f>EG8*EI8</f>
        <v>4578.4472449775503</v>
      </c>
      <c r="FV8">
        <f>FC8*(FT8+FU8)/(3.6*10^6)*3600*7200*0.07</f>
        <v>2247.4734049263157</v>
      </c>
      <c r="FW8">
        <f>('CAPEX+OPEX'!$C$39/7/100+0.03)*EL8</f>
        <v>156625.56680819369</v>
      </c>
      <c r="FX8">
        <f>('CAPEX+OPEX'!$C$39/7/100+0.03)*EM8</f>
        <v>165227.11992981788</v>
      </c>
      <c r="FY8">
        <f>SUM(FV8:FX8)</f>
        <v>324100.16014293791</v>
      </c>
      <c r="FZ8">
        <f>FY8+FA8+FS8+EU8</f>
        <v>20933957.89982884</v>
      </c>
      <c r="GA8">
        <f>FZ8+EO8</f>
        <v>21989943.150350742</v>
      </c>
      <c r="GB8">
        <f>GA8/(BK8*60*7200)</f>
        <v>0.50902646181367461</v>
      </c>
      <c r="GC8">
        <f>'TEA Revised Non EYZ'!EM8/'TEA Revised Non EYZ'!EK8*GA8</f>
        <v>1701.9316879922285</v>
      </c>
      <c r="GD8">
        <f>'TEA Revised Non EYZ'!EN8/'TEA Revised Non EYZ'!EK8*GA8</f>
        <v>3097.6771584981257</v>
      </c>
    </row>
    <row r="9" spans="1:186">
      <c r="A9">
        <f>'TEA Revised Non EYZ'!A9</f>
        <v>3</v>
      </c>
      <c r="B9">
        <f>'TEA Revised Non EYZ'!B9</f>
        <v>1.54143585092054E-3</v>
      </c>
      <c r="C9">
        <f>'TEA Revised Non EYZ'!C9</f>
        <v>1.54143585092054E-3</v>
      </c>
      <c r="D9">
        <f>'TEA Revised Non EYZ'!D9</f>
        <v>3.4254130020456501E-4</v>
      </c>
      <c r="E9">
        <f>'TEA Revised Non EYZ'!E9</f>
        <v>0</v>
      </c>
      <c r="F9">
        <f>'TEA Revised Non EYZ'!F9</f>
        <v>0</v>
      </c>
      <c r="G9">
        <f>'TEA Revised Non EYZ'!G9</f>
        <v>0</v>
      </c>
      <c r="H9">
        <f>'TEA Revised Non EYZ'!H9</f>
        <v>1.6300358850230801E-5</v>
      </c>
      <c r="I9">
        <f>'TEA Revised Non EYZ'!I9</f>
        <v>7.4474859607128495E-7</v>
      </c>
      <c r="J9">
        <f>'TEA Revised Non EYZ'!J9</f>
        <v>3.2385704147932398E-4</v>
      </c>
      <c r="K9">
        <f>'TEA Revised Non EYZ'!K9</f>
        <v>8.07271092797512E-2</v>
      </c>
      <c r="L9">
        <f>'TEA Revised Non EYZ'!L9</f>
        <v>8.15504849440159E-2</v>
      </c>
      <c r="M9">
        <f>'TEA Revised Non EYZ'!M9</f>
        <v>9.8897848995466706E-4</v>
      </c>
      <c r="N9">
        <f>'TEA Revised Non EYZ'!N9</f>
        <v>-9.8011876392689601E-17</v>
      </c>
      <c r="O9">
        <f>'TEA Revised Non EYZ'!O9</f>
        <v>1.94289029309402E-16</v>
      </c>
      <c r="P9">
        <f>'TEA Revised Non EYZ'!P9</f>
        <v>-4.3537493488870999E-18</v>
      </c>
      <c r="Q9">
        <f>'TEA Revised Non EYZ'!Q9</f>
        <v>0.18892482409907799</v>
      </c>
      <c r="R9">
        <f>'TEA Revised Non EYZ'!R9</f>
        <v>94.545399718491396</v>
      </c>
      <c r="S9">
        <f>'TEA Revised Non EYZ'!S9</f>
        <v>500</v>
      </c>
      <c r="T9">
        <f>'TEA Revised Non EYZ'!T9</f>
        <v>95</v>
      </c>
      <c r="U9">
        <f>'TEA Revised Non EYZ'!U9</f>
        <v>1</v>
      </c>
      <c r="V9">
        <f>'TEA Revised Non EYZ'!V9</f>
        <v>0.1</v>
      </c>
      <c r="W9">
        <f>'TEA Revised Non EYZ'!W9</f>
        <v>52.931106580020597</v>
      </c>
      <c r="X9" t="str">
        <f>'TEA Revised Non EYZ'!X9</f>
        <v>ddFc</v>
      </c>
      <c r="Y9">
        <f>'TEA Revised Non EYZ'!Y9</f>
        <v>1</v>
      </c>
      <c r="Z9">
        <f>'TEA Revised Non EYZ'!Z9</f>
        <v>0.28318429382522198</v>
      </c>
      <c r="AA9">
        <f>'TEA Revised Non EYZ'!AA9</f>
        <v>0.56945642916197003</v>
      </c>
      <c r="AB9">
        <f>'TEA Revised Non EYZ'!AB9</f>
        <v>3.7698628972227502E-3</v>
      </c>
      <c r="AC9">
        <f>'TEA Revised Non EYZ'!AC9</f>
        <v>1822.2107908876901</v>
      </c>
      <c r="AD9">
        <f>'TEA Revised Non EYZ'!AD9</f>
        <v>2662.6059073104898</v>
      </c>
      <c r="AE9">
        <f>'TEA Revised Non EYZ'!AE9</f>
        <v>2401.5030938442701</v>
      </c>
      <c r="AF9">
        <f>'TEA Revised Non EYZ'!AF9</f>
        <v>11</v>
      </c>
      <c r="AG9">
        <f>'TEA Revised Non EYZ'!AG9</f>
        <v>1.6455478770638001E-3</v>
      </c>
      <c r="AH9">
        <f>'TEA Revised Non EYZ'!AH9</f>
        <v>1.66233163271225E-3</v>
      </c>
      <c r="AI9">
        <f>'TEA Revised Non EYZ'!AI9</f>
        <v>2.0159416943409301E-5</v>
      </c>
      <c r="AJ9">
        <f>'TEA Revised Non EYZ'!AJ9</f>
        <v>0</v>
      </c>
      <c r="AK9">
        <f>'TEA Revised Non EYZ'!AK9</f>
        <v>0</v>
      </c>
      <c r="AL9">
        <f>'TEA Revised Non EYZ'!AL9</f>
        <v>0</v>
      </c>
      <c r="AM9">
        <f>'TEA Revised Non EYZ'!AM9</f>
        <v>1.60835185158262E-3</v>
      </c>
      <c r="AN9">
        <f>'TEA Revised Non EYZ'!AN9</f>
        <v>6.4624491935312605E-5</v>
      </c>
      <c r="AO9">
        <f>'TEA Revised Non EYZ'!AO9</f>
        <v>2.0025605516349801E-5</v>
      </c>
      <c r="AP9">
        <f>'TEA Revised Non EYZ'!AP9</f>
        <v>1.72982171403333E-3</v>
      </c>
      <c r="AQ9">
        <f>'TEA Revised Non EYZ'!AQ9</f>
        <v>7.4302253238869895E-2</v>
      </c>
      <c r="AR9">
        <f>'TEA Revised Non EYZ'!AR9</f>
        <v>6.2229743398349396E-6</v>
      </c>
      <c r="AS9">
        <f>'TEA Revised Non EYZ'!AS9</f>
        <v>1.3552527156068801E-19</v>
      </c>
      <c r="AT9">
        <f>'TEA Revised Non EYZ'!AT9</f>
        <v>-2.168404344971E-19</v>
      </c>
      <c r="AU9">
        <f>'TEA Revised Non EYZ'!AU9</f>
        <v>2.46168950295781E-21</v>
      </c>
      <c r="AV9">
        <f>'TEA Revised Non EYZ'!AV9</f>
        <v>0.19929348306734301</v>
      </c>
      <c r="AW9">
        <f>'TEA Revised Non EYZ'!AW9</f>
        <v>99.336233644876302</v>
      </c>
      <c r="AX9">
        <f>'TEA Revised Non EYZ'!AX9</f>
        <v>500</v>
      </c>
      <c r="AY9">
        <f>'TEA Revised Non EYZ'!AY9</f>
        <v>95</v>
      </c>
      <c r="AZ9">
        <f>'TEA Revised Non EYZ'!AZ9</f>
        <v>0.92682535301965796</v>
      </c>
      <c r="BA9">
        <f>'TEA Revised Non EYZ'!BA9</f>
        <v>0.1</v>
      </c>
      <c r="BB9">
        <f>'TEA Revised Non EYZ'!BB9</f>
        <v>46.505552452333497</v>
      </c>
      <c r="BC9" t="str">
        <f>'TEA Revised Non EYZ'!BC9</f>
        <v>coeFc</v>
      </c>
      <c r="BD9">
        <f>'TEA Revised Non EYZ'!BD9</f>
        <v>1</v>
      </c>
      <c r="BE9">
        <f>'TEA Revised Non EYZ'!BE9</f>
        <v>1.8775014999999999E-2</v>
      </c>
      <c r="BF9">
        <f>'TEA Revised Non EYZ'!BF9</f>
        <v>0.10492961100000001</v>
      </c>
      <c r="BG9">
        <f>'TEA Revised Non EYZ'!BG9</f>
        <v>1.814625E-3</v>
      </c>
      <c r="BH9">
        <f>'TEA Revised Non EYZ'!BH9</f>
        <v>285.1951444</v>
      </c>
      <c r="BI9">
        <f>'TEA Revised Non EYZ'!BI9</f>
        <v>2169.8944889999998</v>
      </c>
      <c r="BJ9">
        <f>'TEA Revised Non EYZ'!BJ9</f>
        <v>866.49409060000005</v>
      </c>
      <c r="BK9">
        <f>'TEA Revised Non EYZ'!BK9</f>
        <v>100</v>
      </c>
      <c r="BL9">
        <f>'TEA Revised Non EYZ'!BL9</f>
        <v>18.892482409907799</v>
      </c>
      <c r="BM9">
        <f>'TEA Revised Non EYZ'!BM9</f>
        <v>92.6825353019658</v>
      </c>
      <c r="BN9">
        <f>'TEA Revised Non EYZ'!BN9</f>
        <v>19.929348306734301</v>
      </c>
      <c r="BO9">
        <f>'TEA Revised Non EYZ'!BO9</f>
        <v>188.92482409907799</v>
      </c>
      <c r="BP9">
        <f>'TEA Revised Non EYZ'!BP9</f>
        <v>518.16305597509188</v>
      </c>
      <c r="BQ9">
        <f>'TEA Revised Non EYZ'!BQ9</f>
        <v>18.892482409907799</v>
      </c>
      <c r="BR9">
        <f>'TEA Revised Non EYZ'!BR9</f>
        <v>51.816305597509192</v>
      </c>
      <c r="BS9">
        <f>'eLLE Bals'!CF9</f>
        <v>11.335489445944679</v>
      </c>
      <c r="BT9">
        <f>'eLLE Bals'!CG9</f>
        <v>11.957608984040581</v>
      </c>
      <c r="BU9">
        <f>BM9</f>
        <v>92.6825353019658</v>
      </c>
      <c r="BV9">
        <f>BU9*(AM9*2+AN9*2+AO9*3)</f>
        <v>0.3156794497055459</v>
      </c>
      <c r="BW9">
        <f>BN9*BA9*(AP9*2+AQ9*2+AR9*3)</f>
        <v>0.30309114679096416</v>
      </c>
      <c r="BX9">
        <f>BV9/(2*V9*BL9+BV9)</f>
        <v>7.7104515041067717E-2</v>
      </c>
      <c r="BY9">
        <f>BU9*BX9</f>
        <v>7.1462419372347119</v>
      </c>
      <c r="BZ9">
        <f>BW9/(2*BN9*BA9+BW9)</f>
        <v>7.066773522758299E-2</v>
      </c>
      <c r="CA9">
        <f>2*BN9*BA9/0.04</f>
        <v>99.646741533671516</v>
      </c>
      <c r="CB9">
        <f>(BS9+BL9)*2</f>
        <v>60.455943711704961</v>
      </c>
      <c r="CC9">
        <f>(BU9+BL9)*2</f>
        <v>223.1500354237472</v>
      </c>
      <c r="CD9">
        <f>(BT9+BN9)*2</f>
        <v>63.773914581549761</v>
      </c>
      <c r="CE9">
        <f>(CA9+BN9)*2</f>
        <v>239.15217968081163</v>
      </c>
      <c r="CF9">
        <f>'TEA Revised Non EYZ'!CB9</f>
        <v>2493.8076781078298</v>
      </c>
      <c r="CG9">
        <f>'TEA Revised Non EYZ'!CC9</f>
        <v>6839.7523388712134</v>
      </c>
      <c r="CH9">
        <f>'TEA Revised Non EYZ'!CD9</f>
        <v>3012.9816471142385</v>
      </c>
      <c r="CI9">
        <f>'TEA Revised Non EYZ'!CE9</f>
        <v>52755.617695282395</v>
      </c>
      <c r="CJ9">
        <f>BL9*V9</f>
        <v>1.88924824099078</v>
      </c>
      <c r="CK9">
        <f>CJ9/2*1.2</f>
        <v>1.133548944594468</v>
      </c>
      <c r="CL9">
        <f>'eLLE Bals'!CB9*'Oxidant Feed Composition'!$N$20</f>
        <v>6.2974941366359366E-2</v>
      </c>
      <c r="CM9">
        <f>'eLLE Bals'!CB9*'Oxidant Feed Composition'!$N$21</f>
        <v>3.148747068317967</v>
      </c>
      <c r="CN9">
        <f>'eLLE Bals'!CB9*'Oxidant Feed Composition'!$N$22</f>
        <v>0.94462412049539002</v>
      </c>
      <c r="CO9">
        <f>CN9/CK9</f>
        <v>0.83333333333333337</v>
      </c>
      <c r="CP9">
        <f>CO9</f>
        <v>0.83333333333333337</v>
      </c>
      <c r="CQ9">
        <f>CL9/CO9</f>
        <v>7.5569929639631231E-2</v>
      </c>
      <c r="CR9">
        <f>CM9/CO9</f>
        <v>3.7784964819815601</v>
      </c>
      <c r="CS9">
        <f>BN9*BA9</f>
        <v>1.9929348306734302</v>
      </c>
      <c r="CT9">
        <f>CS9/2*1.2</f>
        <v>1.1957608984040582</v>
      </c>
      <c r="CU9">
        <f>'eLLE Bals'!CC9*'Oxidant Feed Composition'!$N$20</f>
        <v>6.6431161022447699E-2</v>
      </c>
      <c r="CV9">
        <f>'eLLE Bals'!CC9*'Oxidant Feed Composition'!$N$21</f>
        <v>3.3215580511223837</v>
      </c>
      <c r="CW9">
        <f>'eLLE Bals'!CC9*'Oxidant Feed Composition'!$N$22</f>
        <v>0.99646741533671512</v>
      </c>
      <c r="CX9">
        <f>CU9/CP9</f>
        <v>7.971739322693723E-2</v>
      </c>
      <c r="CY9">
        <f>CV9/CP9</f>
        <v>3.98586966134686</v>
      </c>
      <c r="CZ9">
        <f>CJ9</f>
        <v>1.88924824099078</v>
      </c>
      <c r="DA9">
        <f>'eLLE Bals'!BQ9</f>
        <v>3.7784964819815601</v>
      </c>
      <c r="DB9">
        <f>'eLLE Bals'!BU9</f>
        <v>18.834688629789458</v>
      </c>
      <c r="DC9">
        <f>CS9</f>
        <v>1.9929348306734302</v>
      </c>
      <c r="DD9">
        <f>'eLLE Bals'!BX9</f>
        <v>3.9858696613468605</v>
      </c>
      <c r="DE9">
        <f>'eLLE Bals'!CA9</f>
        <v>22.222677050514676</v>
      </c>
      <c r="DF9">
        <f>2*2*(CJ9*'Reagent cost'!$C$36*122.44/1000+CK9*'Oxidant Feed Composition'!$N$26+CQ9*'Reagent cost'!$C$34+CR9*'Reagent cost'!$C$35)</f>
        <v>159.58047571195635</v>
      </c>
      <c r="DG9">
        <f>2*2*(CS9*'Reagent cost'!$C$36*122.44/1000+CT9*'Oxidant Feed Composition'!$N$26+CX9*'Reagent cost'!$C$34+CY9*'Reagent cost'!$C$35)</f>
        <v>168.33864467435291</v>
      </c>
      <c r="DH9">
        <f>(AF9+3)*2*(CZ9*'Reagent cost'!$C$38+DA9*'Reagent cost'!$C$39+DB9*'Reagent cost'!$C$36*122.44/1000)</f>
        <v>4795.8335480481983</v>
      </c>
      <c r="DI9">
        <f>3*2*(DC9*'Reagent cost'!$C$38+DD9*'Reagent cost'!$C$39+DE9*'Reagent cost'!$C$36*122.44/1000)</f>
        <v>1206.2215918815075</v>
      </c>
      <c r="DJ9">
        <f>7963.6*(CB9/1000)^0.6*1.7*('CAPEX+OPEX'!$G$116/'CAPEX+OPEX'!$G$115)</f>
        <v>2965.5437179814326</v>
      </c>
      <c r="DK9">
        <f>7963.6*(CC9/1000)^0.6*1.7*('CAPEX+OPEX'!$G$116/'CAPEX+OPEX'!$G$115)</f>
        <v>6492.3078360569407</v>
      </c>
      <c r="DL9">
        <f>7963.6*(CD9/1000)^0.6*1.7*('CAPEX+OPEX'!$G$116/'CAPEX+OPEX'!$G$115)</f>
        <v>3062.152202899636</v>
      </c>
      <c r="DM9">
        <f>7963.6*(CE9/1000)^0.6*1.7*('CAPEX+OPEX'!$G$116/'CAPEX+OPEX'!$G$115)</f>
        <v>6767.76911163571</v>
      </c>
      <c r="DN9">
        <f>'TEA Revised Non EYZ'!CM9</f>
        <v>39625.826528698344</v>
      </c>
      <c r="DO9">
        <f>'TEA Revised Non EYZ'!CN9</f>
        <v>4586243.4239371875</v>
      </c>
      <c r="DP9">
        <f>'TEA Revised Non EYZ'!CO9</f>
        <v>11794834.586807497</v>
      </c>
      <c r="DQ9">
        <f>'TEA Revised Non EYZ'!CP9</f>
        <v>2275209.1661185985</v>
      </c>
      <c r="DR9">
        <f>'TEA Revised Non EYZ'!CQ9</f>
        <v>14083914.336508472</v>
      </c>
      <c r="DS9">
        <f>'TEA Revised Non EYZ'!CR9</f>
        <v>1662824.8986326549</v>
      </c>
      <c r="DT9">
        <f>'TEA Revised Non EYZ'!CS9</f>
        <v>461850.0978118488</v>
      </c>
      <c r="DU9">
        <f>'TEA Revised Non EYZ'!CT9</f>
        <v>1187779.4098672394</v>
      </c>
      <c r="DV9">
        <f>'TEA Revised Non EYZ'!CU9</f>
        <v>229121.19544936769</v>
      </c>
      <c r="DW9">
        <f>'TEA Revised Non EYZ'!CV9</f>
        <v>1418297.4196136401</v>
      </c>
      <c r="DX9">
        <f>'TEA Revised Non EYZ'!CW9</f>
        <v>167452.04540804314</v>
      </c>
      <c r="DY9">
        <f>'TEA Revised Non EYZ'!CX9</f>
        <v>3464500.168150139</v>
      </c>
      <c r="DZ9">
        <f>'TEA Revised Non EYZ'!CY9</f>
        <v>845302.75526646047</v>
      </c>
      <c r="EA9">
        <f>'TEA Revised Non EYZ'!CZ9</f>
        <v>2173937.4151190002</v>
      </c>
      <c r="EB9">
        <f>'TEA Revised Non EYZ'!DA9</f>
        <v>419349.86854153901</v>
      </c>
      <c r="EC9">
        <f>'TEA Revised Non EYZ'!DB9</f>
        <v>2595843.8079082798</v>
      </c>
      <c r="ED9">
        <f>'TEA Revised Non EYZ'!DC9</f>
        <v>306479.69120077539</v>
      </c>
      <c r="EE9">
        <f>'TEA Revised Non EYZ'!DD9</f>
        <v>6340913.5380360549</v>
      </c>
      <c r="EF9">
        <v>0.7</v>
      </c>
      <c r="EG9">
        <v>100</v>
      </c>
      <c r="EH9">
        <f>96485*BL9*V9/EF9/EG9/60</f>
        <v>43.40098012666558</v>
      </c>
      <c r="EI9">
        <f>96485*BN9*BA9/EF9/EG9/60</f>
        <v>45.782932651791882</v>
      </c>
      <c r="EJ9">
        <f>EH9*('CAPEX+OPEX'!$O$25+'CAPEX+OPEX'!$O$26)</f>
        <v>1383276.0385970853</v>
      </c>
      <c r="EK9">
        <f>EI9*('CAPEX+OPEX'!$O$25+'CAPEX+OPEX'!$O$26)</f>
        <v>1459193.6294779109</v>
      </c>
      <c r="EL9">
        <f>EJ9*1.12/0.6*'CAPEX+OPEX'!$G$116/'CAPEX+OPEX'!$G$115</f>
        <v>3045497.132381544</v>
      </c>
      <c r="EM9">
        <f>EK9*1.12/0.6*'CAPEX+OPEX'!$G$116/'CAPEX+OPEX'!$G$115</f>
        <v>3212641.5047798106</v>
      </c>
      <c r="EN9">
        <f>EL9+EM9+DY9+EE9+1.15*(SUM(DF9:DM9)+SUM(CF9:CI9))</f>
        <v>16167880.235809054</v>
      </c>
      <c r="EO9">
        <f>EN9/15</f>
        <v>1077858.6823872703</v>
      </c>
      <c r="EP9">
        <f>('eLLE Bals'!CB9+'eLLE Bals'!CC9)*'Oxidant Feed Composition'!$N$25*60*7200</f>
        <v>15632642.811175987</v>
      </c>
      <c r="EQ9" s="83">
        <f>('eLLE Bals'!BR9+'eLLE Bals'!BY9)*'Reagent cost'!$C$38*60*7200</f>
        <v>522794.16626014776</v>
      </c>
      <c r="ER9">
        <f>'TEA Revised Non EYZ'!DI9</f>
        <v>504921.59999999998</v>
      </c>
      <c r="ES9">
        <f>'TEA Revised Non EYZ'!DJ9</f>
        <v>93.335600169790439</v>
      </c>
      <c r="ET9">
        <f>'TEA Revised Non EYZ'!DK9</f>
        <v>1115.3719868479327</v>
      </c>
      <c r="EU9">
        <f>1.2*SUM(EP9:ET9)</f>
        <v>19993880.742027782</v>
      </c>
      <c r="EV9">
        <f>'TEA Revised Non EYZ'!DM9</f>
        <v>0.70639694042110623</v>
      </c>
      <c r="EW9">
        <f>(BS9*CO9+BT9*CP9)/1000*('Oxidant Feed Composition'!$B$11*'Oxidant Feed Composition'!$O$20+'Oxidant Feed Composition'!$D$11*'Oxidant Feed Composition'!$O$21+'Oxidant Feed Composition'!$F$11*'Oxidant Feed Composition'!$O$27-'Oxidant Feed Composition'!$J$15*18.015)</f>
        <v>2.2668948211004585</v>
      </c>
      <c r="EX9">
        <f>(CZ9*BX9+DC9*BZ9)*368.34/1000</f>
        <v>0.10553153176866059</v>
      </c>
      <c r="EY9">
        <f>'TEA Revised Non EYZ'!DP9</f>
        <v>4.999938342565946E-2</v>
      </c>
      <c r="EZ9">
        <f>SUM(EV9:EX9)-EY9</f>
        <v>3.028823909864566</v>
      </c>
      <c r="FA9">
        <f>EZ9*0.33*60*7200</f>
        <v>431789.13659029256</v>
      </c>
      <c r="FB9">
        <f>'TEA Revised Non EYZ'!DS9</f>
        <v>1.2</v>
      </c>
      <c r="FC9">
        <v>0.5</v>
      </c>
      <c r="FD9">
        <f>'TEA Revised Non EYZ'!DT9</f>
        <v>1410.0862448248422</v>
      </c>
      <c r="FE9">
        <f>'TEA Revised Non EYZ'!DU9</f>
        <v>712.11900740011947</v>
      </c>
      <c r="FF9">
        <f>'TEA Revised Non EYZ'!DV9</f>
        <v>0.7</v>
      </c>
      <c r="FG9">
        <f>'TEA Revised Non EYZ'!DW9</f>
        <v>27520.276190787874</v>
      </c>
      <c r="FH9">
        <f>'TEA Revised Non EYZ'!DX9</f>
        <v>16610.439588917834</v>
      </c>
      <c r="FI9">
        <f>'TEA Revised Non EYZ'!DY9</f>
        <v>7032.645793695051</v>
      </c>
      <c r="FJ9">
        <f>'TEA Revised Non EYZ'!DZ9</f>
        <v>3725.3886787897172</v>
      </c>
      <c r="FK9">
        <f>'TEA Revised Non EYZ'!EA9</f>
        <v>3750.7444233040283</v>
      </c>
      <c r="FL9">
        <f>'TEA Revised Non EYZ'!EB9</f>
        <v>852.82016087006468</v>
      </c>
      <c r="FM9">
        <f>'TEA Revised Non EYZ'!EC9</f>
        <v>46423.887414940575</v>
      </c>
      <c r="FN9">
        <f>'TEA Revised Non EYZ'!ED9</f>
        <v>46693.087050290189</v>
      </c>
      <c r="FO9">
        <f>'TEA Revised Non EYZ'!EE9</f>
        <v>19769.250565647053</v>
      </c>
      <c r="FP9">
        <f>'TEA Revised Non EYZ'!EF9</f>
        <v>10477.895596099019</v>
      </c>
      <c r="FQ9">
        <f>'TEA Revised Non EYZ'!EG9</f>
        <v>10543.600301678431</v>
      </c>
      <c r="FR9">
        <f>'TEA Revised Non EYZ'!EH9</f>
        <v>430.68957567559227</v>
      </c>
      <c r="FS9">
        <f>'TEA Revised Non EYZ'!EI9</f>
        <v>193830.72534069544</v>
      </c>
      <c r="FT9">
        <f>EG9*EH9</f>
        <v>4340.0980126665581</v>
      </c>
      <c r="FU9">
        <f>EG9*EI9</f>
        <v>4578.293265179188</v>
      </c>
      <c r="FV9">
        <f>FC9*(FT9+FU9)/(3.6*10^6)*3600*7200*0.07</f>
        <v>2247.4346020171283</v>
      </c>
      <c r="FW9">
        <f>('CAPEX+OPEX'!$C$39/7/100+0.03)*EL9</f>
        <v>156625.56680819369</v>
      </c>
      <c r="FX9">
        <f>('CAPEX+OPEX'!$C$39/7/100+0.03)*EM9</f>
        <v>165221.56310296169</v>
      </c>
      <c r="FY9">
        <f>SUM(FV9:FX9)</f>
        <v>324094.56451317249</v>
      </c>
      <c r="FZ9">
        <f>FY9+FA9+FS9+EU9</f>
        <v>20943595.168471944</v>
      </c>
      <c r="GA9">
        <f>FZ9+EO9</f>
        <v>22021453.850859214</v>
      </c>
      <c r="GB9">
        <f>GA9/(BK9*60*7200)</f>
        <v>0.50975587617729656</v>
      </c>
      <c r="GC9">
        <f>'TEA Revised Non EYZ'!EM9/'TEA Revised Non EYZ'!EK9*GA9</f>
        <v>1704.3657756471071</v>
      </c>
      <c r="GD9">
        <f>'TEA Revised Non EYZ'!EN9/'TEA Revised Non EYZ'!EK9*GA9</f>
        <v>3102.1316136378459</v>
      </c>
    </row>
    <row r="10" spans="1:186">
      <c r="A10">
        <f>'TEA Revised Non EYZ'!A10</f>
        <v>3</v>
      </c>
      <c r="B10">
        <f>'TEA Revised Non EYZ'!B10</f>
        <v>1.54143585092054E-3</v>
      </c>
      <c r="C10">
        <f>'TEA Revised Non EYZ'!C10</f>
        <v>1.54143585092054E-3</v>
      </c>
      <c r="D10">
        <f>'TEA Revised Non EYZ'!D10</f>
        <v>3.4254130020456501E-4</v>
      </c>
      <c r="E10">
        <f>'TEA Revised Non EYZ'!E10</f>
        <v>0</v>
      </c>
      <c r="F10">
        <f>'TEA Revised Non EYZ'!F10</f>
        <v>0</v>
      </c>
      <c r="G10">
        <f>'TEA Revised Non EYZ'!G10</f>
        <v>0</v>
      </c>
      <c r="H10">
        <f>'TEA Revised Non EYZ'!H10</f>
        <v>1.6300358850230801E-5</v>
      </c>
      <c r="I10">
        <f>'TEA Revised Non EYZ'!I10</f>
        <v>7.4474859607128495E-7</v>
      </c>
      <c r="J10">
        <f>'TEA Revised Non EYZ'!J10</f>
        <v>3.2385704147932398E-4</v>
      </c>
      <c r="K10">
        <f>'TEA Revised Non EYZ'!K10</f>
        <v>8.07271092797512E-2</v>
      </c>
      <c r="L10">
        <f>'TEA Revised Non EYZ'!L10</f>
        <v>8.15504849440159E-2</v>
      </c>
      <c r="M10">
        <f>'TEA Revised Non EYZ'!M10</f>
        <v>9.8897848995466706E-4</v>
      </c>
      <c r="N10">
        <f>'TEA Revised Non EYZ'!N10</f>
        <v>-9.8011876392689601E-17</v>
      </c>
      <c r="O10">
        <f>'TEA Revised Non EYZ'!O10</f>
        <v>1.94289029309402E-16</v>
      </c>
      <c r="P10">
        <f>'TEA Revised Non EYZ'!P10</f>
        <v>-4.3537493488870999E-18</v>
      </c>
      <c r="Q10">
        <f>'TEA Revised Non EYZ'!Q10</f>
        <v>0.18892482409907799</v>
      </c>
      <c r="R10">
        <f>'TEA Revised Non EYZ'!R10</f>
        <v>94.545399718491396</v>
      </c>
      <c r="S10">
        <f>'TEA Revised Non EYZ'!S10</f>
        <v>500</v>
      </c>
      <c r="T10">
        <f>'TEA Revised Non EYZ'!T10</f>
        <v>95</v>
      </c>
      <c r="U10">
        <f>'TEA Revised Non EYZ'!U10</f>
        <v>1</v>
      </c>
      <c r="V10">
        <f>'TEA Revised Non EYZ'!V10</f>
        <v>0.1</v>
      </c>
      <c r="W10">
        <f>'TEA Revised Non EYZ'!W10</f>
        <v>52.931106580020597</v>
      </c>
      <c r="X10" t="str">
        <f>'TEA Revised Non EYZ'!X10</f>
        <v>ddFc</v>
      </c>
      <c r="Y10">
        <f>'TEA Revised Non EYZ'!Y10</f>
        <v>1</v>
      </c>
      <c r="Z10">
        <f>'TEA Revised Non EYZ'!Z10</f>
        <v>0.28318429382522198</v>
      </c>
      <c r="AA10">
        <f>'TEA Revised Non EYZ'!AA10</f>
        <v>0.56945642916197003</v>
      </c>
      <c r="AB10">
        <f>'TEA Revised Non EYZ'!AB10</f>
        <v>3.7698628972227502E-3</v>
      </c>
      <c r="AC10">
        <f>'TEA Revised Non EYZ'!AC10</f>
        <v>1822.2107908876901</v>
      </c>
      <c r="AD10">
        <f>'TEA Revised Non EYZ'!AD10</f>
        <v>2662.6059073104898</v>
      </c>
      <c r="AE10">
        <f>'TEA Revised Non EYZ'!AE10</f>
        <v>2401.5030938442701</v>
      </c>
      <c r="AF10">
        <f>'TEA Revised Non EYZ'!AF10</f>
        <v>12</v>
      </c>
      <c r="AG10">
        <f>'TEA Revised Non EYZ'!AG10</f>
        <v>1.6455478770638001E-3</v>
      </c>
      <c r="AH10">
        <f>'TEA Revised Non EYZ'!AH10</f>
        <v>1.66233163271225E-3</v>
      </c>
      <c r="AI10">
        <f>'TEA Revised Non EYZ'!AI10</f>
        <v>2.0159416943409301E-5</v>
      </c>
      <c r="AJ10">
        <f>'TEA Revised Non EYZ'!AJ10</f>
        <v>0</v>
      </c>
      <c r="AK10">
        <f>'TEA Revised Non EYZ'!AK10</f>
        <v>0</v>
      </c>
      <c r="AL10">
        <f>'TEA Revised Non EYZ'!AL10</f>
        <v>0</v>
      </c>
      <c r="AM10">
        <f>'TEA Revised Non EYZ'!AM10</f>
        <v>1.6083531230386601E-3</v>
      </c>
      <c r="AN10">
        <f>'TEA Revised Non EYZ'!AN10</f>
        <v>6.4624554467975802E-5</v>
      </c>
      <c r="AO10">
        <f>'TEA Revised Non EYZ'!AO10</f>
        <v>2.0025609902478401E-5</v>
      </c>
      <c r="AP10">
        <f>'TEA Revised Non EYZ'!AP10</f>
        <v>1.72977922313241E-3</v>
      </c>
      <c r="AQ10">
        <f>'TEA Revised Non EYZ'!AQ10</f>
        <v>7.4302965056042405E-2</v>
      </c>
      <c r="AR10">
        <f>'TEA Revised Non EYZ'!AR10</f>
        <v>6.2228302183306801E-6</v>
      </c>
      <c r="AS10">
        <f>'TEA Revised Non EYZ'!AS10</f>
        <v>6.7762635780344003E-20</v>
      </c>
      <c r="AT10">
        <f>'TEA Revised Non EYZ'!AT10</f>
        <v>2.168404344971E-19</v>
      </c>
      <c r="AU10">
        <f>'TEA Revised Non EYZ'!AU10</f>
        <v>3.8381180422460401E-21</v>
      </c>
      <c r="AV10">
        <f>'TEA Revised Non EYZ'!AV10</f>
        <v>0.199291566049737</v>
      </c>
      <c r="AW10">
        <f>'TEA Revised Non EYZ'!AW10</f>
        <v>99.336255402095702</v>
      </c>
      <c r="AX10">
        <f>'TEA Revised Non EYZ'!AX10</f>
        <v>500</v>
      </c>
      <c r="AY10">
        <f>'TEA Revised Non EYZ'!AY10</f>
        <v>95</v>
      </c>
      <c r="AZ10">
        <f>'TEA Revised Non EYZ'!AZ10</f>
        <v>0.92682535301965796</v>
      </c>
      <c r="BA10">
        <f>'TEA Revised Non EYZ'!BA10</f>
        <v>0.1</v>
      </c>
      <c r="BB10">
        <f>'TEA Revised Non EYZ'!BB10</f>
        <v>46.505999796717497</v>
      </c>
      <c r="BC10" t="str">
        <f>'TEA Revised Non EYZ'!BC10</f>
        <v>coeFc</v>
      </c>
      <c r="BD10">
        <f>'TEA Revised Non EYZ'!BD10</f>
        <v>1</v>
      </c>
      <c r="BE10">
        <f>'TEA Revised Non EYZ'!BE10</f>
        <v>1.8775014999999999E-2</v>
      </c>
      <c r="BF10">
        <f>'TEA Revised Non EYZ'!BF10</f>
        <v>0.10492961100000001</v>
      </c>
      <c r="BG10">
        <f>'TEA Revised Non EYZ'!BG10</f>
        <v>1.814625E-3</v>
      </c>
      <c r="BH10">
        <f>'TEA Revised Non EYZ'!BH10</f>
        <v>285.1951444</v>
      </c>
      <c r="BI10">
        <f>'TEA Revised Non EYZ'!BI10</f>
        <v>2169.8944889999998</v>
      </c>
      <c r="BJ10">
        <f>'TEA Revised Non EYZ'!BJ10</f>
        <v>866.49409060000005</v>
      </c>
      <c r="BK10">
        <f>'TEA Revised Non EYZ'!BK10</f>
        <v>100</v>
      </c>
      <c r="BL10">
        <f>'TEA Revised Non EYZ'!BL10</f>
        <v>18.892482409907799</v>
      </c>
      <c r="BM10">
        <f>'TEA Revised Non EYZ'!BM10</f>
        <v>92.6825353019658</v>
      </c>
      <c r="BN10">
        <f>'TEA Revised Non EYZ'!BN10</f>
        <v>19.929156604973699</v>
      </c>
      <c r="BO10">
        <f>'TEA Revised Non EYZ'!BO10</f>
        <v>188.92482409907799</v>
      </c>
      <c r="BP10">
        <f>'TEA Revised Non EYZ'!BP10</f>
        <v>558.01638493926362</v>
      </c>
      <c r="BQ10">
        <f>'TEA Revised Non EYZ'!BQ10</f>
        <v>18.892482409907799</v>
      </c>
      <c r="BR10">
        <f>'TEA Revised Non EYZ'!BR10</f>
        <v>55.801638493926362</v>
      </c>
      <c r="BS10">
        <f>'eLLE Bals'!CF10</f>
        <v>11.335489445944679</v>
      </c>
      <c r="BT10">
        <f>'eLLE Bals'!CG10</f>
        <v>11.957493962984218</v>
      </c>
      <c r="BU10">
        <f>BM10</f>
        <v>92.6825353019658</v>
      </c>
      <c r="BV10">
        <f>BU10*(AM10*2+AN10*2+AO10*3)</f>
        <v>0.31567969820000863</v>
      </c>
      <c r="BW10">
        <f>BN10*BA10*(AP10*2+AQ10*2+AR10*3)</f>
        <v>0.30309089829650282</v>
      </c>
      <c r="BX10">
        <f>BV10/(2*V10*BL10+BV10)</f>
        <v>7.7104571055857413E-2</v>
      </c>
      <c r="BY10">
        <f>BU10*BX10</f>
        <v>7.1462471288274347</v>
      </c>
      <c r="BZ10">
        <f>BW10/(2*BN10*BA10+BW10)</f>
        <v>7.0668313109811892E-2</v>
      </c>
      <c r="CA10">
        <f>2*BN10*BA10/0.04</f>
        <v>99.645783024868493</v>
      </c>
      <c r="CB10">
        <f>(BS10+BL10)*2</f>
        <v>60.455943711704961</v>
      </c>
      <c r="CC10">
        <f>(BU10+BL10)*2</f>
        <v>223.1500354237472</v>
      </c>
      <c r="CD10">
        <f>(BT10+BN10)*2</f>
        <v>63.77330113591583</v>
      </c>
      <c r="CE10">
        <f>(CA10+BN10)*2</f>
        <v>239.14987925968438</v>
      </c>
      <c r="CF10">
        <f>'TEA Revised Non EYZ'!CB10</f>
        <v>2493.8076781078298</v>
      </c>
      <c r="CG10">
        <f>'TEA Revised Non EYZ'!CC10</f>
        <v>7365.8162811982802</v>
      </c>
      <c r="CH10">
        <f>'TEA Revised Non EYZ'!CD10</f>
        <v>3012.9816471142385</v>
      </c>
      <c r="CI10">
        <f>'TEA Revised Non EYZ'!CE10</f>
        <v>56813.195638120589</v>
      </c>
      <c r="CJ10">
        <f>BL10*V10</f>
        <v>1.88924824099078</v>
      </c>
      <c r="CK10">
        <f>CJ10/2*1.2</f>
        <v>1.133548944594468</v>
      </c>
      <c r="CL10">
        <f>'eLLE Bals'!CB10*'Oxidant Feed Composition'!$N$20</f>
        <v>6.2974941366359366E-2</v>
      </c>
      <c r="CM10">
        <f>'eLLE Bals'!CB10*'Oxidant Feed Composition'!$N$21</f>
        <v>3.148747068317967</v>
      </c>
      <c r="CN10">
        <f>'eLLE Bals'!CB10*'Oxidant Feed Composition'!$N$22</f>
        <v>0.94462412049539002</v>
      </c>
      <c r="CO10">
        <f>CN10/CK10</f>
        <v>0.83333333333333337</v>
      </c>
      <c r="CP10">
        <f>CO10</f>
        <v>0.83333333333333337</v>
      </c>
      <c r="CQ10">
        <f>CL10/CO10</f>
        <v>7.5569929639631231E-2</v>
      </c>
      <c r="CR10">
        <f>CM10/CO10</f>
        <v>3.7784964819815601</v>
      </c>
      <c r="CS10">
        <f>BN10*BA10</f>
        <v>1.9929156604973699</v>
      </c>
      <c r="CT10">
        <f>CS10/2*1.2</f>
        <v>1.1957493962984218</v>
      </c>
      <c r="CU10">
        <f>'eLLE Bals'!CC10*'Oxidant Feed Composition'!$N$20</f>
        <v>6.6430522016579022E-2</v>
      </c>
      <c r="CV10">
        <f>'eLLE Bals'!CC10*'Oxidant Feed Composition'!$N$21</f>
        <v>3.3215261008289501</v>
      </c>
      <c r="CW10">
        <f>'eLLE Bals'!CC10*'Oxidant Feed Composition'!$N$22</f>
        <v>0.99645783024868495</v>
      </c>
      <c r="CX10">
        <f>CU10/CP10</f>
        <v>7.9716626419894826E-2</v>
      </c>
      <c r="CY10">
        <f>CV10/CP10</f>
        <v>3.9858313209947398</v>
      </c>
      <c r="CZ10">
        <f>CJ10</f>
        <v>1.88924824099078</v>
      </c>
      <c r="DA10">
        <f>'eLLE Bals'!BQ10</f>
        <v>3.7784964819815601</v>
      </c>
      <c r="DB10">
        <f>'eLLE Bals'!BU10</f>
        <v>18.834670829305892</v>
      </c>
      <c r="DC10">
        <f>CS10</f>
        <v>1.9929156604973699</v>
      </c>
      <c r="DD10">
        <f>'eLLE Bals'!BX10</f>
        <v>3.9858313209947398</v>
      </c>
      <c r="DE10">
        <f>'eLLE Bals'!CA10</f>
        <v>22.222232676824724</v>
      </c>
      <c r="DF10">
        <f>2*2*(CJ10*'Reagent cost'!$C$36*122.44/1000+CK10*'Oxidant Feed Composition'!$N$26+CQ10*'Reagent cost'!$C$34+CR10*'Reagent cost'!$C$35)</f>
        <v>159.58047571195635</v>
      </c>
      <c r="DG10">
        <f>2*2*(CS10*'Reagent cost'!$C$36*122.44/1000+CT10*'Oxidant Feed Composition'!$N$26+CX10*'Reagent cost'!$C$34+CY10*'Reagent cost'!$C$35)</f>
        <v>168.33702541344863</v>
      </c>
      <c r="DH10">
        <f>(AF10+3)*2*(CZ10*'Reagent cost'!$C$38+DA10*'Reagent cost'!$C$39+DB10*'Reagent cost'!$C$36*122.44/1000)</f>
        <v>5138.3884697244248</v>
      </c>
      <c r="DI10">
        <f>3*2*(DC10*'Reagent cost'!$C$38+DD10*'Reagent cost'!$C$39+DE10*'Reagent cost'!$C$36*122.44/1000)</f>
        <v>1206.1980249267078</v>
      </c>
      <c r="DJ10">
        <f>7963.6*(CB10/1000)^0.6*1.7*('CAPEX+OPEX'!$G$116/'CAPEX+OPEX'!$G$115)</f>
        <v>2965.5437179814326</v>
      </c>
      <c r="DK10">
        <f>7963.6*(CC10/1000)^0.6*1.7*('CAPEX+OPEX'!$G$116/'CAPEX+OPEX'!$G$115)</f>
        <v>6492.3078360569407</v>
      </c>
      <c r="DL10">
        <f>7963.6*(CD10/1000)^0.6*1.7*('CAPEX+OPEX'!$G$116/'CAPEX+OPEX'!$G$115)</f>
        <v>3062.1345298351043</v>
      </c>
      <c r="DM10">
        <f>7963.6*(CE10/1000)^0.6*1.7*('CAPEX+OPEX'!$G$116/'CAPEX+OPEX'!$G$115)</f>
        <v>6767.7300517809663</v>
      </c>
      <c r="DN10">
        <f>'TEA Revised Non EYZ'!CM10</f>
        <v>39625.826528698344</v>
      </c>
      <c r="DO10">
        <f>'TEA Revised Non EYZ'!CN10</f>
        <v>4586243.4239371875</v>
      </c>
      <c r="DP10">
        <f>'TEA Revised Non EYZ'!CO10</f>
        <v>11794834.586807497</v>
      </c>
      <c r="DQ10">
        <f>'TEA Revised Non EYZ'!CP10</f>
        <v>2275209.1661185985</v>
      </c>
      <c r="DR10">
        <f>'TEA Revised Non EYZ'!CQ10</f>
        <v>14083914.336508472</v>
      </c>
      <c r="DS10">
        <f>'TEA Revised Non EYZ'!CR10</f>
        <v>1662824.8986326549</v>
      </c>
      <c r="DT10">
        <f>'TEA Revised Non EYZ'!CS10</f>
        <v>461850.0978118488</v>
      </c>
      <c r="DU10">
        <f>'TEA Revised Non EYZ'!CT10</f>
        <v>1187779.4098672394</v>
      </c>
      <c r="DV10">
        <f>'TEA Revised Non EYZ'!CU10</f>
        <v>229121.19544936769</v>
      </c>
      <c r="DW10">
        <f>'TEA Revised Non EYZ'!CV10</f>
        <v>1418297.4196136401</v>
      </c>
      <c r="DX10">
        <f>'TEA Revised Non EYZ'!CW10</f>
        <v>167452.04540804314</v>
      </c>
      <c r="DY10">
        <f>'TEA Revised Non EYZ'!CX10</f>
        <v>3464500.168150139</v>
      </c>
      <c r="DZ10">
        <f>'TEA Revised Non EYZ'!CY10</f>
        <v>886889.57159349206</v>
      </c>
      <c r="EA10">
        <f>'TEA Revised Non EYZ'!CZ10</f>
        <v>2280889.7886038315</v>
      </c>
      <c r="EB10">
        <f>'TEA Revised Non EYZ'!DA10</f>
        <v>439980.85057862528</v>
      </c>
      <c r="EC10">
        <f>'TEA Revised Non EYZ'!DB10</f>
        <v>2723552.9381347802</v>
      </c>
      <c r="ED10">
        <f>'TEA Revised Non EYZ'!DC10</f>
        <v>321557.73814493133</v>
      </c>
      <c r="EE10">
        <f>'TEA Revised Non EYZ'!DD10</f>
        <v>6652870.8870556606</v>
      </c>
      <c r="EF10">
        <v>0.7</v>
      </c>
      <c r="EG10">
        <v>100</v>
      </c>
      <c r="EH10">
        <f>96485*BL10*V10/EF10/EG10/60</f>
        <v>43.40098012666558</v>
      </c>
      <c r="EI10">
        <f>96485*BN10*BA10/EF10/EG10/60</f>
        <v>45.782492262640183</v>
      </c>
      <c r="EJ10">
        <f>EH10*('CAPEX+OPEX'!$O$25+'CAPEX+OPEX'!$O$26)</f>
        <v>1383276.0385970853</v>
      </c>
      <c r="EK10">
        <f>EI10*('CAPEX+OPEX'!$O$25+'CAPEX+OPEX'!$O$26)</f>
        <v>1459179.5933948678</v>
      </c>
      <c r="EL10">
        <f>EJ10*1.12/0.6*'CAPEX+OPEX'!$G$116/'CAPEX+OPEX'!$G$115</f>
        <v>3045497.132381544</v>
      </c>
      <c r="EM10">
        <f>EK10*1.12/0.6*'CAPEX+OPEX'!$G$116/'CAPEX+OPEX'!$G$115</f>
        <v>3212610.602162065</v>
      </c>
      <c r="EN10">
        <f>EL10+EM10+DY10+EE10+1.15*(SUM(DF10:DM10)+SUM(CF10:CI10))</f>
        <v>16485471.714331778</v>
      </c>
      <c r="EO10">
        <f>EN10/15</f>
        <v>1099031.4476221185</v>
      </c>
      <c r="EP10">
        <f>('eLLE Bals'!CB10+'eLLE Bals'!CC10)*'Oxidant Feed Composition'!$N$25*60*7200</f>
        <v>15632565.617362756</v>
      </c>
      <c r="EQ10" s="83">
        <f>('eLLE Bals'!BR10+'eLLE Bals'!BY10)*'Reagent cost'!$C$38*60*7200</f>
        <v>522793.98886671738</v>
      </c>
      <c r="ER10">
        <f>'TEA Revised Non EYZ'!DI10</f>
        <v>504921.59999999998</v>
      </c>
      <c r="ES10">
        <f>'TEA Revised Non EYZ'!DJ10</f>
        <v>98.596239593061114</v>
      </c>
      <c r="ET10">
        <f>'TEA Revised Non EYZ'!DK10</f>
        <v>1196.5235457046965</v>
      </c>
      <c r="EU10">
        <f>1.2*SUM(EP10:ET10)</f>
        <v>19993891.591217723</v>
      </c>
      <c r="EV10">
        <f>'TEA Revised Non EYZ'!DM10</f>
        <v>0.70639694042110623</v>
      </c>
      <c r="EW10">
        <f>(BS10*CO10+BT10*CP10)/1000*('Oxidant Feed Composition'!$B$11*'Oxidant Feed Composition'!$O$20+'Oxidant Feed Composition'!$D$11*'Oxidant Feed Composition'!$O$21+'Oxidant Feed Composition'!$F$11*'Oxidant Feed Composition'!$O$27-'Oxidant Feed Composition'!$J$15*18.015)</f>
        <v>2.2668836271994941</v>
      </c>
      <c r="EX10">
        <f>(CZ10*BX10+DC10*BZ10)*368.34/1000</f>
        <v>0.10553149595992048</v>
      </c>
      <c r="EY10">
        <f>'TEA Revised Non EYZ'!DP10</f>
        <v>4.999938342565946E-2</v>
      </c>
      <c r="EZ10">
        <f>SUM(EV10:EX10)-EY10</f>
        <v>3.0288126801548612</v>
      </c>
      <c r="FA10">
        <f>EZ10*0.33*60*7200</f>
        <v>431787.53568287706</v>
      </c>
      <c r="FB10">
        <f>'TEA Revised Non EYZ'!DS10</f>
        <v>1.2</v>
      </c>
      <c r="FC10">
        <v>0.5</v>
      </c>
      <c r="FD10">
        <f>'TEA Revised Non EYZ'!DT10</f>
        <v>1410.0873571085197</v>
      </c>
      <c r="FE10">
        <f>'TEA Revised Non EYZ'!DU10</f>
        <v>712.11789511644781</v>
      </c>
      <c r="FF10">
        <f>'TEA Revised Non EYZ'!DV10</f>
        <v>0.7</v>
      </c>
      <c r="FG10">
        <f>'TEA Revised Non EYZ'!DW10</f>
        <v>27520.276190787874</v>
      </c>
      <c r="FH10">
        <f>'TEA Revised Non EYZ'!DX10</f>
        <v>16610.439588917834</v>
      </c>
      <c r="FI10">
        <f>'TEA Revised Non EYZ'!DY10</f>
        <v>7032.645793695051</v>
      </c>
      <c r="FJ10">
        <f>'TEA Revised Non EYZ'!DZ10</f>
        <v>3725.3886787897172</v>
      </c>
      <c r="FK10">
        <f>'TEA Revised Non EYZ'!EA10</f>
        <v>3750.7444233040283</v>
      </c>
      <c r="FL10">
        <f>'TEA Revised Non EYZ'!EB10</f>
        <v>852.82083357923284</v>
      </c>
      <c r="FM10">
        <f>'TEA Revised Non EYZ'!EC10</f>
        <v>49002.992271326162</v>
      </c>
      <c r="FN10">
        <f>'TEA Revised Non EYZ'!ED10</f>
        <v>50584.177637814377</v>
      </c>
      <c r="FO10">
        <f>'TEA Revised Non EYZ'!EE10</f>
        <v>21416.688112784312</v>
      </c>
      <c r="FP10">
        <f>'TEA Revised Non EYZ'!EF10</f>
        <v>11351.053562440606</v>
      </c>
      <c r="FQ10">
        <f>'TEA Revised Non EYZ'!EG10</f>
        <v>11422.233660151634</v>
      </c>
      <c r="FR10">
        <f>'TEA Revised Non EYZ'!EH10</f>
        <v>430.68890296642769</v>
      </c>
      <c r="FS10">
        <f>'TEA Revised Non EYZ'!EI10</f>
        <v>203700.14965655727</v>
      </c>
      <c r="FT10">
        <f>EG10*EH10</f>
        <v>4340.0980126665581</v>
      </c>
      <c r="FU10">
        <f>EG10*EI10</f>
        <v>4578.249226264018</v>
      </c>
      <c r="FV10">
        <f>FC10*(FT10+FU10)/(3.6*10^6)*3600*7200*0.07</f>
        <v>2247.4235042105051</v>
      </c>
      <c r="FW10">
        <f>('CAPEX+OPEX'!$C$39/7/100+0.03)*EL10</f>
        <v>156625.56680819369</v>
      </c>
      <c r="FX10">
        <f>('CAPEX+OPEX'!$C$39/7/100+0.03)*EM10</f>
        <v>165219.97382547762</v>
      </c>
      <c r="FY10">
        <f>SUM(FV10:FX10)</f>
        <v>324092.96413788182</v>
      </c>
      <c r="FZ10">
        <f>FY10+FA10+FS10+EU10</f>
        <v>20953472.240695037</v>
      </c>
      <c r="GA10">
        <f>FZ10+EO10</f>
        <v>22052503.688317157</v>
      </c>
      <c r="GB10">
        <f>GA10/(BK10*60*7200)</f>
        <v>0.51047462241474906</v>
      </c>
      <c r="GC10">
        <f>'TEA Revised Non EYZ'!EM10/'TEA Revised Non EYZ'!EK10*GA10</f>
        <v>1706.767549997847</v>
      </c>
      <c r="GD10">
        <f>'TEA Revised Non EYZ'!EN10/'TEA Revised Non EYZ'!EK10*GA10</f>
        <v>3106.5100316368721</v>
      </c>
    </row>
    <row r="11" spans="1:186">
      <c r="A11">
        <f>'TEA Revised Non EYZ'!A11</f>
        <v>3</v>
      </c>
      <c r="B11">
        <f>'TEA Revised Non EYZ'!B11</f>
        <v>1.54143585092054E-3</v>
      </c>
      <c r="C11">
        <f>'TEA Revised Non EYZ'!C11</f>
        <v>1.54143585092054E-3</v>
      </c>
      <c r="D11">
        <f>'TEA Revised Non EYZ'!D11</f>
        <v>3.4254130020456501E-4</v>
      </c>
      <c r="E11">
        <f>'TEA Revised Non EYZ'!E11</f>
        <v>0</v>
      </c>
      <c r="F11">
        <f>'TEA Revised Non EYZ'!F11</f>
        <v>0</v>
      </c>
      <c r="G11">
        <f>'TEA Revised Non EYZ'!G11</f>
        <v>0</v>
      </c>
      <c r="H11">
        <f>'TEA Revised Non EYZ'!H11</f>
        <v>1.6300358850230801E-5</v>
      </c>
      <c r="I11">
        <f>'TEA Revised Non EYZ'!I11</f>
        <v>7.4474859607128495E-7</v>
      </c>
      <c r="J11">
        <f>'TEA Revised Non EYZ'!J11</f>
        <v>3.2385704147932398E-4</v>
      </c>
      <c r="K11">
        <f>'TEA Revised Non EYZ'!K11</f>
        <v>8.07271092797512E-2</v>
      </c>
      <c r="L11">
        <f>'TEA Revised Non EYZ'!L11</f>
        <v>8.15504849440159E-2</v>
      </c>
      <c r="M11">
        <f>'TEA Revised Non EYZ'!M11</f>
        <v>9.8897848995466706E-4</v>
      </c>
      <c r="N11">
        <f>'TEA Revised Non EYZ'!N11</f>
        <v>-9.8011876392689601E-17</v>
      </c>
      <c r="O11">
        <f>'TEA Revised Non EYZ'!O11</f>
        <v>1.94289029309402E-16</v>
      </c>
      <c r="P11">
        <f>'TEA Revised Non EYZ'!P11</f>
        <v>-4.3537493488870999E-18</v>
      </c>
      <c r="Q11">
        <f>'TEA Revised Non EYZ'!Q11</f>
        <v>0.18892482409907799</v>
      </c>
      <c r="R11">
        <f>'TEA Revised Non EYZ'!R11</f>
        <v>94.545399718491396</v>
      </c>
      <c r="S11">
        <f>'TEA Revised Non EYZ'!S11</f>
        <v>500</v>
      </c>
      <c r="T11">
        <f>'TEA Revised Non EYZ'!T11</f>
        <v>95</v>
      </c>
      <c r="U11">
        <f>'TEA Revised Non EYZ'!U11</f>
        <v>1</v>
      </c>
      <c r="V11">
        <f>'TEA Revised Non EYZ'!V11</f>
        <v>0.1</v>
      </c>
      <c r="W11">
        <f>'TEA Revised Non EYZ'!W11</f>
        <v>52.931106580020597</v>
      </c>
      <c r="X11" t="str">
        <f>'TEA Revised Non EYZ'!X11</f>
        <v>ddFc</v>
      </c>
      <c r="Y11">
        <f>'TEA Revised Non EYZ'!Y11</f>
        <v>1</v>
      </c>
      <c r="Z11">
        <f>'TEA Revised Non EYZ'!Z11</f>
        <v>0.28318429382522198</v>
      </c>
      <c r="AA11">
        <f>'TEA Revised Non EYZ'!AA11</f>
        <v>0.56945642916197003</v>
      </c>
      <c r="AB11">
        <f>'TEA Revised Non EYZ'!AB11</f>
        <v>3.7698628972227502E-3</v>
      </c>
      <c r="AC11">
        <f>'TEA Revised Non EYZ'!AC11</f>
        <v>1822.2107908876901</v>
      </c>
      <c r="AD11">
        <f>'TEA Revised Non EYZ'!AD11</f>
        <v>2662.6059073104898</v>
      </c>
      <c r="AE11">
        <f>'TEA Revised Non EYZ'!AE11</f>
        <v>2401.5030938442701</v>
      </c>
      <c r="AF11">
        <f>'TEA Revised Non EYZ'!AF11</f>
        <v>13</v>
      </c>
      <c r="AG11">
        <f>'TEA Revised Non EYZ'!AG11</f>
        <v>1.6455478770638001E-3</v>
      </c>
      <c r="AH11">
        <f>'TEA Revised Non EYZ'!AH11</f>
        <v>1.66233163271225E-3</v>
      </c>
      <c r="AI11">
        <f>'TEA Revised Non EYZ'!AI11</f>
        <v>2.0159416943409301E-5</v>
      </c>
      <c r="AJ11">
        <f>'TEA Revised Non EYZ'!AJ11</f>
        <v>0</v>
      </c>
      <c r="AK11">
        <f>'TEA Revised Non EYZ'!AK11</f>
        <v>0</v>
      </c>
      <c r="AL11">
        <f>'TEA Revised Non EYZ'!AL11</f>
        <v>0</v>
      </c>
      <c r="AM11">
        <f>'TEA Revised Non EYZ'!AM11</f>
        <v>1.60835348661086E-3</v>
      </c>
      <c r="AN11">
        <f>'TEA Revised Non EYZ'!AN11</f>
        <v>6.4624572349144705E-5</v>
      </c>
      <c r="AO11">
        <f>'TEA Revised Non EYZ'!AO11</f>
        <v>2.0025611156689701E-5</v>
      </c>
      <c r="AP11">
        <f>'TEA Revised Non EYZ'!AP11</f>
        <v>1.72976707272807E-3</v>
      </c>
      <c r="AQ11">
        <f>'TEA Revised Non EYZ'!AQ11</f>
        <v>7.43031686023614E-2</v>
      </c>
      <c r="AR11">
        <f>'TEA Revised Non EYZ'!AR11</f>
        <v>6.2227890063413899E-6</v>
      </c>
      <c r="AS11">
        <f>'TEA Revised Non EYZ'!AS11</f>
        <v>2.6305455209929499E-17</v>
      </c>
      <c r="AT11">
        <f>'TEA Revised Non EYZ'!AT11</f>
        <v>-2.1278551837200498E-15</v>
      </c>
      <c r="AU11">
        <f>'TEA Revised Non EYZ'!AU11</f>
        <v>-5.2939559203393696E-22</v>
      </c>
      <c r="AV11">
        <f>'TEA Revised Non EYZ'!AV11</f>
        <v>0.19929101787970099</v>
      </c>
      <c r="AW11">
        <f>'TEA Revised Non EYZ'!AW11</f>
        <v>99.336261623561896</v>
      </c>
      <c r="AX11">
        <f>'TEA Revised Non EYZ'!AX11</f>
        <v>500</v>
      </c>
      <c r="AY11">
        <f>'TEA Revised Non EYZ'!AY11</f>
        <v>95</v>
      </c>
      <c r="AZ11">
        <f>'TEA Revised Non EYZ'!AZ11</f>
        <v>0.92682535301965796</v>
      </c>
      <c r="BA11">
        <f>'TEA Revised Non EYZ'!BA11</f>
        <v>0.1</v>
      </c>
      <c r="BB11">
        <f>'TEA Revised Non EYZ'!BB11</f>
        <v>46.506127716158304</v>
      </c>
      <c r="BC11" t="str">
        <f>'TEA Revised Non EYZ'!BC11</f>
        <v>coeFc</v>
      </c>
      <c r="BD11">
        <f>'TEA Revised Non EYZ'!BD11</f>
        <v>1</v>
      </c>
      <c r="BE11">
        <f>'TEA Revised Non EYZ'!BE11</f>
        <v>1.8775014999999999E-2</v>
      </c>
      <c r="BF11">
        <f>'TEA Revised Non EYZ'!BF11</f>
        <v>0.10492961100000001</v>
      </c>
      <c r="BG11">
        <f>'TEA Revised Non EYZ'!BG11</f>
        <v>1.814625E-3</v>
      </c>
      <c r="BH11">
        <f>'TEA Revised Non EYZ'!BH11</f>
        <v>285.1951444</v>
      </c>
      <c r="BI11">
        <f>'TEA Revised Non EYZ'!BI11</f>
        <v>2169.8944889999998</v>
      </c>
      <c r="BJ11">
        <f>'TEA Revised Non EYZ'!BJ11</f>
        <v>866.49409060000005</v>
      </c>
      <c r="BK11">
        <f>'TEA Revised Non EYZ'!BK11</f>
        <v>100</v>
      </c>
      <c r="BL11">
        <f>'TEA Revised Non EYZ'!BL11</f>
        <v>18.892482409907799</v>
      </c>
      <c r="BM11">
        <f>'TEA Revised Non EYZ'!BM11</f>
        <v>92.6825353019658</v>
      </c>
      <c r="BN11">
        <f>'TEA Revised Non EYZ'!BN11</f>
        <v>19.929101787970101</v>
      </c>
      <c r="BO11">
        <f>'TEA Revised Non EYZ'!BO11</f>
        <v>188.92482409907799</v>
      </c>
      <c r="BP11">
        <f>'TEA Revised Non EYZ'!BP11</f>
        <v>597.87305363910298</v>
      </c>
      <c r="BQ11">
        <f>'TEA Revised Non EYZ'!BQ11</f>
        <v>18.892482409907799</v>
      </c>
      <c r="BR11">
        <f>'TEA Revised Non EYZ'!BR11</f>
        <v>59.787305363910299</v>
      </c>
      <c r="BS11">
        <f>'eLLE Bals'!CF11</f>
        <v>11.335489445944679</v>
      </c>
      <c r="BT11">
        <f>'eLLE Bals'!CG11</f>
        <v>11.95746107278206</v>
      </c>
      <c r="BU11">
        <f>BM11</f>
        <v>92.6825353019658</v>
      </c>
      <c r="BV11">
        <f>BU11*(AM11*2+AN11*2+AO11*3)</f>
        <v>0.31567976925686969</v>
      </c>
      <c r="BW11">
        <f>BN11*BA11*(AP11*2+AQ11*2+AR11*3)</f>
        <v>0.30309082724006198</v>
      </c>
      <c r="BX11">
        <f>BV11/(2*V11*BL11+BV11)</f>
        <v>7.7104587073255834E-2</v>
      </c>
      <c r="BY11">
        <f>BU11*BX11</f>
        <v>7.1462486133605294</v>
      </c>
      <c r="BZ11">
        <f>BW11/(2*BN11*BA11+BW11)</f>
        <v>7.0668478356887943E-2</v>
      </c>
      <c r="CA11">
        <f>2*BN11*BA11/0.04</f>
        <v>99.645508939850515</v>
      </c>
      <c r="CB11">
        <f>(BS11+BL11)*2</f>
        <v>60.455943711704961</v>
      </c>
      <c r="CC11">
        <f>(BU11+BL11)*2</f>
        <v>223.1500354237472</v>
      </c>
      <c r="CD11">
        <f>(BT11+BN11)*2</f>
        <v>63.773125721504321</v>
      </c>
      <c r="CE11">
        <f>(CA11+BN11)*2</f>
        <v>239.14922145564123</v>
      </c>
      <c r="CF11">
        <f>'TEA Revised Non EYZ'!CB11</f>
        <v>2493.8076781078298</v>
      </c>
      <c r="CG11">
        <f>'TEA Revised Non EYZ'!CC11</f>
        <v>7891.9243080361593</v>
      </c>
      <c r="CH11">
        <f>'TEA Revised Non EYZ'!CD11</f>
        <v>3012.9816471142385</v>
      </c>
      <c r="CI11">
        <f>'TEA Revised Non EYZ'!CE11</f>
        <v>60871.113608708845</v>
      </c>
      <c r="CJ11">
        <f>BL11*V11</f>
        <v>1.88924824099078</v>
      </c>
      <c r="CK11">
        <f>CJ11/2*1.2</f>
        <v>1.133548944594468</v>
      </c>
      <c r="CL11">
        <f>'eLLE Bals'!CB11*'Oxidant Feed Composition'!$N$20</f>
        <v>6.2974941366359366E-2</v>
      </c>
      <c r="CM11">
        <f>'eLLE Bals'!CB11*'Oxidant Feed Composition'!$N$21</f>
        <v>3.148747068317967</v>
      </c>
      <c r="CN11">
        <f>'eLLE Bals'!CB11*'Oxidant Feed Composition'!$N$22</f>
        <v>0.94462412049539002</v>
      </c>
      <c r="CO11">
        <f>CN11/CK11</f>
        <v>0.83333333333333337</v>
      </c>
      <c r="CP11">
        <f>CO11</f>
        <v>0.83333333333333337</v>
      </c>
      <c r="CQ11">
        <f>CL11/CO11</f>
        <v>7.5569929639631231E-2</v>
      </c>
      <c r="CR11">
        <f>CM11/CO11</f>
        <v>3.7784964819815601</v>
      </c>
      <c r="CS11">
        <f>BN11*BA11</f>
        <v>1.9929101787970103</v>
      </c>
      <c r="CT11">
        <f>CS11/2*1.2</f>
        <v>1.1957461072782061</v>
      </c>
      <c r="CU11">
        <f>'eLLE Bals'!CC11*'Oxidant Feed Composition'!$N$20</f>
        <v>6.6430339293233706E-2</v>
      </c>
      <c r="CV11">
        <f>'eLLE Bals'!CC11*'Oxidant Feed Composition'!$N$21</f>
        <v>3.3215169646616838</v>
      </c>
      <c r="CW11">
        <f>'eLLE Bals'!CC11*'Oxidant Feed Composition'!$N$22</f>
        <v>0.99645508939850513</v>
      </c>
      <c r="CX11">
        <f>CU11/CP11</f>
        <v>7.9716407151880442E-2</v>
      </c>
      <c r="CY11">
        <f>CV11/CP11</f>
        <v>3.9858203575940205</v>
      </c>
      <c r="CZ11">
        <f>CJ11</f>
        <v>1.88924824099078</v>
      </c>
      <c r="DA11">
        <f>'eLLE Bals'!BQ11</f>
        <v>3.7784964819815601</v>
      </c>
      <c r="DB11">
        <f>'eLLE Bals'!BU11</f>
        <v>18.834665739277149</v>
      </c>
      <c r="DC11">
        <f>CS11</f>
        <v>1.9929101787970103</v>
      </c>
      <c r="DD11">
        <f>'eLLE Bals'!BX11</f>
        <v>3.9858203575940205</v>
      </c>
      <c r="DE11">
        <f>'eLLE Bals'!CA11</f>
        <v>22.222105609145771</v>
      </c>
      <c r="DF11">
        <f>2*2*(CJ11*'Reagent cost'!$C$36*122.44/1000+CK11*'Oxidant Feed Composition'!$N$26+CQ11*'Reagent cost'!$C$34+CR11*'Reagent cost'!$C$35)</f>
        <v>159.58047571195635</v>
      </c>
      <c r="DG11">
        <f>2*2*(CS11*'Reagent cost'!$C$36*122.44/1000+CT11*'Oxidant Feed Composition'!$N$26+CX11*'Reagent cost'!$C$34+CY11*'Reagent cost'!$C$35)</f>
        <v>168.33656238676312</v>
      </c>
      <c r="DH11">
        <f>(AF11+3)*2*(CZ11*'Reagent cost'!$C$38+DA11*'Reagent cost'!$C$39+DB11*'Reagent cost'!$C$36*122.44/1000)</f>
        <v>5480.9462926548522</v>
      </c>
      <c r="DI11">
        <f>3*2*(DC11*'Reagent cost'!$C$38+DD11*'Reagent cost'!$C$39+DE11*'Reagent cost'!$C$36*122.44/1000)</f>
        <v>1206.1912860070129</v>
      </c>
      <c r="DJ11">
        <f>7963.6*(CB11/1000)^0.6*1.7*('CAPEX+OPEX'!$G$116/'CAPEX+OPEX'!$G$115)</f>
        <v>2965.5437179814326</v>
      </c>
      <c r="DK11">
        <f>7963.6*(CC11/1000)^0.6*1.7*('CAPEX+OPEX'!$G$116/'CAPEX+OPEX'!$G$115)</f>
        <v>6492.3078360569407</v>
      </c>
      <c r="DL11">
        <f>7963.6*(CD11/1000)^0.6*1.7*('CAPEX+OPEX'!$G$116/'CAPEX+OPEX'!$G$115)</f>
        <v>3062.1294762203861</v>
      </c>
      <c r="DM11">
        <f>7963.6*(CE11/1000)^0.6*1.7*('CAPEX+OPEX'!$G$116/'CAPEX+OPEX'!$G$115)</f>
        <v>6767.7188826112706</v>
      </c>
      <c r="DN11">
        <f>'TEA Revised Non EYZ'!CM11</f>
        <v>39625.826528698344</v>
      </c>
      <c r="DO11">
        <f>'TEA Revised Non EYZ'!CN11</f>
        <v>4586243.4239371875</v>
      </c>
      <c r="DP11">
        <f>'TEA Revised Non EYZ'!CO11</f>
        <v>11794834.586807497</v>
      </c>
      <c r="DQ11">
        <f>'TEA Revised Non EYZ'!CP11</f>
        <v>2275209.1661185985</v>
      </c>
      <c r="DR11">
        <f>'TEA Revised Non EYZ'!CQ11</f>
        <v>14083914.336508472</v>
      </c>
      <c r="DS11">
        <f>'TEA Revised Non EYZ'!CR11</f>
        <v>1662824.8986326549</v>
      </c>
      <c r="DT11">
        <f>'TEA Revised Non EYZ'!CS11</f>
        <v>461850.0978118488</v>
      </c>
      <c r="DU11">
        <f>'TEA Revised Non EYZ'!CT11</f>
        <v>1187779.4098672394</v>
      </c>
      <c r="DV11">
        <f>'TEA Revised Non EYZ'!CU11</f>
        <v>229121.19544936769</v>
      </c>
      <c r="DW11">
        <f>'TEA Revised Non EYZ'!CV11</f>
        <v>1418297.4196136401</v>
      </c>
      <c r="DX11">
        <f>'TEA Revised Non EYZ'!CW11</f>
        <v>167452.04540804314</v>
      </c>
      <c r="DY11">
        <f>'TEA Revised Non EYZ'!CX11</f>
        <v>3464500.168150139</v>
      </c>
      <c r="DZ11">
        <f>'TEA Revised Non EYZ'!CY11</f>
        <v>927214.80686572916</v>
      </c>
      <c r="EA11">
        <f>'TEA Revised Non EYZ'!CZ11</f>
        <v>2384597.6461561932</v>
      </c>
      <c r="EB11">
        <f>'TEA Revised Non EYZ'!DA11</f>
        <v>459985.96946054435</v>
      </c>
      <c r="EC11">
        <f>'TEA Revised Non EYZ'!DB11</f>
        <v>2847387.873761938</v>
      </c>
      <c r="ED11">
        <f>'TEA Revised Non EYZ'!DC11</f>
        <v>336178.3762261807</v>
      </c>
      <c r="EE11">
        <f>'TEA Revised Non EYZ'!DD11</f>
        <v>6955364.6724705845</v>
      </c>
      <c r="EF11">
        <v>0.7</v>
      </c>
      <c r="EG11">
        <v>100</v>
      </c>
      <c r="EH11">
        <f>96485*BL11*V11/EF11/EG11/60</f>
        <v>43.40098012666558</v>
      </c>
      <c r="EI11">
        <f>96485*BN11*BA11/EF11/EG11/60</f>
        <v>45.782366333626086</v>
      </c>
      <c r="EJ11">
        <f>EH11*('CAPEX+OPEX'!$O$25+'CAPEX+OPEX'!$O$26)</f>
        <v>1383276.0385970853</v>
      </c>
      <c r="EK11">
        <f>EI11*('CAPEX+OPEX'!$O$25+'CAPEX+OPEX'!$O$26)</f>
        <v>1459175.5797853307</v>
      </c>
      <c r="EL11">
        <f>EJ11*1.12/0.6*'CAPEX+OPEX'!$G$116/'CAPEX+OPEX'!$G$115</f>
        <v>3045497.132381544</v>
      </c>
      <c r="EM11">
        <f>EK11*1.12/0.6*'CAPEX+OPEX'!$G$116/'CAPEX+OPEX'!$G$115</f>
        <v>3212601.7655770336</v>
      </c>
      <c r="EN11">
        <f>EL11+EM11+DY11+EE11+1.15*(SUM(DF11:DM11)+SUM(CF11:CI11))</f>
        <v>16793622.207616638</v>
      </c>
      <c r="EO11">
        <f>EN11/15</f>
        <v>1119574.8138411092</v>
      </c>
      <c r="EP11">
        <f>('eLLE Bals'!CB11+'eLLE Bals'!CC11)*'Oxidant Feed Composition'!$N$25*60*7200</f>
        <v>15632543.543838106</v>
      </c>
      <c r="EQ11" s="83">
        <f>('eLLE Bals'!BR11+'eLLE Bals'!BY11)*'Reagent cost'!$C$38*60*7200</f>
        <v>522793.93814101809</v>
      </c>
      <c r="ER11">
        <f>'TEA Revised Non EYZ'!DI11</f>
        <v>504921.59999999998</v>
      </c>
      <c r="ES11">
        <f>'TEA Revised Non EYZ'!DJ11</f>
        <v>103.8573198614399</v>
      </c>
      <c r="ET11">
        <f>'TEA Revised Non EYZ'!DK11</f>
        <v>1277.6819051164618</v>
      </c>
      <c r="EU11">
        <f>1.2*SUM(EP11:ET11)</f>
        <v>19993968.745444924</v>
      </c>
      <c r="EV11">
        <f>'TEA Revised Non EYZ'!DM11</f>
        <v>0.70639694042110623</v>
      </c>
      <c r="EW11">
        <f>(BS11*CO11+BT11*CP11)/1000*('Oxidant Feed Composition'!$B$11*'Oxidant Feed Composition'!$O$20+'Oxidant Feed Composition'!$D$11*'Oxidant Feed Composition'!$O$21+'Oxidant Feed Composition'!$F$11*'Oxidant Feed Composition'!$O$27-'Oxidant Feed Composition'!$J$15*18.015)</f>
        <v>2.2668804263102191</v>
      </c>
      <c r="EX11">
        <f>(CZ11*BX11+DC11*BZ11)*368.34/1000</f>
        <v>0.10553148572040158</v>
      </c>
      <c r="EY11">
        <f>'TEA Revised Non EYZ'!DP11</f>
        <v>4.999938342565946E-2</v>
      </c>
      <c r="EZ11">
        <f>SUM(EV11:EX11)-EY11</f>
        <v>3.0288094690260676</v>
      </c>
      <c r="FA11">
        <f>EZ11*0.33*60*7200</f>
        <v>431787.07790435624</v>
      </c>
      <c r="FB11">
        <f>'TEA Revised Non EYZ'!DS11</f>
        <v>1.2</v>
      </c>
      <c r="FC11">
        <v>0.5</v>
      </c>
      <c r="FD11">
        <f>'TEA Revised Non EYZ'!DT11</f>
        <v>1410.0876751654584</v>
      </c>
      <c r="FE11">
        <f>'TEA Revised Non EYZ'!DU11</f>
        <v>712.11757706046228</v>
      </c>
      <c r="FF11">
        <f>'TEA Revised Non EYZ'!DV11</f>
        <v>0.7</v>
      </c>
      <c r="FG11">
        <f>'TEA Revised Non EYZ'!DW11</f>
        <v>27520.276190787874</v>
      </c>
      <c r="FH11">
        <f>'TEA Revised Non EYZ'!DX11</f>
        <v>16610.439588917834</v>
      </c>
      <c r="FI11">
        <f>'TEA Revised Non EYZ'!DY11</f>
        <v>7032.645793695051</v>
      </c>
      <c r="FJ11">
        <f>'TEA Revised Non EYZ'!DZ11</f>
        <v>3725.3886787897172</v>
      </c>
      <c r="FK11">
        <f>'TEA Revised Non EYZ'!EA11</f>
        <v>3750.7444233040283</v>
      </c>
      <c r="FL11">
        <f>'TEA Revised Non EYZ'!EB11</f>
        <v>852.82102594006926</v>
      </c>
      <c r="FM11">
        <f>'TEA Revised Non EYZ'!EC11</f>
        <v>51582.09712771175</v>
      </c>
      <c r="FN11">
        <f>'TEA Revised Non EYZ'!ED11</f>
        <v>54475.26822533855</v>
      </c>
      <c r="FO11">
        <f>'TEA Revised Non EYZ'!EE11</f>
        <v>23064.125659921559</v>
      </c>
      <c r="FP11">
        <f>'TEA Revised Non EYZ'!EF11</f>
        <v>12224.211528782187</v>
      </c>
      <c r="FQ11">
        <f>'TEA Revised Non EYZ'!EG11</f>
        <v>12300.867018624835</v>
      </c>
      <c r="FR11">
        <f>'TEA Revised Non EYZ'!EH11</f>
        <v>430.6887106061676</v>
      </c>
      <c r="FS11">
        <f>'TEA Revised Non EYZ'!EI11</f>
        <v>213569.57397241963</v>
      </c>
      <c r="FT11">
        <f>EG11*EH11</f>
        <v>4340.0980126665581</v>
      </c>
      <c r="FU11">
        <f>EG11*EI11</f>
        <v>4578.2366333626087</v>
      </c>
      <c r="FV11">
        <f>FC11*(FT11+FU11)/(3.6*10^6)*3600*7200*0.07</f>
        <v>2247.4203307993503</v>
      </c>
      <c r="FW11">
        <f>('CAPEX+OPEX'!$C$39/7/100+0.03)*EL11</f>
        <v>156625.56680819369</v>
      </c>
      <c r="FX11">
        <f>('CAPEX+OPEX'!$C$39/7/100+0.03)*EM11</f>
        <v>165219.51937253316</v>
      </c>
      <c r="FY11">
        <f>SUM(FV11:FX11)</f>
        <v>324092.50651152618</v>
      </c>
      <c r="FZ11">
        <f>FY11+FA11+FS11+EU11</f>
        <v>20963417.903833225</v>
      </c>
      <c r="GA11">
        <f>FZ11+EO11</f>
        <v>22082992.717674334</v>
      </c>
      <c r="GB11">
        <f>GA11/(BK11*60*7200)</f>
        <v>0.51118038698320212</v>
      </c>
      <c r="GC11">
        <f>'TEA Revised Non EYZ'!EM11/'TEA Revised Non EYZ'!EK11*GA11</f>
        <v>1709.1268814050684</v>
      </c>
      <c r="GD11">
        <f>'TEA Revised Non EYZ'!EN11/'TEA Revised Non EYZ'!EK11*GA11</f>
        <v>3110.806265141216</v>
      </c>
    </row>
    <row r="12" spans="1:186">
      <c r="A12">
        <f>'TEA Revised Non EYZ'!A12</f>
        <v>4</v>
      </c>
      <c r="B12">
        <f>'TEA Revised Non EYZ'!B12</f>
        <v>1.54143585092054E-3</v>
      </c>
      <c r="C12">
        <f>'TEA Revised Non EYZ'!C12</f>
        <v>1.54143585092054E-3</v>
      </c>
      <c r="D12">
        <f>'TEA Revised Non EYZ'!D12</f>
        <v>3.4254130020456501E-4</v>
      </c>
      <c r="E12">
        <f>'TEA Revised Non EYZ'!E12</f>
        <v>0</v>
      </c>
      <c r="F12">
        <f>'TEA Revised Non EYZ'!F12</f>
        <v>0</v>
      </c>
      <c r="G12">
        <f>'TEA Revised Non EYZ'!G12</f>
        <v>0</v>
      </c>
      <c r="H12">
        <f>'TEA Revised Non EYZ'!H12</f>
        <v>1.7208960911287699E-5</v>
      </c>
      <c r="I12">
        <f>'TEA Revised Non EYZ'!I12</f>
        <v>2.8768784818324402E-7</v>
      </c>
      <c r="J12">
        <f>'TEA Revised Non EYZ'!J12</f>
        <v>3.3243632642994598E-4</v>
      </c>
      <c r="K12">
        <f>'TEA Revised Non EYZ'!K12</f>
        <v>0.10920586178936199</v>
      </c>
      <c r="L12">
        <f>'TEA Revised Non EYZ'!L12</f>
        <v>0.110418215553449</v>
      </c>
      <c r="M12">
        <f>'TEA Revised Non EYZ'!M12</f>
        <v>7.2398825703009801E-4</v>
      </c>
      <c r="N12">
        <f>'TEA Revised Non EYZ'!N12</f>
        <v>-2.168404344971E-18</v>
      </c>
      <c r="O12">
        <f>'TEA Revised Non EYZ'!O12</f>
        <v>2.3635607360183901E-17</v>
      </c>
      <c r="P12">
        <f>'TEA Revised Non EYZ'!P12</f>
        <v>-7.4538899358378406E-20</v>
      </c>
      <c r="Q12">
        <f>'TEA Revised Non EYZ'!Q12</f>
        <v>0.13957372480144001</v>
      </c>
      <c r="R12">
        <f>'TEA Revised Non EYZ'!R12</f>
        <v>97.0499984181222</v>
      </c>
      <c r="S12">
        <f>'TEA Revised Non EYZ'!S12</f>
        <v>500</v>
      </c>
      <c r="T12">
        <f>'TEA Revised Non EYZ'!T12</f>
        <v>95</v>
      </c>
      <c r="U12">
        <f>'TEA Revised Non EYZ'!U12</f>
        <v>1</v>
      </c>
      <c r="V12">
        <f>'TEA Revised Non EYZ'!V12</f>
        <v>0.1</v>
      </c>
      <c r="W12">
        <f>'TEA Revised Non EYZ'!W12</f>
        <v>71.646723007687299</v>
      </c>
      <c r="X12" t="str">
        <f>'TEA Revised Non EYZ'!X12</f>
        <v>ddFc</v>
      </c>
      <c r="Y12">
        <f>'TEA Revised Non EYZ'!Y12</f>
        <v>1</v>
      </c>
      <c r="Z12">
        <f>'TEA Revised Non EYZ'!Z12</f>
        <v>0.28318429382522198</v>
      </c>
      <c r="AA12">
        <f>'TEA Revised Non EYZ'!AA12</f>
        <v>0.56945642916197003</v>
      </c>
      <c r="AB12">
        <f>'TEA Revised Non EYZ'!AB12</f>
        <v>3.7698628972227502E-3</v>
      </c>
      <c r="AC12">
        <f>'TEA Revised Non EYZ'!AC12</f>
        <v>1822.2107908876901</v>
      </c>
      <c r="AD12">
        <f>'TEA Revised Non EYZ'!AD12</f>
        <v>2662.6059073104898</v>
      </c>
      <c r="AE12">
        <f>'TEA Revised Non EYZ'!AE12</f>
        <v>2401.5030938442701</v>
      </c>
      <c r="AF12">
        <f>'TEA Revised Non EYZ'!AF12</f>
        <v>4</v>
      </c>
      <c r="AG12">
        <f>'TEA Revised Non EYZ'!AG12</f>
        <v>1.6481650483119699E-3</v>
      </c>
      <c r="AH12">
        <f>'TEA Revised Non EYZ'!AH12</f>
        <v>1.6664622263884801E-3</v>
      </c>
      <c r="AI12">
        <f>'TEA Revised Non EYZ'!AI12</f>
        <v>1.0926630870116399E-5</v>
      </c>
      <c r="AJ12">
        <f>'TEA Revised Non EYZ'!AJ12</f>
        <v>0</v>
      </c>
      <c r="AK12">
        <f>'TEA Revised Non EYZ'!AK12</f>
        <v>0</v>
      </c>
      <c r="AL12">
        <f>'TEA Revised Non EYZ'!AL12</f>
        <v>0</v>
      </c>
      <c r="AM12">
        <f>'TEA Revised Non EYZ'!AM12</f>
        <v>1.6024673892141501E-3</v>
      </c>
      <c r="AN12">
        <f>'TEA Revised Non EYZ'!AN12</f>
        <v>7.3502024125801294E-5</v>
      </c>
      <c r="AO12">
        <f>'TEA Revised Non EYZ'!AO12</f>
        <v>1.0838364815948499E-5</v>
      </c>
      <c r="AP12">
        <f>'TEA Revised Non EYZ'!AP12</f>
        <v>2.0055299493415999E-3</v>
      </c>
      <c r="AQ12">
        <f>'TEA Revised Non EYZ'!AQ12</f>
        <v>6.9910132309146902E-2</v>
      </c>
      <c r="AR12">
        <f>'TEA Revised Non EYZ'!AR12</f>
        <v>3.8737261084868501E-6</v>
      </c>
      <c r="AS12">
        <f>'TEA Revised Non EYZ'!AS12</f>
        <v>-3.2526065174565099E-19</v>
      </c>
      <c r="AT12">
        <f>'TEA Revised Non EYZ'!AT12</f>
        <v>2.6020852139652099E-18</v>
      </c>
      <c r="AU12">
        <f>'TEA Revised Non EYZ'!AU12</f>
        <v>7.9409338805090598E-23</v>
      </c>
      <c r="AV12">
        <f>'TEA Revised Non EYZ'!AV12</f>
        <v>0.21072386371722801</v>
      </c>
      <c r="AW12">
        <f>'TEA Revised Non EYZ'!AW12</f>
        <v>99.192193319083202</v>
      </c>
      <c r="AX12">
        <f>'TEA Revised Non EYZ'!AX12</f>
        <v>500</v>
      </c>
      <c r="AY12">
        <f>'TEA Revised Non EYZ'!AY12</f>
        <v>95</v>
      </c>
      <c r="AZ12">
        <f>'TEA Revised Non EYZ'!AZ12</f>
        <v>0.92480233795174105</v>
      </c>
      <c r="BA12">
        <f>'TEA Revised Non EYZ'!BA12</f>
        <v>0.1</v>
      </c>
      <c r="BB12">
        <f>'TEA Revised Non EYZ'!BB12</f>
        <v>43.8869296356837</v>
      </c>
      <c r="BC12" t="str">
        <f>'TEA Revised Non EYZ'!BC12</f>
        <v>coeFc</v>
      </c>
      <c r="BD12">
        <f>'TEA Revised Non EYZ'!BD12</f>
        <v>1</v>
      </c>
      <c r="BE12">
        <f>'TEA Revised Non EYZ'!BE12</f>
        <v>1.8775014999999999E-2</v>
      </c>
      <c r="BF12">
        <f>'TEA Revised Non EYZ'!BF12</f>
        <v>0.10492961100000001</v>
      </c>
      <c r="BG12">
        <f>'TEA Revised Non EYZ'!BG12</f>
        <v>1.814625E-3</v>
      </c>
      <c r="BH12">
        <f>'TEA Revised Non EYZ'!BH12</f>
        <v>285.1951444</v>
      </c>
      <c r="BI12">
        <f>'TEA Revised Non EYZ'!BI12</f>
        <v>2169.8944889999998</v>
      </c>
      <c r="BJ12">
        <f>'TEA Revised Non EYZ'!BJ12</f>
        <v>866.49409060000005</v>
      </c>
      <c r="BK12">
        <f>'TEA Revised Non EYZ'!BK12</f>
        <v>100</v>
      </c>
      <c r="BL12">
        <f>'TEA Revised Non EYZ'!BL12</f>
        <v>13.957372480144</v>
      </c>
      <c r="BM12">
        <f>'TEA Revised Non EYZ'!BM12</f>
        <v>92.480233795174101</v>
      </c>
      <c r="BN12">
        <f>'TEA Revised Non EYZ'!BN12</f>
        <v>21.0723863717228</v>
      </c>
      <c r="BO12">
        <f>'TEA Revised Non EYZ'!BO12</f>
        <v>167.488469761728</v>
      </c>
      <c r="BP12">
        <f>'TEA Revised Non EYZ'!BP12</f>
        <v>252.8686364606736</v>
      </c>
      <c r="BQ12">
        <f>'TEA Revised Non EYZ'!BQ12</f>
        <v>16.7488469761728</v>
      </c>
      <c r="BR12">
        <f>'TEA Revised Non EYZ'!BR12</f>
        <v>25.28686364606736</v>
      </c>
      <c r="BS12">
        <f>'eLLE Bals'!CF12</f>
        <v>8.3744234880863999</v>
      </c>
      <c r="BT12">
        <f>'eLLE Bals'!CG12</f>
        <v>12.64343182303368</v>
      </c>
      <c r="BU12">
        <f>BM12</f>
        <v>92.480233795174101</v>
      </c>
      <c r="BV12">
        <f>BU12*(AM12*2+AN12*2+AO12*3)</f>
        <v>0.31299508989488789</v>
      </c>
      <c r="BW12">
        <f>BN12*BA12*(AP12*2+AQ12*2+AR12*3)</f>
        <v>0.30311141285381543</v>
      </c>
      <c r="BX12">
        <f>BV12/(2*V12*BL12+BV12)</f>
        <v>0.10082079441656405</v>
      </c>
      <c r="BY12">
        <f>BU12*BX12</f>
        <v>9.3239306390590269</v>
      </c>
      <c r="BZ12">
        <f>BW12/(2*BN12*BA12+BW12)</f>
        <v>6.709584113152027E-2</v>
      </c>
      <c r="CA12">
        <f>2*BN12*BA12/0.04</f>
        <v>105.361931858614</v>
      </c>
      <c r="CB12">
        <f>(BS12+BL12)*2</f>
        <v>44.663591936460804</v>
      </c>
      <c r="CC12">
        <f>(BU12+BL12)*2</f>
        <v>212.87521255063621</v>
      </c>
      <c r="CD12">
        <f>(BT12+BN12)*2</f>
        <v>67.43163638951296</v>
      </c>
      <c r="CE12">
        <f>(CA12+BN12)*2</f>
        <v>252.8686364606736</v>
      </c>
      <c r="CF12">
        <f>'TEA Revised Non EYZ'!CB12</f>
        <v>2210.8478008548095</v>
      </c>
      <c r="CG12">
        <f>'TEA Revised Non EYZ'!CC12</f>
        <v>3337.8660012808914</v>
      </c>
      <c r="CH12">
        <f>'TEA Revised Non EYZ'!CD12</f>
        <v>2671.1136977461792</v>
      </c>
      <c r="CI12">
        <f>'TEA Revised Non EYZ'!CE12</f>
        <v>25745.25713173945</v>
      </c>
      <c r="CJ12">
        <f>BL12*V12</f>
        <v>1.3957372480144001</v>
      </c>
      <c r="CK12">
        <f>CJ12/2*1.2</f>
        <v>0.8374423488086401</v>
      </c>
      <c r="CL12">
        <f>'eLLE Bals'!CB12*'Oxidant Feed Composition'!$N$20</f>
        <v>4.6524574933813359E-2</v>
      </c>
      <c r="CM12">
        <f>'eLLE Bals'!CB12*'Oxidant Feed Composition'!$N$21</f>
        <v>2.326228746690667</v>
      </c>
      <c r="CN12">
        <f>'eLLE Bals'!CB12*'Oxidant Feed Composition'!$N$22</f>
        <v>0.69786862400720007</v>
      </c>
      <c r="CO12">
        <f>CN12/CK12</f>
        <v>0.83333333333333326</v>
      </c>
      <c r="CP12">
        <f>CO12</f>
        <v>0.83333333333333326</v>
      </c>
      <c r="CQ12">
        <f>CL12/CO12</f>
        <v>5.5829489920576035E-2</v>
      </c>
      <c r="CR12">
        <f>CM12/CO12</f>
        <v>2.7914744960288007</v>
      </c>
      <c r="CS12">
        <f>BN12*BA12</f>
        <v>2.10723863717228</v>
      </c>
      <c r="CT12">
        <f>CS12/2*1.2</f>
        <v>1.264343182303368</v>
      </c>
      <c r="CU12">
        <f>'eLLE Bals'!CC12*'Oxidant Feed Composition'!$N$20</f>
        <v>7.0241287905742703E-2</v>
      </c>
      <c r="CV12">
        <f>'eLLE Bals'!CC12*'Oxidant Feed Composition'!$N$21</f>
        <v>3.5120643952871338</v>
      </c>
      <c r="CW12">
        <f>'eLLE Bals'!CC12*'Oxidant Feed Composition'!$N$22</f>
        <v>1.05361931858614</v>
      </c>
      <c r="CX12">
        <f>CU12/CP12</f>
        <v>8.4289545486891257E-2</v>
      </c>
      <c r="CY12">
        <f>CV12/CP12</f>
        <v>4.2144772743445609</v>
      </c>
      <c r="CZ12">
        <f>CJ12</f>
        <v>1.3957372480144001</v>
      </c>
      <c r="DA12">
        <f>'eLLE Bals'!BQ12</f>
        <v>2.7914744960288003</v>
      </c>
      <c r="DB12">
        <f>'eLLE Bals'!BU12</f>
        <v>9.6565320599145217</v>
      </c>
      <c r="DC12">
        <f>CS12</f>
        <v>2.10723863717228</v>
      </c>
      <c r="DD12">
        <f>'eLLE Bals'!BX12</f>
        <v>4.21447727434456</v>
      </c>
      <c r="DE12">
        <f>'eLLE Bals'!CA12</f>
        <v>25.08468129038577</v>
      </c>
      <c r="DF12">
        <f>2*2*(CJ12*'Reagent cost'!$C$36*122.44/1000+CK12*'Oxidant Feed Composition'!$N$26+CQ12*'Reagent cost'!$C$34+CR12*'Reagent cost'!$C$35)</f>
        <v>117.89473144631702</v>
      </c>
      <c r="DG12">
        <f>2*2*(CS12*'Reagent cost'!$C$36*122.44/1000+CT12*'Oxidant Feed Composition'!$N$26+CX12*'Reagent cost'!$C$34+CY12*'Reagent cost'!$C$35)</f>
        <v>177.99362564562429</v>
      </c>
      <c r="DH12">
        <f>(AF12+3)*2*(CZ12*'Reagent cost'!$C$38+DA12*'Reagent cost'!$C$39+DB12*'Reagent cost'!$C$36*122.44/1000)</f>
        <v>1256.0657405387999</v>
      </c>
      <c r="DI12">
        <f>3*2*(DC12*'Reagent cost'!$C$38+DD12*'Reagent cost'!$C$39+DE12*'Reagent cost'!$C$36*122.44/1000)</f>
        <v>1357.7603290852594</v>
      </c>
      <c r="DJ12">
        <f>7963.6*(CB12/1000)^0.6*1.7*('CAPEX+OPEX'!$G$116/'CAPEX+OPEX'!$G$115)</f>
        <v>2472.9373618126128</v>
      </c>
      <c r="DK12">
        <f>7963.6*(CC12/1000)^0.6*1.7*('CAPEX+OPEX'!$G$116/'CAPEX+OPEX'!$G$115)</f>
        <v>6311.2587327211604</v>
      </c>
      <c r="DL12">
        <f>7963.6*(CD12/1000)^0.6*1.7*('CAPEX+OPEX'!$G$116/'CAPEX+OPEX'!$G$115)</f>
        <v>3166.3516645760283</v>
      </c>
      <c r="DM12">
        <f>7963.6*(CE12/1000)^0.6*1.7*('CAPEX+OPEX'!$G$116/'CAPEX+OPEX'!$G$115)</f>
        <v>6998.0639668407448</v>
      </c>
      <c r="DN12">
        <f>'TEA Revised Non EYZ'!CM12</f>
        <v>39625.826528698344</v>
      </c>
      <c r="DO12">
        <f>'TEA Revised Non EYZ'!CN12</f>
        <v>4586243.4239371875</v>
      </c>
      <c r="DP12">
        <f>'TEA Revised Non EYZ'!CO12</f>
        <v>11794834.586807497</v>
      </c>
      <c r="DQ12">
        <f>'TEA Revised Non EYZ'!CP12</f>
        <v>2275209.1661185985</v>
      </c>
      <c r="DR12">
        <f>'TEA Revised Non EYZ'!CQ12</f>
        <v>14083914.336508472</v>
      </c>
      <c r="DS12">
        <f>'TEA Revised Non EYZ'!CR12</f>
        <v>1662824.8986326549</v>
      </c>
      <c r="DT12">
        <f>'TEA Revised Non EYZ'!CS12</f>
        <v>528015.95740622084</v>
      </c>
      <c r="DU12">
        <f>'TEA Revised Non EYZ'!CT12</f>
        <v>1357943.8117688675</v>
      </c>
      <c r="DV12">
        <f>'TEA Revised Non EYZ'!CU12</f>
        <v>261945.7004565605</v>
      </c>
      <c r="DW12">
        <f>'TEA Revised Non EYZ'!CV12</f>
        <v>1621486.4378120217</v>
      </c>
      <c r="DX12">
        <f>'TEA Revised Non EYZ'!CW12</f>
        <v>191441.6658016555</v>
      </c>
      <c r="DY12">
        <f>'TEA Revised Non EYZ'!CX12</f>
        <v>3960833.5732453261</v>
      </c>
      <c r="DZ12">
        <f>'TEA Revised Non EYZ'!CY12</f>
        <v>499116.89330887963</v>
      </c>
      <c r="EA12">
        <f>'TEA Revised Non EYZ'!CZ12</f>
        <v>1283621.6161866134</v>
      </c>
      <c r="EB12">
        <f>'TEA Revised Non EYZ'!DA12</f>
        <v>247609.03982853101</v>
      </c>
      <c r="EC12">
        <f>'TEA Revised Non EYZ'!DB12</f>
        <v>1532740.1795938283</v>
      </c>
      <c r="ED12">
        <f>'TEA Revised Non EYZ'!DC12</f>
        <v>180963.79123498313</v>
      </c>
      <c r="EE12">
        <f>'TEA Revised Non EYZ'!DD12</f>
        <v>3744051.5201528352</v>
      </c>
      <c r="EF12">
        <v>0.7</v>
      </c>
      <c r="EG12">
        <v>100</v>
      </c>
      <c r="EH12">
        <f>96485*BL12*V12/EF12/EG12/60</f>
        <v>32.063740089207002</v>
      </c>
      <c r="EI12">
        <f>96485*BN12*BA12/EF12/EG12/60</f>
        <v>48.408790454182729</v>
      </c>
      <c r="EJ12">
        <f>EH12*('CAPEX+OPEX'!$O$25+'CAPEX+OPEX'!$O$26)</f>
        <v>1021935.5241232056</v>
      </c>
      <c r="EK12">
        <f>EI12*('CAPEX+OPEX'!$O$25+'CAPEX+OPEX'!$O$26)</f>
        <v>1542884.9693557119</v>
      </c>
      <c r="EL12">
        <f>EJ12*1.12/0.6*'CAPEX+OPEX'!$G$116/'CAPEX+OPEX'!$G$115</f>
        <v>2249949.8446835969</v>
      </c>
      <c r="EM12">
        <f>EK12*1.12/0.6*'CAPEX+OPEX'!$G$116/'CAPEX+OPEX'!$G$115</f>
        <v>3396900.9934799206</v>
      </c>
      <c r="EN12">
        <f>EL12+EM12+DY12+EE12+1.15*(SUM(DF12:DM12)+SUM(CF12:CI12))</f>
        <v>13415932.85396361</v>
      </c>
      <c r="EO12">
        <f>EN12/15</f>
        <v>894395.52359757398</v>
      </c>
      <c r="EP12">
        <f>('eLLE Bals'!CB12+'eLLE Bals'!CC12)*'Oxidant Feed Composition'!$N$25*60*7200</f>
        <v>14105664.20449915</v>
      </c>
      <c r="EQ12" s="83">
        <f>('eLLE Bals'!BR12+'eLLE Bals'!BY12)*'Reagent cost'!$C$38*60*7200</f>
        <v>514766.33806553826</v>
      </c>
      <c r="ER12">
        <f>'TEA Revised Non EYZ'!DI12</f>
        <v>504921.59999999998</v>
      </c>
      <c r="ES12">
        <f>'TEA Revised Non EYZ'!DJ12</f>
        <v>55.487138021357005</v>
      </c>
      <c r="ET12">
        <f>'TEA Revised Non EYZ'!DK12</f>
        <v>568.32741658971258</v>
      </c>
      <c r="EU12">
        <f>1.2*SUM(EP12:ET12)</f>
        <v>18151171.148543157</v>
      </c>
      <c r="EV12">
        <f>'TEA Revised Non EYZ'!DM12</f>
        <v>0.70639694042110623</v>
      </c>
      <c r="EW12">
        <f>(BS12*CO12+BT12*CP12)/1000*('Oxidant Feed Composition'!$B$11*'Oxidant Feed Composition'!$O$20+'Oxidant Feed Composition'!$D$11*'Oxidant Feed Composition'!$O$21+'Oxidant Feed Composition'!$F$11*'Oxidant Feed Composition'!$O$27-'Oxidant Feed Composition'!$J$15*18.015)</f>
        <v>2.0454671369130955</v>
      </c>
      <c r="EX12">
        <f>(CZ12*BX12+DC12*BZ12)*368.34/1000</f>
        <v>0.10391102974161383</v>
      </c>
      <c r="EY12">
        <f>'TEA Revised Non EYZ'!DP12</f>
        <v>4.999938342565946E-2</v>
      </c>
      <c r="EZ12">
        <f>SUM(EV12:EX12)-EY12</f>
        <v>2.8057757236501559</v>
      </c>
      <c r="FA12">
        <f>EZ12*0.33*60*7200</f>
        <v>399991.38716356625</v>
      </c>
      <c r="FB12">
        <f>'TEA Revised Non EYZ'!DS12</f>
        <v>1.2</v>
      </c>
      <c r="FC12">
        <v>0.5</v>
      </c>
      <c r="FD12">
        <f>'TEA Revised Non EYZ'!DT12</f>
        <v>1399.9243143059966</v>
      </c>
      <c r="FE12">
        <f>'TEA Revised Non EYZ'!DU12</f>
        <v>715.74335746108125</v>
      </c>
      <c r="FF12">
        <f>'TEA Revised Non EYZ'!DV12</f>
        <v>0.7</v>
      </c>
      <c r="FG12">
        <f>'TEA Revised Non EYZ'!DW12</f>
        <v>30272.303809866662</v>
      </c>
      <c r="FH12">
        <f>'TEA Revised Non EYZ'!DX12</f>
        <v>20763.049486147294</v>
      </c>
      <c r="FI12">
        <f>'TEA Revised Non EYZ'!DY12</f>
        <v>8790.8072421188135</v>
      </c>
      <c r="FJ12">
        <f>'TEA Revised Non EYZ'!DZ12</f>
        <v>4656.7358484871465</v>
      </c>
      <c r="FK12">
        <f>'TEA Revised Non EYZ'!EA12</f>
        <v>4688.4305291300352</v>
      </c>
      <c r="FL12">
        <f>'TEA Revised Non EYZ'!EB12</f>
        <v>846.6742252922669</v>
      </c>
      <c r="FM12">
        <f>'TEA Revised Non EYZ'!EC12</f>
        <v>28317.261416507248</v>
      </c>
      <c r="FN12">
        <f>'TEA Revised Non EYZ'!ED12</f>
        <v>19419.096223372169</v>
      </c>
      <c r="FO12">
        <f>'TEA Revised Non EYZ'!EE12</f>
        <v>8221.7947719922486</v>
      </c>
      <c r="FP12">
        <f>'TEA Revised Non EYZ'!EF12</f>
        <v>4357.6980650255673</v>
      </c>
      <c r="FQ12">
        <f>'TEA Revised Non EYZ'!EG12</f>
        <v>4384.9572117292009</v>
      </c>
      <c r="FR12">
        <f>'TEA Revised Non EYZ'!EH12</f>
        <v>432.88158259246194</v>
      </c>
      <c r="FS12">
        <f>'TEA Revised Non EYZ'!EI12</f>
        <v>135151.69041226112</v>
      </c>
      <c r="FT12">
        <f>EG12*EH12</f>
        <v>3206.3740089207004</v>
      </c>
      <c r="FU12">
        <f>EG12*EI12</f>
        <v>4840.8790454182727</v>
      </c>
      <c r="FV12">
        <f>FC12*(FT12+FU12)/(3.6*10^6)*3600*7200*0.07</f>
        <v>2027.9077696934212</v>
      </c>
      <c r="FW12">
        <f>('CAPEX+OPEX'!$C$39/7/100+0.03)*EL12</f>
        <v>115711.70629801355</v>
      </c>
      <c r="FX12">
        <f>('CAPEX+OPEX'!$C$39/7/100+0.03)*EM12</f>
        <v>174697.76537896733</v>
      </c>
      <c r="FY12">
        <f>SUM(FV12:FX12)</f>
        <v>292437.37944667431</v>
      </c>
      <c r="FZ12">
        <f>FY12+FA12+FS12+EU12</f>
        <v>18978751.60556566</v>
      </c>
      <c r="GA12">
        <f>FZ12+EO12</f>
        <v>19873147.129163235</v>
      </c>
      <c r="GB12">
        <f>GA12/(BK12*60*7200)</f>
        <v>0.46002655391581565</v>
      </c>
      <c r="GC12">
        <f>'TEA Revised Non EYZ'!EM12/'TEA Revised Non EYZ'!EK12*GA12</f>
        <v>1546.9672456732185</v>
      </c>
      <c r="GD12">
        <f>'TEA Revised Non EYZ'!EN12/'TEA Revised Non EYZ'!EK12*GA12</f>
        <v>2787.5665277017511</v>
      </c>
    </row>
    <row r="13" spans="1:186">
      <c r="A13">
        <f>'TEA Revised Non EYZ'!A13</f>
        <v>4</v>
      </c>
      <c r="B13">
        <f>'TEA Revised Non EYZ'!B13</f>
        <v>1.54143585092054E-3</v>
      </c>
      <c r="C13">
        <f>'TEA Revised Non EYZ'!C13</f>
        <v>1.54143585092054E-3</v>
      </c>
      <c r="D13">
        <f>'TEA Revised Non EYZ'!D13</f>
        <v>3.4254130020456501E-4</v>
      </c>
      <c r="E13">
        <f>'TEA Revised Non EYZ'!E13</f>
        <v>0</v>
      </c>
      <c r="F13">
        <f>'TEA Revised Non EYZ'!F13</f>
        <v>0</v>
      </c>
      <c r="G13">
        <f>'TEA Revised Non EYZ'!G13</f>
        <v>0</v>
      </c>
      <c r="H13">
        <f>'TEA Revised Non EYZ'!H13</f>
        <v>1.7208960911287699E-5</v>
      </c>
      <c r="I13">
        <f>'TEA Revised Non EYZ'!I13</f>
        <v>2.8768784818324402E-7</v>
      </c>
      <c r="J13">
        <f>'TEA Revised Non EYZ'!J13</f>
        <v>3.3243632642994598E-4</v>
      </c>
      <c r="K13">
        <f>'TEA Revised Non EYZ'!K13</f>
        <v>0.10920586178936199</v>
      </c>
      <c r="L13">
        <f>'TEA Revised Non EYZ'!L13</f>
        <v>0.110418215553449</v>
      </c>
      <c r="M13">
        <f>'TEA Revised Non EYZ'!M13</f>
        <v>7.2398825703009801E-4</v>
      </c>
      <c r="N13">
        <f>'TEA Revised Non EYZ'!N13</f>
        <v>-2.168404344971E-18</v>
      </c>
      <c r="O13">
        <f>'TEA Revised Non EYZ'!O13</f>
        <v>2.3635607360183901E-17</v>
      </c>
      <c r="P13">
        <f>'TEA Revised Non EYZ'!P13</f>
        <v>-7.4538899358378406E-20</v>
      </c>
      <c r="Q13">
        <f>'TEA Revised Non EYZ'!Q13</f>
        <v>0.13957372480144001</v>
      </c>
      <c r="R13">
        <f>'TEA Revised Non EYZ'!R13</f>
        <v>97.0499984181222</v>
      </c>
      <c r="S13">
        <f>'TEA Revised Non EYZ'!S13</f>
        <v>500</v>
      </c>
      <c r="T13">
        <f>'TEA Revised Non EYZ'!T13</f>
        <v>95</v>
      </c>
      <c r="U13">
        <f>'TEA Revised Non EYZ'!U13</f>
        <v>1</v>
      </c>
      <c r="V13">
        <f>'TEA Revised Non EYZ'!V13</f>
        <v>0.1</v>
      </c>
      <c r="W13">
        <f>'TEA Revised Non EYZ'!W13</f>
        <v>71.646723007687299</v>
      </c>
      <c r="X13" t="str">
        <f>'TEA Revised Non EYZ'!X13</f>
        <v>ddFc</v>
      </c>
      <c r="Y13">
        <f>'TEA Revised Non EYZ'!Y13</f>
        <v>1</v>
      </c>
      <c r="Z13">
        <f>'TEA Revised Non EYZ'!Z13</f>
        <v>0.28318429382522198</v>
      </c>
      <c r="AA13">
        <f>'TEA Revised Non EYZ'!AA13</f>
        <v>0.56945642916197003</v>
      </c>
      <c r="AB13">
        <f>'TEA Revised Non EYZ'!AB13</f>
        <v>3.7698628972227502E-3</v>
      </c>
      <c r="AC13">
        <f>'TEA Revised Non EYZ'!AC13</f>
        <v>1822.2107908876901</v>
      </c>
      <c r="AD13">
        <f>'TEA Revised Non EYZ'!AD13</f>
        <v>2662.6059073104898</v>
      </c>
      <c r="AE13">
        <f>'TEA Revised Non EYZ'!AE13</f>
        <v>2401.5030938442701</v>
      </c>
      <c r="AF13">
        <f>'TEA Revised Non EYZ'!AF13</f>
        <v>5</v>
      </c>
      <c r="AG13">
        <f>'TEA Revised Non EYZ'!AG13</f>
        <v>1.6481650483119699E-3</v>
      </c>
      <c r="AH13">
        <f>'TEA Revised Non EYZ'!AH13</f>
        <v>1.6664622263884801E-3</v>
      </c>
      <c r="AI13">
        <f>'TEA Revised Non EYZ'!AI13</f>
        <v>1.0926630870116399E-5</v>
      </c>
      <c r="AJ13">
        <f>'TEA Revised Non EYZ'!AJ13</f>
        <v>0</v>
      </c>
      <c r="AK13">
        <f>'TEA Revised Non EYZ'!AK13</f>
        <v>0</v>
      </c>
      <c r="AL13">
        <f>'TEA Revised Non EYZ'!AL13</f>
        <v>0</v>
      </c>
      <c r="AM13">
        <f>'TEA Revised Non EYZ'!AM13</f>
        <v>1.6085253260061899E-3</v>
      </c>
      <c r="AN13">
        <f>'TEA Revised Non EYZ'!AN13</f>
        <v>7.3809557032336595E-5</v>
      </c>
      <c r="AO13">
        <f>'TEA Revised Non EYZ'!AO13</f>
        <v>1.08496706522018E-5</v>
      </c>
      <c r="AP13">
        <f>'TEA Revised Non EYZ'!AP13</f>
        <v>1.817766908322E-3</v>
      </c>
      <c r="AQ13">
        <f>'TEA Revised Non EYZ'!AQ13</f>
        <v>7.3034601414750294E-2</v>
      </c>
      <c r="AR13">
        <f>'TEA Revised Non EYZ'!AR13</f>
        <v>3.5291805604209299E-6</v>
      </c>
      <c r="AS13">
        <f>'TEA Revised Non EYZ'!AS13</f>
        <v>-2.4283418158244002E-16</v>
      </c>
      <c r="AT13">
        <f>'TEA Revised Non EYZ'!AT13</f>
        <v>-3.67848113080881E-15</v>
      </c>
      <c r="AU13">
        <f>'TEA Revised Non EYZ'!AU13</f>
        <v>-2.6574335231123502E-19</v>
      </c>
      <c r="AV13">
        <f>'TEA Revised Non EYZ'!AV13</f>
        <v>0.201670014436726</v>
      </c>
      <c r="AW13">
        <f>'TEA Revised Non EYZ'!AW13</f>
        <v>99.295663788504896</v>
      </c>
      <c r="AX13">
        <f>'TEA Revised Non EYZ'!AX13</f>
        <v>500</v>
      </c>
      <c r="AY13">
        <f>'TEA Revised Non EYZ'!AY13</f>
        <v>95</v>
      </c>
      <c r="AZ13">
        <f>'TEA Revised Non EYZ'!AZ13</f>
        <v>0.92480233795174105</v>
      </c>
      <c r="BA13">
        <f>'TEA Revised Non EYZ'!BA13</f>
        <v>0.1</v>
      </c>
      <c r="BB13">
        <f>'TEA Revised Non EYZ'!BB13</f>
        <v>45.857205918031703</v>
      </c>
      <c r="BC13" t="str">
        <f>'TEA Revised Non EYZ'!BC13</f>
        <v>coeFc</v>
      </c>
      <c r="BD13">
        <f>'TEA Revised Non EYZ'!BD13</f>
        <v>1</v>
      </c>
      <c r="BE13">
        <f>'TEA Revised Non EYZ'!BE13</f>
        <v>1.8775014999999999E-2</v>
      </c>
      <c r="BF13">
        <f>'TEA Revised Non EYZ'!BF13</f>
        <v>0.10492961100000001</v>
      </c>
      <c r="BG13">
        <f>'TEA Revised Non EYZ'!BG13</f>
        <v>1.814625E-3</v>
      </c>
      <c r="BH13">
        <f>'TEA Revised Non EYZ'!BH13</f>
        <v>285.1951444</v>
      </c>
      <c r="BI13">
        <f>'TEA Revised Non EYZ'!BI13</f>
        <v>2169.8944889999998</v>
      </c>
      <c r="BJ13">
        <f>'TEA Revised Non EYZ'!BJ13</f>
        <v>866.49409060000005</v>
      </c>
      <c r="BK13">
        <f>'TEA Revised Non EYZ'!BK13</f>
        <v>100</v>
      </c>
      <c r="BL13">
        <f>'TEA Revised Non EYZ'!BL13</f>
        <v>13.957372480144</v>
      </c>
      <c r="BM13">
        <f>'TEA Revised Non EYZ'!BM13</f>
        <v>92.480233795174101</v>
      </c>
      <c r="BN13">
        <f>'TEA Revised Non EYZ'!BN13</f>
        <v>20.1670014436726</v>
      </c>
      <c r="BO13">
        <f>'TEA Revised Non EYZ'!BO13</f>
        <v>167.488469761728</v>
      </c>
      <c r="BP13">
        <f>'TEA Revised Non EYZ'!BP13</f>
        <v>282.33802021141639</v>
      </c>
      <c r="BQ13">
        <f>'TEA Revised Non EYZ'!BQ13</f>
        <v>16.7488469761728</v>
      </c>
      <c r="BR13">
        <f>'TEA Revised Non EYZ'!BR13</f>
        <v>28.233802021141642</v>
      </c>
      <c r="BS13">
        <f>'eLLE Bals'!CF13</f>
        <v>8.3744234880863999</v>
      </c>
      <c r="BT13">
        <f>'eLLE Bals'!CG13</f>
        <v>12.10020086620356</v>
      </c>
      <c r="BU13">
        <f>BM13</f>
        <v>92.480233795174101</v>
      </c>
      <c r="BV13">
        <f>BU13*(AM13*2+AN13*2+AO13*3)</f>
        <v>0.31417558684590846</v>
      </c>
      <c r="BW13">
        <f>BN13*BA13*(AP13*2+AQ13*2+AR13*3)</f>
        <v>0.30193091590357951</v>
      </c>
      <c r="BX13">
        <f>BV13/(2*V13*BL13+BV13)</f>
        <v>0.10116258382692474</v>
      </c>
      <c r="BY13">
        <f>BU13*BX13</f>
        <v>9.3555394036378985</v>
      </c>
      <c r="BZ13">
        <f>BW13/(2*BN13*BA13+BW13)</f>
        <v>6.9644255917647654E-2</v>
      </c>
      <c r="CA13">
        <f>2*BN13*BA13/0.04</f>
        <v>100.835007218363</v>
      </c>
      <c r="CB13">
        <f>(BS13+BL13)*2</f>
        <v>44.663591936460804</v>
      </c>
      <c r="CC13">
        <f>(BU13+BL13)*2</f>
        <v>212.87521255063621</v>
      </c>
      <c r="CD13">
        <f>(BT13+BN13)*2</f>
        <v>64.534404619752323</v>
      </c>
      <c r="CE13">
        <f>(CA13+BN13)*2</f>
        <v>242.00401732407121</v>
      </c>
      <c r="CF13">
        <f>'TEA Revised Non EYZ'!CB13</f>
        <v>2210.8478008548095</v>
      </c>
      <c r="CG13">
        <f>'TEA Revised Non EYZ'!CC13</f>
        <v>3726.8618667906962</v>
      </c>
      <c r="CH13">
        <f>'TEA Revised Non EYZ'!CD13</f>
        <v>2671.1136977461792</v>
      </c>
      <c r="CI13">
        <f>'TEA Revised Non EYZ'!CE13</f>
        <v>28745.61681570829</v>
      </c>
      <c r="CJ13">
        <f>BL13*V13</f>
        <v>1.3957372480144001</v>
      </c>
      <c r="CK13">
        <f>CJ13/2*1.2</f>
        <v>0.8374423488086401</v>
      </c>
      <c r="CL13">
        <f>'eLLE Bals'!CB13*'Oxidant Feed Composition'!$N$20</f>
        <v>4.6524574933813359E-2</v>
      </c>
      <c r="CM13">
        <f>'eLLE Bals'!CB13*'Oxidant Feed Composition'!$N$21</f>
        <v>2.326228746690667</v>
      </c>
      <c r="CN13">
        <f>'eLLE Bals'!CB13*'Oxidant Feed Composition'!$N$22</f>
        <v>0.69786862400720007</v>
      </c>
      <c r="CO13">
        <f>CN13/CK13</f>
        <v>0.83333333333333326</v>
      </c>
      <c r="CP13">
        <f>CO13</f>
        <v>0.83333333333333326</v>
      </c>
      <c r="CQ13">
        <f>CL13/CO13</f>
        <v>5.5829489920576035E-2</v>
      </c>
      <c r="CR13">
        <f>CM13/CO13</f>
        <v>2.7914744960288007</v>
      </c>
      <c r="CS13">
        <f>BN13*BA13</f>
        <v>2.0167001443672601</v>
      </c>
      <c r="CT13">
        <f>CS13/2*1.2</f>
        <v>1.2100200866203561</v>
      </c>
      <c r="CU13">
        <f>'eLLE Bals'!CC13*'Oxidant Feed Composition'!$N$20</f>
        <v>6.7223338145575365E-2</v>
      </c>
      <c r="CV13">
        <f>'eLLE Bals'!CC13*'Oxidant Feed Composition'!$N$21</f>
        <v>3.3611669072787671</v>
      </c>
      <c r="CW13">
        <f>'eLLE Bals'!CC13*'Oxidant Feed Composition'!$N$22</f>
        <v>1.00835007218363</v>
      </c>
      <c r="CX13">
        <f>CU13/CP13</f>
        <v>8.0668005774690452E-2</v>
      </c>
      <c r="CY13">
        <f>CV13/CP13</f>
        <v>4.0334002887345211</v>
      </c>
      <c r="CZ13">
        <f>CJ13</f>
        <v>1.3957372480144001</v>
      </c>
      <c r="DA13">
        <f>'eLLE Bals'!BQ13</f>
        <v>2.7914744960288003</v>
      </c>
      <c r="DB13">
        <f>'eLLE Bals'!BU13</f>
        <v>9.6097593812003357</v>
      </c>
      <c r="DC13">
        <f>CS13</f>
        <v>2.0167001443672601</v>
      </c>
      <c r="DD13">
        <f>'eLLE Bals'!BX13</f>
        <v>4.0334002887345202</v>
      </c>
      <c r="DE13">
        <f>'eLLE Bals'!CA13</f>
        <v>22.907063625797061</v>
      </c>
      <c r="DF13">
        <f>2*2*(CJ13*'Reagent cost'!$C$36*122.44/1000+CK13*'Oxidant Feed Composition'!$N$26+CQ13*'Reagent cost'!$C$34+CR13*'Reagent cost'!$C$35)</f>
        <v>117.89473144631702</v>
      </c>
      <c r="DG13">
        <f>2*2*(CS13*'Reagent cost'!$C$36*122.44/1000+CT13*'Oxidant Feed Composition'!$N$26+CX13*'Reagent cost'!$C$34+CY13*'Reagent cost'!$C$35)</f>
        <v>170.34604633942809</v>
      </c>
      <c r="DH13">
        <f>(AF13+3)*2*(CZ13*'Reagent cost'!$C$38+DA13*'Reagent cost'!$C$39+DB13*'Reagent cost'!$C$36*122.44/1000)</f>
        <v>1429.0328247572625</v>
      </c>
      <c r="DI13">
        <f>3*2*(DC13*'Reagent cost'!$C$38+DD13*'Reagent cost'!$C$39+DE13*'Reagent cost'!$C$36*122.44/1000)</f>
        <v>1242.3633829748042</v>
      </c>
      <c r="DJ13">
        <f>7963.6*(CB13/1000)^0.6*1.7*('CAPEX+OPEX'!$G$116/'CAPEX+OPEX'!$G$115)</f>
        <v>2472.9373618126128</v>
      </c>
      <c r="DK13">
        <f>7963.6*(CC13/1000)^0.6*1.7*('CAPEX+OPEX'!$G$116/'CAPEX+OPEX'!$G$115)</f>
        <v>6311.2587327211604</v>
      </c>
      <c r="DL13">
        <f>7963.6*(CD13/1000)^0.6*1.7*('CAPEX+OPEX'!$G$116/'CAPEX+OPEX'!$G$115)</f>
        <v>3084.0095376508261</v>
      </c>
      <c r="DM13">
        <f>7963.6*(CE13/1000)^0.6*1.7*('CAPEX+OPEX'!$G$116/'CAPEX+OPEX'!$G$115)</f>
        <v>6816.076767555528</v>
      </c>
      <c r="DN13">
        <f>'TEA Revised Non EYZ'!CM13</f>
        <v>39625.826528698344</v>
      </c>
      <c r="DO13">
        <f>'TEA Revised Non EYZ'!CN13</f>
        <v>4586243.4239371875</v>
      </c>
      <c r="DP13">
        <f>'TEA Revised Non EYZ'!CO13</f>
        <v>11794834.586807497</v>
      </c>
      <c r="DQ13">
        <f>'TEA Revised Non EYZ'!CP13</f>
        <v>2275209.1661185985</v>
      </c>
      <c r="DR13">
        <f>'TEA Revised Non EYZ'!CQ13</f>
        <v>14083914.336508472</v>
      </c>
      <c r="DS13">
        <f>'TEA Revised Non EYZ'!CR13</f>
        <v>1662824.8986326549</v>
      </c>
      <c r="DT13">
        <f>'TEA Revised Non EYZ'!CS13</f>
        <v>528015.95740622084</v>
      </c>
      <c r="DU13">
        <f>'TEA Revised Non EYZ'!CT13</f>
        <v>1357943.8117688675</v>
      </c>
      <c r="DV13">
        <f>'TEA Revised Non EYZ'!CU13</f>
        <v>261945.7004565605</v>
      </c>
      <c r="DW13">
        <f>'TEA Revised Non EYZ'!CV13</f>
        <v>1621486.4378120217</v>
      </c>
      <c r="DX13">
        <f>'TEA Revised Non EYZ'!CW13</f>
        <v>191441.6658016555</v>
      </c>
      <c r="DY13">
        <f>'TEA Revised Non EYZ'!CX13</f>
        <v>3960833.5732453261</v>
      </c>
      <c r="DZ13">
        <f>'TEA Revised Non EYZ'!CY13</f>
        <v>556815.11649124604</v>
      </c>
      <c r="EA13">
        <f>'TEA Revised Non EYZ'!CZ13</f>
        <v>1432009.0730836319</v>
      </c>
      <c r="EB13">
        <f>'TEA Revised Non EYZ'!DA13</f>
        <v>276232.79877863475</v>
      </c>
      <c r="EC13">
        <f>'TEA Revised Non EYZ'!DB13</f>
        <v>1709925.8973051622</v>
      </c>
      <c r="ED13">
        <f>'TEA Revised Non EYZ'!DC13</f>
        <v>201883.31801233388</v>
      </c>
      <c r="EE13">
        <f>'TEA Revised Non EYZ'!DD13</f>
        <v>4176866.2036710088</v>
      </c>
      <c r="EF13">
        <v>0.7</v>
      </c>
      <c r="EG13">
        <v>100</v>
      </c>
      <c r="EH13">
        <f>96485*BL13*V13/EF13/EG13/60</f>
        <v>32.063740089207002</v>
      </c>
      <c r="EI13">
        <f>96485*BN13*BA13/EF13/EG13/60</f>
        <v>46.328884149827402</v>
      </c>
      <c r="EJ13">
        <f>EH13*('CAPEX+OPEX'!$O$25+'CAPEX+OPEX'!$O$26)</f>
        <v>1021935.5241232056</v>
      </c>
      <c r="EK13">
        <f>EI13*('CAPEX+OPEX'!$O$25+'CAPEX+OPEX'!$O$26)</f>
        <v>1476594.1956232989</v>
      </c>
      <c r="EL13">
        <f>EJ13*1.12/0.6*'CAPEX+OPEX'!$G$116/'CAPEX+OPEX'!$G$115</f>
        <v>2249949.8446835969</v>
      </c>
      <c r="EM13">
        <f>EK13*1.12/0.6*'CAPEX+OPEX'!$G$116/'CAPEX+OPEX'!$G$115</f>
        <v>3250951.5548485876</v>
      </c>
      <c r="EN13">
        <f>EL13+EM13+DY13+EE13+1.15*(SUM(DF13:DM13)+SUM(CF13:CI13))</f>
        <v>13706449.289949831</v>
      </c>
      <c r="EO13">
        <f>EN13/15</f>
        <v>913763.28599665535</v>
      </c>
      <c r="EP13">
        <f>('eLLE Bals'!CB13+'eLLE Bals'!CC13)*'Oxidant Feed Composition'!$N$25*60*7200</f>
        <v>13741086.879690927</v>
      </c>
      <c r="EQ13" s="83">
        <f>('eLLE Bals'!BR13+'eLLE Bals'!BY13)*'Reagent cost'!$C$38*60*7200</f>
        <v>513930.03083125589</v>
      </c>
      <c r="ER13">
        <f>'TEA Revised Non EYZ'!DI13</f>
        <v>504921.59999999998</v>
      </c>
      <c r="ES13">
        <f>'TEA Revised Non EYZ'!DJ13</f>
        <v>59.377096676455061</v>
      </c>
      <c r="ET13">
        <f>'TEA Revised Non EYZ'!DK13</f>
        <v>628.33461026908935</v>
      </c>
      <c r="EU13">
        <f>1.2*SUM(EP13:ET13)</f>
        <v>17712751.46667495</v>
      </c>
      <c r="EV13">
        <f>'TEA Revised Non EYZ'!DM13</f>
        <v>0.70639694042110623</v>
      </c>
      <c r="EW13">
        <f>(BS13*CO13+BT13*CP13)/1000*('Oxidant Feed Composition'!$B$11*'Oxidant Feed Composition'!$O$20+'Oxidant Feed Composition'!$D$11*'Oxidant Feed Composition'!$O$21+'Oxidant Feed Composition'!$F$11*'Oxidant Feed Composition'!$O$27-'Oxidant Feed Composition'!$J$15*18.015)</f>
        <v>1.9925996557404575</v>
      </c>
      <c r="EX13">
        <f>(CZ13*BX13+DC13*BZ13)*368.34/1000</f>
        <v>0.10374221228120802</v>
      </c>
      <c r="EY13">
        <f>'TEA Revised Non EYZ'!DP13</f>
        <v>4.999938342565946E-2</v>
      </c>
      <c r="EZ13">
        <f>SUM(EV13:EX13)-EY13</f>
        <v>2.7527394250171127</v>
      </c>
      <c r="FA13">
        <f>EZ13*0.33*60*7200</f>
        <v>392430.53243043955</v>
      </c>
      <c r="FB13">
        <f>'TEA Revised Non EYZ'!DS13</f>
        <v>1.2</v>
      </c>
      <c r="FC13">
        <v>0.5</v>
      </c>
      <c r="FD13">
        <f>'TEA Revised Non EYZ'!DT13</f>
        <v>1405.210258292421</v>
      </c>
      <c r="FE13">
        <f>'TEA Revised Non EYZ'!DU13</f>
        <v>710.45741347657167</v>
      </c>
      <c r="FF13">
        <f>'TEA Revised Non EYZ'!DV13</f>
        <v>0.7</v>
      </c>
      <c r="FG13">
        <f>'TEA Revised Non EYZ'!DW13</f>
        <v>30272.303809866662</v>
      </c>
      <c r="FH13">
        <f>'TEA Revised Non EYZ'!DX13</f>
        <v>20763.049486147294</v>
      </c>
      <c r="FI13">
        <f>'TEA Revised Non EYZ'!DY13</f>
        <v>8790.8072421188135</v>
      </c>
      <c r="FJ13">
        <f>'TEA Revised Non EYZ'!DZ13</f>
        <v>4656.7358484871465</v>
      </c>
      <c r="FK13">
        <f>'TEA Revised Non EYZ'!EA13</f>
        <v>4688.4305291300352</v>
      </c>
      <c r="FL13">
        <f>'TEA Revised Non EYZ'!EB13</f>
        <v>849.87116421525627</v>
      </c>
      <c r="FM13">
        <f>'TEA Revised Non EYZ'!EC13</f>
        <v>30891.557908916995</v>
      </c>
      <c r="FN13">
        <f>'TEA Revised Non EYZ'!ED13</f>
        <v>23302.915468046605</v>
      </c>
      <c r="FO13">
        <f>'TEA Revised Non EYZ'!EE13</f>
        <v>9866.1537263906994</v>
      </c>
      <c r="FP13">
        <f>'TEA Revised Non EYZ'!EF13</f>
        <v>5229.2376780306813</v>
      </c>
      <c r="FQ13">
        <f>'TEA Revised Non EYZ'!EG13</f>
        <v>5261.9486540750413</v>
      </c>
      <c r="FR13">
        <f>'TEA Revised Non EYZ'!EH13</f>
        <v>429.68464367063052</v>
      </c>
      <c r="FS13">
        <f>'TEA Revised Non EYZ'!EI13</f>
        <v>145002.69615909585</v>
      </c>
      <c r="FT13">
        <f>EG13*EH13</f>
        <v>3206.3740089207004</v>
      </c>
      <c r="FU13">
        <f>EG13*EI13</f>
        <v>4632.88841498274</v>
      </c>
      <c r="FV13">
        <f>FC13*(FT13+FU13)/(3.6*10^6)*3600*7200*0.07</f>
        <v>1975.4941308236669</v>
      </c>
      <c r="FW13">
        <f>('CAPEX+OPEX'!$C$39/7/100+0.03)*EL13</f>
        <v>115711.70629801355</v>
      </c>
      <c r="FX13">
        <f>('CAPEX+OPEX'!$C$39/7/100+0.03)*EM13</f>
        <v>167191.79424935594</v>
      </c>
      <c r="FY13">
        <f>SUM(FV13:FX13)</f>
        <v>284878.99467819318</v>
      </c>
      <c r="FZ13">
        <f>FY13+FA13+FS13+EU13</f>
        <v>18535063.68994268</v>
      </c>
      <c r="GA13">
        <f>FZ13+EO13</f>
        <v>19448826.975939337</v>
      </c>
      <c r="GB13">
        <f>GA13/(BK13*60*7200)</f>
        <v>0.45020432814674394</v>
      </c>
      <c r="GC13">
        <f>'TEA Revised Non EYZ'!EM13/'TEA Revised Non EYZ'!EK13*GA13</f>
        <v>1508.2350883429833</v>
      </c>
      <c r="GD13">
        <f>'TEA Revised Non EYZ'!EN13/'TEA Revised Non EYZ'!EK13*GA13</f>
        <v>2746.7607428616307</v>
      </c>
    </row>
    <row r="14" spans="1:186">
      <c r="A14">
        <f>'TEA Revised Non EYZ'!A14</f>
        <v>4</v>
      </c>
      <c r="B14">
        <f>'TEA Revised Non EYZ'!B14</f>
        <v>1.54143585092054E-3</v>
      </c>
      <c r="C14">
        <f>'TEA Revised Non EYZ'!C14</f>
        <v>1.54143585092054E-3</v>
      </c>
      <c r="D14">
        <f>'TEA Revised Non EYZ'!D14</f>
        <v>3.4254130020456501E-4</v>
      </c>
      <c r="E14">
        <f>'TEA Revised Non EYZ'!E14</f>
        <v>0</v>
      </c>
      <c r="F14">
        <f>'TEA Revised Non EYZ'!F14</f>
        <v>0</v>
      </c>
      <c r="G14">
        <f>'TEA Revised Non EYZ'!G14</f>
        <v>0</v>
      </c>
      <c r="H14">
        <f>'TEA Revised Non EYZ'!H14</f>
        <v>1.7208960911287699E-5</v>
      </c>
      <c r="I14">
        <f>'TEA Revised Non EYZ'!I14</f>
        <v>2.8768784818324402E-7</v>
      </c>
      <c r="J14">
        <f>'TEA Revised Non EYZ'!J14</f>
        <v>3.3243632642994598E-4</v>
      </c>
      <c r="K14">
        <f>'TEA Revised Non EYZ'!K14</f>
        <v>0.10920586178936199</v>
      </c>
      <c r="L14">
        <f>'TEA Revised Non EYZ'!L14</f>
        <v>0.110418215553449</v>
      </c>
      <c r="M14">
        <f>'TEA Revised Non EYZ'!M14</f>
        <v>7.2398825703009801E-4</v>
      </c>
      <c r="N14">
        <f>'TEA Revised Non EYZ'!N14</f>
        <v>-2.168404344971E-18</v>
      </c>
      <c r="O14">
        <f>'TEA Revised Non EYZ'!O14</f>
        <v>2.3635607360183901E-17</v>
      </c>
      <c r="P14">
        <f>'TEA Revised Non EYZ'!P14</f>
        <v>-7.4538899358378406E-20</v>
      </c>
      <c r="Q14">
        <f>'TEA Revised Non EYZ'!Q14</f>
        <v>0.13957372480144001</v>
      </c>
      <c r="R14">
        <f>'TEA Revised Non EYZ'!R14</f>
        <v>97.0499984181222</v>
      </c>
      <c r="S14">
        <f>'TEA Revised Non EYZ'!S14</f>
        <v>500</v>
      </c>
      <c r="T14">
        <f>'TEA Revised Non EYZ'!T14</f>
        <v>95</v>
      </c>
      <c r="U14">
        <f>'TEA Revised Non EYZ'!U14</f>
        <v>1</v>
      </c>
      <c r="V14">
        <f>'TEA Revised Non EYZ'!V14</f>
        <v>0.1</v>
      </c>
      <c r="W14">
        <f>'TEA Revised Non EYZ'!W14</f>
        <v>71.646723007687299</v>
      </c>
      <c r="X14" t="str">
        <f>'TEA Revised Non EYZ'!X14</f>
        <v>ddFc</v>
      </c>
      <c r="Y14">
        <f>'TEA Revised Non EYZ'!Y14</f>
        <v>1</v>
      </c>
      <c r="Z14">
        <f>'TEA Revised Non EYZ'!Z14</f>
        <v>0.28318429382522198</v>
      </c>
      <c r="AA14">
        <f>'TEA Revised Non EYZ'!AA14</f>
        <v>0.56945642916197003</v>
      </c>
      <c r="AB14">
        <f>'TEA Revised Non EYZ'!AB14</f>
        <v>3.7698628972227502E-3</v>
      </c>
      <c r="AC14">
        <f>'TEA Revised Non EYZ'!AC14</f>
        <v>1822.2107908876901</v>
      </c>
      <c r="AD14">
        <f>'TEA Revised Non EYZ'!AD14</f>
        <v>2662.6059073104898</v>
      </c>
      <c r="AE14">
        <f>'TEA Revised Non EYZ'!AE14</f>
        <v>2401.5030938442701</v>
      </c>
      <c r="AF14">
        <f>'TEA Revised Non EYZ'!AF14</f>
        <v>6</v>
      </c>
      <c r="AG14">
        <f>'TEA Revised Non EYZ'!AG14</f>
        <v>1.6481650483119699E-3</v>
      </c>
      <c r="AH14">
        <f>'TEA Revised Non EYZ'!AH14</f>
        <v>1.6664622263884801E-3</v>
      </c>
      <c r="AI14">
        <f>'TEA Revised Non EYZ'!AI14</f>
        <v>1.0926630870116399E-5</v>
      </c>
      <c r="AJ14">
        <f>'TEA Revised Non EYZ'!AJ14</f>
        <v>0</v>
      </c>
      <c r="AK14">
        <f>'TEA Revised Non EYZ'!AK14</f>
        <v>0</v>
      </c>
      <c r="AL14">
        <f>'TEA Revised Non EYZ'!AL14</f>
        <v>0</v>
      </c>
      <c r="AM14">
        <f>'TEA Revised Non EYZ'!AM14</f>
        <v>1.61036674463848E-3</v>
      </c>
      <c r="AN14">
        <f>'TEA Revised Non EYZ'!AN14</f>
        <v>7.3903037307057197E-5</v>
      </c>
      <c r="AO14">
        <f>'TEA Revised Non EYZ'!AO14</f>
        <v>1.0853107147603801E-5</v>
      </c>
      <c r="AP14">
        <f>'TEA Revised Non EYZ'!AP14</f>
        <v>1.75730512408255E-3</v>
      </c>
      <c r="AQ14">
        <f>'TEA Revised Non EYZ'!AQ14</f>
        <v>7.4040688374865299E-2</v>
      </c>
      <c r="AR14">
        <f>'TEA Revised Non EYZ'!AR14</f>
        <v>3.41823843284434E-6</v>
      </c>
      <c r="AS14">
        <f>'TEA Revised Non EYZ'!AS14</f>
        <v>-3.20923843055709E-17</v>
      </c>
      <c r="AT14">
        <f>'TEA Revised Non EYZ'!AT14</f>
        <v>-6.4501355645507598E-15</v>
      </c>
      <c r="AU14">
        <f>'TEA Revised Non EYZ'!AU14</f>
        <v>-2.57948002218536E-20</v>
      </c>
      <c r="AV14">
        <f>'TEA Revised Non EYZ'!AV14</f>
        <v>0.19891798600503799</v>
      </c>
      <c r="AW14">
        <f>'TEA Revised Non EYZ'!AW14</f>
        <v>99.327114429080396</v>
      </c>
      <c r="AX14">
        <f>'TEA Revised Non EYZ'!AX14</f>
        <v>500</v>
      </c>
      <c r="AY14">
        <f>'TEA Revised Non EYZ'!AY14</f>
        <v>95</v>
      </c>
      <c r="AZ14">
        <f>'TEA Revised Non EYZ'!AZ14</f>
        <v>0.92480233795174105</v>
      </c>
      <c r="BA14">
        <f>'TEA Revised Non EYZ'!BA14</f>
        <v>0.1</v>
      </c>
      <c r="BB14">
        <f>'TEA Revised Non EYZ'!BB14</f>
        <v>46.491639922813</v>
      </c>
      <c r="BC14" t="str">
        <f>'TEA Revised Non EYZ'!BC14</f>
        <v>coeFc</v>
      </c>
      <c r="BD14">
        <f>'TEA Revised Non EYZ'!BD14</f>
        <v>1</v>
      </c>
      <c r="BE14">
        <f>'TEA Revised Non EYZ'!BE14</f>
        <v>1.8775014999999999E-2</v>
      </c>
      <c r="BF14">
        <f>'TEA Revised Non EYZ'!BF14</f>
        <v>0.10492961100000001</v>
      </c>
      <c r="BG14">
        <f>'TEA Revised Non EYZ'!BG14</f>
        <v>1.814625E-3</v>
      </c>
      <c r="BH14">
        <f>'TEA Revised Non EYZ'!BH14</f>
        <v>285.1951444</v>
      </c>
      <c r="BI14">
        <f>'TEA Revised Non EYZ'!BI14</f>
        <v>2169.8944889999998</v>
      </c>
      <c r="BJ14">
        <f>'TEA Revised Non EYZ'!BJ14</f>
        <v>866.49409060000005</v>
      </c>
      <c r="BK14">
        <f>'TEA Revised Non EYZ'!BK14</f>
        <v>100</v>
      </c>
      <c r="BL14">
        <f>'TEA Revised Non EYZ'!BL14</f>
        <v>13.957372480144</v>
      </c>
      <c r="BM14">
        <f>'TEA Revised Non EYZ'!BM14</f>
        <v>92.480233795174101</v>
      </c>
      <c r="BN14">
        <f>'TEA Revised Non EYZ'!BN14</f>
        <v>19.891798600503797</v>
      </c>
      <c r="BO14">
        <f>'TEA Revised Non EYZ'!BO14</f>
        <v>167.488469761728</v>
      </c>
      <c r="BP14">
        <f>'TEA Revised Non EYZ'!BP14</f>
        <v>318.26877760806076</v>
      </c>
      <c r="BQ14">
        <f>'TEA Revised Non EYZ'!BQ14</f>
        <v>16.7488469761728</v>
      </c>
      <c r="BR14">
        <f>'TEA Revised Non EYZ'!BR14</f>
        <v>31.826877760806077</v>
      </c>
      <c r="BS14">
        <f>'eLLE Bals'!CF14</f>
        <v>8.3744234880863999</v>
      </c>
      <c r="BT14">
        <f>'eLLE Bals'!CG14</f>
        <v>11.935079160302278</v>
      </c>
      <c r="BU14">
        <f>BM14</f>
        <v>92.480233795174101</v>
      </c>
      <c r="BV14">
        <f>BU14*(AM14*2+AN14*2+AO14*3)</f>
        <v>0.31453442007618376</v>
      </c>
      <c r="BW14">
        <f>BN14*BA14*(AP14*2+AQ14*2+AR14*3)</f>
        <v>0.30157208267381574</v>
      </c>
      <c r="BX14">
        <f>BV14/(2*V14*BL14+BV14)</f>
        <v>0.10126642536191367</v>
      </c>
      <c r="BY14">
        <f>BU14*BX14</f>
        <v>9.3651426930713253</v>
      </c>
      <c r="BZ14">
        <f>BW14/(2*BN14*BA14+BW14)</f>
        <v>7.0461889714764595E-2</v>
      </c>
      <c r="CA14">
        <f>2*BN14*BA14/0.04</f>
        <v>99.458993002518994</v>
      </c>
      <c r="CB14">
        <f>(BS14+BL14)*2</f>
        <v>44.663591936460804</v>
      </c>
      <c r="CC14">
        <f>(BU14+BL14)*2</f>
        <v>212.87521255063621</v>
      </c>
      <c r="CD14">
        <f>(BT14+BN14)*2</f>
        <v>63.653755521612155</v>
      </c>
      <c r="CE14">
        <f>(CA14+BN14)*2</f>
        <v>238.7015832060456</v>
      </c>
      <c r="CF14">
        <f>'TEA Revised Non EYZ'!CB14</f>
        <v>2210.8478008548095</v>
      </c>
      <c r="CG14">
        <f>'TEA Revised Non EYZ'!CC14</f>
        <v>4201.1478644264016</v>
      </c>
      <c r="CH14">
        <f>'TEA Revised Non EYZ'!CD14</f>
        <v>2671.1136977461792</v>
      </c>
      <c r="CI14">
        <f>'TEA Revised Non EYZ'!CE14</f>
        <v>32403.826869206256</v>
      </c>
      <c r="CJ14">
        <f>BL14*V14</f>
        <v>1.3957372480144001</v>
      </c>
      <c r="CK14">
        <f>CJ14/2*1.2</f>
        <v>0.8374423488086401</v>
      </c>
      <c r="CL14">
        <f>'eLLE Bals'!CB14*'Oxidant Feed Composition'!$N$20</f>
        <v>4.6524574933813359E-2</v>
      </c>
      <c r="CM14">
        <f>'eLLE Bals'!CB14*'Oxidant Feed Composition'!$N$21</f>
        <v>2.326228746690667</v>
      </c>
      <c r="CN14">
        <f>'eLLE Bals'!CB14*'Oxidant Feed Composition'!$N$22</f>
        <v>0.69786862400720007</v>
      </c>
      <c r="CO14">
        <f>CN14/CK14</f>
        <v>0.83333333333333326</v>
      </c>
      <c r="CP14">
        <f>CO14</f>
        <v>0.83333333333333326</v>
      </c>
      <c r="CQ14">
        <f>CL14/CO14</f>
        <v>5.5829489920576035E-2</v>
      </c>
      <c r="CR14">
        <f>CM14/CO14</f>
        <v>2.7914744960288007</v>
      </c>
      <c r="CS14">
        <f>BN14*BA14</f>
        <v>1.9891798600503798</v>
      </c>
      <c r="CT14">
        <f>CS14/2*1.2</f>
        <v>1.1935079160302278</v>
      </c>
      <c r="CU14">
        <f>'eLLE Bals'!CC14*'Oxidant Feed Composition'!$N$20</f>
        <v>6.6305995335012691E-2</v>
      </c>
      <c r="CV14">
        <f>'eLLE Bals'!CC14*'Oxidant Feed Composition'!$N$21</f>
        <v>3.3152997667506332</v>
      </c>
      <c r="CW14">
        <f>'eLLE Bals'!CC14*'Oxidant Feed Composition'!$N$22</f>
        <v>0.99458993002518992</v>
      </c>
      <c r="CX14">
        <f>CU14/CP14</f>
        <v>7.9567194402015234E-2</v>
      </c>
      <c r="CY14">
        <f>CV14/CP14</f>
        <v>3.9783597201007601</v>
      </c>
      <c r="CZ14">
        <f>CJ14</f>
        <v>1.3957372480144001</v>
      </c>
      <c r="DA14">
        <f>'eLLE Bals'!BQ14</f>
        <v>2.7914744960288003</v>
      </c>
      <c r="DB14">
        <f>'eLLE Bals'!BU14</f>
        <v>9.5956115661247701</v>
      </c>
      <c r="DC14">
        <f>CS14</f>
        <v>1.9891798600503798</v>
      </c>
      <c r="DD14">
        <f>'eLLE Bals'!BX14</f>
        <v>3.9783597201007597</v>
      </c>
      <c r="DE14">
        <f>'eLLE Bals'!CA14</f>
        <v>22.263038227267021</v>
      </c>
      <c r="DF14">
        <f>2*2*(CJ14*'Reagent cost'!$C$36*122.44/1000+CK14*'Oxidant Feed Composition'!$N$26+CQ14*'Reagent cost'!$C$34+CR14*'Reagent cost'!$C$35)</f>
        <v>117.89473144631702</v>
      </c>
      <c r="DG14">
        <f>2*2*(CS14*'Reagent cost'!$C$36*122.44/1000+CT14*'Oxidant Feed Composition'!$N$26+CX14*'Reagent cost'!$C$34+CY14*'Reagent cost'!$C$35)</f>
        <v>168.02147089839826</v>
      </c>
      <c r="DH14">
        <f>(AF14+3)*2*(CZ14*'Reagent cost'!$C$38+DA14*'Reagent cost'!$C$39+DB14*'Reagent cost'!$C$36*122.44/1000)</f>
        <v>1605.4599501652135</v>
      </c>
      <c r="DI14">
        <f>3*2*(DC14*'Reagent cost'!$C$38+DD14*'Reagent cost'!$C$39+DE14*'Reagent cost'!$C$36*122.44/1000)</f>
        <v>1208.2151106093077</v>
      </c>
      <c r="DJ14">
        <f>7963.6*(CB14/1000)^0.6*1.7*('CAPEX+OPEX'!$G$116/'CAPEX+OPEX'!$G$115)</f>
        <v>2472.9373618126128</v>
      </c>
      <c r="DK14">
        <f>7963.6*(CC14/1000)^0.6*1.7*('CAPEX+OPEX'!$G$116/'CAPEX+OPEX'!$G$115)</f>
        <v>6311.2587327211604</v>
      </c>
      <c r="DL14">
        <f>7963.6*(CD14/1000)^0.6*1.7*('CAPEX+OPEX'!$G$116/'CAPEX+OPEX'!$G$115)</f>
        <v>3058.6891810035263</v>
      </c>
      <c r="DM14">
        <f>7963.6*(CE14/1000)^0.6*1.7*('CAPEX+OPEX'!$G$116/'CAPEX+OPEX'!$G$115)</f>
        <v>6760.1153664694148</v>
      </c>
      <c r="DN14">
        <f>'TEA Revised Non EYZ'!CM14</f>
        <v>39625.826528698344</v>
      </c>
      <c r="DO14">
        <f>'TEA Revised Non EYZ'!CN14</f>
        <v>4586243.4239371875</v>
      </c>
      <c r="DP14">
        <f>'TEA Revised Non EYZ'!CO14</f>
        <v>11794834.586807497</v>
      </c>
      <c r="DQ14">
        <f>'TEA Revised Non EYZ'!CP14</f>
        <v>2275209.1661185985</v>
      </c>
      <c r="DR14">
        <f>'TEA Revised Non EYZ'!CQ14</f>
        <v>14083914.336508472</v>
      </c>
      <c r="DS14">
        <f>'TEA Revised Non EYZ'!CR14</f>
        <v>1662824.8986326549</v>
      </c>
      <c r="DT14">
        <f>'TEA Revised Non EYZ'!CS14</f>
        <v>528015.95740622084</v>
      </c>
      <c r="DU14">
        <f>'TEA Revised Non EYZ'!CT14</f>
        <v>1357943.8117688675</v>
      </c>
      <c r="DV14">
        <f>'TEA Revised Non EYZ'!CU14</f>
        <v>261945.7004565605</v>
      </c>
      <c r="DW14">
        <f>'TEA Revised Non EYZ'!CV14</f>
        <v>1621486.4378120217</v>
      </c>
      <c r="DX14">
        <f>'TEA Revised Non EYZ'!CW14</f>
        <v>191441.6658016555</v>
      </c>
      <c r="DY14">
        <f>'TEA Revised Non EYZ'!CX14</f>
        <v>3960833.5732453261</v>
      </c>
      <c r="DZ14">
        <f>'TEA Revised Non EYZ'!CY14</f>
        <v>610771.96008263668</v>
      </c>
      <c r="EA14">
        <f>'TEA Revised Non EYZ'!CZ14</f>
        <v>1570774.5039949177</v>
      </c>
      <c r="EB14">
        <f>'TEA Revised Non EYZ'!DA14</f>
        <v>303000.48068431305</v>
      </c>
      <c r="EC14">
        <f>'TEA Revised Non EYZ'!DB14</f>
        <v>1875622.1965995319</v>
      </c>
      <c r="ED14">
        <f>'TEA Revised Non EYZ'!DC14</f>
        <v>221446.34044309024</v>
      </c>
      <c r="EE14">
        <f>'TEA Revised Non EYZ'!DD14</f>
        <v>4581615.4818044901</v>
      </c>
      <c r="EF14">
        <v>0.7</v>
      </c>
      <c r="EG14">
        <v>100</v>
      </c>
      <c r="EH14">
        <f>96485*BL14*V14/EF14/EG14/60</f>
        <v>32.063740089207002</v>
      </c>
      <c r="EI14">
        <f>96485*BN14*BA14/EF14/EG14/60</f>
        <v>45.69667114213356</v>
      </c>
      <c r="EJ14">
        <f>EH14*('CAPEX+OPEX'!$O$25+'CAPEX+OPEX'!$O$26)</f>
        <v>1021935.5241232056</v>
      </c>
      <c r="EK14">
        <f>EI14*('CAPEX+OPEX'!$O$25+'CAPEX+OPEX'!$O$26)</f>
        <v>1456444.3026420809</v>
      </c>
      <c r="EL14">
        <f>EJ14*1.12/0.6*'CAPEX+OPEX'!$G$116/'CAPEX+OPEX'!$G$115</f>
        <v>2249949.8446835969</v>
      </c>
      <c r="EM14">
        <f>EK14*1.12/0.6*'CAPEX+OPEX'!$G$116/'CAPEX+OPEX'!$G$115</f>
        <v>3206588.4345603683</v>
      </c>
      <c r="EN14">
        <f>EL14+EM14+DY14+EE14+1.15*(SUM(DF14:DM14)+SUM(CF14:CI14))</f>
        <v>14071655.291651744</v>
      </c>
      <c r="EO14">
        <f>EN14/15</f>
        <v>938110.35277678294</v>
      </c>
      <c r="EP14">
        <f>('eLLE Bals'!CB14+'eLLE Bals'!CC14)*'Oxidant Feed Composition'!$N$25*60*7200</f>
        <v>13630269.134405317</v>
      </c>
      <c r="EQ14" s="83">
        <f>('eLLE Bals'!BR14+'eLLE Bals'!BY14)*'Reagent cost'!$C$38*60*7200</f>
        <v>513664.9465936576</v>
      </c>
      <c r="ER14">
        <f>'TEA Revised Non EYZ'!DI14</f>
        <v>504921.59999999998</v>
      </c>
      <c r="ES14">
        <f>'TEA Revised Non EYZ'!DJ14</f>
        <v>64.119956652812107</v>
      </c>
      <c r="ET14">
        <f>'TEA Revised Non EYZ'!DK14</f>
        <v>701.49881133904876</v>
      </c>
      <c r="EU14">
        <f>1.2*SUM(EP14:ET14)</f>
        <v>17579545.55972036</v>
      </c>
      <c r="EV14">
        <f>'TEA Revised Non EYZ'!DM14</f>
        <v>0.70639694042110623</v>
      </c>
      <c r="EW14">
        <f>(BS14*CO14+BT14*CP14)/1000*('Oxidant Feed Composition'!$B$11*'Oxidant Feed Composition'!$O$20+'Oxidant Feed Composition'!$D$11*'Oxidant Feed Composition'!$O$21+'Oxidant Feed Composition'!$F$11*'Oxidant Feed Composition'!$O$27-'Oxidant Feed Composition'!$J$15*18.015)</f>
        <v>1.9765299370173772</v>
      </c>
      <c r="EX14">
        <f>(CZ14*BX14+DC14*BZ14)*368.34/1000</f>
        <v>0.10368870222419717</v>
      </c>
      <c r="EY14">
        <f>'TEA Revised Non EYZ'!DP14</f>
        <v>4.999938342565946E-2</v>
      </c>
      <c r="EZ14">
        <f>SUM(EV14:EX14)-EY14</f>
        <v>2.736616196237021</v>
      </c>
      <c r="FA14">
        <f>EZ14*0.33*60*7200</f>
        <v>390132.00493554969</v>
      </c>
      <c r="FB14">
        <f>'TEA Revised Non EYZ'!DS14</f>
        <v>1.2</v>
      </c>
      <c r="FC14">
        <v>0.5</v>
      </c>
      <c r="FD14">
        <f>'TEA Revised Non EYZ'!DT14</f>
        <v>1406.8170158334865</v>
      </c>
      <c r="FE14">
        <f>'TEA Revised Non EYZ'!DU14</f>
        <v>708.85065593658192</v>
      </c>
      <c r="FF14">
        <f>'TEA Revised Non EYZ'!DV14</f>
        <v>0.7</v>
      </c>
      <c r="FG14">
        <f>'TEA Revised Non EYZ'!DW14</f>
        <v>30272.303809866662</v>
      </c>
      <c r="FH14">
        <f>'TEA Revised Non EYZ'!DX14</f>
        <v>20763.049486147294</v>
      </c>
      <c r="FI14">
        <f>'TEA Revised Non EYZ'!DY14</f>
        <v>8790.8072421188135</v>
      </c>
      <c r="FJ14">
        <f>'TEA Revised Non EYZ'!DZ14</f>
        <v>4656.7358484871465</v>
      </c>
      <c r="FK14">
        <f>'TEA Revised Non EYZ'!EA14</f>
        <v>4688.4305291300352</v>
      </c>
      <c r="FL14">
        <f>'TEA Revised Non EYZ'!EB14</f>
        <v>850.84293117609263</v>
      </c>
      <c r="FM14">
        <f>'TEA Revised Non EYZ'!EC14</f>
        <v>33465.854401326746</v>
      </c>
      <c r="FN14">
        <f>'TEA Revised Non EYZ'!ED14</f>
        <v>27186.734712721038</v>
      </c>
      <c r="FO14">
        <f>'TEA Revised Non EYZ'!EE14</f>
        <v>11510.512680789148</v>
      </c>
      <c r="FP14">
        <f>'TEA Revised Non EYZ'!EF14</f>
        <v>6100.7772910357944</v>
      </c>
      <c r="FQ14">
        <f>'TEA Revised Non EYZ'!EG14</f>
        <v>6138.9400964208808</v>
      </c>
      <c r="FR14">
        <f>'TEA Revised Non EYZ'!EH14</f>
        <v>428.71287671044473</v>
      </c>
      <c r="FS14">
        <f>'TEA Revised Non EYZ'!EI14</f>
        <v>154853.70190593012</v>
      </c>
      <c r="FT14">
        <f>EG14*EH14</f>
        <v>3206.3740089207004</v>
      </c>
      <c r="FU14">
        <f>EG14*EI14</f>
        <v>4569.6671142133564</v>
      </c>
      <c r="FV14">
        <f>FC14*(FT14+FU14)/(3.6*10^6)*3600*7200*0.07</f>
        <v>1959.5623630297828</v>
      </c>
      <c r="FW14">
        <f>('CAPEX+OPEX'!$C$39/7/100+0.03)*EL14</f>
        <v>115711.70629801355</v>
      </c>
      <c r="FX14">
        <f>('CAPEX+OPEX'!$C$39/7/100+0.03)*EM14</f>
        <v>164910.26234881894</v>
      </c>
      <c r="FY14">
        <f>SUM(FV14:FX14)</f>
        <v>282581.53100986226</v>
      </c>
      <c r="FZ14">
        <f>FY14+FA14+FS14+EU14</f>
        <v>18407112.797571704</v>
      </c>
      <c r="GA14">
        <f>FZ14+EO14</f>
        <v>19345223.150348488</v>
      </c>
      <c r="GB14">
        <f>GA14/(BK14*60*7200)</f>
        <v>0.44780609144325206</v>
      </c>
      <c r="GC14">
        <f>'TEA Revised Non EYZ'!EM14/'TEA Revised Non EYZ'!EK14*GA14</f>
        <v>1498.4851334729228</v>
      </c>
      <c r="GD14">
        <f>'TEA Revised Non EYZ'!EN14/'TEA Revised Non EYZ'!EK14*GA14</f>
        <v>2737.8372471806729</v>
      </c>
    </row>
    <row r="15" spans="1:186">
      <c r="A15">
        <f>'TEA Revised Non EYZ'!A15</f>
        <v>4</v>
      </c>
      <c r="B15">
        <f>'TEA Revised Non EYZ'!B15</f>
        <v>1.54143585092054E-3</v>
      </c>
      <c r="C15">
        <f>'TEA Revised Non EYZ'!C15</f>
        <v>1.54143585092054E-3</v>
      </c>
      <c r="D15">
        <f>'TEA Revised Non EYZ'!D15</f>
        <v>3.4254130020456501E-4</v>
      </c>
      <c r="E15">
        <f>'TEA Revised Non EYZ'!E15</f>
        <v>0</v>
      </c>
      <c r="F15">
        <f>'TEA Revised Non EYZ'!F15</f>
        <v>0</v>
      </c>
      <c r="G15">
        <f>'TEA Revised Non EYZ'!G15</f>
        <v>0</v>
      </c>
      <c r="H15">
        <f>'TEA Revised Non EYZ'!H15</f>
        <v>1.7208960911287699E-5</v>
      </c>
      <c r="I15">
        <f>'TEA Revised Non EYZ'!I15</f>
        <v>2.8768784818324402E-7</v>
      </c>
      <c r="J15">
        <f>'TEA Revised Non EYZ'!J15</f>
        <v>3.3243632642994598E-4</v>
      </c>
      <c r="K15">
        <f>'TEA Revised Non EYZ'!K15</f>
        <v>0.10920586178936199</v>
      </c>
      <c r="L15">
        <f>'TEA Revised Non EYZ'!L15</f>
        <v>0.110418215553449</v>
      </c>
      <c r="M15">
        <f>'TEA Revised Non EYZ'!M15</f>
        <v>7.2398825703009801E-4</v>
      </c>
      <c r="N15">
        <f>'TEA Revised Non EYZ'!N15</f>
        <v>-2.168404344971E-18</v>
      </c>
      <c r="O15">
        <f>'TEA Revised Non EYZ'!O15</f>
        <v>2.3635607360183901E-17</v>
      </c>
      <c r="P15">
        <f>'TEA Revised Non EYZ'!P15</f>
        <v>-7.4538899358378406E-20</v>
      </c>
      <c r="Q15">
        <f>'TEA Revised Non EYZ'!Q15</f>
        <v>0.13957372480144001</v>
      </c>
      <c r="R15">
        <f>'TEA Revised Non EYZ'!R15</f>
        <v>97.0499984181222</v>
      </c>
      <c r="S15">
        <f>'TEA Revised Non EYZ'!S15</f>
        <v>500</v>
      </c>
      <c r="T15">
        <f>'TEA Revised Non EYZ'!T15</f>
        <v>95</v>
      </c>
      <c r="U15">
        <f>'TEA Revised Non EYZ'!U15</f>
        <v>1</v>
      </c>
      <c r="V15">
        <f>'TEA Revised Non EYZ'!V15</f>
        <v>0.1</v>
      </c>
      <c r="W15">
        <f>'TEA Revised Non EYZ'!W15</f>
        <v>71.646723007687299</v>
      </c>
      <c r="X15" t="str">
        <f>'TEA Revised Non EYZ'!X15</f>
        <v>ddFc</v>
      </c>
      <c r="Y15">
        <f>'TEA Revised Non EYZ'!Y15</f>
        <v>1</v>
      </c>
      <c r="Z15">
        <f>'TEA Revised Non EYZ'!Z15</f>
        <v>0.28318429382522198</v>
      </c>
      <c r="AA15">
        <f>'TEA Revised Non EYZ'!AA15</f>
        <v>0.56945642916197003</v>
      </c>
      <c r="AB15">
        <f>'TEA Revised Non EYZ'!AB15</f>
        <v>3.7698628972227502E-3</v>
      </c>
      <c r="AC15">
        <f>'TEA Revised Non EYZ'!AC15</f>
        <v>1822.2107908876901</v>
      </c>
      <c r="AD15">
        <f>'TEA Revised Non EYZ'!AD15</f>
        <v>2662.6059073104898</v>
      </c>
      <c r="AE15">
        <f>'TEA Revised Non EYZ'!AE15</f>
        <v>2401.5030938442701</v>
      </c>
      <c r="AF15">
        <f>'TEA Revised Non EYZ'!AF15</f>
        <v>7</v>
      </c>
      <c r="AG15">
        <f>'TEA Revised Non EYZ'!AG15</f>
        <v>1.6481650483119699E-3</v>
      </c>
      <c r="AH15">
        <f>'TEA Revised Non EYZ'!AH15</f>
        <v>1.6664622263884801E-3</v>
      </c>
      <c r="AI15">
        <f>'TEA Revised Non EYZ'!AI15</f>
        <v>1.0926630870116399E-5</v>
      </c>
      <c r="AJ15">
        <f>'TEA Revised Non EYZ'!AJ15</f>
        <v>0</v>
      </c>
      <c r="AK15">
        <f>'TEA Revised Non EYZ'!AK15</f>
        <v>0</v>
      </c>
      <c r="AL15">
        <f>'TEA Revised Non EYZ'!AL15</f>
        <v>0</v>
      </c>
      <c r="AM15">
        <f>'TEA Revised Non EYZ'!AM15</f>
        <v>1.61090754837377E-3</v>
      </c>
      <c r="AN15">
        <f>'TEA Revised Non EYZ'!AN15</f>
        <v>7.3930491403475195E-5</v>
      </c>
      <c r="AO15">
        <f>'TEA Revised Non EYZ'!AO15</f>
        <v>1.08541164056693E-5</v>
      </c>
      <c r="AP15">
        <f>'TEA Revised Non EYZ'!AP15</f>
        <v>1.73922906321953E-3</v>
      </c>
      <c r="AQ15">
        <f>'TEA Revised Non EYZ'!AQ15</f>
        <v>7.4341474522921697E-2</v>
      </c>
      <c r="AR15">
        <f>'TEA Revised Non EYZ'!AR15</f>
        <v>3.3850705039854299E-6</v>
      </c>
      <c r="AS15">
        <f>'TEA Revised Non EYZ'!AS15</f>
        <v>6.2377335826972699E-15</v>
      </c>
      <c r="AT15">
        <f>'TEA Revised Non EYZ'!AT15</f>
        <v>-2.31652956365902E-12</v>
      </c>
      <c r="AU15">
        <f>'TEA Revised Non EYZ'!AU15</f>
        <v>-1.8555315500789499E-20</v>
      </c>
      <c r="AV15">
        <f>'TEA Revised Non EYZ'!AV15</f>
        <v>0.19810974742489201</v>
      </c>
      <c r="AW15">
        <f>'TEA Revised Non EYZ'!AW15</f>
        <v>99.336351110337105</v>
      </c>
      <c r="AX15">
        <f>'TEA Revised Non EYZ'!AX15</f>
        <v>500</v>
      </c>
      <c r="AY15">
        <f>'TEA Revised Non EYZ'!AY15</f>
        <v>95</v>
      </c>
      <c r="AZ15">
        <f>'TEA Revised Non EYZ'!AZ15</f>
        <v>0.92480233795174105</v>
      </c>
      <c r="BA15">
        <f>'TEA Revised Non EYZ'!BA15</f>
        <v>0.1</v>
      </c>
      <c r="BB15">
        <f>'TEA Revised Non EYZ'!BB15</f>
        <v>46.681314270129498</v>
      </c>
      <c r="BC15" t="str">
        <f>'TEA Revised Non EYZ'!BC15</f>
        <v>coeFc</v>
      </c>
      <c r="BD15">
        <f>'TEA Revised Non EYZ'!BD15</f>
        <v>1</v>
      </c>
      <c r="BE15">
        <f>'TEA Revised Non EYZ'!BE15</f>
        <v>1.8775014999999999E-2</v>
      </c>
      <c r="BF15">
        <f>'TEA Revised Non EYZ'!BF15</f>
        <v>0.10492961100000001</v>
      </c>
      <c r="BG15">
        <f>'TEA Revised Non EYZ'!BG15</f>
        <v>1.814625E-3</v>
      </c>
      <c r="BH15">
        <f>'TEA Revised Non EYZ'!BH15</f>
        <v>285.1951444</v>
      </c>
      <c r="BI15">
        <f>'TEA Revised Non EYZ'!BI15</f>
        <v>2169.8944889999998</v>
      </c>
      <c r="BJ15">
        <f>'TEA Revised Non EYZ'!BJ15</f>
        <v>866.49409060000005</v>
      </c>
      <c r="BK15">
        <f>'TEA Revised Non EYZ'!BK15</f>
        <v>100</v>
      </c>
      <c r="BL15">
        <f>'TEA Revised Non EYZ'!BL15</f>
        <v>13.957372480144</v>
      </c>
      <c r="BM15">
        <f>'TEA Revised Non EYZ'!BM15</f>
        <v>92.480233795174101</v>
      </c>
      <c r="BN15">
        <f>'TEA Revised Non EYZ'!BN15</f>
        <v>19.810974742489201</v>
      </c>
      <c r="BO15">
        <f>'TEA Revised Non EYZ'!BO15</f>
        <v>167.488469761728</v>
      </c>
      <c r="BP15">
        <f>'TEA Revised Non EYZ'!BP15</f>
        <v>356.59754536480563</v>
      </c>
      <c r="BQ15">
        <f>'TEA Revised Non EYZ'!BQ15</f>
        <v>16.7488469761728</v>
      </c>
      <c r="BR15">
        <f>'TEA Revised Non EYZ'!BR15</f>
        <v>35.659754536480563</v>
      </c>
      <c r="BS15">
        <f>'eLLE Bals'!CF15</f>
        <v>8.3744234880863999</v>
      </c>
      <c r="BT15">
        <f>'eLLE Bals'!CG15</f>
        <v>11.88658484549352</v>
      </c>
      <c r="BU15">
        <f>BM15</f>
        <v>92.480233795174101</v>
      </c>
      <c r="BV15">
        <f>BU15*(AM15*2+AN15*2+AO15*3)</f>
        <v>0.31463980531971397</v>
      </c>
      <c r="BW15">
        <f>BN15*BA15*(AP15*2+AQ15*2+AR15*3)</f>
        <v>0.30146669789104713</v>
      </c>
      <c r="BX15">
        <f>BV15/(2*V15*BL15+BV15)</f>
        <v>0.10129691788325806</v>
      </c>
      <c r="BY15">
        <f>BU15*BX15</f>
        <v>9.3679626485742578</v>
      </c>
      <c r="BZ15">
        <f>BW15/(2*BN15*BA15+BW15)</f>
        <v>7.070605570833105E-2</v>
      </c>
      <c r="CA15">
        <f>2*BN15*BA15/0.04</f>
        <v>99.05487371244601</v>
      </c>
      <c r="CB15">
        <f>(BS15+BL15)*2</f>
        <v>44.663591936460804</v>
      </c>
      <c r="CC15">
        <f>(BU15+BL15)*2</f>
        <v>212.87521255063621</v>
      </c>
      <c r="CD15">
        <f>(BT15+BN15)*2</f>
        <v>63.395119175965441</v>
      </c>
      <c r="CE15">
        <f>(CA15+BN15)*2</f>
        <v>237.73169690987044</v>
      </c>
      <c r="CF15">
        <f>'TEA Revised Non EYZ'!CB15</f>
        <v>2210.8478008548095</v>
      </c>
      <c r="CG15">
        <f>'TEA Revised Non EYZ'!CC15</f>
        <v>4707.0875988154348</v>
      </c>
      <c r="CH15">
        <f>'TEA Revised Non EYZ'!CD15</f>
        <v>2671.1136977461792</v>
      </c>
      <c r="CI15">
        <f>'TEA Revised Non EYZ'!CE15</f>
        <v>36306.185007612978</v>
      </c>
      <c r="CJ15">
        <f>BL15*V15</f>
        <v>1.3957372480144001</v>
      </c>
      <c r="CK15">
        <f>CJ15/2*1.2</f>
        <v>0.8374423488086401</v>
      </c>
      <c r="CL15">
        <f>'eLLE Bals'!CB15*'Oxidant Feed Composition'!$N$20</f>
        <v>4.6524574933813359E-2</v>
      </c>
      <c r="CM15">
        <f>'eLLE Bals'!CB15*'Oxidant Feed Composition'!$N$21</f>
        <v>2.326228746690667</v>
      </c>
      <c r="CN15">
        <f>'eLLE Bals'!CB15*'Oxidant Feed Composition'!$N$22</f>
        <v>0.69786862400720007</v>
      </c>
      <c r="CO15">
        <f>CN15/CK15</f>
        <v>0.83333333333333326</v>
      </c>
      <c r="CP15">
        <f>CO15</f>
        <v>0.83333333333333326</v>
      </c>
      <c r="CQ15">
        <f>CL15/CO15</f>
        <v>5.5829489920576035E-2</v>
      </c>
      <c r="CR15">
        <f>CM15/CO15</f>
        <v>2.7914744960288007</v>
      </c>
      <c r="CS15">
        <f>BN15*BA15</f>
        <v>1.9810974742489202</v>
      </c>
      <c r="CT15">
        <f>CS15/2*1.2</f>
        <v>1.1886584845493522</v>
      </c>
      <c r="CU15">
        <f>'eLLE Bals'!CC15*'Oxidant Feed Composition'!$N$20</f>
        <v>6.6036582474964037E-2</v>
      </c>
      <c r="CV15">
        <f>'eLLE Bals'!CC15*'Oxidant Feed Composition'!$N$21</f>
        <v>3.3018291237482003</v>
      </c>
      <c r="CW15">
        <f>'eLLE Bals'!CC15*'Oxidant Feed Composition'!$N$22</f>
        <v>0.99054873712446012</v>
      </c>
      <c r="CX15">
        <f>CU15/CP15</f>
        <v>7.9243898969956858E-2</v>
      </c>
      <c r="CY15">
        <f>CV15/CP15</f>
        <v>3.9621949484978405</v>
      </c>
      <c r="CZ15">
        <f>CJ15</f>
        <v>1.3957372480144001</v>
      </c>
      <c r="DA15">
        <f>'eLLE Bals'!BQ15</f>
        <v>2.7914744960288003</v>
      </c>
      <c r="DB15">
        <f>'eLLE Bals'!BU15</f>
        <v>9.5914626479872211</v>
      </c>
      <c r="DC15">
        <f>CS15</f>
        <v>1.9810974742489202</v>
      </c>
      <c r="DD15">
        <f>'eLLE Bals'!BX15</f>
        <v>3.9621949484978405</v>
      </c>
      <c r="DE15">
        <f>'eLLE Bals'!CA15</f>
        <v>22.075488350729405</v>
      </c>
      <c r="DF15">
        <f>2*2*(CJ15*'Reagent cost'!$C$36*122.44/1000+CK15*'Oxidant Feed Composition'!$N$26+CQ15*'Reagent cost'!$C$34+CR15*'Reagent cost'!$C$35)</f>
        <v>117.89473144631702</v>
      </c>
      <c r="DG15">
        <f>2*2*(CS15*'Reagent cost'!$C$36*122.44/1000+CT15*'Oxidant Feed Composition'!$N$26+CX15*'Reagent cost'!$C$34+CY15*'Reagent cost'!$C$35)</f>
        <v>167.33877026483401</v>
      </c>
      <c r="DH15">
        <f>(AF15+3)*2*(CZ15*'Reagent cost'!$C$38+DA15*'Reagent cost'!$C$39+DB15*'Reagent cost'!$C$36*122.44/1000)</f>
        <v>1783.1268990011372</v>
      </c>
      <c r="DI15">
        <f>3*2*(DC15*'Reagent cost'!$C$38+DD15*'Reagent cost'!$C$39+DE15*'Reagent cost'!$C$36*122.44/1000)</f>
        <v>1198.2687999333796</v>
      </c>
      <c r="DJ15">
        <f>7963.6*(CB15/1000)^0.6*1.7*('CAPEX+OPEX'!$G$116/'CAPEX+OPEX'!$G$115)</f>
        <v>2472.9373618126128</v>
      </c>
      <c r="DK15">
        <f>7963.6*(CC15/1000)^0.6*1.7*('CAPEX+OPEX'!$G$116/'CAPEX+OPEX'!$G$115)</f>
        <v>6311.2587327211604</v>
      </c>
      <c r="DL15">
        <f>7963.6*(CD15/1000)^0.6*1.7*('CAPEX+OPEX'!$G$116/'CAPEX+OPEX'!$G$115)</f>
        <v>3051.226316256721</v>
      </c>
      <c r="DM15">
        <f>7963.6*(CE15/1000)^0.6*1.7*('CAPEX+OPEX'!$G$116/'CAPEX+OPEX'!$G$115)</f>
        <v>6743.6214294698348</v>
      </c>
      <c r="DN15">
        <f>'TEA Revised Non EYZ'!CM15</f>
        <v>39625.826528698344</v>
      </c>
      <c r="DO15">
        <f>'TEA Revised Non EYZ'!CN15</f>
        <v>4586243.4239371875</v>
      </c>
      <c r="DP15">
        <f>'TEA Revised Non EYZ'!CO15</f>
        <v>11794834.586807497</v>
      </c>
      <c r="DQ15">
        <f>'TEA Revised Non EYZ'!CP15</f>
        <v>2275209.1661185985</v>
      </c>
      <c r="DR15">
        <f>'TEA Revised Non EYZ'!CQ15</f>
        <v>14083914.336508472</v>
      </c>
      <c r="DS15">
        <f>'TEA Revised Non EYZ'!CR15</f>
        <v>1662824.8986326549</v>
      </c>
      <c r="DT15">
        <f>'TEA Revised Non EYZ'!CS15</f>
        <v>528015.95740622084</v>
      </c>
      <c r="DU15">
        <f>'TEA Revised Non EYZ'!CT15</f>
        <v>1357943.8117688675</v>
      </c>
      <c r="DV15">
        <f>'TEA Revised Non EYZ'!CU15</f>
        <v>261945.7004565605</v>
      </c>
      <c r="DW15">
        <f>'TEA Revised Non EYZ'!CV15</f>
        <v>1621486.4378120217</v>
      </c>
      <c r="DX15">
        <f>'TEA Revised Non EYZ'!CW15</f>
        <v>191441.6658016555</v>
      </c>
      <c r="DY15">
        <f>'TEA Revised Non EYZ'!CX15</f>
        <v>3960833.5732453261</v>
      </c>
      <c r="DZ15">
        <f>'TEA Revised Non EYZ'!CY15</f>
        <v>661719.9968599478</v>
      </c>
      <c r="EA15">
        <f>'TEA Revised Non EYZ'!CZ15</f>
        <v>1701801.9290056669</v>
      </c>
      <c r="EB15">
        <f>'TEA Revised Non EYZ'!DA15</f>
        <v>328275.51071574847</v>
      </c>
      <c r="EC15">
        <f>'TEA Revised Non EYZ'!DB15</f>
        <v>2032078.7383172708</v>
      </c>
      <c r="ED15">
        <f>'TEA Revised Non EYZ'!DC15</f>
        <v>239918.46594074578</v>
      </c>
      <c r="EE15">
        <f>'TEA Revised Non EYZ'!DD15</f>
        <v>4963794.6408393793</v>
      </c>
      <c r="EF15">
        <v>0.7</v>
      </c>
      <c r="EG15">
        <v>100</v>
      </c>
      <c r="EH15">
        <f>96485*BL15*V15/EF15/EG15/60</f>
        <v>32.063740089207002</v>
      </c>
      <c r="EI15">
        <f>96485*BN15*BA15/EF15/EG15/60</f>
        <v>45.510997572120729</v>
      </c>
      <c r="EJ15">
        <f>EH15*('CAPEX+OPEX'!$O$25+'CAPEX+OPEX'!$O$26)</f>
        <v>1021935.5241232056</v>
      </c>
      <c r="EK15">
        <f>EI15*('CAPEX+OPEX'!$O$25+'CAPEX+OPEX'!$O$26)</f>
        <v>1450526.5146186319</v>
      </c>
      <c r="EL15">
        <f>EJ15*1.12/0.6*'CAPEX+OPEX'!$G$116/'CAPEX+OPEX'!$G$115</f>
        <v>2249949.8446835969</v>
      </c>
      <c r="EM15">
        <f>EK15*1.12/0.6*'CAPEX+OPEX'!$G$116/'CAPEX+OPEX'!$G$115</f>
        <v>3193559.5047209309</v>
      </c>
      <c r="EN15">
        <f>EL15+EM15+DY15+EE15+1.15*(SUM(DF15:DM15)+SUM(CF15:CI15))</f>
        <v>14446039.606707059</v>
      </c>
      <c r="EO15">
        <f>EN15/15</f>
        <v>963069.30711380392</v>
      </c>
      <c r="EP15">
        <f>('eLLE Bals'!CB15+'eLLE Bals'!CC15)*'Oxidant Feed Composition'!$N$25*60*7200</f>
        <v>13597723.258035254</v>
      </c>
      <c r="EQ15" s="83">
        <f>('eLLE Bals'!BR15+'eLLE Bals'!BY15)*'Reagent cost'!$C$38*60*7200</f>
        <v>513586.07469620765</v>
      </c>
      <c r="ER15">
        <f>'TEA Revised Non EYZ'!DI15</f>
        <v>504921.59999999998</v>
      </c>
      <c r="ES15">
        <f>'TEA Revised Non EYZ'!DJ15</f>
        <v>69.179353996702446</v>
      </c>
      <c r="ET15">
        <f>'TEA Revised Non EYZ'!DK15</f>
        <v>779.54597410718316</v>
      </c>
      <c r="EU15">
        <f>1.2*SUM(EP15:ET15)</f>
        <v>17540495.589671478</v>
      </c>
      <c r="EV15">
        <f>'TEA Revised Non EYZ'!DM15</f>
        <v>0.70639694042110623</v>
      </c>
      <c r="EW15">
        <f>(BS15*CO15+BT15*CP15)/1000*('Oxidant Feed Composition'!$B$11*'Oxidant Feed Composition'!$O$20+'Oxidant Feed Composition'!$D$11*'Oxidant Feed Composition'!$O$21+'Oxidant Feed Composition'!$F$11*'Oxidant Feed Composition'!$O$27-'Oxidant Feed Composition'!$J$15*18.015)</f>
        <v>1.9718104484777472</v>
      </c>
      <c r="EX15">
        <f>(CZ15*BX15+DC15*BZ15)*368.34/1000</f>
        <v>0.10367278109751189</v>
      </c>
      <c r="EY15">
        <f>'TEA Revised Non EYZ'!DP15</f>
        <v>4.999938342565946E-2</v>
      </c>
      <c r="EZ15">
        <f>SUM(EV15:EX15)-EY15</f>
        <v>2.7318807865707062</v>
      </c>
      <c r="FA15">
        <f>EZ15*0.33*60*7200</f>
        <v>389456.92493351985</v>
      </c>
      <c r="FB15">
        <f>'TEA Revised Non EYZ'!DS15</f>
        <v>1.2</v>
      </c>
      <c r="FC15">
        <v>0.5</v>
      </c>
      <c r="FD15">
        <f>'TEA Revised Non EYZ'!DT15</f>
        <v>1407.2889022715001</v>
      </c>
      <c r="FE15">
        <f>'TEA Revised Non EYZ'!DU15</f>
        <v>708.37877055417789</v>
      </c>
      <c r="FF15">
        <f>'TEA Revised Non EYZ'!DV15</f>
        <v>0.7</v>
      </c>
      <c r="FG15">
        <f>'TEA Revised Non EYZ'!DW15</f>
        <v>30272.303809866662</v>
      </c>
      <c r="FH15">
        <f>'TEA Revised Non EYZ'!DX15</f>
        <v>20763.049486147294</v>
      </c>
      <c r="FI15">
        <f>'TEA Revised Non EYZ'!DY15</f>
        <v>8790.8072421188135</v>
      </c>
      <c r="FJ15">
        <f>'TEA Revised Non EYZ'!DZ15</f>
        <v>4656.7358484871465</v>
      </c>
      <c r="FK15">
        <f>'TEA Revised Non EYZ'!EA15</f>
        <v>4688.4305291300352</v>
      </c>
      <c r="FL15">
        <f>'TEA Revised Non EYZ'!EB15</f>
        <v>851.12832809380325</v>
      </c>
      <c r="FM15">
        <f>'TEA Revised Non EYZ'!EC15</f>
        <v>36040.1508937365</v>
      </c>
      <c r="FN15">
        <f>'TEA Revised Non EYZ'!ED15</f>
        <v>31070.553957395477</v>
      </c>
      <c r="FO15">
        <f>'TEA Revised Non EYZ'!EE15</f>
        <v>13154.871635187601</v>
      </c>
      <c r="FP15">
        <f>'TEA Revised Non EYZ'!EF15</f>
        <v>6972.3169040409093</v>
      </c>
      <c r="FQ15">
        <f>'TEA Revised Non EYZ'!EG15</f>
        <v>7015.931538766723</v>
      </c>
      <c r="FR15">
        <f>'TEA Revised Non EYZ'!EH15</f>
        <v>428.42748043116683</v>
      </c>
      <c r="FS15">
        <f>'TEA Revised Non EYZ'!EI15</f>
        <v>164704.70765340209</v>
      </c>
      <c r="FT15">
        <f>EG15*EH15</f>
        <v>3206.3740089207004</v>
      </c>
      <c r="FU15">
        <f>EG15*EI15</f>
        <v>4551.0997572120732</v>
      </c>
      <c r="FV15">
        <f>FC15*(FT15+FU15)/(3.6*10^6)*3600*7200*0.07</f>
        <v>1954.8833890654589</v>
      </c>
      <c r="FW15">
        <f>('CAPEX+OPEX'!$C$39/7/100+0.03)*EL15</f>
        <v>115711.70629801355</v>
      </c>
      <c r="FX15">
        <f>('CAPEX+OPEX'!$C$39/7/100+0.03)*EM15</f>
        <v>164240.2030999336</v>
      </c>
      <c r="FY15">
        <f>SUM(FV15:FX15)</f>
        <v>281906.79278701264</v>
      </c>
      <c r="FZ15">
        <f>FY15+FA15+FS15+EU15</f>
        <v>18376564.015045412</v>
      </c>
      <c r="GA15">
        <f>FZ15+EO15</f>
        <v>19339633.322159216</v>
      </c>
      <c r="GB15">
        <f>GA15/(BK15*60*7200)</f>
        <v>0.44767669727220405</v>
      </c>
      <c r="GC15">
        <f>'TEA Revised Non EYZ'!EM15/'TEA Revised Non EYZ'!EK15*GA15</f>
        <v>1497.5491847085555</v>
      </c>
      <c r="GD15">
        <f>'TEA Revised Non EYZ'!EN15/'TEA Revised Non EYZ'!EK15*GA15</f>
        <v>2738.726708156003</v>
      </c>
    </row>
    <row r="16" spans="1:186">
      <c r="A16">
        <f>'TEA Revised Non EYZ'!A16</f>
        <v>4</v>
      </c>
      <c r="B16">
        <f>'TEA Revised Non EYZ'!B16</f>
        <v>1.54143585092054E-3</v>
      </c>
      <c r="C16">
        <f>'TEA Revised Non EYZ'!C16</f>
        <v>1.54143585092054E-3</v>
      </c>
      <c r="D16">
        <f>'TEA Revised Non EYZ'!D16</f>
        <v>3.4254130020456501E-4</v>
      </c>
      <c r="E16">
        <f>'TEA Revised Non EYZ'!E16</f>
        <v>0</v>
      </c>
      <c r="F16">
        <f>'TEA Revised Non EYZ'!F16</f>
        <v>0</v>
      </c>
      <c r="G16">
        <f>'TEA Revised Non EYZ'!G16</f>
        <v>0</v>
      </c>
      <c r="H16">
        <f>'TEA Revised Non EYZ'!H16</f>
        <v>1.7208960911287699E-5</v>
      </c>
      <c r="I16">
        <f>'TEA Revised Non EYZ'!I16</f>
        <v>2.8768784818324402E-7</v>
      </c>
      <c r="J16">
        <f>'TEA Revised Non EYZ'!J16</f>
        <v>3.3243632642994598E-4</v>
      </c>
      <c r="K16">
        <f>'TEA Revised Non EYZ'!K16</f>
        <v>0.10920586178936199</v>
      </c>
      <c r="L16">
        <f>'TEA Revised Non EYZ'!L16</f>
        <v>0.110418215553449</v>
      </c>
      <c r="M16">
        <f>'TEA Revised Non EYZ'!M16</f>
        <v>7.2398825703009801E-4</v>
      </c>
      <c r="N16">
        <f>'TEA Revised Non EYZ'!N16</f>
        <v>-2.168404344971E-18</v>
      </c>
      <c r="O16">
        <f>'TEA Revised Non EYZ'!O16</f>
        <v>2.3635607360183901E-17</v>
      </c>
      <c r="P16">
        <f>'TEA Revised Non EYZ'!P16</f>
        <v>-7.4538899358378406E-20</v>
      </c>
      <c r="Q16">
        <f>'TEA Revised Non EYZ'!Q16</f>
        <v>0.13957372480144001</v>
      </c>
      <c r="R16">
        <f>'TEA Revised Non EYZ'!R16</f>
        <v>97.0499984181222</v>
      </c>
      <c r="S16">
        <f>'TEA Revised Non EYZ'!S16</f>
        <v>500</v>
      </c>
      <c r="T16">
        <f>'TEA Revised Non EYZ'!T16</f>
        <v>95</v>
      </c>
      <c r="U16">
        <f>'TEA Revised Non EYZ'!U16</f>
        <v>1</v>
      </c>
      <c r="V16">
        <f>'TEA Revised Non EYZ'!V16</f>
        <v>0.1</v>
      </c>
      <c r="W16">
        <f>'TEA Revised Non EYZ'!W16</f>
        <v>71.646723007687299</v>
      </c>
      <c r="X16" t="str">
        <f>'TEA Revised Non EYZ'!X16</f>
        <v>ddFc</v>
      </c>
      <c r="Y16">
        <f>'TEA Revised Non EYZ'!Y16</f>
        <v>1</v>
      </c>
      <c r="Z16">
        <f>'TEA Revised Non EYZ'!Z16</f>
        <v>0.28318429382522198</v>
      </c>
      <c r="AA16">
        <f>'TEA Revised Non EYZ'!AA16</f>
        <v>0.56945642916197003</v>
      </c>
      <c r="AB16">
        <f>'TEA Revised Non EYZ'!AB16</f>
        <v>3.7698628972227502E-3</v>
      </c>
      <c r="AC16">
        <f>'TEA Revised Non EYZ'!AC16</f>
        <v>1822.2107908876901</v>
      </c>
      <c r="AD16">
        <f>'TEA Revised Non EYZ'!AD16</f>
        <v>2662.6059073104898</v>
      </c>
      <c r="AE16">
        <f>'TEA Revised Non EYZ'!AE16</f>
        <v>2401.5030938442701</v>
      </c>
      <c r="AF16">
        <f>'TEA Revised Non EYZ'!AF16</f>
        <v>8</v>
      </c>
      <c r="AG16">
        <f>'TEA Revised Non EYZ'!AG16</f>
        <v>1.6481650483119699E-3</v>
      </c>
      <c r="AH16">
        <f>'TEA Revised Non EYZ'!AH16</f>
        <v>1.6664622263884801E-3</v>
      </c>
      <c r="AI16">
        <f>'TEA Revised Non EYZ'!AI16</f>
        <v>1.0926630870116399E-5</v>
      </c>
      <c r="AJ16">
        <f>'TEA Revised Non EYZ'!AJ16</f>
        <v>0</v>
      </c>
      <c r="AK16">
        <f>'TEA Revised Non EYZ'!AK16</f>
        <v>0</v>
      </c>
      <c r="AL16">
        <f>'TEA Revised Non EYZ'!AL16</f>
        <v>0</v>
      </c>
      <c r="AM16">
        <f>'TEA Revised Non EYZ'!AM16</f>
        <v>1.6110629319685101E-3</v>
      </c>
      <c r="AN16">
        <f>'TEA Revised Non EYZ'!AN16</f>
        <v>7.3938379507668505E-5</v>
      </c>
      <c r="AO16">
        <f>'TEA Revised Non EYZ'!AO16</f>
        <v>1.085440638541E-5</v>
      </c>
      <c r="AP16">
        <f>'TEA Revised Non EYZ'!AP16</f>
        <v>1.73400814806823E-3</v>
      </c>
      <c r="AQ16">
        <f>'TEA Revised Non EYZ'!AQ16</f>
        <v>7.4428350688171094E-2</v>
      </c>
      <c r="AR16">
        <f>'TEA Revised Non EYZ'!AR16</f>
        <v>3.37549060036281E-6</v>
      </c>
      <c r="AS16">
        <f>'TEA Revised Non EYZ'!AS16</f>
        <v>-2.23616698075135E-19</v>
      </c>
      <c r="AT16">
        <f>'TEA Revised Non EYZ'!AT16</f>
        <v>-1.3010426069825999E-18</v>
      </c>
      <c r="AU16">
        <f>'TEA Revised Non EYZ'!AU16</f>
        <v>-9.26442286059391E-23</v>
      </c>
      <c r="AV16">
        <f>'TEA Revised Non EYZ'!AV16</f>
        <v>0.19787752425277699</v>
      </c>
      <c r="AW16">
        <f>'TEA Revised Non EYZ'!AW16</f>
        <v>99.339004990971901</v>
      </c>
      <c r="AX16">
        <f>'TEA Revised Non EYZ'!AX16</f>
        <v>500</v>
      </c>
      <c r="AY16">
        <f>'TEA Revised Non EYZ'!AY16</f>
        <v>95</v>
      </c>
      <c r="AZ16">
        <f>'TEA Revised Non EYZ'!AZ16</f>
        <v>0.92480233795174105</v>
      </c>
      <c r="BA16">
        <f>'TEA Revised Non EYZ'!BA16</f>
        <v>0.1</v>
      </c>
      <c r="BB16">
        <f>'TEA Revised Non EYZ'!BB16</f>
        <v>46.736098070964097</v>
      </c>
      <c r="BC16" t="str">
        <f>'TEA Revised Non EYZ'!BC16</f>
        <v>coeFc</v>
      </c>
      <c r="BD16">
        <f>'TEA Revised Non EYZ'!BD16</f>
        <v>1</v>
      </c>
      <c r="BE16">
        <f>'TEA Revised Non EYZ'!BE16</f>
        <v>1.8775014999999999E-2</v>
      </c>
      <c r="BF16">
        <f>'TEA Revised Non EYZ'!BF16</f>
        <v>0.10492961100000001</v>
      </c>
      <c r="BG16">
        <f>'TEA Revised Non EYZ'!BG16</f>
        <v>1.814625E-3</v>
      </c>
      <c r="BH16">
        <f>'TEA Revised Non EYZ'!BH16</f>
        <v>285.1951444</v>
      </c>
      <c r="BI16">
        <f>'TEA Revised Non EYZ'!BI16</f>
        <v>2169.8944889999998</v>
      </c>
      <c r="BJ16">
        <f>'TEA Revised Non EYZ'!BJ16</f>
        <v>866.49409060000005</v>
      </c>
      <c r="BK16">
        <f>'TEA Revised Non EYZ'!BK16</f>
        <v>100</v>
      </c>
      <c r="BL16">
        <f>'TEA Revised Non EYZ'!BL16</f>
        <v>13.957372480144</v>
      </c>
      <c r="BM16">
        <f>'TEA Revised Non EYZ'!BM16</f>
        <v>92.480233795174101</v>
      </c>
      <c r="BN16">
        <f>'TEA Revised Non EYZ'!BN16</f>
        <v>19.787752425277699</v>
      </c>
      <c r="BO16">
        <f>'TEA Revised Non EYZ'!BO16</f>
        <v>167.488469761728</v>
      </c>
      <c r="BP16">
        <f>'TEA Revised Non EYZ'!BP16</f>
        <v>395.75504850555399</v>
      </c>
      <c r="BQ16">
        <f>'TEA Revised Non EYZ'!BQ16</f>
        <v>16.7488469761728</v>
      </c>
      <c r="BR16">
        <f>'TEA Revised Non EYZ'!BR16</f>
        <v>39.575504850555404</v>
      </c>
      <c r="BS16">
        <f>'eLLE Bals'!CF16</f>
        <v>8.3744234880863999</v>
      </c>
      <c r="BT16">
        <f>'eLLE Bals'!CG16</f>
        <v>11.872651455166618</v>
      </c>
      <c r="BU16">
        <f>BM16</f>
        <v>92.480233795174101</v>
      </c>
      <c r="BV16">
        <f>BU16*(AM16*2+AN16*2+AO16*3)</f>
        <v>0.31467008458167556</v>
      </c>
      <c r="BW16">
        <f>BN16*BA16*(AP16*2+AQ16*2+AR16*3)</f>
        <v>0.30143641816702721</v>
      </c>
      <c r="BX16">
        <f>BV16/(2*V16*BL16+BV16)</f>
        <v>0.10130567860425573</v>
      </c>
      <c r="BY16">
        <f>BU16*BX16</f>
        <v>9.368772842100336</v>
      </c>
      <c r="BZ16">
        <f>BW16/(2*BN16*BA16+BW16)</f>
        <v>7.0776554381734538E-2</v>
      </c>
      <c r="CA16">
        <f>2*BN16*BA16/0.04</f>
        <v>98.938762126388497</v>
      </c>
      <c r="CB16">
        <f>(BS16+BL16)*2</f>
        <v>44.663591936460804</v>
      </c>
      <c r="CC16">
        <f>(BU16+BL16)*2</f>
        <v>212.87521255063621</v>
      </c>
      <c r="CD16">
        <f>(BT16+BN16)*2</f>
        <v>63.320807760888634</v>
      </c>
      <c r="CE16">
        <f>(CA16+BN16)*2</f>
        <v>237.4530291033324</v>
      </c>
      <c r="CF16">
        <f>'TEA Revised Non EYZ'!CB16</f>
        <v>2210.8478008548095</v>
      </c>
      <c r="CG16">
        <f>'TEA Revised Non EYZ'!CC16</f>
        <v>5223.9666402733128</v>
      </c>
      <c r="CH16">
        <f>'TEA Revised Non EYZ'!CD16</f>
        <v>2671.1136977461792</v>
      </c>
      <c r="CI16">
        <f>'TEA Revised Non EYZ'!CE16</f>
        <v>40292.918993708743</v>
      </c>
      <c r="CJ16">
        <f>BL16*V16</f>
        <v>1.3957372480144001</v>
      </c>
      <c r="CK16">
        <f>CJ16/2*1.2</f>
        <v>0.8374423488086401</v>
      </c>
      <c r="CL16">
        <f>'eLLE Bals'!CB16*'Oxidant Feed Composition'!$N$20</f>
        <v>4.6524574933813359E-2</v>
      </c>
      <c r="CM16">
        <f>'eLLE Bals'!CB16*'Oxidant Feed Composition'!$N$21</f>
        <v>2.326228746690667</v>
      </c>
      <c r="CN16">
        <f>'eLLE Bals'!CB16*'Oxidant Feed Composition'!$N$22</f>
        <v>0.69786862400720007</v>
      </c>
      <c r="CO16">
        <f>CN16/CK16</f>
        <v>0.83333333333333326</v>
      </c>
      <c r="CP16">
        <f>CO16</f>
        <v>0.83333333333333326</v>
      </c>
      <c r="CQ16">
        <f>CL16/CO16</f>
        <v>5.5829489920576035E-2</v>
      </c>
      <c r="CR16">
        <f>CM16/CO16</f>
        <v>2.7914744960288007</v>
      </c>
      <c r="CS16">
        <f>BN16*BA16</f>
        <v>1.97877524252777</v>
      </c>
      <c r="CT16">
        <f>CS16/2*1.2</f>
        <v>1.1872651455166621</v>
      </c>
      <c r="CU16">
        <f>'eLLE Bals'!CC16*'Oxidant Feed Composition'!$N$20</f>
        <v>6.5959174750925692E-2</v>
      </c>
      <c r="CV16">
        <f>'eLLE Bals'!CC16*'Oxidant Feed Composition'!$N$21</f>
        <v>3.2979587375462835</v>
      </c>
      <c r="CW16">
        <f>'eLLE Bals'!CC16*'Oxidant Feed Composition'!$N$22</f>
        <v>0.98938762126388502</v>
      </c>
      <c r="CX16">
        <f>CU16/CP16</f>
        <v>7.9151009701110844E-2</v>
      </c>
      <c r="CY16">
        <f>CV16/CP16</f>
        <v>3.9575504850555405</v>
      </c>
      <c r="CZ16">
        <f>CJ16</f>
        <v>1.3957372480144001</v>
      </c>
      <c r="DA16">
        <f>'eLLE Bals'!BQ16</f>
        <v>2.7914744960288003</v>
      </c>
      <c r="DB16">
        <f>'eLLE Bals'!BU16</f>
        <v>9.5902710905248689</v>
      </c>
      <c r="DC16">
        <f>CS16</f>
        <v>1.97877524252777</v>
      </c>
      <c r="DD16">
        <f>'eLLE Bals'!BX16</f>
        <v>3.9575504850555401</v>
      </c>
      <c r="DE16">
        <f>'eLLE Bals'!CA16</f>
        <v>22.021735523254261</v>
      </c>
      <c r="DF16">
        <f>2*2*(CJ16*'Reagent cost'!$C$36*122.44/1000+CK16*'Oxidant Feed Composition'!$N$26+CQ16*'Reagent cost'!$C$34+CR16*'Reagent cost'!$C$35)</f>
        <v>117.89473144631702</v>
      </c>
      <c r="DG16">
        <f>2*2*(CS16*'Reagent cost'!$C$36*122.44/1000+CT16*'Oxidant Feed Composition'!$N$26+CX16*'Reagent cost'!$C$34+CY16*'Reagent cost'!$C$35)</f>
        <v>167.14261666535776</v>
      </c>
      <c r="DH16">
        <f>(AF16+3)*2*(CZ16*'Reagent cost'!$C$38+DA16*'Reagent cost'!$C$39+DB16*'Reagent cost'!$C$36*122.44/1000)</f>
        <v>1961.2129216876949</v>
      </c>
      <c r="DI16">
        <f>3*2*(DC16*'Reagent cost'!$C$38+DD16*'Reagent cost'!$C$39+DE16*'Reagent cost'!$C$36*122.44/1000)</f>
        <v>1195.4179780484619</v>
      </c>
      <c r="DJ16">
        <f>7963.6*(CB16/1000)^0.6*1.7*('CAPEX+OPEX'!$G$116/'CAPEX+OPEX'!$G$115)</f>
        <v>2472.9373618126128</v>
      </c>
      <c r="DK16">
        <f>7963.6*(CC16/1000)^0.6*1.7*('CAPEX+OPEX'!$G$116/'CAPEX+OPEX'!$G$115)</f>
        <v>6311.2587327211604</v>
      </c>
      <c r="DL16">
        <f>7963.6*(CD16/1000)^0.6*1.7*('CAPEX+OPEX'!$G$116/'CAPEX+OPEX'!$G$115)</f>
        <v>3049.0798343108368</v>
      </c>
      <c r="DM16">
        <f>7963.6*(CE16/1000)^0.6*1.7*('CAPEX+OPEX'!$G$116/'CAPEX+OPEX'!$G$115)</f>
        <v>6738.8774150481213</v>
      </c>
      <c r="DN16">
        <f>'TEA Revised Non EYZ'!CM16</f>
        <v>39625.826528698344</v>
      </c>
      <c r="DO16">
        <f>'TEA Revised Non EYZ'!CN16</f>
        <v>4586243.4239371875</v>
      </c>
      <c r="DP16">
        <f>'TEA Revised Non EYZ'!CO16</f>
        <v>11794834.586807497</v>
      </c>
      <c r="DQ16">
        <f>'TEA Revised Non EYZ'!CP16</f>
        <v>2275209.1661185985</v>
      </c>
      <c r="DR16">
        <f>'TEA Revised Non EYZ'!CQ16</f>
        <v>14083914.336508472</v>
      </c>
      <c r="DS16">
        <f>'TEA Revised Non EYZ'!CR16</f>
        <v>1662824.8986326549</v>
      </c>
      <c r="DT16">
        <f>'TEA Revised Non EYZ'!CS16</f>
        <v>528015.95740622084</v>
      </c>
      <c r="DU16">
        <f>'TEA Revised Non EYZ'!CT16</f>
        <v>1357943.8117688675</v>
      </c>
      <c r="DV16">
        <f>'TEA Revised Non EYZ'!CU16</f>
        <v>261945.7004565605</v>
      </c>
      <c r="DW16">
        <f>'TEA Revised Non EYZ'!CV16</f>
        <v>1621486.4378120217</v>
      </c>
      <c r="DX16">
        <f>'TEA Revised Non EYZ'!CW16</f>
        <v>191441.6658016555</v>
      </c>
      <c r="DY16">
        <f>'TEA Revised Non EYZ'!CX16</f>
        <v>3960833.5732453261</v>
      </c>
      <c r="DZ16">
        <f>'TEA Revised Non EYZ'!CY16</f>
        <v>710175.64189173898</v>
      </c>
      <c r="EA16">
        <f>'TEA Revised Non EYZ'!CZ16</f>
        <v>1826419.4569292928</v>
      </c>
      <c r="EB16">
        <f>'TEA Revised Non EYZ'!DA16</f>
        <v>352314.07943870482</v>
      </c>
      <c r="EC16">
        <f>'TEA Revised Non EYZ'!DB16</f>
        <v>2180881.3836775436</v>
      </c>
      <c r="ED16">
        <f>'TEA Revised Non EYZ'!DC16</f>
        <v>257486.93006055866</v>
      </c>
      <c r="EE16">
        <f>'TEA Revised Non EYZ'!DD16</f>
        <v>5327277.491997839</v>
      </c>
      <c r="EF16">
        <v>0.7</v>
      </c>
      <c r="EG16">
        <v>100</v>
      </c>
      <c r="EH16">
        <f>96485*BL16*V16/EF16/EG16/60</f>
        <v>32.063740089207002</v>
      </c>
      <c r="EI16">
        <f>96485*BN16*BA16/EF16/EG16/60</f>
        <v>45.45764982745046</v>
      </c>
      <c r="EJ16">
        <f>EH16*('CAPEX+OPEX'!$O$25+'CAPEX+OPEX'!$O$26)</f>
        <v>1021935.5241232056</v>
      </c>
      <c r="EK16">
        <f>EI16*('CAPEX+OPEX'!$O$25+'CAPEX+OPEX'!$O$26)</f>
        <v>1448826.2153005011</v>
      </c>
      <c r="EL16">
        <f>EJ16*1.12/0.6*'CAPEX+OPEX'!$G$116/'CAPEX+OPEX'!$G$115</f>
        <v>2249949.8446835969</v>
      </c>
      <c r="EM16">
        <f>EK16*1.12/0.6*'CAPEX+OPEX'!$G$116/'CAPEX+OPEX'!$G$115</f>
        <v>3189816.0315795839</v>
      </c>
      <c r="EN16">
        <f>EL16+EM16+DY16+EE16+1.15*(SUM(DF16:DM16)+SUM(CF16:CI16))</f>
        <v>14811151.510539318</v>
      </c>
      <c r="EO16">
        <f>EN16/15</f>
        <v>987410.10070262116</v>
      </c>
      <c r="EP16">
        <f>('eLLE Bals'!CB16+'eLLE Bals'!CC16)*'Oxidant Feed Composition'!$N$25*60*7200</f>
        <v>13588372.174288971</v>
      </c>
      <c r="EQ16" s="83">
        <f>('eLLE Bals'!BR16+'eLLE Bals'!BY16)*'Reagent cost'!$C$38*60*7200</f>
        <v>513563.32557610807</v>
      </c>
      <c r="ER16">
        <f>'TEA Revised Non EYZ'!DI16</f>
        <v>504921.59999999998</v>
      </c>
      <c r="ES16">
        <f>'TEA Revised Non EYZ'!DJ16</f>
        <v>74.348144411281226</v>
      </c>
      <c r="ET16">
        <f>'TEA Revised Non EYZ'!DK16</f>
        <v>859.28065382909847</v>
      </c>
      <c r="EU16">
        <f>1.2*SUM(EP16:ET16)</f>
        <v>17529348.874395981</v>
      </c>
      <c r="EV16">
        <f>'TEA Revised Non EYZ'!DM16</f>
        <v>0.70639694042110623</v>
      </c>
      <c r="EW16">
        <f>(BS16*CO16+BT16*CP16)/1000*('Oxidant Feed Composition'!$B$11*'Oxidant Feed Composition'!$O$20+'Oxidant Feed Composition'!$D$11*'Oxidant Feed Composition'!$O$21+'Oxidant Feed Composition'!$F$11*'Oxidant Feed Composition'!$O$27-'Oxidant Feed Composition'!$J$15*18.015)</f>
        <v>1.9704544446611074</v>
      </c>
      <c r="EX16">
        <f>(CZ16*BX16+DC16*BZ16)*368.34/1000</f>
        <v>0.10366818894701472</v>
      </c>
      <c r="EY16">
        <f>'TEA Revised Non EYZ'!DP16</f>
        <v>4.999938342565946E-2</v>
      </c>
      <c r="EZ16">
        <f>SUM(EV16:EX16)-EY16</f>
        <v>2.7305201906035692</v>
      </c>
      <c r="FA16">
        <f>EZ16*0.33*60*7200</f>
        <v>389262.95837244485</v>
      </c>
      <c r="FB16">
        <f>'TEA Revised Non EYZ'!DS16</f>
        <v>1.2</v>
      </c>
      <c r="FC16">
        <v>0.5</v>
      </c>
      <c r="FD16">
        <f>'TEA Revised Non EYZ'!DT16</f>
        <v>1407.4244845655176</v>
      </c>
      <c r="FE16">
        <f>'TEA Revised Non EYZ'!DU16</f>
        <v>708.24318720155725</v>
      </c>
      <c r="FF16">
        <f>'TEA Revised Non EYZ'!DV16</f>
        <v>0.7</v>
      </c>
      <c r="FG16">
        <f>'TEA Revised Non EYZ'!DW16</f>
        <v>30272.303809866662</v>
      </c>
      <c r="FH16">
        <f>'TEA Revised Non EYZ'!DX16</f>
        <v>20763.049486147294</v>
      </c>
      <c r="FI16">
        <f>'TEA Revised Non EYZ'!DY16</f>
        <v>8790.8072421188135</v>
      </c>
      <c r="FJ16">
        <f>'TEA Revised Non EYZ'!DZ16</f>
        <v>4656.7358484871465</v>
      </c>
      <c r="FK16">
        <f>'TEA Revised Non EYZ'!EA16</f>
        <v>4688.4305291300352</v>
      </c>
      <c r="FL16">
        <f>'TEA Revised Non EYZ'!EB16</f>
        <v>851.21032826522514</v>
      </c>
      <c r="FM16">
        <f>'TEA Revised Non EYZ'!EC16</f>
        <v>38614.447386146239</v>
      </c>
      <c r="FN16">
        <f>'TEA Revised Non EYZ'!ED16</f>
        <v>34954.37320206991</v>
      </c>
      <c r="FO16">
        <f>'TEA Revised Non EYZ'!EE16</f>
        <v>14799.230589586048</v>
      </c>
      <c r="FP16">
        <f>'TEA Revised Non EYZ'!EF16</f>
        <v>7843.8565170460224</v>
      </c>
      <c r="FQ16">
        <f>'TEA Revised Non EYZ'!EG16</f>
        <v>7892.9229811125624</v>
      </c>
      <c r="FR16">
        <f>'TEA Revised Non EYZ'!EH16</f>
        <v>428.34547961950182</v>
      </c>
      <c r="FS16">
        <f>'TEA Revised Non EYZ'!EI16</f>
        <v>174555.71339959546</v>
      </c>
      <c r="FT16">
        <f>EG16*EH16</f>
        <v>3206.3740089207004</v>
      </c>
      <c r="FU16">
        <f>EG16*EI16</f>
        <v>4545.7649827450459</v>
      </c>
      <c r="FV16">
        <f>FC16*(FT16+FU16)/(3.6*10^6)*3600*7200*0.07</f>
        <v>1953.5390258997684</v>
      </c>
      <c r="FW16">
        <f>('CAPEX+OPEX'!$C$39/7/100+0.03)*EL16</f>
        <v>115711.70629801355</v>
      </c>
      <c r="FX16">
        <f>('CAPEX+OPEX'!$C$39/7/100+0.03)*EM16</f>
        <v>164047.68162409289</v>
      </c>
      <c r="FY16">
        <f>SUM(FV16:FX16)</f>
        <v>281712.92694800621</v>
      </c>
      <c r="FZ16">
        <f>FY16+FA16+FS16+EU16</f>
        <v>18374880.473116029</v>
      </c>
      <c r="GA16">
        <f>FZ16+EO16</f>
        <v>19362290.57381865</v>
      </c>
      <c r="GB16">
        <f>GA16/(BK16*60*7200)</f>
        <v>0.44820117069024651</v>
      </c>
      <c r="GC16">
        <f>'TEA Revised Non EYZ'!EM16/'TEA Revised Non EYZ'!EK16*GA16</f>
        <v>1499.1590140751748</v>
      </c>
      <c r="GD16">
        <f>'TEA Revised Non EYZ'!EN16/'TEA Revised Non EYZ'!EK16*GA16</f>
        <v>2742.4190618970374</v>
      </c>
    </row>
    <row r="17" spans="1:186">
      <c r="A17">
        <f>'TEA Revised Non EYZ'!A17</f>
        <v>4</v>
      </c>
      <c r="B17">
        <f>'TEA Revised Non EYZ'!B17</f>
        <v>1.54143585092054E-3</v>
      </c>
      <c r="C17">
        <f>'TEA Revised Non EYZ'!C17</f>
        <v>1.54143585092054E-3</v>
      </c>
      <c r="D17">
        <f>'TEA Revised Non EYZ'!D17</f>
        <v>3.4254130020456501E-4</v>
      </c>
      <c r="E17">
        <f>'TEA Revised Non EYZ'!E17</f>
        <v>0</v>
      </c>
      <c r="F17">
        <f>'TEA Revised Non EYZ'!F17</f>
        <v>0</v>
      </c>
      <c r="G17">
        <f>'TEA Revised Non EYZ'!G17</f>
        <v>0</v>
      </c>
      <c r="H17">
        <f>'TEA Revised Non EYZ'!H17</f>
        <v>1.7208960911287699E-5</v>
      </c>
      <c r="I17">
        <f>'TEA Revised Non EYZ'!I17</f>
        <v>2.8768784818324402E-7</v>
      </c>
      <c r="J17">
        <f>'TEA Revised Non EYZ'!J17</f>
        <v>3.3243632642994598E-4</v>
      </c>
      <c r="K17">
        <f>'TEA Revised Non EYZ'!K17</f>
        <v>0.10920586178936199</v>
      </c>
      <c r="L17">
        <f>'TEA Revised Non EYZ'!L17</f>
        <v>0.110418215553449</v>
      </c>
      <c r="M17">
        <f>'TEA Revised Non EYZ'!M17</f>
        <v>7.2398825703009801E-4</v>
      </c>
      <c r="N17">
        <f>'TEA Revised Non EYZ'!N17</f>
        <v>-2.168404344971E-18</v>
      </c>
      <c r="O17">
        <f>'TEA Revised Non EYZ'!O17</f>
        <v>2.3635607360183901E-17</v>
      </c>
      <c r="P17">
        <f>'TEA Revised Non EYZ'!P17</f>
        <v>-7.4538899358378406E-20</v>
      </c>
      <c r="Q17">
        <f>'TEA Revised Non EYZ'!Q17</f>
        <v>0.13957372480144001</v>
      </c>
      <c r="R17">
        <f>'TEA Revised Non EYZ'!R17</f>
        <v>97.0499984181222</v>
      </c>
      <c r="S17">
        <f>'TEA Revised Non EYZ'!S17</f>
        <v>500</v>
      </c>
      <c r="T17">
        <f>'TEA Revised Non EYZ'!T17</f>
        <v>95</v>
      </c>
      <c r="U17">
        <f>'TEA Revised Non EYZ'!U17</f>
        <v>1</v>
      </c>
      <c r="V17">
        <f>'TEA Revised Non EYZ'!V17</f>
        <v>0.1</v>
      </c>
      <c r="W17">
        <f>'TEA Revised Non EYZ'!W17</f>
        <v>71.646723007687299</v>
      </c>
      <c r="X17" t="str">
        <f>'TEA Revised Non EYZ'!X17</f>
        <v>ddFc</v>
      </c>
      <c r="Y17">
        <f>'TEA Revised Non EYZ'!Y17</f>
        <v>1</v>
      </c>
      <c r="Z17">
        <f>'TEA Revised Non EYZ'!Z17</f>
        <v>0.28318429382522198</v>
      </c>
      <c r="AA17">
        <f>'TEA Revised Non EYZ'!AA17</f>
        <v>0.56945642916197003</v>
      </c>
      <c r="AB17">
        <f>'TEA Revised Non EYZ'!AB17</f>
        <v>3.7698628972227502E-3</v>
      </c>
      <c r="AC17">
        <f>'TEA Revised Non EYZ'!AC17</f>
        <v>1822.2107908876901</v>
      </c>
      <c r="AD17">
        <f>'TEA Revised Non EYZ'!AD17</f>
        <v>2662.6059073104898</v>
      </c>
      <c r="AE17">
        <f>'TEA Revised Non EYZ'!AE17</f>
        <v>2401.5030938442701</v>
      </c>
      <c r="AF17">
        <f>'TEA Revised Non EYZ'!AF17</f>
        <v>9</v>
      </c>
      <c r="AG17">
        <f>'TEA Revised Non EYZ'!AG17</f>
        <v>1.6481650483119699E-3</v>
      </c>
      <c r="AH17">
        <f>'TEA Revised Non EYZ'!AH17</f>
        <v>1.6664622263884801E-3</v>
      </c>
      <c r="AI17">
        <f>'TEA Revised Non EYZ'!AI17</f>
        <v>1.0926630870116399E-5</v>
      </c>
      <c r="AJ17">
        <f>'TEA Revised Non EYZ'!AJ17</f>
        <v>0</v>
      </c>
      <c r="AK17">
        <f>'TEA Revised Non EYZ'!AK17</f>
        <v>0</v>
      </c>
      <c r="AL17">
        <f>'TEA Revised Non EYZ'!AL17</f>
        <v>0</v>
      </c>
      <c r="AM17">
        <f>'TEA Revised Non EYZ'!AM17</f>
        <v>1.6111071396005901E-3</v>
      </c>
      <c r="AN17">
        <f>'TEA Revised Non EYZ'!AN17</f>
        <v>7.3940623679874496E-5</v>
      </c>
      <c r="AO17">
        <f>'TEA Revised Non EYZ'!AO17</f>
        <v>1.0854488886514799E-5</v>
      </c>
      <c r="AP17">
        <f>'TEA Revised Non EYZ'!AP17</f>
        <v>1.73252052347845E-3</v>
      </c>
      <c r="AQ17">
        <f>'TEA Revised Non EYZ'!AQ17</f>
        <v>7.4453104800508499E-2</v>
      </c>
      <c r="AR17">
        <f>'TEA Revised Non EYZ'!AR17</f>
        <v>3.37276094477029E-6</v>
      </c>
      <c r="AS17">
        <f>'TEA Revised Non EYZ'!AS17</f>
        <v>6.3475293814521601E-16</v>
      </c>
      <c r="AT17">
        <f>'TEA Revised Non EYZ'!AT17</f>
        <v>-7.9814627129692894E-14</v>
      </c>
      <c r="AU17">
        <f>'TEA Revised Non EYZ'!AU17</f>
        <v>-9.9261673506363302E-22</v>
      </c>
      <c r="AV17">
        <f>'TEA Revised Non EYZ'!AV17</f>
        <v>0.19781145533817099</v>
      </c>
      <c r="AW17">
        <f>'TEA Revised Non EYZ'!AW17</f>
        <v>99.339760037113095</v>
      </c>
      <c r="AX17">
        <f>'TEA Revised Non EYZ'!AX17</f>
        <v>500</v>
      </c>
      <c r="AY17">
        <f>'TEA Revised Non EYZ'!AY17</f>
        <v>95</v>
      </c>
      <c r="AZ17">
        <f>'TEA Revised Non EYZ'!AZ17</f>
        <v>0.92480233795174105</v>
      </c>
      <c r="BA17">
        <f>'TEA Revised Non EYZ'!BA17</f>
        <v>0.1</v>
      </c>
      <c r="BB17">
        <f>'TEA Revised Non EYZ'!BB17</f>
        <v>46.751707901381799</v>
      </c>
      <c r="BC17" t="str">
        <f>'TEA Revised Non EYZ'!BC17</f>
        <v>coeFc</v>
      </c>
      <c r="BD17">
        <f>'TEA Revised Non EYZ'!BD17</f>
        <v>1</v>
      </c>
      <c r="BE17">
        <f>'TEA Revised Non EYZ'!BE17</f>
        <v>1.8775014999999999E-2</v>
      </c>
      <c r="BF17">
        <f>'TEA Revised Non EYZ'!BF17</f>
        <v>0.10492961100000001</v>
      </c>
      <c r="BG17">
        <f>'TEA Revised Non EYZ'!BG17</f>
        <v>1.814625E-3</v>
      </c>
      <c r="BH17">
        <f>'TEA Revised Non EYZ'!BH17</f>
        <v>285.1951444</v>
      </c>
      <c r="BI17">
        <f>'TEA Revised Non EYZ'!BI17</f>
        <v>2169.8944889999998</v>
      </c>
      <c r="BJ17">
        <f>'TEA Revised Non EYZ'!BJ17</f>
        <v>866.49409060000005</v>
      </c>
      <c r="BK17">
        <f>'TEA Revised Non EYZ'!BK17</f>
        <v>100</v>
      </c>
      <c r="BL17">
        <f>'TEA Revised Non EYZ'!BL17</f>
        <v>13.957372480144</v>
      </c>
      <c r="BM17">
        <f>'TEA Revised Non EYZ'!BM17</f>
        <v>92.480233795174101</v>
      </c>
      <c r="BN17">
        <f>'TEA Revised Non EYZ'!BN17</f>
        <v>19.781145533817099</v>
      </c>
      <c r="BO17">
        <f>'TEA Revised Non EYZ'!BO17</f>
        <v>167.488469761728</v>
      </c>
      <c r="BP17">
        <f>'TEA Revised Non EYZ'!BP17</f>
        <v>435.18520174397617</v>
      </c>
      <c r="BQ17">
        <f>'TEA Revised Non EYZ'!BQ17</f>
        <v>16.7488469761728</v>
      </c>
      <c r="BR17">
        <f>'TEA Revised Non EYZ'!BR17</f>
        <v>43.518520174397622</v>
      </c>
      <c r="BS17">
        <f>'eLLE Bals'!CF17</f>
        <v>8.3744234880863999</v>
      </c>
      <c r="BT17">
        <f>'eLLE Bals'!CG17</f>
        <v>11.86868732029026</v>
      </c>
      <c r="BU17">
        <f>BM17</f>
        <v>92.480233795174101</v>
      </c>
      <c r="BV17">
        <f>BU17*(AM17*2+AN17*2+AO17*3)</f>
        <v>0.31467869921828112</v>
      </c>
      <c r="BW17">
        <f>BN17*BA17*(AP17*2+AQ17*2+AR17*3)</f>
        <v>0.30142780354625931</v>
      </c>
      <c r="BX17">
        <f>BV17/(2*V17*BL17+BV17)</f>
        <v>0.10130817105215242</v>
      </c>
      <c r="BY17">
        <f>BU17*BX17</f>
        <v>9.3690033442645451</v>
      </c>
      <c r="BZ17">
        <f>BW17/(2*BN17*BA17+BW17)</f>
        <v>7.0796640005531833E-2</v>
      </c>
      <c r="CA17">
        <f>2*BN17*BA17/0.04</f>
        <v>98.905727669085493</v>
      </c>
      <c r="CB17">
        <f>(BS17+BL17)*2</f>
        <v>44.663591936460804</v>
      </c>
      <c r="CC17">
        <f>(BU17+BL17)*2</f>
        <v>212.87521255063621</v>
      </c>
      <c r="CD17">
        <f>(BT17+BN17)*2</f>
        <v>63.299665708214718</v>
      </c>
      <c r="CE17">
        <f>(CA17+BN17)*2</f>
        <v>237.37374640580518</v>
      </c>
      <c r="CF17">
        <f>'TEA Revised Non EYZ'!CB17</f>
        <v>2210.8478008548095</v>
      </c>
      <c r="CG17">
        <f>'TEA Revised Non EYZ'!CC17</f>
        <v>5744.4446630204857</v>
      </c>
      <c r="CH17">
        <f>'TEA Revised Non EYZ'!CD17</f>
        <v>2671.1136977461792</v>
      </c>
      <c r="CI17">
        <f>'TEA Revised Non EYZ'!CE17</f>
        <v>44307.41224236018</v>
      </c>
      <c r="CJ17">
        <f>BL17*V17</f>
        <v>1.3957372480144001</v>
      </c>
      <c r="CK17">
        <f>CJ17/2*1.2</f>
        <v>0.8374423488086401</v>
      </c>
      <c r="CL17">
        <f>'eLLE Bals'!CB17*'Oxidant Feed Composition'!$N$20</f>
        <v>4.6524574933813359E-2</v>
      </c>
      <c r="CM17">
        <f>'eLLE Bals'!CB17*'Oxidant Feed Composition'!$N$21</f>
        <v>2.326228746690667</v>
      </c>
      <c r="CN17">
        <f>'eLLE Bals'!CB17*'Oxidant Feed Composition'!$N$22</f>
        <v>0.69786862400720007</v>
      </c>
      <c r="CO17">
        <f>CN17/CK17</f>
        <v>0.83333333333333326</v>
      </c>
      <c r="CP17">
        <f>CO17</f>
        <v>0.83333333333333326</v>
      </c>
      <c r="CQ17">
        <f>CL17/CO17</f>
        <v>5.5829489920576035E-2</v>
      </c>
      <c r="CR17">
        <f>CM17/CO17</f>
        <v>2.7914744960288007</v>
      </c>
      <c r="CS17">
        <f>BN17*BA17</f>
        <v>1.9781145533817099</v>
      </c>
      <c r="CT17">
        <f>CS17/2*1.2</f>
        <v>1.1868687320290259</v>
      </c>
      <c r="CU17">
        <f>'eLLE Bals'!CC17*'Oxidant Feed Composition'!$N$20</f>
        <v>6.5937151779390357E-2</v>
      </c>
      <c r="CV17">
        <f>'eLLE Bals'!CC17*'Oxidant Feed Composition'!$N$21</f>
        <v>3.2968575889695169</v>
      </c>
      <c r="CW17">
        <f>'eLLE Bals'!CC17*'Oxidant Feed Composition'!$N$22</f>
        <v>0.98905727669085497</v>
      </c>
      <c r="CX17">
        <f>CU17/CP17</f>
        <v>7.9124582135268434E-2</v>
      </c>
      <c r="CY17">
        <f>CV17/CP17</f>
        <v>3.9562291067634208</v>
      </c>
      <c r="CZ17">
        <f>CJ17</f>
        <v>1.3957372480144001</v>
      </c>
      <c r="DA17">
        <f>'eLLE Bals'!BQ17</f>
        <v>2.7914744960288003</v>
      </c>
      <c r="DB17">
        <f>'eLLE Bals'!BU17</f>
        <v>9.5899321282918848</v>
      </c>
      <c r="DC17">
        <f>CS17</f>
        <v>1.9781145533817099</v>
      </c>
      <c r="DD17">
        <f>'eLLE Bals'!BX17</f>
        <v>3.9562291067634199</v>
      </c>
      <c r="DE17">
        <f>'eLLE Bals'!CA17</f>
        <v>22.006453434563685</v>
      </c>
      <c r="DF17">
        <f>2*2*(CJ17*'Reagent cost'!$C$36*122.44/1000+CK17*'Oxidant Feed Composition'!$N$26+CQ17*'Reagent cost'!$C$34+CR17*'Reagent cost'!$C$35)</f>
        <v>117.89473144631702</v>
      </c>
      <c r="DG17">
        <f>2*2*(CS17*'Reagent cost'!$C$36*122.44/1000+CT17*'Oxidant Feed Composition'!$N$26+CX17*'Reagent cost'!$C$34+CY17*'Reagent cost'!$C$35)</f>
        <v>167.08680976505823</v>
      </c>
      <c r="DH17">
        <f>(AF17+3)*2*(CZ17*'Reagent cost'!$C$38+DA17*'Reagent cost'!$C$39+DB17*'Reagent cost'!$C$36*122.44/1000)</f>
        <v>2139.4346636595974</v>
      </c>
      <c r="DI17">
        <f>3*2*(DC17*'Reagent cost'!$C$38+DD17*'Reagent cost'!$C$39+DE17*'Reagent cost'!$C$36*122.44/1000)</f>
        <v>1194.6074682916399</v>
      </c>
      <c r="DJ17">
        <f>7963.6*(CB17/1000)^0.6*1.7*('CAPEX+OPEX'!$G$116/'CAPEX+OPEX'!$G$115)</f>
        <v>2472.9373618126128</v>
      </c>
      <c r="DK17">
        <f>7963.6*(CC17/1000)^0.6*1.7*('CAPEX+OPEX'!$G$116/'CAPEX+OPEX'!$G$115)</f>
        <v>6311.2587327211604</v>
      </c>
      <c r="DL17">
        <f>7963.6*(CD17/1000)^0.6*1.7*('CAPEX+OPEX'!$G$116/'CAPEX+OPEX'!$G$115)</f>
        <v>3048.4689629639438</v>
      </c>
      <c r="DM17">
        <f>7963.6*(CE17/1000)^0.6*1.7*('CAPEX+OPEX'!$G$116/'CAPEX+OPEX'!$G$115)</f>
        <v>6737.5273070329895</v>
      </c>
      <c r="DN17">
        <f>'TEA Revised Non EYZ'!CM17</f>
        <v>39625.826528698344</v>
      </c>
      <c r="DO17">
        <f>'TEA Revised Non EYZ'!CN17</f>
        <v>4586243.4239371875</v>
      </c>
      <c r="DP17">
        <f>'TEA Revised Non EYZ'!CO17</f>
        <v>11794834.586807497</v>
      </c>
      <c r="DQ17">
        <f>'TEA Revised Non EYZ'!CP17</f>
        <v>2275209.1661185985</v>
      </c>
      <c r="DR17">
        <f>'TEA Revised Non EYZ'!CQ17</f>
        <v>14083914.336508472</v>
      </c>
      <c r="DS17">
        <f>'TEA Revised Non EYZ'!CR17</f>
        <v>1662824.8986326549</v>
      </c>
      <c r="DT17">
        <f>'TEA Revised Non EYZ'!CS17</f>
        <v>528015.95740622084</v>
      </c>
      <c r="DU17">
        <f>'TEA Revised Non EYZ'!CT17</f>
        <v>1357943.8117688675</v>
      </c>
      <c r="DV17">
        <f>'TEA Revised Non EYZ'!CU17</f>
        <v>261945.7004565605</v>
      </c>
      <c r="DW17">
        <f>'TEA Revised Non EYZ'!CV17</f>
        <v>1621486.4378120217</v>
      </c>
      <c r="DX17">
        <f>'TEA Revised Non EYZ'!CW17</f>
        <v>191441.6658016555</v>
      </c>
      <c r="DY17">
        <f>'TEA Revised Non EYZ'!CX17</f>
        <v>3960833.5732453261</v>
      </c>
      <c r="DZ17">
        <f>'TEA Revised Non EYZ'!CY17</f>
        <v>756519.74381347164</v>
      </c>
      <c r="EA17">
        <f>'TEA Revised Non EYZ'!CZ17</f>
        <v>1945606.5487849014</v>
      </c>
      <c r="EB17">
        <f>'TEA Revised Non EYZ'!DA17</f>
        <v>375305.12368583737</v>
      </c>
      <c r="EC17">
        <f>'TEA Revised Non EYZ'!DB17</f>
        <v>2323199.682366488</v>
      </c>
      <c r="ED17">
        <f>'TEA Revised Non EYZ'!DC17</f>
        <v>274289.81631339306</v>
      </c>
      <c r="EE17">
        <f>'TEA Revised Non EYZ'!DD17</f>
        <v>5674920.914964092</v>
      </c>
      <c r="EF17">
        <v>0.7</v>
      </c>
      <c r="EG17">
        <v>100</v>
      </c>
      <c r="EH17">
        <f>96485*BL17*V17/EF17/EG17/60</f>
        <v>32.063740089207002</v>
      </c>
      <c r="EI17">
        <f>96485*BN17*BA17/EF17/EG17/60</f>
        <v>45.442472067389119</v>
      </c>
      <c r="EJ17">
        <f>EH17*('CAPEX+OPEX'!$O$25+'CAPEX+OPEX'!$O$26)</f>
        <v>1021935.5241232056</v>
      </c>
      <c r="EK17">
        <f>EI17*('CAPEX+OPEX'!$O$25+'CAPEX+OPEX'!$O$26)</f>
        <v>1448342.4697318261</v>
      </c>
      <c r="EL17">
        <f>EJ17*1.12/0.6*'CAPEX+OPEX'!$G$116/'CAPEX+OPEX'!$G$115</f>
        <v>2249949.8446835969</v>
      </c>
      <c r="EM17">
        <f>EK17*1.12/0.6*'CAPEX+OPEX'!$G$116/'CAPEX+OPEX'!$G$115</f>
        <v>3188750.9905457669</v>
      </c>
      <c r="EN17">
        <f>EL17+EM17+DY17+EE17+1.15*(SUM(DF17:DM17)+SUM(CF17:CI17))</f>
        <v>15163146.813046709</v>
      </c>
      <c r="EO17">
        <f>EN17/15</f>
        <v>1010876.4542031139</v>
      </c>
      <c r="EP17">
        <f>('eLLE Bals'!CB17+'eLLE Bals'!CC17)*'Oxidant Feed Composition'!$N$25*60*7200</f>
        <v>13585711.733696934</v>
      </c>
      <c r="EQ17" s="83">
        <f>('eLLE Bals'!BR17+'eLLE Bals'!BY17)*'Reagent cost'!$C$38*60*7200</f>
        <v>513556.84628095542</v>
      </c>
      <c r="ER17">
        <f>'TEA Revised Non EYZ'!DI17</f>
        <v>504921.59999999998</v>
      </c>
      <c r="ES17">
        <f>'TEA Revised Non EYZ'!DJ17</f>
        <v>79.552924638752955</v>
      </c>
      <c r="ET17">
        <f>'TEA Revised Non EYZ'!DK17</f>
        <v>939.57051880212725</v>
      </c>
      <c r="EU17">
        <f>1.2*SUM(EP17:ET17)</f>
        <v>17526251.164105594</v>
      </c>
      <c r="EV17">
        <f>'TEA Revised Non EYZ'!DM17</f>
        <v>0.70639694042110623</v>
      </c>
      <c r="EW17">
        <f>(BS17*CO17+BT17*CP17)/1000*('Oxidant Feed Composition'!$B$11*'Oxidant Feed Composition'!$O$20+'Oxidant Feed Composition'!$D$11*'Oxidant Feed Composition'!$O$21+'Oxidant Feed Composition'!$F$11*'Oxidant Feed Composition'!$O$27-'Oxidant Feed Composition'!$J$15*18.015)</f>
        <v>1.9700686532710798</v>
      </c>
      <c r="EX17">
        <f>(CZ17*BX17+DC17*BZ17)*368.34/1000</f>
        <v>0.10366688103276016</v>
      </c>
      <c r="EY17">
        <f>'TEA Revised Non EYZ'!DP17</f>
        <v>4.999938342565946E-2</v>
      </c>
      <c r="EZ17">
        <f>SUM(EV17:EX17)-EY17</f>
        <v>2.7301330912992867</v>
      </c>
      <c r="FA17">
        <f>EZ17*0.33*60*7200</f>
        <v>389207.77349562634</v>
      </c>
      <c r="FB17">
        <f>'TEA Revised Non EYZ'!DS17</f>
        <v>1.2</v>
      </c>
      <c r="FC17">
        <v>0.5</v>
      </c>
      <c r="FD17">
        <f>'TEA Revised Non EYZ'!DT17</f>
        <v>1407.4630585814209</v>
      </c>
      <c r="FE17">
        <f>'TEA Revised Non EYZ'!DU17</f>
        <v>708.2046132217464</v>
      </c>
      <c r="FF17">
        <f>'TEA Revised Non EYZ'!DV17</f>
        <v>0.7</v>
      </c>
      <c r="FG17">
        <f>'TEA Revised Non EYZ'!DW17</f>
        <v>30272.303809866662</v>
      </c>
      <c r="FH17">
        <f>'TEA Revised Non EYZ'!DX17</f>
        <v>20763.049486147294</v>
      </c>
      <c r="FI17">
        <f>'TEA Revised Non EYZ'!DY17</f>
        <v>8790.8072421188135</v>
      </c>
      <c r="FJ17">
        <f>'TEA Revised Non EYZ'!DZ17</f>
        <v>4656.7358484871465</v>
      </c>
      <c r="FK17">
        <f>'TEA Revised Non EYZ'!EA17</f>
        <v>4688.4305291300352</v>
      </c>
      <c r="FL17">
        <f>'TEA Revised Non EYZ'!EB17</f>
        <v>851.2336578300434</v>
      </c>
      <c r="FM17">
        <f>'TEA Revised Non EYZ'!EC17</f>
        <v>41188.743878555993</v>
      </c>
      <c r="FN17">
        <f>'TEA Revised Non EYZ'!ED17</f>
        <v>38838.192446744346</v>
      </c>
      <c r="FO17">
        <f>'TEA Revised Non EYZ'!EE17</f>
        <v>16443.589543984501</v>
      </c>
      <c r="FP17">
        <f>'TEA Revised Non EYZ'!EF17</f>
        <v>8715.3961300511364</v>
      </c>
      <c r="FQ17">
        <f>'TEA Revised Non EYZ'!EG17</f>
        <v>8769.9144234584019</v>
      </c>
      <c r="FR17">
        <f>'TEA Revised Non EYZ'!EH17</f>
        <v>428.32215007651229</v>
      </c>
      <c r="FS17">
        <f>'TEA Revised Non EYZ'!EI17</f>
        <v>184406.71914645089</v>
      </c>
      <c r="FT17">
        <f>EG17*EH17</f>
        <v>3206.3740089207004</v>
      </c>
      <c r="FU17">
        <f>EG17*EI17</f>
        <v>4544.2472067389117</v>
      </c>
      <c r="FV17">
        <f>FC17*(FT17+FU17)/(3.6*10^6)*3600*7200*0.07</f>
        <v>1953.1565463462225</v>
      </c>
      <c r="FW17">
        <f>('CAPEX+OPEX'!$C$39/7/100+0.03)*EL17</f>
        <v>115711.70629801355</v>
      </c>
      <c r="FX17">
        <f>('CAPEX+OPEX'!$C$39/7/100+0.03)*EM17</f>
        <v>163992.90808521086</v>
      </c>
      <c r="FY17">
        <f>SUM(FV17:FX17)</f>
        <v>281657.77092957066</v>
      </c>
      <c r="FZ17">
        <f>FY17+FA17+FS17+EU17</f>
        <v>18381523.42767724</v>
      </c>
      <c r="GA17">
        <f>FZ17+EO17</f>
        <v>19392399.881880354</v>
      </c>
      <c r="GB17">
        <f>GA17/(BK17*60*7200)</f>
        <v>0.44889814541389711</v>
      </c>
      <c r="GC17">
        <f>'TEA Revised Non EYZ'!EM17/'TEA Revised Non EYZ'!EK17*GA17</f>
        <v>1501.4490762935875</v>
      </c>
      <c r="GD17">
        <f>'TEA Revised Non EYZ'!EN17/'TEA Revised Non EYZ'!EK17*GA17</f>
        <v>2746.8215491013161</v>
      </c>
    </row>
    <row r="18" spans="1:186">
      <c r="A18">
        <f>'TEA Revised Non EYZ'!A18</f>
        <v>4</v>
      </c>
      <c r="B18">
        <f>'TEA Revised Non EYZ'!B18</f>
        <v>1.54143585092054E-3</v>
      </c>
      <c r="C18">
        <f>'TEA Revised Non EYZ'!C18</f>
        <v>1.54143585092054E-3</v>
      </c>
      <c r="D18">
        <f>'TEA Revised Non EYZ'!D18</f>
        <v>3.4254130020456501E-4</v>
      </c>
      <c r="E18">
        <f>'TEA Revised Non EYZ'!E18</f>
        <v>0</v>
      </c>
      <c r="F18">
        <f>'TEA Revised Non EYZ'!F18</f>
        <v>0</v>
      </c>
      <c r="G18">
        <f>'TEA Revised Non EYZ'!G18</f>
        <v>0</v>
      </c>
      <c r="H18">
        <f>'TEA Revised Non EYZ'!H18</f>
        <v>1.7208960911287699E-5</v>
      </c>
      <c r="I18">
        <f>'TEA Revised Non EYZ'!I18</f>
        <v>2.8768784818324402E-7</v>
      </c>
      <c r="J18">
        <f>'TEA Revised Non EYZ'!J18</f>
        <v>3.3243632642994598E-4</v>
      </c>
      <c r="K18">
        <f>'TEA Revised Non EYZ'!K18</f>
        <v>0.10920586178936199</v>
      </c>
      <c r="L18">
        <f>'TEA Revised Non EYZ'!L18</f>
        <v>0.110418215553449</v>
      </c>
      <c r="M18">
        <f>'TEA Revised Non EYZ'!M18</f>
        <v>7.2398825703009801E-4</v>
      </c>
      <c r="N18">
        <f>'TEA Revised Non EYZ'!N18</f>
        <v>-2.168404344971E-18</v>
      </c>
      <c r="O18">
        <f>'TEA Revised Non EYZ'!O18</f>
        <v>2.3635607360183901E-17</v>
      </c>
      <c r="P18">
        <f>'TEA Revised Non EYZ'!P18</f>
        <v>-7.4538899358378406E-20</v>
      </c>
      <c r="Q18">
        <f>'TEA Revised Non EYZ'!Q18</f>
        <v>0.13957372480144001</v>
      </c>
      <c r="R18">
        <f>'TEA Revised Non EYZ'!R18</f>
        <v>97.0499984181222</v>
      </c>
      <c r="S18">
        <f>'TEA Revised Non EYZ'!S18</f>
        <v>500</v>
      </c>
      <c r="T18">
        <f>'TEA Revised Non EYZ'!T18</f>
        <v>95</v>
      </c>
      <c r="U18">
        <f>'TEA Revised Non EYZ'!U18</f>
        <v>1</v>
      </c>
      <c r="V18">
        <f>'TEA Revised Non EYZ'!V18</f>
        <v>0.1</v>
      </c>
      <c r="W18">
        <f>'TEA Revised Non EYZ'!W18</f>
        <v>71.646723007687299</v>
      </c>
      <c r="X18" t="str">
        <f>'TEA Revised Non EYZ'!X18</f>
        <v>ddFc</v>
      </c>
      <c r="Y18">
        <f>'TEA Revised Non EYZ'!Y18</f>
        <v>1</v>
      </c>
      <c r="Z18">
        <f>'TEA Revised Non EYZ'!Z18</f>
        <v>0.28318429382522198</v>
      </c>
      <c r="AA18">
        <f>'TEA Revised Non EYZ'!AA18</f>
        <v>0.56945642916197003</v>
      </c>
      <c r="AB18">
        <f>'TEA Revised Non EYZ'!AB18</f>
        <v>3.7698628972227502E-3</v>
      </c>
      <c r="AC18">
        <f>'TEA Revised Non EYZ'!AC18</f>
        <v>1822.2107908876901</v>
      </c>
      <c r="AD18">
        <f>'TEA Revised Non EYZ'!AD18</f>
        <v>2662.6059073104898</v>
      </c>
      <c r="AE18">
        <f>'TEA Revised Non EYZ'!AE18</f>
        <v>2401.5030938442701</v>
      </c>
      <c r="AF18">
        <f>'TEA Revised Non EYZ'!AF18</f>
        <v>10</v>
      </c>
      <c r="AG18">
        <f>'TEA Revised Non EYZ'!AG18</f>
        <v>1.6481650483119699E-3</v>
      </c>
      <c r="AH18">
        <f>'TEA Revised Non EYZ'!AH18</f>
        <v>1.6664622263884801E-3</v>
      </c>
      <c r="AI18">
        <f>'TEA Revised Non EYZ'!AI18</f>
        <v>1.0926630870116399E-5</v>
      </c>
      <c r="AJ18">
        <f>'TEA Revised Non EYZ'!AJ18</f>
        <v>0</v>
      </c>
      <c r="AK18">
        <f>'TEA Revised Non EYZ'!AK18</f>
        <v>0</v>
      </c>
      <c r="AL18">
        <f>'TEA Revised Non EYZ'!AL18</f>
        <v>0</v>
      </c>
      <c r="AM18">
        <f>'TEA Revised Non EYZ'!AM18</f>
        <v>1.6111196692703601E-3</v>
      </c>
      <c r="AN18">
        <f>'TEA Revised Non EYZ'!AN18</f>
        <v>7.3941259795984898E-5</v>
      </c>
      <c r="AO18">
        <f>'TEA Revised Non EYZ'!AO18</f>
        <v>1.08545122697032E-5</v>
      </c>
      <c r="AP18">
        <f>'TEA Revised Non EYZ'!AP18</f>
        <v>1.73209870318316E-3</v>
      </c>
      <c r="AQ18">
        <f>'TEA Revised Non EYZ'!AQ18</f>
        <v>7.4460123902013106E-2</v>
      </c>
      <c r="AR18">
        <f>'TEA Revised Non EYZ'!AR18</f>
        <v>3.3719869428578601E-6</v>
      </c>
      <c r="AS18">
        <f>'TEA Revised Non EYZ'!AS18</f>
        <v>4.70535543579779E-14</v>
      </c>
      <c r="AT18">
        <f>'TEA Revised Non EYZ'!AT18</f>
        <v>-4.6022981432802804E-12</v>
      </c>
      <c r="AU18">
        <f>'TEA Revised Non EYZ'!AU18</f>
        <v>6.0744173718954098E-19</v>
      </c>
      <c r="AV18">
        <f>'TEA Revised Non EYZ'!AV18</f>
        <v>0.19779272992915201</v>
      </c>
      <c r="AW18">
        <f>'TEA Revised Non EYZ'!AW18</f>
        <v>99.339974038928602</v>
      </c>
      <c r="AX18">
        <f>'TEA Revised Non EYZ'!AX18</f>
        <v>500</v>
      </c>
      <c r="AY18">
        <f>'TEA Revised Non EYZ'!AY18</f>
        <v>95</v>
      </c>
      <c r="AZ18">
        <f>'TEA Revised Non EYZ'!AZ18</f>
        <v>0.92480233795174105</v>
      </c>
      <c r="BA18">
        <f>'TEA Revised Non EYZ'!BA18</f>
        <v>0.1</v>
      </c>
      <c r="BB18">
        <f>'TEA Revised Non EYZ'!BB18</f>
        <v>46.7561339733263</v>
      </c>
      <c r="BC18" t="str">
        <f>'TEA Revised Non EYZ'!BC18</f>
        <v>coeFc</v>
      </c>
      <c r="BD18">
        <f>'TEA Revised Non EYZ'!BD18</f>
        <v>1</v>
      </c>
      <c r="BE18">
        <f>'TEA Revised Non EYZ'!BE18</f>
        <v>1.8775014999999999E-2</v>
      </c>
      <c r="BF18">
        <f>'TEA Revised Non EYZ'!BF18</f>
        <v>0.10492961100000001</v>
      </c>
      <c r="BG18">
        <f>'TEA Revised Non EYZ'!BG18</f>
        <v>1.814625E-3</v>
      </c>
      <c r="BH18">
        <f>'TEA Revised Non EYZ'!BH18</f>
        <v>285.1951444</v>
      </c>
      <c r="BI18">
        <f>'TEA Revised Non EYZ'!BI18</f>
        <v>2169.8944889999998</v>
      </c>
      <c r="BJ18">
        <f>'TEA Revised Non EYZ'!BJ18</f>
        <v>866.49409060000005</v>
      </c>
      <c r="BK18">
        <f>'TEA Revised Non EYZ'!BK18</f>
        <v>100</v>
      </c>
      <c r="BL18">
        <f>'TEA Revised Non EYZ'!BL18</f>
        <v>13.957372480144</v>
      </c>
      <c r="BM18">
        <f>'TEA Revised Non EYZ'!BM18</f>
        <v>92.480233795174101</v>
      </c>
      <c r="BN18">
        <f>'TEA Revised Non EYZ'!BN18</f>
        <v>19.7792729929152</v>
      </c>
      <c r="BO18">
        <f>'TEA Revised Non EYZ'!BO18</f>
        <v>167.488469761728</v>
      </c>
      <c r="BP18">
        <f>'TEA Revised Non EYZ'!BP18</f>
        <v>474.70255182996482</v>
      </c>
      <c r="BQ18">
        <f>'TEA Revised Non EYZ'!BQ18</f>
        <v>16.7488469761728</v>
      </c>
      <c r="BR18">
        <f>'TEA Revised Non EYZ'!BR18</f>
        <v>47.470255182996482</v>
      </c>
      <c r="BS18">
        <f>'eLLE Bals'!CF18</f>
        <v>8.3744234880863999</v>
      </c>
      <c r="BT18">
        <f>'eLLE Bals'!CG18</f>
        <v>11.867563795749119</v>
      </c>
      <c r="BU18">
        <f>BM18</f>
        <v>92.480233795174101</v>
      </c>
      <c r="BV18">
        <f>BU18*(AM18*2+AN18*2+AO18*3)</f>
        <v>0.31468114085564197</v>
      </c>
      <c r="BW18">
        <f>BN18*BA18*(AP18*2+AQ18*2+AR18*3)</f>
        <v>0.3014253628041097</v>
      </c>
      <c r="BX18">
        <f>BV18/(2*V18*BL18+BV18)</f>
        <v>0.10130887748151461</v>
      </c>
      <c r="BY18">
        <f>BU18*BX18</f>
        <v>9.3690686750171199</v>
      </c>
      <c r="BZ18">
        <f>BW18/(2*BN18*BA18+BW18)</f>
        <v>7.0802335185374154E-2</v>
      </c>
      <c r="CA18">
        <f>2*BN18*BA18/0.04</f>
        <v>98.896364964575994</v>
      </c>
      <c r="CB18">
        <f>(BS18+BL18)*2</f>
        <v>44.663591936460804</v>
      </c>
      <c r="CC18">
        <f>(BU18+BL18)*2</f>
        <v>212.87521255063621</v>
      </c>
      <c r="CD18">
        <f>(BT18+BN18)*2</f>
        <v>63.293673577328633</v>
      </c>
      <c r="CE18">
        <f>(CA18+BN18)*2</f>
        <v>237.35127591498238</v>
      </c>
      <c r="CF18">
        <f>'TEA Revised Non EYZ'!CB18</f>
        <v>2210.8478008548095</v>
      </c>
      <c r="CG18">
        <f>'TEA Revised Non EYZ'!CC18</f>
        <v>6266.0736841555354</v>
      </c>
      <c r="CH18">
        <f>'TEA Revised Non EYZ'!CD18</f>
        <v>2671.1136977461792</v>
      </c>
      <c r="CI18">
        <f>'TEA Revised Non EYZ'!CE18</f>
        <v>48330.783243876089</v>
      </c>
      <c r="CJ18">
        <f>BL18*V18</f>
        <v>1.3957372480144001</v>
      </c>
      <c r="CK18">
        <f>CJ18/2*1.2</f>
        <v>0.8374423488086401</v>
      </c>
      <c r="CL18">
        <f>'eLLE Bals'!CB18*'Oxidant Feed Composition'!$N$20</f>
        <v>4.6524574933813359E-2</v>
      </c>
      <c r="CM18">
        <f>'eLLE Bals'!CB18*'Oxidant Feed Composition'!$N$21</f>
        <v>2.326228746690667</v>
      </c>
      <c r="CN18">
        <f>'eLLE Bals'!CB18*'Oxidant Feed Composition'!$N$22</f>
        <v>0.69786862400720007</v>
      </c>
      <c r="CO18">
        <f>CN18/CK18</f>
        <v>0.83333333333333326</v>
      </c>
      <c r="CP18">
        <f>CO18</f>
        <v>0.83333333333333326</v>
      </c>
      <c r="CQ18">
        <f>CL18/CO18</f>
        <v>5.5829489920576035E-2</v>
      </c>
      <c r="CR18">
        <f>CM18/CO18</f>
        <v>2.7914744960288007</v>
      </c>
      <c r="CS18">
        <f>BN18*BA18</f>
        <v>1.97792729929152</v>
      </c>
      <c r="CT18">
        <f>CS18/2*1.2</f>
        <v>1.1867563795749119</v>
      </c>
      <c r="CU18">
        <f>'eLLE Bals'!CC18*'Oxidant Feed Composition'!$N$20</f>
        <v>6.5930909976384025E-2</v>
      </c>
      <c r="CV18">
        <f>'eLLE Bals'!CC18*'Oxidant Feed Composition'!$N$21</f>
        <v>3.2965454988192002</v>
      </c>
      <c r="CW18">
        <f>'eLLE Bals'!CC18*'Oxidant Feed Composition'!$N$22</f>
        <v>0.98896364964576</v>
      </c>
      <c r="CX18">
        <f>CU18/CP18</f>
        <v>7.9117091971660836E-2</v>
      </c>
      <c r="CY18">
        <f>CV18/CP18</f>
        <v>3.9558545985830404</v>
      </c>
      <c r="CZ18">
        <f>CJ18</f>
        <v>1.3957372480144001</v>
      </c>
      <c r="DA18">
        <f>'eLLE Bals'!BQ18</f>
        <v>2.7914744960288003</v>
      </c>
      <c r="DB18">
        <f>'eLLE Bals'!BU18</f>
        <v>9.5898360678608316</v>
      </c>
      <c r="DC18">
        <f>CS18</f>
        <v>1.97792729929152</v>
      </c>
      <c r="DD18">
        <f>'eLLE Bals'!BX18</f>
        <v>3.95585459858304</v>
      </c>
      <c r="DE18">
        <f>'eLLE Bals'!CA18</f>
        <v>22.00212295770578</v>
      </c>
      <c r="DF18">
        <f>2*2*(CJ18*'Reagent cost'!$C$36*122.44/1000+CK18*'Oxidant Feed Composition'!$N$26+CQ18*'Reagent cost'!$C$34+CR18*'Reagent cost'!$C$35)</f>
        <v>117.89473144631702</v>
      </c>
      <c r="DG18">
        <f>2*2*(CS18*'Reagent cost'!$C$36*122.44/1000+CT18*'Oxidant Feed Composition'!$N$26+CX18*'Reagent cost'!$C$34+CY18*'Reagent cost'!$C$35)</f>
        <v>167.07099284055721</v>
      </c>
      <c r="DH18">
        <f>(AF18+3)*2*(CZ18*'Reagent cost'!$C$38+DA18*'Reagent cost'!$C$39+DB18*'Reagent cost'!$C$36*122.44/1000)</f>
        <v>2317.6992898503026</v>
      </c>
      <c r="DI18">
        <f>3*2*(DC18*'Reagent cost'!$C$38+DD18*'Reagent cost'!$C$39+DE18*'Reagent cost'!$C$36*122.44/1000)</f>
        <v>1194.3777936631695</v>
      </c>
      <c r="DJ18">
        <f>7963.6*(CB18/1000)^0.6*1.7*('CAPEX+OPEX'!$G$116/'CAPEX+OPEX'!$G$115)</f>
        <v>2472.9373618126128</v>
      </c>
      <c r="DK18">
        <f>7963.6*(CC18/1000)^0.6*1.7*('CAPEX+OPEX'!$G$116/'CAPEX+OPEX'!$G$115)</f>
        <v>6311.2587327211604</v>
      </c>
      <c r="DL18">
        <f>7963.6*(CD18/1000)^0.6*1.7*('CAPEX+OPEX'!$G$116/'CAPEX+OPEX'!$G$115)</f>
        <v>3048.2958135103663</v>
      </c>
      <c r="DM18">
        <f>7963.6*(CE18/1000)^0.6*1.7*('CAPEX+OPEX'!$G$116/'CAPEX+OPEX'!$G$115)</f>
        <v>6737.1446234020095</v>
      </c>
      <c r="DN18">
        <f>'TEA Revised Non EYZ'!CM18</f>
        <v>39625.826528698344</v>
      </c>
      <c r="DO18">
        <f>'TEA Revised Non EYZ'!CN18</f>
        <v>4586243.4239371875</v>
      </c>
      <c r="DP18">
        <f>'TEA Revised Non EYZ'!CO18</f>
        <v>11794834.586807497</v>
      </c>
      <c r="DQ18">
        <f>'TEA Revised Non EYZ'!CP18</f>
        <v>2275209.1661185985</v>
      </c>
      <c r="DR18">
        <f>'TEA Revised Non EYZ'!CQ18</f>
        <v>14083914.336508472</v>
      </c>
      <c r="DS18">
        <f>'TEA Revised Non EYZ'!CR18</f>
        <v>1662824.8986326549</v>
      </c>
      <c r="DT18">
        <f>'TEA Revised Non EYZ'!CS18</f>
        <v>528015.95740622084</v>
      </c>
      <c r="DU18">
        <f>'TEA Revised Non EYZ'!CT18</f>
        <v>1357943.8117688675</v>
      </c>
      <c r="DV18">
        <f>'TEA Revised Non EYZ'!CU18</f>
        <v>261945.7004565605</v>
      </c>
      <c r="DW18">
        <f>'TEA Revised Non EYZ'!CV18</f>
        <v>1621486.4378120217</v>
      </c>
      <c r="DX18">
        <f>'TEA Revised Non EYZ'!CW18</f>
        <v>191441.6658016555</v>
      </c>
      <c r="DY18">
        <f>'TEA Revised Non EYZ'!CX18</f>
        <v>3960833.5732453261</v>
      </c>
      <c r="DZ18">
        <f>'TEA Revised Non EYZ'!CY18</f>
        <v>801043.08902855217</v>
      </c>
      <c r="EA18">
        <f>'TEA Revised Non EYZ'!CZ18</f>
        <v>2060111.0448442006</v>
      </c>
      <c r="EB18">
        <f>'TEA Revised Non EYZ'!DA18</f>
        <v>397392.90093091218</v>
      </c>
      <c r="EC18">
        <f>'TEA Revised Non EYZ'!DB18</f>
        <v>2459926.6115807402</v>
      </c>
      <c r="ED18">
        <f>'TEA Revised Non EYZ'!DC18</f>
        <v>290432.55453082855</v>
      </c>
      <c r="EE18">
        <f>'TEA Revised Non EYZ'!DD18</f>
        <v>6008906.2009152332</v>
      </c>
      <c r="EF18">
        <v>0.7</v>
      </c>
      <c r="EG18">
        <v>100</v>
      </c>
      <c r="EH18">
        <f>96485*BL18*V18/EF18/EG18/60</f>
        <v>32.063740089207002</v>
      </c>
      <c r="EI18">
        <f>96485*BN18*BA18/EF18/EG18/60</f>
        <v>45.43817035051007</v>
      </c>
      <c r="EJ18">
        <f>EH18*('CAPEX+OPEX'!$O$25+'CAPEX+OPEX'!$O$26)</f>
        <v>1021935.5241232056</v>
      </c>
      <c r="EK18">
        <f>EI18*('CAPEX+OPEX'!$O$25+'CAPEX+OPEX'!$O$26)</f>
        <v>1448205.3654114569</v>
      </c>
      <c r="EL18">
        <f>EJ18*1.12/0.6*'CAPEX+OPEX'!$G$116/'CAPEX+OPEX'!$G$115</f>
        <v>2249949.8446835969</v>
      </c>
      <c r="EM18">
        <f>EK18*1.12/0.6*'CAPEX+OPEX'!$G$116/'CAPEX+OPEX'!$G$115</f>
        <v>3188449.1340812068</v>
      </c>
      <c r="EN18">
        <f>EL18+EM18+DY18+EE18+1.15*(SUM(DF18:DM18)+SUM(CF18:CI18))</f>
        <v>15502261.075356124</v>
      </c>
      <c r="EO18">
        <f>EN18/15</f>
        <v>1033484.0716904083</v>
      </c>
      <c r="EP18">
        <f>('eLLE Bals'!CB18+'eLLE Bals'!CC18)*'Oxidant Feed Composition'!$N$25*60*7200</f>
        <v>13584957.705292596</v>
      </c>
      <c r="EQ18" s="83">
        <f>('eLLE Bals'!BR18+'eLLE Bals'!BY18)*'Reagent cost'!$C$38*60*7200</f>
        <v>513555.01002580259</v>
      </c>
      <c r="ER18">
        <f>'TEA Revised Non EYZ'!DI18</f>
        <v>504921.59999999998</v>
      </c>
      <c r="ES18">
        <f>'TEA Revised Non EYZ'!DJ18</f>
        <v>84.769214850103452</v>
      </c>
      <c r="ET18">
        <f>'TEA Revised Non EYZ'!DK18</f>
        <v>1020.0379388324454</v>
      </c>
      <c r="EU18">
        <f>1.2*SUM(EP18:ET18)</f>
        <v>17525446.946966495</v>
      </c>
      <c r="EV18">
        <f>'TEA Revised Non EYZ'!DM18</f>
        <v>0.70639694042110623</v>
      </c>
      <c r="EW18">
        <f>(BS18*CO18+BT18*CP18)/1000*('Oxidant Feed Composition'!$B$11*'Oxidant Feed Composition'!$O$20+'Oxidant Feed Composition'!$D$11*'Oxidant Feed Composition'!$O$21+'Oxidant Feed Composition'!$F$11*'Oxidant Feed Composition'!$O$27-'Oxidant Feed Composition'!$J$15*18.015)</f>
        <v>1.9699593113571501</v>
      </c>
      <c r="EX18">
        <f>(CZ18*BX18+DC18*BZ18)*368.34/1000</f>
        <v>0.10366651036523652</v>
      </c>
      <c r="EY18">
        <f>'TEA Revised Non EYZ'!DP18</f>
        <v>4.999938342565946E-2</v>
      </c>
      <c r="EZ18">
        <f>SUM(EV18:EX18)-EY18</f>
        <v>2.7300233787178332</v>
      </c>
      <c r="FA18">
        <f>EZ18*0.33*60*7200</f>
        <v>389192.13287001435</v>
      </c>
      <c r="FB18">
        <f>'TEA Revised Non EYZ'!DS18</f>
        <v>1.2</v>
      </c>
      <c r="FC18">
        <v>0.5</v>
      </c>
      <c r="FD18">
        <f>'TEA Revised Non EYZ'!DT18</f>
        <v>1407.4739915516295</v>
      </c>
      <c r="FE18">
        <f>'TEA Revised Non EYZ'!DU18</f>
        <v>708.19368228674409</v>
      </c>
      <c r="FF18">
        <f>'TEA Revised Non EYZ'!DV18</f>
        <v>0.7</v>
      </c>
      <c r="FG18">
        <f>'TEA Revised Non EYZ'!DW18</f>
        <v>30272.303809866662</v>
      </c>
      <c r="FH18">
        <f>'TEA Revised Non EYZ'!DX18</f>
        <v>20763.049486147294</v>
      </c>
      <c r="FI18">
        <f>'TEA Revised Non EYZ'!DY18</f>
        <v>8790.8072421188135</v>
      </c>
      <c r="FJ18">
        <f>'TEA Revised Non EYZ'!DZ18</f>
        <v>4656.7358484871465</v>
      </c>
      <c r="FK18">
        <f>'TEA Revised Non EYZ'!EA18</f>
        <v>4688.4305291300352</v>
      </c>
      <c r="FL18">
        <f>'TEA Revised Non EYZ'!EB18</f>
        <v>851.24027009042561</v>
      </c>
      <c r="FM18">
        <f>'TEA Revised Non EYZ'!EC18</f>
        <v>43763.04037096574</v>
      </c>
      <c r="FN18">
        <f>'TEA Revised Non EYZ'!ED18</f>
        <v>42722.011691418775</v>
      </c>
      <c r="FO18">
        <f>'TEA Revised Non EYZ'!EE18</f>
        <v>18087.94849838295</v>
      </c>
      <c r="FP18">
        <f>'TEA Revised Non EYZ'!EF18</f>
        <v>9586.9357430562486</v>
      </c>
      <c r="FQ18">
        <f>'TEA Revised Non EYZ'!EG18</f>
        <v>9646.9058658042413</v>
      </c>
      <c r="FR18">
        <f>'TEA Revised Non EYZ'!EH18</f>
        <v>428.31553904702292</v>
      </c>
      <c r="FS18">
        <f>'TEA Revised Non EYZ'!EI18</f>
        <v>194257.72489451536</v>
      </c>
      <c r="FT18">
        <f>EG18*EH18</f>
        <v>3206.3740089207004</v>
      </c>
      <c r="FU18">
        <f>EG18*EI18</f>
        <v>4543.8170350510072</v>
      </c>
      <c r="FV18">
        <f>FC18*(FT18+FU18)/(3.6*10^6)*3600*7200*0.07</f>
        <v>1953.0481430808707</v>
      </c>
      <c r="FW18">
        <f>('CAPEX+OPEX'!$C$39/7/100+0.03)*EL18</f>
        <v>115711.70629801355</v>
      </c>
      <c r="FX18">
        <f>('CAPEX+OPEX'!$C$39/7/100+0.03)*EM18</f>
        <v>163977.38403846207</v>
      </c>
      <c r="FY18">
        <f>SUM(FV18:FX18)</f>
        <v>281642.13847955648</v>
      </c>
      <c r="FZ18">
        <f>FY18+FA18+FS18+EU18</f>
        <v>18390538.943210583</v>
      </c>
      <c r="GA18">
        <f>FZ18+EO18</f>
        <v>19424023.01490099</v>
      </c>
      <c r="GB18">
        <f>GA18/(BK18*60*7200)</f>
        <v>0.44963016238196735</v>
      </c>
      <c r="GC18">
        <f>'TEA Revised Non EYZ'!EM18/'TEA Revised Non EYZ'!EK18*GA18</f>
        <v>1503.88578834175</v>
      </c>
      <c r="GD18">
        <f>'TEA Revised Non EYZ'!EN18/'TEA Revised Non EYZ'!EK18*GA18</f>
        <v>2751.3399241535603</v>
      </c>
    </row>
    <row r="19" spans="1:186">
      <c r="A19">
        <f>'TEA Revised Non EYZ'!A19</f>
        <v>4</v>
      </c>
      <c r="B19">
        <f>'TEA Revised Non EYZ'!B19</f>
        <v>1.54143585092054E-3</v>
      </c>
      <c r="C19">
        <f>'TEA Revised Non EYZ'!C19</f>
        <v>1.54143585092054E-3</v>
      </c>
      <c r="D19">
        <f>'TEA Revised Non EYZ'!D19</f>
        <v>3.4254130020456501E-4</v>
      </c>
      <c r="E19">
        <f>'TEA Revised Non EYZ'!E19</f>
        <v>0</v>
      </c>
      <c r="F19">
        <f>'TEA Revised Non EYZ'!F19</f>
        <v>0</v>
      </c>
      <c r="G19">
        <f>'TEA Revised Non EYZ'!G19</f>
        <v>0</v>
      </c>
      <c r="H19">
        <f>'TEA Revised Non EYZ'!H19</f>
        <v>1.7208960911287699E-5</v>
      </c>
      <c r="I19">
        <f>'TEA Revised Non EYZ'!I19</f>
        <v>2.8768784818324402E-7</v>
      </c>
      <c r="J19">
        <f>'TEA Revised Non EYZ'!J19</f>
        <v>3.3243632642994598E-4</v>
      </c>
      <c r="K19">
        <f>'TEA Revised Non EYZ'!K19</f>
        <v>0.10920586178936199</v>
      </c>
      <c r="L19">
        <f>'TEA Revised Non EYZ'!L19</f>
        <v>0.110418215553449</v>
      </c>
      <c r="M19">
        <f>'TEA Revised Non EYZ'!M19</f>
        <v>7.2398825703009801E-4</v>
      </c>
      <c r="N19">
        <f>'TEA Revised Non EYZ'!N19</f>
        <v>-2.168404344971E-18</v>
      </c>
      <c r="O19">
        <f>'TEA Revised Non EYZ'!O19</f>
        <v>2.3635607360183901E-17</v>
      </c>
      <c r="P19">
        <f>'TEA Revised Non EYZ'!P19</f>
        <v>-7.4538899358378406E-20</v>
      </c>
      <c r="Q19">
        <f>'TEA Revised Non EYZ'!Q19</f>
        <v>0.13957372480144001</v>
      </c>
      <c r="R19">
        <f>'TEA Revised Non EYZ'!R19</f>
        <v>97.0499984181222</v>
      </c>
      <c r="S19">
        <f>'TEA Revised Non EYZ'!S19</f>
        <v>500</v>
      </c>
      <c r="T19">
        <f>'TEA Revised Non EYZ'!T19</f>
        <v>95</v>
      </c>
      <c r="U19">
        <f>'TEA Revised Non EYZ'!U19</f>
        <v>1</v>
      </c>
      <c r="V19">
        <f>'TEA Revised Non EYZ'!V19</f>
        <v>0.1</v>
      </c>
      <c r="W19">
        <f>'TEA Revised Non EYZ'!W19</f>
        <v>71.646723007687299</v>
      </c>
      <c r="X19" t="str">
        <f>'TEA Revised Non EYZ'!X19</f>
        <v>ddFc</v>
      </c>
      <c r="Y19">
        <f>'TEA Revised Non EYZ'!Y19</f>
        <v>1</v>
      </c>
      <c r="Z19">
        <f>'TEA Revised Non EYZ'!Z19</f>
        <v>0.28318429382522198</v>
      </c>
      <c r="AA19">
        <f>'TEA Revised Non EYZ'!AA19</f>
        <v>0.56945642916197003</v>
      </c>
      <c r="AB19">
        <f>'TEA Revised Non EYZ'!AB19</f>
        <v>3.7698628972227502E-3</v>
      </c>
      <c r="AC19">
        <f>'TEA Revised Non EYZ'!AC19</f>
        <v>1822.2107908876901</v>
      </c>
      <c r="AD19">
        <f>'TEA Revised Non EYZ'!AD19</f>
        <v>2662.6059073104898</v>
      </c>
      <c r="AE19">
        <f>'TEA Revised Non EYZ'!AE19</f>
        <v>2401.5030938442701</v>
      </c>
      <c r="AF19">
        <f>'TEA Revised Non EYZ'!AF19</f>
        <v>11</v>
      </c>
      <c r="AG19">
        <f>'TEA Revised Non EYZ'!AG19</f>
        <v>1.6481650483119699E-3</v>
      </c>
      <c r="AH19">
        <f>'TEA Revised Non EYZ'!AH19</f>
        <v>1.6664622263884801E-3</v>
      </c>
      <c r="AI19">
        <f>'TEA Revised Non EYZ'!AI19</f>
        <v>1.0926630870116399E-5</v>
      </c>
      <c r="AJ19">
        <f>'TEA Revised Non EYZ'!AJ19</f>
        <v>0</v>
      </c>
      <c r="AK19">
        <f>'TEA Revised Non EYZ'!AK19</f>
        <v>0</v>
      </c>
      <c r="AL19">
        <f>'TEA Revised Non EYZ'!AL19</f>
        <v>0</v>
      </c>
      <c r="AM19">
        <f>'TEA Revised Non EYZ'!AM19</f>
        <v>1.61112321598457E-3</v>
      </c>
      <c r="AN19">
        <f>'TEA Revised Non EYZ'!AN19</f>
        <v>7.3941439847443504E-5</v>
      </c>
      <c r="AO19">
        <f>'TEA Revised Non EYZ'!AO19</f>
        <v>1.08545188885599E-5</v>
      </c>
      <c r="AP19">
        <f>'TEA Revised Non EYZ'!AP19</f>
        <v>1.7319792931660401E-3</v>
      </c>
      <c r="AQ19">
        <f>'TEA Revised Non EYZ'!AQ19</f>
        <v>7.4462110887135197E-2</v>
      </c>
      <c r="AR19">
        <f>'TEA Revised Non EYZ'!AR19</f>
        <v>3.3717678364587601E-6</v>
      </c>
      <c r="AS19">
        <f>'TEA Revised Non EYZ'!AS19</f>
        <v>6.0986372202309596E-19</v>
      </c>
      <c r="AT19">
        <f>'TEA Revised Non EYZ'!AT19</f>
        <v>-1.1882855810441099E-16</v>
      </c>
      <c r="AU19">
        <f>'TEA Revised Non EYZ'!AU19</f>
        <v>-2.6999175193730801E-21</v>
      </c>
      <c r="AV19">
        <f>'TEA Revised Non EYZ'!AV19</f>
        <v>0.19778742894656101</v>
      </c>
      <c r="AW19">
        <f>'TEA Revised Non EYZ'!AW19</f>
        <v>99.340034614386695</v>
      </c>
      <c r="AX19">
        <f>'TEA Revised Non EYZ'!AX19</f>
        <v>500</v>
      </c>
      <c r="AY19">
        <f>'TEA Revised Non EYZ'!AY19</f>
        <v>95</v>
      </c>
      <c r="AZ19">
        <f>'TEA Revised Non EYZ'!AZ19</f>
        <v>0.92480233795174105</v>
      </c>
      <c r="BA19">
        <f>'TEA Revised Non EYZ'!BA19</f>
        <v>0.1</v>
      </c>
      <c r="BB19">
        <f>'TEA Revised Non EYZ'!BB19</f>
        <v>46.757387103788297</v>
      </c>
      <c r="BC19" t="str">
        <f>'TEA Revised Non EYZ'!BC19</f>
        <v>coeFc</v>
      </c>
      <c r="BD19">
        <f>'TEA Revised Non EYZ'!BD19</f>
        <v>1</v>
      </c>
      <c r="BE19">
        <f>'TEA Revised Non EYZ'!BE19</f>
        <v>1.8775014999999999E-2</v>
      </c>
      <c r="BF19">
        <f>'TEA Revised Non EYZ'!BF19</f>
        <v>0.10492961100000001</v>
      </c>
      <c r="BG19">
        <f>'TEA Revised Non EYZ'!BG19</f>
        <v>1.814625E-3</v>
      </c>
      <c r="BH19">
        <f>'TEA Revised Non EYZ'!BH19</f>
        <v>285.1951444</v>
      </c>
      <c r="BI19">
        <f>'TEA Revised Non EYZ'!BI19</f>
        <v>2169.8944889999998</v>
      </c>
      <c r="BJ19">
        <f>'TEA Revised Non EYZ'!BJ19</f>
        <v>866.49409060000005</v>
      </c>
      <c r="BK19">
        <f>'TEA Revised Non EYZ'!BK19</f>
        <v>100</v>
      </c>
      <c r="BL19">
        <f>'TEA Revised Non EYZ'!BL19</f>
        <v>13.957372480144</v>
      </c>
      <c r="BM19">
        <f>'TEA Revised Non EYZ'!BM19</f>
        <v>92.480233795174101</v>
      </c>
      <c r="BN19">
        <f>'TEA Revised Non EYZ'!BN19</f>
        <v>19.778742894656101</v>
      </c>
      <c r="BO19">
        <f>'TEA Revised Non EYZ'!BO19</f>
        <v>167.488469761728</v>
      </c>
      <c r="BP19">
        <f>'TEA Revised Non EYZ'!BP19</f>
        <v>514.24731526105859</v>
      </c>
      <c r="BQ19">
        <f>'TEA Revised Non EYZ'!BQ19</f>
        <v>16.7488469761728</v>
      </c>
      <c r="BR19">
        <f>'TEA Revised Non EYZ'!BR19</f>
        <v>51.424731526105859</v>
      </c>
      <c r="BS19">
        <f>'eLLE Bals'!CF19</f>
        <v>8.3744234880863999</v>
      </c>
      <c r="BT19">
        <f>'eLLE Bals'!CG19</f>
        <v>11.867245736793661</v>
      </c>
      <c r="BU19">
        <f>BM19</f>
        <v>92.480233795174101</v>
      </c>
      <c r="BV19">
        <f>BU19*(AM19*2+AN19*2+AO19*3)</f>
        <v>0.31468183199630284</v>
      </c>
      <c r="BW19">
        <f>BN19*BA19*(AP19*2+AQ19*2+AR19*3)</f>
        <v>0.30142467075242524</v>
      </c>
      <c r="BX19">
        <f>BV19/(2*V19*BL19+BV19)</f>
        <v>0.10130907744632989</v>
      </c>
      <c r="BY19">
        <f>BU19*BX19</f>
        <v>9.3690871678099867</v>
      </c>
      <c r="BZ19">
        <f>BW19/(2*BN19*BA19+BW19)</f>
        <v>7.080394737865657E-2</v>
      </c>
      <c r="CA19">
        <f>2*BN19*BA19/0.04</f>
        <v>98.893714473280511</v>
      </c>
      <c r="CB19">
        <f>(BS19+BL19)*2</f>
        <v>44.663591936460804</v>
      </c>
      <c r="CC19">
        <f>(BU19+BL19)*2</f>
        <v>212.87521255063621</v>
      </c>
      <c r="CD19">
        <f>(BT19+BN19)*2</f>
        <v>63.291977262899522</v>
      </c>
      <c r="CE19">
        <f>(CA19+BN19)*2</f>
        <v>237.34491473587323</v>
      </c>
      <c r="CF19">
        <f>'TEA Revised Non EYZ'!CB19</f>
        <v>2210.8478008548095</v>
      </c>
      <c r="CG19">
        <f>'TEA Revised Non EYZ'!CC19</f>
        <v>6788.0645614459736</v>
      </c>
      <c r="CH19">
        <f>'TEA Revised Non EYZ'!CD19</f>
        <v>2671.1136977461792</v>
      </c>
      <c r="CI19">
        <f>'TEA Revised Non EYZ'!CE19</f>
        <v>52356.945274079662</v>
      </c>
      <c r="CJ19">
        <f>BL19*V19</f>
        <v>1.3957372480144001</v>
      </c>
      <c r="CK19">
        <f>CJ19/2*1.2</f>
        <v>0.8374423488086401</v>
      </c>
      <c r="CL19">
        <f>'eLLE Bals'!CB19*'Oxidant Feed Composition'!$N$20</f>
        <v>4.6524574933813359E-2</v>
      </c>
      <c r="CM19">
        <f>'eLLE Bals'!CB19*'Oxidant Feed Composition'!$N$21</f>
        <v>2.326228746690667</v>
      </c>
      <c r="CN19">
        <f>'eLLE Bals'!CB19*'Oxidant Feed Composition'!$N$22</f>
        <v>0.69786862400720007</v>
      </c>
      <c r="CO19">
        <f>CN19/CK19</f>
        <v>0.83333333333333326</v>
      </c>
      <c r="CP19">
        <f>CO19</f>
        <v>0.83333333333333326</v>
      </c>
      <c r="CQ19">
        <f>CL19/CO19</f>
        <v>5.5829489920576035E-2</v>
      </c>
      <c r="CR19">
        <f>CM19/CO19</f>
        <v>2.7914744960288007</v>
      </c>
      <c r="CS19">
        <f>BN19*BA19</f>
        <v>1.9778742894656103</v>
      </c>
      <c r="CT19">
        <f>CS19/2*1.2</f>
        <v>1.1867245736793661</v>
      </c>
      <c r="CU19">
        <f>'eLLE Bals'!CC19*'Oxidant Feed Composition'!$N$20</f>
        <v>6.5929142982187036E-2</v>
      </c>
      <c r="CV19">
        <f>'eLLE Bals'!CC19*'Oxidant Feed Composition'!$N$21</f>
        <v>3.2964571491093504</v>
      </c>
      <c r="CW19">
        <f>'eLLE Bals'!CC19*'Oxidant Feed Composition'!$N$22</f>
        <v>0.98893714473280514</v>
      </c>
      <c r="CX19">
        <f>CU19/CP19</f>
        <v>7.9114971578624446E-2</v>
      </c>
      <c r="CY19">
        <f>CV19/CP19</f>
        <v>3.955748578931221</v>
      </c>
      <c r="CZ19">
        <f>CJ19</f>
        <v>1.3957372480144001</v>
      </c>
      <c r="DA19">
        <f>'eLLE Bals'!BQ19</f>
        <v>2.7914744960288003</v>
      </c>
      <c r="DB19">
        <f>'eLLE Bals'!BU19</f>
        <v>9.58980886651206</v>
      </c>
      <c r="DC19">
        <f>CS19</f>
        <v>1.9778742894656103</v>
      </c>
      <c r="DD19">
        <f>'eLLE Bals'!BX19</f>
        <v>3.9557485789312206</v>
      </c>
      <c r="DE19">
        <f>'eLLE Bals'!CA19</f>
        <v>22.00089720698853</v>
      </c>
      <c r="DF19">
        <f>2*2*(CJ19*'Reagent cost'!$C$36*122.44/1000+CK19*'Oxidant Feed Composition'!$N$26+CQ19*'Reagent cost'!$C$34+CR19*'Reagent cost'!$C$35)</f>
        <v>117.89473144631702</v>
      </c>
      <c r="DG19">
        <f>2*2*(CS19*'Reagent cost'!$C$36*122.44/1000+CT19*'Oxidant Feed Composition'!$N$26+CX19*'Reagent cost'!$C$34+CY19*'Reagent cost'!$C$35)</f>
        <v>167.06651522186601</v>
      </c>
      <c r="DH19">
        <f>(AF19+3)*2*(CZ19*'Reagent cost'!$C$38+DA19*'Reagent cost'!$C$39+DB19*'Reagent cost'!$C$36*122.44/1000)</f>
        <v>2495.9772649450015</v>
      </c>
      <c r="DI19">
        <f>3*2*(DC19*'Reagent cost'!$C$38+DD19*'Reagent cost'!$C$39+DE19*'Reagent cost'!$C$36*122.44/1000)</f>
        <v>1194.3127835779874</v>
      </c>
      <c r="DJ19">
        <f>7963.6*(CB19/1000)^0.6*1.7*('CAPEX+OPEX'!$G$116/'CAPEX+OPEX'!$G$115)</f>
        <v>2472.9373618126128</v>
      </c>
      <c r="DK19">
        <f>7963.6*(CC19/1000)^0.6*1.7*('CAPEX+OPEX'!$G$116/'CAPEX+OPEX'!$G$115)</f>
        <v>6311.2587327211604</v>
      </c>
      <c r="DL19">
        <f>7963.6*(CD19/1000)^0.6*1.7*('CAPEX+OPEX'!$G$116/'CAPEX+OPEX'!$G$115)</f>
        <v>3048.2467953801424</v>
      </c>
      <c r="DM19">
        <f>7963.6*(CE19/1000)^0.6*1.7*('CAPEX+OPEX'!$G$116/'CAPEX+OPEX'!$G$115)</f>
        <v>6737.0362867271306</v>
      </c>
      <c r="DN19">
        <f>'TEA Revised Non EYZ'!CM19</f>
        <v>39625.826528698344</v>
      </c>
      <c r="DO19">
        <f>'TEA Revised Non EYZ'!CN19</f>
        <v>4586243.4239371875</v>
      </c>
      <c r="DP19">
        <f>'TEA Revised Non EYZ'!CO19</f>
        <v>11794834.586807497</v>
      </c>
      <c r="DQ19">
        <f>'TEA Revised Non EYZ'!CP19</f>
        <v>2275209.1661185985</v>
      </c>
      <c r="DR19">
        <f>'TEA Revised Non EYZ'!CQ19</f>
        <v>14083914.336508472</v>
      </c>
      <c r="DS19">
        <f>'TEA Revised Non EYZ'!CR19</f>
        <v>1662824.8986326549</v>
      </c>
      <c r="DT19">
        <f>'TEA Revised Non EYZ'!CS19</f>
        <v>528015.95740622084</v>
      </c>
      <c r="DU19">
        <f>'TEA Revised Non EYZ'!CT19</f>
        <v>1357943.8117688675</v>
      </c>
      <c r="DV19">
        <f>'TEA Revised Non EYZ'!CU19</f>
        <v>261945.7004565605</v>
      </c>
      <c r="DW19">
        <f>'TEA Revised Non EYZ'!CV19</f>
        <v>1621486.4378120217</v>
      </c>
      <c r="DX19">
        <f>'TEA Revised Non EYZ'!CW19</f>
        <v>191441.6658016555</v>
      </c>
      <c r="DY19">
        <f>'TEA Revised Non EYZ'!CX19</f>
        <v>3960833.5732453261</v>
      </c>
      <c r="DZ19">
        <f>'TEA Revised Non EYZ'!CY19</f>
        <v>843973.89654919889</v>
      </c>
      <c r="EA19">
        <f>'TEA Revised Non EYZ'!CZ19</f>
        <v>2170519.8754660604</v>
      </c>
      <c r="EB19">
        <f>'TEA Revised Non EYZ'!DA19</f>
        <v>418690.62932231004</v>
      </c>
      <c r="EC19">
        <f>'TEA Revised Non EYZ'!DB19</f>
        <v>2591763.010050592</v>
      </c>
      <c r="ED19">
        <f>'TEA Revised Non EYZ'!DC19</f>
        <v>305997.88961338153</v>
      </c>
      <c r="EE19">
        <f>'TEA Revised Non EYZ'!DD19</f>
        <v>6330945.3010015422</v>
      </c>
      <c r="EF19">
        <v>0.7</v>
      </c>
      <c r="EG19">
        <v>100</v>
      </c>
      <c r="EH19">
        <f>96485*BL19*V19/EF19/EG19/60</f>
        <v>32.063740089207002</v>
      </c>
      <c r="EI19">
        <f>96485*BN19*BA19/EF19/EG19/60</f>
        <v>45.43695257597367</v>
      </c>
      <c r="EJ19">
        <f>EH19*('CAPEX+OPEX'!$O$25+'CAPEX+OPEX'!$O$26)</f>
        <v>1021935.5241232056</v>
      </c>
      <c r="EK19">
        <f>EI19*('CAPEX+OPEX'!$O$25+'CAPEX+OPEX'!$O$26)</f>
        <v>1448166.5525014328</v>
      </c>
      <c r="EL19">
        <f>EJ19*1.12/0.6*'CAPEX+OPEX'!$G$116/'CAPEX+OPEX'!$G$115</f>
        <v>2249949.8446835969</v>
      </c>
      <c r="EM19">
        <f>EK19*1.12/0.6*'CAPEX+OPEX'!$G$116/'CAPEX+OPEX'!$G$115</f>
        <v>3188363.6814290397</v>
      </c>
      <c r="EN19">
        <f>EL19+EM19+DY19+EE19+1.15*(SUM(DF19:DM19)+SUM(CF19:CI19))</f>
        <v>15829649.857436357</v>
      </c>
      <c r="EO19">
        <f>EN19/15</f>
        <v>1055309.9904957572</v>
      </c>
      <c r="EP19">
        <f>('eLLE Bals'!CB19+'eLLE Bals'!CC19)*'Oxidant Feed Composition'!$N$25*60*7200</f>
        <v>13584744.247127788</v>
      </c>
      <c r="EQ19" s="83">
        <f>('eLLE Bals'!BR19+'eLLE Bals'!BY19)*'Reagent cost'!$C$38*60*7200</f>
        <v>513554.48923934827</v>
      </c>
      <c r="ER19">
        <f>'TEA Revised Non EYZ'!DI19</f>
        <v>504921.59999999998</v>
      </c>
      <c r="ES19">
        <f>'TEA Revised Non EYZ'!DJ19</f>
        <v>89.989123623007842</v>
      </c>
      <c r="ET19">
        <f>'TEA Revised Non EYZ'!DK19</f>
        <v>1100.5611794365168</v>
      </c>
      <c r="EU19">
        <f>1.2*SUM(EP19:ET19)</f>
        <v>17525293.064004235</v>
      </c>
      <c r="EV19">
        <f>'TEA Revised Non EYZ'!DM19</f>
        <v>0.70639694042110623</v>
      </c>
      <c r="EW19">
        <f>(BS19*CO19+BT19*CP19)/1000*('Oxidant Feed Composition'!$B$11*'Oxidant Feed Composition'!$O$20+'Oxidant Feed Composition'!$D$11*'Oxidant Feed Composition'!$O$21+'Oxidant Feed Composition'!$F$11*'Oxidant Feed Composition'!$O$27-'Oxidant Feed Composition'!$J$15*18.015)</f>
        <v>1.9699283577164781</v>
      </c>
      <c r="EX19">
        <f>(CZ19*BX19+DC19*BZ19)*368.34/1000</f>
        <v>0.10366640523898266</v>
      </c>
      <c r="EY19">
        <f>'TEA Revised Non EYZ'!DP19</f>
        <v>4.999938342565946E-2</v>
      </c>
      <c r="EZ19">
        <f>SUM(EV19:EX19)-EY19</f>
        <v>2.7299923199509077</v>
      </c>
      <c r="FA19">
        <f>EZ19*0.33*60*7200</f>
        <v>389187.70513220143</v>
      </c>
      <c r="FB19">
        <f>'TEA Revised Non EYZ'!DS19</f>
        <v>1.2</v>
      </c>
      <c r="FC19">
        <v>0.5</v>
      </c>
      <c r="FD19">
        <f>'TEA Revised Non EYZ'!DT19</f>
        <v>1407.4770862909579</v>
      </c>
      <c r="FE19">
        <f>'TEA Revised Non EYZ'!DU19</f>
        <v>708.19058547617715</v>
      </c>
      <c r="FF19">
        <f>'TEA Revised Non EYZ'!DV19</f>
        <v>0.7</v>
      </c>
      <c r="FG19">
        <f>'TEA Revised Non EYZ'!DW19</f>
        <v>30272.303809866662</v>
      </c>
      <c r="FH19">
        <f>'TEA Revised Non EYZ'!DX19</f>
        <v>20763.049486147294</v>
      </c>
      <c r="FI19">
        <f>'TEA Revised Non EYZ'!DY19</f>
        <v>8790.8072421188135</v>
      </c>
      <c r="FJ19">
        <f>'TEA Revised Non EYZ'!DZ19</f>
        <v>4656.7358484871465</v>
      </c>
      <c r="FK19">
        <f>'TEA Revised Non EYZ'!EA19</f>
        <v>4688.4305291300352</v>
      </c>
      <c r="FL19">
        <f>'TEA Revised Non EYZ'!EB19</f>
        <v>851.24214178877139</v>
      </c>
      <c r="FM19">
        <f>'TEA Revised Non EYZ'!EC19</f>
        <v>46337.336863375494</v>
      </c>
      <c r="FN19">
        <f>'TEA Revised Non EYZ'!ED19</f>
        <v>46605.830936093211</v>
      </c>
      <c r="FO19">
        <f>'TEA Revised Non EYZ'!EE19</f>
        <v>19732.307452781399</v>
      </c>
      <c r="FP19">
        <f>'TEA Revised Non EYZ'!EF19</f>
        <v>10458.475356061363</v>
      </c>
      <c r="FQ19">
        <f>'TEA Revised Non EYZ'!EG19</f>
        <v>10523.897308150083</v>
      </c>
      <c r="FR19">
        <f>'TEA Revised Non EYZ'!EH19</f>
        <v>428.31366609599201</v>
      </c>
      <c r="FS19">
        <f>'TEA Revised Non EYZ'!EI19</f>
        <v>204108.73064009621</v>
      </c>
      <c r="FT19">
        <f>EG19*EH19</f>
        <v>3206.3740089207004</v>
      </c>
      <c r="FU19">
        <f>EG19*EI19</f>
        <v>4543.6952575973673</v>
      </c>
      <c r="FV19">
        <f>FC19*(FT19+FU19)/(3.6*10^6)*3600*7200*0.07</f>
        <v>1953.0174551625532</v>
      </c>
      <c r="FW19">
        <f>('CAPEX+OPEX'!$C$39/7/100+0.03)*EL19</f>
        <v>115711.70629801355</v>
      </c>
      <c r="FX19">
        <f>('CAPEX+OPEX'!$C$39/7/100+0.03)*EM19</f>
        <v>163972.98933063634</v>
      </c>
      <c r="FY19">
        <f>SUM(FV19:FX19)</f>
        <v>281637.71308381244</v>
      </c>
      <c r="FZ19">
        <f>FY19+FA19+FS19+EU19</f>
        <v>18400227.212860346</v>
      </c>
      <c r="GA19">
        <f>FZ19+EO19</f>
        <v>19455537.203356102</v>
      </c>
      <c r="GB19">
        <f>GA19/(BK19*60*7200)</f>
        <v>0.45035965748509493</v>
      </c>
      <c r="GC19">
        <f>'TEA Revised Non EYZ'!EM19/'TEA Revised Non EYZ'!EK19*GA19</f>
        <v>1506.3224269456748</v>
      </c>
      <c r="GD19">
        <f>'TEA Revised Non EYZ'!EN19/'TEA Revised Non EYZ'!EK19*GA19</f>
        <v>2755.8148985122334</v>
      </c>
    </row>
    <row r="20" spans="1:186">
      <c r="A20">
        <f>'TEA Revised Non EYZ'!A20</f>
        <v>4</v>
      </c>
      <c r="B20">
        <f>'TEA Revised Non EYZ'!B20</f>
        <v>1.54143585092054E-3</v>
      </c>
      <c r="C20">
        <f>'TEA Revised Non EYZ'!C20</f>
        <v>1.54143585092054E-3</v>
      </c>
      <c r="D20">
        <f>'TEA Revised Non EYZ'!D20</f>
        <v>3.4254130020456501E-4</v>
      </c>
      <c r="E20">
        <f>'TEA Revised Non EYZ'!E20</f>
        <v>0</v>
      </c>
      <c r="F20">
        <f>'TEA Revised Non EYZ'!F20</f>
        <v>0</v>
      </c>
      <c r="G20">
        <f>'TEA Revised Non EYZ'!G20</f>
        <v>0</v>
      </c>
      <c r="H20">
        <f>'TEA Revised Non EYZ'!H20</f>
        <v>1.7208960911287699E-5</v>
      </c>
      <c r="I20">
        <f>'TEA Revised Non EYZ'!I20</f>
        <v>2.8768784818324402E-7</v>
      </c>
      <c r="J20">
        <f>'TEA Revised Non EYZ'!J20</f>
        <v>3.3243632642994598E-4</v>
      </c>
      <c r="K20">
        <f>'TEA Revised Non EYZ'!K20</f>
        <v>0.10920586178936199</v>
      </c>
      <c r="L20">
        <f>'TEA Revised Non EYZ'!L20</f>
        <v>0.110418215553449</v>
      </c>
      <c r="M20">
        <f>'TEA Revised Non EYZ'!M20</f>
        <v>7.2398825703009801E-4</v>
      </c>
      <c r="N20">
        <f>'TEA Revised Non EYZ'!N20</f>
        <v>-2.168404344971E-18</v>
      </c>
      <c r="O20">
        <f>'TEA Revised Non EYZ'!O20</f>
        <v>2.3635607360183901E-17</v>
      </c>
      <c r="P20">
        <f>'TEA Revised Non EYZ'!P20</f>
        <v>-7.4538899358378406E-20</v>
      </c>
      <c r="Q20">
        <f>'TEA Revised Non EYZ'!Q20</f>
        <v>0.13957372480144001</v>
      </c>
      <c r="R20">
        <f>'TEA Revised Non EYZ'!R20</f>
        <v>97.0499984181222</v>
      </c>
      <c r="S20">
        <f>'TEA Revised Non EYZ'!S20</f>
        <v>500</v>
      </c>
      <c r="T20">
        <f>'TEA Revised Non EYZ'!T20</f>
        <v>95</v>
      </c>
      <c r="U20">
        <f>'TEA Revised Non EYZ'!U20</f>
        <v>1</v>
      </c>
      <c r="V20">
        <f>'TEA Revised Non EYZ'!V20</f>
        <v>0.1</v>
      </c>
      <c r="W20">
        <f>'TEA Revised Non EYZ'!W20</f>
        <v>71.646723007687299</v>
      </c>
      <c r="X20" t="str">
        <f>'TEA Revised Non EYZ'!X20</f>
        <v>ddFc</v>
      </c>
      <c r="Y20">
        <f>'TEA Revised Non EYZ'!Y20</f>
        <v>1</v>
      </c>
      <c r="Z20">
        <f>'TEA Revised Non EYZ'!Z20</f>
        <v>0.28318429382522198</v>
      </c>
      <c r="AA20">
        <f>'TEA Revised Non EYZ'!AA20</f>
        <v>0.56945642916197003</v>
      </c>
      <c r="AB20">
        <f>'TEA Revised Non EYZ'!AB20</f>
        <v>3.7698628972227502E-3</v>
      </c>
      <c r="AC20">
        <f>'TEA Revised Non EYZ'!AC20</f>
        <v>1822.2107908876901</v>
      </c>
      <c r="AD20">
        <f>'TEA Revised Non EYZ'!AD20</f>
        <v>2662.6059073104898</v>
      </c>
      <c r="AE20">
        <f>'TEA Revised Non EYZ'!AE20</f>
        <v>2401.5030938442701</v>
      </c>
      <c r="AF20">
        <f>'TEA Revised Non EYZ'!AF20</f>
        <v>12</v>
      </c>
      <c r="AG20">
        <f>'TEA Revised Non EYZ'!AG20</f>
        <v>1.6481650483119699E-3</v>
      </c>
      <c r="AH20">
        <f>'TEA Revised Non EYZ'!AH20</f>
        <v>1.6664622263884801E-3</v>
      </c>
      <c r="AI20">
        <f>'TEA Revised Non EYZ'!AI20</f>
        <v>1.0926630870116399E-5</v>
      </c>
      <c r="AJ20">
        <f>'TEA Revised Non EYZ'!AJ20</f>
        <v>0</v>
      </c>
      <c r="AK20">
        <f>'TEA Revised Non EYZ'!AK20</f>
        <v>0</v>
      </c>
      <c r="AL20">
        <f>'TEA Revised Non EYZ'!AL20</f>
        <v>0</v>
      </c>
      <c r="AM20">
        <f>'TEA Revised Non EYZ'!AM20</f>
        <v>1.6111242193774301E-3</v>
      </c>
      <c r="AN20">
        <f>'TEA Revised Non EYZ'!AN20</f>
        <v>7.3941490785069596E-5</v>
      </c>
      <c r="AO20">
        <f>'TEA Revised Non EYZ'!AO20</f>
        <v>1.08545207611103E-5</v>
      </c>
      <c r="AP20">
        <f>'TEA Revised Non EYZ'!AP20</f>
        <v>1.7319455084018099E-3</v>
      </c>
      <c r="AQ20">
        <f>'TEA Revised Non EYZ'!AQ20</f>
        <v>7.4462673066500798E-2</v>
      </c>
      <c r="AR20">
        <f>'TEA Revised Non EYZ'!AR20</f>
        <v>3.3717058444944401E-6</v>
      </c>
      <c r="AS20">
        <f>'TEA Revised Non EYZ'!AS20</f>
        <v>6.09863722023096E-20</v>
      </c>
      <c r="AT20">
        <f>'TEA Revised Non EYZ'!AT20</f>
        <v>-2.3852447794681001E-18</v>
      </c>
      <c r="AU20">
        <f>'TEA Revised Non EYZ'!AU20</f>
        <v>1.9719985803264101E-21</v>
      </c>
      <c r="AV20">
        <f>'TEA Revised Non EYZ'!AV20</f>
        <v>0.19778592936186601</v>
      </c>
      <c r="AW20">
        <f>'TEA Revised Non EYZ'!AW20</f>
        <v>99.340051751877695</v>
      </c>
      <c r="AX20">
        <f>'TEA Revised Non EYZ'!AX20</f>
        <v>500</v>
      </c>
      <c r="AY20">
        <f>'TEA Revised Non EYZ'!AY20</f>
        <v>95</v>
      </c>
      <c r="AZ20">
        <f>'TEA Revised Non EYZ'!AZ20</f>
        <v>0.92480233795174105</v>
      </c>
      <c r="BA20">
        <f>'TEA Revised Non EYZ'!BA20</f>
        <v>0.1</v>
      </c>
      <c r="BB20">
        <f>'TEA Revised Non EYZ'!BB20</f>
        <v>46.757741611625697</v>
      </c>
      <c r="BC20" t="str">
        <f>'TEA Revised Non EYZ'!BC20</f>
        <v>coeFc</v>
      </c>
      <c r="BD20">
        <f>'TEA Revised Non EYZ'!BD20</f>
        <v>1</v>
      </c>
      <c r="BE20">
        <f>'TEA Revised Non EYZ'!BE20</f>
        <v>1.8775014999999999E-2</v>
      </c>
      <c r="BF20">
        <f>'TEA Revised Non EYZ'!BF20</f>
        <v>0.10492961100000001</v>
      </c>
      <c r="BG20">
        <f>'TEA Revised Non EYZ'!BG20</f>
        <v>1.814625E-3</v>
      </c>
      <c r="BH20">
        <f>'TEA Revised Non EYZ'!BH20</f>
        <v>285.1951444</v>
      </c>
      <c r="BI20">
        <f>'TEA Revised Non EYZ'!BI20</f>
        <v>2169.8944889999998</v>
      </c>
      <c r="BJ20">
        <f>'TEA Revised Non EYZ'!BJ20</f>
        <v>866.49409060000005</v>
      </c>
      <c r="BK20">
        <f>'TEA Revised Non EYZ'!BK20</f>
        <v>100</v>
      </c>
      <c r="BL20">
        <f>'TEA Revised Non EYZ'!BL20</f>
        <v>13.957372480144</v>
      </c>
      <c r="BM20">
        <f>'TEA Revised Non EYZ'!BM20</f>
        <v>92.480233795174101</v>
      </c>
      <c r="BN20">
        <f>'TEA Revised Non EYZ'!BN20</f>
        <v>19.778592936186602</v>
      </c>
      <c r="BO20">
        <f>'TEA Revised Non EYZ'!BO20</f>
        <v>167.488469761728</v>
      </c>
      <c r="BP20">
        <f>'TEA Revised Non EYZ'!BP20</f>
        <v>553.80060221322481</v>
      </c>
      <c r="BQ20">
        <f>'TEA Revised Non EYZ'!BQ20</f>
        <v>16.7488469761728</v>
      </c>
      <c r="BR20">
        <f>'TEA Revised Non EYZ'!BR20</f>
        <v>55.380060221322481</v>
      </c>
      <c r="BS20">
        <f>'eLLE Bals'!CF20</f>
        <v>8.3744234880863999</v>
      </c>
      <c r="BT20">
        <f>'eLLE Bals'!CG20</f>
        <v>11.867155761711961</v>
      </c>
      <c r="BU20">
        <f>BM20</f>
        <v>92.480233795174101</v>
      </c>
      <c r="BV20">
        <f>BU20*(AM20*2+AN20*2+AO20*3)</f>
        <v>0.31468202752528424</v>
      </c>
      <c r="BW20">
        <f>BN20*BA20*(AP20*2+AQ20*2+AR20*3)</f>
        <v>0.30142447522341986</v>
      </c>
      <c r="BX20">
        <f>BV20/(2*V20*BL20+BV20)</f>
        <v>0.10130913401789006</v>
      </c>
      <c r="BY20">
        <f>BU20*BX20</f>
        <v>9.3690923995610991</v>
      </c>
      <c r="BZ20">
        <f>BW20/(2*BN20*BA20+BW20)</f>
        <v>7.0804403516847886E-2</v>
      </c>
      <c r="CA20">
        <f>2*BN20*BA20/0.04</f>
        <v>98.892964680933019</v>
      </c>
      <c r="CB20">
        <f>(BS20+BL20)*2</f>
        <v>44.663591936460804</v>
      </c>
      <c r="CC20">
        <f>(BU20+BL20)*2</f>
        <v>212.87521255063621</v>
      </c>
      <c r="CD20">
        <f>(BT20+BN20)*2</f>
        <v>63.291497395797123</v>
      </c>
      <c r="CE20">
        <f>(CA20+BN20)*2</f>
        <v>237.34311523423924</v>
      </c>
      <c r="CF20">
        <f>'TEA Revised Non EYZ'!CB20</f>
        <v>2210.8478008548095</v>
      </c>
      <c r="CG20">
        <f>'TEA Revised Non EYZ'!CC20</f>
        <v>7310.1679492145686</v>
      </c>
      <c r="CH20">
        <f>'TEA Revised Non EYZ'!CD20</f>
        <v>2671.1136977461792</v>
      </c>
      <c r="CI20">
        <f>'TEA Revised Non EYZ'!CE20</f>
        <v>56383.975107601007</v>
      </c>
      <c r="CJ20">
        <f>BL20*V20</f>
        <v>1.3957372480144001</v>
      </c>
      <c r="CK20">
        <f>CJ20/2*1.2</f>
        <v>0.8374423488086401</v>
      </c>
      <c r="CL20">
        <f>'eLLE Bals'!CB20*'Oxidant Feed Composition'!$N$20</f>
        <v>4.6524574933813359E-2</v>
      </c>
      <c r="CM20">
        <f>'eLLE Bals'!CB20*'Oxidant Feed Composition'!$N$21</f>
        <v>2.326228746690667</v>
      </c>
      <c r="CN20">
        <f>'eLLE Bals'!CB20*'Oxidant Feed Composition'!$N$22</f>
        <v>0.69786862400720007</v>
      </c>
      <c r="CO20">
        <f>CN20/CK20</f>
        <v>0.83333333333333326</v>
      </c>
      <c r="CP20">
        <f>CO20</f>
        <v>0.83333333333333326</v>
      </c>
      <c r="CQ20">
        <f>CL20/CO20</f>
        <v>5.5829489920576035E-2</v>
      </c>
      <c r="CR20">
        <f>CM20/CO20</f>
        <v>2.7914744960288007</v>
      </c>
      <c r="CS20">
        <f>BN20*BA20</f>
        <v>1.9778592936186603</v>
      </c>
      <c r="CT20">
        <f>CS20/2*1.2</f>
        <v>1.1867155761711961</v>
      </c>
      <c r="CU20">
        <f>'eLLE Bals'!CC20*'Oxidant Feed Composition'!$N$20</f>
        <v>6.5928643120622035E-2</v>
      </c>
      <c r="CV20">
        <f>'eLLE Bals'!CC20*'Oxidant Feed Composition'!$N$21</f>
        <v>3.2964321560311007</v>
      </c>
      <c r="CW20">
        <f>'eLLE Bals'!CC20*'Oxidant Feed Composition'!$N$22</f>
        <v>0.98892964680933015</v>
      </c>
      <c r="CX20">
        <f>CU20/CP20</f>
        <v>7.9114371744746448E-2</v>
      </c>
      <c r="CY20">
        <f>CV20/CP20</f>
        <v>3.9557185872373211</v>
      </c>
      <c r="CZ20">
        <f>CJ20</f>
        <v>1.3957372480144001</v>
      </c>
      <c r="DA20">
        <f>'eLLE Bals'!BQ20</f>
        <v>2.7914744960288003</v>
      </c>
      <c r="DB20">
        <f>'eLLE Bals'!BU20</f>
        <v>9.5898011733501409</v>
      </c>
      <c r="DC20">
        <f>CS20</f>
        <v>1.9778592936186603</v>
      </c>
      <c r="DD20">
        <f>'eLLE Bals'!BX20</f>
        <v>3.9557185872373206</v>
      </c>
      <c r="DE20">
        <f>'eLLE Bals'!CA20</f>
        <v>22.000550441375118</v>
      </c>
      <c r="DF20">
        <f>2*2*(CJ20*'Reagent cost'!$C$36*122.44/1000+CK20*'Oxidant Feed Composition'!$N$26+CQ20*'Reagent cost'!$C$34+CR20*'Reagent cost'!$C$35)</f>
        <v>117.89473144631702</v>
      </c>
      <c r="DG20">
        <f>2*2*(CS20*'Reagent cost'!$C$36*122.44/1000+CT20*'Oxidant Feed Composition'!$N$26+CX20*'Reagent cost'!$C$34+CY20*'Reagent cost'!$C$35)</f>
        <v>167.06524855698947</v>
      </c>
      <c r="DH20">
        <f>(AF20+3)*2*(CZ20*'Reagent cost'!$C$38+DA20*'Reagent cost'!$C$39+DB20*'Reagent cost'!$C$36*122.44/1000)</f>
        <v>2674.2593596813667</v>
      </c>
      <c r="DI20">
        <f>3*2*(DC20*'Reagent cost'!$C$38+DD20*'Reagent cost'!$C$39+DE20*'Reagent cost'!$C$36*122.44/1000)</f>
        <v>1194.2943922036561</v>
      </c>
      <c r="DJ20">
        <f>7963.6*(CB20/1000)^0.6*1.7*('CAPEX+OPEX'!$G$116/'CAPEX+OPEX'!$G$115)</f>
        <v>2472.9373618126128</v>
      </c>
      <c r="DK20">
        <f>7963.6*(CC20/1000)^0.6*1.7*('CAPEX+OPEX'!$G$116/'CAPEX+OPEX'!$G$115)</f>
        <v>6311.2587327211604</v>
      </c>
      <c r="DL20">
        <f>7963.6*(CD20/1000)^0.6*1.7*('CAPEX+OPEX'!$G$116/'CAPEX+OPEX'!$G$115)</f>
        <v>3048.2329286408958</v>
      </c>
      <c r="DM20">
        <f>7963.6*(CE20/1000)^0.6*1.7*('CAPEX+OPEX'!$G$116/'CAPEX+OPEX'!$G$115)</f>
        <v>6737.0056393643163</v>
      </c>
      <c r="DN20">
        <f>'TEA Revised Non EYZ'!CM20</f>
        <v>39625.826528698344</v>
      </c>
      <c r="DO20">
        <f>'TEA Revised Non EYZ'!CN20</f>
        <v>4586243.4239371875</v>
      </c>
      <c r="DP20">
        <f>'TEA Revised Non EYZ'!CO20</f>
        <v>11794834.586807497</v>
      </c>
      <c r="DQ20">
        <f>'TEA Revised Non EYZ'!CP20</f>
        <v>2275209.1661185985</v>
      </c>
      <c r="DR20">
        <f>'TEA Revised Non EYZ'!CQ20</f>
        <v>14083914.336508472</v>
      </c>
      <c r="DS20">
        <f>'TEA Revised Non EYZ'!CR20</f>
        <v>1662824.8986326549</v>
      </c>
      <c r="DT20">
        <f>'TEA Revised Non EYZ'!CS20</f>
        <v>528015.95740622084</v>
      </c>
      <c r="DU20">
        <f>'TEA Revised Non EYZ'!CT20</f>
        <v>1357943.8117688675</v>
      </c>
      <c r="DV20">
        <f>'TEA Revised Non EYZ'!CU20</f>
        <v>261945.7004565605</v>
      </c>
      <c r="DW20">
        <f>'TEA Revised Non EYZ'!CV20</f>
        <v>1621486.4378120217</v>
      </c>
      <c r="DX20">
        <f>'TEA Revised Non EYZ'!CW20</f>
        <v>191441.6658016555</v>
      </c>
      <c r="DY20">
        <f>'TEA Revised Non EYZ'!CX20</f>
        <v>3960833.5732453261</v>
      </c>
      <c r="DZ20">
        <f>'TEA Revised Non EYZ'!CY20</f>
        <v>885495.33629599935</v>
      </c>
      <c r="EA20">
        <f>'TEA Revised Non EYZ'!CZ20</f>
        <v>2277304.1144062551</v>
      </c>
      <c r="EB20">
        <f>'TEA Revised Non EYZ'!DA20</f>
        <v>439289.17841137282</v>
      </c>
      <c r="EC20">
        <f>'TEA Revised Non EYZ'!DB20</f>
        <v>2719271.3750602305</v>
      </c>
      <c r="ED20">
        <f>'TEA Revised Non EYZ'!DC20</f>
        <v>321052.23310454836</v>
      </c>
      <c r="EE20">
        <f>'TEA Revised Non EYZ'!DD20</f>
        <v>6642412.2372784065</v>
      </c>
      <c r="EF20">
        <v>0.7</v>
      </c>
      <c r="EG20">
        <v>100</v>
      </c>
      <c r="EH20">
        <f>96485*BL20*V20/EF20/EG20/60</f>
        <v>32.063740089207002</v>
      </c>
      <c r="EI20">
        <f>96485*BN20*BA20/EF20/EG20/60</f>
        <v>45.436608082094388</v>
      </c>
      <c r="EJ20">
        <f>EH20*('CAPEX+OPEX'!$O$25+'CAPEX+OPEX'!$O$26)</f>
        <v>1021935.5241232056</v>
      </c>
      <c r="EK20">
        <f>EI20*('CAPEX+OPEX'!$O$25+'CAPEX+OPEX'!$O$26)</f>
        <v>1448155.5727925124</v>
      </c>
      <c r="EL20">
        <f>EJ20*1.12/0.6*'CAPEX+OPEX'!$G$116/'CAPEX+OPEX'!$G$115</f>
        <v>2249949.8446835969</v>
      </c>
      <c r="EM20">
        <f>EK20*1.12/0.6*'CAPEX+OPEX'!$G$116/'CAPEX+OPEX'!$G$115</f>
        <v>3188339.507893824</v>
      </c>
      <c r="EN20">
        <f>EL20+EM20+DY20+EE20+1.15*(SUM(DF20:DM20)+SUM(CF20:CI20))</f>
        <v>16146529.073993472</v>
      </c>
      <c r="EO20">
        <f>EN20/15</f>
        <v>1076435.2715995649</v>
      </c>
      <c r="EP20">
        <f>('eLLE Bals'!CB20+'eLLE Bals'!CC20)*'Oxidant Feed Composition'!$N$25*60*7200</f>
        <v>13584683.8623611</v>
      </c>
      <c r="EQ20" s="83">
        <f>('eLLE Bals'!BR20+'eLLE Bals'!BY20)*'Reagent cost'!$C$38*60*7200</f>
        <v>513554.34211367863</v>
      </c>
      <c r="ER20">
        <f>'TEA Revised Non EYZ'!DI20</f>
        <v>504921.59999999998</v>
      </c>
      <c r="ES20">
        <f>'TEA Revised Non EYZ'!DJ20</f>
        <v>95.210157500693782</v>
      </c>
      <c r="ET20">
        <f>'TEA Revised Non EYZ'!DK20</f>
        <v>1181.1017761069438</v>
      </c>
      <c r="EU20">
        <f>1.2*SUM(EP20:ET20)</f>
        <v>17525323.339690063</v>
      </c>
      <c r="EV20">
        <f>'TEA Revised Non EYZ'!DM20</f>
        <v>0.70639694042110623</v>
      </c>
      <c r="EW20">
        <f>(BS20*CO20+BT20*CP20)/1000*('Oxidant Feed Composition'!$B$11*'Oxidant Feed Composition'!$O$20+'Oxidant Feed Composition'!$D$11*'Oxidant Feed Composition'!$O$21+'Oxidant Feed Composition'!$F$11*'Oxidant Feed Composition'!$O$27-'Oxidant Feed Composition'!$J$15*18.015)</f>
        <v>1.9699196013010385</v>
      </c>
      <c r="EX20">
        <f>(CZ20*BX20+DC20*BZ20)*368.34/1000</f>
        <v>0.10366637554011014</v>
      </c>
      <c r="EY20">
        <f>'TEA Revised Non EYZ'!DP20</f>
        <v>4.999938342565946E-2</v>
      </c>
      <c r="EZ20">
        <f>SUM(EV20:EX20)-EY20</f>
        <v>2.7299835338365956</v>
      </c>
      <c r="FA20">
        <f>EZ20*0.33*60*7200</f>
        <v>389186.45258374512</v>
      </c>
      <c r="FB20">
        <f>'TEA Revised Non EYZ'!DS20</f>
        <v>1.2</v>
      </c>
      <c r="FC20">
        <v>0.5</v>
      </c>
      <c r="FD20">
        <f>'TEA Revised Non EYZ'!DT20</f>
        <v>1407.4779618165098</v>
      </c>
      <c r="FE20">
        <f>'TEA Revised Non EYZ'!DU20</f>
        <v>708.18970995057066</v>
      </c>
      <c r="FF20">
        <f>'TEA Revised Non EYZ'!DV20</f>
        <v>0.7</v>
      </c>
      <c r="FG20">
        <f>'TEA Revised Non EYZ'!DW20</f>
        <v>30272.303809866662</v>
      </c>
      <c r="FH20">
        <f>'TEA Revised Non EYZ'!DX20</f>
        <v>20763.049486147294</v>
      </c>
      <c r="FI20">
        <f>'TEA Revised Non EYZ'!DY20</f>
        <v>8790.8072421188135</v>
      </c>
      <c r="FJ20">
        <f>'TEA Revised Non EYZ'!DZ20</f>
        <v>4656.7358484871465</v>
      </c>
      <c r="FK20">
        <f>'TEA Revised Non EYZ'!EA20</f>
        <v>4688.4305291300352</v>
      </c>
      <c r="FL20">
        <f>'TEA Revised Non EYZ'!EB20</f>
        <v>851.24267130662531</v>
      </c>
      <c r="FM20">
        <f>'TEA Revised Non EYZ'!EC20</f>
        <v>48911.633355785249</v>
      </c>
      <c r="FN20">
        <f>'TEA Revised Non EYZ'!ED20</f>
        <v>50489.650180767654</v>
      </c>
      <c r="FO20">
        <f>'TEA Revised Non EYZ'!EE20</f>
        <v>21376.666407179851</v>
      </c>
      <c r="FP20">
        <f>'TEA Revised Non EYZ'!EF20</f>
        <v>11330.014969066478</v>
      </c>
      <c r="FQ20">
        <f>'TEA Revised Non EYZ'!EG20</f>
        <v>11400.888750495924</v>
      </c>
      <c r="FR20">
        <f>'TEA Revised Non EYZ'!EH20</f>
        <v>428.31313657810517</v>
      </c>
      <c r="FS20">
        <f>'TEA Revised Non EYZ'!EI20</f>
        <v>213959.73638692981</v>
      </c>
      <c r="FT20">
        <f>EG20*EH20</f>
        <v>3206.3740089207004</v>
      </c>
      <c r="FU20">
        <f>EG20*EI20</f>
        <v>4543.660808209439</v>
      </c>
      <c r="FV20">
        <f>FC20*(FT20+FU20)/(3.6*10^6)*3600*7200*0.07</f>
        <v>1953.0087739167955</v>
      </c>
      <c r="FW20">
        <f>('CAPEX+OPEX'!$C$39/7/100+0.03)*EL20</f>
        <v>115711.70629801355</v>
      </c>
      <c r="FX20">
        <f>('CAPEX+OPEX'!$C$39/7/100+0.03)*EM20</f>
        <v>163971.74612025381</v>
      </c>
      <c r="FY20">
        <f>SUM(FV20:FX20)</f>
        <v>281636.46119218413</v>
      </c>
      <c r="FZ20">
        <f>FY20+FA20+FS20+EU20</f>
        <v>18410105.989852924</v>
      </c>
      <c r="GA20">
        <f>FZ20+EO20</f>
        <v>19486541.261452489</v>
      </c>
      <c r="GB20">
        <f>GA20/(BK20*60*7200)</f>
        <v>0.45107734401510391</v>
      </c>
      <c r="GC20">
        <f>'TEA Revised Non EYZ'!EM20/'TEA Revised Non EYZ'!EK20*GA20</f>
        <v>1508.7219405244139</v>
      </c>
      <c r="GD20">
        <f>'TEA Revised Non EYZ'!EN20/'TEA Revised Non EYZ'!EK20*GA20</f>
        <v>2760.2096698623595</v>
      </c>
    </row>
    <row r="21" spans="1:186">
      <c r="A21">
        <f>'TEA Revised Non EYZ'!A21</f>
        <v>4</v>
      </c>
      <c r="B21">
        <f>'TEA Revised Non EYZ'!B21</f>
        <v>1.54143585092054E-3</v>
      </c>
      <c r="C21">
        <f>'TEA Revised Non EYZ'!C21</f>
        <v>1.54143585092054E-3</v>
      </c>
      <c r="D21">
        <f>'TEA Revised Non EYZ'!D21</f>
        <v>3.4254130020456501E-4</v>
      </c>
      <c r="E21">
        <f>'TEA Revised Non EYZ'!E21</f>
        <v>0</v>
      </c>
      <c r="F21">
        <f>'TEA Revised Non EYZ'!F21</f>
        <v>0</v>
      </c>
      <c r="G21">
        <f>'TEA Revised Non EYZ'!G21</f>
        <v>0</v>
      </c>
      <c r="H21">
        <f>'TEA Revised Non EYZ'!H21</f>
        <v>1.7208960911287699E-5</v>
      </c>
      <c r="I21">
        <f>'TEA Revised Non EYZ'!I21</f>
        <v>2.8768784818324402E-7</v>
      </c>
      <c r="J21">
        <f>'TEA Revised Non EYZ'!J21</f>
        <v>3.3243632642994598E-4</v>
      </c>
      <c r="K21">
        <f>'TEA Revised Non EYZ'!K21</f>
        <v>0.10920586178936199</v>
      </c>
      <c r="L21">
        <f>'TEA Revised Non EYZ'!L21</f>
        <v>0.110418215553449</v>
      </c>
      <c r="M21">
        <f>'TEA Revised Non EYZ'!M21</f>
        <v>7.2398825703009801E-4</v>
      </c>
      <c r="N21">
        <f>'TEA Revised Non EYZ'!N21</f>
        <v>-2.168404344971E-18</v>
      </c>
      <c r="O21">
        <f>'TEA Revised Non EYZ'!O21</f>
        <v>2.3635607360183901E-17</v>
      </c>
      <c r="P21">
        <f>'TEA Revised Non EYZ'!P21</f>
        <v>-7.4538899358378406E-20</v>
      </c>
      <c r="Q21">
        <f>'TEA Revised Non EYZ'!Q21</f>
        <v>0.13957372480144001</v>
      </c>
      <c r="R21">
        <f>'TEA Revised Non EYZ'!R21</f>
        <v>97.0499984181222</v>
      </c>
      <c r="S21">
        <f>'TEA Revised Non EYZ'!S21</f>
        <v>500</v>
      </c>
      <c r="T21">
        <f>'TEA Revised Non EYZ'!T21</f>
        <v>95</v>
      </c>
      <c r="U21">
        <f>'TEA Revised Non EYZ'!U21</f>
        <v>1</v>
      </c>
      <c r="V21">
        <f>'TEA Revised Non EYZ'!V21</f>
        <v>0.1</v>
      </c>
      <c r="W21">
        <f>'TEA Revised Non EYZ'!W21</f>
        <v>71.646723007687299</v>
      </c>
      <c r="X21" t="str">
        <f>'TEA Revised Non EYZ'!X21</f>
        <v>ddFc</v>
      </c>
      <c r="Y21">
        <f>'TEA Revised Non EYZ'!Y21</f>
        <v>1</v>
      </c>
      <c r="Z21">
        <f>'TEA Revised Non EYZ'!Z21</f>
        <v>0.28318429382522198</v>
      </c>
      <c r="AA21">
        <f>'TEA Revised Non EYZ'!AA21</f>
        <v>0.56945642916197003</v>
      </c>
      <c r="AB21">
        <f>'TEA Revised Non EYZ'!AB21</f>
        <v>3.7698628972227502E-3</v>
      </c>
      <c r="AC21">
        <f>'TEA Revised Non EYZ'!AC21</f>
        <v>1822.2107908876901</v>
      </c>
      <c r="AD21">
        <f>'TEA Revised Non EYZ'!AD21</f>
        <v>2662.6059073104898</v>
      </c>
      <c r="AE21">
        <f>'TEA Revised Non EYZ'!AE21</f>
        <v>2401.5030938442701</v>
      </c>
      <c r="AF21">
        <f>'TEA Revised Non EYZ'!AF21</f>
        <v>13</v>
      </c>
      <c r="AG21">
        <f>'TEA Revised Non EYZ'!AG21</f>
        <v>1.6481650483119699E-3</v>
      </c>
      <c r="AH21">
        <f>'TEA Revised Non EYZ'!AH21</f>
        <v>1.6664622263884801E-3</v>
      </c>
      <c r="AI21">
        <f>'TEA Revised Non EYZ'!AI21</f>
        <v>1.0926630870116399E-5</v>
      </c>
      <c r="AJ21">
        <f>'TEA Revised Non EYZ'!AJ21</f>
        <v>0</v>
      </c>
      <c r="AK21">
        <f>'TEA Revised Non EYZ'!AK21</f>
        <v>0</v>
      </c>
      <c r="AL21">
        <f>'TEA Revised Non EYZ'!AL21</f>
        <v>0</v>
      </c>
      <c r="AM21">
        <f>'TEA Revised Non EYZ'!AM21</f>
        <v>1.6111245032140399E-3</v>
      </c>
      <c r="AN21">
        <f>'TEA Revised Non EYZ'!AN21</f>
        <v>7.3941505194138695E-5</v>
      </c>
      <c r="AO21">
        <f>'TEA Revised Non EYZ'!AO21</f>
        <v>1.08545212908117E-5</v>
      </c>
      <c r="AP21">
        <f>'TEA Revised Non EYZ'!AP21</f>
        <v>1.73193595136525E-3</v>
      </c>
      <c r="AQ21">
        <f>'TEA Revised Non EYZ'!AQ21</f>
        <v>7.4462832095842299E-2</v>
      </c>
      <c r="AR21">
        <f>'TEA Revised Non EYZ'!AR21</f>
        <v>3.3716883082028299E-6</v>
      </c>
      <c r="AS21">
        <f>'TEA Revised Non EYZ'!AS21</f>
        <v>1.3839163105419599E-16</v>
      </c>
      <c r="AT21">
        <f>'TEA Revised Non EYZ'!AT21</f>
        <v>-1.25862861799497E-14</v>
      </c>
      <c r="AU21">
        <f>'TEA Revised Non EYZ'!AU21</f>
        <v>-9.5423555464117197E-21</v>
      </c>
      <c r="AV21">
        <f>'TEA Revised Non EYZ'!AV21</f>
        <v>0.19778550516505899</v>
      </c>
      <c r="AW21">
        <f>'TEA Revised Non EYZ'!AW21</f>
        <v>99.340056599679698</v>
      </c>
      <c r="AX21">
        <f>'TEA Revised Non EYZ'!AX21</f>
        <v>500</v>
      </c>
      <c r="AY21">
        <f>'TEA Revised Non EYZ'!AY21</f>
        <v>95</v>
      </c>
      <c r="AZ21">
        <f>'TEA Revised Non EYZ'!AZ21</f>
        <v>0.92480233795174105</v>
      </c>
      <c r="BA21">
        <f>'TEA Revised Non EYZ'!BA21</f>
        <v>0.1</v>
      </c>
      <c r="BB21">
        <f>'TEA Revised Non EYZ'!BB21</f>
        <v>46.757841894427997</v>
      </c>
      <c r="BC21" t="str">
        <f>'TEA Revised Non EYZ'!BC21</f>
        <v>coeFc</v>
      </c>
      <c r="BD21">
        <f>'TEA Revised Non EYZ'!BD21</f>
        <v>1</v>
      </c>
      <c r="BE21">
        <f>'TEA Revised Non EYZ'!BE21</f>
        <v>1.8775014999999999E-2</v>
      </c>
      <c r="BF21">
        <f>'TEA Revised Non EYZ'!BF21</f>
        <v>0.10492961100000001</v>
      </c>
      <c r="BG21">
        <f>'TEA Revised Non EYZ'!BG21</f>
        <v>1.814625E-3</v>
      </c>
      <c r="BH21">
        <f>'TEA Revised Non EYZ'!BH21</f>
        <v>285.1951444</v>
      </c>
      <c r="BI21">
        <f>'TEA Revised Non EYZ'!BI21</f>
        <v>2169.8944889999998</v>
      </c>
      <c r="BJ21">
        <f>'TEA Revised Non EYZ'!BJ21</f>
        <v>866.49409060000005</v>
      </c>
      <c r="BK21">
        <f>'TEA Revised Non EYZ'!BK21</f>
        <v>100</v>
      </c>
      <c r="BL21">
        <f>'TEA Revised Non EYZ'!BL21</f>
        <v>13.957372480144</v>
      </c>
      <c r="BM21">
        <f>'TEA Revised Non EYZ'!BM21</f>
        <v>92.480233795174101</v>
      </c>
      <c r="BN21">
        <f>'TEA Revised Non EYZ'!BN21</f>
        <v>19.778550516505899</v>
      </c>
      <c r="BO21">
        <f>'TEA Revised Non EYZ'!BO21</f>
        <v>167.488469761728</v>
      </c>
      <c r="BP21">
        <f>'TEA Revised Non EYZ'!BP21</f>
        <v>593.35651549517695</v>
      </c>
      <c r="BQ21">
        <f>'TEA Revised Non EYZ'!BQ21</f>
        <v>16.7488469761728</v>
      </c>
      <c r="BR21">
        <f>'TEA Revised Non EYZ'!BR21</f>
        <v>59.335651549517699</v>
      </c>
      <c r="BS21">
        <f>'eLLE Bals'!CF21</f>
        <v>8.3744234880863999</v>
      </c>
      <c r="BT21">
        <f>'eLLE Bals'!CG21</f>
        <v>11.867130309903539</v>
      </c>
      <c r="BU21">
        <f>BM21</f>
        <v>92.480233795174101</v>
      </c>
      <c r="BV21">
        <f>BU21*(AM21*2+AN21*2+AO21*3)</f>
        <v>0.31468208283590521</v>
      </c>
      <c r="BW21">
        <f>BN21*BA21*(AP21*2+AQ21*2+AR21*3)</f>
        <v>0.30142441991528773</v>
      </c>
      <c r="BX21">
        <f>BV21/(2*V21*BL21+BV21)</f>
        <v>0.10130915002067312</v>
      </c>
      <c r="BY21">
        <f>BU21*BX21</f>
        <v>9.3690938795022163</v>
      </c>
      <c r="BZ21">
        <f>BW21/(2*BN21*BA21+BW21)</f>
        <v>7.0804532549172836E-2</v>
      </c>
      <c r="CA21">
        <f>2*BN21*BA21/0.04</f>
        <v>98.892752582529496</v>
      </c>
      <c r="CB21">
        <f>(BS21+BL21)*2</f>
        <v>44.663591936460804</v>
      </c>
      <c r="CC21">
        <f>(BU21+BL21)*2</f>
        <v>212.87521255063621</v>
      </c>
      <c r="CD21">
        <f>(BT21+BN21)*2</f>
        <v>63.291361652818878</v>
      </c>
      <c r="CE21">
        <f>(CA21+BN21)*2</f>
        <v>237.3426061980708</v>
      </c>
      <c r="CF21">
        <f>'TEA Revised Non EYZ'!CB21</f>
        <v>2210.8478008548095</v>
      </c>
      <c r="CG21">
        <f>'TEA Revised Non EYZ'!CC21</f>
        <v>7832.3060045363363</v>
      </c>
      <c r="CH21">
        <f>'TEA Revised Non EYZ'!CD21</f>
        <v>2671.1136977461792</v>
      </c>
      <c r="CI21">
        <f>'TEA Revised Non EYZ'!CE21</f>
        <v>60411.272335041176</v>
      </c>
      <c r="CJ21">
        <f>BL21*V21</f>
        <v>1.3957372480144001</v>
      </c>
      <c r="CK21">
        <f>CJ21/2*1.2</f>
        <v>0.8374423488086401</v>
      </c>
      <c r="CL21">
        <f>'eLLE Bals'!CB21*'Oxidant Feed Composition'!$N$20</f>
        <v>4.6524574933813359E-2</v>
      </c>
      <c r="CM21">
        <f>'eLLE Bals'!CB21*'Oxidant Feed Composition'!$N$21</f>
        <v>2.326228746690667</v>
      </c>
      <c r="CN21">
        <f>'eLLE Bals'!CB21*'Oxidant Feed Composition'!$N$22</f>
        <v>0.69786862400720007</v>
      </c>
      <c r="CO21">
        <f>CN21/CK21</f>
        <v>0.83333333333333326</v>
      </c>
      <c r="CP21">
        <f>CO21</f>
        <v>0.83333333333333326</v>
      </c>
      <c r="CQ21">
        <f>CL21/CO21</f>
        <v>5.5829489920576035E-2</v>
      </c>
      <c r="CR21">
        <f>CM21/CO21</f>
        <v>2.7914744960288007</v>
      </c>
      <c r="CS21">
        <f>BN21*BA21</f>
        <v>1.9778550516505899</v>
      </c>
      <c r="CT21">
        <f>CS21/2*1.2</f>
        <v>1.186713030990354</v>
      </c>
      <c r="CU21">
        <f>'eLLE Bals'!CC21*'Oxidant Feed Composition'!$N$20</f>
        <v>6.5928501721686364E-2</v>
      </c>
      <c r="CV21">
        <f>'eLLE Bals'!CC21*'Oxidant Feed Composition'!$N$21</f>
        <v>3.2964250860843167</v>
      </c>
      <c r="CW21">
        <f>'eLLE Bals'!CC21*'Oxidant Feed Composition'!$N$22</f>
        <v>0.98892752582529497</v>
      </c>
      <c r="CX21">
        <f>CU21/CP21</f>
        <v>7.9114202066023639E-2</v>
      </c>
      <c r="CY21">
        <f>CV21/CP21</f>
        <v>3.9557101033011803</v>
      </c>
      <c r="CZ21">
        <f>CJ21</f>
        <v>1.3957372480144001</v>
      </c>
      <c r="DA21">
        <f>'eLLE Bals'!BQ21</f>
        <v>2.7914744960288003</v>
      </c>
      <c r="DB21">
        <f>'eLLE Bals'!BU21</f>
        <v>9.5897989971566542</v>
      </c>
      <c r="DC21">
        <f>CS21</f>
        <v>1.9778550516505899</v>
      </c>
      <c r="DD21">
        <f>'eLLE Bals'!BX21</f>
        <v>3.9557101033011799</v>
      </c>
      <c r="DE21">
        <f>'eLLE Bals'!CA21</f>
        <v>22.000452349887986</v>
      </c>
      <c r="DF21">
        <f>2*2*(CJ21*'Reagent cost'!$C$36*122.44/1000+CK21*'Oxidant Feed Composition'!$N$26+CQ21*'Reagent cost'!$C$34+CR21*'Reagent cost'!$C$35)</f>
        <v>117.89473144631702</v>
      </c>
      <c r="DG21">
        <f>2*2*(CS21*'Reagent cost'!$C$36*122.44/1000+CT21*'Oxidant Feed Composition'!$N$26+CX21*'Reagent cost'!$C$34+CY21*'Reagent cost'!$C$35)</f>
        <v>167.06489024765355</v>
      </c>
      <c r="DH21">
        <f>(AF21+3)*2*(CZ21*'Reagent cost'!$C$38+DA21*'Reagent cost'!$C$39+DB21*'Reagent cost'!$C$36*122.44/1000)</f>
        <v>2852.5427148520148</v>
      </c>
      <c r="DI21">
        <f>3*2*(DC21*'Reagent cost'!$C$38+DD21*'Reagent cost'!$C$39+DE21*'Reagent cost'!$C$36*122.44/1000)</f>
        <v>1194.2891897346437</v>
      </c>
      <c r="DJ21">
        <f>7963.6*(CB21/1000)^0.6*1.7*('CAPEX+OPEX'!$G$116/'CAPEX+OPEX'!$G$115)</f>
        <v>2472.9373618126128</v>
      </c>
      <c r="DK21">
        <f>7963.6*(CC21/1000)^0.6*1.7*('CAPEX+OPEX'!$G$116/'CAPEX+OPEX'!$G$115)</f>
        <v>6311.2587327211604</v>
      </c>
      <c r="DL21">
        <f>7963.6*(CD21/1000)^0.6*1.7*('CAPEX+OPEX'!$G$116/'CAPEX+OPEX'!$G$115)</f>
        <v>3048.2290060628816</v>
      </c>
      <c r="DM21">
        <f>7963.6*(CE21/1000)^0.6*1.7*('CAPEX+OPEX'!$G$116/'CAPEX+OPEX'!$G$115)</f>
        <v>6736.9969699381863</v>
      </c>
      <c r="DN21">
        <f>'TEA Revised Non EYZ'!CM21</f>
        <v>39625.826528698344</v>
      </c>
      <c r="DO21">
        <f>'TEA Revised Non EYZ'!CN21</f>
        <v>4586243.4239371875</v>
      </c>
      <c r="DP21">
        <f>'TEA Revised Non EYZ'!CO21</f>
        <v>11794834.586807497</v>
      </c>
      <c r="DQ21">
        <f>'TEA Revised Non EYZ'!CP21</f>
        <v>2275209.1661185985</v>
      </c>
      <c r="DR21">
        <f>'TEA Revised Non EYZ'!CQ21</f>
        <v>14083914.336508472</v>
      </c>
      <c r="DS21">
        <f>'TEA Revised Non EYZ'!CR21</f>
        <v>1662824.8986326549</v>
      </c>
      <c r="DT21">
        <f>'TEA Revised Non EYZ'!CS21</f>
        <v>528015.95740622084</v>
      </c>
      <c r="DU21">
        <f>'TEA Revised Non EYZ'!CT21</f>
        <v>1357943.8117688675</v>
      </c>
      <c r="DV21">
        <f>'TEA Revised Non EYZ'!CU21</f>
        <v>261945.7004565605</v>
      </c>
      <c r="DW21">
        <f>'TEA Revised Non EYZ'!CV21</f>
        <v>1621486.4378120217</v>
      </c>
      <c r="DX21">
        <f>'TEA Revised Non EYZ'!CW21</f>
        <v>191441.6658016555</v>
      </c>
      <c r="DY21">
        <f>'TEA Revised Non EYZ'!CX21</f>
        <v>3960833.5732453261</v>
      </c>
      <c r="DZ21">
        <f>'TEA Revised Non EYZ'!CY21</f>
        <v>925757.1782572798</v>
      </c>
      <c r="EA21">
        <f>'TEA Revised Non EYZ'!CZ21</f>
        <v>2380848.93795725</v>
      </c>
      <c r="EB21">
        <f>'TEA Revised Non EYZ'!DA21</f>
        <v>459262.8482338271</v>
      </c>
      <c r="EC21">
        <f>'TEA Revised Non EYZ'!DB21</f>
        <v>2842911.6359005328</v>
      </c>
      <c r="ED21">
        <f>'TEA Revised Non EYZ'!DC21</f>
        <v>335649.88680269336</v>
      </c>
      <c r="EE21">
        <f>'TEA Revised Non EYZ'!DD21</f>
        <v>6944430.4871515837</v>
      </c>
      <c r="EF21">
        <v>0.7</v>
      </c>
      <c r="EG21">
        <v>100</v>
      </c>
      <c r="EH21">
        <f>96485*BL21*V21/EF21/EG21/60</f>
        <v>32.063740089207002</v>
      </c>
      <c r="EI21">
        <f>96485*BN21*BA21/EF21/EG21/60</f>
        <v>45.436510632977892</v>
      </c>
      <c r="EJ21">
        <f>EH21*('CAPEX+OPEX'!$O$25+'CAPEX+OPEX'!$O$26)</f>
        <v>1021935.5241232056</v>
      </c>
      <c r="EK21">
        <f>EI21*('CAPEX+OPEX'!$O$25+'CAPEX+OPEX'!$O$26)</f>
        <v>1448152.4668942713</v>
      </c>
      <c r="EL21">
        <f>EJ21*1.12/0.6*'CAPEX+OPEX'!$G$116/'CAPEX+OPEX'!$G$115</f>
        <v>2249949.8446835969</v>
      </c>
      <c r="EM21">
        <f>EK21*1.12/0.6*'CAPEX+OPEX'!$G$116/'CAPEX+OPEX'!$G$115</f>
        <v>3188332.669776252</v>
      </c>
      <c r="EN21">
        <f>EL21+EM21+DY21+EE21+1.15*(SUM(DF21:DM21)+SUM(CF21:CI21))</f>
        <v>16453977.341307001</v>
      </c>
      <c r="EO21">
        <f>EN21/15</f>
        <v>1096931.8227538001</v>
      </c>
      <c r="EP21">
        <f>('eLLE Bals'!CB21+'eLLE Bals'!CC21)*'Oxidant Feed Composition'!$N$25*60*7200</f>
        <v>13584666.780948289</v>
      </c>
      <c r="EQ21" s="83">
        <f>('eLLE Bals'!BR21+'eLLE Bals'!BY21)*'Reagent cost'!$C$38*60*7200</f>
        <v>513554.30049699242</v>
      </c>
      <c r="ER21">
        <f>'TEA Revised Non EYZ'!DI21</f>
        <v>504921.59999999998</v>
      </c>
      <c r="ES21">
        <f>'TEA Revised Non EYZ'!DJ21</f>
        <v>100.43153805391147</v>
      </c>
      <c r="ET21">
        <f>'TEA Revised Non EYZ'!DK21</f>
        <v>1261.6477206557472</v>
      </c>
      <c r="EU21">
        <f>1.2*SUM(EP21:ET21)</f>
        <v>17525405.712844789</v>
      </c>
      <c r="EV21">
        <f>'TEA Revised Non EYZ'!DM21</f>
        <v>0.70639694042110623</v>
      </c>
      <c r="EW21">
        <f>(BS21*CO21+BT21*CP21)/1000*('Oxidant Feed Composition'!$B$11*'Oxidant Feed Composition'!$O$20+'Oxidant Feed Composition'!$D$11*'Oxidant Feed Composition'!$O$21+'Oxidant Feed Composition'!$F$11*'Oxidant Feed Composition'!$O$27-'Oxidant Feed Composition'!$J$15*18.015)</f>
        <v>1.969917124319589</v>
      </c>
      <c r="EX21">
        <f>(CZ21*BX21+DC21*BZ21)*368.34/1000</f>
        <v>0.10366636713934188</v>
      </c>
      <c r="EY21">
        <f>'TEA Revised Non EYZ'!DP21</f>
        <v>4.999938342565946E-2</v>
      </c>
      <c r="EZ21">
        <f>SUM(EV21:EX21)-EY21</f>
        <v>2.7299810484543778</v>
      </c>
      <c r="FA21">
        <f>EZ21*0.33*60*7200</f>
        <v>389186.09826765611</v>
      </c>
      <c r="FB21">
        <f>'TEA Revised Non EYZ'!DS21</f>
        <v>1.2</v>
      </c>
      <c r="FC21">
        <v>0.5</v>
      </c>
      <c r="FD21">
        <f>'TEA Revised Non EYZ'!DT21</f>
        <v>1407.4782094824159</v>
      </c>
      <c r="FE21">
        <f>'TEA Revised Non EYZ'!DU21</f>
        <v>708.18946229031474</v>
      </c>
      <c r="FF21">
        <f>'TEA Revised Non EYZ'!DV21</f>
        <v>0.7</v>
      </c>
      <c r="FG21">
        <f>'TEA Revised Non EYZ'!DW21</f>
        <v>30272.303809866662</v>
      </c>
      <c r="FH21">
        <f>'TEA Revised Non EYZ'!DX21</f>
        <v>20763.049486147294</v>
      </c>
      <c r="FI21">
        <f>'TEA Revised Non EYZ'!DY21</f>
        <v>8790.8072421188135</v>
      </c>
      <c r="FJ21">
        <f>'TEA Revised Non EYZ'!DZ21</f>
        <v>4656.7358484871465</v>
      </c>
      <c r="FK21">
        <f>'TEA Revised Non EYZ'!EA21</f>
        <v>4688.4305291300352</v>
      </c>
      <c r="FL21">
        <f>'TEA Revised Non EYZ'!EB21</f>
        <v>851.24282109496528</v>
      </c>
      <c r="FM21">
        <f>'TEA Revised Non EYZ'!EC21</f>
        <v>51485.929848194995</v>
      </c>
      <c r="FN21">
        <f>'TEA Revised Non EYZ'!ED21</f>
        <v>54373.469425442076</v>
      </c>
      <c r="FO21">
        <f>'TEA Revised Non EYZ'!EE21</f>
        <v>23021.025361578297</v>
      </c>
      <c r="FP21">
        <f>'TEA Revised Non EYZ'!EF21</f>
        <v>12201.554582071589</v>
      </c>
      <c r="FQ21">
        <f>'TEA Revised Non EYZ'!EG21</f>
        <v>12277.880192841762</v>
      </c>
      <c r="FR21">
        <f>'TEA Revised Non EYZ'!EH21</f>
        <v>428.3129867931824</v>
      </c>
      <c r="FS21">
        <f>'TEA Revised Non EYZ'!EI21</f>
        <v>223810.74213376676</v>
      </c>
      <c r="FT21">
        <f>EG21*EH21</f>
        <v>3206.3740089207004</v>
      </c>
      <c r="FU21">
        <f>EG21*EI21</f>
        <v>4543.6510632977888</v>
      </c>
      <c r="FV21">
        <f>FC21*(FT21+FU21)/(3.6*10^6)*3600*7200*0.07</f>
        <v>1953.0063181990593</v>
      </c>
      <c r="FW21">
        <f>('CAPEX+OPEX'!$C$39/7/100+0.03)*EL21</f>
        <v>115711.70629801355</v>
      </c>
      <c r="FX21">
        <f>('CAPEX+OPEX'!$C$39/7/100+0.03)*EM21</f>
        <v>163971.39444563581</v>
      </c>
      <c r="FY21">
        <f>SUM(FV21:FX21)</f>
        <v>281636.10706184839</v>
      </c>
      <c r="FZ21">
        <f>FY21+FA21+FS21+EU21</f>
        <v>18420038.660308059</v>
      </c>
      <c r="GA21">
        <f>FZ21+EO21</f>
        <v>19516970.483061858</v>
      </c>
      <c r="GB21">
        <f>GA21/(BK21*60*7200)</f>
        <v>0.45178172414495038</v>
      </c>
      <c r="GC21">
        <f>'TEA Revised Non EYZ'!EM21/'TEA Revised Non EYZ'!EK21*GA21</f>
        <v>1511.0776200513133</v>
      </c>
      <c r="GD21">
        <f>'TEA Revised Non EYZ'!EN21/'TEA Revised Non EYZ'!EK21*GA21</f>
        <v>2764.5207682115388</v>
      </c>
    </row>
    <row r="22" spans="1:186">
      <c r="A22">
        <f>'TEA Revised Non EYZ'!A22</f>
        <v>5</v>
      </c>
      <c r="B22">
        <f>'TEA Revised Non EYZ'!B22</f>
        <v>1.54143585092054E-3</v>
      </c>
      <c r="C22">
        <f>'TEA Revised Non EYZ'!C22</f>
        <v>1.54143585092054E-3</v>
      </c>
      <c r="D22">
        <f>'TEA Revised Non EYZ'!D22</f>
        <v>3.4254130020456501E-4</v>
      </c>
      <c r="E22">
        <f>'TEA Revised Non EYZ'!E22</f>
        <v>0</v>
      </c>
      <c r="F22">
        <f>'TEA Revised Non EYZ'!F22</f>
        <v>0</v>
      </c>
      <c r="G22">
        <f>'TEA Revised Non EYZ'!G22</f>
        <v>0</v>
      </c>
      <c r="H22">
        <f>'TEA Revised Non EYZ'!H22</f>
        <v>1.7558377832426001E-5</v>
      </c>
      <c r="I22">
        <f>'TEA Revised Non EYZ'!I22</f>
        <v>1.05063644964669E-7</v>
      </c>
      <c r="J22">
        <f>'TEA Revised Non EYZ'!J22</f>
        <v>3.35605387572801E-4</v>
      </c>
      <c r="K22">
        <f>'TEA Revised Non EYZ'!K22</f>
        <v>0.12557893497872399</v>
      </c>
      <c r="L22">
        <f>'TEA Revised Non EYZ'!L22</f>
        <v>0.12701721899235199</v>
      </c>
      <c r="M22">
        <f>'TEA Revised Non EYZ'!M22</f>
        <v>5.7157122982957897E-4</v>
      </c>
      <c r="N22">
        <f>'TEA Revised Non EYZ'!N22</f>
        <v>-1.88000656708986E-16</v>
      </c>
      <c r="O22">
        <f>'TEA Revised Non EYZ'!O22</f>
        <v>-6.2354635343986299E-15</v>
      </c>
      <c r="P22">
        <f>'TEA Revised Non EYZ'!P22</f>
        <v>-1.51703600853245E-18</v>
      </c>
      <c r="Q22">
        <f>'TEA Revised Non EYZ'!Q22</f>
        <v>0.121348176216534</v>
      </c>
      <c r="R22">
        <f>'TEA Revised Non EYZ'!R22</f>
        <v>97.975160184298204</v>
      </c>
      <c r="S22">
        <f>'TEA Revised Non EYZ'!S22</f>
        <v>500</v>
      </c>
      <c r="T22">
        <f>'TEA Revised Non EYZ'!T22</f>
        <v>95</v>
      </c>
      <c r="U22">
        <f>'TEA Revised Non EYZ'!U22</f>
        <v>1</v>
      </c>
      <c r="V22">
        <f>'TEA Revised Non EYZ'!V22</f>
        <v>0.1</v>
      </c>
      <c r="W22">
        <f>'TEA Revised Non EYZ'!W22</f>
        <v>82.407501388038199</v>
      </c>
      <c r="X22" t="str">
        <f>'TEA Revised Non EYZ'!X22</f>
        <v>ddFc</v>
      </c>
      <c r="Y22">
        <f>'TEA Revised Non EYZ'!Y22</f>
        <v>1</v>
      </c>
      <c r="Z22">
        <f>'TEA Revised Non EYZ'!Z22</f>
        <v>0.28318429382522198</v>
      </c>
      <c r="AA22">
        <f>'TEA Revised Non EYZ'!AA22</f>
        <v>0.56945642916197003</v>
      </c>
      <c r="AB22">
        <f>'TEA Revised Non EYZ'!AB22</f>
        <v>3.7698628972227502E-3</v>
      </c>
      <c r="AC22">
        <f>'TEA Revised Non EYZ'!AC22</f>
        <v>1822.2107908876901</v>
      </c>
      <c r="AD22">
        <f>'TEA Revised Non EYZ'!AD22</f>
        <v>2662.6059073104898</v>
      </c>
      <c r="AE22">
        <f>'TEA Revised Non EYZ'!AE22</f>
        <v>2401.5030938442701</v>
      </c>
      <c r="AF22">
        <f>'TEA Revised Non EYZ'!AF22</f>
        <v>4</v>
      </c>
      <c r="AG22">
        <f>'TEA Revised Non EYZ'!AG22</f>
        <v>1.64912412966352E-3</v>
      </c>
      <c r="AH22">
        <f>'TEA Revised Non EYZ'!AH22</f>
        <v>1.66801192221077E-3</v>
      </c>
      <c r="AI22">
        <f>'TEA Revised Non EYZ'!AI22</f>
        <v>7.5059714998626504E-6</v>
      </c>
      <c r="AJ22">
        <f>'TEA Revised Non EYZ'!AJ22</f>
        <v>0</v>
      </c>
      <c r="AK22">
        <f>'TEA Revised Non EYZ'!AK22</f>
        <v>0</v>
      </c>
      <c r="AL22">
        <f>'TEA Revised Non EYZ'!AL22</f>
        <v>0</v>
      </c>
      <c r="AM22">
        <f>'TEA Revised Non EYZ'!AM22</f>
        <v>1.6039135383284699E-3</v>
      </c>
      <c r="AN22">
        <f>'TEA Revised Non EYZ'!AN22</f>
        <v>7.6970500542168304E-5</v>
      </c>
      <c r="AO22">
        <f>'TEA Revised Non EYZ'!AO22</f>
        <v>7.4460014818516096E-6</v>
      </c>
      <c r="AP22">
        <f>'TEA Revised Non EYZ'!AP22</f>
        <v>1.9942467256961298E-3</v>
      </c>
      <c r="AQ22">
        <f>'TEA Revised Non EYZ'!AQ22</f>
        <v>7.0181102522975894E-2</v>
      </c>
      <c r="AR22">
        <f>'TEA Revised Non EYZ'!AR22</f>
        <v>2.6452874985014601E-6</v>
      </c>
      <c r="AS22">
        <f>'TEA Revised Non EYZ'!AS22</f>
        <v>2.23616698075135E-19</v>
      </c>
      <c r="AT22">
        <f>'TEA Revised Non EYZ'!AT22</f>
        <v>8.6736173798840297E-19</v>
      </c>
      <c r="AU22">
        <f>'TEA Revised Non EYZ'!AU22</f>
        <v>-4.6983858793011897E-22</v>
      </c>
      <c r="AV22">
        <f>'TEA Revised Non EYZ'!AV22</f>
        <v>0.20948744629576599</v>
      </c>
      <c r="AW22">
        <f>'TEA Revised Non EYZ'!AW22</f>
        <v>99.201035895058396</v>
      </c>
      <c r="AX22">
        <f>'TEA Revised Non EYZ'!AX22</f>
        <v>500</v>
      </c>
      <c r="AY22">
        <f>'TEA Revised Non EYZ'!AY22</f>
        <v>95</v>
      </c>
      <c r="AZ22">
        <f>'TEA Revised Non EYZ'!AZ22</f>
        <v>0.92405262022284995</v>
      </c>
      <c r="BA22">
        <f>'TEA Revised Non EYZ'!BA22</f>
        <v>0.1</v>
      </c>
      <c r="BB22">
        <f>'TEA Revised Non EYZ'!BB22</f>
        <v>44.110166817262098</v>
      </c>
      <c r="BC22" t="str">
        <f>'TEA Revised Non EYZ'!BC22</f>
        <v>coeFc</v>
      </c>
      <c r="BD22">
        <f>'TEA Revised Non EYZ'!BD22</f>
        <v>1</v>
      </c>
      <c r="BE22">
        <f>'TEA Revised Non EYZ'!BE22</f>
        <v>1.8775014999999999E-2</v>
      </c>
      <c r="BF22">
        <f>'TEA Revised Non EYZ'!BF22</f>
        <v>0.10492961100000001</v>
      </c>
      <c r="BG22">
        <f>'TEA Revised Non EYZ'!BG22</f>
        <v>1.814625E-3</v>
      </c>
      <c r="BH22">
        <f>'TEA Revised Non EYZ'!BH22</f>
        <v>285.1951444</v>
      </c>
      <c r="BI22">
        <f>'TEA Revised Non EYZ'!BI22</f>
        <v>2169.8944889999998</v>
      </c>
      <c r="BJ22">
        <f>'TEA Revised Non EYZ'!BJ22</f>
        <v>866.49409060000005</v>
      </c>
      <c r="BK22">
        <f>'TEA Revised Non EYZ'!BK22</f>
        <v>100</v>
      </c>
      <c r="BL22">
        <f>'TEA Revised Non EYZ'!BL22</f>
        <v>12.134817621653401</v>
      </c>
      <c r="BM22">
        <f>'TEA Revised Non EYZ'!BM22</f>
        <v>92.405262022285001</v>
      </c>
      <c r="BN22">
        <f>'TEA Revised Non EYZ'!BN22</f>
        <v>20.948744629576598</v>
      </c>
      <c r="BO22">
        <f>'TEA Revised Non EYZ'!BO22</f>
        <v>169.88744670314762</v>
      </c>
      <c r="BP22">
        <f>'TEA Revised Non EYZ'!BP22</f>
        <v>251.3849355549192</v>
      </c>
      <c r="BQ22">
        <f>'TEA Revised Non EYZ'!BQ22</f>
        <v>16.988744670314762</v>
      </c>
      <c r="BR22">
        <f>'TEA Revised Non EYZ'!BR22</f>
        <v>25.13849355549192</v>
      </c>
      <c r="BS22">
        <f>'eLLE Bals'!CF22</f>
        <v>7.2808905729920399</v>
      </c>
      <c r="BT22">
        <f>'eLLE Bals'!CG22</f>
        <v>12.569246777745958</v>
      </c>
      <c r="BU22">
        <f>BM22</f>
        <v>92.405262022285001</v>
      </c>
      <c r="BV22">
        <f>BU22*(AM22*2+AN22*2+AO22*3)</f>
        <v>0.31270920923568246</v>
      </c>
      <c r="BW22">
        <f>BN22*BA22*(AP22*2+AQ22*2+AR22*3)</f>
        <v>0.30241321662787013</v>
      </c>
      <c r="BX22">
        <f>BV22/(2*V22*BL22+BV22)</f>
        <v>0.11414108167168345</v>
      </c>
      <c r="BY22">
        <f>BU22*BX22</f>
        <v>10.547236559378941</v>
      </c>
      <c r="BZ22">
        <f>BW22/(2*BN22*BA22+BW22)</f>
        <v>6.7320191709879393E-2</v>
      </c>
      <c r="CA22">
        <f>2*BN22*BA22/0.04</f>
        <v>104.743723147883</v>
      </c>
      <c r="CB22">
        <f>(BS22+BL22)*2</f>
        <v>38.831416389290879</v>
      </c>
      <c r="CC22">
        <f>(BU22+BL22)*2</f>
        <v>209.0801592878768</v>
      </c>
      <c r="CD22">
        <f>(BT22+BN22)*2</f>
        <v>67.035982814645109</v>
      </c>
      <c r="CE22">
        <f>(CA22+BN22)*2</f>
        <v>251.3849355549192</v>
      </c>
      <c r="CF22">
        <f>'TEA Revised Non EYZ'!CB22</f>
        <v>2242.5142964815486</v>
      </c>
      <c r="CG22">
        <f>'TEA Revised Non EYZ'!CC22</f>
        <v>3318.2811493249337</v>
      </c>
      <c r="CH22">
        <f>'TEA Revised Non EYZ'!CD22</f>
        <v>2709.3726906065185</v>
      </c>
      <c r="CI22">
        <f>'TEA Revised Non EYZ'!CE22</f>
        <v>25594.197427934774</v>
      </c>
      <c r="CJ22">
        <f>BL22*V22</f>
        <v>1.2134817621653402</v>
      </c>
      <c r="CK22">
        <f>CJ22/2*1.2</f>
        <v>0.72808905729920415</v>
      </c>
      <c r="CL22">
        <f>'eLLE Bals'!CB22*'Oxidant Feed Composition'!$N$20</f>
        <v>4.0449392072178021E-2</v>
      </c>
      <c r="CM22">
        <f>'eLLE Bals'!CB22*'Oxidant Feed Composition'!$N$21</f>
        <v>2.0224696036089003</v>
      </c>
      <c r="CN22">
        <f>'eLLE Bals'!CB22*'Oxidant Feed Composition'!$N$22</f>
        <v>0.6067408810826701</v>
      </c>
      <c r="CO22">
        <f>CN22/CK22</f>
        <v>0.83333333333333326</v>
      </c>
      <c r="CP22">
        <f>CO22</f>
        <v>0.83333333333333326</v>
      </c>
      <c r="CQ22">
        <f>CL22/CO22</f>
        <v>4.8539270486613627E-2</v>
      </c>
      <c r="CR22">
        <f>CM22/CO22</f>
        <v>2.4269635243306804</v>
      </c>
      <c r="CS22">
        <f>BN22*BA22</f>
        <v>2.0948744629576601</v>
      </c>
      <c r="CT22">
        <f>CS22/2*1.2</f>
        <v>1.2569246777745959</v>
      </c>
      <c r="CU22">
        <f>'eLLE Bals'!CC22*'Oxidant Feed Composition'!$N$20</f>
        <v>6.9829148765255367E-2</v>
      </c>
      <c r="CV22">
        <f>'eLLE Bals'!CC22*'Oxidant Feed Composition'!$N$21</f>
        <v>3.491457438262767</v>
      </c>
      <c r="CW22">
        <f>'eLLE Bals'!CC22*'Oxidant Feed Composition'!$N$22</f>
        <v>1.0474372314788301</v>
      </c>
      <c r="CX22">
        <f>CU22/CP22</f>
        <v>8.3794978518306446E-2</v>
      </c>
      <c r="CY22">
        <f>CV22/CP22</f>
        <v>4.1897489259153211</v>
      </c>
      <c r="CZ22">
        <f>CJ22</f>
        <v>1.2134817621653402</v>
      </c>
      <c r="DA22">
        <f>'eLLE Bals'!BQ22</f>
        <v>2.4269635243306804</v>
      </c>
      <c r="DB22">
        <f>'eLLE Bals'!BU22</f>
        <v>6.99097457034234</v>
      </c>
      <c r="DC22">
        <f>CS22</f>
        <v>2.0948744629576601</v>
      </c>
      <c r="DD22">
        <f>'eLLE Bals'!BX22</f>
        <v>4.1897489259153202</v>
      </c>
      <c r="DE22">
        <f>'eLLE Bals'!CA22</f>
        <v>24.833446981242037</v>
      </c>
      <c r="DF22">
        <f>2*2*(CJ22*'Reagent cost'!$C$36*122.44/1000+CK22*'Oxidant Feed Composition'!$N$26+CQ22*'Reagent cost'!$C$34+CR22*'Reagent cost'!$C$35)</f>
        <v>102.50002761552031</v>
      </c>
      <c r="DG22">
        <f>2*2*(CS22*'Reagent cost'!$C$36*122.44/1000+CT22*'Oxidant Feed Composition'!$N$26+CX22*'Reagent cost'!$C$34+CY22*'Reagent cost'!$C$35)</f>
        <v>176.94925214290248</v>
      </c>
      <c r="DH22">
        <f>(AF22+3)*2*(CZ22*'Reagent cost'!$C$38+DA22*'Reagent cost'!$C$39+DB22*'Reagent cost'!$C$36*122.44/1000)</f>
        <v>922.01533779302588</v>
      </c>
      <c r="DI22">
        <f>3*2*(DC22*'Reagent cost'!$C$38+DD22*'Reagent cost'!$C$39+DE22*'Reagent cost'!$C$36*122.44/1000)</f>
        <v>1344.3955318762485</v>
      </c>
      <c r="DJ22">
        <f>7963.6*(CB22/1000)^0.6*1.7*('CAPEX+OPEX'!$G$116/'CAPEX+OPEX'!$G$115)</f>
        <v>2273.7926954959794</v>
      </c>
      <c r="DK22">
        <f>7963.6*(CC22/1000)^0.6*1.7*('CAPEX+OPEX'!$G$116/'CAPEX+OPEX'!$G$115)</f>
        <v>6243.5072626595684</v>
      </c>
      <c r="DL22">
        <f>7963.6*(CD22/1000)^0.6*1.7*('CAPEX+OPEX'!$G$116/'CAPEX+OPEX'!$G$115)</f>
        <v>3155.191450244818</v>
      </c>
      <c r="DM22">
        <f>7963.6*(CE22/1000)^0.6*1.7*('CAPEX+OPEX'!$G$116/'CAPEX+OPEX'!$G$115)</f>
        <v>6973.3983888990369</v>
      </c>
      <c r="DN22">
        <f>'TEA Revised Non EYZ'!CM22</f>
        <v>39625.826528698344</v>
      </c>
      <c r="DO22">
        <f>'TEA Revised Non EYZ'!CN22</f>
        <v>4586243.4239371875</v>
      </c>
      <c r="DP22">
        <f>'TEA Revised Non EYZ'!CO22</f>
        <v>11794834.586807497</v>
      </c>
      <c r="DQ22">
        <f>'TEA Revised Non EYZ'!CP22</f>
        <v>2275209.1661185985</v>
      </c>
      <c r="DR22">
        <f>'TEA Revised Non EYZ'!CQ22</f>
        <v>14083914.336508472</v>
      </c>
      <c r="DS22">
        <f>'TEA Revised Non EYZ'!CR22</f>
        <v>1662824.8986326549</v>
      </c>
      <c r="DT22">
        <f>'TEA Revised Non EYZ'!CS22</f>
        <v>589054.93036564998</v>
      </c>
      <c r="DU22">
        <f>'TEA Revised Non EYZ'!CT22</f>
        <v>1514922.9606835202</v>
      </c>
      <c r="DV22">
        <f>'TEA Revised Non EYZ'!CU22</f>
        <v>292226.78628879401</v>
      </c>
      <c r="DW22">
        <f>'TEA Revised Non EYZ'!CV22</f>
        <v>1808931.2781495745</v>
      </c>
      <c r="DX22">
        <f>'TEA Revised Non EYZ'!CW22</f>
        <v>213572.44139332071</v>
      </c>
      <c r="DY22">
        <f>'TEA Revised Non EYZ'!CX22</f>
        <v>4418708.3968808586</v>
      </c>
      <c r="DZ22">
        <f>'TEA Revised Non EYZ'!CY22</f>
        <v>498825.5312936515</v>
      </c>
      <c r="EA22">
        <f>'TEA Revised Non EYZ'!CZ22</f>
        <v>1282872.2955647383</v>
      </c>
      <c r="EB22">
        <f>'TEA Revised Non EYZ'!DA22</f>
        <v>247464.49679702814</v>
      </c>
      <c r="EC22">
        <f>'TEA Revised Non EYZ'!DB22</f>
        <v>1531845.4347484135</v>
      </c>
      <c r="ED22">
        <f>'TEA Revised Non EYZ'!DC22</f>
        <v>180858.15270500266</v>
      </c>
      <c r="EE22">
        <f>'TEA Revised Non EYZ'!DD22</f>
        <v>3741865.9111088342</v>
      </c>
      <c r="EF22">
        <v>0.7</v>
      </c>
      <c r="EG22">
        <v>100</v>
      </c>
      <c r="EH22">
        <f>96485*BL22*V22/EF22/EG22/60</f>
        <v>27.876854243457824</v>
      </c>
      <c r="EI22">
        <f>96485*BN22*BA22/EF22/EG22/60</f>
        <v>48.124752990111865</v>
      </c>
      <c r="EJ22">
        <f>EH22*('CAPEX+OPEX'!$O$25+'CAPEX+OPEX'!$O$26)</f>
        <v>888491.09844748781</v>
      </c>
      <c r="EK22">
        <f>EI22*('CAPEX+OPEX'!$O$25+'CAPEX+OPEX'!$O$26)</f>
        <v>1533832.1273008455</v>
      </c>
      <c r="EL22">
        <f>EJ22*1.12/0.6*'CAPEX+OPEX'!$G$116/'CAPEX+OPEX'!$G$115</f>
        <v>1956151.2069656507</v>
      </c>
      <c r="EM22">
        <f>EK22*1.12/0.6*'CAPEX+OPEX'!$G$116/'CAPEX+OPEX'!$G$115</f>
        <v>3376969.7550656693</v>
      </c>
      <c r="EN22">
        <f>EL22+EM22+DY22+EE22+1.15*(SUM(DF22:DM22)+SUM(CF22:CI22))</f>
        <v>13557009.802858748</v>
      </c>
      <c r="EO22">
        <f>EN22/15</f>
        <v>903800.6535239165</v>
      </c>
      <c r="EP22">
        <f>('eLLE Bals'!CB22+'eLLE Bals'!CC22)*'Oxidant Feed Composition'!$N$25*60*7200</f>
        <v>13321976.37380038</v>
      </c>
      <c r="EQ22" s="83">
        <f>('eLLE Bals'!BR22+'eLLE Bals'!BY22)*'Reagent cost'!$C$38*60*7200</f>
        <v>510075.30710103334</v>
      </c>
      <c r="ER22">
        <f>'TEA Revised Non EYZ'!DI22</f>
        <v>504921.59999999998</v>
      </c>
      <c r="ES22">
        <f>'TEA Revised Non EYZ'!DJ22</f>
        <v>55.607954458064825</v>
      </c>
      <c r="ET22">
        <f>'TEA Revised Non EYZ'!DK22</f>
        <v>566.07140237082581</v>
      </c>
      <c r="EU22">
        <f>1.2*SUM(EP22:ET22)</f>
        <v>17205113.952309888</v>
      </c>
      <c r="EV22">
        <f>'TEA Revised Non EYZ'!DM22</f>
        <v>0.70639694042110623</v>
      </c>
      <c r="EW22">
        <f>(BS22*CO22+BT22*CP22)/1000*('Oxidant Feed Composition'!$B$11*'Oxidant Feed Composition'!$O$20+'Oxidant Feed Composition'!$D$11*'Oxidant Feed Composition'!$O$21+'Oxidant Feed Composition'!$F$11*'Oxidant Feed Composition'!$O$27-'Oxidant Feed Composition'!$J$15*18.015)</f>
        <v>1.9318242995356292</v>
      </c>
      <c r="EX22">
        <f>(CZ22*BX22+DC22*BZ22)*368.34/1000</f>
        <v>0.10296409552694993</v>
      </c>
      <c r="EY22">
        <f>'TEA Revised Non EYZ'!DP22</f>
        <v>4.999938342565946E-2</v>
      </c>
      <c r="EZ22">
        <f>SUM(EV22:EX22)-EY22</f>
        <v>2.6911859520580261</v>
      </c>
      <c r="FA22">
        <f>EZ22*0.33*60*7200</f>
        <v>383655.46932539222</v>
      </c>
      <c r="FB22">
        <f>'TEA Revised Non EYZ'!DS22</f>
        <v>1.2</v>
      </c>
      <c r="FC22">
        <v>0.5</v>
      </c>
      <c r="FD22">
        <f>'TEA Revised Non EYZ'!DT22</f>
        <v>1399.3295607203786</v>
      </c>
      <c r="FE22">
        <f>'TEA Revised Non EYZ'!DU22</f>
        <v>713.9168882708085</v>
      </c>
      <c r="FF22">
        <f>'TEA Revised Non EYZ'!DV22</f>
        <v>0.7</v>
      </c>
      <c r="FG22">
        <f>'TEA Revised Non EYZ'!DW22</f>
        <v>33024.331428945443</v>
      </c>
      <c r="FH22">
        <f>'TEA Revised Non EYZ'!DX22</f>
        <v>24915.659383376755</v>
      </c>
      <c r="FI22">
        <f>'TEA Revised Non EYZ'!DY22</f>
        <v>10548.968690542577</v>
      </c>
      <c r="FJ22">
        <f>'TEA Revised Non EYZ'!DZ22</f>
        <v>5588.0830181845758</v>
      </c>
      <c r="FK22">
        <f>'TEA Revised Non EYZ'!EA22</f>
        <v>5626.1166349560426</v>
      </c>
      <c r="FL22">
        <f>'TEA Revised Non EYZ'!EB22</f>
        <v>846.31451832368498</v>
      </c>
      <c r="FM22">
        <f>'TEA Revised Non EYZ'!EC22</f>
        <v>28297.65565608922</v>
      </c>
      <c r="FN22">
        <f>'TEA Revised Non EYZ'!ED22</f>
        <v>19405.619727063386</v>
      </c>
      <c r="FO22">
        <f>'TEA Revised Non EYZ'!EE22</f>
        <v>8216.0889973453832</v>
      </c>
      <c r="FP22">
        <f>'TEA Revised Non EYZ'!EF22</f>
        <v>4354.6986243488573</v>
      </c>
      <c r="FQ22">
        <f>'TEA Revised Non EYZ'!EG22</f>
        <v>4381.9141319175396</v>
      </c>
      <c r="FR22">
        <f>'TEA Revised Non EYZ'!EH22</f>
        <v>431.77693402618496</v>
      </c>
      <c r="FS22">
        <f>'TEA Revised Non EYZ'!EI22</f>
        <v>145637.22774511963</v>
      </c>
      <c r="FT22">
        <f>EG22*EH22</f>
        <v>2787.6854243457824</v>
      </c>
      <c r="FU22">
        <f>EG22*EI22</f>
        <v>4812.4752990111865</v>
      </c>
      <c r="FV22">
        <f>FC22*(FT22+FU22)/(3.6*10^6)*3600*7200*0.07</f>
        <v>1915.2405022859559</v>
      </c>
      <c r="FW22">
        <f>('CAPEX+OPEX'!$C$39/7/100+0.03)*EL22</f>
        <v>100602.06207251917</v>
      </c>
      <c r="FX22">
        <f>('CAPEX+OPEX'!$C$39/7/100+0.03)*EM22</f>
        <v>173672.73026052013</v>
      </c>
      <c r="FY22">
        <f>SUM(FV22:FX22)</f>
        <v>276190.03283532523</v>
      </c>
      <c r="FZ22">
        <f>FY22+FA22+FS22+EU22</f>
        <v>18010596.682215724</v>
      </c>
      <c r="GA22">
        <f>FZ22+EO22</f>
        <v>18914397.335739642</v>
      </c>
      <c r="GB22">
        <f>GA22/(BK22*60*7200)</f>
        <v>0.43783327166063984</v>
      </c>
      <c r="GC22">
        <f>'TEA Revised Non EYZ'!EM22/'TEA Revised Non EYZ'!EK22*GA22</f>
        <v>1472.1475238570813</v>
      </c>
      <c r="GD22">
        <f>'TEA Revised Non EYZ'!EN22/'TEA Revised Non EYZ'!EK22*GA22</f>
        <v>2659.7403584543085</v>
      </c>
    </row>
    <row r="23" spans="1:186">
      <c r="A23">
        <f>'TEA Revised Non EYZ'!A23</f>
        <v>5</v>
      </c>
      <c r="B23">
        <f>'TEA Revised Non EYZ'!B23</f>
        <v>1.54143585092054E-3</v>
      </c>
      <c r="C23">
        <f>'TEA Revised Non EYZ'!C23</f>
        <v>1.54143585092054E-3</v>
      </c>
      <c r="D23">
        <f>'TEA Revised Non EYZ'!D23</f>
        <v>3.4254130020456501E-4</v>
      </c>
      <c r="E23">
        <f>'TEA Revised Non EYZ'!E23</f>
        <v>0</v>
      </c>
      <c r="F23">
        <f>'TEA Revised Non EYZ'!F23</f>
        <v>0</v>
      </c>
      <c r="G23">
        <f>'TEA Revised Non EYZ'!G23</f>
        <v>0</v>
      </c>
      <c r="H23">
        <f>'TEA Revised Non EYZ'!H23</f>
        <v>1.7558377832426001E-5</v>
      </c>
      <c r="I23">
        <f>'TEA Revised Non EYZ'!I23</f>
        <v>1.05063644964669E-7</v>
      </c>
      <c r="J23">
        <f>'TEA Revised Non EYZ'!J23</f>
        <v>3.35605387572801E-4</v>
      </c>
      <c r="K23">
        <f>'TEA Revised Non EYZ'!K23</f>
        <v>0.12557893497872399</v>
      </c>
      <c r="L23">
        <f>'TEA Revised Non EYZ'!L23</f>
        <v>0.12701721899235199</v>
      </c>
      <c r="M23">
        <f>'TEA Revised Non EYZ'!M23</f>
        <v>5.7157122982957897E-4</v>
      </c>
      <c r="N23">
        <f>'TEA Revised Non EYZ'!N23</f>
        <v>-1.88000656708986E-16</v>
      </c>
      <c r="O23">
        <f>'TEA Revised Non EYZ'!O23</f>
        <v>-6.2354635343986299E-15</v>
      </c>
      <c r="P23">
        <f>'TEA Revised Non EYZ'!P23</f>
        <v>-1.51703600853245E-18</v>
      </c>
      <c r="Q23">
        <f>'TEA Revised Non EYZ'!Q23</f>
        <v>0.121348176216534</v>
      </c>
      <c r="R23">
        <f>'TEA Revised Non EYZ'!R23</f>
        <v>97.975160184298204</v>
      </c>
      <c r="S23">
        <f>'TEA Revised Non EYZ'!S23</f>
        <v>500</v>
      </c>
      <c r="T23">
        <f>'TEA Revised Non EYZ'!T23</f>
        <v>95</v>
      </c>
      <c r="U23">
        <f>'TEA Revised Non EYZ'!U23</f>
        <v>1</v>
      </c>
      <c r="V23">
        <f>'TEA Revised Non EYZ'!V23</f>
        <v>0.1</v>
      </c>
      <c r="W23">
        <f>'TEA Revised Non EYZ'!W23</f>
        <v>82.407501388038199</v>
      </c>
      <c r="X23" t="str">
        <f>'TEA Revised Non EYZ'!X23</f>
        <v>ddFc</v>
      </c>
      <c r="Y23">
        <f>'TEA Revised Non EYZ'!Y23</f>
        <v>1</v>
      </c>
      <c r="Z23">
        <f>'TEA Revised Non EYZ'!Z23</f>
        <v>0.28318429382522198</v>
      </c>
      <c r="AA23">
        <f>'TEA Revised Non EYZ'!AA23</f>
        <v>0.56945642916197003</v>
      </c>
      <c r="AB23">
        <f>'TEA Revised Non EYZ'!AB23</f>
        <v>3.7698628972227502E-3</v>
      </c>
      <c r="AC23">
        <f>'TEA Revised Non EYZ'!AC23</f>
        <v>1822.2107908876901</v>
      </c>
      <c r="AD23">
        <f>'TEA Revised Non EYZ'!AD23</f>
        <v>2662.6059073104898</v>
      </c>
      <c r="AE23">
        <f>'TEA Revised Non EYZ'!AE23</f>
        <v>2401.5030938442701</v>
      </c>
      <c r="AF23">
        <f>'TEA Revised Non EYZ'!AF23</f>
        <v>5</v>
      </c>
      <c r="AG23">
        <f>'TEA Revised Non EYZ'!AG23</f>
        <v>1.64912412966352E-3</v>
      </c>
      <c r="AH23">
        <f>'TEA Revised Non EYZ'!AH23</f>
        <v>1.66801192221077E-3</v>
      </c>
      <c r="AI23">
        <f>'TEA Revised Non EYZ'!AI23</f>
        <v>7.5059714998626504E-6</v>
      </c>
      <c r="AJ23">
        <f>'TEA Revised Non EYZ'!AJ23</f>
        <v>0</v>
      </c>
      <c r="AK23">
        <f>'TEA Revised Non EYZ'!AK23</f>
        <v>0</v>
      </c>
      <c r="AL23">
        <f>'TEA Revised Non EYZ'!AL23</f>
        <v>0</v>
      </c>
      <c r="AM23">
        <f>'TEA Revised Non EYZ'!AM23</f>
        <v>1.6096879788713E-3</v>
      </c>
      <c r="AN23">
        <f>'TEA Revised Non EYZ'!AN23</f>
        <v>7.7267020721356303E-5</v>
      </c>
      <c r="AO23">
        <f>'TEA Revised Non EYZ'!AO23</f>
        <v>7.45339932047821E-6</v>
      </c>
      <c r="AP23">
        <f>'TEA Revised Non EYZ'!AP23</f>
        <v>1.8140228936544E-3</v>
      </c>
      <c r="AQ23">
        <f>'TEA Revised Non EYZ'!AQ23</f>
        <v>7.3172650253414503E-2</v>
      </c>
      <c r="AR23">
        <f>'TEA Revised Non EYZ'!AR23</f>
        <v>2.4182668707984701E-6</v>
      </c>
      <c r="AS23">
        <f>'TEA Revised Non EYZ'!AS23</f>
        <v>-8.2860151032204602E-17</v>
      </c>
      <c r="AT23">
        <f>'TEA Revised Non EYZ'!AT23</f>
        <v>-2.00577401909818E-16</v>
      </c>
      <c r="AU23">
        <f>'TEA Revised Non EYZ'!AU23</f>
        <v>-8.2771000814506101E-20</v>
      </c>
      <c r="AV23">
        <f>'TEA Revised Non EYZ'!AV23</f>
        <v>0.200885438649126</v>
      </c>
      <c r="AW23">
        <f>'TEA Revised Non EYZ'!AW23</f>
        <v>99.299595270440307</v>
      </c>
      <c r="AX23">
        <f>'TEA Revised Non EYZ'!AX23</f>
        <v>500</v>
      </c>
      <c r="AY23">
        <f>'TEA Revised Non EYZ'!AY23</f>
        <v>95</v>
      </c>
      <c r="AZ23">
        <f>'TEA Revised Non EYZ'!AZ23</f>
        <v>0.92405262022284995</v>
      </c>
      <c r="BA23">
        <f>'TEA Revised Non EYZ'!BA23</f>
        <v>0.1</v>
      </c>
      <c r="BB23">
        <f>'TEA Revised Non EYZ'!BB23</f>
        <v>45.998984617139399</v>
      </c>
      <c r="BC23" t="str">
        <f>'TEA Revised Non EYZ'!BC23</f>
        <v>coeFc</v>
      </c>
      <c r="BD23">
        <f>'TEA Revised Non EYZ'!BD23</f>
        <v>1</v>
      </c>
      <c r="BE23">
        <f>'TEA Revised Non EYZ'!BE23</f>
        <v>1.8775014999999999E-2</v>
      </c>
      <c r="BF23">
        <f>'TEA Revised Non EYZ'!BF23</f>
        <v>0.10492961100000001</v>
      </c>
      <c r="BG23">
        <f>'TEA Revised Non EYZ'!BG23</f>
        <v>1.814625E-3</v>
      </c>
      <c r="BH23">
        <f>'TEA Revised Non EYZ'!BH23</f>
        <v>285.1951444</v>
      </c>
      <c r="BI23">
        <f>'TEA Revised Non EYZ'!BI23</f>
        <v>2169.8944889999998</v>
      </c>
      <c r="BJ23">
        <f>'TEA Revised Non EYZ'!BJ23</f>
        <v>866.49409060000005</v>
      </c>
      <c r="BK23">
        <f>'TEA Revised Non EYZ'!BK23</f>
        <v>100</v>
      </c>
      <c r="BL23">
        <f>'TEA Revised Non EYZ'!BL23</f>
        <v>12.134817621653401</v>
      </c>
      <c r="BM23">
        <f>'TEA Revised Non EYZ'!BM23</f>
        <v>92.405262022285001</v>
      </c>
      <c r="BN23">
        <f>'TEA Revised Non EYZ'!BN23</f>
        <v>20.088543864912602</v>
      </c>
      <c r="BO23">
        <f>'TEA Revised Non EYZ'!BO23</f>
        <v>169.88744670314762</v>
      </c>
      <c r="BP23">
        <f>'TEA Revised Non EYZ'!BP23</f>
        <v>281.23961410877644</v>
      </c>
      <c r="BQ23">
        <f>'TEA Revised Non EYZ'!BQ23</f>
        <v>16.988744670314762</v>
      </c>
      <c r="BR23">
        <f>'TEA Revised Non EYZ'!BR23</f>
        <v>28.123961410877644</v>
      </c>
      <c r="BS23">
        <f>'eLLE Bals'!CF23</f>
        <v>7.2808905729920399</v>
      </c>
      <c r="BT23">
        <f>'eLLE Bals'!CG23</f>
        <v>12.053126318947561</v>
      </c>
      <c r="BU23">
        <f>BM23</f>
        <v>92.405262022285001</v>
      </c>
      <c r="BV23">
        <f>BU23*(AM23*2+AN23*2+AO23*3)</f>
        <v>0.3138332374658227</v>
      </c>
      <c r="BW23">
        <f>BN23*BA23*(AP23*2+AQ23*2+AR23*3)</f>
        <v>0.30128918839778485</v>
      </c>
      <c r="BX23">
        <f>BV23/(2*V23*BL23+BV23)</f>
        <v>0.11450438129535559</v>
      </c>
      <c r="BY23">
        <f>BU23*BX23</f>
        <v>10.580807356296964</v>
      </c>
      <c r="BZ23">
        <f>BW23/(2*BN23*BA23+BW23)</f>
        <v>6.9759048532057194E-2</v>
      </c>
      <c r="CA23">
        <f>2*BN23*BA23/0.04</f>
        <v>100.44271932456301</v>
      </c>
      <c r="CB23">
        <f>(BS23+BL23)*2</f>
        <v>38.831416389290879</v>
      </c>
      <c r="CC23">
        <f>(BU23+BL23)*2</f>
        <v>209.0801592878768</v>
      </c>
      <c r="CD23">
        <f>(BT23+BN23)*2</f>
        <v>64.283340367720328</v>
      </c>
      <c r="CE23">
        <f>(CA23+BN23)*2</f>
        <v>241.06252637895125</v>
      </c>
      <c r="CF23">
        <f>'TEA Revised Non EYZ'!CB23</f>
        <v>2242.5142964815486</v>
      </c>
      <c r="CG23">
        <f>'TEA Revised Non EYZ'!CC23</f>
        <v>3712.3629062358491</v>
      </c>
      <c r="CH23">
        <f>'TEA Revised Non EYZ'!CD23</f>
        <v>2709.3726906065185</v>
      </c>
      <c r="CI23">
        <f>'TEA Revised Non EYZ'!CE23</f>
        <v>28633.785044305765</v>
      </c>
      <c r="CJ23">
        <f>BL23*V23</f>
        <v>1.2134817621653402</v>
      </c>
      <c r="CK23">
        <f>CJ23/2*1.2</f>
        <v>0.72808905729920415</v>
      </c>
      <c r="CL23">
        <f>'eLLE Bals'!CB23*'Oxidant Feed Composition'!$N$20</f>
        <v>4.0449392072178021E-2</v>
      </c>
      <c r="CM23">
        <f>'eLLE Bals'!CB23*'Oxidant Feed Composition'!$N$21</f>
        <v>2.0224696036089003</v>
      </c>
      <c r="CN23">
        <f>'eLLE Bals'!CB23*'Oxidant Feed Composition'!$N$22</f>
        <v>0.6067408810826701</v>
      </c>
      <c r="CO23">
        <f>CN23/CK23</f>
        <v>0.83333333333333326</v>
      </c>
      <c r="CP23">
        <f>CO23</f>
        <v>0.83333333333333326</v>
      </c>
      <c r="CQ23">
        <f>CL23/CO23</f>
        <v>4.8539270486613627E-2</v>
      </c>
      <c r="CR23">
        <f>CM23/CO23</f>
        <v>2.4269635243306804</v>
      </c>
      <c r="CS23">
        <f>BN23*BA23</f>
        <v>2.0088543864912602</v>
      </c>
      <c r="CT23">
        <f>CS23/2*1.2</f>
        <v>1.205312631894756</v>
      </c>
      <c r="CU23">
        <f>'eLLE Bals'!CC23*'Oxidant Feed Composition'!$N$20</f>
        <v>6.6961812883042038E-2</v>
      </c>
      <c r="CV23">
        <f>'eLLE Bals'!CC23*'Oxidant Feed Composition'!$N$21</f>
        <v>3.3480906441521006</v>
      </c>
      <c r="CW23">
        <f>'eLLE Bals'!CC23*'Oxidant Feed Composition'!$N$22</f>
        <v>1.0044271932456301</v>
      </c>
      <c r="CX23">
        <f>CU23/CP23</f>
        <v>8.0354175459650456E-2</v>
      </c>
      <c r="CY23">
        <f>CV23/CP23</f>
        <v>4.0177087729825214</v>
      </c>
      <c r="CZ23">
        <f>CJ23</f>
        <v>1.2134817621653402</v>
      </c>
      <c r="DA23">
        <f>'eLLE Bals'!BQ23</f>
        <v>2.4269635243306804</v>
      </c>
      <c r="DB23">
        <f>'eLLE Bals'!BU23</f>
        <v>6.9572431900287919</v>
      </c>
      <c r="DC23">
        <f>CS23</f>
        <v>2.0088543864912602</v>
      </c>
      <c r="DD23">
        <f>'eLLE Bals'!BX23</f>
        <v>4.0177087729825205</v>
      </c>
      <c r="DE23">
        <f>'eLLE Bals'!CA23</f>
        <v>22.770480790575331</v>
      </c>
      <c r="DF23">
        <f>2*2*(CJ23*'Reagent cost'!$C$36*122.44/1000+CK23*'Oxidant Feed Composition'!$N$26+CQ23*'Reagent cost'!$C$34+CR23*'Reagent cost'!$C$35)</f>
        <v>102.50002761552031</v>
      </c>
      <c r="DG23">
        <f>2*2*(CS23*'Reagent cost'!$C$36*122.44/1000+CT23*'Oxidant Feed Composition'!$N$26+CX23*'Reagent cost'!$C$34+CY23*'Reagent cost'!$C$35)</f>
        <v>169.68333312524709</v>
      </c>
      <c r="DH23">
        <f>(AF23+3)*2*(CZ23*'Reagent cost'!$C$38+DA23*'Reagent cost'!$C$39+DB23*'Reagent cost'!$C$36*122.44/1000)</f>
        <v>1049.0651656938996</v>
      </c>
      <c r="DI23">
        <f>3*2*(DC23*'Reagent cost'!$C$38+DD23*'Reagent cost'!$C$39+DE23*'Reagent cost'!$C$36*122.44/1000)</f>
        <v>1235.0675853510511</v>
      </c>
      <c r="DJ23">
        <f>7963.6*(CB23/1000)^0.6*1.7*('CAPEX+OPEX'!$G$116/'CAPEX+OPEX'!$G$115)</f>
        <v>2273.7926954959794</v>
      </c>
      <c r="DK23">
        <f>7963.6*(CC23/1000)^0.6*1.7*('CAPEX+OPEX'!$G$116/'CAPEX+OPEX'!$G$115)</f>
        <v>6243.5072626595684</v>
      </c>
      <c r="DL23">
        <f>7963.6*(CD23/1000)^0.6*1.7*('CAPEX+OPEX'!$G$116/'CAPEX+OPEX'!$G$115)</f>
        <v>3076.8051191417244</v>
      </c>
      <c r="DM23">
        <f>7963.6*(CE23/1000)^0.6*1.7*('CAPEX+OPEX'!$G$116/'CAPEX+OPEX'!$G$115)</f>
        <v>6800.1540315768834</v>
      </c>
      <c r="DN23">
        <f>'TEA Revised Non EYZ'!CM23</f>
        <v>39625.826528698344</v>
      </c>
      <c r="DO23">
        <f>'TEA Revised Non EYZ'!CN23</f>
        <v>4586243.4239371875</v>
      </c>
      <c r="DP23">
        <f>'TEA Revised Non EYZ'!CO23</f>
        <v>11794834.586807497</v>
      </c>
      <c r="DQ23">
        <f>'TEA Revised Non EYZ'!CP23</f>
        <v>2275209.1661185985</v>
      </c>
      <c r="DR23">
        <f>'TEA Revised Non EYZ'!CQ23</f>
        <v>14083914.336508472</v>
      </c>
      <c r="DS23">
        <f>'TEA Revised Non EYZ'!CR23</f>
        <v>1662824.8986326549</v>
      </c>
      <c r="DT23">
        <f>'TEA Revised Non EYZ'!CS23</f>
        <v>589054.93036564998</v>
      </c>
      <c r="DU23">
        <f>'TEA Revised Non EYZ'!CT23</f>
        <v>1514922.9606835202</v>
      </c>
      <c r="DV23">
        <f>'TEA Revised Non EYZ'!CU23</f>
        <v>292226.78628879401</v>
      </c>
      <c r="DW23">
        <f>'TEA Revised Non EYZ'!CV23</f>
        <v>1808931.2781495745</v>
      </c>
      <c r="DX23">
        <f>'TEA Revised Non EYZ'!CW23</f>
        <v>213572.44139332071</v>
      </c>
      <c r="DY23">
        <f>'TEA Revised Non EYZ'!CX23</f>
        <v>4418708.3968808586</v>
      </c>
      <c r="DZ23">
        <f>'TEA Revised Non EYZ'!CY23</f>
        <v>556490.07284590905</v>
      </c>
      <c r="EA23">
        <f>'TEA Revised Non EYZ'!CZ23</f>
        <v>1431173.130531993</v>
      </c>
      <c r="EB23">
        <f>'TEA Revised Non EYZ'!DA23</f>
        <v>276071.5464828235</v>
      </c>
      <c r="EC23">
        <f>'TEA Revised Non EYZ'!DB23</f>
        <v>1708927.7193993276</v>
      </c>
      <c r="ED23">
        <f>'TEA Revised Non EYZ'!DC23</f>
        <v>201765.46760260907</v>
      </c>
      <c r="EE23">
        <f>'TEA Revised Non EYZ'!DD23</f>
        <v>4174427.936862662</v>
      </c>
      <c r="EF23">
        <v>0.7</v>
      </c>
      <c r="EG23">
        <v>100</v>
      </c>
      <c r="EH23">
        <f>96485*BL23*V23/EF23/EG23/60</f>
        <v>27.876854243457824</v>
      </c>
      <c r="EI23">
        <f>96485*BN23*BA23/EF23/EG23/60</f>
        <v>46.148646543002201</v>
      </c>
      <c r="EJ23">
        <f>EH23*('CAPEX+OPEX'!$O$25+'CAPEX+OPEX'!$O$26)</f>
        <v>888491.09844748781</v>
      </c>
      <c r="EK23">
        <f>EI23*('CAPEX+OPEX'!$O$25+'CAPEX+OPEX'!$O$26)</f>
        <v>1470849.6626185661</v>
      </c>
      <c r="EL23">
        <f>EJ23*1.12/0.6*'CAPEX+OPEX'!$G$116/'CAPEX+OPEX'!$G$115</f>
        <v>1956151.2069656507</v>
      </c>
      <c r="EM23">
        <f>EK23*1.12/0.6*'CAPEX+OPEX'!$G$116/'CAPEX+OPEX'!$G$115</f>
        <v>3238304.0728532169</v>
      </c>
      <c r="EN23">
        <f>EL23+EM23+DY23+EE23+1.15*(SUM(DF23:DM23)+SUM(CF23:CI23))</f>
        <v>13854577.515244421</v>
      </c>
      <c r="EO23">
        <f>EN23/15</f>
        <v>923638.5010162947</v>
      </c>
      <c r="EP23">
        <f>('eLLE Bals'!CB23+'eLLE Bals'!CC23)*'Oxidant Feed Composition'!$N$25*60*7200</f>
        <v>12975593.654292822</v>
      </c>
      <c r="EQ23" s="83">
        <f>('eLLE Bals'!BR23+'eLLE Bals'!BY23)*'Reagent cost'!$C$38*60*7200</f>
        <v>509252.86285867798</v>
      </c>
      <c r="ER23">
        <f>'TEA Revised Non EYZ'!DI23</f>
        <v>504921.59999999998</v>
      </c>
      <c r="ES23">
        <f>'TEA Revised Non EYZ'!DJ23</f>
        <v>59.548772027173982</v>
      </c>
      <c r="ET23">
        <f>'TEA Revised Non EYZ'!DK23</f>
        <v>626.86315469824569</v>
      </c>
      <c r="EU23">
        <f>1.2*SUM(EP23:ET23)</f>
        <v>16788545.434893869</v>
      </c>
      <c r="EV23">
        <f>'TEA Revised Non EYZ'!DM23</f>
        <v>0.70639694042110623</v>
      </c>
      <c r="EW23">
        <f>(BS23*CO23+BT23*CP23)/1000*('Oxidant Feed Composition'!$B$11*'Oxidant Feed Composition'!$O$20+'Oxidant Feed Composition'!$D$11*'Oxidant Feed Composition'!$O$21+'Oxidant Feed Composition'!$F$11*'Oxidant Feed Composition'!$O$27-'Oxidant Feed Composition'!$J$15*18.015)</f>
        <v>1.8815952242311631</v>
      </c>
      <c r="EX23">
        <f>(CZ23*BX23+DC23*BZ23)*368.34/1000</f>
        <v>0.10279807645808586</v>
      </c>
      <c r="EY23">
        <f>'TEA Revised Non EYZ'!DP23</f>
        <v>4.999938342565946E-2</v>
      </c>
      <c r="EZ23">
        <f>SUM(EV23:EX23)-EY23</f>
        <v>2.6407908576846961</v>
      </c>
      <c r="FA23">
        <f>EZ23*0.33*60*7200</f>
        <v>376471.14467153029</v>
      </c>
      <c r="FB23">
        <f>'TEA Revised Non EYZ'!DS23</f>
        <v>1.2</v>
      </c>
      <c r="FC23">
        <v>0.5</v>
      </c>
      <c r="FD23">
        <f>'TEA Revised Non EYZ'!DT23</f>
        <v>1404.3633339004512</v>
      </c>
      <c r="FE23">
        <f>'TEA Revised Non EYZ'!DU23</f>
        <v>708.88311509089783</v>
      </c>
      <c r="FF23">
        <f>'TEA Revised Non EYZ'!DV23</f>
        <v>0.7</v>
      </c>
      <c r="FG23">
        <f>'TEA Revised Non EYZ'!DW23</f>
        <v>33024.331428945443</v>
      </c>
      <c r="FH23">
        <f>'TEA Revised Non EYZ'!DX23</f>
        <v>24915.659383376755</v>
      </c>
      <c r="FI23">
        <f>'TEA Revised Non EYZ'!DY23</f>
        <v>10548.968690542577</v>
      </c>
      <c r="FJ23">
        <f>'TEA Revised Non EYZ'!DZ23</f>
        <v>5588.0830181845758</v>
      </c>
      <c r="FK23">
        <f>'TEA Revised Non EYZ'!EA23</f>
        <v>5626.1166349560426</v>
      </c>
      <c r="FL23">
        <f>'TEA Revised Non EYZ'!EB23</f>
        <v>849.35894434299291</v>
      </c>
      <c r="FM23">
        <f>'TEA Revised Non EYZ'!EC23</f>
        <v>30870.169806642782</v>
      </c>
      <c r="FN23">
        <f>'TEA Revised Non EYZ'!ED23</f>
        <v>23286.743672476066</v>
      </c>
      <c r="FO23">
        <f>'TEA Revised Non EYZ'!EE23</f>
        <v>9859.3067968144605</v>
      </c>
      <c r="FP23">
        <f>'TEA Revised Non EYZ'!EF23</f>
        <v>5225.6383492186287</v>
      </c>
      <c r="FQ23">
        <f>'TEA Revised Non EYZ'!EG23</f>
        <v>5258.2969583010481</v>
      </c>
      <c r="FR23">
        <f>'TEA Revised Non EYZ'!EH23</f>
        <v>428.73250800697502</v>
      </c>
      <c r="FS23">
        <f>'TEA Revised Non EYZ'!EI23</f>
        <v>155481.40619180835</v>
      </c>
      <c r="FT23">
        <f>EG23*EH23</f>
        <v>2787.6854243457824</v>
      </c>
      <c r="FU23">
        <f>EG23*EI23</f>
        <v>4614.8646543002196</v>
      </c>
      <c r="FV23">
        <f>FC23*(FT23+FU23)/(3.6*10^6)*3600*7200*0.07</f>
        <v>1865.4426198187925</v>
      </c>
      <c r="FW23">
        <f>('CAPEX+OPEX'!$C$39/7/100+0.03)*EL23</f>
        <v>100602.06207251917</v>
      </c>
      <c r="FX23">
        <f>('CAPEX+OPEX'!$C$39/7/100+0.03)*EM23</f>
        <v>166541.35231816545</v>
      </c>
      <c r="FY23">
        <f>SUM(FV23:FX23)</f>
        <v>269008.85701050342</v>
      </c>
      <c r="FZ23">
        <f>FY23+FA23+FS23+EU23</f>
        <v>17589506.842767712</v>
      </c>
      <c r="GA23">
        <f>FZ23+EO23</f>
        <v>18513145.343784008</v>
      </c>
      <c r="GB23">
        <f>GA23/(BK23*60*7200)</f>
        <v>0.42854503110611131</v>
      </c>
      <c r="GC23">
        <f>'TEA Revised Non EYZ'!EM23/'TEA Revised Non EYZ'!EK23*GA23</f>
        <v>1435.7479218994699</v>
      </c>
      <c r="GD23">
        <f>'TEA Revised Non EYZ'!EN23/'TEA Revised Non EYZ'!EK23*GA23</f>
        <v>2620.3616098519838</v>
      </c>
    </row>
    <row r="24" spans="1:186">
      <c r="A24">
        <f>'TEA Revised Non EYZ'!A24</f>
        <v>5</v>
      </c>
      <c r="B24">
        <f>'TEA Revised Non EYZ'!B24</f>
        <v>1.54143585092054E-3</v>
      </c>
      <c r="C24">
        <f>'TEA Revised Non EYZ'!C24</f>
        <v>1.54143585092054E-3</v>
      </c>
      <c r="D24">
        <f>'TEA Revised Non EYZ'!D24</f>
        <v>3.4254130020456501E-4</v>
      </c>
      <c r="E24">
        <f>'TEA Revised Non EYZ'!E24</f>
        <v>0</v>
      </c>
      <c r="F24">
        <f>'TEA Revised Non EYZ'!F24</f>
        <v>0</v>
      </c>
      <c r="G24">
        <f>'TEA Revised Non EYZ'!G24</f>
        <v>0</v>
      </c>
      <c r="H24">
        <f>'TEA Revised Non EYZ'!H24</f>
        <v>1.7558377832426001E-5</v>
      </c>
      <c r="I24">
        <f>'TEA Revised Non EYZ'!I24</f>
        <v>1.05063644964669E-7</v>
      </c>
      <c r="J24">
        <f>'TEA Revised Non EYZ'!J24</f>
        <v>3.35605387572801E-4</v>
      </c>
      <c r="K24">
        <f>'TEA Revised Non EYZ'!K24</f>
        <v>0.12557893497872399</v>
      </c>
      <c r="L24">
        <f>'TEA Revised Non EYZ'!L24</f>
        <v>0.12701721899235199</v>
      </c>
      <c r="M24">
        <f>'TEA Revised Non EYZ'!M24</f>
        <v>5.7157122982957897E-4</v>
      </c>
      <c r="N24">
        <f>'TEA Revised Non EYZ'!N24</f>
        <v>-1.88000656708986E-16</v>
      </c>
      <c r="O24">
        <f>'TEA Revised Non EYZ'!O24</f>
        <v>-6.2354635343986299E-15</v>
      </c>
      <c r="P24">
        <f>'TEA Revised Non EYZ'!P24</f>
        <v>-1.51703600853245E-18</v>
      </c>
      <c r="Q24">
        <f>'TEA Revised Non EYZ'!Q24</f>
        <v>0.121348176216534</v>
      </c>
      <c r="R24">
        <f>'TEA Revised Non EYZ'!R24</f>
        <v>97.975160184298204</v>
      </c>
      <c r="S24">
        <f>'TEA Revised Non EYZ'!S24</f>
        <v>500</v>
      </c>
      <c r="T24">
        <f>'TEA Revised Non EYZ'!T24</f>
        <v>95</v>
      </c>
      <c r="U24">
        <f>'TEA Revised Non EYZ'!U24</f>
        <v>1</v>
      </c>
      <c r="V24">
        <f>'TEA Revised Non EYZ'!V24</f>
        <v>0.1</v>
      </c>
      <c r="W24">
        <f>'TEA Revised Non EYZ'!W24</f>
        <v>82.407501388038199</v>
      </c>
      <c r="X24" t="str">
        <f>'TEA Revised Non EYZ'!X24</f>
        <v>ddFc</v>
      </c>
      <c r="Y24">
        <f>'TEA Revised Non EYZ'!Y24</f>
        <v>1</v>
      </c>
      <c r="Z24">
        <f>'TEA Revised Non EYZ'!Z24</f>
        <v>0.28318429382522198</v>
      </c>
      <c r="AA24">
        <f>'TEA Revised Non EYZ'!AA24</f>
        <v>0.56945642916197003</v>
      </c>
      <c r="AB24">
        <f>'TEA Revised Non EYZ'!AB24</f>
        <v>3.7698628972227502E-3</v>
      </c>
      <c r="AC24">
        <f>'TEA Revised Non EYZ'!AC24</f>
        <v>1822.2107908876901</v>
      </c>
      <c r="AD24">
        <f>'TEA Revised Non EYZ'!AD24</f>
        <v>2662.6059073104898</v>
      </c>
      <c r="AE24">
        <f>'TEA Revised Non EYZ'!AE24</f>
        <v>2401.5030938442701</v>
      </c>
      <c r="AF24">
        <f>'TEA Revised Non EYZ'!AF24</f>
        <v>6</v>
      </c>
      <c r="AG24">
        <f>'TEA Revised Non EYZ'!AG24</f>
        <v>1.64912412966352E-3</v>
      </c>
      <c r="AH24">
        <f>'TEA Revised Non EYZ'!AH24</f>
        <v>1.66801192221077E-3</v>
      </c>
      <c r="AI24">
        <f>'TEA Revised Non EYZ'!AI24</f>
        <v>7.5059714998626504E-6</v>
      </c>
      <c r="AJ24">
        <f>'TEA Revised Non EYZ'!AJ24</f>
        <v>0</v>
      </c>
      <c r="AK24">
        <f>'TEA Revised Non EYZ'!AK24</f>
        <v>0</v>
      </c>
      <c r="AL24">
        <f>'TEA Revised Non EYZ'!AL24</f>
        <v>0</v>
      </c>
      <c r="AM24">
        <f>'TEA Revised Non EYZ'!AM24</f>
        <v>1.6114297833378999E-3</v>
      </c>
      <c r="AN24">
        <f>'TEA Revised Non EYZ'!AN24</f>
        <v>7.7356463127358006E-5</v>
      </c>
      <c r="AO24">
        <f>'TEA Revised Non EYZ'!AO24</f>
        <v>7.4556307325320903E-6</v>
      </c>
      <c r="AP24">
        <f>'TEA Revised Non EYZ'!AP24</f>
        <v>1.7565900233430501E-3</v>
      </c>
      <c r="AQ24">
        <f>'TEA Revised Non EYZ'!AQ24</f>
        <v>7.4125957401307799E-2</v>
      </c>
      <c r="AR24">
        <f>'TEA Revised Non EYZ'!AR24</f>
        <v>2.3459244762174398E-6</v>
      </c>
      <c r="AS24">
        <f>'TEA Revised Non EYZ'!AS24</f>
        <v>-5.3532482266471697E-18</v>
      </c>
      <c r="AT24">
        <f>'TEA Revised Non EYZ'!AT24</f>
        <v>-7.2164496600635096E-16</v>
      </c>
      <c r="AU24">
        <f>'TEA Revised Non EYZ'!AU24</f>
        <v>-4.9035266712143398E-21</v>
      </c>
      <c r="AV24">
        <f>'TEA Revised Non EYZ'!AV24</f>
        <v>0.198290773754322</v>
      </c>
      <c r="AW24">
        <f>'TEA Revised Non EYZ'!AW24</f>
        <v>99.329323761334805</v>
      </c>
      <c r="AX24">
        <f>'TEA Revised Non EYZ'!AX24</f>
        <v>500</v>
      </c>
      <c r="AY24">
        <f>'TEA Revised Non EYZ'!AY24</f>
        <v>95</v>
      </c>
      <c r="AZ24">
        <f>'TEA Revised Non EYZ'!AZ24</f>
        <v>0.92405262022284995</v>
      </c>
      <c r="BA24">
        <f>'TEA Revised Non EYZ'!BA24</f>
        <v>0.1</v>
      </c>
      <c r="BB24">
        <f>'TEA Revised Non EYZ'!BB24</f>
        <v>46.600888318068002</v>
      </c>
      <c r="BC24" t="str">
        <f>'TEA Revised Non EYZ'!BC24</f>
        <v>coeFc</v>
      </c>
      <c r="BD24">
        <f>'TEA Revised Non EYZ'!BD24</f>
        <v>1</v>
      </c>
      <c r="BE24">
        <f>'TEA Revised Non EYZ'!BE24</f>
        <v>1.8775014999999999E-2</v>
      </c>
      <c r="BF24">
        <f>'TEA Revised Non EYZ'!BF24</f>
        <v>0.10492961100000001</v>
      </c>
      <c r="BG24">
        <f>'TEA Revised Non EYZ'!BG24</f>
        <v>1.814625E-3</v>
      </c>
      <c r="BH24">
        <f>'TEA Revised Non EYZ'!BH24</f>
        <v>285.1951444</v>
      </c>
      <c r="BI24">
        <f>'TEA Revised Non EYZ'!BI24</f>
        <v>2169.8944889999998</v>
      </c>
      <c r="BJ24">
        <f>'TEA Revised Non EYZ'!BJ24</f>
        <v>866.49409060000005</v>
      </c>
      <c r="BK24">
        <f>'TEA Revised Non EYZ'!BK24</f>
        <v>100</v>
      </c>
      <c r="BL24">
        <f>'TEA Revised Non EYZ'!BL24</f>
        <v>12.134817621653401</v>
      </c>
      <c r="BM24">
        <f>'TEA Revised Non EYZ'!BM24</f>
        <v>92.405262022285001</v>
      </c>
      <c r="BN24">
        <f>'TEA Revised Non EYZ'!BN24</f>
        <v>19.829077375432199</v>
      </c>
      <c r="BO24">
        <f>'TEA Revised Non EYZ'!BO24</f>
        <v>169.88744670314762</v>
      </c>
      <c r="BP24">
        <f>'TEA Revised Non EYZ'!BP24</f>
        <v>317.26523800691518</v>
      </c>
      <c r="BQ24">
        <f>'TEA Revised Non EYZ'!BQ24</f>
        <v>16.988744670314762</v>
      </c>
      <c r="BR24">
        <f>'TEA Revised Non EYZ'!BR24</f>
        <v>31.72652380069152</v>
      </c>
      <c r="BS24">
        <f>'eLLE Bals'!CF24</f>
        <v>7.2808905729920399</v>
      </c>
      <c r="BT24">
        <f>'eLLE Bals'!CG24</f>
        <v>11.89744642525932</v>
      </c>
      <c r="BU24">
        <f>BM24</f>
        <v>92.405262022285001</v>
      </c>
      <c r="BV24">
        <f>BU24*(AM24*2+AN24*2+AO24*3)</f>
        <v>0.31417228974264977</v>
      </c>
      <c r="BW24">
        <f>BN24*BA24*(AP24*2+AQ24*2+AR24*3)</f>
        <v>0.30095013612104776</v>
      </c>
      <c r="BX24">
        <f>BV24/(2*V24*BL24+BV24)</f>
        <v>0.11461390863219924</v>
      </c>
      <c r="BY24">
        <f>BU24*BX24</f>
        <v>10.590928258556604</v>
      </c>
      <c r="BZ24">
        <f>BW24/(2*BN24*BA24+BW24)</f>
        <v>7.0533552471348279E-2</v>
      </c>
      <c r="CA24">
        <f>2*BN24*BA24/0.04</f>
        <v>99.145386877161002</v>
      </c>
      <c r="CB24">
        <f>(BS24+BL24)*2</f>
        <v>38.831416389290879</v>
      </c>
      <c r="CC24">
        <f>(BU24+BL24)*2</f>
        <v>209.0801592878768</v>
      </c>
      <c r="CD24">
        <f>(BT24+BN24)*2</f>
        <v>63.453047601383034</v>
      </c>
      <c r="CE24">
        <f>(CA24+BN24)*2</f>
        <v>237.94892850518642</v>
      </c>
      <c r="CF24">
        <f>'TEA Revised Non EYZ'!CB24</f>
        <v>2242.5142964815486</v>
      </c>
      <c r="CG24">
        <f>'TEA Revised Non EYZ'!CC24</f>
        <v>4187.9011416912808</v>
      </c>
      <c r="CH24">
        <f>'TEA Revised Non EYZ'!CD24</f>
        <v>2709.3726906065185</v>
      </c>
      <c r="CI24">
        <f>'TEA Revised Non EYZ'!CE24</f>
        <v>32301.65371940405</v>
      </c>
      <c r="CJ24">
        <f>BL24*V24</f>
        <v>1.2134817621653402</v>
      </c>
      <c r="CK24">
        <f>CJ24/2*1.2</f>
        <v>0.72808905729920415</v>
      </c>
      <c r="CL24">
        <f>'eLLE Bals'!CB24*'Oxidant Feed Composition'!$N$20</f>
        <v>4.0449392072178021E-2</v>
      </c>
      <c r="CM24">
        <f>'eLLE Bals'!CB24*'Oxidant Feed Composition'!$N$21</f>
        <v>2.0224696036089003</v>
      </c>
      <c r="CN24">
        <f>'eLLE Bals'!CB24*'Oxidant Feed Composition'!$N$22</f>
        <v>0.6067408810826701</v>
      </c>
      <c r="CO24">
        <f>CN24/CK24</f>
        <v>0.83333333333333326</v>
      </c>
      <c r="CP24">
        <f>CO24</f>
        <v>0.83333333333333326</v>
      </c>
      <c r="CQ24">
        <f>CL24/CO24</f>
        <v>4.8539270486613627E-2</v>
      </c>
      <c r="CR24">
        <f>CM24/CO24</f>
        <v>2.4269635243306804</v>
      </c>
      <c r="CS24">
        <f>BN24*BA24</f>
        <v>1.98290773754322</v>
      </c>
      <c r="CT24">
        <f>CS24/2*1.2</f>
        <v>1.1897446425259319</v>
      </c>
      <c r="CU24">
        <f>'eLLE Bals'!CC24*'Oxidant Feed Composition'!$N$20</f>
        <v>6.6096924584774022E-2</v>
      </c>
      <c r="CV24">
        <f>'eLLE Bals'!CC24*'Oxidant Feed Composition'!$N$21</f>
        <v>3.3048462292387</v>
      </c>
      <c r="CW24">
        <f>'eLLE Bals'!CC24*'Oxidant Feed Composition'!$N$22</f>
        <v>0.99145386877161001</v>
      </c>
      <c r="CX24">
        <f>CU24/CP24</f>
        <v>7.9316309501728841E-2</v>
      </c>
      <c r="CY24">
        <f>CV24/CP24</f>
        <v>3.9658154750864405</v>
      </c>
      <c r="CZ24">
        <f>CJ24</f>
        <v>1.2134817621653402</v>
      </c>
      <c r="DA24">
        <f>'eLLE Bals'!BQ24</f>
        <v>2.4269635243306804</v>
      </c>
      <c r="DB24">
        <f>'eLLE Bals'!BU24</f>
        <v>6.9471158275707374</v>
      </c>
      <c r="DC24">
        <f>CS24</f>
        <v>1.98290773754322</v>
      </c>
      <c r="DD24">
        <f>'eLLE Bals'!BX24</f>
        <v>3.9658154750864401</v>
      </c>
      <c r="DE24">
        <f>'eLLE Bals'!CA24</f>
        <v>22.164248104796958</v>
      </c>
      <c r="DF24">
        <f>2*2*(CJ24*'Reagent cost'!$C$36*122.44/1000+CK24*'Oxidant Feed Composition'!$N$26+CQ24*'Reagent cost'!$C$34+CR24*'Reagent cost'!$C$35)</f>
        <v>102.50002761552031</v>
      </c>
      <c r="DG24">
        <f>2*2*(CS24*'Reagent cost'!$C$36*122.44/1000+CT24*'Oxidant Feed Composition'!$N$26+CX24*'Reagent cost'!$C$34+CY24*'Reagent cost'!$C$35)</f>
        <v>167.4916790628418</v>
      </c>
      <c r="DH24">
        <f>(AF24+3)*2*(CZ24*'Reagent cost'!$C$38+DA24*'Reagent cost'!$C$39+DB24*'Reagent cost'!$C$36*122.44/1000)</f>
        <v>1178.6220803029039</v>
      </c>
      <c r="DI24">
        <f>3*2*(DC24*'Reagent cost'!$C$38+DD24*'Reagent cost'!$C$39+DE24*'Reagent cost'!$C$36*122.44/1000)</f>
        <v>1202.922097772763</v>
      </c>
      <c r="DJ24">
        <f>7963.6*(CB24/1000)^0.6*1.7*('CAPEX+OPEX'!$G$116/'CAPEX+OPEX'!$G$115)</f>
        <v>2273.7926954959794</v>
      </c>
      <c r="DK24">
        <f>7963.6*(CC24/1000)^0.6*1.7*('CAPEX+OPEX'!$G$116/'CAPEX+OPEX'!$G$115)</f>
        <v>6243.5072626595684</v>
      </c>
      <c r="DL24">
        <f>7963.6*(CD24/1000)^0.6*1.7*('CAPEX+OPEX'!$G$116/'CAPEX+OPEX'!$G$115)</f>
        <v>3052.8988782769065</v>
      </c>
      <c r="DM24">
        <f>7963.6*(CE24/1000)^0.6*1.7*('CAPEX+OPEX'!$G$116/'CAPEX+OPEX'!$G$115)</f>
        <v>6747.3180169767493</v>
      </c>
      <c r="DN24">
        <f>'TEA Revised Non EYZ'!CM24</f>
        <v>39625.826528698344</v>
      </c>
      <c r="DO24">
        <f>'TEA Revised Non EYZ'!CN24</f>
        <v>4586243.4239371875</v>
      </c>
      <c r="DP24">
        <f>'TEA Revised Non EYZ'!CO24</f>
        <v>11794834.586807497</v>
      </c>
      <c r="DQ24">
        <f>'TEA Revised Non EYZ'!CP24</f>
        <v>2275209.1661185985</v>
      </c>
      <c r="DR24">
        <f>'TEA Revised Non EYZ'!CQ24</f>
        <v>14083914.336508472</v>
      </c>
      <c r="DS24">
        <f>'TEA Revised Non EYZ'!CR24</f>
        <v>1662824.8986326549</v>
      </c>
      <c r="DT24">
        <f>'TEA Revised Non EYZ'!CS24</f>
        <v>589054.93036564998</v>
      </c>
      <c r="DU24">
        <f>'TEA Revised Non EYZ'!CT24</f>
        <v>1514922.9606835202</v>
      </c>
      <c r="DV24">
        <f>'TEA Revised Non EYZ'!CU24</f>
        <v>292226.78628879401</v>
      </c>
      <c r="DW24">
        <f>'TEA Revised Non EYZ'!CV24</f>
        <v>1808931.2781495745</v>
      </c>
      <c r="DX24">
        <f>'TEA Revised Non EYZ'!CW24</f>
        <v>213572.44139332071</v>
      </c>
      <c r="DY24">
        <f>'TEA Revised Non EYZ'!CX24</f>
        <v>4418708.3968808586</v>
      </c>
      <c r="DZ24">
        <f>'TEA Revised Non EYZ'!CY24</f>
        <v>610415.4188564826</v>
      </c>
      <c r="EA24">
        <f>'TEA Revised Non EYZ'!CZ24</f>
        <v>1569857.5564199341</v>
      </c>
      <c r="EB24">
        <f>'TEA Revised Non EYZ'!DA24</f>
        <v>302823.60261857172</v>
      </c>
      <c r="EC24">
        <f>'TEA Revised Non EYZ'!DB24</f>
        <v>1874527.2926394895</v>
      </c>
      <c r="ED24">
        <f>'TEA Revised Non EYZ'!DC24</f>
        <v>221317.07001990607</v>
      </c>
      <c r="EE24">
        <f>'TEA Revised Non EYZ'!DD24</f>
        <v>4578940.9405543841</v>
      </c>
      <c r="EF24">
        <v>0.7</v>
      </c>
      <c r="EG24">
        <v>100</v>
      </c>
      <c r="EH24">
        <f>96485*BL24*V24/EF24/EG24/60</f>
        <v>27.876854243457824</v>
      </c>
      <c r="EI24">
        <f>96485*BN24*BA24/EF24/EG24/60</f>
        <v>45.552584061156573</v>
      </c>
      <c r="EJ24">
        <f>EH24*('CAPEX+OPEX'!$O$25+'CAPEX+OPEX'!$O$26)</f>
        <v>888491.09844748781</v>
      </c>
      <c r="EK24">
        <f>EI24*('CAPEX+OPEX'!$O$25+'CAPEX+OPEX'!$O$26)</f>
        <v>1451851.9591971822</v>
      </c>
      <c r="EL24">
        <f>EJ24*1.12/0.6*'CAPEX+OPEX'!$G$116/'CAPEX+OPEX'!$G$115</f>
        <v>1956151.2069656507</v>
      </c>
      <c r="EM24">
        <f>EK24*1.12/0.6*'CAPEX+OPEX'!$G$116/'CAPEX+OPEX'!$G$115</f>
        <v>3196477.6769081689</v>
      </c>
      <c r="EN24">
        <f>EL24+EM24+DY24+EE24+1.15*(SUM(DF24:DM24)+SUM(CF24:CI24))</f>
        <v>14222050.29008336</v>
      </c>
      <c r="EO24">
        <f>EN24/15</f>
        <v>948136.68600555731</v>
      </c>
      <c r="EP24">
        <f>('eLLE Bals'!CB24+'eLLE Bals'!CC24)*'Oxidant Feed Composition'!$N$25*60*7200</f>
        <v>12871112.570411887</v>
      </c>
      <c r="EQ24" s="83">
        <f>('eLLE Bals'!BR24+'eLLE Bals'!BY24)*'Reagent cost'!$C$38*60*7200</f>
        <v>508994.96672295377</v>
      </c>
      <c r="ER24">
        <f>'TEA Revised Non EYZ'!DI24</f>
        <v>504921.59999999998</v>
      </c>
      <c r="ES24">
        <f>'TEA Revised Non EYZ'!DJ24</f>
        <v>64.304154381728296</v>
      </c>
      <c r="ET24">
        <f>'TEA Revised Non EYZ'!DK24</f>
        <v>700.22052820021145</v>
      </c>
      <c r="EU24">
        <f>1.2*SUM(EP24:ET24)</f>
        <v>16662952.394180905</v>
      </c>
      <c r="EV24">
        <f>'TEA Revised Non EYZ'!DM24</f>
        <v>0.70639694042110623</v>
      </c>
      <c r="EW24">
        <f>(BS24*CO24+BT24*CP24)/1000*('Oxidant Feed Composition'!$B$11*'Oxidant Feed Composition'!$O$20+'Oxidant Feed Composition'!$D$11*'Oxidant Feed Composition'!$O$21+'Oxidant Feed Composition'!$F$11*'Oxidant Feed Composition'!$O$27-'Oxidant Feed Composition'!$J$15*18.015)</f>
        <v>1.8664443869214709</v>
      </c>
      <c r="EX24">
        <f>(CZ24*BX24+DC24*BZ24)*368.34/1000</f>
        <v>0.10274601739546302</v>
      </c>
      <c r="EY24">
        <f>'TEA Revised Non EYZ'!DP24</f>
        <v>4.999938342565946E-2</v>
      </c>
      <c r="EZ24">
        <f>SUM(EV24:EX24)-EY24</f>
        <v>2.6255879613123807</v>
      </c>
      <c r="FA24">
        <f>EZ24*0.33*60*7200</f>
        <v>374303.81976469298</v>
      </c>
      <c r="FB24">
        <f>'TEA Revised Non EYZ'!DS24</f>
        <v>1.2</v>
      </c>
      <c r="FC24">
        <v>0.5</v>
      </c>
      <c r="FD24">
        <f>'TEA Revised Non EYZ'!DT24</f>
        <v>1405.8817231078647</v>
      </c>
      <c r="FE24">
        <f>'TEA Revised Non EYZ'!DU24</f>
        <v>707.36472588365746</v>
      </c>
      <c r="FF24">
        <f>'TEA Revised Non EYZ'!DV24</f>
        <v>0.7</v>
      </c>
      <c r="FG24">
        <f>'TEA Revised Non EYZ'!DW24</f>
        <v>33024.331428945443</v>
      </c>
      <c r="FH24">
        <f>'TEA Revised Non EYZ'!DX24</f>
        <v>24915.659383376755</v>
      </c>
      <c r="FI24">
        <f>'TEA Revised Non EYZ'!DY24</f>
        <v>10548.968690542577</v>
      </c>
      <c r="FJ24">
        <f>'TEA Revised Non EYZ'!DZ24</f>
        <v>5588.0830181845758</v>
      </c>
      <c r="FK24">
        <f>'TEA Revised Non EYZ'!EA24</f>
        <v>5626.1166349560426</v>
      </c>
      <c r="FL24">
        <f>'TEA Revised Non EYZ'!EB24</f>
        <v>850.27726613563675</v>
      </c>
      <c r="FM24">
        <f>'TEA Revised Non EYZ'!EC24</f>
        <v>33442.68395719635</v>
      </c>
      <c r="FN24">
        <f>'TEA Revised Non EYZ'!ED24</f>
        <v>27167.86761788874</v>
      </c>
      <c r="FO24">
        <f>'TEA Revised Non EYZ'!EE24</f>
        <v>11502.524596283536</v>
      </c>
      <c r="FP24">
        <f>'TEA Revised Non EYZ'!EF24</f>
        <v>6096.5780740883993</v>
      </c>
      <c r="FQ24">
        <f>'TEA Revised Non EYZ'!EG24</f>
        <v>6134.6797846845557</v>
      </c>
      <c r="FR24">
        <f>'TEA Revised Non EYZ'!EH24</f>
        <v>427.81418621443606</v>
      </c>
      <c r="FS24">
        <f>'TEA Revised Non EYZ'!EI24</f>
        <v>165325.58463849706</v>
      </c>
      <c r="FT24">
        <f>EG24*EH24</f>
        <v>2787.6854243457824</v>
      </c>
      <c r="FU24">
        <f>EG24*EI24</f>
        <v>4555.2584061156576</v>
      </c>
      <c r="FV24">
        <f>FC24*(FT24+FU24)/(3.6*10^6)*3600*7200*0.07</f>
        <v>1850.4218452762827</v>
      </c>
      <c r="FW24">
        <f>('CAPEX+OPEX'!$C$39/7/100+0.03)*EL24</f>
        <v>100602.06207251917</v>
      </c>
      <c r="FX24">
        <f>('CAPEX+OPEX'!$C$39/7/100+0.03)*EM24</f>
        <v>164390.28052670584</v>
      </c>
      <c r="FY24">
        <f>SUM(FV24:FX24)</f>
        <v>266842.76444450131</v>
      </c>
      <c r="FZ24">
        <f>FY24+FA24+FS24+EU24</f>
        <v>17469424.563028596</v>
      </c>
      <c r="GA24">
        <f>FZ24+EO24</f>
        <v>18417561.249034155</v>
      </c>
      <c r="GB24">
        <f>GA24/(BK24*60*7200)</f>
        <v>0.4263324363202351</v>
      </c>
      <c r="GC24">
        <f>'TEA Revised Non EYZ'!EM24/'TEA Revised Non EYZ'!EK24*GA24</f>
        <v>1426.7911125663231</v>
      </c>
      <c r="GD24">
        <f>'TEA Revised Non EYZ'!EN24/'TEA Revised Non EYZ'!EK24*GA24</f>
        <v>2611.9912516553391</v>
      </c>
    </row>
    <row r="25" spans="1:186">
      <c r="A25">
        <f>'TEA Revised Non EYZ'!A25</f>
        <v>5</v>
      </c>
      <c r="B25">
        <f>'TEA Revised Non EYZ'!B25</f>
        <v>1.54143585092054E-3</v>
      </c>
      <c r="C25">
        <f>'TEA Revised Non EYZ'!C25</f>
        <v>1.54143585092054E-3</v>
      </c>
      <c r="D25">
        <f>'TEA Revised Non EYZ'!D25</f>
        <v>3.4254130020456501E-4</v>
      </c>
      <c r="E25">
        <f>'TEA Revised Non EYZ'!E25</f>
        <v>0</v>
      </c>
      <c r="F25">
        <f>'TEA Revised Non EYZ'!F25</f>
        <v>0</v>
      </c>
      <c r="G25">
        <f>'TEA Revised Non EYZ'!G25</f>
        <v>0</v>
      </c>
      <c r="H25">
        <f>'TEA Revised Non EYZ'!H25</f>
        <v>1.7558377832426001E-5</v>
      </c>
      <c r="I25">
        <f>'TEA Revised Non EYZ'!I25</f>
        <v>1.05063644964669E-7</v>
      </c>
      <c r="J25">
        <f>'TEA Revised Non EYZ'!J25</f>
        <v>3.35605387572801E-4</v>
      </c>
      <c r="K25">
        <f>'TEA Revised Non EYZ'!K25</f>
        <v>0.12557893497872399</v>
      </c>
      <c r="L25">
        <f>'TEA Revised Non EYZ'!L25</f>
        <v>0.12701721899235199</v>
      </c>
      <c r="M25">
        <f>'TEA Revised Non EYZ'!M25</f>
        <v>5.7157122982957897E-4</v>
      </c>
      <c r="N25">
        <f>'TEA Revised Non EYZ'!N25</f>
        <v>-1.88000656708986E-16</v>
      </c>
      <c r="O25">
        <f>'TEA Revised Non EYZ'!O25</f>
        <v>-6.2354635343986299E-15</v>
      </c>
      <c r="P25">
        <f>'TEA Revised Non EYZ'!P25</f>
        <v>-1.51703600853245E-18</v>
      </c>
      <c r="Q25">
        <f>'TEA Revised Non EYZ'!Q25</f>
        <v>0.121348176216534</v>
      </c>
      <c r="R25">
        <f>'TEA Revised Non EYZ'!R25</f>
        <v>97.975160184298204</v>
      </c>
      <c r="S25">
        <f>'TEA Revised Non EYZ'!S25</f>
        <v>500</v>
      </c>
      <c r="T25">
        <f>'TEA Revised Non EYZ'!T25</f>
        <v>95</v>
      </c>
      <c r="U25">
        <f>'TEA Revised Non EYZ'!U25</f>
        <v>1</v>
      </c>
      <c r="V25">
        <f>'TEA Revised Non EYZ'!V25</f>
        <v>0.1</v>
      </c>
      <c r="W25">
        <f>'TEA Revised Non EYZ'!W25</f>
        <v>82.407501388038199</v>
      </c>
      <c r="X25" t="str">
        <f>'TEA Revised Non EYZ'!X25</f>
        <v>ddFc</v>
      </c>
      <c r="Y25">
        <f>'TEA Revised Non EYZ'!Y25</f>
        <v>1</v>
      </c>
      <c r="Z25">
        <f>'TEA Revised Non EYZ'!Z25</f>
        <v>0.28318429382522198</v>
      </c>
      <c r="AA25">
        <f>'TEA Revised Non EYZ'!AA25</f>
        <v>0.56945642916197003</v>
      </c>
      <c r="AB25">
        <f>'TEA Revised Non EYZ'!AB25</f>
        <v>3.7698628972227502E-3</v>
      </c>
      <c r="AC25">
        <f>'TEA Revised Non EYZ'!AC25</f>
        <v>1822.2107908876901</v>
      </c>
      <c r="AD25">
        <f>'TEA Revised Non EYZ'!AD25</f>
        <v>2662.6059073104898</v>
      </c>
      <c r="AE25">
        <f>'TEA Revised Non EYZ'!AE25</f>
        <v>2401.5030938442701</v>
      </c>
      <c r="AF25">
        <f>'TEA Revised Non EYZ'!AF25</f>
        <v>7</v>
      </c>
      <c r="AG25">
        <f>'TEA Revised Non EYZ'!AG25</f>
        <v>1.64912412966352E-3</v>
      </c>
      <c r="AH25">
        <f>'TEA Revised Non EYZ'!AH25</f>
        <v>1.66801192221077E-3</v>
      </c>
      <c r="AI25">
        <f>'TEA Revised Non EYZ'!AI25</f>
        <v>7.5059714998626504E-6</v>
      </c>
      <c r="AJ25">
        <f>'TEA Revised Non EYZ'!AJ25</f>
        <v>0</v>
      </c>
      <c r="AK25">
        <f>'TEA Revised Non EYZ'!AK25</f>
        <v>0</v>
      </c>
      <c r="AL25">
        <f>'TEA Revised Non EYZ'!AL25</f>
        <v>0</v>
      </c>
      <c r="AM25">
        <f>'TEA Revised Non EYZ'!AM25</f>
        <v>1.6119381310433301E-3</v>
      </c>
      <c r="AN25">
        <f>'TEA Revised Non EYZ'!AN25</f>
        <v>7.7382567030457797E-5</v>
      </c>
      <c r="AO25">
        <f>'TEA Revised Non EYZ'!AO25</f>
        <v>7.4562819717611701E-6</v>
      </c>
      <c r="AP25">
        <f>'TEA Revised Non EYZ'!AP25</f>
        <v>1.73954373622606E-3</v>
      </c>
      <c r="AQ25">
        <f>'TEA Revised Non EYZ'!AQ25</f>
        <v>7.4408902129409704E-2</v>
      </c>
      <c r="AR25">
        <f>'TEA Revised Non EYZ'!AR25</f>
        <v>2.32445303539035E-6</v>
      </c>
      <c r="AS25">
        <f>'TEA Revised Non EYZ'!AS25</f>
        <v>6.9016244542280303E-16</v>
      </c>
      <c r="AT25">
        <f>'TEA Revised Non EYZ'!AT25</f>
        <v>-2.1108657356772001E-13</v>
      </c>
      <c r="AU25">
        <f>'TEA Revised Non EYZ'!AU25</f>
        <v>-1.7602403435128399E-20</v>
      </c>
      <c r="AV25">
        <f>'TEA Revised Non EYZ'!AV25</f>
        <v>0.19753351838366801</v>
      </c>
      <c r="AW25">
        <f>'TEA Revised Non EYZ'!AW25</f>
        <v>99.338000043000505</v>
      </c>
      <c r="AX25">
        <f>'TEA Revised Non EYZ'!AX25</f>
        <v>500</v>
      </c>
      <c r="AY25">
        <f>'TEA Revised Non EYZ'!AY25</f>
        <v>95</v>
      </c>
      <c r="AZ25">
        <f>'TEA Revised Non EYZ'!AZ25</f>
        <v>0.92405262022284995</v>
      </c>
      <c r="BA25">
        <f>'TEA Revised Non EYZ'!BA25</f>
        <v>0.1</v>
      </c>
      <c r="BB25">
        <f>'TEA Revised Non EYZ'!BB25</f>
        <v>46.779535330711099</v>
      </c>
      <c r="BC25" t="str">
        <f>'TEA Revised Non EYZ'!BC25</f>
        <v>coeFc</v>
      </c>
      <c r="BD25">
        <f>'TEA Revised Non EYZ'!BD25</f>
        <v>1</v>
      </c>
      <c r="BE25">
        <f>'TEA Revised Non EYZ'!BE25</f>
        <v>1.8775014999999999E-2</v>
      </c>
      <c r="BF25">
        <f>'TEA Revised Non EYZ'!BF25</f>
        <v>0.10492961100000001</v>
      </c>
      <c r="BG25">
        <f>'TEA Revised Non EYZ'!BG25</f>
        <v>1.814625E-3</v>
      </c>
      <c r="BH25">
        <f>'TEA Revised Non EYZ'!BH25</f>
        <v>285.1951444</v>
      </c>
      <c r="BI25">
        <f>'TEA Revised Non EYZ'!BI25</f>
        <v>2169.8944889999998</v>
      </c>
      <c r="BJ25">
        <f>'TEA Revised Non EYZ'!BJ25</f>
        <v>866.49409060000005</v>
      </c>
      <c r="BK25">
        <f>'TEA Revised Non EYZ'!BK25</f>
        <v>100</v>
      </c>
      <c r="BL25">
        <f>'TEA Revised Non EYZ'!BL25</f>
        <v>12.134817621653401</v>
      </c>
      <c r="BM25">
        <f>'TEA Revised Non EYZ'!BM25</f>
        <v>92.405262022285001</v>
      </c>
      <c r="BN25">
        <f>'TEA Revised Non EYZ'!BN25</f>
        <v>19.7533518383668</v>
      </c>
      <c r="BO25">
        <f>'TEA Revised Non EYZ'!BO25</f>
        <v>169.88744670314762</v>
      </c>
      <c r="BP25">
        <f>'TEA Revised Non EYZ'!BP25</f>
        <v>355.5603330906024</v>
      </c>
      <c r="BQ25">
        <f>'TEA Revised Non EYZ'!BQ25</f>
        <v>16.988744670314762</v>
      </c>
      <c r="BR25">
        <f>'TEA Revised Non EYZ'!BR25</f>
        <v>35.55603330906024</v>
      </c>
      <c r="BS25">
        <f>'eLLE Bals'!CF25</f>
        <v>7.2808905729920399</v>
      </c>
      <c r="BT25">
        <f>'eLLE Bals'!CG25</f>
        <v>11.852011103020081</v>
      </c>
      <c r="BU25">
        <f>BM25</f>
        <v>92.405262022285001</v>
      </c>
      <c r="BV25">
        <f>BU25*(AM25*2+AN25*2+AO25*3)</f>
        <v>0.31427124255829342</v>
      </c>
      <c r="BW25">
        <f>BN25*BA25*(AP25*2+AQ25*2+AR25*3)</f>
        <v>0.30085118334733818</v>
      </c>
      <c r="BX25">
        <f>BV25/(2*V25*BL25+BV25)</f>
        <v>0.11464586920986694</v>
      </c>
      <c r="BY25">
        <f>BU25*BX25</f>
        <v>10.59388158411037</v>
      </c>
      <c r="BZ25">
        <f>BW25/(2*BN25*BA25+BW25)</f>
        <v>7.0763179660964043E-2</v>
      </c>
      <c r="CA25">
        <f>2*BN25*BA25/0.04</f>
        <v>98.766759191834012</v>
      </c>
      <c r="CB25">
        <f>(BS25+BL25)*2</f>
        <v>38.831416389290879</v>
      </c>
      <c r="CC25">
        <f>(BU25+BL25)*2</f>
        <v>209.0801592878768</v>
      </c>
      <c r="CD25">
        <f>(BT25+BN25)*2</f>
        <v>63.210725882773758</v>
      </c>
      <c r="CE25">
        <f>(CA25+BN25)*2</f>
        <v>237.04022206040162</v>
      </c>
      <c r="CF25">
        <f>'TEA Revised Non EYZ'!CB25</f>
        <v>2242.5142964815486</v>
      </c>
      <c r="CG25">
        <f>'TEA Revised Non EYZ'!CC25</f>
        <v>4693.3963967959517</v>
      </c>
      <c r="CH25">
        <f>'TEA Revised Non EYZ'!CD25</f>
        <v>2709.3726906065185</v>
      </c>
      <c r="CI25">
        <f>'TEA Revised Non EYZ'!CE25</f>
        <v>36200.583549585928</v>
      </c>
      <c r="CJ25">
        <f>BL25*V25</f>
        <v>1.2134817621653402</v>
      </c>
      <c r="CK25">
        <f>CJ25/2*1.2</f>
        <v>0.72808905729920415</v>
      </c>
      <c r="CL25">
        <f>'eLLE Bals'!CB25*'Oxidant Feed Composition'!$N$20</f>
        <v>4.0449392072178021E-2</v>
      </c>
      <c r="CM25">
        <f>'eLLE Bals'!CB25*'Oxidant Feed Composition'!$N$21</f>
        <v>2.0224696036089003</v>
      </c>
      <c r="CN25">
        <f>'eLLE Bals'!CB25*'Oxidant Feed Composition'!$N$22</f>
        <v>0.6067408810826701</v>
      </c>
      <c r="CO25">
        <f>CN25/CK25</f>
        <v>0.83333333333333326</v>
      </c>
      <c r="CP25">
        <f>CO25</f>
        <v>0.83333333333333326</v>
      </c>
      <c r="CQ25">
        <f>CL25/CO25</f>
        <v>4.8539270486613627E-2</v>
      </c>
      <c r="CR25">
        <f>CM25/CO25</f>
        <v>2.4269635243306804</v>
      </c>
      <c r="CS25">
        <f>BN25*BA25</f>
        <v>1.9753351838366802</v>
      </c>
      <c r="CT25">
        <f>CS25/2*1.2</f>
        <v>1.1852011103020081</v>
      </c>
      <c r="CU25">
        <f>'eLLE Bals'!CC25*'Oxidant Feed Composition'!$N$20</f>
        <v>6.5844506127889363E-2</v>
      </c>
      <c r="CV25">
        <f>'eLLE Bals'!CC25*'Oxidant Feed Composition'!$N$21</f>
        <v>3.2922253063944669</v>
      </c>
      <c r="CW25">
        <f>'eLLE Bals'!CC25*'Oxidant Feed Composition'!$N$22</f>
        <v>0.98766759191834008</v>
      </c>
      <c r="CX25">
        <f>CU25/CP25</f>
        <v>7.9013407353467249E-2</v>
      </c>
      <c r="CY25">
        <f>CV25/CP25</f>
        <v>3.9506703676733608</v>
      </c>
      <c r="CZ25">
        <f>CJ25</f>
        <v>1.2134817621653402</v>
      </c>
      <c r="DA25">
        <f>'eLLE Bals'!BQ25</f>
        <v>2.4269635243306804</v>
      </c>
      <c r="DB25">
        <f>'eLLE Bals'!BU25</f>
        <v>6.9441642643395163</v>
      </c>
      <c r="DC25">
        <f>CS25</f>
        <v>1.9753351838366802</v>
      </c>
      <c r="DD25">
        <f>'eLLE Bals'!BX25</f>
        <v>3.9506703676733603</v>
      </c>
      <c r="DE25">
        <f>'eLLE Bals'!CA25</f>
        <v>21.988726280790008</v>
      </c>
      <c r="DF25">
        <f>2*2*(CJ25*'Reagent cost'!$C$36*122.44/1000+CK25*'Oxidant Feed Composition'!$N$26+CQ25*'Reagent cost'!$C$34+CR25*'Reagent cost'!$C$35)</f>
        <v>102.50002761552031</v>
      </c>
      <c r="DG25">
        <f>2*2*(CS25*'Reagent cost'!$C$36*122.44/1000+CT25*'Oxidant Feed Composition'!$N$26+CX25*'Reagent cost'!$C$34+CY25*'Reagent cost'!$C$35)</f>
        <v>166.85204277967651</v>
      </c>
      <c r="DH25">
        <f>(AF25+3)*2*(CZ25*'Reagent cost'!$C$38+DA25*'Reagent cost'!$C$39+DB25*'Reagent cost'!$C$36*122.44/1000)</f>
        <v>1309.0696628340206</v>
      </c>
      <c r="DI25">
        <f>3*2*(DC25*'Reagent cost'!$C$38+DD25*'Reagent cost'!$C$39+DE25*'Reagent cost'!$C$36*122.44/1000)</f>
        <v>1193.6134417403086</v>
      </c>
      <c r="DJ25">
        <f>7963.6*(CB25/1000)^0.6*1.7*('CAPEX+OPEX'!$G$116/'CAPEX+OPEX'!$G$115)</f>
        <v>2273.7926954959794</v>
      </c>
      <c r="DK25">
        <f>7963.6*(CC25/1000)^0.6*1.7*('CAPEX+OPEX'!$G$116/'CAPEX+OPEX'!$G$115)</f>
        <v>6243.5072626595684</v>
      </c>
      <c r="DL25">
        <f>7963.6*(CD25/1000)^0.6*1.7*('CAPEX+OPEX'!$G$116/'CAPEX+OPEX'!$G$115)</f>
        <v>3045.8982712998541</v>
      </c>
      <c r="DM25">
        <f>7963.6*(CE25/1000)^0.6*1.7*('CAPEX+OPEX'!$G$116/'CAPEX+OPEX'!$G$115)</f>
        <v>6731.8457319554054</v>
      </c>
      <c r="DN25">
        <f>'TEA Revised Non EYZ'!CM25</f>
        <v>39625.826528698344</v>
      </c>
      <c r="DO25">
        <f>'TEA Revised Non EYZ'!CN25</f>
        <v>4586243.4239371875</v>
      </c>
      <c r="DP25">
        <f>'TEA Revised Non EYZ'!CO25</f>
        <v>11794834.586807497</v>
      </c>
      <c r="DQ25">
        <f>'TEA Revised Non EYZ'!CP25</f>
        <v>2275209.1661185985</v>
      </c>
      <c r="DR25">
        <f>'TEA Revised Non EYZ'!CQ25</f>
        <v>14083914.336508472</v>
      </c>
      <c r="DS25">
        <f>'TEA Revised Non EYZ'!CR25</f>
        <v>1662824.8986326549</v>
      </c>
      <c r="DT25">
        <f>'TEA Revised Non EYZ'!CS25</f>
        <v>589054.93036564998</v>
      </c>
      <c r="DU25">
        <f>'TEA Revised Non EYZ'!CT25</f>
        <v>1514922.9606835202</v>
      </c>
      <c r="DV25">
        <f>'TEA Revised Non EYZ'!CU25</f>
        <v>292226.78628879401</v>
      </c>
      <c r="DW25">
        <f>'TEA Revised Non EYZ'!CV25</f>
        <v>1808931.2781495745</v>
      </c>
      <c r="DX25">
        <f>'TEA Revised Non EYZ'!CW25</f>
        <v>213572.44139332071</v>
      </c>
      <c r="DY25">
        <f>'TEA Revised Non EYZ'!CX25</f>
        <v>4418708.3968808586</v>
      </c>
      <c r="DZ25">
        <f>'TEA Revised Non EYZ'!CY25</f>
        <v>661333.71445919841</v>
      </c>
      <c r="EA25">
        <f>'TEA Revised Non EYZ'!CZ25</f>
        <v>1700808.493507487</v>
      </c>
      <c r="EB25">
        <f>'TEA Revised Non EYZ'!DA25</f>
        <v>328083.87822317128</v>
      </c>
      <c r="EC25">
        <f>'TEA Revised Non EYZ'!DB25</f>
        <v>2030892.5020583186</v>
      </c>
      <c r="ED25">
        <f>'TEA Revised Non EYZ'!DC25</f>
        <v>239778.41232071392</v>
      </c>
      <c r="EE25">
        <f>'TEA Revised Non EYZ'!DD25</f>
        <v>4960897.0005688891</v>
      </c>
      <c r="EF25">
        <v>0.7</v>
      </c>
      <c r="EG25">
        <v>100</v>
      </c>
      <c r="EH25">
        <f>96485*BL25*V25/EF25/EG25/60</f>
        <v>27.876854243457824</v>
      </c>
      <c r="EI25">
        <f>96485*BN25*BA25/EF25/EG25/60</f>
        <v>45.378622669638595</v>
      </c>
      <c r="EJ25">
        <f>EH25*('CAPEX+OPEX'!$O$25+'CAPEX+OPEX'!$O$26)</f>
        <v>888491.09844748781</v>
      </c>
      <c r="EK25">
        <f>EI25*('CAPEX+OPEX'!$O$25+'CAPEX+OPEX'!$O$26)</f>
        <v>1446307.4617267214</v>
      </c>
      <c r="EL25">
        <f>EJ25*1.12/0.6*'CAPEX+OPEX'!$G$116/'CAPEX+OPEX'!$G$115</f>
        <v>1956151.2069656507</v>
      </c>
      <c r="EM25">
        <f>EK25*1.12/0.6*'CAPEX+OPEX'!$G$116/'CAPEX+OPEX'!$G$115</f>
        <v>3184270.6042230153</v>
      </c>
      <c r="EN25">
        <f>EL25+EM25+DY25+EE25+1.15*(SUM(DF25:DM25)+SUM(CF25:CI25))</f>
        <v>14596977.096618742</v>
      </c>
      <c r="EO25">
        <f>EN25/15</f>
        <v>973131.80644124944</v>
      </c>
      <c r="EP25">
        <f>('eLLE Bals'!CB25+'eLLE Bals'!CC25)*'Oxidant Feed Composition'!$N$25*60*7200</f>
        <v>12840619.668588985</v>
      </c>
      <c r="EQ25" s="83">
        <f>('eLLE Bals'!BR25+'eLLE Bals'!BY25)*'Reagent cost'!$C$38*60*7200</f>
        <v>508918.79382470425</v>
      </c>
      <c r="ER25">
        <f>'TEA Revised Non EYZ'!DI25</f>
        <v>504921.59999999998</v>
      </c>
      <c r="ES25">
        <f>'TEA Revised Non EYZ'!DJ25</f>
        <v>69.359106932775006</v>
      </c>
      <c r="ET25">
        <f>'TEA Revised Non EYZ'!DK25</f>
        <v>778.19912480384903</v>
      </c>
      <c r="EU25">
        <f>1.2*SUM(EP25:ET25)</f>
        <v>16626369.144774511</v>
      </c>
      <c r="EV25">
        <f>'TEA Revised Non EYZ'!DM25</f>
        <v>0.70639694042110623</v>
      </c>
      <c r="EW25">
        <f>(BS25*CO25+BT25*CP25)/1000*('Oxidant Feed Composition'!$B$11*'Oxidant Feed Composition'!$O$20+'Oxidant Feed Composition'!$D$11*'Oxidant Feed Composition'!$O$21+'Oxidant Feed Composition'!$F$11*'Oxidant Feed Composition'!$O$27-'Oxidant Feed Composition'!$J$15*18.015)</f>
        <v>1.8620226009152536</v>
      </c>
      <c r="EX25">
        <f>(CZ25*BX25+DC25*BZ25)*368.34/1000</f>
        <v>0.10273064109031214</v>
      </c>
      <c r="EY25">
        <f>'TEA Revised Non EYZ'!DP25</f>
        <v>4.999938342565946E-2</v>
      </c>
      <c r="EZ25">
        <f>SUM(EV25:EX25)-EY25</f>
        <v>2.6211507990010126</v>
      </c>
      <c r="FA25">
        <f>EZ25*0.33*60*7200</f>
        <v>373671.25790558435</v>
      </c>
      <c r="FB25">
        <f>'TEA Revised Non EYZ'!DS25</f>
        <v>1.2</v>
      </c>
      <c r="FC25">
        <v>0.5</v>
      </c>
      <c r="FD25">
        <f>'TEA Revised Non EYZ'!DT25</f>
        <v>1406.3248668164506</v>
      </c>
      <c r="FE25">
        <f>'TEA Revised Non EYZ'!DU25</f>
        <v>706.92158227108644</v>
      </c>
      <c r="FF25">
        <f>'TEA Revised Non EYZ'!DV25</f>
        <v>0.7</v>
      </c>
      <c r="FG25">
        <f>'TEA Revised Non EYZ'!DW25</f>
        <v>33024.331428945443</v>
      </c>
      <c r="FH25">
        <f>'TEA Revised Non EYZ'!DX25</f>
        <v>24915.659383376755</v>
      </c>
      <c r="FI25">
        <f>'TEA Revised Non EYZ'!DY25</f>
        <v>10548.968690542577</v>
      </c>
      <c r="FJ25">
        <f>'TEA Revised Non EYZ'!DZ25</f>
        <v>5588.0830181845758</v>
      </c>
      <c r="FK25">
        <f>'TEA Revised Non EYZ'!EA25</f>
        <v>5626.1166349560426</v>
      </c>
      <c r="FL25">
        <f>'TEA Revised Non EYZ'!EB25</f>
        <v>850.54527945058942</v>
      </c>
      <c r="FM25">
        <f>'TEA Revised Non EYZ'!EC25</f>
        <v>36015.198107749915</v>
      </c>
      <c r="FN25">
        <f>'TEA Revised Non EYZ'!ED25</f>
        <v>31048.991563301424</v>
      </c>
      <c r="FO25">
        <f>'TEA Revised Non EYZ'!EE25</f>
        <v>13145.742395752615</v>
      </c>
      <c r="FP25">
        <f>'TEA Revised Non EYZ'!EF25</f>
        <v>6967.5177989581725</v>
      </c>
      <c r="FQ25">
        <f>'TEA Revised Non EYZ'!EG25</f>
        <v>7011.0626110680651</v>
      </c>
      <c r="FR25">
        <f>'TEA Revised Non EYZ'!EH25</f>
        <v>427.5461729575531</v>
      </c>
      <c r="FS25">
        <f>'TEA Revised Non EYZ'!EI25</f>
        <v>175169.7630852437</v>
      </c>
      <c r="FT25">
        <f>EG25*EH25</f>
        <v>2787.6854243457824</v>
      </c>
      <c r="FU25">
        <f>EG25*EI25</f>
        <v>4537.8622669638598</v>
      </c>
      <c r="FV25">
        <f>FC25*(FT25+FU25)/(3.6*10^6)*3600*7200*0.07</f>
        <v>1846.0380182100303</v>
      </c>
      <c r="FW25">
        <f>('CAPEX+OPEX'!$C$39/7/100+0.03)*EL25</f>
        <v>100602.06207251917</v>
      </c>
      <c r="FX25">
        <f>('CAPEX+OPEX'!$C$39/7/100+0.03)*EM25</f>
        <v>163762.48821718365</v>
      </c>
      <c r="FY25">
        <f>SUM(FV25:FX25)</f>
        <v>266210.58830791287</v>
      </c>
      <c r="FZ25">
        <f>FY25+FA25+FS25+EU25</f>
        <v>17441420.754073251</v>
      </c>
      <c r="GA25">
        <f>FZ25+EO25</f>
        <v>18414552.560514502</v>
      </c>
      <c r="GB25">
        <f>GA25/(BK25*60*7200)</f>
        <v>0.4262627907526505</v>
      </c>
      <c r="GC25">
        <f>'TEA Revised Non EYZ'!EM25/'TEA Revised Non EYZ'!EK25*GA25</f>
        <v>1426.1081205463381</v>
      </c>
      <c r="GD25">
        <f>'TEA Revised Non EYZ'!EN25/'TEA Revised Non EYZ'!EK25*GA25</f>
        <v>2613.0737260101523</v>
      </c>
    </row>
    <row r="26" spans="1:186">
      <c r="A26">
        <f>'TEA Revised Non EYZ'!A26</f>
        <v>5</v>
      </c>
      <c r="B26">
        <f>'TEA Revised Non EYZ'!B26</f>
        <v>1.54143585092054E-3</v>
      </c>
      <c r="C26">
        <f>'TEA Revised Non EYZ'!C26</f>
        <v>1.54143585092054E-3</v>
      </c>
      <c r="D26">
        <f>'TEA Revised Non EYZ'!D26</f>
        <v>3.4254130020456501E-4</v>
      </c>
      <c r="E26">
        <f>'TEA Revised Non EYZ'!E26</f>
        <v>0</v>
      </c>
      <c r="F26">
        <f>'TEA Revised Non EYZ'!F26</f>
        <v>0</v>
      </c>
      <c r="G26">
        <f>'TEA Revised Non EYZ'!G26</f>
        <v>0</v>
      </c>
      <c r="H26">
        <f>'TEA Revised Non EYZ'!H26</f>
        <v>1.7558377832426001E-5</v>
      </c>
      <c r="I26">
        <f>'TEA Revised Non EYZ'!I26</f>
        <v>1.05063644964669E-7</v>
      </c>
      <c r="J26">
        <f>'TEA Revised Non EYZ'!J26</f>
        <v>3.35605387572801E-4</v>
      </c>
      <c r="K26">
        <f>'TEA Revised Non EYZ'!K26</f>
        <v>0.12557893497872399</v>
      </c>
      <c r="L26">
        <f>'TEA Revised Non EYZ'!L26</f>
        <v>0.12701721899235199</v>
      </c>
      <c r="M26">
        <f>'TEA Revised Non EYZ'!M26</f>
        <v>5.7157122982957897E-4</v>
      </c>
      <c r="N26">
        <f>'TEA Revised Non EYZ'!N26</f>
        <v>-1.88000656708986E-16</v>
      </c>
      <c r="O26">
        <f>'TEA Revised Non EYZ'!O26</f>
        <v>-6.2354635343986299E-15</v>
      </c>
      <c r="P26">
        <f>'TEA Revised Non EYZ'!P26</f>
        <v>-1.51703600853245E-18</v>
      </c>
      <c r="Q26">
        <f>'TEA Revised Non EYZ'!Q26</f>
        <v>0.121348176216534</v>
      </c>
      <c r="R26">
        <f>'TEA Revised Non EYZ'!R26</f>
        <v>97.975160184298204</v>
      </c>
      <c r="S26">
        <f>'TEA Revised Non EYZ'!S26</f>
        <v>500</v>
      </c>
      <c r="T26">
        <f>'TEA Revised Non EYZ'!T26</f>
        <v>95</v>
      </c>
      <c r="U26">
        <f>'TEA Revised Non EYZ'!U26</f>
        <v>1</v>
      </c>
      <c r="V26">
        <f>'TEA Revised Non EYZ'!V26</f>
        <v>0.1</v>
      </c>
      <c r="W26">
        <f>'TEA Revised Non EYZ'!W26</f>
        <v>82.407501388038199</v>
      </c>
      <c r="X26" t="str">
        <f>'TEA Revised Non EYZ'!X26</f>
        <v>ddFc</v>
      </c>
      <c r="Y26">
        <f>'TEA Revised Non EYZ'!Y26</f>
        <v>1</v>
      </c>
      <c r="Z26">
        <f>'TEA Revised Non EYZ'!Z26</f>
        <v>0.28318429382522198</v>
      </c>
      <c r="AA26">
        <f>'TEA Revised Non EYZ'!AA26</f>
        <v>0.56945642916197003</v>
      </c>
      <c r="AB26">
        <f>'TEA Revised Non EYZ'!AB26</f>
        <v>3.7698628972227502E-3</v>
      </c>
      <c r="AC26">
        <f>'TEA Revised Non EYZ'!AC26</f>
        <v>1822.2107908876901</v>
      </c>
      <c r="AD26">
        <f>'TEA Revised Non EYZ'!AD26</f>
        <v>2662.6059073104898</v>
      </c>
      <c r="AE26">
        <f>'TEA Revised Non EYZ'!AE26</f>
        <v>2401.5030938442701</v>
      </c>
      <c r="AF26">
        <f>'TEA Revised Non EYZ'!AF26</f>
        <v>8</v>
      </c>
      <c r="AG26">
        <f>'TEA Revised Non EYZ'!AG26</f>
        <v>1.64912412966352E-3</v>
      </c>
      <c r="AH26">
        <f>'TEA Revised Non EYZ'!AH26</f>
        <v>1.66801192221077E-3</v>
      </c>
      <c r="AI26">
        <f>'TEA Revised Non EYZ'!AI26</f>
        <v>7.5059714998626504E-6</v>
      </c>
      <c r="AJ26">
        <f>'TEA Revised Non EYZ'!AJ26</f>
        <v>0</v>
      </c>
      <c r="AK26">
        <f>'TEA Revised Non EYZ'!AK26</f>
        <v>0</v>
      </c>
      <c r="AL26">
        <f>'TEA Revised Non EYZ'!AL26</f>
        <v>0</v>
      </c>
      <c r="AM26">
        <f>'TEA Revised Non EYZ'!AM26</f>
        <v>1.6120834525789199E-3</v>
      </c>
      <c r="AN26">
        <f>'TEA Revised Non EYZ'!AN26</f>
        <v>7.7390029362408002E-5</v>
      </c>
      <c r="AO26">
        <f>'TEA Revised Non EYZ'!AO26</f>
        <v>7.4564681417452103E-6</v>
      </c>
      <c r="AP26">
        <f>'TEA Revised Non EYZ'!AP26</f>
        <v>1.73464665743558E-3</v>
      </c>
      <c r="AQ26">
        <f>'TEA Revised Non EYZ'!AQ26</f>
        <v>7.4490186842272293E-2</v>
      </c>
      <c r="AR26">
        <f>'TEA Revised Non EYZ'!AR26</f>
        <v>2.3182846935160901E-6</v>
      </c>
      <c r="AS26">
        <f>'TEA Revised Non EYZ'!AS26</f>
        <v>1.3007864642193499E-14</v>
      </c>
      <c r="AT26">
        <f>'TEA Revised Non EYZ'!AT26</f>
        <v>-3.2357883733569101E-12</v>
      </c>
      <c r="AU26">
        <f>'TEA Revised Non EYZ'!AU26</f>
        <v>1.045225422022E-19</v>
      </c>
      <c r="AV26">
        <f>'TEA Revised Non EYZ'!AV26</f>
        <v>0.19731704180288601</v>
      </c>
      <c r="AW26">
        <f>'TEA Revised Non EYZ'!AW26</f>
        <v>99.340480334646202</v>
      </c>
      <c r="AX26">
        <f>'TEA Revised Non EYZ'!AX26</f>
        <v>500</v>
      </c>
      <c r="AY26">
        <f>'TEA Revised Non EYZ'!AY26</f>
        <v>95</v>
      </c>
      <c r="AZ26">
        <f>'TEA Revised Non EYZ'!AZ26</f>
        <v>0.92405262022284995</v>
      </c>
      <c r="BA26">
        <f>'TEA Revised Non EYZ'!BA26</f>
        <v>0.1</v>
      </c>
      <c r="BB26">
        <f>'TEA Revised Non EYZ'!BB26</f>
        <v>46.830857171776799</v>
      </c>
      <c r="BC26" t="str">
        <f>'TEA Revised Non EYZ'!BC26</f>
        <v>coeFc</v>
      </c>
      <c r="BD26">
        <f>'TEA Revised Non EYZ'!BD26</f>
        <v>1</v>
      </c>
      <c r="BE26">
        <f>'TEA Revised Non EYZ'!BE26</f>
        <v>1.8775014999999999E-2</v>
      </c>
      <c r="BF26">
        <f>'TEA Revised Non EYZ'!BF26</f>
        <v>0.10492961100000001</v>
      </c>
      <c r="BG26">
        <f>'TEA Revised Non EYZ'!BG26</f>
        <v>1.814625E-3</v>
      </c>
      <c r="BH26">
        <f>'TEA Revised Non EYZ'!BH26</f>
        <v>285.1951444</v>
      </c>
      <c r="BI26">
        <f>'TEA Revised Non EYZ'!BI26</f>
        <v>2169.8944889999998</v>
      </c>
      <c r="BJ26">
        <f>'TEA Revised Non EYZ'!BJ26</f>
        <v>866.49409060000005</v>
      </c>
      <c r="BK26">
        <f>'TEA Revised Non EYZ'!BK26</f>
        <v>100</v>
      </c>
      <c r="BL26">
        <f>'TEA Revised Non EYZ'!BL26</f>
        <v>12.134817621653401</v>
      </c>
      <c r="BM26">
        <f>'TEA Revised Non EYZ'!BM26</f>
        <v>92.405262022285001</v>
      </c>
      <c r="BN26">
        <f>'TEA Revised Non EYZ'!BN26</f>
        <v>19.731704180288602</v>
      </c>
      <c r="BO26">
        <f>'TEA Revised Non EYZ'!BO26</f>
        <v>169.88744670314762</v>
      </c>
      <c r="BP26">
        <f>'TEA Revised Non EYZ'!BP26</f>
        <v>394.63408360577205</v>
      </c>
      <c r="BQ26">
        <f>'TEA Revised Non EYZ'!BQ26</f>
        <v>16.988744670314762</v>
      </c>
      <c r="BR26">
        <f>'TEA Revised Non EYZ'!BR26</f>
        <v>39.463408360577205</v>
      </c>
      <c r="BS26">
        <f>'eLLE Bals'!CF26</f>
        <v>7.2808905729920399</v>
      </c>
      <c r="BT26">
        <f>'eLLE Bals'!CG26</f>
        <v>11.83902250817316</v>
      </c>
      <c r="BU26">
        <f>BM26</f>
        <v>92.405262022285001</v>
      </c>
      <c r="BV26">
        <f>BU26*(AM26*2+AN26*2+AO26*3)</f>
        <v>0.3142995302341775</v>
      </c>
      <c r="BW26">
        <f>BN26*BA26*(AP26*2+AQ26*2+AR26*3)</f>
        <v>0.30082289627393122</v>
      </c>
      <c r="BX26">
        <f>BV26/(2*V26*BL26+BV26)</f>
        <v>0.11465500536724985</v>
      </c>
      <c r="BY26">
        <f>BU26*BX26</f>
        <v>10.594725813127216</v>
      </c>
      <c r="BZ26">
        <f>BW26/(2*BN26*BA26+BW26)</f>
        <v>7.0829126266997569E-2</v>
      </c>
      <c r="CA26">
        <f>2*BN26*BA26/0.04</f>
        <v>98.658520901443012</v>
      </c>
      <c r="CB26">
        <f>(BS26+BL26)*2</f>
        <v>38.831416389290879</v>
      </c>
      <c r="CC26">
        <f>(BU26+BL26)*2</f>
        <v>209.0801592878768</v>
      </c>
      <c r="CD26">
        <f>(BT26+BN26)*2</f>
        <v>63.141453376923522</v>
      </c>
      <c r="CE26">
        <f>(CA26+BN26)*2</f>
        <v>236.78045016346323</v>
      </c>
      <c r="CF26">
        <f>'TEA Revised Non EYZ'!CB26</f>
        <v>2242.5142964815486</v>
      </c>
      <c r="CG26">
        <f>'TEA Revised Non EYZ'!CC26</f>
        <v>5209.1699035961919</v>
      </c>
      <c r="CH26">
        <f>'TEA Revised Non EYZ'!CD26</f>
        <v>2709.3726906065185</v>
      </c>
      <c r="CI26">
        <f>'TEA Revised Non EYZ'!CE26</f>
        <v>40178.790448609281</v>
      </c>
      <c r="CJ26">
        <f>BL26*V26</f>
        <v>1.2134817621653402</v>
      </c>
      <c r="CK26">
        <f>CJ26/2*1.2</f>
        <v>0.72808905729920415</v>
      </c>
      <c r="CL26">
        <f>'eLLE Bals'!CB26*'Oxidant Feed Composition'!$N$20</f>
        <v>4.0449392072178021E-2</v>
      </c>
      <c r="CM26">
        <f>'eLLE Bals'!CB26*'Oxidant Feed Composition'!$N$21</f>
        <v>2.0224696036089003</v>
      </c>
      <c r="CN26">
        <f>'eLLE Bals'!CB26*'Oxidant Feed Composition'!$N$22</f>
        <v>0.6067408810826701</v>
      </c>
      <c r="CO26">
        <f>CN26/CK26</f>
        <v>0.83333333333333326</v>
      </c>
      <c r="CP26">
        <f>CO26</f>
        <v>0.83333333333333326</v>
      </c>
      <c r="CQ26">
        <f>CL26/CO26</f>
        <v>4.8539270486613627E-2</v>
      </c>
      <c r="CR26">
        <f>CM26/CO26</f>
        <v>2.4269635243306804</v>
      </c>
      <c r="CS26">
        <f>BN26*BA26</f>
        <v>1.9731704180288603</v>
      </c>
      <c r="CT26">
        <f>CS26/2*1.2</f>
        <v>1.183902250817316</v>
      </c>
      <c r="CU26">
        <f>'eLLE Bals'!CC26*'Oxidant Feed Composition'!$N$20</f>
        <v>6.5772347267628706E-2</v>
      </c>
      <c r="CV26">
        <f>'eLLE Bals'!CC26*'Oxidant Feed Composition'!$N$21</f>
        <v>3.2886173633814342</v>
      </c>
      <c r="CW26">
        <f>'eLLE Bals'!CC26*'Oxidant Feed Composition'!$N$22</f>
        <v>0.98658520901443014</v>
      </c>
      <c r="CX26">
        <f>CU26/CP26</f>
        <v>7.8926816721154452E-2</v>
      </c>
      <c r="CY26">
        <f>CV26/CP26</f>
        <v>3.9463408360577215</v>
      </c>
      <c r="CZ26">
        <f>CJ26</f>
        <v>1.2134817621653402</v>
      </c>
      <c r="DA26">
        <f>'eLLE Bals'!BQ26</f>
        <v>2.4269635243306804</v>
      </c>
      <c r="DB26">
        <f>'eLLE Bals'!BU26</f>
        <v>6.9433208460780644</v>
      </c>
      <c r="DC26">
        <f>CS26</f>
        <v>1.9731704180288603</v>
      </c>
      <c r="DD26">
        <f>'eLLE Bals'!BX26</f>
        <v>3.9463408360577206</v>
      </c>
      <c r="DE26">
        <f>'eLLE Bals'!CA26</f>
        <v>21.938666899781854</v>
      </c>
      <c r="DF26">
        <f>2*2*(CJ26*'Reagent cost'!$C$36*122.44/1000+CK26*'Oxidant Feed Composition'!$N$26+CQ26*'Reagent cost'!$C$34+CR26*'Reagent cost'!$C$35)</f>
        <v>102.50002761552031</v>
      </c>
      <c r="DG26">
        <f>2*2*(CS26*'Reagent cost'!$C$36*122.44/1000+CT26*'Oxidant Feed Composition'!$N$26+CX26*'Reagent cost'!$C$34+CY26*'Reagent cost'!$C$35)</f>
        <v>166.66918996556686</v>
      </c>
      <c r="DH26">
        <f>(AF26+3)*2*(CZ26*'Reagent cost'!$C$38+DA26*'Reagent cost'!$C$39+DB26*'Reagent cost'!$C$36*122.44/1000)</f>
        <v>1439.8161876169277</v>
      </c>
      <c r="DI26">
        <f>3*2*(DC26*'Reagent cost'!$C$38+DD26*'Reagent cost'!$C$39+DE26*'Reagent cost'!$C$36*122.44/1000)</f>
        <v>1190.9584484574636</v>
      </c>
      <c r="DJ26">
        <f>7963.6*(CB26/1000)^0.6*1.7*('CAPEX+OPEX'!$G$116/'CAPEX+OPEX'!$G$115)</f>
        <v>2273.7926954959794</v>
      </c>
      <c r="DK26">
        <f>7963.6*(CC26/1000)^0.6*1.7*('CAPEX+OPEX'!$G$116/'CAPEX+OPEX'!$G$115)</f>
        <v>6243.5072626595684</v>
      </c>
      <c r="DL26">
        <f>7963.6*(CD26/1000)^0.6*1.7*('CAPEX+OPEX'!$G$116/'CAPEX+OPEX'!$G$115)</f>
        <v>3043.8950358731904</v>
      </c>
      <c r="DM26">
        <f>7963.6*(CE26/1000)^0.6*1.7*('CAPEX+OPEX'!$G$116/'CAPEX+OPEX'!$G$115)</f>
        <v>6727.4183116491677</v>
      </c>
      <c r="DN26">
        <f>'TEA Revised Non EYZ'!CM26</f>
        <v>39625.826528698344</v>
      </c>
      <c r="DO26">
        <f>'TEA Revised Non EYZ'!CN26</f>
        <v>4586243.4239371875</v>
      </c>
      <c r="DP26">
        <f>'TEA Revised Non EYZ'!CO26</f>
        <v>11794834.586807497</v>
      </c>
      <c r="DQ26">
        <f>'TEA Revised Non EYZ'!CP26</f>
        <v>2275209.1661185985</v>
      </c>
      <c r="DR26">
        <f>'TEA Revised Non EYZ'!CQ26</f>
        <v>14083914.336508472</v>
      </c>
      <c r="DS26">
        <f>'TEA Revised Non EYZ'!CR26</f>
        <v>1662824.8986326549</v>
      </c>
      <c r="DT26">
        <f>'TEA Revised Non EYZ'!CS26</f>
        <v>589054.93036564998</v>
      </c>
      <c r="DU26">
        <f>'TEA Revised Non EYZ'!CT26</f>
        <v>1514922.9606835202</v>
      </c>
      <c r="DV26">
        <f>'TEA Revised Non EYZ'!CU26</f>
        <v>292226.78628879401</v>
      </c>
      <c r="DW26">
        <f>'TEA Revised Non EYZ'!CV26</f>
        <v>1808931.2781495745</v>
      </c>
      <c r="DX26">
        <f>'TEA Revised Non EYZ'!CW26</f>
        <v>213572.44139332071</v>
      </c>
      <c r="DY26">
        <f>'TEA Revised Non EYZ'!CX26</f>
        <v>4418708.3968808586</v>
      </c>
      <c r="DZ26">
        <f>'TEA Revised Non EYZ'!CY26</f>
        <v>709761.0732627036</v>
      </c>
      <c r="EA26">
        <f>'TEA Revised Non EYZ'!CZ26</f>
        <v>1825353.2753178168</v>
      </c>
      <c r="EB26">
        <f>'TEA Revised Non EYZ'!DA26</f>
        <v>352108.41430984496</v>
      </c>
      <c r="EC26">
        <f>'TEA Revised Non EYZ'!DB26</f>
        <v>2179608.2831204594</v>
      </c>
      <c r="ED26">
        <f>'TEA Revised Non EYZ'!DC26</f>
        <v>257336.62076058687</v>
      </c>
      <c r="EE26">
        <f>'TEA Revised Non EYZ'!DD26</f>
        <v>5324167.6667714119</v>
      </c>
      <c r="EF26">
        <v>0.7</v>
      </c>
      <c r="EG26">
        <v>100</v>
      </c>
      <c r="EH26">
        <f>96485*BL26*V26/EF26/EG26/60</f>
        <v>27.876854243457824</v>
      </c>
      <c r="EI26">
        <f>96485*BN26*BA26/EF26/EG26/60</f>
        <v>45.328892329408241</v>
      </c>
      <c r="EJ26">
        <f>EH26*('CAPEX+OPEX'!$O$25+'CAPEX+OPEX'!$O$26)</f>
        <v>888491.09844748781</v>
      </c>
      <c r="EK26">
        <f>EI26*('CAPEX+OPEX'!$O$25+'CAPEX+OPEX'!$O$26)</f>
        <v>1444722.4563228996</v>
      </c>
      <c r="EL26">
        <f>EJ26*1.12/0.6*'CAPEX+OPEX'!$G$116/'CAPEX+OPEX'!$G$115</f>
        <v>1956151.2069656507</v>
      </c>
      <c r="EM26">
        <f>EK26*1.12/0.6*'CAPEX+OPEX'!$G$116/'CAPEX+OPEX'!$G$115</f>
        <v>3180780.9685483859</v>
      </c>
      <c r="EN26">
        <f>EL26+EM26+DY26+EE26+1.15*(SUM(DF26:DM26)+SUM(CF26:CI26))</f>
        <v>14962065.904339729</v>
      </c>
      <c r="EO26">
        <f>EN26/15</f>
        <v>997471.0602893153</v>
      </c>
      <c r="EP26">
        <f>('eLLE Bals'!CB26+'eLLE Bals'!CC26)*'Oxidant Feed Composition'!$N$25*60*7200</f>
        <v>12831902.663229167</v>
      </c>
      <c r="EQ26" s="83">
        <f>('eLLE Bals'!BR26+'eLLE Bals'!BY26)*'Reagent cost'!$C$38*60*7200</f>
        <v>508896.94227220549</v>
      </c>
      <c r="ER26">
        <f>'TEA Revised Non EYZ'!DI26</f>
        <v>504921.59999999998</v>
      </c>
      <c r="ES26">
        <f>'TEA Revised Non EYZ'!DJ26</f>
        <v>74.516842000777402</v>
      </c>
      <c r="ET26">
        <f>'TEA Revised Non EYZ'!DK26</f>
        <v>857.763262784316</v>
      </c>
      <c r="EU26">
        <f>1.2*SUM(EP26:ET26)</f>
        <v>16615984.182727387</v>
      </c>
      <c r="EV26">
        <f>'TEA Revised Non EYZ'!DM26</f>
        <v>0.70639694042110623</v>
      </c>
      <c r="EW26">
        <f>(BS26*CO26+BT26*CP26)/1000*('Oxidant Feed Composition'!$B$11*'Oxidant Feed Composition'!$O$20+'Oxidant Feed Composition'!$D$11*'Oxidant Feed Composition'!$O$21+'Oxidant Feed Composition'!$F$11*'Oxidant Feed Composition'!$O$27-'Oxidant Feed Composition'!$J$15*18.015)</f>
        <v>1.8607585450198836</v>
      </c>
      <c r="EX26">
        <f>(CZ26*BX26+DC26*BZ26)*368.34/1000</f>
        <v>0.10272623012332829</v>
      </c>
      <c r="EY26">
        <f>'TEA Revised Non EYZ'!DP26</f>
        <v>4.999938342565946E-2</v>
      </c>
      <c r="EZ26">
        <f>SUM(EV26:EX26)-EY26</f>
        <v>2.6198823321386588</v>
      </c>
      <c r="FA26">
        <f>EZ26*0.33*60*7200</f>
        <v>373490.42526968726</v>
      </c>
      <c r="FB26">
        <f>'TEA Revised Non EYZ'!DS26</f>
        <v>1.2</v>
      </c>
      <c r="FC26">
        <v>0.5</v>
      </c>
      <c r="FD26">
        <f>'TEA Revised Non EYZ'!DT26</f>
        <v>1406.4515484627877</v>
      </c>
      <c r="FE26">
        <f>'TEA Revised Non EYZ'!DU26</f>
        <v>706.79490200313717</v>
      </c>
      <c r="FF26">
        <f>'TEA Revised Non EYZ'!DV26</f>
        <v>0.7</v>
      </c>
      <c r="FG26">
        <f>'TEA Revised Non EYZ'!DW26</f>
        <v>33024.331428945443</v>
      </c>
      <c r="FH26">
        <f>'TEA Revised Non EYZ'!DX26</f>
        <v>24915.659383376755</v>
      </c>
      <c r="FI26">
        <f>'TEA Revised Non EYZ'!DY26</f>
        <v>10548.968690542577</v>
      </c>
      <c r="FJ26">
        <f>'TEA Revised Non EYZ'!DZ26</f>
        <v>5588.0830181845758</v>
      </c>
      <c r="FK26">
        <f>'TEA Revised Non EYZ'!EA26</f>
        <v>5626.1166349560426</v>
      </c>
      <c r="FL26">
        <f>'TEA Revised Non EYZ'!EB26</f>
        <v>850.62189651029416</v>
      </c>
      <c r="FM26">
        <f>'TEA Revised Non EYZ'!EC26</f>
        <v>38587.712258303472</v>
      </c>
      <c r="FN26">
        <f>'TEA Revised Non EYZ'!ED26</f>
        <v>34930.115508714101</v>
      </c>
      <c r="FO26">
        <f>'TEA Revised Non EYZ'!EE26</f>
        <v>14788.960195221691</v>
      </c>
      <c r="FP26">
        <f>'TEA Revised Non EYZ'!EF26</f>
        <v>7838.4575238279431</v>
      </c>
      <c r="FQ26">
        <f>'TEA Revised Non EYZ'!EG26</f>
        <v>7887.4454374515717</v>
      </c>
      <c r="FR26">
        <f>'TEA Revised Non EYZ'!EH26</f>
        <v>427.46955673149739</v>
      </c>
      <c r="FS26">
        <f>'TEA Revised Non EYZ'!EI26</f>
        <v>185013.94153276595</v>
      </c>
      <c r="FT26">
        <f>EG26*EH26</f>
        <v>2787.6854243457824</v>
      </c>
      <c r="FU26">
        <f>EG26*EI26</f>
        <v>4532.8892329408245</v>
      </c>
      <c r="FV26">
        <f>FC26*(FT26+FU26)/(3.6*10^6)*3600*7200*0.07</f>
        <v>1844.7848136362252</v>
      </c>
      <c r="FW26">
        <f>('CAPEX+OPEX'!$C$39/7/100+0.03)*EL26</f>
        <v>100602.06207251917</v>
      </c>
      <c r="FX26">
        <f>('CAPEX+OPEX'!$C$39/7/100+0.03)*EM26</f>
        <v>163583.02123963129</v>
      </c>
      <c r="FY26">
        <f>SUM(FV26:FX26)</f>
        <v>266029.86812578666</v>
      </c>
      <c r="FZ26">
        <f>FY26+FA26+FS26+EU26</f>
        <v>17440518.417655628</v>
      </c>
      <c r="GA26">
        <f>FZ26+EO26</f>
        <v>18437989.477944944</v>
      </c>
      <c r="GB26">
        <f>GA26/(BK26*60*7200)</f>
        <v>0.42680531198946631</v>
      </c>
      <c r="GC26">
        <f>'TEA Revised Non EYZ'!EM26/'TEA Revised Non EYZ'!EK26*GA26</f>
        <v>1427.7944559270968</v>
      </c>
      <c r="GD26">
        <f>'TEA Revised Non EYZ'!EN26/'TEA Revised Non EYZ'!EK26*GA26</f>
        <v>2616.8317782765971</v>
      </c>
    </row>
    <row r="27" spans="1:186">
      <c r="A27">
        <f>'TEA Revised Non EYZ'!A27</f>
        <v>5</v>
      </c>
      <c r="B27">
        <f>'TEA Revised Non EYZ'!B27</f>
        <v>1.54143585092054E-3</v>
      </c>
      <c r="C27">
        <f>'TEA Revised Non EYZ'!C27</f>
        <v>1.54143585092054E-3</v>
      </c>
      <c r="D27">
        <f>'TEA Revised Non EYZ'!D27</f>
        <v>3.4254130020456501E-4</v>
      </c>
      <c r="E27">
        <f>'TEA Revised Non EYZ'!E27</f>
        <v>0</v>
      </c>
      <c r="F27">
        <f>'TEA Revised Non EYZ'!F27</f>
        <v>0</v>
      </c>
      <c r="G27">
        <f>'TEA Revised Non EYZ'!G27</f>
        <v>0</v>
      </c>
      <c r="H27">
        <f>'TEA Revised Non EYZ'!H27</f>
        <v>1.7558377832426001E-5</v>
      </c>
      <c r="I27">
        <f>'TEA Revised Non EYZ'!I27</f>
        <v>1.05063644964669E-7</v>
      </c>
      <c r="J27">
        <f>'TEA Revised Non EYZ'!J27</f>
        <v>3.35605387572801E-4</v>
      </c>
      <c r="K27">
        <f>'TEA Revised Non EYZ'!K27</f>
        <v>0.12557893497872399</v>
      </c>
      <c r="L27">
        <f>'TEA Revised Non EYZ'!L27</f>
        <v>0.12701721899235199</v>
      </c>
      <c r="M27">
        <f>'TEA Revised Non EYZ'!M27</f>
        <v>5.7157122982957897E-4</v>
      </c>
      <c r="N27">
        <f>'TEA Revised Non EYZ'!N27</f>
        <v>-1.88000656708986E-16</v>
      </c>
      <c r="O27">
        <f>'TEA Revised Non EYZ'!O27</f>
        <v>-6.2354635343986299E-15</v>
      </c>
      <c r="P27">
        <f>'TEA Revised Non EYZ'!P27</f>
        <v>-1.51703600853245E-18</v>
      </c>
      <c r="Q27">
        <f>'TEA Revised Non EYZ'!Q27</f>
        <v>0.121348176216534</v>
      </c>
      <c r="R27">
        <f>'TEA Revised Non EYZ'!R27</f>
        <v>97.975160184298204</v>
      </c>
      <c r="S27">
        <f>'TEA Revised Non EYZ'!S27</f>
        <v>500</v>
      </c>
      <c r="T27">
        <f>'TEA Revised Non EYZ'!T27</f>
        <v>95</v>
      </c>
      <c r="U27">
        <f>'TEA Revised Non EYZ'!U27</f>
        <v>1</v>
      </c>
      <c r="V27">
        <f>'TEA Revised Non EYZ'!V27</f>
        <v>0.1</v>
      </c>
      <c r="W27">
        <f>'TEA Revised Non EYZ'!W27</f>
        <v>82.407501388038199</v>
      </c>
      <c r="X27" t="str">
        <f>'TEA Revised Non EYZ'!X27</f>
        <v>ddFc</v>
      </c>
      <c r="Y27">
        <f>'TEA Revised Non EYZ'!Y27</f>
        <v>1</v>
      </c>
      <c r="Z27">
        <f>'TEA Revised Non EYZ'!Z27</f>
        <v>0.28318429382522198</v>
      </c>
      <c r="AA27">
        <f>'TEA Revised Non EYZ'!AA27</f>
        <v>0.56945642916197003</v>
      </c>
      <c r="AB27">
        <f>'TEA Revised Non EYZ'!AB27</f>
        <v>3.7698628972227502E-3</v>
      </c>
      <c r="AC27">
        <f>'TEA Revised Non EYZ'!AC27</f>
        <v>1822.2107908876901</v>
      </c>
      <c r="AD27">
        <f>'TEA Revised Non EYZ'!AD27</f>
        <v>2662.6059073104898</v>
      </c>
      <c r="AE27">
        <f>'TEA Revised Non EYZ'!AE27</f>
        <v>2401.5030938442701</v>
      </c>
      <c r="AF27">
        <f>'TEA Revised Non EYZ'!AF27</f>
        <v>9</v>
      </c>
      <c r="AG27">
        <f>'TEA Revised Non EYZ'!AG27</f>
        <v>1.64912412966352E-3</v>
      </c>
      <c r="AH27">
        <f>'TEA Revised Non EYZ'!AH27</f>
        <v>1.66801192221077E-3</v>
      </c>
      <c r="AI27">
        <f>'TEA Revised Non EYZ'!AI27</f>
        <v>7.5059714998626504E-6</v>
      </c>
      <c r="AJ27">
        <f>'TEA Revised Non EYZ'!AJ27</f>
        <v>0</v>
      </c>
      <c r="AK27">
        <f>'TEA Revised Non EYZ'!AK27</f>
        <v>0</v>
      </c>
      <c r="AL27">
        <f>'TEA Revised Non EYZ'!AL27</f>
        <v>0</v>
      </c>
      <c r="AM27">
        <f>'TEA Revised Non EYZ'!AM27</f>
        <v>1.6121246149811801E-3</v>
      </c>
      <c r="AN27">
        <f>'TEA Revised Non EYZ'!AN27</f>
        <v>7.7392143035352694E-5</v>
      </c>
      <c r="AO27">
        <f>'TEA Revised Non EYZ'!AO27</f>
        <v>7.4565208744733498E-6</v>
      </c>
      <c r="AP27">
        <f>'TEA Revised Non EYZ'!AP27</f>
        <v>1.73325760784225E-3</v>
      </c>
      <c r="AQ27">
        <f>'TEA Revised Non EYZ'!AQ27</f>
        <v>7.4513243137229707E-2</v>
      </c>
      <c r="AR27">
        <f>'TEA Revised Non EYZ'!AR27</f>
        <v>2.3165350520080302E-6</v>
      </c>
      <c r="AS27">
        <f>'TEA Revised Non EYZ'!AS27</f>
        <v>1.36270660554271E-16</v>
      </c>
      <c r="AT27">
        <f>'TEA Revised Non EYZ'!AT27</f>
        <v>-1.76959141784394E-14</v>
      </c>
      <c r="AU27">
        <f>'TEA Revised Non EYZ'!AU27</f>
        <v>-3.3351922298138001E-21</v>
      </c>
      <c r="AV27">
        <f>'TEA Revised Non EYZ'!AV27</f>
        <v>0.19725572433293401</v>
      </c>
      <c r="AW27">
        <f>'TEA Revised Non EYZ'!AW27</f>
        <v>99.341182878322797</v>
      </c>
      <c r="AX27">
        <f>'TEA Revised Non EYZ'!AX27</f>
        <v>500</v>
      </c>
      <c r="AY27">
        <f>'TEA Revised Non EYZ'!AY27</f>
        <v>95</v>
      </c>
      <c r="AZ27">
        <f>'TEA Revised Non EYZ'!AZ27</f>
        <v>0.92405262022284995</v>
      </c>
      <c r="BA27">
        <f>'TEA Revised Non EYZ'!BA27</f>
        <v>0.1</v>
      </c>
      <c r="BB27">
        <f>'TEA Revised Non EYZ'!BB27</f>
        <v>46.8454146690923</v>
      </c>
      <c r="BC27" t="str">
        <f>'TEA Revised Non EYZ'!BC27</f>
        <v>coeFc</v>
      </c>
      <c r="BD27">
        <f>'TEA Revised Non EYZ'!BD27</f>
        <v>1</v>
      </c>
      <c r="BE27">
        <f>'TEA Revised Non EYZ'!BE27</f>
        <v>1.8775014999999999E-2</v>
      </c>
      <c r="BF27">
        <f>'TEA Revised Non EYZ'!BF27</f>
        <v>0.10492961100000001</v>
      </c>
      <c r="BG27">
        <f>'TEA Revised Non EYZ'!BG27</f>
        <v>1.814625E-3</v>
      </c>
      <c r="BH27">
        <f>'TEA Revised Non EYZ'!BH27</f>
        <v>285.1951444</v>
      </c>
      <c r="BI27">
        <f>'TEA Revised Non EYZ'!BI27</f>
        <v>2169.8944889999998</v>
      </c>
      <c r="BJ27">
        <f>'TEA Revised Non EYZ'!BJ27</f>
        <v>866.49409060000005</v>
      </c>
      <c r="BK27">
        <f>'TEA Revised Non EYZ'!BK27</f>
        <v>100</v>
      </c>
      <c r="BL27">
        <f>'TEA Revised Non EYZ'!BL27</f>
        <v>12.134817621653401</v>
      </c>
      <c r="BM27">
        <f>'TEA Revised Non EYZ'!BM27</f>
        <v>92.405262022285001</v>
      </c>
      <c r="BN27">
        <f>'TEA Revised Non EYZ'!BN27</f>
        <v>19.725572433293401</v>
      </c>
      <c r="BO27">
        <f>'TEA Revised Non EYZ'!BO27</f>
        <v>169.88744670314762</v>
      </c>
      <c r="BP27">
        <f>'TEA Revised Non EYZ'!BP27</f>
        <v>433.96259353245483</v>
      </c>
      <c r="BQ27">
        <f>'TEA Revised Non EYZ'!BQ27</f>
        <v>16.988744670314762</v>
      </c>
      <c r="BR27">
        <f>'TEA Revised Non EYZ'!BR27</f>
        <v>43.396259353245483</v>
      </c>
      <c r="BS27">
        <f>'eLLE Bals'!CF27</f>
        <v>7.2808905729920399</v>
      </c>
      <c r="BT27">
        <f>'eLLE Bals'!CG27</f>
        <v>11.835343459976039</v>
      </c>
      <c r="BU27">
        <f>BM27</f>
        <v>92.405262022285001</v>
      </c>
      <c r="BV27">
        <f>BU27*(AM27*2+AN27*2+AO27*3)</f>
        <v>0.31430754272665945</v>
      </c>
      <c r="BW27">
        <f>BN27*BA27*(AP27*2+AQ27*2+AR27*3)</f>
        <v>0.300814883140404</v>
      </c>
      <c r="BX27">
        <f>BV27/(2*V27*BL27+BV27)</f>
        <v>0.11465759315223714</v>
      </c>
      <c r="BY27">
        <f>BU27*BX27</f>
        <v>10.594964938077023</v>
      </c>
      <c r="BZ27">
        <f>BW27/(2*BN27*BA27+BW27)</f>
        <v>7.0847830225362049E-2</v>
      </c>
      <c r="CA27">
        <f>2*BN27*BA27/0.04</f>
        <v>98.627862166467011</v>
      </c>
      <c r="CB27">
        <f>(BS27+BL27)*2</f>
        <v>38.831416389290879</v>
      </c>
      <c r="CC27">
        <f>(BU27+BL27)*2</f>
        <v>209.0801592878768</v>
      </c>
      <c r="CD27">
        <f>(BT27+BN27)*2</f>
        <v>63.121831786538877</v>
      </c>
      <c r="CE27">
        <f>(CA27+BN27)*2</f>
        <v>236.70686919952084</v>
      </c>
      <c r="CF27">
        <f>'TEA Revised Non EYZ'!CB27</f>
        <v>2242.5142964815486</v>
      </c>
      <c r="CG27">
        <f>'TEA Revised Non EYZ'!CC27</f>
        <v>5728.3062346284041</v>
      </c>
      <c r="CH27">
        <f>'TEA Revised Non EYZ'!CD27</f>
        <v>2709.3726906065185</v>
      </c>
      <c r="CI27">
        <f>'TEA Revised Non EYZ'!CE27</f>
        <v>44182.935109815946</v>
      </c>
      <c r="CJ27">
        <f>BL27*V27</f>
        <v>1.2134817621653402</v>
      </c>
      <c r="CK27">
        <f>CJ27/2*1.2</f>
        <v>0.72808905729920415</v>
      </c>
      <c r="CL27">
        <f>'eLLE Bals'!CB27*'Oxidant Feed Composition'!$N$20</f>
        <v>4.0449392072178021E-2</v>
      </c>
      <c r="CM27">
        <f>'eLLE Bals'!CB27*'Oxidant Feed Composition'!$N$21</f>
        <v>2.0224696036089003</v>
      </c>
      <c r="CN27">
        <f>'eLLE Bals'!CB27*'Oxidant Feed Composition'!$N$22</f>
        <v>0.6067408810826701</v>
      </c>
      <c r="CO27">
        <f>CN27/CK27</f>
        <v>0.83333333333333326</v>
      </c>
      <c r="CP27">
        <f>CO27</f>
        <v>0.83333333333333326</v>
      </c>
      <c r="CQ27">
        <f>CL27/CO27</f>
        <v>4.8539270486613627E-2</v>
      </c>
      <c r="CR27">
        <f>CM27/CO27</f>
        <v>2.4269635243306804</v>
      </c>
      <c r="CS27">
        <f>BN27*BA27</f>
        <v>1.9725572433293401</v>
      </c>
      <c r="CT27">
        <f>CS27/2*1.2</f>
        <v>1.183534345997604</v>
      </c>
      <c r="CU27">
        <f>'eLLE Bals'!CC27*'Oxidant Feed Composition'!$N$20</f>
        <v>6.575190811097803E-2</v>
      </c>
      <c r="CV27">
        <f>'eLLE Bals'!CC27*'Oxidant Feed Composition'!$N$21</f>
        <v>3.2875954055489003</v>
      </c>
      <c r="CW27">
        <f>'eLLE Bals'!CC27*'Oxidant Feed Composition'!$N$22</f>
        <v>0.98627862166467006</v>
      </c>
      <c r="CX27">
        <f>CU27/CP27</f>
        <v>7.8902289733173647E-2</v>
      </c>
      <c r="CY27">
        <f>CV27/CP27</f>
        <v>3.9451144866586807</v>
      </c>
      <c r="CZ27">
        <f>CJ27</f>
        <v>1.2134817621653402</v>
      </c>
      <c r="DA27">
        <f>'eLLE Bals'!BQ27</f>
        <v>2.4269635243306804</v>
      </c>
      <c r="DB27">
        <f>'eLLE Bals'!BU27</f>
        <v>6.9430819689317742</v>
      </c>
      <c r="DC27">
        <f>CS27</f>
        <v>1.9725572433293401</v>
      </c>
      <c r="DD27">
        <f>'eLLE Bals'!BX27</f>
        <v>3.9451144866586803</v>
      </c>
      <c r="DE27">
        <f>'eLLE Bals'!CA27</f>
        <v>21.924497000582434</v>
      </c>
      <c r="DF27">
        <f>2*2*(CJ27*'Reagent cost'!$C$36*122.44/1000+CK27*'Oxidant Feed Composition'!$N$26+CQ27*'Reagent cost'!$C$34+CR27*'Reagent cost'!$C$35)</f>
        <v>102.50002761552031</v>
      </c>
      <c r="DG27">
        <f>2*2*(CS27*'Reagent cost'!$C$36*122.44/1000+CT27*'Oxidant Feed Composition'!$N$26+CX27*'Reagent cost'!$C$34+CY27*'Reagent cost'!$C$35)</f>
        <v>166.61739650183833</v>
      </c>
      <c r="DH27">
        <f>(AF27+3)*2*(CZ27*'Reagent cost'!$C$38+DA27*'Reagent cost'!$C$39+DB27*'Reagent cost'!$C$36*122.44/1000)</f>
        <v>1570.6589962594926</v>
      </c>
      <c r="DI27">
        <f>3*2*(DC27*'Reagent cost'!$C$38+DD27*'Reagent cost'!$C$39+DE27*'Reagent cost'!$C$36*122.44/1000)</f>
        <v>1190.2069102187832</v>
      </c>
      <c r="DJ27">
        <f>7963.6*(CB27/1000)^0.6*1.7*('CAPEX+OPEX'!$G$116/'CAPEX+OPEX'!$G$115)</f>
        <v>2273.7926954959794</v>
      </c>
      <c r="DK27">
        <f>7963.6*(CC27/1000)^0.6*1.7*('CAPEX+OPEX'!$G$116/'CAPEX+OPEX'!$G$115)</f>
        <v>6243.5072626595684</v>
      </c>
      <c r="DL27">
        <f>7963.6*(CD27/1000)^0.6*1.7*('CAPEX+OPEX'!$G$116/'CAPEX+OPEX'!$G$115)</f>
        <v>3043.3274552652783</v>
      </c>
      <c r="DM27">
        <f>7963.6*(CE27/1000)^0.6*1.7*('CAPEX+OPEX'!$G$116/'CAPEX+OPEX'!$G$115)</f>
        <v>6726.1638820022836</v>
      </c>
      <c r="DN27">
        <f>'TEA Revised Non EYZ'!CM27</f>
        <v>39625.826528698344</v>
      </c>
      <c r="DO27">
        <f>'TEA Revised Non EYZ'!CN27</f>
        <v>4586243.4239371875</v>
      </c>
      <c r="DP27">
        <f>'TEA Revised Non EYZ'!CO27</f>
        <v>11794834.586807497</v>
      </c>
      <c r="DQ27">
        <f>'TEA Revised Non EYZ'!CP27</f>
        <v>2275209.1661185985</v>
      </c>
      <c r="DR27">
        <f>'TEA Revised Non EYZ'!CQ27</f>
        <v>14083914.336508472</v>
      </c>
      <c r="DS27">
        <f>'TEA Revised Non EYZ'!CR27</f>
        <v>1662824.8986326549</v>
      </c>
      <c r="DT27">
        <f>'TEA Revised Non EYZ'!CS27</f>
        <v>589054.93036564998</v>
      </c>
      <c r="DU27">
        <f>'TEA Revised Non EYZ'!CT27</f>
        <v>1514922.9606835202</v>
      </c>
      <c r="DV27">
        <f>'TEA Revised Non EYZ'!CU27</f>
        <v>292226.78628879401</v>
      </c>
      <c r="DW27">
        <f>'TEA Revised Non EYZ'!CV27</f>
        <v>1808931.2781495745</v>
      </c>
      <c r="DX27">
        <f>'TEA Revised Non EYZ'!CW27</f>
        <v>213572.44139332071</v>
      </c>
      <c r="DY27">
        <f>'TEA Revised Non EYZ'!CX27</f>
        <v>4418708.3968808586</v>
      </c>
      <c r="DZ27">
        <f>'TEA Revised Non EYZ'!CY27</f>
        <v>756078.12158013834</v>
      </c>
      <c r="EA27">
        <f>'TEA Revised Non EYZ'!CZ27</f>
        <v>1944470.7911046974</v>
      </c>
      <c r="EB27">
        <f>'TEA Revised Non EYZ'!DA27</f>
        <v>375086.03741841484</v>
      </c>
      <c r="EC27">
        <f>'TEA Revised Non EYZ'!DB27</f>
        <v>2321843.5027814927</v>
      </c>
      <c r="ED27">
        <f>'TEA Revised Non EYZ'!DC27</f>
        <v>274129.6982434399</v>
      </c>
      <c r="EE27">
        <f>'TEA Revised Non EYZ'!DD27</f>
        <v>5671608.1511281831</v>
      </c>
      <c r="EF27">
        <v>0.7</v>
      </c>
      <c r="EG27">
        <v>100</v>
      </c>
      <c r="EH27">
        <f>96485*BL27*V27/EF27/EG27/60</f>
        <v>27.876854243457824</v>
      </c>
      <c r="EI27">
        <f>96485*BN27*BA27/EF27/EG27/60</f>
        <v>45.314806100626519</v>
      </c>
      <c r="EJ27">
        <f>EH27*('CAPEX+OPEX'!$O$25+'CAPEX+OPEX'!$O$26)</f>
        <v>888491.09844748781</v>
      </c>
      <c r="EK27">
        <f>EI27*('CAPEX+OPEX'!$O$25+'CAPEX+OPEX'!$O$26)</f>
        <v>1444273.5000391684</v>
      </c>
      <c r="EL27">
        <f>EJ27*1.12/0.6*'CAPEX+OPEX'!$G$116/'CAPEX+OPEX'!$G$115</f>
        <v>1956151.2069656507</v>
      </c>
      <c r="EM27">
        <f>EK27*1.12/0.6*'CAPEX+OPEX'!$G$116/'CAPEX+OPEX'!$G$115</f>
        <v>3179792.5215309313</v>
      </c>
      <c r="EN27">
        <f>EL27+EM27+DY27+EE27+1.15*(SUM(DF27:DM27)+SUM(CF27:CI27))</f>
        <v>15313867.164906807</v>
      </c>
      <c r="EO27">
        <f>EN27/15</f>
        <v>1020924.4776604538</v>
      </c>
      <c r="EP27">
        <f>('eLLE Bals'!CB27+'eLLE Bals'!CC27)*'Oxidant Feed Composition'!$N$25*60*7200</f>
        <v>12829433.552195115</v>
      </c>
      <c r="EQ27" s="83">
        <f>('eLLE Bals'!BR27+'eLLE Bals'!BY27)*'Reagent cost'!$C$38*60*7200</f>
        <v>508890.74592687516</v>
      </c>
      <c r="ER27">
        <f>'TEA Revised Non EYZ'!DI27</f>
        <v>504921.59999999998</v>
      </c>
      <c r="ES27">
        <f>'TEA Revised Non EYZ'!DJ27</f>
        <v>79.708205311099533</v>
      </c>
      <c r="ET27">
        <f>'TEA Revised Non EYZ'!DK27</f>
        <v>937.84615600844938</v>
      </c>
      <c r="EU27">
        <f>1.2*SUM(EP27:ET27)</f>
        <v>16613116.14297997</v>
      </c>
      <c r="EV27">
        <f>'TEA Revised Non EYZ'!DM27</f>
        <v>0.70639694042110623</v>
      </c>
      <c r="EW27">
        <f>(BS27*CO27+BT27*CP27)/1000*('Oxidant Feed Composition'!$B$11*'Oxidant Feed Composition'!$O$20+'Oxidant Feed Composition'!$D$11*'Oxidant Feed Composition'!$O$21+'Oxidant Feed Composition'!$F$11*'Oxidant Feed Composition'!$O$27-'Oxidant Feed Composition'!$J$15*18.015)</f>
        <v>1.8604004983937681</v>
      </c>
      <c r="EX27">
        <f>(CZ27*BX27+DC27*BZ27)*368.34/1000</f>
        <v>0.10272497932548799</v>
      </c>
      <c r="EY27">
        <f>'TEA Revised Non EYZ'!DP27</f>
        <v>4.999938342565946E-2</v>
      </c>
      <c r="EZ27">
        <f>SUM(EV27:EX27)-EY27</f>
        <v>2.6195230347147032</v>
      </c>
      <c r="FA27">
        <f>EZ27*0.33*60*7200</f>
        <v>373439.20382892806</v>
      </c>
      <c r="FB27">
        <f>'TEA Revised Non EYZ'!DS27</f>
        <v>1.2</v>
      </c>
      <c r="FC27">
        <v>0.5</v>
      </c>
      <c r="FD27">
        <f>'TEA Revised Non EYZ'!DT27</f>
        <v>1406.4874310909718</v>
      </c>
      <c r="FE27">
        <f>'TEA Revised Non EYZ'!DU27</f>
        <v>706.75901790821581</v>
      </c>
      <c r="FF27">
        <f>'TEA Revised Non EYZ'!DV27</f>
        <v>0.7</v>
      </c>
      <c r="FG27">
        <f>'TEA Revised Non EYZ'!DW27</f>
        <v>33024.331428945443</v>
      </c>
      <c r="FH27">
        <f>'TEA Revised Non EYZ'!DX27</f>
        <v>24915.659383376755</v>
      </c>
      <c r="FI27">
        <f>'TEA Revised Non EYZ'!DY27</f>
        <v>10548.968690542577</v>
      </c>
      <c r="FJ27">
        <f>'TEA Revised Non EYZ'!DZ27</f>
        <v>5588.0830181845758</v>
      </c>
      <c r="FK27">
        <f>'TEA Revised Non EYZ'!EA27</f>
        <v>5626.1166349560426</v>
      </c>
      <c r="FL27">
        <f>'TEA Revised Non EYZ'!EB27</f>
        <v>850.64359832381979</v>
      </c>
      <c r="FM27">
        <f>'TEA Revised Non EYZ'!EC27</f>
        <v>41160.226408857045</v>
      </c>
      <c r="FN27">
        <f>'TEA Revised Non EYZ'!ED27</f>
        <v>38811.239454126779</v>
      </c>
      <c r="FO27">
        <f>'TEA Revised Non EYZ'!EE27</f>
        <v>16432.17799469077</v>
      </c>
      <c r="FP27">
        <f>'TEA Revised Non EYZ'!EF27</f>
        <v>8709.3972486977145</v>
      </c>
      <c r="FQ27">
        <f>'TEA Revised Non EYZ'!EG27</f>
        <v>8763.8282638350811</v>
      </c>
      <c r="FR27">
        <f>'TEA Revised Non EYZ'!EH27</f>
        <v>427.44785403088895</v>
      </c>
      <c r="FS27">
        <f>'TEA Revised Non EYZ'!EI27</f>
        <v>194858.1199785675</v>
      </c>
      <c r="FT27">
        <f>EG27*EH27</f>
        <v>2787.6854243457824</v>
      </c>
      <c r="FU27">
        <f>EG27*EI27</f>
        <v>4531.480610062652</v>
      </c>
      <c r="FV27">
        <f>FC27*(FT27+FU27)/(3.6*10^6)*3600*7200*0.07</f>
        <v>1844.4298406709254</v>
      </c>
      <c r="FW27">
        <f>('CAPEX+OPEX'!$C$39/7/100+0.03)*EL27</f>
        <v>100602.06207251917</v>
      </c>
      <c r="FX27">
        <f>('CAPEX+OPEX'!$C$39/7/100+0.03)*EM27</f>
        <v>163532.18682159076</v>
      </c>
      <c r="FY27">
        <f>SUM(FV27:FX27)</f>
        <v>265978.67873478087</v>
      </c>
      <c r="FZ27">
        <f>FY27+FA27+FS27+EU27</f>
        <v>17447392.145522248</v>
      </c>
      <c r="GA27">
        <f>FZ27+EO27</f>
        <v>18468316.623182703</v>
      </c>
      <c r="GB27">
        <f>GA27/(BK27*60*7200)</f>
        <v>0.42750732924034035</v>
      </c>
      <c r="GC27">
        <f>'TEA Revised Non EYZ'!EM27/'TEA Revised Non EYZ'!EK27*GA27</f>
        <v>1430.1064006091588</v>
      </c>
      <c r="GD27">
        <f>'TEA Revised Non EYZ'!EN27/'TEA Revised Non EYZ'!EK27*GA27</f>
        <v>2621.2586725776205</v>
      </c>
    </row>
    <row r="28" spans="1:186">
      <c r="A28">
        <f>'TEA Revised Non EYZ'!A28</f>
        <v>5</v>
      </c>
      <c r="B28">
        <f>'TEA Revised Non EYZ'!B28</f>
        <v>1.54143585092054E-3</v>
      </c>
      <c r="C28">
        <f>'TEA Revised Non EYZ'!C28</f>
        <v>1.54143585092054E-3</v>
      </c>
      <c r="D28">
        <f>'TEA Revised Non EYZ'!D28</f>
        <v>3.4254130020456501E-4</v>
      </c>
      <c r="E28">
        <f>'TEA Revised Non EYZ'!E28</f>
        <v>0</v>
      </c>
      <c r="F28">
        <f>'TEA Revised Non EYZ'!F28</f>
        <v>0</v>
      </c>
      <c r="G28">
        <f>'TEA Revised Non EYZ'!G28</f>
        <v>0</v>
      </c>
      <c r="H28">
        <f>'TEA Revised Non EYZ'!H28</f>
        <v>1.7558377832426001E-5</v>
      </c>
      <c r="I28">
        <f>'TEA Revised Non EYZ'!I28</f>
        <v>1.05063644964669E-7</v>
      </c>
      <c r="J28">
        <f>'TEA Revised Non EYZ'!J28</f>
        <v>3.35605387572801E-4</v>
      </c>
      <c r="K28">
        <f>'TEA Revised Non EYZ'!K28</f>
        <v>0.12557893497872399</v>
      </c>
      <c r="L28">
        <f>'TEA Revised Non EYZ'!L28</f>
        <v>0.12701721899235199</v>
      </c>
      <c r="M28">
        <f>'TEA Revised Non EYZ'!M28</f>
        <v>5.7157122982957897E-4</v>
      </c>
      <c r="N28">
        <f>'TEA Revised Non EYZ'!N28</f>
        <v>-1.88000656708986E-16</v>
      </c>
      <c r="O28">
        <f>'TEA Revised Non EYZ'!O28</f>
        <v>-6.2354635343986299E-15</v>
      </c>
      <c r="P28">
        <f>'TEA Revised Non EYZ'!P28</f>
        <v>-1.51703600853245E-18</v>
      </c>
      <c r="Q28">
        <f>'TEA Revised Non EYZ'!Q28</f>
        <v>0.121348176216534</v>
      </c>
      <c r="R28">
        <f>'TEA Revised Non EYZ'!R28</f>
        <v>97.975160184298204</v>
      </c>
      <c r="S28">
        <f>'TEA Revised Non EYZ'!S28</f>
        <v>500</v>
      </c>
      <c r="T28">
        <f>'TEA Revised Non EYZ'!T28</f>
        <v>95</v>
      </c>
      <c r="U28">
        <f>'TEA Revised Non EYZ'!U28</f>
        <v>1</v>
      </c>
      <c r="V28">
        <f>'TEA Revised Non EYZ'!V28</f>
        <v>0.1</v>
      </c>
      <c r="W28">
        <f>'TEA Revised Non EYZ'!W28</f>
        <v>82.407501388038199</v>
      </c>
      <c r="X28" t="str">
        <f>'TEA Revised Non EYZ'!X28</f>
        <v>ddFc</v>
      </c>
      <c r="Y28">
        <f>'TEA Revised Non EYZ'!Y28</f>
        <v>1</v>
      </c>
      <c r="Z28">
        <f>'TEA Revised Non EYZ'!Z28</f>
        <v>0.28318429382522198</v>
      </c>
      <c r="AA28">
        <f>'TEA Revised Non EYZ'!AA28</f>
        <v>0.56945642916197003</v>
      </c>
      <c r="AB28">
        <f>'TEA Revised Non EYZ'!AB28</f>
        <v>3.7698628972227502E-3</v>
      </c>
      <c r="AC28">
        <f>'TEA Revised Non EYZ'!AC28</f>
        <v>1822.2107908876901</v>
      </c>
      <c r="AD28">
        <f>'TEA Revised Non EYZ'!AD28</f>
        <v>2662.6059073104898</v>
      </c>
      <c r="AE28">
        <f>'TEA Revised Non EYZ'!AE28</f>
        <v>2401.5030938442701</v>
      </c>
      <c r="AF28">
        <f>'TEA Revised Non EYZ'!AF28</f>
        <v>10</v>
      </c>
      <c r="AG28">
        <f>'TEA Revised Non EYZ'!AG28</f>
        <v>1.64912412966352E-3</v>
      </c>
      <c r="AH28">
        <f>'TEA Revised Non EYZ'!AH28</f>
        <v>1.66801192221077E-3</v>
      </c>
      <c r="AI28">
        <f>'TEA Revised Non EYZ'!AI28</f>
        <v>7.5059714998626504E-6</v>
      </c>
      <c r="AJ28">
        <f>'TEA Revised Non EYZ'!AJ28</f>
        <v>0</v>
      </c>
      <c r="AK28">
        <f>'TEA Revised Non EYZ'!AK28</f>
        <v>0</v>
      </c>
      <c r="AL28">
        <f>'TEA Revised Non EYZ'!AL28</f>
        <v>0</v>
      </c>
      <c r="AM28">
        <f>'TEA Revised Non EYZ'!AM28</f>
        <v>1.6121362331363101E-3</v>
      </c>
      <c r="AN28">
        <f>'TEA Revised Non EYZ'!AN28</f>
        <v>7.7392739668893999E-5</v>
      </c>
      <c r="AO28">
        <f>'TEA Revised Non EYZ'!AO28</f>
        <v>7.4565357583961302E-6</v>
      </c>
      <c r="AP28">
        <f>'TEA Revised Non EYZ'!AP28</f>
        <v>1.73286538721668E-3</v>
      </c>
      <c r="AQ28">
        <f>'TEA Revised Non EYZ'!AQ28</f>
        <v>7.4519753455558904E-2</v>
      </c>
      <c r="AR28">
        <f>'TEA Revised Non EYZ'!AR28</f>
        <v>2.3160410123781799E-6</v>
      </c>
      <c r="AS28">
        <f>'TEA Revised Non EYZ'!AS28</f>
        <v>1.6048882329425901E-14</v>
      </c>
      <c r="AT28">
        <f>'TEA Revised Non EYZ'!AT28</f>
        <v>-1.6442669708433E-12</v>
      </c>
      <c r="AU28">
        <f>'TEA Revised Non EYZ'!AU28</f>
        <v>1.7745340244977501E-19</v>
      </c>
      <c r="AV28">
        <f>'TEA Revised Non EYZ'!AV28</f>
        <v>0.19723841758619901</v>
      </c>
      <c r="AW28">
        <f>'TEA Revised Non EYZ'!AW28</f>
        <v>99.341381172744505</v>
      </c>
      <c r="AX28">
        <f>'TEA Revised Non EYZ'!AX28</f>
        <v>500</v>
      </c>
      <c r="AY28">
        <f>'TEA Revised Non EYZ'!AY28</f>
        <v>95</v>
      </c>
      <c r="AZ28">
        <f>'TEA Revised Non EYZ'!AZ28</f>
        <v>0.92405262022284995</v>
      </c>
      <c r="BA28">
        <f>'TEA Revised Non EYZ'!BA28</f>
        <v>0.1</v>
      </c>
      <c r="BB28">
        <f>'TEA Revised Non EYZ'!BB28</f>
        <v>46.849525134676597</v>
      </c>
      <c r="BC28" t="str">
        <f>'TEA Revised Non EYZ'!BC28</f>
        <v>coeFc</v>
      </c>
      <c r="BD28">
        <f>'TEA Revised Non EYZ'!BD28</f>
        <v>1</v>
      </c>
      <c r="BE28">
        <f>'TEA Revised Non EYZ'!BE28</f>
        <v>1.8775014999999999E-2</v>
      </c>
      <c r="BF28">
        <f>'TEA Revised Non EYZ'!BF28</f>
        <v>0.10492961100000001</v>
      </c>
      <c r="BG28">
        <f>'TEA Revised Non EYZ'!BG28</f>
        <v>1.814625E-3</v>
      </c>
      <c r="BH28">
        <f>'TEA Revised Non EYZ'!BH28</f>
        <v>285.1951444</v>
      </c>
      <c r="BI28">
        <f>'TEA Revised Non EYZ'!BI28</f>
        <v>2169.8944889999998</v>
      </c>
      <c r="BJ28">
        <f>'TEA Revised Non EYZ'!BJ28</f>
        <v>866.49409060000005</v>
      </c>
      <c r="BK28">
        <f>'TEA Revised Non EYZ'!BK28</f>
        <v>100</v>
      </c>
      <c r="BL28">
        <f>'TEA Revised Non EYZ'!BL28</f>
        <v>12.134817621653401</v>
      </c>
      <c r="BM28">
        <f>'TEA Revised Non EYZ'!BM28</f>
        <v>92.405262022285001</v>
      </c>
      <c r="BN28">
        <f>'TEA Revised Non EYZ'!BN28</f>
        <v>19.723841758619901</v>
      </c>
      <c r="BO28">
        <f>'TEA Revised Non EYZ'!BO28</f>
        <v>169.88744670314762</v>
      </c>
      <c r="BP28">
        <f>'TEA Revised Non EYZ'!BP28</f>
        <v>473.37220220687766</v>
      </c>
      <c r="BQ28">
        <f>'TEA Revised Non EYZ'!BQ28</f>
        <v>16.988744670314762</v>
      </c>
      <c r="BR28">
        <f>'TEA Revised Non EYZ'!BR28</f>
        <v>47.337220220687769</v>
      </c>
      <c r="BS28">
        <f>'eLLE Bals'!CF28</f>
        <v>7.2808905729920399</v>
      </c>
      <c r="BT28">
        <f>'eLLE Bals'!CG28</f>
        <v>11.83430505517194</v>
      </c>
      <c r="BU28">
        <f>BM28</f>
        <v>92.405262022285001</v>
      </c>
      <c r="BV28">
        <f>BU28*(AM28*2+AN28*2+AO28*3)</f>
        <v>0.31430980427421323</v>
      </c>
      <c r="BW28">
        <f>BN28*BA28*(AP28*2+AQ28*2+AR28*3)</f>
        <v>0.30081262191498315</v>
      </c>
      <c r="BX28">
        <f>BV28/(2*V28*BL28+BV28)</f>
        <v>0.11465832355877252</v>
      </c>
      <c r="BY28">
        <f>BU28*BX28</f>
        <v>10.595032431484308</v>
      </c>
      <c r="BZ28">
        <f>BW28/(2*BN28*BA28+BW28)</f>
        <v>7.085311145465005E-2</v>
      </c>
      <c r="CA28">
        <f>2*BN28*BA28/0.04</f>
        <v>98.619208793099503</v>
      </c>
      <c r="CB28">
        <f>(BS28+BL28)*2</f>
        <v>38.831416389290879</v>
      </c>
      <c r="CC28">
        <f>(BU28+BL28)*2</f>
        <v>209.0801592878768</v>
      </c>
      <c r="CD28">
        <f>(BT28+BN28)*2</f>
        <v>63.116293627583687</v>
      </c>
      <c r="CE28">
        <f>(CA28+BN28)*2</f>
        <v>236.6861011034388</v>
      </c>
      <c r="CF28">
        <f>'TEA Revised Non EYZ'!CB28</f>
        <v>2242.5142964815486</v>
      </c>
      <c r="CG28">
        <f>'TEA Revised Non EYZ'!CC28</f>
        <v>6248.5130691307859</v>
      </c>
      <c r="CH28">
        <f>'TEA Revised Non EYZ'!CD28</f>
        <v>2709.3726906065185</v>
      </c>
      <c r="CI28">
        <f>'TEA Revised Non EYZ'!CE28</f>
        <v>48195.336659432556</v>
      </c>
      <c r="CJ28">
        <f>BL28*V28</f>
        <v>1.2134817621653402</v>
      </c>
      <c r="CK28">
        <f>CJ28/2*1.2</f>
        <v>0.72808905729920415</v>
      </c>
      <c r="CL28">
        <f>'eLLE Bals'!CB28*'Oxidant Feed Composition'!$N$20</f>
        <v>4.0449392072178021E-2</v>
      </c>
      <c r="CM28">
        <f>'eLLE Bals'!CB28*'Oxidant Feed Composition'!$N$21</f>
        <v>2.0224696036089003</v>
      </c>
      <c r="CN28">
        <f>'eLLE Bals'!CB28*'Oxidant Feed Composition'!$N$22</f>
        <v>0.6067408810826701</v>
      </c>
      <c r="CO28">
        <f>CN28/CK28</f>
        <v>0.83333333333333326</v>
      </c>
      <c r="CP28">
        <f>CO28</f>
        <v>0.83333333333333326</v>
      </c>
      <c r="CQ28">
        <f>CL28/CO28</f>
        <v>4.8539270486613627E-2</v>
      </c>
      <c r="CR28">
        <f>CM28/CO28</f>
        <v>2.4269635243306804</v>
      </c>
      <c r="CS28">
        <f>BN28*BA28</f>
        <v>1.9723841758619902</v>
      </c>
      <c r="CT28">
        <f>CS28/2*1.2</f>
        <v>1.1834305055171941</v>
      </c>
      <c r="CU28">
        <f>'eLLE Bals'!CC28*'Oxidant Feed Composition'!$N$20</f>
        <v>6.5746139195399705E-2</v>
      </c>
      <c r="CV28">
        <f>'eLLE Bals'!CC28*'Oxidant Feed Composition'!$N$21</f>
        <v>3.287306959769984</v>
      </c>
      <c r="CW28">
        <f>'eLLE Bals'!CC28*'Oxidant Feed Composition'!$N$22</f>
        <v>0.98619208793099511</v>
      </c>
      <c r="CX28">
        <f>CU28/CP28</f>
        <v>7.8895367034479649E-2</v>
      </c>
      <c r="CY28">
        <f>CV28/CP28</f>
        <v>3.9447683517239813</v>
      </c>
      <c r="CZ28">
        <f>CJ28</f>
        <v>1.2134817621653402</v>
      </c>
      <c r="DA28">
        <f>'eLLE Bals'!BQ28</f>
        <v>2.4269635243306804</v>
      </c>
      <c r="DB28">
        <f>'eLLE Bals'!BU28</f>
        <v>6.9430145513031434</v>
      </c>
      <c r="DC28">
        <f>CS28</f>
        <v>1.9723841758619902</v>
      </c>
      <c r="DD28">
        <f>'eLLE Bals'!BX28</f>
        <v>3.9447683517239804</v>
      </c>
      <c r="DE28">
        <f>'eLLE Bals'!CA28</f>
        <v>21.920498287853889</v>
      </c>
      <c r="DF28">
        <f>2*2*(CJ28*'Reagent cost'!$C$36*122.44/1000+CK28*'Oxidant Feed Composition'!$N$26+CQ28*'Reagent cost'!$C$34+CR28*'Reagent cost'!$C$35)</f>
        <v>102.50002761552031</v>
      </c>
      <c r="DG28">
        <f>2*2*(CS28*'Reagent cost'!$C$36*122.44/1000+CT28*'Oxidant Feed Composition'!$N$26+CX28*'Reagent cost'!$C$34+CY28*'Reagent cost'!$C$35)</f>
        <v>166.602777888905</v>
      </c>
      <c r="DH28">
        <f>(AF28+3)*2*(CZ28*'Reagent cost'!$C$38+DA28*'Reagent cost'!$C$39+DB28*'Reagent cost'!$C$36*122.44/1000)</f>
        <v>1701.5320894851006</v>
      </c>
      <c r="DI28">
        <f>3*2*(DC28*'Reagent cost'!$C$38+DD28*'Reagent cost'!$C$39+DE28*'Reagent cost'!$C$36*122.44/1000)</f>
        <v>1189.9948270400237</v>
      </c>
      <c r="DJ28">
        <f>7963.6*(CB28/1000)^0.6*1.7*('CAPEX+OPEX'!$G$116/'CAPEX+OPEX'!$G$115)</f>
        <v>2273.7926954959794</v>
      </c>
      <c r="DK28">
        <f>7963.6*(CC28/1000)^0.6*1.7*('CAPEX+OPEX'!$G$116/'CAPEX+OPEX'!$G$115)</f>
        <v>6243.5072626595684</v>
      </c>
      <c r="DL28">
        <f>7963.6*(CD28/1000)^0.6*1.7*('CAPEX+OPEX'!$G$116/'CAPEX+OPEX'!$G$115)</f>
        <v>3043.167243878931</v>
      </c>
      <c r="DM28">
        <f>7963.6*(CE28/1000)^0.6*1.7*('CAPEX+OPEX'!$G$116/'CAPEX+OPEX'!$G$115)</f>
        <v>6725.809793243784</v>
      </c>
      <c r="DN28">
        <f>'TEA Revised Non EYZ'!CM28</f>
        <v>39625.826528698344</v>
      </c>
      <c r="DO28">
        <f>'TEA Revised Non EYZ'!CN28</f>
        <v>4586243.4239371875</v>
      </c>
      <c r="DP28">
        <f>'TEA Revised Non EYZ'!CO28</f>
        <v>11794834.586807497</v>
      </c>
      <c r="DQ28">
        <f>'TEA Revised Non EYZ'!CP28</f>
        <v>2275209.1661185985</v>
      </c>
      <c r="DR28">
        <f>'TEA Revised Non EYZ'!CQ28</f>
        <v>14083914.336508472</v>
      </c>
      <c r="DS28">
        <f>'TEA Revised Non EYZ'!CR28</f>
        <v>1662824.8986326549</v>
      </c>
      <c r="DT28">
        <f>'TEA Revised Non EYZ'!CS28</f>
        <v>589054.93036564998</v>
      </c>
      <c r="DU28">
        <f>'TEA Revised Non EYZ'!CT28</f>
        <v>1514922.9606835202</v>
      </c>
      <c r="DV28">
        <f>'TEA Revised Non EYZ'!CU28</f>
        <v>292226.78628879401</v>
      </c>
      <c r="DW28">
        <f>'TEA Revised Non EYZ'!CV28</f>
        <v>1808931.2781495745</v>
      </c>
      <c r="DX28">
        <f>'TEA Revised Non EYZ'!CW28</f>
        <v>213572.44139332071</v>
      </c>
      <c r="DY28">
        <f>'TEA Revised Non EYZ'!CX28</f>
        <v>4418708.3968808586</v>
      </c>
      <c r="DZ28">
        <f>'TEA Revised Non EYZ'!CY28</f>
        <v>800575.47606687353</v>
      </c>
      <c r="EA28">
        <f>'TEA Revised Non EYZ'!CZ28</f>
        <v>2058908.4445842884</v>
      </c>
      <c r="EB28">
        <f>'TEA Revised Non EYZ'!DA28</f>
        <v>397160.92081161588</v>
      </c>
      <c r="EC28">
        <f>'TEA Revised Non EYZ'!DB28</f>
        <v>2458490.6169580934</v>
      </c>
      <c r="ED28">
        <f>'TEA Revised Non EYZ'!DC28</f>
        <v>290263.0130556543</v>
      </c>
      <c r="EE28">
        <f>'TEA Revised Non EYZ'!DD28</f>
        <v>6005398.4714765251</v>
      </c>
      <c r="EF28">
        <v>0.7</v>
      </c>
      <c r="EG28">
        <v>100</v>
      </c>
      <c r="EH28">
        <f>96485*BL28*V28/EF28/EG28/60</f>
        <v>27.876854243457824</v>
      </c>
      <c r="EI28">
        <f>96485*BN28*BA28/EF28/EG28/60</f>
        <v>45.31083028762955</v>
      </c>
      <c r="EJ28">
        <f>EH28*('CAPEX+OPEX'!$O$25+'CAPEX+OPEX'!$O$26)</f>
        <v>888491.09844748781</v>
      </c>
      <c r="EK28">
        <f>EI28*('CAPEX+OPEX'!$O$25+'CAPEX+OPEX'!$O$26)</f>
        <v>1444146.782927329</v>
      </c>
      <c r="EL28">
        <f>EJ28*1.12/0.6*'CAPEX+OPEX'!$G$116/'CAPEX+OPEX'!$G$115</f>
        <v>1956151.2069656507</v>
      </c>
      <c r="EM28">
        <f>EK28*1.12/0.6*'CAPEX+OPEX'!$G$116/'CAPEX+OPEX'!$G$115</f>
        <v>3179513.5341199134</v>
      </c>
      <c r="EN28">
        <f>EL28+EM28+DY28+EE28+1.15*(SUM(DF28:DM28)+SUM(CF28:CI28))</f>
        <v>15652740.64939085</v>
      </c>
      <c r="EO28">
        <f>EN28/15</f>
        <v>1043516.0432927234</v>
      </c>
      <c r="EP28">
        <f>('eLLE Bals'!CB28+'eLLE Bals'!CC28)*'Oxidant Feed Composition'!$N$25*60*7200</f>
        <v>12828736.650001332</v>
      </c>
      <c r="EQ28" s="83">
        <f>('eLLE Bals'!BR28+'eLLE Bals'!BY28)*'Reagent cost'!$C$38*60*7200</f>
        <v>508888.99691637035</v>
      </c>
      <c r="ER28">
        <f>'TEA Revised Non EYZ'!DI28</f>
        <v>504921.59999999998</v>
      </c>
      <c r="ES28">
        <f>'TEA Revised Non EYZ'!DJ28</f>
        <v>84.910273656123351</v>
      </c>
      <c r="ET28">
        <f>'TEA Revised Non EYZ'!DK28</f>
        <v>1018.0941870007815</v>
      </c>
      <c r="EU28">
        <f>1.2*SUM(EP28:ET28)</f>
        <v>16612380.30165403</v>
      </c>
      <c r="EV28">
        <f>'TEA Revised Non EYZ'!DM28</f>
        <v>0.70639694042110623</v>
      </c>
      <c r="EW28">
        <f>(BS28*CO28+BT28*CP28)/1000*('Oxidant Feed Composition'!$B$11*'Oxidant Feed Composition'!$O$20+'Oxidant Feed Composition'!$D$11*'Oxidant Feed Composition'!$O$21+'Oxidant Feed Composition'!$F$11*'Oxidant Feed Composition'!$O$27-'Oxidant Feed Composition'!$J$15*18.015)</f>
        <v>1.8602994403709507</v>
      </c>
      <c r="EX28">
        <f>(CZ28*BX28+DC28*BZ28)*368.34/1000</f>
        <v>0.10272462626921927</v>
      </c>
      <c r="EY28">
        <f>'TEA Revised Non EYZ'!DP28</f>
        <v>4.999938342565946E-2</v>
      </c>
      <c r="EZ28">
        <f>SUM(EV28:EX28)-EY28</f>
        <v>2.6194216236356169</v>
      </c>
      <c r="FA28">
        <f>EZ28*0.33*60*7200</f>
        <v>373424.74666549359</v>
      </c>
      <c r="FB28">
        <f>'TEA Revised Non EYZ'!DS28</f>
        <v>1.2</v>
      </c>
      <c r="FC28">
        <v>0.5</v>
      </c>
      <c r="FD28">
        <f>'TEA Revised Non EYZ'!DT28</f>
        <v>1406.4975590407691</v>
      </c>
      <c r="FE28">
        <f>'TEA Revised Non EYZ'!DU28</f>
        <v>706.74889069113362</v>
      </c>
      <c r="FF28">
        <f>'TEA Revised Non EYZ'!DV28</f>
        <v>0.7</v>
      </c>
      <c r="FG28">
        <f>'TEA Revised Non EYZ'!DW28</f>
        <v>33024.331428945443</v>
      </c>
      <c r="FH28">
        <f>'TEA Revised Non EYZ'!DX28</f>
        <v>24915.659383376755</v>
      </c>
      <c r="FI28">
        <f>'TEA Revised Non EYZ'!DY28</f>
        <v>10548.968690542577</v>
      </c>
      <c r="FJ28">
        <f>'TEA Revised Non EYZ'!DZ28</f>
        <v>5588.0830181845758</v>
      </c>
      <c r="FK28">
        <f>'TEA Revised Non EYZ'!EA28</f>
        <v>5626.1166349560426</v>
      </c>
      <c r="FL28">
        <f>'TEA Revised Non EYZ'!EB28</f>
        <v>850.64972370785733</v>
      </c>
      <c r="FM28">
        <f>'TEA Revised Non EYZ'!EC28</f>
        <v>43732.740559410609</v>
      </c>
      <c r="FN28">
        <f>'TEA Revised Non EYZ'!ED28</f>
        <v>42692.363399539456</v>
      </c>
      <c r="FO28">
        <f>'TEA Revised Non EYZ'!EE28</f>
        <v>18075.395794159842</v>
      </c>
      <c r="FP28">
        <f>'TEA Revised Non EYZ'!EF28</f>
        <v>9580.336973567486</v>
      </c>
      <c r="FQ28">
        <f>'TEA Revised Non EYZ'!EG28</f>
        <v>9640.2110902185887</v>
      </c>
      <c r="FR28">
        <f>'TEA Revised Non EYZ'!EH28</f>
        <v>427.44172908999764</v>
      </c>
      <c r="FS28">
        <f>'TEA Revised Non EYZ'!EI28</f>
        <v>204702.29842569926</v>
      </c>
      <c r="FT28">
        <f>EG28*EH28</f>
        <v>2787.6854243457824</v>
      </c>
      <c r="FU28">
        <f>EG28*EI28</f>
        <v>4531.0830287629551</v>
      </c>
      <c r="FV28">
        <f>FC28*(FT28+FU28)/(3.6*10^6)*3600*7200*0.07</f>
        <v>1844.3296501834022</v>
      </c>
      <c r="FW28">
        <f>('CAPEX+OPEX'!$C$39/7/100+0.03)*EL28</f>
        <v>100602.06207251917</v>
      </c>
      <c r="FX28">
        <f>('CAPEX+OPEX'!$C$39/7/100+0.03)*EM28</f>
        <v>163517.83889759553</v>
      </c>
      <c r="FY28">
        <f>SUM(FV28:FX28)</f>
        <v>265964.23062029807</v>
      </c>
      <c r="FZ28">
        <f>FY28+FA28+FS28+EU28</f>
        <v>17456471.577365521</v>
      </c>
      <c r="GA28">
        <f>FZ28+EO28</f>
        <v>18499987.620658245</v>
      </c>
      <c r="GB28">
        <f>GA28/(BK28*60*7200)</f>
        <v>0.42824045418190382</v>
      </c>
      <c r="GC28">
        <f>'TEA Revised Non EYZ'!EM28/'TEA Revised Non EYZ'!EK28*GA28</f>
        <v>1432.5485407782603</v>
      </c>
      <c r="GD28">
        <f>'TEA Revised Non EYZ'!EN28/'TEA Revised Non EYZ'!EK28*GA28</f>
        <v>2625.7885080399474</v>
      </c>
    </row>
    <row r="29" spans="1:186">
      <c r="A29">
        <f>'TEA Revised Non EYZ'!A29</f>
        <v>5</v>
      </c>
      <c r="B29">
        <f>'TEA Revised Non EYZ'!B29</f>
        <v>1.54143585092054E-3</v>
      </c>
      <c r="C29">
        <f>'TEA Revised Non EYZ'!C29</f>
        <v>1.54143585092054E-3</v>
      </c>
      <c r="D29">
        <f>'TEA Revised Non EYZ'!D29</f>
        <v>3.4254130020456501E-4</v>
      </c>
      <c r="E29">
        <f>'TEA Revised Non EYZ'!E29</f>
        <v>0</v>
      </c>
      <c r="F29">
        <f>'TEA Revised Non EYZ'!F29</f>
        <v>0</v>
      </c>
      <c r="G29">
        <f>'TEA Revised Non EYZ'!G29</f>
        <v>0</v>
      </c>
      <c r="H29">
        <f>'TEA Revised Non EYZ'!H29</f>
        <v>1.7558377832426001E-5</v>
      </c>
      <c r="I29">
        <f>'TEA Revised Non EYZ'!I29</f>
        <v>1.05063644964669E-7</v>
      </c>
      <c r="J29">
        <f>'TEA Revised Non EYZ'!J29</f>
        <v>3.35605387572801E-4</v>
      </c>
      <c r="K29">
        <f>'TEA Revised Non EYZ'!K29</f>
        <v>0.12557893497872399</v>
      </c>
      <c r="L29">
        <f>'TEA Revised Non EYZ'!L29</f>
        <v>0.12701721899235199</v>
      </c>
      <c r="M29">
        <f>'TEA Revised Non EYZ'!M29</f>
        <v>5.7157122982957897E-4</v>
      </c>
      <c r="N29">
        <f>'TEA Revised Non EYZ'!N29</f>
        <v>-1.88000656708986E-16</v>
      </c>
      <c r="O29">
        <f>'TEA Revised Non EYZ'!O29</f>
        <v>-6.2354635343986299E-15</v>
      </c>
      <c r="P29">
        <f>'TEA Revised Non EYZ'!P29</f>
        <v>-1.51703600853245E-18</v>
      </c>
      <c r="Q29">
        <f>'TEA Revised Non EYZ'!Q29</f>
        <v>0.121348176216534</v>
      </c>
      <c r="R29">
        <f>'TEA Revised Non EYZ'!R29</f>
        <v>97.975160184298204</v>
      </c>
      <c r="S29">
        <f>'TEA Revised Non EYZ'!S29</f>
        <v>500</v>
      </c>
      <c r="T29">
        <f>'TEA Revised Non EYZ'!T29</f>
        <v>95</v>
      </c>
      <c r="U29">
        <f>'TEA Revised Non EYZ'!U29</f>
        <v>1</v>
      </c>
      <c r="V29">
        <f>'TEA Revised Non EYZ'!V29</f>
        <v>0.1</v>
      </c>
      <c r="W29">
        <f>'TEA Revised Non EYZ'!W29</f>
        <v>82.407501388038199</v>
      </c>
      <c r="X29" t="str">
        <f>'TEA Revised Non EYZ'!X29</f>
        <v>ddFc</v>
      </c>
      <c r="Y29">
        <f>'TEA Revised Non EYZ'!Y29</f>
        <v>1</v>
      </c>
      <c r="Z29">
        <f>'TEA Revised Non EYZ'!Z29</f>
        <v>0.28318429382522198</v>
      </c>
      <c r="AA29">
        <f>'TEA Revised Non EYZ'!AA29</f>
        <v>0.56945642916197003</v>
      </c>
      <c r="AB29">
        <f>'TEA Revised Non EYZ'!AB29</f>
        <v>3.7698628972227502E-3</v>
      </c>
      <c r="AC29">
        <f>'TEA Revised Non EYZ'!AC29</f>
        <v>1822.2107908876901</v>
      </c>
      <c r="AD29">
        <f>'TEA Revised Non EYZ'!AD29</f>
        <v>2662.6059073104898</v>
      </c>
      <c r="AE29">
        <f>'TEA Revised Non EYZ'!AE29</f>
        <v>2401.5030938442701</v>
      </c>
      <c r="AF29">
        <f>'TEA Revised Non EYZ'!AF29</f>
        <v>11</v>
      </c>
      <c r="AG29">
        <f>'TEA Revised Non EYZ'!AG29</f>
        <v>1.64912412966352E-3</v>
      </c>
      <c r="AH29">
        <f>'TEA Revised Non EYZ'!AH29</f>
        <v>1.66801192221077E-3</v>
      </c>
      <c r="AI29">
        <f>'TEA Revised Non EYZ'!AI29</f>
        <v>7.5059714998626504E-6</v>
      </c>
      <c r="AJ29">
        <f>'TEA Revised Non EYZ'!AJ29</f>
        <v>0</v>
      </c>
      <c r="AK29">
        <f>'TEA Revised Non EYZ'!AK29</f>
        <v>0</v>
      </c>
      <c r="AL29">
        <f>'TEA Revised Non EYZ'!AL29</f>
        <v>0</v>
      </c>
      <c r="AM29">
        <f>'TEA Revised Non EYZ'!AM29</f>
        <v>1.6121395083820099E-3</v>
      </c>
      <c r="AN29">
        <f>'TEA Revised Non EYZ'!AN29</f>
        <v>7.7392907855296494E-5</v>
      </c>
      <c r="AO29">
        <f>'TEA Revised Non EYZ'!AO29</f>
        <v>7.4565399542604097E-6</v>
      </c>
      <c r="AP29">
        <f>'TEA Revised Non EYZ'!AP29</f>
        <v>1.73275480734907E-3</v>
      </c>
      <c r="AQ29">
        <f>'TEA Revised Non EYZ'!AQ29</f>
        <v>7.4521588927651899E-2</v>
      </c>
      <c r="AR29">
        <f>'TEA Revised Non EYZ'!AR29</f>
        <v>2.3159017264239102E-6</v>
      </c>
      <c r="AS29">
        <f>'TEA Revised Non EYZ'!AS29</f>
        <v>3.11708124589582E-19</v>
      </c>
      <c r="AT29">
        <f>'TEA Revised Non EYZ'!AT29</f>
        <v>-5.4210108624275199E-18</v>
      </c>
      <c r="AU29">
        <f>'TEA Revised Non EYZ'!AU29</f>
        <v>1.34334131478611E-21</v>
      </c>
      <c r="AV29">
        <f>'TEA Revised Non EYZ'!AV29</f>
        <v>0.197233538514378</v>
      </c>
      <c r="AW29">
        <f>'TEA Revised Non EYZ'!AW29</f>
        <v>99.3414370730938</v>
      </c>
      <c r="AX29">
        <f>'TEA Revised Non EYZ'!AX29</f>
        <v>500</v>
      </c>
      <c r="AY29">
        <f>'TEA Revised Non EYZ'!AY29</f>
        <v>95</v>
      </c>
      <c r="AZ29">
        <f>'TEA Revised Non EYZ'!AZ29</f>
        <v>0.92405262022284995</v>
      </c>
      <c r="BA29">
        <f>'TEA Revised Non EYZ'!BA29</f>
        <v>0.1</v>
      </c>
      <c r="BB29">
        <f>'TEA Revised Non EYZ'!BB29</f>
        <v>46.850684076505999</v>
      </c>
      <c r="BC29" t="str">
        <f>'TEA Revised Non EYZ'!BC29</f>
        <v>coeFc</v>
      </c>
      <c r="BD29">
        <f>'TEA Revised Non EYZ'!BD29</f>
        <v>1</v>
      </c>
      <c r="BE29">
        <f>'TEA Revised Non EYZ'!BE29</f>
        <v>1.8775014999999999E-2</v>
      </c>
      <c r="BF29">
        <f>'TEA Revised Non EYZ'!BF29</f>
        <v>0.10492961100000001</v>
      </c>
      <c r="BG29">
        <f>'TEA Revised Non EYZ'!BG29</f>
        <v>1.814625E-3</v>
      </c>
      <c r="BH29">
        <f>'TEA Revised Non EYZ'!BH29</f>
        <v>285.1951444</v>
      </c>
      <c r="BI29">
        <f>'TEA Revised Non EYZ'!BI29</f>
        <v>2169.8944889999998</v>
      </c>
      <c r="BJ29">
        <f>'TEA Revised Non EYZ'!BJ29</f>
        <v>866.49409060000005</v>
      </c>
      <c r="BK29">
        <f>'TEA Revised Non EYZ'!BK29</f>
        <v>100</v>
      </c>
      <c r="BL29">
        <f>'TEA Revised Non EYZ'!BL29</f>
        <v>12.134817621653401</v>
      </c>
      <c r="BM29">
        <f>'TEA Revised Non EYZ'!BM29</f>
        <v>92.405262022285001</v>
      </c>
      <c r="BN29">
        <f>'TEA Revised Non EYZ'!BN29</f>
        <v>19.7233538514378</v>
      </c>
      <c r="BO29">
        <f>'TEA Revised Non EYZ'!BO29</f>
        <v>169.88744670314762</v>
      </c>
      <c r="BP29">
        <f>'TEA Revised Non EYZ'!BP29</f>
        <v>512.80720013738278</v>
      </c>
      <c r="BQ29">
        <f>'TEA Revised Non EYZ'!BQ29</f>
        <v>16.988744670314762</v>
      </c>
      <c r="BR29">
        <f>'TEA Revised Non EYZ'!BR29</f>
        <v>51.280720013738282</v>
      </c>
      <c r="BS29">
        <f>'eLLE Bals'!CF29</f>
        <v>7.2808905729920399</v>
      </c>
      <c r="BT29">
        <f>'eLLE Bals'!CG29</f>
        <v>11.834012310862679</v>
      </c>
      <c r="BU29">
        <f>BM29</f>
        <v>92.405262022285001</v>
      </c>
      <c r="BV29">
        <f>BU29*(AM29*2+AN29*2+AO29*3)</f>
        <v>0.31431044181986439</v>
      </c>
      <c r="BW29">
        <f>BN29*BA29*(AP29*2+AQ29*2+AR29*3)</f>
        <v>0.30081198404368931</v>
      </c>
      <c r="BX29">
        <f>BV29/(2*V29*BL29+BV29)</f>
        <v>0.1146585294651294</v>
      </c>
      <c r="BY29">
        <f>BU29*BX29</f>
        <v>10.595051458315167</v>
      </c>
      <c r="BZ29">
        <f>BW29/(2*BN29*BA29+BW29)</f>
        <v>7.0854600395396802E-2</v>
      </c>
      <c r="CA29">
        <f>2*BN29*BA29/0.04</f>
        <v>98.616769257189006</v>
      </c>
      <c r="CB29">
        <f>(BS29+BL29)*2</f>
        <v>38.831416389290879</v>
      </c>
      <c r="CC29">
        <f>(BU29+BL29)*2</f>
        <v>209.0801592878768</v>
      </c>
      <c r="CD29">
        <f>(BT29+BN29)*2</f>
        <v>63.114732324600958</v>
      </c>
      <c r="CE29">
        <f>(CA29+BN29)*2</f>
        <v>236.68024621725363</v>
      </c>
      <c r="CF29">
        <f>'TEA Revised Non EYZ'!CB29</f>
        <v>2242.5142964815486</v>
      </c>
      <c r="CG29">
        <f>'TEA Revised Non EYZ'!CC29</f>
        <v>6769.0550418134535</v>
      </c>
      <c r="CH29">
        <f>'TEA Revised Non EYZ'!CD29</f>
        <v>2709.3726906065185</v>
      </c>
      <c r="CI29">
        <f>'TEA Revised Non EYZ'!CE29</f>
        <v>52210.323159620224</v>
      </c>
      <c r="CJ29">
        <f>BL29*V29</f>
        <v>1.2134817621653402</v>
      </c>
      <c r="CK29">
        <f>CJ29/2*1.2</f>
        <v>0.72808905729920415</v>
      </c>
      <c r="CL29">
        <f>'eLLE Bals'!CB29*'Oxidant Feed Composition'!$N$20</f>
        <v>4.0449392072178021E-2</v>
      </c>
      <c r="CM29">
        <f>'eLLE Bals'!CB29*'Oxidant Feed Composition'!$N$21</f>
        <v>2.0224696036089003</v>
      </c>
      <c r="CN29">
        <f>'eLLE Bals'!CB29*'Oxidant Feed Composition'!$N$22</f>
        <v>0.6067408810826701</v>
      </c>
      <c r="CO29">
        <f>CN29/CK29</f>
        <v>0.83333333333333326</v>
      </c>
      <c r="CP29">
        <f>CO29</f>
        <v>0.83333333333333326</v>
      </c>
      <c r="CQ29">
        <f>CL29/CO29</f>
        <v>4.8539270486613627E-2</v>
      </c>
      <c r="CR29">
        <f>CM29/CO29</f>
        <v>2.4269635243306804</v>
      </c>
      <c r="CS29">
        <f>BN29*BA29</f>
        <v>1.9723353851437802</v>
      </c>
      <c r="CT29">
        <f>CS29/2*1.2</f>
        <v>1.183401231086268</v>
      </c>
      <c r="CU29">
        <f>'eLLE Bals'!CC29*'Oxidant Feed Composition'!$N$20</f>
        <v>6.5744512838126032E-2</v>
      </c>
      <c r="CV29">
        <f>'eLLE Bals'!CC29*'Oxidant Feed Composition'!$N$21</f>
        <v>3.2872256419063004</v>
      </c>
      <c r="CW29">
        <f>'eLLE Bals'!CC29*'Oxidant Feed Composition'!$N$22</f>
        <v>0.98616769257189008</v>
      </c>
      <c r="CX29">
        <f>CU29/CP29</f>
        <v>7.8893415405751247E-2</v>
      </c>
      <c r="CY29">
        <f>CV29/CP29</f>
        <v>3.9446707702875607</v>
      </c>
      <c r="CZ29">
        <f>CJ29</f>
        <v>1.2134817621653402</v>
      </c>
      <c r="DA29">
        <f>'eLLE Bals'!BQ29</f>
        <v>2.4269635243306804</v>
      </c>
      <c r="DB29">
        <f>'eLLE Bals'!BU29</f>
        <v>6.942995542774308</v>
      </c>
      <c r="DC29">
        <f>CS29</f>
        <v>1.9723353851437802</v>
      </c>
      <c r="DD29">
        <f>'eLLE Bals'!BX29</f>
        <v>3.9446707702875603</v>
      </c>
      <c r="DE29">
        <f>'eLLE Bals'!CA29</f>
        <v>21.919371075367582</v>
      </c>
      <c r="DF29">
        <f>2*2*(CJ29*'Reagent cost'!$C$36*122.44/1000+CK29*'Oxidant Feed Composition'!$N$26+CQ29*'Reagent cost'!$C$34+CR29*'Reagent cost'!$C$35)</f>
        <v>102.50002761552031</v>
      </c>
      <c r="DG29">
        <f>2*2*(CS29*'Reagent cost'!$C$36*122.44/1000+CT29*'Oxidant Feed Composition'!$N$26+CX29*'Reagent cost'!$C$34+CY29*'Reagent cost'!$C$35)</f>
        <v>166.59865664858657</v>
      </c>
      <c r="DH29">
        <f>(AF29+3)*2*(CZ29*'Reagent cost'!$C$38+DA29*'Reagent cost'!$C$39+DB29*'Reagent cost'!$C$36*122.44/1000)</f>
        <v>1832.4145711755382</v>
      </c>
      <c r="DI29">
        <f>3*2*(DC29*'Reagent cost'!$C$38+DD29*'Reagent cost'!$C$39+DE29*'Reagent cost'!$C$36*122.44/1000)</f>
        <v>1189.9350419896236</v>
      </c>
      <c r="DJ29">
        <f>7963.6*(CB29/1000)^0.6*1.7*('CAPEX+OPEX'!$G$116/'CAPEX+OPEX'!$G$115)</f>
        <v>2273.7926954959794</v>
      </c>
      <c r="DK29">
        <f>7963.6*(CC29/1000)^0.6*1.7*('CAPEX+OPEX'!$G$116/'CAPEX+OPEX'!$G$115)</f>
        <v>6243.5072626595684</v>
      </c>
      <c r="DL29">
        <f>7963.6*(CD29/1000)^0.6*1.7*('CAPEX+OPEX'!$G$116/'CAPEX+OPEX'!$G$115)</f>
        <v>3043.1220764966729</v>
      </c>
      <c r="DM29">
        <f>7963.6*(CE29/1000)^0.6*1.7*('CAPEX+OPEX'!$G$116/'CAPEX+OPEX'!$G$115)</f>
        <v>6725.7099672409468</v>
      </c>
      <c r="DN29">
        <f>'TEA Revised Non EYZ'!CM29</f>
        <v>39625.826528698344</v>
      </c>
      <c r="DO29">
        <f>'TEA Revised Non EYZ'!CN29</f>
        <v>4586243.4239371875</v>
      </c>
      <c r="DP29">
        <f>'TEA Revised Non EYZ'!CO29</f>
        <v>11794834.586807497</v>
      </c>
      <c r="DQ29">
        <f>'TEA Revised Non EYZ'!CP29</f>
        <v>2275209.1661185985</v>
      </c>
      <c r="DR29">
        <f>'TEA Revised Non EYZ'!CQ29</f>
        <v>14083914.336508472</v>
      </c>
      <c r="DS29">
        <f>'TEA Revised Non EYZ'!CR29</f>
        <v>1662824.8986326549</v>
      </c>
      <c r="DT29">
        <f>'TEA Revised Non EYZ'!CS29</f>
        <v>589054.93036564998</v>
      </c>
      <c r="DU29">
        <f>'TEA Revised Non EYZ'!CT29</f>
        <v>1514922.9606835202</v>
      </c>
      <c r="DV29">
        <f>'TEA Revised Non EYZ'!CU29</f>
        <v>292226.78628879401</v>
      </c>
      <c r="DW29">
        <f>'TEA Revised Non EYZ'!CV29</f>
        <v>1808931.2781495745</v>
      </c>
      <c r="DX29">
        <f>'TEA Revised Non EYZ'!CW29</f>
        <v>213572.44139332071</v>
      </c>
      <c r="DY29">
        <f>'TEA Revised Non EYZ'!CX29</f>
        <v>4418708.3968808586</v>
      </c>
      <c r="DZ29">
        <f>'TEA Revised Non EYZ'!CY29</f>
        <v>843481.2225111227</v>
      </c>
      <c r="EA29">
        <f>'TEA Revised Non EYZ'!CZ29</f>
        <v>2169252.8234918904</v>
      </c>
      <c r="EB29">
        <f>'TEA Revised Non EYZ'!DA29</f>
        <v>418446.21654616104</v>
      </c>
      <c r="EC29">
        <f>'TEA Revised Non EYZ'!DB29</f>
        <v>2590250.0552623947</v>
      </c>
      <c r="ED29">
        <f>'TEA Revised Non EYZ'!DC29</f>
        <v>305819.26179499162</v>
      </c>
      <c r="EE29">
        <f>'TEA Revised Non EYZ'!DD29</f>
        <v>6327249.579606561</v>
      </c>
      <c r="EF29">
        <v>0.7</v>
      </c>
      <c r="EG29">
        <v>100</v>
      </c>
      <c r="EH29">
        <f>96485*BL29*V29/EF29/EG29/60</f>
        <v>27.876854243457824</v>
      </c>
      <c r="EI29">
        <f>96485*BN29*BA29/EF29/EG29/60</f>
        <v>45.309709437047054</v>
      </c>
      <c r="EJ29">
        <f>EH29*('CAPEX+OPEX'!$O$25+'CAPEX+OPEX'!$O$26)</f>
        <v>888491.09844748781</v>
      </c>
      <c r="EK29">
        <f>EI29*('CAPEX+OPEX'!$O$25+'CAPEX+OPEX'!$O$26)</f>
        <v>1444111.0591775638</v>
      </c>
      <c r="EL29">
        <f>EJ29*1.12/0.6*'CAPEX+OPEX'!$G$116/'CAPEX+OPEX'!$G$115</f>
        <v>1956151.2069656507</v>
      </c>
      <c r="EM29">
        <f>EK29*1.12/0.6*'CAPEX+OPEX'!$G$116/'CAPEX+OPEX'!$G$115</f>
        <v>3179434.88273405</v>
      </c>
      <c r="EN29">
        <f>EL29+EM29+DY29+EE29+1.15*(SUM(DF29:DM29)+SUM(CF29:CI29))</f>
        <v>15979879.23849814</v>
      </c>
      <c r="EO29">
        <f>EN29/15</f>
        <v>1065325.2825665427</v>
      </c>
      <c r="EP29">
        <f>('eLLE Bals'!CB29+'eLLE Bals'!CC29)*'Oxidant Feed Composition'!$N$25*60*7200</f>
        <v>12828540.181195971</v>
      </c>
      <c r="EQ29" s="83">
        <f>('eLLE Bals'!BR29+'eLLE Bals'!BY29)*'Reagent cost'!$C$38*60*7200</f>
        <v>508888.50347417081</v>
      </c>
      <c r="ER29">
        <f>'TEA Revised Non EYZ'!DI29</f>
        <v>504921.59999999998</v>
      </c>
      <c r="ES29">
        <f>'TEA Revised Non EYZ'!DJ29</f>
        <v>90.115693382950013</v>
      </c>
      <c r="ET29">
        <f>'TEA Revised Non EYZ'!DK29</f>
        <v>1098.3939170045348</v>
      </c>
      <c r="EU29">
        <f>1.2*SUM(EP29:ET29)</f>
        <v>16612246.553136632</v>
      </c>
      <c r="EV29">
        <f>'TEA Revised Non EYZ'!DM29</f>
        <v>0.70639694042110623</v>
      </c>
      <c r="EW29">
        <f>(BS29*CO29+BT29*CP29)/1000*('Oxidant Feed Composition'!$B$11*'Oxidant Feed Composition'!$O$20+'Oxidant Feed Composition'!$D$11*'Oxidant Feed Composition'!$O$21+'Oxidant Feed Composition'!$F$11*'Oxidant Feed Composition'!$O$27-'Oxidant Feed Composition'!$J$15*18.015)</f>
        <v>1.8602709503630386</v>
      </c>
      <c r="EX29">
        <f>(CZ29*BX29+DC29*BZ29)*368.34/1000</f>
        <v>0.10272452666269243</v>
      </c>
      <c r="EY29">
        <f>'TEA Revised Non EYZ'!DP29</f>
        <v>4.999938342565946E-2</v>
      </c>
      <c r="EZ29">
        <f>SUM(EV29:EX29)-EY29</f>
        <v>2.619393034021178</v>
      </c>
      <c r="FA29">
        <f>EZ29*0.33*60*7200</f>
        <v>373420.67093005916</v>
      </c>
      <c r="FB29">
        <f>'TEA Revised Non EYZ'!DS29</f>
        <v>1.2</v>
      </c>
      <c r="FC29">
        <v>0.5</v>
      </c>
      <c r="FD29">
        <f>'TEA Revised Non EYZ'!DT29</f>
        <v>1406.5004141824479</v>
      </c>
      <c r="FE29">
        <f>'TEA Revised Non EYZ'!DU29</f>
        <v>706.74603480874009</v>
      </c>
      <c r="FF29">
        <f>'TEA Revised Non EYZ'!DV29</f>
        <v>0.7</v>
      </c>
      <c r="FG29">
        <f>'TEA Revised Non EYZ'!DW29</f>
        <v>33024.331428945443</v>
      </c>
      <c r="FH29">
        <f>'TEA Revised Non EYZ'!DX29</f>
        <v>24915.659383376755</v>
      </c>
      <c r="FI29">
        <f>'TEA Revised Non EYZ'!DY29</f>
        <v>10548.968690542577</v>
      </c>
      <c r="FJ29">
        <f>'TEA Revised Non EYZ'!DZ29</f>
        <v>5588.0830181845758</v>
      </c>
      <c r="FK29">
        <f>'TEA Revised Non EYZ'!EA29</f>
        <v>5626.1166349560426</v>
      </c>
      <c r="FL29">
        <f>'TEA Revised Non EYZ'!EB29</f>
        <v>850.6514504975446</v>
      </c>
      <c r="FM29">
        <f>'TEA Revised Non EYZ'!EC29</f>
        <v>46305.254709964174</v>
      </c>
      <c r="FN29">
        <f>'TEA Revised Non EYZ'!ED29</f>
        <v>46573.487344952133</v>
      </c>
      <c r="FO29">
        <f>'TEA Revised Non EYZ'!EE29</f>
        <v>19718.613593628921</v>
      </c>
      <c r="FP29">
        <f>'TEA Revised Non EYZ'!EF29</f>
        <v>10451.276698437257</v>
      </c>
      <c r="FQ29">
        <f>'TEA Revised Non EYZ'!EG29</f>
        <v>10516.593916602096</v>
      </c>
      <c r="FR29">
        <f>'TEA Revised Non EYZ'!EH29</f>
        <v>427.44000185232608</v>
      </c>
      <c r="FS29">
        <f>'TEA Revised Non EYZ'!EI29</f>
        <v>214546.47687193981</v>
      </c>
      <c r="FT29">
        <f>EG29*EH29</f>
        <v>2787.6854243457824</v>
      </c>
      <c r="FU29">
        <f>EG29*EI29</f>
        <v>4530.9709437047059</v>
      </c>
      <c r="FV29">
        <f>FC29*(FT29+FU29)/(3.6*10^6)*3600*7200*0.07</f>
        <v>1844.3014047487231</v>
      </c>
      <c r="FW29">
        <f>('CAPEX+OPEX'!$C$39/7/100+0.03)*EL29</f>
        <v>100602.06207251917</v>
      </c>
      <c r="FX29">
        <f>('CAPEX+OPEX'!$C$39/7/100+0.03)*EM29</f>
        <v>163513.79396917971</v>
      </c>
      <c r="FY29">
        <f>SUM(FV29:FX29)</f>
        <v>265960.15744644759</v>
      </c>
      <c r="FZ29">
        <f>FY29+FA29+FS29+EU29</f>
        <v>17466173.858385079</v>
      </c>
      <c r="GA29">
        <f>FZ29+EO29</f>
        <v>18531499.140951622</v>
      </c>
      <c r="GB29">
        <f>GA29/(BK29*60*7200)</f>
        <v>0.4289698875220283</v>
      </c>
      <c r="GC29">
        <f>'TEA Revised Non EYZ'!EM29/'TEA Revised Non EYZ'!EK29*GA29</f>
        <v>1434.9857232433906</v>
      </c>
      <c r="GD29">
        <f>'TEA Revised Non EYZ'!EN29/'TEA Revised Non EYZ'!EK29*GA29</f>
        <v>2630.2708814376251</v>
      </c>
    </row>
    <row r="30" spans="1:186">
      <c r="A30">
        <f>'TEA Revised Non EYZ'!A30</f>
        <v>5</v>
      </c>
      <c r="B30">
        <f>'TEA Revised Non EYZ'!B30</f>
        <v>1.54143585092054E-3</v>
      </c>
      <c r="C30">
        <f>'TEA Revised Non EYZ'!C30</f>
        <v>1.54143585092054E-3</v>
      </c>
      <c r="D30">
        <f>'TEA Revised Non EYZ'!D30</f>
        <v>3.4254130020456501E-4</v>
      </c>
      <c r="E30">
        <f>'TEA Revised Non EYZ'!E30</f>
        <v>0</v>
      </c>
      <c r="F30">
        <f>'TEA Revised Non EYZ'!F30</f>
        <v>0</v>
      </c>
      <c r="G30">
        <f>'TEA Revised Non EYZ'!G30</f>
        <v>0</v>
      </c>
      <c r="H30">
        <f>'TEA Revised Non EYZ'!H30</f>
        <v>1.7558377832426001E-5</v>
      </c>
      <c r="I30">
        <f>'TEA Revised Non EYZ'!I30</f>
        <v>1.05063644964669E-7</v>
      </c>
      <c r="J30">
        <f>'TEA Revised Non EYZ'!J30</f>
        <v>3.35605387572801E-4</v>
      </c>
      <c r="K30">
        <f>'TEA Revised Non EYZ'!K30</f>
        <v>0.12557893497872399</v>
      </c>
      <c r="L30">
        <f>'TEA Revised Non EYZ'!L30</f>
        <v>0.12701721899235199</v>
      </c>
      <c r="M30">
        <f>'TEA Revised Non EYZ'!M30</f>
        <v>5.7157122982957897E-4</v>
      </c>
      <c r="N30">
        <f>'TEA Revised Non EYZ'!N30</f>
        <v>-1.88000656708986E-16</v>
      </c>
      <c r="O30">
        <f>'TEA Revised Non EYZ'!O30</f>
        <v>-6.2354635343986299E-15</v>
      </c>
      <c r="P30">
        <f>'TEA Revised Non EYZ'!P30</f>
        <v>-1.51703600853245E-18</v>
      </c>
      <c r="Q30">
        <f>'TEA Revised Non EYZ'!Q30</f>
        <v>0.121348176216534</v>
      </c>
      <c r="R30">
        <f>'TEA Revised Non EYZ'!R30</f>
        <v>97.975160184298204</v>
      </c>
      <c r="S30">
        <f>'TEA Revised Non EYZ'!S30</f>
        <v>500</v>
      </c>
      <c r="T30">
        <f>'TEA Revised Non EYZ'!T30</f>
        <v>95</v>
      </c>
      <c r="U30">
        <f>'TEA Revised Non EYZ'!U30</f>
        <v>1</v>
      </c>
      <c r="V30">
        <f>'TEA Revised Non EYZ'!V30</f>
        <v>0.1</v>
      </c>
      <c r="W30">
        <f>'TEA Revised Non EYZ'!W30</f>
        <v>82.407501388038199</v>
      </c>
      <c r="X30" t="str">
        <f>'TEA Revised Non EYZ'!X30</f>
        <v>ddFc</v>
      </c>
      <c r="Y30">
        <f>'TEA Revised Non EYZ'!Y30</f>
        <v>1</v>
      </c>
      <c r="Z30">
        <f>'TEA Revised Non EYZ'!Z30</f>
        <v>0.28318429382522198</v>
      </c>
      <c r="AA30">
        <f>'TEA Revised Non EYZ'!AA30</f>
        <v>0.56945642916197003</v>
      </c>
      <c r="AB30">
        <f>'TEA Revised Non EYZ'!AB30</f>
        <v>3.7698628972227502E-3</v>
      </c>
      <c r="AC30">
        <f>'TEA Revised Non EYZ'!AC30</f>
        <v>1822.2107908876901</v>
      </c>
      <c r="AD30">
        <f>'TEA Revised Non EYZ'!AD30</f>
        <v>2662.6059073104898</v>
      </c>
      <c r="AE30">
        <f>'TEA Revised Non EYZ'!AE30</f>
        <v>2401.5030938442701</v>
      </c>
      <c r="AF30">
        <f>'TEA Revised Non EYZ'!AF30</f>
        <v>12</v>
      </c>
      <c r="AG30">
        <f>'TEA Revised Non EYZ'!AG30</f>
        <v>1.64912412966352E-3</v>
      </c>
      <c r="AH30">
        <f>'TEA Revised Non EYZ'!AH30</f>
        <v>1.66801192221077E-3</v>
      </c>
      <c r="AI30">
        <f>'TEA Revised Non EYZ'!AI30</f>
        <v>7.5059714998626504E-6</v>
      </c>
      <c r="AJ30">
        <f>'TEA Revised Non EYZ'!AJ30</f>
        <v>0</v>
      </c>
      <c r="AK30">
        <f>'TEA Revised Non EYZ'!AK30</f>
        <v>0</v>
      </c>
      <c r="AL30">
        <f>'TEA Revised Non EYZ'!AL30</f>
        <v>0</v>
      </c>
      <c r="AM30">
        <f>'TEA Revised Non EYZ'!AM30</f>
        <v>1.6121404312672901E-3</v>
      </c>
      <c r="AN30">
        <f>'TEA Revised Non EYZ'!AN30</f>
        <v>7.73929552459276E-5</v>
      </c>
      <c r="AO30">
        <f>'TEA Revised Non EYZ'!AO30</f>
        <v>7.4565411365620697E-6</v>
      </c>
      <c r="AP30">
        <f>'TEA Revised Non EYZ'!AP30</f>
        <v>1.73272364681595E-3</v>
      </c>
      <c r="AQ30">
        <f>'TEA Revised Non EYZ'!AQ30</f>
        <v>7.4522106149284603E-2</v>
      </c>
      <c r="AR30">
        <f>'TEA Revised Non EYZ'!AR30</f>
        <v>2.3158624767325598E-6</v>
      </c>
      <c r="AS30">
        <f>'TEA Revised Non EYZ'!AS30</f>
        <v>1.9933395754324901E-15</v>
      </c>
      <c r="AT30">
        <f>'TEA Revised Non EYZ'!AT30</f>
        <v>-2.0379531395775499E-13</v>
      </c>
      <c r="AU30">
        <f>'TEA Revised Non EYZ'!AU30</f>
        <v>-4.3741310791804103E-21</v>
      </c>
      <c r="AV30">
        <f>'TEA Revised Non EYZ'!AV30</f>
        <v>0.19723216376352101</v>
      </c>
      <c r="AW30">
        <f>'TEA Revised Non EYZ'!AW30</f>
        <v>99.341452824574603</v>
      </c>
      <c r="AX30">
        <f>'TEA Revised Non EYZ'!AX30</f>
        <v>500</v>
      </c>
      <c r="AY30">
        <f>'TEA Revised Non EYZ'!AY30</f>
        <v>95</v>
      </c>
      <c r="AZ30">
        <f>'TEA Revised Non EYZ'!AZ30</f>
        <v>0.92405262022284995</v>
      </c>
      <c r="BA30">
        <f>'TEA Revised Non EYZ'!BA30</f>
        <v>0.1</v>
      </c>
      <c r="BB30">
        <f>'TEA Revised Non EYZ'!BB30</f>
        <v>46.851010635911102</v>
      </c>
      <c r="BC30" t="str">
        <f>'TEA Revised Non EYZ'!BC30</f>
        <v>coeFc</v>
      </c>
      <c r="BD30">
        <f>'TEA Revised Non EYZ'!BD30</f>
        <v>1</v>
      </c>
      <c r="BE30">
        <f>'TEA Revised Non EYZ'!BE30</f>
        <v>1.8775014999999999E-2</v>
      </c>
      <c r="BF30">
        <f>'TEA Revised Non EYZ'!BF30</f>
        <v>0.10492961100000001</v>
      </c>
      <c r="BG30">
        <f>'TEA Revised Non EYZ'!BG30</f>
        <v>1.814625E-3</v>
      </c>
      <c r="BH30">
        <f>'TEA Revised Non EYZ'!BH30</f>
        <v>285.1951444</v>
      </c>
      <c r="BI30">
        <f>'TEA Revised Non EYZ'!BI30</f>
        <v>2169.8944889999998</v>
      </c>
      <c r="BJ30">
        <f>'TEA Revised Non EYZ'!BJ30</f>
        <v>866.49409060000005</v>
      </c>
      <c r="BK30">
        <f>'TEA Revised Non EYZ'!BK30</f>
        <v>100</v>
      </c>
      <c r="BL30">
        <f>'TEA Revised Non EYZ'!BL30</f>
        <v>12.134817621653401</v>
      </c>
      <c r="BM30">
        <f>'TEA Revised Non EYZ'!BM30</f>
        <v>92.405262022285001</v>
      </c>
      <c r="BN30">
        <f>'TEA Revised Non EYZ'!BN30</f>
        <v>19.723216376352102</v>
      </c>
      <c r="BO30">
        <f>'TEA Revised Non EYZ'!BO30</f>
        <v>169.88744670314762</v>
      </c>
      <c r="BP30">
        <f>'TEA Revised Non EYZ'!BP30</f>
        <v>552.25005853785888</v>
      </c>
      <c r="BQ30">
        <f>'TEA Revised Non EYZ'!BQ30</f>
        <v>16.988744670314762</v>
      </c>
      <c r="BR30">
        <f>'TEA Revised Non EYZ'!BR30</f>
        <v>55.225005853785888</v>
      </c>
      <c r="BS30">
        <f>'eLLE Bals'!CF30</f>
        <v>7.2808905729920399</v>
      </c>
      <c r="BT30">
        <f>'eLLE Bals'!CG30</f>
        <v>11.833929825811261</v>
      </c>
      <c r="BU30">
        <f>BM30</f>
        <v>92.405262022285001</v>
      </c>
      <c r="BV30">
        <f>BU30*(AM30*2+AN30*2+AO30*3)</f>
        <v>0.3143106214648167</v>
      </c>
      <c r="BW30">
        <f>BN30*BA30*(AP30*2+AQ30*2+AR30*3)</f>
        <v>0.3008118044390965</v>
      </c>
      <c r="BX30">
        <f>BV30/(2*V30*BL30+BV30)</f>
        <v>0.11465858748454584</v>
      </c>
      <c r="BY30">
        <f>BU30*BX30</f>
        <v>10.595056819614546</v>
      </c>
      <c r="BZ30">
        <f>BW30/(2*BN30*BA30+BW30)</f>
        <v>7.0855019966358637E-2</v>
      </c>
      <c r="CA30">
        <f>2*BN30*BA30/0.04</f>
        <v>98.616081881760522</v>
      </c>
      <c r="CB30">
        <f>(BS30+BL30)*2</f>
        <v>38.831416389290879</v>
      </c>
      <c r="CC30">
        <f>(BU30+BL30)*2</f>
        <v>209.0801592878768</v>
      </c>
      <c r="CD30">
        <f>(BT30+BN30)*2</f>
        <v>63.114292404326726</v>
      </c>
      <c r="CE30">
        <f>(CA30+BN30)*2</f>
        <v>236.67859651622524</v>
      </c>
      <c r="CF30">
        <f>'TEA Revised Non EYZ'!CB30</f>
        <v>2242.5142964815486</v>
      </c>
      <c r="CG30">
        <f>'TEA Revised Non EYZ'!CC30</f>
        <v>7289.7007726997381</v>
      </c>
      <c r="CH30">
        <f>'TEA Revised Non EYZ'!CD30</f>
        <v>2709.3726906065185</v>
      </c>
      <c r="CI30">
        <f>'TEA Revised Non EYZ'!CE30</f>
        <v>56226.109956054243</v>
      </c>
      <c r="CJ30">
        <f>BL30*V30</f>
        <v>1.2134817621653402</v>
      </c>
      <c r="CK30">
        <f>CJ30/2*1.2</f>
        <v>0.72808905729920415</v>
      </c>
      <c r="CL30">
        <f>'eLLE Bals'!CB30*'Oxidant Feed Composition'!$N$20</f>
        <v>4.0449392072178021E-2</v>
      </c>
      <c r="CM30">
        <f>'eLLE Bals'!CB30*'Oxidant Feed Composition'!$N$21</f>
        <v>2.0224696036089003</v>
      </c>
      <c r="CN30">
        <f>'eLLE Bals'!CB30*'Oxidant Feed Composition'!$N$22</f>
        <v>0.6067408810826701</v>
      </c>
      <c r="CO30">
        <f>CN30/CK30</f>
        <v>0.83333333333333326</v>
      </c>
      <c r="CP30">
        <f>CO30</f>
        <v>0.83333333333333326</v>
      </c>
      <c r="CQ30">
        <f>CL30/CO30</f>
        <v>4.8539270486613627E-2</v>
      </c>
      <c r="CR30">
        <f>CM30/CO30</f>
        <v>2.4269635243306804</v>
      </c>
      <c r="CS30">
        <f>BN30*BA30</f>
        <v>1.9723216376352104</v>
      </c>
      <c r="CT30">
        <f>CS30/2*1.2</f>
        <v>1.1833929825811262</v>
      </c>
      <c r="CU30">
        <f>'eLLE Bals'!CC30*'Oxidant Feed Composition'!$N$20</f>
        <v>6.574405458784037E-2</v>
      </c>
      <c r="CV30">
        <f>'eLLE Bals'!CC30*'Oxidant Feed Composition'!$N$21</f>
        <v>3.2872027293920172</v>
      </c>
      <c r="CW30">
        <f>'eLLE Bals'!CC30*'Oxidant Feed Composition'!$N$22</f>
        <v>0.9861608188176052</v>
      </c>
      <c r="CX30">
        <f>CU30/CP30</f>
        <v>7.8892865505408458E-2</v>
      </c>
      <c r="CY30">
        <f>CV30/CP30</f>
        <v>3.9446432752704208</v>
      </c>
      <c r="CZ30">
        <f>CJ30</f>
        <v>1.2134817621653402</v>
      </c>
      <c r="DA30">
        <f>'eLLE Bals'!BQ30</f>
        <v>2.4269635243306804</v>
      </c>
      <c r="DB30">
        <f>'eLLE Bals'!BU30</f>
        <v>6.9429901876644786</v>
      </c>
      <c r="DC30">
        <f>CS30</f>
        <v>1.9723216376352104</v>
      </c>
      <c r="DD30">
        <f>'eLLE Bals'!BX30</f>
        <v>3.9446432752704208</v>
      </c>
      <c r="DE30">
        <f>'eLLE Bals'!CA30</f>
        <v>21.919053460551211</v>
      </c>
      <c r="DF30">
        <f>2*2*(CJ30*'Reagent cost'!$C$36*122.44/1000+CK30*'Oxidant Feed Composition'!$N$26+CQ30*'Reagent cost'!$C$34+CR30*'Reagent cost'!$C$35)</f>
        <v>102.50002761552031</v>
      </c>
      <c r="DG30">
        <f>2*2*(CS30*'Reagent cost'!$C$36*122.44/1000+CT30*'Oxidant Feed Composition'!$N$26+CX30*'Reagent cost'!$C$34+CY30*'Reagent cost'!$C$35)</f>
        <v>166.59749542799639</v>
      </c>
      <c r="DH30">
        <f>(AF30+3)*2*(CZ30*'Reagent cost'!$C$38+DA30*'Reagent cost'!$C$39+DB30*'Reagent cost'!$C$36*122.44/1000)</f>
        <v>1963.2999371366038</v>
      </c>
      <c r="DI30">
        <f>3*2*(DC30*'Reagent cost'!$C$38+DD30*'Reagent cost'!$C$39+DE30*'Reagent cost'!$C$36*122.44/1000)</f>
        <v>1189.9181963547205</v>
      </c>
      <c r="DJ30">
        <f>7963.6*(CB30/1000)^0.6*1.7*('CAPEX+OPEX'!$G$116/'CAPEX+OPEX'!$G$115)</f>
        <v>2273.7926954959794</v>
      </c>
      <c r="DK30">
        <f>7963.6*(CC30/1000)^0.6*1.7*('CAPEX+OPEX'!$G$116/'CAPEX+OPEX'!$G$115)</f>
        <v>6243.5072626595684</v>
      </c>
      <c r="DL30">
        <f>7963.6*(CD30/1000)^0.6*1.7*('CAPEX+OPEX'!$G$116/'CAPEX+OPEX'!$G$115)</f>
        <v>3043.1093498360469</v>
      </c>
      <c r="DM30">
        <f>7963.6*(CE30/1000)^0.6*1.7*('CAPEX+OPEX'!$G$116/'CAPEX+OPEX'!$G$115)</f>
        <v>6725.681839605556</v>
      </c>
      <c r="DN30">
        <f>'TEA Revised Non EYZ'!CM30</f>
        <v>39625.826528698344</v>
      </c>
      <c r="DO30">
        <f>'TEA Revised Non EYZ'!CN30</f>
        <v>4586243.4239371875</v>
      </c>
      <c r="DP30">
        <f>'TEA Revised Non EYZ'!CO30</f>
        <v>11794834.586807497</v>
      </c>
      <c r="DQ30">
        <f>'TEA Revised Non EYZ'!CP30</f>
        <v>2275209.1661185985</v>
      </c>
      <c r="DR30">
        <f>'TEA Revised Non EYZ'!CQ30</f>
        <v>14083914.336508472</v>
      </c>
      <c r="DS30">
        <f>'TEA Revised Non EYZ'!CR30</f>
        <v>1662824.8986326549</v>
      </c>
      <c r="DT30">
        <f>'TEA Revised Non EYZ'!CS30</f>
        <v>589054.93036564998</v>
      </c>
      <c r="DU30">
        <f>'TEA Revised Non EYZ'!CT30</f>
        <v>1514922.9606835202</v>
      </c>
      <c r="DV30">
        <f>'TEA Revised Non EYZ'!CU30</f>
        <v>292226.78628879401</v>
      </c>
      <c r="DW30">
        <f>'TEA Revised Non EYZ'!CV30</f>
        <v>1808931.2781495745</v>
      </c>
      <c r="DX30">
        <f>'TEA Revised Non EYZ'!CW30</f>
        <v>213572.44139332071</v>
      </c>
      <c r="DY30">
        <f>'TEA Revised Non EYZ'!CX30</f>
        <v>4418708.3968808586</v>
      </c>
      <c r="DZ30">
        <f>'TEA Revised Non EYZ'!CY30</f>
        <v>884978.42390710395</v>
      </c>
      <c r="EA30">
        <f>'TEA Revised Non EYZ'!CZ30</f>
        <v>2275974.7265915852</v>
      </c>
      <c r="EB30">
        <f>'TEA Revised Non EYZ'!DA30</f>
        <v>439032.74112783116</v>
      </c>
      <c r="EC30">
        <f>'TEA Revised Non EYZ'!DB30</f>
        <v>2717683.9866179414</v>
      </c>
      <c r="ED30">
        <f>'TEA Revised Non EYZ'!DC30</f>
        <v>320864.81723687309</v>
      </c>
      <c r="EE30">
        <f>'TEA Revised Non EYZ'!DD30</f>
        <v>6638534.6954813348</v>
      </c>
      <c r="EF30">
        <v>0.7</v>
      </c>
      <c r="EG30">
        <v>100</v>
      </c>
      <c r="EH30">
        <f>96485*BL30*V30/EF30/EG30/60</f>
        <v>27.876854243457824</v>
      </c>
      <c r="EI30">
        <f>96485*BN30*BA30/EF30/EG30/60</f>
        <v>45.309393620769832</v>
      </c>
      <c r="EJ30">
        <f>EH30*('CAPEX+OPEX'!$O$25+'CAPEX+OPEX'!$O$26)</f>
        <v>888491.09844748781</v>
      </c>
      <c r="EK30">
        <f>EI30*('CAPEX+OPEX'!$O$25+'CAPEX+OPEX'!$O$26)</f>
        <v>1444100.993481176</v>
      </c>
      <c r="EL30">
        <f>EJ30*1.12/0.6*'CAPEX+OPEX'!$G$116/'CAPEX+OPEX'!$G$115</f>
        <v>1956151.2069656507</v>
      </c>
      <c r="EM30">
        <f>EK30*1.12/0.6*'CAPEX+OPEX'!$G$116/'CAPEX+OPEX'!$G$115</f>
        <v>3179412.7215394448</v>
      </c>
      <c r="EN30">
        <f>EL30+EM30+DY30+EE30+1.15*(SUM(DF30:DM30)+SUM(CF30:CI30))</f>
        <v>16296509.541065259</v>
      </c>
      <c r="EO30">
        <f>EN30/15</f>
        <v>1086433.9694043505</v>
      </c>
      <c r="EP30">
        <f>('eLLE Bals'!CB30+'eLLE Bals'!CC30)*'Oxidant Feed Composition'!$N$25*60*7200</f>
        <v>12828484.823195834</v>
      </c>
      <c r="EQ30" s="83">
        <f>('eLLE Bals'!BR30+'eLLE Bals'!BY30)*'Reagent cost'!$C$38*60*7200</f>
        <v>508888.36453992384</v>
      </c>
      <c r="ER30">
        <f>'TEA Revised Non EYZ'!DI30</f>
        <v>504921.59999999998</v>
      </c>
      <c r="ES30">
        <f>'TEA Revised Non EYZ'!DJ30</f>
        <v>95.322150691812865</v>
      </c>
      <c r="ET30">
        <f>'TEA Revised Non EYZ'!DK30</f>
        <v>1178.7096529332152</v>
      </c>
      <c r="EU30">
        <f>1.2*SUM(EP30:ET30)</f>
        <v>16612282.583447257</v>
      </c>
      <c r="EV30">
        <f>'TEA Revised Non EYZ'!DM30</f>
        <v>0.70639694042110623</v>
      </c>
      <c r="EW30">
        <f>(BS30*CO30+BT30*CP30)/1000*('Oxidant Feed Composition'!$B$11*'Oxidant Feed Composition'!$O$20+'Oxidant Feed Composition'!$D$11*'Oxidant Feed Composition'!$O$21+'Oxidant Feed Composition'!$F$11*'Oxidant Feed Composition'!$O$27-'Oxidant Feed Composition'!$J$15*18.015)</f>
        <v>1.8602629228807162</v>
      </c>
      <c r="EX30">
        <f>(CZ30*BX30+DC30*BZ30)*368.34/1000</f>
        <v>0.10272449861734524</v>
      </c>
      <c r="EY30">
        <f>'TEA Revised Non EYZ'!DP30</f>
        <v>4.999938342565946E-2</v>
      </c>
      <c r="EZ30">
        <f>SUM(EV30:EX30)-EY30</f>
        <v>2.6193849784935086</v>
      </c>
      <c r="FA30">
        <f>EZ30*0.33*60*7200</f>
        <v>373419.52253403462</v>
      </c>
      <c r="FB30">
        <f>'TEA Revised Non EYZ'!DS30</f>
        <v>1.2</v>
      </c>
      <c r="FC30">
        <v>0.5</v>
      </c>
      <c r="FD30">
        <f>'TEA Revised Non EYZ'!DT30</f>
        <v>1406.5012186924448</v>
      </c>
      <c r="FE30">
        <f>'TEA Revised Non EYZ'!DU30</f>
        <v>706.74523039054441</v>
      </c>
      <c r="FF30">
        <f>'TEA Revised Non EYZ'!DV30</f>
        <v>0.7</v>
      </c>
      <c r="FG30">
        <f>'TEA Revised Non EYZ'!DW30</f>
        <v>33024.331428945443</v>
      </c>
      <c r="FH30">
        <f>'TEA Revised Non EYZ'!DX30</f>
        <v>24915.659383376755</v>
      </c>
      <c r="FI30">
        <f>'TEA Revised Non EYZ'!DY30</f>
        <v>10548.968690542577</v>
      </c>
      <c r="FJ30">
        <f>'TEA Revised Non EYZ'!DZ30</f>
        <v>5588.0830181845758</v>
      </c>
      <c r="FK30">
        <f>'TEA Revised Non EYZ'!EA30</f>
        <v>5626.1166349560426</v>
      </c>
      <c r="FL30">
        <f>'TEA Revised Non EYZ'!EB30</f>
        <v>850.65193706519062</v>
      </c>
      <c r="FM30">
        <f>'TEA Revised Non EYZ'!EC30</f>
        <v>48877.768860517739</v>
      </c>
      <c r="FN30">
        <f>'TEA Revised Non EYZ'!ED30</f>
        <v>50454.611290364817</v>
      </c>
      <c r="FO30">
        <f>'TEA Revised Non EYZ'!EE30</f>
        <v>21361.831393098</v>
      </c>
      <c r="FP30">
        <f>'TEA Revised Non EYZ'!EF30</f>
        <v>11322.216423307031</v>
      </c>
      <c r="FQ30">
        <f>'TEA Revised Non EYZ'!EG30</f>
        <v>11392.976742985606</v>
      </c>
      <c r="FR30">
        <f>'TEA Revised Non EYZ'!EH30</f>
        <v>427.4395153402013</v>
      </c>
      <c r="FS30">
        <f>'TEA Revised Non EYZ'!EI30</f>
        <v>224390.65531868394</v>
      </c>
      <c r="FT30">
        <f>EG30*EH30</f>
        <v>2787.6854243457824</v>
      </c>
      <c r="FU30">
        <f>EG30*EI30</f>
        <v>4530.9393620769833</v>
      </c>
      <c r="FV30">
        <f>FC30*(FT30+FU30)/(3.6*10^6)*3600*7200*0.07</f>
        <v>1844.2934461785371</v>
      </c>
      <c r="FW30">
        <f>('CAPEX+OPEX'!$C$39/7/100+0.03)*EL30</f>
        <v>100602.06207251917</v>
      </c>
      <c r="FX30">
        <f>('CAPEX+OPEX'!$C$39/7/100+0.03)*EM30</f>
        <v>163512.65425060003</v>
      </c>
      <c r="FY30">
        <f>SUM(FV30:FX30)</f>
        <v>265959.00976929773</v>
      </c>
      <c r="FZ30">
        <f>FY30+FA30+FS30+EU30</f>
        <v>17476051.771069273</v>
      </c>
      <c r="GA30">
        <f>FZ30+EO30</f>
        <v>18562485.740473624</v>
      </c>
      <c r="GB30">
        <f>GA30/(BK30*60*7200)</f>
        <v>0.42968716991837091</v>
      </c>
      <c r="GC30">
        <f>'TEA Revised Non EYZ'!EM30/'TEA Revised Non EYZ'!EK30*GA30</f>
        <v>1437.3843461581066</v>
      </c>
      <c r="GD30">
        <f>'TEA Revised Non EYZ'!EN30/'TEA Revised Non EYZ'!EK30*GA30</f>
        <v>2634.671733074088</v>
      </c>
    </row>
    <row r="31" spans="1:186">
      <c r="A31">
        <f>'TEA Revised Non EYZ'!A31</f>
        <v>5</v>
      </c>
      <c r="B31">
        <f>'TEA Revised Non EYZ'!B31</f>
        <v>1.54143585092054E-3</v>
      </c>
      <c r="C31">
        <f>'TEA Revised Non EYZ'!C31</f>
        <v>1.54143585092054E-3</v>
      </c>
      <c r="D31">
        <f>'TEA Revised Non EYZ'!D31</f>
        <v>3.4254130020456501E-4</v>
      </c>
      <c r="E31">
        <f>'TEA Revised Non EYZ'!E31</f>
        <v>0</v>
      </c>
      <c r="F31">
        <f>'TEA Revised Non EYZ'!F31</f>
        <v>0</v>
      </c>
      <c r="G31">
        <f>'TEA Revised Non EYZ'!G31</f>
        <v>0</v>
      </c>
      <c r="H31">
        <f>'TEA Revised Non EYZ'!H31</f>
        <v>1.7558377832426001E-5</v>
      </c>
      <c r="I31">
        <f>'TEA Revised Non EYZ'!I31</f>
        <v>1.05063644964669E-7</v>
      </c>
      <c r="J31">
        <f>'TEA Revised Non EYZ'!J31</f>
        <v>3.35605387572801E-4</v>
      </c>
      <c r="K31">
        <f>'TEA Revised Non EYZ'!K31</f>
        <v>0.12557893497872399</v>
      </c>
      <c r="L31">
        <f>'TEA Revised Non EYZ'!L31</f>
        <v>0.12701721899235199</v>
      </c>
      <c r="M31">
        <f>'TEA Revised Non EYZ'!M31</f>
        <v>5.7157122982957897E-4</v>
      </c>
      <c r="N31">
        <f>'TEA Revised Non EYZ'!N31</f>
        <v>-1.88000656708986E-16</v>
      </c>
      <c r="O31">
        <f>'TEA Revised Non EYZ'!O31</f>
        <v>-6.2354635343986299E-15</v>
      </c>
      <c r="P31">
        <f>'TEA Revised Non EYZ'!P31</f>
        <v>-1.51703600853245E-18</v>
      </c>
      <c r="Q31">
        <f>'TEA Revised Non EYZ'!Q31</f>
        <v>0.121348176216534</v>
      </c>
      <c r="R31">
        <f>'TEA Revised Non EYZ'!R31</f>
        <v>97.975160184298204</v>
      </c>
      <c r="S31">
        <f>'TEA Revised Non EYZ'!S31</f>
        <v>500</v>
      </c>
      <c r="T31">
        <f>'TEA Revised Non EYZ'!T31</f>
        <v>95</v>
      </c>
      <c r="U31">
        <f>'TEA Revised Non EYZ'!U31</f>
        <v>1</v>
      </c>
      <c r="V31">
        <f>'TEA Revised Non EYZ'!V31</f>
        <v>0.1</v>
      </c>
      <c r="W31">
        <f>'TEA Revised Non EYZ'!W31</f>
        <v>82.407501388038199</v>
      </c>
      <c r="X31" t="str">
        <f>'TEA Revised Non EYZ'!X31</f>
        <v>ddFc</v>
      </c>
      <c r="Y31">
        <f>'TEA Revised Non EYZ'!Y31</f>
        <v>1</v>
      </c>
      <c r="Z31">
        <f>'TEA Revised Non EYZ'!Z31</f>
        <v>0.28318429382522198</v>
      </c>
      <c r="AA31">
        <f>'TEA Revised Non EYZ'!AA31</f>
        <v>0.56945642916197003</v>
      </c>
      <c r="AB31">
        <f>'TEA Revised Non EYZ'!AB31</f>
        <v>3.7698628972227502E-3</v>
      </c>
      <c r="AC31">
        <f>'TEA Revised Non EYZ'!AC31</f>
        <v>1822.2107908876901</v>
      </c>
      <c r="AD31">
        <f>'TEA Revised Non EYZ'!AD31</f>
        <v>2662.6059073104898</v>
      </c>
      <c r="AE31">
        <f>'TEA Revised Non EYZ'!AE31</f>
        <v>2401.5030938442701</v>
      </c>
      <c r="AF31">
        <f>'TEA Revised Non EYZ'!AF31</f>
        <v>13</v>
      </c>
      <c r="AG31">
        <f>'TEA Revised Non EYZ'!AG31</f>
        <v>1.64912412966352E-3</v>
      </c>
      <c r="AH31">
        <f>'TEA Revised Non EYZ'!AH31</f>
        <v>1.66801192221077E-3</v>
      </c>
      <c r="AI31">
        <f>'TEA Revised Non EYZ'!AI31</f>
        <v>7.5059714998626504E-6</v>
      </c>
      <c r="AJ31">
        <f>'TEA Revised Non EYZ'!AJ31</f>
        <v>0</v>
      </c>
      <c r="AK31">
        <f>'TEA Revised Non EYZ'!AK31</f>
        <v>0</v>
      </c>
      <c r="AL31">
        <f>'TEA Revised Non EYZ'!AL31</f>
        <v>0</v>
      </c>
      <c r="AM31">
        <f>'TEA Revised Non EYZ'!AM31</f>
        <v>1.61214069129301E-3</v>
      </c>
      <c r="AN31">
        <f>'TEA Revised Non EYZ'!AN31</f>
        <v>7.7392968598377306E-5</v>
      </c>
      <c r="AO31">
        <f>'TEA Revised Non EYZ'!AO31</f>
        <v>7.4565414696759002E-6</v>
      </c>
      <c r="AP31">
        <f>'TEA Revised Non EYZ'!AP31</f>
        <v>1.73271486747767E-3</v>
      </c>
      <c r="AQ31">
        <f>'TEA Revised Non EYZ'!AQ31</f>
        <v>7.4522251874090506E-2</v>
      </c>
      <c r="AR31">
        <f>'TEA Revised Non EYZ'!AR31</f>
        <v>2.3158514183141602E-6</v>
      </c>
      <c r="AS31">
        <f>'TEA Revised Non EYZ'!AS31</f>
        <v>2.9341221292888898E-18</v>
      </c>
      <c r="AT31">
        <f>'TEA Revised Non EYZ'!AT31</f>
        <v>-2.4871597836817398E-16</v>
      </c>
      <c r="AU31">
        <f>'TEA Revised Non EYZ'!AU31</f>
        <v>-1.16467030247466E-21</v>
      </c>
      <c r="AV31">
        <f>'TEA Revised Non EYZ'!AV31</f>
        <v>0.19723177640219999</v>
      </c>
      <c r="AW31">
        <f>'TEA Revised Non EYZ'!AW31</f>
        <v>99.341457262558706</v>
      </c>
      <c r="AX31">
        <f>'TEA Revised Non EYZ'!AX31</f>
        <v>500</v>
      </c>
      <c r="AY31">
        <f>'TEA Revised Non EYZ'!AY31</f>
        <v>95</v>
      </c>
      <c r="AZ31">
        <f>'TEA Revised Non EYZ'!AZ31</f>
        <v>0.92405262022284995</v>
      </c>
      <c r="BA31">
        <f>'TEA Revised Non EYZ'!BA31</f>
        <v>0.1</v>
      </c>
      <c r="BB31">
        <f>'TEA Revised Non EYZ'!BB31</f>
        <v>46.851102650847501</v>
      </c>
      <c r="BC31" t="str">
        <f>'TEA Revised Non EYZ'!BC31</f>
        <v>coeFc</v>
      </c>
      <c r="BD31">
        <f>'TEA Revised Non EYZ'!BD31</f>
        <v>1</v>
      </c>
      <c r="BE31">
        <f>'TEA Revised Non EYZ'!BE31</f>
        <v>1.8775014999999999E-2</v>
      </c>
      <c r="BF31">
        <f>'TEA Revised Non EYZ'!BF31</f>
        <v>0.10492961100000001</v>
      </c>
      <c r="BG31">
        <f>'TEA Revised Non EYZ'!BG31</f>
        <v>1.814625E-3</v>
      </c>
      <c r="BH31">
        <f>'TEA Revised Non EYZ'!BH31</f>
        <v>285.1951444</v>
      </c>
      <c r="BI31">
        <f>'TEA Revised Non EYZ'!BI31</f>
        <v>2169.8944889999998</v>
      </c>
      <c r="BJ31">
        <f>'TEA Revised Non EYZ'!BJ31</f>
        <v>866.49409060000005</v>
      </c>
      <c r="BK31">
        <f>'TEA Revised Non EYZ'!BK31</f>
        <v>100</v>
      </c>
      <c r="BL31">
        <f>'TEA Revised Non EYZ'!BL31</f>
        <v>12.134817621653401</v>
      </c>
      <c r="BM31">
        <f>'TEA Revised Non EYZ'!BM31</f>
        <v>92.405262022285001</v>
      </c>
      <c r="BN31">
        <f>'TEA Revised Non EYZ'!BN31</f>
        <v>19.723177640219998</v>
      </c>
      <c r="BO31">
        <f>'TEA Revised Non EYZ'!BO31</f>
        <v>169.88744670314762</v>
      </c>
      <c r="BP31">
        <f>'TEA Revised Non EYZ'!BP31</f>
        <v>591.69532920659992</v>
      </c>
      <c r="BQ31">
        <f>'TEA Revised Non EYZ'!BQ31</f>
        <v>16.988744670314762</v>
      </c>
      <c r="BR31">
        <f>'TEA Revised Non EYZ'!BR31</f>
        <v>59.169532920659996</v>
      </c>
      <c r="BS31">
        <f>'eLLE Bals'!CF31</f>
        <v>7.2808905729920399</v>
      </c>
      <c r="BT31">
        <f>'eLLE Bals'!CG31</f>
        <v>11.833906584131999</v>
      </c>
      <c r="BU31">
        <f>BM31</f>
        <v>92.405262022285001</v>
      </c>
      <c r="BV31">
        <f>BU31*(AM31*2+AN31*2+AO31*3)</f>
        <v>0.31431067208032387</v>
      </c>
      <c r="BW31">
        <f>BN31*BA31*(AP31*2+AQ31*2+AR31*3)</f>
        <v>0.30081175378327696</v>
      </c>
      <c r="BX31">
        <f>BV31/(2*V31*BL31+BV31)</f>
        <v>0.11465860383169008</v>
      </c>
      <c r="BY31">
        <f>BU31*BX31</f>
        <v>10.595058330176693</v>
      </c>
      <c r="BZ31">
        <f>BW31/(2*BN31*BA31+BW31)</f>
        <v>7.0855138178468918E-2</v>
      </c>
      <c r="CA31">
        <f>2*BN31*BA31/0.04</f>
        <v>98.615888201099992</v>
      </c>
      <c r="CB31">
        <f>(BS31+BL31)*2</f>
        <v>38.831416389290879</v>
      </c>
      <c r="CC31">
        <f>(BU31+BL31)*2</f>
        <v>209.0801592878768</v>
      </c>
      <c r="CD31">
        <f>(BT31+BN31)*2</f>
        <v>63.114168448703992</v>
      </c>
      <c r="CE31">
        <f>(CA31+BN31)*2</f>
        <v>236.67813168263999</v>
      </c>
      <c r="CF31">
        <f>'TEA Revised Non EYZ'!CB31</f>
        <v>2242.5142964815486</v>
      </c>
      <c r="CG31">
        <f>'TEA Revised Non EYZ'!CC31</f>
        <v>7810.3783455271196</v>
      </c>
      <c r="CH31">
        <f>'TEA Revised Non EYZ'!CD31</f>
        <v>2709.3726906065185</v>
      </c>
      <c r="CI31">
        <f>'TEA Revised Non EYZ'!CE31</f>
        <v>60242.142352210001</v>
      </c>
      <c r="CJ31">
        <f>BL31*V31</f>
        <v>1.2134817621653402</v>
      </c>
      <c r="CK31">
        <f>CJ31/2*1.2</f>
        <v>0.72808905729920415</v>
      </c>
      <c r="CL31">
        <f>'eLLE Bals'!CB31*'Oxidant Feed Composition'!$N$20</f>
        <v>4.0449392072178021E-2</v>
      </c>
      <c r="CM31">
        <f>'eLLE Bals'!CB31*'Oxidant Feed Composition'!$N$21</f>
        <v>2.0224696036089003</v>
      </c>
      <c r="CN31">
        <f>'eLLE Bals'!CB31*'Oxidant Feed Composition'!$N$22</f>
        <v>0.6067408810826701</v>
      </c>
      <c r="CO31">
        <f>CN31/CK31</f>
        <v>0.83333333333333326</v>
      </c>
      <c r="CP31">
        <f>CO31</f>
        <v>0.83333333333333326</v>
      </c>
      <c r="CQ31">
        <f>CL31/CO31</f>
        <v>4.8539270486613627E-2</v>
      </c>
      <c r="CR31">
        <f>CM31/CO31</f>
        <v>2.4269635243306804</v>
      </c>
      <c r="CS31">
        <f>BN31*BA31</f>
        <v>1.9723177640219998</v>
      </c>
      <c r="CT31">
        <f>CS31/2*1.2</f>
        <v>1.1833906584131999</v>
      </c>
      <c r="CU31">
        <f>'eLLE Bals'!CC31*'Oxidant Feed Composition'!$N$20</f>
        <v>6.5743925467400016E-2</v>
      </c>
      <c r="CV31">
        <f>'eLLE Bals'!CC31*'Oxidant Feed Composition'!$N$21</f>
        <v>3.2871962733699998</v>
      </c>
      <c r="CW31">
        <f>'eLLE Bals'!CC31*'Oxidant Feed Composition'!$N$22</f>
        <v>0.98615888201099988</v>
      </c>
      <c r="CX31">
        <f>CU31/CP31</f>
        <v>7.8892710560880028E-2</v>
      </c>
      <c r="CY31">
        <f>CV31/CP31</f>
        <v>3.944635528044</v>
      </c>
      <c r="CZ31">
        <f>CJ31</f>
        <v>1.2134817621653402</v>
      </c>
      <c r="DA31">
        <f>'eLLE Bals'!BQ31</f>
        <v>2.4269635243306804</v>
      </c>
      <c r="DB31">
        <f>'eLLE Bals'!BU31</f>
        <v>6.9429886784481578</v>
      </c>
      <c r="DC31">
        <f>CS31</f>
        <v>1.9723177640219998</v>
      </c>
      <c r="DD31">
        <f>'eLLE Bals'!BX31</f>
        <v>3.9446355280439995</v>
      </c>
      <c r="DE31">
        <f>'eLLE Bals'!CA31</f>
        <v>21.918963971325024</v>
      </c>
      <c r="DF31">
        <f>2*2*(CJ31*'Reagent cost'!$C$36*122.44/1000+CK31*'Oxidant Feed Composition'!$N$26+CQ31*'Reagent cost'!$C$34+CR31*'Reagent cost'!$C$35)</f>
        <v>102.50002761552031</v>
      </c>
      <c r="DG31">
        <f>2*2*(CS31*'Reagent cost'!$C$36*122.44/1000+CT31*'Oxidant Feed Composition'!$N$26+CX31*'Reagent cost'!$C$34+CY31*'Reagent cost'!$C$35)</f>
        <v>166.59716823275255</v>
      </c>
      <c r="DH31">
        <f>(AF31+3)*2*(CZ31*'Reagent cost'!$C$38+DA31*'Reagent cost'!$C$39+DB31*'Reagent cost'!$C$36*122.44/1000)</f>
        <v>2094.1861820200547</v>
      </c>
      <c r="DI31">
        <f>3*2*(DC31*'Reagent cost'!$C$38+DD31*'Reagent cost'!$C$39+DE31*'Reagent cost'!$C$36*122.44/1000)</f>
        <v>1189.9134500253913</v>
      </c>
      <c r="DJ31">
        <f>7963.6*(CB31/1000)^0.6*1.7*('CAPEX+OPEX'!$G$116/'CAPEX+OPEX'!$G$115)</f>
        <v>2273.7926954959794</v>
      </c>
      <c r="DK31">
        <f>7963.6*(CC31/1000)^0.6*1.7*('CAPEX+OPEX'!$G$116/'CAPEX+OPEX'!$G$115)</f>
        <v>6243.5072626595684</v>
      </c>
      <c r="DL31">
        <f>7963.6*(CD31/1000)^0.6*1.7*('CAPEX+OPEX'!$G$116/'CAPEX+OPEX'!$G$115)</f>
        <v>3043.1057638590996</v>
      </c>
      <c r="DM31">
        <f>7963.6*(CE31/1000)^0.6*1.7*('CAPEX+OPEX'!$G$116/'CAPEX+OPEX'!$G$115)</f>
        <v>6725.673914113152</v>
      </c>
      <c r="DN31">
        <f>'TEA Revised Non EYZ'!CM31</f>
        <v>39625.826528698344</v>
      </c>
      <c r="DO31">
        <f>'TEA Revised Non EYZ'!CN31</f>
        <v>4586243.4239371875</v>
      </c>
      <c r="DP31">
        <f>'TEA Revised Non EYZ'!CO31</f>
        <v>11794834.586807497</v>
      </c>
      <c r="DQ31">
        <f>'TEA Revised Non EYZ'!CP31</f>
        <v>2275209.1661185985</v>
      </c>
      <c r="DR31">
        <f>'TEA Revised Non EYZ'!CQ31</f>
        <v>14083914.336508472</v>
      </c>
      <c r="DS31">
        <f>'TEA Revised Non EYZ'!CR31</f>
        <v>1662824.8986326549</v>
      </c>
      <c r="DT31">
        <f>'TEA Revised Non EYZ'!CS31</f>
        <v>589054.93036564998</v>
      </c>
      <c r="DU31">
        <f>'TEA Revised Non EYZ'!CT31</f>
        <v>1514922.9606835202</v>
      </c>
      <c r="DV31">
        <f>'TEA Revised Non EYZ'!CU31</f>
        <v>292226.78628879401</v>
      </c>
      <c r="DW31">
        <f>'TEA Revised Non EYZ'!CV31</f>
        <v>1808931.2781495745</v>
      </c>
      <c r="DX31">
        <f>'TEA Revised Non EYZ'!CW31</f>
        <v>213572.44139332071</v>
      </c>
      <c r="DY31">
        <f>'TEA Revised Non EYZ'!CX31</f>
        <v>4418708.3968808586</v>
      </c>
      <c r="DZ31">
        <f>'TEA Revised Non EYZ'!CY31</f>
        <v>925216.76281415427</v>
      </c>
      <c r="EA31">
        <f>'TEA Revised Non EYZ'!CZ31</f>
        <v>2379459.1053272258</v>
      </c>
      <c r="EB31">
        <f>'TEA Revised Non EYZ'!DA31</f>
        <v>458994.7512193307</v>
      </c>
      <c r="EC31">
        <f>'TEA Revised Non EYZ'!DB31</f>
        <v>2841252.0718295593</v>
      </c>
      <c r="ED31">
        <f>'TEA Revised Non EYZ'!DC31</f>
        <v>335453.94948071335</v>
      </c>
      <c r="EE31">
        <f>'TEA Revised Non EYZ'!DD31</f>
        <v>6940376.6406709841</v>
      </c>
      <c r="EF31">
        <v>0.7</v>
      </c>
      <c r="EG31">
        <v>100</v>
      </c>
      <c r="EH31">
        <f>96485*BL31*V31/EF31/EG31/60</f>
        <v>27.876854243457824</v>
      </c>
      <c r="EI31">
        <f>96485*BN31*BA31/EF31/EG31/60</f>
        <v>45.309304633729205</v>
      </c>
      <c r="EJ31">
        <f>EH31*('CAPEX+OPEX'!$O$25+'CAPEX+OPEX'!$O$26)</f>
        <v>888491.09844748781</v>
      </c>
      <c r="EK31">
        <f>EI31*('CAPEX+OPEX'!$O$25+'CAPEX+OPEX'!$O$26)</f>
        <v>1444098.1572862172</v>
      </c>
      <c r="EL31">
        <f>EJ31*1.12/0.6*'CAPEX+OPEX'!$G$116/'CAPEX+OPEX'!$G$115</f>
        <v>1956151.2069656507</v>
      </c>
      <c r="EM31">
        <f>EK31*1.12/0.6*'CAPEX+OPEX'!$G$116/'CAPEX+OPEX'!$G$115</f>
        <v>3179406.4772155555</v>
      </c>
      <c r="EN31">
        <f>EL31+EM31+DY31+EE31+1.15*(SUM(DF31:DM31)+SUM(CF31:CI31))</f>
        <v>16603712.958504222</v>
      </c>
      <c r="EO31">
        <f>EN31/15</f>
        <v>1106914.1972336147</v>
      </c>
      <c r="EP31">
        <f>('eLLE Bals'!CB31+'eLLE Bals'!CC31)*'Oxidant Feed Composition'!$N$25*60*7200</f>
        <v>12828469.225061849</v>
      </c>
      <c r="EQ31" s="83">
        <f>('eLLE Bals'!BR31+'eLLE Bals'!BY31)*'Reagent cost'!$C$38*60*7200</f>
        <v>508888.32535188796</v>
      </c>
      <c r="ER31">
        <f>'TEA Revised Non EYZ'!DI31</f>
        <v>504921.59999999998</v>
      </c>
      <c r="ES31">
        <f>'TEA Revised Non EYZ'!DJ31</f>
        <v>100.52892642008669</v>
      </c>
      <c r="ET31">
        <f>'TEA Revised Non EYZ'!DK31</f>
        <v>1259.0303008563305</v>
      </c>
      <c r="EU31">
        <f>1.2*SUM(EP31:ET31)</f>
        <v>16612366.451569214</v>
      </c>
      <c r="EV31">
        <f>'TEA Revised Non EYZ'!DM31</f>
        <v>0.70639694042110623</v>
      </c>
      <c r="EW31">
        <f>(BS31*CO31+BT31*CP31)/1000*('Oxidant Feed Composition'!$B$11*'Oxidant Feed Composition'!$O$20+'Oxidant Feed Composition'!$D$11*'Oxidant Feed Composition'!$O$21+'Oxidant Feed Composition'!$F$11*'Oxidant Feed Composition'!$O$27-'Oxidant Feed Composition'!$J$15*18.015)</f>
        <v>1.8602606609900318</v>
      </c>
      <c r="EX31">
        <f>(CZ31*BX31+DC31*BZ31)*368.34/1000</f>
        <v>0.10272449070682571</v>
      </c>
      <c r="EY31">
        <f>'TEA Revised Non EYZ'!DP31</f>
        <v>4.999938342565946E-2</v>
      </c>
      <c r="EZ31">
        <f>SUM(EV31:EX31)-EY31</f>
        <v>2.6193827086923043</v>
      </c>
      <c r="FA31">
        <f>EZ31*0.33*60*7200</f>
        <v>373419.19895117491</v>
      </c>
      <c r="FB31">
        <f>'TEA Revised Non EYZ'!DS31</f>
        <v>1.2</v>
      </c>
      <c r="FC31">
        <v>0.5</v>
      </c>
      <c r="FD31">
        <f>'TEA Revised Non EYZ'!DT31</f>
        <v>1406.5014453655667</v>
      </c>
      <c r="FE31">
        <f>'TEA Revised Non EYZ'!DU31</f>
        <v>706.74500362572746</v>
      </c>
      <c r="FF31">
        <f>'TEA Revised Non EYZ'!DV31</f>
        <v>0.7</v>
      </c>
      <c r="FG31">
        <f>'TEA Revised Non EYZ'!DW31</f>
        <v>33024.331428945443</v>
      </c>
      <c r="FH31">
        <f>'TEA Revised Non EYZ'!DX31</f>
        <v>24915.659383376755</v>
      </c>
      <c r="FI31">
        <f>'TEA Revised Non EYZ'!DY31</f>
        <v>10548.968690542577</v>
      </c>
      <c r="FJ31">
        <f>'TEA Revised Non EYZ'!DZ31</f>
        <v>5588.0830181845758</v>
      </c>
      <c r="FK31">
        <f>'TEA Revised Non EYZ'!EA31</f>
        <v>5626.1166349560426</v>
      </c>
      <c r="FL31">
        <f>'TEA Revised Non EYZ'!EB31</f>
        <v>850.65207415709494</v>
      </c>
      <c r="FM31">
        <f>'TEA Revised Non EYZ'!EC31</f>
        <v>51450.283011071304</v>
      </c>
      <c r="FN31">
        <f>'TEA Revised Non EYZ'!ED31</f>
        <v>54335.73523577748</v>
      </c>
      <c r="FO31">
        <f>'TEA Revised Non EYZ'!EE31</f>
        <v>23005.049192567072</v>
      </c>
      <c r="FP31">
        <f>'TEA Revised Non EYZ'!EF31</f>
        <v>12193.156148176799</v>
      </c>
      <c r="FQ31">
        <f>'TEA Revised Non EYZ'!EG31</f>
        <v>12269.359569369111</v>
      </c>
      <c r="FR31">
        <f>'TEA Revised Non EYZ'!EH31</f>
        <v>427.43937819284008</v>
      </c>
      <c r="FS31">
        <f>'TEA Revised Non EYZ'!EI31</f>
        <v>234234.8337653171</v>
      </c>
      <c r="FT31">
        <f>EG31*EH31</f>
        <v>2787.6854243457824</v>
      </c>
      <c r="FU31">
        <f>EG31*EI31</f>
        <v>4530.9304633729207</v>
      </c>
      <c r="FV31">
        <f>FC31*(FT31+FU31)/(3.6*10^6)*3600*7200*0.07</f>
        <v>1844.2912037051135</v>
      </c>
      <c r="FW31">
        <f>('CAPEX+OPEX'!$C$39/7/100+0.03)*EL31</f>
        <v>100602.06207251917</v>
      </c>
      <c r="FX31">
        <f>('CAPEX+OPEX'!$C$39/7/100+0.03)*EM31</f>
        <v>163512.33311394285</v>
      </c>
      <c r="FY31">
        <f>SUM(FV31:FX31)</f>
        <v>265958.6863901671</v>
      </c>
      <c r="FZ31">
        <f>FY31+FA31+FS31+EU31</f>
        <v>17485979.170675874</v>
      </c>
      <c r="GA31">
        <f>FZ31+EO31</f>
        <v>18592893.367909487</v>
      </c>
      <c r="GB31">
        <f>GA31/(BK31*60*7200)</f>
        <v>0.43039105018308998</v>
      </c>
      <c r="GC31">
        <f>'TEA Revised Non EYZ'!EM31/'TEA Revised Non EYZ'!EK31*GA31</f>
        <v>1439.738725710685</v>
      </c>
      <c r="GD31">
        <f>'TEA Revised Non EYZ'!EN31/'TEA Revised Non EYZ'!EK31*GA31</f>
        <v>2638.9884289755</v>
      </c>
    </row>
    <row r="32" spans="1:186">
      <c r="A32">
        <f>'TEA Revised Non EYZ'!A32</f>
        <v>6</v>
      </c>
      <c r="B32">
        <f>'TEA Revised Non EYZ'!B32</f>
        <v>1.54143585092054E-3</v>
      </c>
      <c r="C32">
        <f>'TEA Revised Non EYZ'!C32</f>
        <v>1.54143585092054E-3</v>
      </c>
      <c r="D32">
        <f>'TEA Revised Non EYZ'!D32</f>
        <v>3.4254130020456501E-4</v>
      </c>
      <c r="E32">
        <f>'TEA Revised Non EYZ'!E32</f>
        <v>0</v>
      </c>
      <c r="F32">
        <f>'TEA Revised Non EYZ'!F32</f>
        <v>0</v>
      </c>
      <c r="G32">
        <f>'TEA Revised Non EYZ'!G32</f>
        <v>0</v>
      </c>
      <c r="H32">
        <f>'TEA Revised Non EYZ'!H32</f>
        <v>1.7693893431643E-5</v>
      </c>
      <c r="I32">
        <f>'TEA Revised Non EYZ'!I32</f>
        <v>3.7175600603836103E-8</v>
      </c>
      <c r="J32">
        <f>'TEA Revised Non EYZ'!J32</f>
        <v>3.36890310328726E-4</v>
      </c>
      <c r="K32">
        <f>'TEA Revised Non EYZ'!K32</f>
        <v>0.133710118829723</v>
      </c>
      <c r="L32">
        <f>'TEA Revised Non EYZ'!L32</f>
        <v>0.13525951632913</v>
      </c>
      <c r="M32">
        <f>'TEA Revised Non EYZ'!M32</f>
        <v>4.9588089642288804E-4</v>
      </c>
      <c r="N32">
        <f>'TEA Revised Non EYZ'!N32</f>
        <v>-1.72886878424538E-14</v>
      </c>
      <c r="O32">
        <f>'TEA Revised Non EYZ'!O32</f>
        <v>-1.05961268405396E-12</v>
      </c>
      <c r="P32">
        <f>'TEA Revised Non EYZ'!P32</f>
        <v>-9.6595637304880395E-18</v>
      </c>
      <c r="Q32">
        <f>'TEA Revised Non EYZ'!Q32</f>
        <v>0.11395861217105201</v>
      </c>
      <c r="R32">
        <f>'TEA Revised Non EYZ'!R32</f>
        <v>98.3502748800029</v>
      </c>
      <c r="S32">
        <f>'TEA Revised Non EYZ'!S32</f>
        <v>500</v>
      </c>
      <c r="T32">
        <f>'TEA Revised Non EYZ'!T32</f>
        <v>95</v>
      </c>
      <c r="U32">
        <f>'TEA Revised Non EYZ'!U32</f>
        <v>1</v>
      </c>
      <c r="V32">
        <f>'TEA Revised Non EYZ'!V32</f>
        <v>0.1</v>
      </c>
      <c r="W32">
        <f>'TEA Revised Non EYZ'!W32</f>
        <v>87.751156402202497</v>
      </c>
      <c r="X32" t="str">
        <f>'TEA Revised Non EYZ'!X32</f>
        <v>ddFc</v>
      </c>
      <c r="Y32">
        <f>'TEA Revised Non EYZ'!Y32</f>
        <v>1</v>
      </c>
      <c r="Z32">
        <f>'TEA Revised Non EYZ'!Z32</f>
        <v>0.28318429382522198</v>
      </c>
      <c r="AA32">
        <f>'TEA Revised Non EYZ'!AA32</f>
        <v>0.56945642916197003</v>
      </c>
      <c r="AB32">
        <f>'TEA Revised Non EYZ'!AB32</f>
        <v>3.7698628972227502E-3</v>
      </c>
      <c r="AC32">
        <f>'TEA Revised Non EYZ'!AC32</f>
        <v>1822.2107908876901</v>
      </c>
      <c r="AD32">
        <f>'TEA Revised Non EYZ'!AD32</f>
        <v>2662.6059073104898</v>
      </c>
      <c r="AE32">
        <f>'TEA Revised Non EYZ'!AE32</f>
        <v>2401.5030938442701</v>
      </c>
      <c r="AF32">
        <f>'TEA Revised Non EYZ'!AF32</f>
        <v>4</v>
      </c>
      <c r="AG32">
        <f>'TEA Revised Non EYZ'!AG32</f>
        <v>1.64951815726537E-3</v>
      </c>
      <c r="AH32">
        <f>'TEA Revised Non EYZ'!AH32</f>
        <v>1.6686323374819601E-3</v>
      </c>
      <c r="AI32">
        <f>'TEA Revised Non EYZ'!AI32</f>
        <v>6.1174468293775103E-6</v>
      </c>
      <c r="AJ32">
        <f>'TEA Revised Non EYZ'!AJ32</f>
        <v>0</v>
      </c>
      <c r="AK32">
        <f>'TEA Revised Non EYZ'!AK32</f>
        <v>0</v>
      </c>
      <c r="AL32">
        <f>'TEA Revised Non EYZ'!AL32</f>
        <v>0</v>
      </c>
      <c r="AM32">
        <f>'TEA Revised Non EYZ'!AM32</f>
        <v>1.60449551819817E-3</v>
      </c>
      <c r="AN32">
        <f>'TEA Revised Non EYZ'!AN32</f>
        <v>7.8378352599036395E-5</v>
      </c>
      <c r="AO32">
        <f>'TEA Revised Non EYZ'!AO32</f>
        <v>6.0687799409797502E-6</v>
      </c>
      <c r="AP32">
        <f>'TEA Revised Non EYZ'!AP32</f>
        <v>1.98992535233798E-3</v>
      </c>
      <c r="AQ32">
        <f>'TEA Revised Non EYZ'!AQ32</f>
        <v>7.0286566630574296E-2</v>
      </c>
      <c r="AR32">
        <f>'TEA Revised Non EYZ'!AR32</f>
        <v>2.1509950778718299E-6</v>
      </c>
      <c r="AS32">
        <f>'TEA Revised Non EYZ'!AS32</f>
        <v>-1.0218998498963401E-14</v>
      </c>
      <c r="AT32">
        <f>'TEA Revised Non EYZ'!AT32</f>
        <v>-1.31525649746389E-13</v>
      </c>
      <c r="AU32">
        <f>'TEA Revised Non EYZ'!AU32</f>
        <v>-3.7253567811428197E-18</v>
      </c>
      <c r="AV32">
        <f>'TEA Revised Non EYZ'!AV32</f>
        <v>0.20900106017960299</v>
      </c>
      <c r="AW32">
        <f>'TEA Revised Non EYZ'!AW32</f>
        <v>99.204457517079604</v>
      </c>
      <c r="AX32">
        <f>'TEA Revised Non EYZ'!AX32</f>
        <v>500</v>
      </c>
      <c r="AY32">
        <f>'TEA Revised Non EYZ'!AY32</f>
        <v>95</v>
      </c>
      <c r="AZ32">
        <f>'TEA Revised Non EYZ'!AZ32</f>
        <v>0.92374973309314701</v>
      </c>
      <c r="BA32">
        <f>'TEA Revised Non EYZ'!BA32</f>
        <v>0.1</v>
      </c>
      <c r="BB32">
        <f>'TEA Revised Non EYZ'!BB32</f>
        <v>44.198327620889899</v>
      </c>
      <c r="BC32" t="str">
        <f>'TEA Revised Non EYZ'!BC32</f>
        <v>coeFc</v>
      </c>
      <c r="BD32">
        <f>'TEA Revised Non EYZ'!BD32</f>
        <v>1</v>
      </c>
      <c r="BE32">
        <f>'TEA Revised Non EYZ'!BE32</f>
        <v>1.8775014999999999E-2</v>
      </c>
      <c r="BF32">
        <f>'TEA Revised Non EYZ'!BF32</f>
        <v>0.10492961100000001</v>
      </c>
      <c r="BG32">
        <f>'TEA Revised Non EYZ'!BG32</f>
        <v>1.814625E-3</v>
      </c>
      <c r="BH32">
        <f>'TEA Revised Non EYZ'!BH32</f>
        <v>285.1951444</v>
      </c>
      <c r="BI32">
        <f>'TEA Revised Non EYZ'!BI32</f>
        <v>2169.8944889999998</v>
      </c>
      <c r="BJ32">
        <f>'TEA Revised Non EYZ'!BJ32</f>
        <v>866.49409060000005</v>
      </c>
      <c r="BK32">
        <f>'TEA Revised Non EYZ'!BK32</f>
        <v>100</v>
      </c>
      <c r="BL32">
        <f>'TEA Revised Non EYZ'!BL32</f>
        <v>11.395861217105201</v>
      </c>
      <c r="BM32">
        <f>'TEA Revised Non EYZ'!BM32</f>
        <v>92.374973309314697</v>
      </c>
      <c r="BN32">
        <f>'TEA Revised Non EYZ'!BN32</f>
        <v>20.900106017960297</v>
      </c>
      <c r="BO32">
        <f>'TEA Revised Non EYZ'!BO32</f>
        <v>182.33377947368322</v>
      </c>
      <c r="BP32">
        <f>'TEA Revised Non EYZ'!BP32</f>
        <v>250.80127221552357</v>
      </c>
      <c r="BQ32">
        <f>'TEA Revised Non EYZ'!BQ32</f>
        <v>18.233377947368322</v>
      </c>
      <c r="BR32">
        <f>'TEA Revised Non EYZ'!BR32</f>
        <v>25.08012722155236</v>
      </c>
      <c r="BS32">
        <f>'eLLE Bals'!CF32</f>
        <v>6.8375167302631192</v>
      </c>
      <c r="BT32">
        <f>'eLLE Bals'!CG32</f>
        <v>12.540063610776178</v>
      </c>
      <c r="BU32">
        <f>BM32</f>
        <v>92.374973309314697</v>
      </c>
      <c r="BV32">
        <f>BU32*(AM32*2+AN32*2+AO32*3)</f>
        <v>0.31259266795087443</v>
      </c>
      <c r="BW32">
        <f>BN32*BA32*(AP32*2+AQ32*2+AR32*3)</f>
        <v>0.30213075581737631</v>
      </c>
      <c r="BX32">
        <f>BV32/(2*V32*BL32+BV32)</f>
        <v>0.12060996218418893</v>
      </c>
      <c r="BY32">
        <f>BU32*BX32</f>
        <v>11.141342037601907</v>
      </c>
      <c r="BZ32">
        <f>BW32/(2*BN32*BA32+BW32)</f>
        <v>6.7407521778263119E-2</v>
      </c>
      <c r="CA32">
        <f>2*BN32*BA32/0.04</f>
        <v>104.50053008980149</v>
      </c>
      <c r="CB32">
        <f>(BS32+BL32)*2</f>
        <v>36.466755894736643</v>
      </c>
      <c r="CC32">
        <f>(BU32+BL32)*2</f>
        <v>207.54166905283981</v>
      </c>
      <c r="CD32">
        <f>(BT32+BN32)*2</f>
        <v>66.880339257472954</v>
      </c>
      <c r="CE32">
        <f>(CA32+BN32)*2</f>
        <v>250.80127221552357</v>
      </c>
      <c r="CF32">
        <f>'TEA Revised Non EYZ'!CB32</f>
        <v>2406.8058890526186</v>
      </c>
      <c r="CG32">
        <f>'TEA Revised Non EYZ'!CC32</f>
        <v>3310.5767932449112</v>
      </c>
      <c r="CH32">
        <f>'TEA Revised Non EYZ'!CD32</f>
        <v>2907.8673690603878</v>
      </c>
      <c r="CI32">
        <f>'TEA Revised Non EYZ'!CE32</f>
        <v>25534.773044739486</v>
      </c>
      <c r="CJ32">
        <f>BL32*V32</f>
        <v>1.1395861217105201</v>
      </c>
      <c r="CK32">
        <f>CJ32/2*1.2</f>
        <v>0.68375167302631201</v>
      </c>
      <c r="CL32">
        <f>'eLLE Bals'!CB32*'Oxidant Feed Composition'!$N$20</f>
        <v>3.7986204057017352E-2</v>
      </c>
      <c r="CM32">
        <f>'eLLE Bals'!CB32*'Oxidant Feed Composition'!$N$21</f>
        <v>1.8993102028508668</v>
      </c>
      <c r="CN32">
        <f>'eLLE Bals'!CB32*'Oxidant Feed Composition'!$N$22</f>
        <v>0.56979306085526005</v>
      </c>
      <c r="CO32">
        <f>CN32/CK32</f>
        <v>0.83333333333333337</v>
      </c>
      <c r="CP32">
        <f>CO32</f>
        <v>0.83333333333333337</v>
      </c>
      <c r="CQ32">
        <f>CL32/CO32</f>
        <v>4.5583444868420822E-2</v>
      </c>
      <c r="CR32">
        <f>CM32/CO32</f>
        <v>2.2791722434210402</v>
      </c>
      <c r="CS32">
        <f>BN32*BA32</f>
        <v>2.0900106017960298</v>
      </c>
      <c r="CT32">
        <f>CS32/2*1.2</f>
        <v>1.2540063610776178</v>
      </c>
      <c r="CU32">
        <f>'eLLE Bals'!CC32*'Oxidant Feed Composition'!$N$20</f>
        <v>6.966702005986769E-2</v>
      </c>
      <c r="CV32">
        <f>'eLLE Bals'!CC32*'Oxidant Feed Composition'!$N$21</f>
        <v>3.4833510029933832</v>
      </c>
      <c r="CW32">
        <f>'eLLE Bals'!CC32*'Oxidant Feed Composition'!$N$22</f>
        <v>1.0450053008980149</v>
      </c>
      <c r="CX32">
        <f>CU32/CP32</f>
        <v>8.360042407184122E-2</v>
      </c>
      <c r="CY32">
        <f>CV32/CP32</f>
        <v>4.1800212035920596</v>
      </c>
      <c r="CZ32">
        <f>CJ32</f>
        <v>1.1395861217105201</v>
      </c>
      <c r="DA32">
        <f>'eLLE Bals'!BQ32</f>
        <v>2.2791722434210402</v>
      </c>
      <c r="DB32">
        <f>'eLLE Bals'!BU32</f>
        <v>6.0297656298858753</v>
      </c>
      <c r="DC32">
        <f>CS32</f>
        <v>2.0900106017960298</v>
      </c>
      <c r="DD32">
        <f>'eLLE Bals'!BX32</f>
        <v>4.1800212035920596</v>
      </c>
      <c r="DE32">
        <f>'eLLE Bals'!CA32</f>
        <v>24.735567371972483</v>
      </c>
      <c r="DF32">
        <f>2*2*(CJ32*'Reagent cost'!$C$36*122.44/1000+CK32*'Oxidant Feed Composition'!$N$26+CQ32*'Reagent cost'!$C$34+CR32*'Reagent cost'!$C$35)</f>
        <v>96.258231963173614</v>
      </c>
      <c r="DG32">
        <f>2*2*(CS32*'Reagent cost'!$C$36*122.44/1000+CT32*'Oxidant Feed Composition'!$N$26+CX32*'Reagent cost'!$C$34+CY32*'Reagent cost'!$C$35)</f>
        <v>176.53841292065036</v>
      </c>
      <c r="DH32">
        <f>(AF32+3)*2*(CZ32*'Reagent cost'!$C$38+DA32*'Reagent cost'!$C$39+DB32*'Reagent cost'!$C$36*122.44/1000)</f>
        <v>801.04554773933728</v>
      </c>
      <c r="DI32">
        <f>3*2*(DC32*'Reagent cost'!$C$38+DD32*'Reagent cost'!$C$39+DE32*'Reagent cost'!$C$36*122.44/1000)</f>
        <v>1339.1874220181935</v>
      </c>
      <c r="DJ32">
        <f>7963.6*(CB32/1000)^0.6*1.7*('CAPEX+OPEX'!$G$116/'CAPEX+OPEX'!$G$115)</f>
        <v>2189.6727102460782</v>
      </c>
      <c r="DK32">
        <f>7963.6*(CC32/1000)^0.6*1.7*('CAPEX+OPEX'!$G$116/'CAPEX+OPEX'!$G$115)</f>
        <v>6215.9013146876341</v>
      </c>
      <c r="DL32">
        <f>7963.6*(CD32/1000)^0.6*1.7*('CAPEX+OPEX'!$G$116/'CAPEX+OPEX'!$G$115)</f>
        <v>3150.7939894739484</v>
      </c>
      <c r="DM32">
        <f>7963.6*(CE32/1000)^0.6*1.7*('CAPEX+OPEX'!$G$116/'CAPEX+OPEX'!$G$115)</f>
        <v>6963.6794078678058</v>
      </c>
      <c r="DN32">
        <f>'TEA Revised Non EYZ'!CM32</f>
        <v>39625.826528698344</v>
      </c>
      <c r="DO32">
        <f>'TEA Revised Non EYZ'!CN32</f>
        <v>4586243.4239371875</v>
      </c>
      <c r="DP32">
        <f>'TEA Revised Non EYZ'!CO32</f>
        <v>11794834.586807497</v>
      </c>
      <c r="DQ32">
        <f>'TEA Revised Non EYZ'!CP32</f>
        <v>2275209.1661185985</v>
      </c>
      <c r="DR32">
        <f>'TEA Revised Non EYZ'!CQ32</f>
        <v>14083914.336508472</v>
      </c>
      <c r="DS32">
        <f>'TEA Revised Non EYZ'!CR32</f>
        <v>1662824.8986326549</v>
      </c>
      <c r="DT32">
        <f>'TEA Revised Non EYZ'!CS32</f>
        <v>646135.89638675924</v>
      </c>
      <c r="DU32">
        <f>'TEA Revised Non EYZ'!CT32</f>
        <v>1661722.9645298459</v>
      </c>
      <c r="DV32">
        <f>'TEA Revised Non EYZ'!CU32</f>
        <v>320544.32748695416</v>
      </c>
      <c r="DW32">
        <f>'TEA Revised Non EYZ'!CV32</f>
        <v>1984221.4582325809</v>
      </c>
      <c r="DX32">
        <f>'TEA Revised Non EYZ'!CW32</f>
        <v>234268.17050410178</v>
      </c>
      <c r="DY32">
        <f>'TEA Revised Non EYZ'!CX32</f>
        <v>4846892.8171402421</v>
      </c>
      <c r="DZ32">
        <f>'TEA Revised Non EYZ'!CY32</f>
        <v>498707.80181552708</v>
      </c>
      <c r="EA32">
        <f>'TEA Revised Non EYZ'!CZ32</f>
        <v>1282569.5205935668</v>
      </c>
      <c r="EB32">
        <f>'TEA Revised Non EYZ'!DA32</f>
        <v>247406.09187539818</v>
      </c>
      <c r="EC32">
        <f>'TEA Revised Non EYZ'!DB32</f>
        <v>1531483.8987958883</v>
      </c>
      <c r="ED32">
        <f>'TEA Revised Non EYZ'!DC32</f>
        <v>180815.46776889433</v>
      </c>
      <c r="EE32">
        <f>'TEA Revised Non EYZ'!DD32</f>
        <v>3740982.7808492747</v>
      </c>
      <c r="EF32">
        <v>0.7</v>
      </c>
      <c r="EG32">
        <v>100</v>
      </c>
      <c r="EH32">
        <f>96485*BL32*V32/EF32/EG32/60</f>
        <v>26.179277846009416</v>
      </c>
      <c r="EI32">
        <f>96485*BN32*BA32/EF32/EG32/60</f>
        <v>48.013017360545227</v>
      </c>
      <c r="EJ32">
        <f>EH32*('CAPEX+OPEX'!$O$25+'CAPEX+OPEX'!$O$26)</f>
        <v>834385.9435080121</v>
      </c>
      <c r="EK32">
        <f>EI32*('CAPEX+OPEX'!$O$25+'CAPEX+OPEX'!$O$26)</f>
        <v>1530270.8893152974</v>
      </c>
      <c r="EL32">
        <f>EJ32*1.12/0.6*'CAPEX+OPEX'!$G$116/'CAPEX+OPEX'!$G$115</f>
        <v>1837030.3015082346</v>
      </c>
      <c r="EM32">
        <f>EK32*1.12/0.6*'CAPEX+OPEX'!$G$116/'CAPEX+OPEX'!$G$115</f>
        <v>3369129.1362953805</v>
      </c>
      <c r="EN32">
        <f>EL32+EM32+DY32+EE32+1.15*(SUM(DF32:DM32)+SUM(CF32:CI32))</f>
        <v>13857392.100946097</v>
      </c>
      <c r="EO32">
        <f>EN32/15</f>
        <v>923826.14006307314</v>
      </c>
      <c r="EP32">
        <f>('eLLE Bals'!CB32+'eLLE Bals'!CC32)*'Oxidant Feed Composition'!$N$25*60*7200</f>
        <v>13004830.290262286</v>
      </c>
      <c r="EQ32" s="83">
        <f>('eLLE Bals'!BR32+'eLLE Bals'!BY32)*'Reagent cost'!$C$38*60*7200</f>
        <v>507871.77458858019</v>
      </c>
      <c r="ER32">
        <f>'TEA Revised Non EYZ'!DI32</f>
        <v>504921.59999999998</v>
      </c>
      <c r="ES32">
        <f>'TEA Revised Non EYZ'!DJ32</f>
        <v>57.1738268229753</v>
      </c>
      <c r="ET32">
        <f>'TEA Revised Non EYZ'!DK32</f>
        <v>568.85280827599752</v>
      </c>
      <c r="EU32">
        <f>1.2*SUM(EP32:ET32)</f>
        <v>16821899.629783157</v>
      </c>
      <c r="EV32">
        <f>'TEA Revised Non EYZ'!DM32</f>
        <v>0.70639694042110623</v>
      </c>
      <c r="EW32">
        <f>(BS32*CO32+BT32*CP32)/1000*('Oxidant Feed Composition'!$B$11*'Oxidant Feed Composition'!$O$20+'Oxidant Feed Composition'!$D$11*'Oxidant Feed Composition'!$O$21+'Oxidant Feed Composition'!$F$11*'Oxidant Feed Composition'!$O$27-'Oxidant Feed Composition'!$J$15*18.015)</f>
        <v>1.8858348387010977</v>
      </c>
      <c r="EX32">
        <f>(CZ32*BX32+DC32*BZ32)*368.34/1000</f>
        <v>0.1025192891837485</v>
      </c>
      <c r="EY32">
        <f>'TEA Revised Non EYZ'!DP32</f>
        <v>4.999938342565946E-2</v>
      </c>
      <c r="EZ32">
        <f>SUM(EV32:EX32)-EY32</f>
        <v>2.6447516848802932</v>
      </c>
      <c r="FA32">
        <f>EZ32*0.33*60*7200</f>
        <v>377035.8001965346</v>
      </c>
      <c r="FB32">
        <f>'TEA Revised Non EYZ'!DS32</f>
        <v>1.2</v>
      </c>
      <c r="FC32">
        <v>0.5</v>
      </c>
      <c r="FD32">
        <f>'TEA Revised Non EYZ'!DT32</f>
        <v>1399.085634031785</v>
      </c>
      <c r="FE32">
        <f>'TEA Revised Non EYZ'!DU32</f>
        <v>713.18193969377842</v>
      </c>
      <c r="FF32">
        <f>'TEA Revised Non EYZ'!DV32</f>
        <v>0.7</v>
      </c>
      <c r="FG32">
        <f>'TEA Revised Non EYZ'!DW32</f>
        <v>35776.359048024235</v>
      </c>
      <c r="FH32">
        <f>'TEA Revised Non EYZ'!DX32</f>
        <v>29068.269280606211</v>
      </c>
      <c r="FI32">
        <f>'TEA Revised Non EYZ'!DY32</f>
        <v>12307.130138966339</v>
      </c>
      <c r="FJ32">
        <f>'TEA Revised Non EYZ'!DZ32</f>
        <v>6519.4301878820042</v>
      </c>
      <c r="FK32">
        <f>'TEA Revised Non EYZ'!EA32</f>
        <v>6563.8027407820491</v>
      </c>
      <c r="FL32">
        <f>'TEA Revised Non EYZ'!EB32</f>
        <v>846.16699146242365</v>
      </c>
      <c r="FM32">
        <f>'TEA Revised Non EYZ'!EC32</f>
        <v>28289.73423978344</v>
      </c>
      <c r="FN32">
        <f>'TEA Revised Non EYZ'!ED32</f>
        <v>19400.174755088523</v>
      </c>
      <c r="FO32">
        <f>'TEA Revised Non EYZ'!EE32</f>
        <v>8213.783666468933</v>
      </c>
      <c r="FP32">
        <f>'TEA Revised Non EYZ'!EF32</f>
        <v>4353.4867414415085</v>
      </c>
      <c r="FQ32">
        <f>'TEA Revised Non EYZ'!EG32</f>
        <v>4380.6846221167634</v>
      </c>
      <c r="FR32">
        <f>'TEA Revised Non EYZ'!EH32</f>
        <v>431.33243712679723</v>
      </c>
      <c r="FS32">
        <f>'TEA Revised Non EYZ'!EI32</f>
        <v>156150.35484974924</v>
      </c>
      <c r="FT32">
        <f>EG32*EH32</f>
        <v>2617.9277846009418</v>
      </c>
      <c r="FU32">
        <f>EG32*EI32</f>
        <v>4801.3017360545227</v>
      </c>
      <c r="FV32">
        <f>FC32*(FT32+FU32)/(3.6*10^6)*3600*7200*0.07</f>
        <v>1869.645839205177</v>
      </c>
      <c r="FW32">
        <f>('CAPEX+OPEX'!$C$39/7/100+0.03)*EL32</f>
        <v>94475.844077566348</v>
      </c>
      <c r="FX32">
        <f>('CAPEX+OPEX'!$C$39/7/100+0.03)*EM32</f>
        <v>173269.49843804815</v>
      </c>
      <c r="FY32">
        <f>SUM(FV32:FX32)</f>
        <v>269614.98835481965</v>
      </c>
      <c r="FZ32">
        <f>FY32+FA32+FS32+EU32</f>
        <v>17624700.773184262</v>
      </c>
      <c r="GA32">
        <f>FZ32+EO32</f>
        <v>18548526.913247336</v>
      </c>
      <c r="GB32">
        <f>GA32/(BK32*60*7200)</f>
        <v>0.42936404891776242</v>
      </c>
      <c r="GC32">
        <f>'TEA Revised Non EYZ'!EM32/'TEA Revised Non EYZ'!EK32*GA32</f>
        <v>1443.5988910809424</v>
      </c>
      <c r="GD32">
        <f>'TEA Revised Non EYZ'!EN32/'TEA Revised Non EYZ'!EK32*GA32</f>
        <v>2610.9295500671478</v>
      </c>
    </row>
    <row r="33" spans="1:186">
      <c r="A33">
        <f>'TEA Revised Non EYZ'!A33</f>
        <v>6</v>
      </c>
      <c r="B33">
        <f>'TEA Revised Non EYZ'!B33</f>
        <v>1.54143585092054E-3</v>
      </c>
      <c r="C33">
        <f>'TEA Revised Non EYZ'!C33</f>
        <v>1.54143585092054E-3</v>
      </c>
      <c r="D33">
        <f>'TEA Revised Non EYZ'!D33</f>
        <v>3.4254130020456501E-4</v>
      </c>
      <c r="E33">
        <f>'TEA Revised Non EYZ'!E33</f>
        <v>0</v>
      </c>
      <c r="F33">
        <f>'TEA Revised Non EYZ'!F33</f>
        <v>0</v>
      </c>
      <c r="G33">
        <f>'TEA Revised Non EYZ'!G33</f>
        <v>0</v>
      </c>
      <c r="H33">
        <f>'TEA Revised Non EYZ'!H33</f>
        <v>1.7693893431643E-5</v>
      </c>
      <c r="I33">
        <f>'TEA Revised Non EYZ'!I33</f>
        <v>3.7175600603836103E-8</v>
      </c>
      <c r="J33">
        <f>'TEA Revised Non EYZ'!J33</f>
        <v>3.36890310328726E-4</v>
      </c>
      <c r="K33">
        <f>'TEA Revised Non EYZ'!K33</f>
        <v>0.133710118829723</v>
      </c>
      <c r="L33">
        <f>'TEA Revised Non EYZ'!L33</f>
        <v>0.13525951632913</v>
      </c>
      <c r="M33">
        <f>'TEA Revised Non EYZ'!M33</f>
        <v>4.9588089642288804E-4</v>
      </c>
      <c r="N33">
        <f>'TEA Revised Non EYZ'!N33</f>
        <v>-1.72886878424538E-14</v>
      </c>
      <c r="O33">
        <f>'TEA Revised Non EYZ'!O33</f>
        <v>-1.05961268405396E-12</v>
      </c>
      <c r="P33">
        <f>'TEA Revised Non EYZ'!P33</f>
        <v>-9.6595637304880395E-18</v>
      </c>
      <c r="Q33">
        <f>'TEA Revised Non EYZ'!Q33</f>
        <v>0.11395861217105201</v>
      </c>
      <c r="R33">
        <f>'TEA Revised Non EYZ'!R33</f>
        <v>98.3502748800029</v>
      </c>
      <c r="S33">
        <f>'TEA Revised Non EYZ'!S33</f>
        <v>500</v>
      </c>
      <c r="T33">
        <f>'TEA Revised Non EYZ'!T33</f>
        <v>95</v>
      </c>
      <c r="U33">
        <f>'TEA Revised Non EYZ'!U33</f>
        <v>1</v>
      </c>
      <c r="V33">
        <f>'TEA Revised Non EYZ'!V33</f>
        <v>0.1</v>
      </c>
      <c r="W33">
        <f>'TEA Revised Non EYZ'!W33</f>
        <v>87.751156402202497</v>
      </c>
      <c r="X33" t="str">
        <f>'TEA Revised Non EYZ'!X33</f>
        <v>ddFc</v>
      </c>
      <c r="Y33">
        <f>'TEA Revised Non EYZ'!Y33</f>
        <v>1</v>
      </c>
      <c r="Z33">
        <f>'TEA Revised Non EYZ'!Z33</f>
        <v>0.28318429382522198</v>
      </c>
      <c r="AA33">
        <f>'TEA Revised Non EYZ'!AA33</f>
        <v>0.56945642916197003</v>
      </c>
      <c r="AB33">
        <f>'TEA Revised Non EYZ'!AB33</f>
        <v>3.7698628972227502E-3</v>
      </c>
      <c r="AC33">
        <f>'TEA Revised Non EYZ'!AC33</f>
        <v>1822.2107908876901</v>
      </c>
      <c r="AD33">
        <f>'TEA Revised Non EYZ'!AD33</f>
        <v>2662.6059073104898</v>
      </c>
      <c r="AE33">
        <f>'TEA Revised Non EYZ'!AE33</f>
        <v>2401.5030938442701</v>
      </c>
      <c r="AF33">
        <f>'TEA Revised Non EYZ'!AF33</f>
        <v>5</v>
      </c>
      <c r="AG33">
        <f>'TEA Revised Non EYZ'!AG33</f>
        <v>1.64951815726537E-3</v>
      </c>
      <c r="AH33">
        <f>'TEA Revised Non EYZ'!AH33</f>
        <v>1.6686323374819601E-3</v>
      </c>
      <c r="AI33">
        <f>'TEA Revised Non EYZ'!AI33</f>
        <v>6.1174468293775103E-6</v>
      </c>
      <c r="AJ33">
        <f>'TEA Revised Non EYZ'!AJ33</f>
        <v>0</v>
      </c>
      <c r="AK33">
        <f>'TEA Revised Non EYZ'!AK33</f>
        <v>0</v>
      </c>
      <c r="AL33">
        <f>'TEA Revised Non EYZ'!AL33</f>
        <v>0</v>
      </c>
      <c r="AM33">
        <f>'TEA Revised Non EYZ'!AM33</f>
        <v>1.6101609638428101E-3</v>
      </c>
      <c r="AN33">
        <f>'TEA Revised Non EYZ'!AN33</f>
        <v>7.8670620175806696E-5</v>
      </c>
      <c r="AO33">
        <f>'TEA Revised Non EYZ'!AO33</f>
        <v>6.0746937584639903E-6</v>
      </c>
      <c r="AP33">
        <f>'TEA Revised Non EYZ'!AP33</f>
        <v>1.81262020813318E-3</v>
      </c>
      <c r="AQ33">
        <f>'TEA Revised Non EYZ'!AQ33</f>
        <v>7.3226683315541802E-2</v>
      </c>
      <c r="AR33">
        <f>'TEA Revised Non EYZ'!AR33</f>
        <v>1.96901947416695E-6</v>
      </c>
      <c r="AS33">
        <f>'TEA Revised Non EYZ'!AS33</f>
        <v>-5.6209106379795297E-17</v>
      </c>
      <c r="AT33">
        <f>'TEA Revised Non EYZ'!AT33</f>
        <v>1.07336015076064E-16</v>
      </c>
      <c r="AU33">
        <f>'TEA Revised Non EYZ'!AU33</f>
        <v>-4.8360287332300198E-20</v>
      </c>
      <c r="AV33">
        <f>'TEA Revised Non EYZ'!AV33</f>
        <v>0.200572611715987</v>
      </c>
      <c r="AW33">
        <f>'TEA Revised Non EYZ'!AW33</f>
        <v>99.301128851529697</v>
      </c>
      <c r="AX33">
        <f>'TEA Revised Non EYZ'!AX33</f>
        <v>500</v>
      </c>
      <c r="AY33">
        <f>'TEA Revised Non EYZ'!AY33</f>
        <v>95</v>
      </c>
      <c r="AZ33">
        <f>'TEA Revised Non EYZ'!AZ33</f>
        <v>0.92374973309314701</v>
      </c>
      <c r="BA33">
        <f>'TEA Revised Non EYZ'!BA33</f>
        <v>0.1</v>
      </c>
      <c r="BB33">
        <f>'TEA Revised Non EYZ'!BB33</f>
        <v>46.055626697486701</v>
      </c>
      <c r="BC33" t="str">
        <f>'TEA Revised Non EYZ'!BC33</f>
        <v>coeFc</v>
      </c>
      <c r="BD33">
        <f>'TEA Revised Non EYZ'!BD33</f>
        <v>1</v>
      </c>
      <c r="BE33">
        <f>'TEA Revised Non EYZ'!BE33</f>
        <v>1.8775014999999999E-2</v>
      </c>
      <c r="BF33">
        <f>'TEA Revised Non EYZ'!BF33</f>
        <v>0.10492961100000001</v>
      </c>
      <c r="BG33">
        <f>'TEA Revised Non EYZ'!BG33</f>
        <v>1.814625E-3</v>
      </c>
      <c r="BH33">
        <f>'TEA Revised Non EYZ'!BH33</f>
        <v>285.1951444</v>
      </c>
      <c r="BI33">
        <f>'TEA Revised Non EYZ'!BI33</f>
        <v>2169.8944889999998</v>
      </c>
      <c r="BJ33">
        <f>'TEA Revised Non EYZ'!BJ33</f>
        <v>866.49409060000005</v>
      </c>
      <c r="BK33">
        <f>'TEA Revised Non EYZ'!BK33</f>
        <v>100</v>
      </c>
      <c r="BL33">
        <f>'TEA Revised Non EYZ'!BL33</f>
        <v>11.395861217105201</v>
      </c>
      <c r="BM33">
        <f>'TEA Revised Non EYZ'!BM33</f>
        <v>92.374973309314697</v>
      </c>
      <c r="BN33">
        <f>'TEA Revised Non EYZ'!BN33</f>
        <v>20.0572611715987</v>
      </c>
      <c r="BO33">
        <f>'TEA Revised Non EYZ'!BO33</f>
        <v>182.33377947368322</v>
      </c>
      <c r="BP33">
        <f>'TEA Revised Non EYZ'!BP33</f>
        <v>280.80165640238181</v>
      </c>
      <c r="BQ33">
        <f>'TEA Revised Non EYZ'!BQ33</f>
        <v>18.233377947368322</v>
      </c>
      <c r="BR33">
        <f>'TEA Revised Non EYZ'!BR33</f>
        <v>28.080165640238182</v>
      </c>
      <c r="BS33">
        <f>'eLLE Bals'!CF33</f>
        <v>6.8375167302631192</v>
      </c>
      <c r="BT33">
        <f>'eLLE Bals'!CG33</f>
        <v>12.034356702959217</v>
      </c>
      <c r="BU33">
        <f>BM33</f>
        <v>92.374973309314697</v>
      </c>
      <c r="BV33">
        <f>BU33*(AM33*2+AN33*2+AO33*3)</f>
        <v>0.31369499401669587</v>
      </c>
      <c r="BW33">
        <f>BN33*BA33*(AP33*2+AQ33*2+AR33*3)</f>
        <v>0.30102842972319671</v>
      </c>
      <c r="BX33">
        <f>BV33/(2*V33*BL33+BV33)</f>
        <v>0.12098382419559914</v>
      </c>
      <c r="BY33">
        <f>BU33*BX33</f>
        <v>11.175877530927291</v>
      </c>
      <c r="BZ33">
        <f>BW33/(2*BN33*BA33+BW33)</f>
        <v>6.9804006829095794E-2</v>
      </c>
      <c r="CA33">
        <f>2*BN33*BA33/0.04</f>
        <v>100.2863058579935</v>
      </c>
      <c r="CB33">
        <f>(BS33+BL33)*2</f>
        <v>36.466755894736643</v>
      </c>
      <c r="CC33">
        <f>(BU33+BL33)*2</f>
        <v>207.54166905283981</v>
      </c>
      <c r="CD33">
        <f>(BT33+BN33)*2</f>
        <v>64.183235749115838</v>
      </c>
      <c r="CE33">
        <f>(CA33+BN33)*2</f>
        <v>240.68713405918439</v>
      </c>
      <c r="CF33">
        <f>'TEA Revised Non EYZ'!CB33</f>
        <v>2406.8058890526186</v>
      </c>
      <c r="CG33">
        <f>'TEA Revised Non EYZ'!CC33</f>
        <v>3706.58186451144</v>
      </c>
      <c r="CH33">
        <f>'TEA Revised Non EYZ'!CD33</f>
        <v>2907.8673690603878</v>
      </c>
      <c r="CI33">
        <f>'TEA Revised Non EYZ'!CE33</f>
        <v>28589.195355676231</v>
      </c>
      <c r="CJ33">
        <f>BL33*V33</f>
        <v>1.1395861217105201</v>
      </c>
      <c r="CK33">
        <f>CJ33/2*1.2</f>
        <v>0.68375167302631201</v>
      </c>
      <c r="CL33">
        <f>'eLLE Bals'!CB33*'Oxidant Feed Composition'!$N$20</f>
        <v>3.7986204057017352E-2</v>
      </c>
      <c r="CM33">
        <f>'eLLE Bals'!CB33*'Oxidant Feed Composition'!$N$21</f>
        <v>1.8993102028508668</v>
      </c>
      <c r="CN33">
        <f>'eLLE Bals'!CB33*'Oxidant Feed Composition'!$N$22</f>
        <v>0.56979306085526005</v>
      </c>
      <c r="CO33">
        <f>CN33/CK33</f>
        <v>0.83333333333333337</v>
      </c>
      <c r="CP33">
        <f>CO33</f>
        <v>0.83333333333333337</v>
      </c>
      <c r="CQ33">
        <f>CL33/CO33</f>
        <v>4.5583444868420822E-2</v>
      </c>
      <c r="CR33">
        <f>CM33/CO33</f>
        <v>2.2791722434210402</v>
      </c>
      <c r="CS33">
        <f>BN33*BA33</f>
        <v>2.0057261171598699</v>
      </c>
      <c r="CT33">
        <f>CS33/2*1.2</f>
        <v>1.2034356702959219</v>
      </c>
      <c r="CU33">
        <f>'eLLE Bals'!CC33*'Oxidant Feed Composition'!$N$20</f>
        <v>6.6857537238662348E-2</v>
      </c>
      <c r="CV33">
        <f>'eLLE Bals'!CC33*'Oxidant Feed Composition'!$N$21</f>
        <v>3.3428768619331164</v>
      </c>
      <c r="CW33">
        <f>'eLLE Bals'!CC33*'Oxidant Feed Composition'!$N$22</f>
        <v>1.002863058579935</v>
      </c>
      <c r="CX33">
        <f>CU33/CP33</f>
        <v>8.0229044686394815E-2</v>
      </c>
      <c r="CY33">
        <f>CV33/CP33</f>
        <v>4.0114522343197399</v>
      </c>
      <c r="CZ33">
        <f>CJ33</f>
        <v>1.1395861217105201</v>
      </c>
      <c r="DA33">
        <f>'eLLE Bals'!BQ33</f>
        <v>2.2791722434210402</v>
      </c>
      <c r="DB33">
        <f>'eLLE Bals'!BU33</f>
        <v>6.0005679728101518</v>
      </c>
      <c r="DC33">
        <f>CS33</f>
        <v>2.0057261171598699</v>
      </c>
      <c r="DD33">
        <f>'eLLE Bals'!BX33</f>
        <v>4.0114522343197399</v>
      </c>
      <c r="DE33">
        <f>'eLLE Bals'!CA33</f>
        <v>22.71650339934849</v>
      </c>
      <c r="DF33">
        <f>2*2*(CJ33*'Reagent cost'!$C$36*122.44/1000+CK33*'Oxidant Feed Composition'!$N$26+CQ33*'Reagent cost'!$C$34+CR33*'Reagent cost'!$C$35)</f>
        <v>96.258231963173614</v>
      </c>
      <c r="DG33">
        <f>2*2*(CS33*'Reagent cost'!$C$36*122.44/1000+CT33*'Oxidant Feed Composition'!$N$26+CX33*'Reagent cost'!$C$34+CY33*'Reagent cost'!$C$35)</f>
        <v>169.41909537330579</v>
      </c>
      <c r="DH33">
        <f>(AF33+3)*2*(CZ33*'Reagent cost'!$C$38+DA33*'Reagent cost'!$C$39+DB33*'Reagent cost'!$C$36*122.44/1000)</f>
        <v>911.4412059051474</v>
      </c>
      <c r="DI33">
        <f>3*2*(DC33*'Reagent cost'!$C$38+DD33*'Reagent cost'!$C$39+DE33*'Reagent cost'!$C$36*122.44/1000)</f>
        <v>1232.1835547868538</v>
      </c>
      <c r="DJ33">
        <f>7963.6*(CB33/1000)^0.6*1.7*('CAPEX+OPEX'!$G$116/'CAPEX+OPEX'!$G$115)</f>
        <v>2189.6727102460782</v>
      </c>
      <c r="DK33">
        <f>7963.6*(CC33/1000)^0.6*1.7*('CAPEX+OPEX'!$G$116/'CAPEX+OPEX'!$G$115)</f>
        <v>6215.9013146876341</v>
      </c>
      <c r="DL33">
        <f>7963.6*(CD33/1000)^0.6*1.7*('CAPEX+OPEX'!$G$116/'CAPEX+OPEX'!$G$115)</f>
        <v>3073.9294278872244</v>
      </c>
      <c r="DM33">
        <f>7963.6*(CE33/1000)^0.6*1.7*('CAPEX+OPEX'!$G$116/'CAPEX+OPEX'!$G$115)</f>
        <v>6793.7983662940214</v>
      </c>
      <c r="DN33">
        <f>'TEA Revised Non EYZ'!CM33</f>
        <v>39625.826528698344</v>
      </c>
      <c r="DO33">
        <f>'TEA Revised Non EYZ'!CN33</f>
        <v>4586243.4239371875</v>
      </c>
      <c r="DP33">
        <f>'TEA Revised Non EYZ'!CO33</f>
        <v>11794834.586807497</v>
      </c>
      <c r="DQ33">
        <f>'TEA Revised Non EYZ'!CP33</f>
        <v>2275209.1661185985</v>
      </c>
      <c r="DR33">
        <f>'TEA Revised Non EYZ'!CQ33</f>
        <v>14083914.336508472</v>
      </c>
      <c r="DS33">
        <f>'TEA Revised Non EYZ'!CR33</f>
        <v>1662824.8986326549</v>
      </c>
      <c r="DT33">
        <f>'TEA Revised Non EYZ'!CS33</f>
        <v>646135.89638675924</v>
      </c>
      <c r="DU33">
        <f>'TEA Revised Non EYZ'!CT33</f>
        <v>1661722.9645298459</v>
      </c>
      <c r="DV33">
        <f>'TEA Revised Non EYZ'!CU33</f>
        <v>320544.32748695416</v>
      </c>
      <c r="DW33">
        <f>'TEA Revised Non EYZ'!CV33</f>
        <v>1984221.4582325809</v>
      </c>
      <c r="DX33">
        <f>'TEA Revised Non EYZ'!CW33</f>
        <v>234268.17050410178</v>
      </c>
      <c r="DY33">
        <f>'TEA Revised Non EYZ'!CX33</f>
        <v>4846892.8171402421</v>
      </c>
      <c r="DZ33">
        <f>'TEA Revised Non EYZ'!CY33</f>
        <v>556358.73376691749</v>
      </c>
      <c r="EA33">
        <f>'TEA Revised Non EYZ'!CZ33</f>
        <v>1430835.35458591</v>
      </c>
      <c r="EB33">
        <f>'TEA Revised Non EYZ'!DA33</f>
        <v>276006.38991594099</v>
      </c>
      <c r="EC33">
        <f>'TEA Revised Non EYZ'!DB33</f>
        <v>1708524.3896659126</v>
      </c>
      <c r="ED33">
        <f>'TEA Revised Non EYZ'!DC33</f>
        <v>201717.84826134806</v>
      </c>
      <c r="EE33">
        <f>'TEA Revised Non EYZ'!DD33</f>
        <v>4173442.7161960285</v>
      </c>
      <c r="EF33">
        <v>0.7</v>
      </c>
      <c r="EG33">
        <v>100</v>
      </c>
      <c r="EH33">
        <f>96485*BL33*V33/EF33/EG33/60</f>
        <v>26.179277846009416</v>
      </c>
      <c r="EI33">
        <f>96485*BN33*BA33/EF33/EG33/60</f>
        <v>46.076782003373829</v>
      </c>
      <c r="EJ33">
        <f>EH33*('CAPEX+OPEX'!$O$25+'CAPEX+OPEX'!$O$26)</f>
        <v>834385.9435080121</v>
      </c>
      <c r="EK33">
        <f>EI33*('CAPEX+OPEX'!$O$25+'CAPEX+OPEX'!$O$26)</f>
        <v>1468559.1960115307</v>
      </c>
      <c r="EL33">
        <f>EJ33*1.12/0.6*'CAPEX+OPEX'!$G$116/'CAPEX+OPEX'!$G$115</f>
        <v>1837030.3015082346</v>
      </c>
      <c r="EM33">
        <f>EK33*1.12/0.6*'CAPEX+OPEX'!$G$116/'CAPEX+OPEX'!$G$115</f>
        <v>3233261.254725161</v>
      </c>
      <c r="EN33">
        <f>EL33+EM33+DY33+EE33+1.15*(SUM(DF33:DM33)+SUM(CF33:CI33))</f>
        <v>14157664.102112928</v>
      </c>
      <c r="EO33">
        <f>EN33/15</f>
        <v>943844.27347419527</v>
      </c>
      <c r="EP33">
        <f>('eLLE Bals'!CB33+'eLLE Bals'!CC33)*'Oxidant Feed Composition'!$N$25*60*7200</f>
        <v>12665436.392932164</v>
      </c>
      <c r="EQ33" s="83">
        <f>('eLLE Bals'!BR33+'eLLE Bals'!BY33)*'Reagent cost'!$C$38*60*7200</f>
        <v>507053.07965868362</v>
      </c>
      <c r="ER33">
        <f>'TEA Revised Non EYZ'!DI33</f>
        <v>504921.59999999998</v>
      </c>
      <c r="ES33">
        <f>'TEA Revised Non EYZ'!DJ33</f>
        <v>61.133877535640586</v>
      </c>
      <c r="ET33">
        <f>'TEA Revised Non EYZ'!DK33</f>
        <v>629.94125449473233</v>
      </c>
      <c r="EU33">
        <f>1.2*SUM(EP33:ET33)</f>
        <v>16413722.577267453</v>
      </c>
      <c r="EV33">
        <f>'TEA Revised Non EYZ'!DM33</f>
        <v>0.70639694042110623</v>
      </c>
      <c r="EW33">
        <f>(BS33*CO33+BT33*CP33)/1000*('Oxidant Feed Composition'!$B$11*'Oxidant Feed Composition'!$O$20+'Oxidant Feed Composition'!$D$11*'Oxidant Feed Composition'!$O$21+'Oxidant Feed Composition'!$F$11*'Oxidant Feed Composition'!$O$27-'Oxidant Feed Composition'!$J$15*18.015)</f>
        <v>1.8366192148642424</v>
      </c>
      <c r="EX33">
        <f>(CZ33*BX33+DC33*BZ33)*368.34/1000</f>
        <v>0.10235402695325868</v>
      </c>
      <c r="EY33">
        <f>'TEA Revised Non EYZ'!DP33</f>
        <v>4.999938342565946E-2</v>
      </c>
      <c r="EZ33">
        <f>SUM(EV33:EX33)-EY33</f>
        <v>2.5953707988129482</v>
      </c>
      <c r="FA33">
        <f>EZ33*0.33*60*7200</f>
        <v>369996.06107877393</v>
      </c>
      <c r="FB33">
        <f>'TEA Revised Non EYZ'!DS33</f>
        <v>1.2</v>
      </c>
      <c r="FC33">
        <v>0.5</v>
      </c>
      <c r="FD33">
        <f>'TEA Revised Non EYZ'!DT33</f>
        <v>1404.0224885653424</v>
      </c>
      <c r="FE33">
        <f>'TEA Revised Non EYZ'!DU33</f>
        <v>708.24508509040857</v>
      </c>
      <c r="FF33">
        <f>'TEA Revised Non EYZ'!DV33</f>
        <v>0.7</v>
      </c>
      <c r="FG33">
        <f>'TEA Revised Non EYZ'!DW33</f>
        <v>35776.359048024235</v>
      </c>
      <c r="FH33">
        <f>'TEA Revised Non EYZ'!DX33</f>
        <v>29068.269280606211</v>
      </c>
      <c r="FI33">
        <f>'TEA Revised Non EYZ'!DY33</f>
        <v>12307.130138966339</v>
      </c>
      <c r="FJ33">
        <f>'TEA Revised Non EYZ'!DZ33</f>
        <v>6519.4301878820042</v>
      </c>
      <c r="FK33">
        <f>'TEA Revised Non EYZ'!EA33</f>
        <v>6563.8027407820491</v>
      </c>
      <c r="FL33">
        <f>'TEA Revised Non EYZ'!EB33</f>
        <v>849.15280108431921</v>
      </c>
      <c r="FM33">
        <f>'TEA Revised Non EYZ'!EC33</f>
        <v>30861.528261581931</v>
      </c>
      <c r="FN33">
        <f>'TEA Revised Non EYZ'!ED33</f>
        <v>23280.20970610623</v>
      </c>
      <c r="FO33">
        <f>'TEA Revised Non EYZ'!EE33</f>
        <v>9856.54039976272</v>
      </c>
      <c r="FP33">
        <f>'TEA Revised Non EYZ'!EF33</f>
        <v>5224.1840897298107</v>
      </c>
      <c r="FQ33">
        <f>'TEA Revised Non EYZ'!EG33</f>
        <v>5256.8215465401163</v>
      </c>
      <c r="FR33">
        <f>'TEA Revised Non EYZ'!EH33</f>
        <v>428.34662746267912</v>
      </c>
      <c r="FS33">
        <f>'TEA Revised Non EYZ'!EI33</f>
        <v>165991.77482852867</v>
      </c>
      <c r="FT33">
        <f>EG33*EH33</f>
        <v>2617.9277846009418</v>
      </c>
      <c r="FU33">
        <f>EG33*EI33</f>
        <v>4607.6782003373828</v>
      </c>
      <c r="FV33">
        <f>FC33*(FT33+FU33)/(3.6*10^6)*3600*7200*0.07</f>
        <v>1820.8527082044579</v>
      </c>
      <c r="FW33">
        <f>('CAPEX+OPEX'!$C$39/7/100+0.03)*EL33</f>
        <v>94475.844077566348</v>
      </c>
      <c r="FX33">
        <f>('CAPEX+OPEX'!$C$39/7/100+0.03)*EM33</f>
        <v>166282.00738586541</v>
      </c>
      <c r="FY33">
        <f>SUM(FV33:FX33)</f>
        <v>262578.7041716362</v>
      </c>
      <c r="FZ33">
        <f>FY33+FA33+FS33+EU33</f>
        <v>17212289.117346391</v>
      </c>
      <c r="GA33">
        <f>FZ33+EO33</f>
        <v>18156133.390820585</v>
      </c>
      <c r="GB33">
        <f>GA33/(BK33*60*7200)</f>
        <v>0.42028086552825428</v>
      </c>
      <c r="GC33">
        <f>'TEA Revised Non EYZ'!EM33/'TEA Revised Non EYZ'!EK33*GA33</f>
        <v>1408.0874302417785</v>
      </c>
      <c r="GD33">
        <f>'TEA Revised Non EYZ'!EN33/'TEA Revised Non EYZ'!EK33*GA33</f>
        <v>2572.1223526198032</v>
      </c>
    </row>
    <row r="34" spans="1:186">
      <c r="A34">
        <f>'TEA Revised Non EYZ'!A34</f>
        <v>6</v>
      </c>
      <c r="B34">
        <f>'TEA Revised Non EYZ'!B34</f>
        <v>1.54143585092054E-3</v>
      </c>
      <c r="C34">
        <f>'TEA Revised Non EYZ'!C34</f>
        <v>1.54143585092054E-3</v>
      </c>
      <c r="D34">
        <f>'TEA Revised Non EYZ'!D34</f>
        <v>3.4254130020456501E-4</v>
      </c>
      <c r="E34">
        <f>'TEA Revised Non EYZ'!E34</f>
        <v>0</v>
      </c>
      <c r="F34">
        <f>'TEA Revised Non EYZ'!F34</f>
        <v>0</v>
      </c>
      <c r="G34">
        <f>'TEA Revised Non EYZ'!G34</f>
        <v>0</v>
      </c>
      <c r="H34">
        <f>'TEA Revised Non EYZ'!H34</f>
        <v>1.7693893431643E-5</v>
      </c>
      <c r="I34">
        <f>'TEA Revised Non EYZ'!I34</f>
        <v>3.7175600603836103E-8</v>
      </c>
      <c r="J34">
        <f>'TEA Revised Non EYZ'!J34</f>
        <v>3.36890310328726E-4</v>
      </c>
      <c r="K34">
        <f>'TEA Revised Non EYZ'!K34</f>
        <v>0.133710118829723</v>
      </c>
      <c r="L34">
        <f>'TEA Revised Non EYZ'!L34</f>
        <v>0.13525951632913</v>
      </c>
      <c r="M34">
        <f>'TEA Revised Non EYZ'!M34</f>
        <v>4.9588089642288804E-4</v>
      </c>
      <c r="N34">
        <f>'TEA Revised Non EYZ'!N34</f>
        <v>-1.72886878424538E-14</v>
      </c>
      <c r="O34">
        <f>'TEA Revised Non EYZ'!O34</f>
        <v>-1.05961268405396E-12</v>
      </c>
      <c r="P34">
        <f>'TEA Revised Non EYZ'!P34</f>
        <v>-9.6595637304880395E-18</v>
      </c>
      <c r="Q34">
        <f>'TEA Revised Non EYZ'!Q34</f>
        <v>0.11395861217105201</v>
      </c>
      <c r="R34">
        <f>'TEA Revised Non EYZ'!R34</f>
        <v>98.3502748800029</v>
      </c>
      <c r="S34">
        <f>'TEA Revised Non EYZ'!S34</f>
        <v>500</v>
      </c>
      <c r="T34">
        <f>'TEA Revised Non EYZ'!T34</f>
        <v>95</v>
      </c>
      <c r="U34">
        <f>'TEA Revised Non EYZ'!U34</f>
        <v>1</v>
      </c>
      <c r="V34">
        <f>'TEA Revised Non EYZ'!V34</f>
        <v>0.1</v>
      </c>
      <c r="W34">
        <f>'TEA Revised Non EYZ'!W34</f>
        <v>87.751156402202497</v>
      </c>
      <c r="X34" t="str">
        <f>'TEA Revised Non EYZ'!X34</f>
        <v>ddFc</v>
      </c>
      <c r="Y34">
        <f>'TEA Revised Non EYZ'!Y34</f>
        <v>1</v>
      </c>
      <c r="Z34">
        <f>'TEA Revised Non EYZ'!Z34</f>
        <v>0.28318429382522198</v>
      </c>
      <c r="AA34">
        <f>'TEA Revised Non EYZ'!AA34</f>
        <v>0.56945642916197003</v>
      </c>
      <c r="AB34">
        <f>'TEA Revised Non EYZ'!AB34</f>
        <v>3.7698628972227502E-3</v>
      </c>
      <c r="AC34">
        <f>'TEA Revised Non EYZ'!AC34</f>
        <v>1822.2107908876901</v>
      </c>
      <c r="AD34">
        <f>'TEA Revised Non EYZ'!AD34</f>
        <v>2662.6059073104898</v>
      </c>
      <c r="AE34">
        <f>'TEA Revised Non EYZ'!AE34</f>
        <v>2401.5030938442701</v>
      </c>
      <c r="AF34">
        <f>'TEA Revised Non EYZ'!AF34</f>
        <v>6</v>
      </c>
      <c r="AG34">
        <f>'TEA Revised Non EYZ'!AG34</f>
        <v>1.64951815726537E-3</v>
      </c>
      <c r="AH34">
        <f>'TEA Revised Non EYZ'!AH34</f>
        <v>1.6686323374819601E-3</v>
      </c>
      <c r="AI34">
        <f>'TEA Revised Non EYZ'!AI34</f>
        <v>6.1174468293775103E-6</v>
      </c>
      <c r="AJ34">
        <f>'TEA Revised Non EYZ'!AJ34</f>
        <v>0</v>
      </c>
      <c r="AK34">
        <f>'TEA Revised Non EYZ'!AK34</f>
        <v>0</v>
      </c>
      <c r="AL34">
        <f>'TEA Revised Non EYZ'!AL34</f>
        <v>0</v>
      </c>
      <c r="AM34">
        <f>'TEA Revised Non EYZ'!AM34</f>
        <v>1.6118646916441E-3</v>
      </c>
      <c r="AN34">
        <f>'TEA Revised Non EYZ'!AN34</f>
        <v>7.8758511932156396E-5</v>
      </c>
      <c r="AO34">
        <f>'TEA Revised Non EYZ'!AO34</f>
        <v>6.0764721178985501E-6</v>
      </c>
      <c r="AP34">
        <f>'TEA Revised Non EYZ'!AP34</f>
        <v>1.75634842896041E-3</v>
      </c>
      <c r="AQ34">
        <f>'TEA Revised Non EYZ'!AQ34</f>
        <v>7.4159771210348502E-2</v>
      </c>
      <c r="AR34">
        <f>'TEA Revised Non EYZ'!AR34</f>
        <v>1.91126816471642E-6</v>
      </c>
      <c r="AS34">
        <f>'TEA Revised Non EYZ'!AS34</f>
        <v>-2.6427427954334101E-18</v>
      </c>
      <c r="AT34">
        <f>'TEA Revised Non EYZ'!AT34</f>
        <v>-2.7300210703185002E-16</v>
      </c>
      <c r="AU34">
        <f>'TEA Revised Non EYZ'!AU34</f>
        <v>-2.0447904742310799E-21</v>
      </c>
      <c r="AV34">
        <f>'TEA Revised Non EYZ'!AV34</f>
        <v>0.19803803302439801</v>
      </c>
      <c r="AW34">
        <f>'TEA Revised Non EYZ'!AW34</f>
        <v>99.330199139906</v>
      </c>
      <c r="AX34">
        <f>'TEA Revised Non EYZ'!AX34</f>
        <v>500</v>
      </c>
      <c r="AY34">
        <f>'TEA Revised Non EYZ'!AY34</f>
        <v>95</v>
      </c>
      <c r="AZ34">
        <f>'TEA Revised Non EYZ'!AZ34</f>
        <v>0.92374973309314701</v>
      </c>
      <c r="BA34">
        <f>'TEA Revised Non EYZ'!BA34</f>
        <v>0.1</v>
      </c>
      <c r="BB34">
        <f>'TEA Revised Non EYZ'!BB34</f>
        <v>46.645067060393401</v>
      </c>
      <c r="BC34" t="str">
        <f>'TEA Revised Non EYZ'!BC34</f>
        <v>coeFc</v>
      </c>
      <c r="BD34">
        <f>'TEA Revised Non EYZ'!BD34</f>
        <v>1</v>
      </c>
      <c r="BE34">
        <f>'TEA Revised Non EYZ'!BE34</f>
        <v>1.8775014999999999E-2</v>
      </c>
      <c r="BF34">
        <f>'TEA Revised Non EYZ'!BF34</f>
        <v>0.10492961100000001</v>
      </c>
      <c r="BG34">
        <f>'TEA Revised Non EYZ'!BG34</f>
        <v>1.814625E-3</v>
      </c>
      <c r="BH34">
        <f>'TEA Revised Non EYZ'!BH34</f>
        <v>285.1951444</v>
      </c>
      <c r="BI34">
        <f>'TEA Revised Non EYZ'!BI34</f>
        <v>2169.8944889999998</v>
      </c>
      <c r="BJ34">
        <f>'TEA Revised Non EYZ'!BJ34</f>
        <v>866.49409060000005</v>
      </c>
      <c r="BK34">
        <f>'TEA Revised Non EYZ'!BK34</f>
        <v>100</v>
      </c>
      <c r="BL34">
        <f>'TEA Revised Non EYZ'!BL34</f>
        <v>11.395861217105201</v>
      </c>
      <c r="BM34">
        <f>'TEA Revised Non EYZ'!BM34</f>
        <v>92.374973309314697</v>
      </c>
      <c r="BN34">
        <f>'TEA Revised Non EYZ'!BN34</f>
        <v>19.8038033024398</v>
      </c>
      <c r="BO34">
        <f>'TEA Revised Non EYZ'!BO34</f>
        <v>182.33377947368322</v>
      </c>
      <c r="BP34">
        <f>'TEA Revised Non EYZ'!BP34</f>
        <v>316.8608528390368</v>
      </c>
      <c r="BQ34">
        <f>'TEA Revised Non EYZ'!BQ34</f>
        <v>18.233377947368322</v>
      </c>
      <c r="BR34">
        <f>'TEA Revised Non EYZ'!BR34</f>
        <v>31.68608528390368</v>
      </c>
      <c r="BS34">
        <f>'eLLE Bals'!CF34</f>
        <v>6.8375167302631192</v>
      </c>
      <c r="BT34">
        <f>'eLLE Bals'!CG34</f>
        <v>11.88228198146388</v>
      </c>
      <c r="BU34">
        <f>BM34</f>
        <v>92.374973309314697</v>
      </c>
      <c r="BV34">
        <f>BU34*(AM34*2+AN34*2+AO34*3)</f>
        <v>0.31402648846204662</v>
      </c>
      <c r="BW34">
        <f>BN34*BA34*(AP34*2+AQ34*2+AR34*3)</f>
        <v>0.30069693527790986</v>
      </c>
      <c r="BX34">
        <f>BV34/(2*V34*BL34+BV34)</f>
        <v>0.12109619081681873</v>
      </c>
      <c r="BY34">
        <f>BU34*BX34</f>
        <v>11.186257394563309</v>
      </c>
      <c r="BZ34">
        <f>BW34/(2*BN34*BA34+BW34)</f>
        <v>7.0561991647336481E-2</v>
      </c>
      <c r="CA34">
        <f>2*BN34*BA34/0.04</f>
        <v>99.019016512199002</v>
      </c>
      <c r="CB34">
        <f>(BS34+BL34)*2</f>
        <v>36.466755894736643</v>
      </c>
      <c r="CC34">
        <f>(BU34+BL34)*2</f>
        <v>207.54166905283981</v>
      </c>
      <c r="CD34">
        <f>(BT34+BN34)*2</f>
        <v>63.372170567807359</v>
      </c>
      <c r="CE34">
        <f>(CA34+BN34)*2</f>
        <v>237.64563962927761</v>
      </c>
      <c r="CF34">
        <f>'TEA Revised Non EYZ'!CB34</f>
        <v>2406.8058890526186</v>
      </c>
      <c r="CG34">
        <f>'TEA Revised Non EYZ'!CC34</f>
        <v>4182.5632574752863</v>
      </c>
      <c r="CH34">
        <f>'TEA Revised Non EYZ'!CD34</f>
        <v>2907.8673690603878</v>
      </c>
      <c r="CI34">
        <f>'TEA Revised Non EYZ'!CE34</f>
        <v>32260.482144023998</v>
      </c>
      <c r="CJ34">
        <f>BL34*V34</f>
        <v>1.1395861217105201</v>
      </c>
      <c r="CK34">
        <f>CJ34/2*1.2</f>
        <v>0.68375167302631201</v>
      </c>
      <c r="CL34">
        <f>'eLLE Bals'!CB34*'Oxidant Feed Composition'!$N$20</f>
        <v>3.7986204057017352E-2</v>
      </c>
      <c r="CM34">
        <f>'eLLE Bals'!CB34*'Oxidant Feed Composition'!$N$21</f>
        <v>1.8993102028508668</v>
      </c>
      <c r="CN34">
        <f>'eLLE Bals'!CB34*'Oxidant Feed Composition'!$N$22</f>
        <v>0.56979306085526005</v>
      </c>
      <c r="CO34">
        <f>CN34/CK34</f>
        <v>0.83333333333333337</v>
      </c>
      <c r="CP34">
        <f>CO34</f>
        <v>0.83333333333333337</v>
      </c>
      <c r="CQ34">
        <f>CL34/CO34</f>
        <v>4.5583444868420822E-2</v>
      </c>
      <c r="CR34">
        <f>CM34/CO34</f>
        <v>2.2791722434210402</v>
      </c>
      <c r="CS34">
        <f>BN34*BA34</f>
        <v>1.98038033024398</v>
      </c>
      <c r="CT34">
        <f>CS34/2*1.2</f>
        <v>1.188228198146388</v>
      </c>
      <c r="CU34">
        <f>'eLLE Bals'!CC34*'Oxidant Feed Composition'!$N$20</f>
        <v>6.6012677674799361E-2</v>
      </c>
      <c r="CV34">
        <f>'eLLE Bals'!CC34*'Oxidant Feed Composition'!$N$21</f>
        <v>3.3006338837399669</v>
      </c>
      <c r="CW34">
        <f>'eLLE Bals'!CC34*'Oxidant Feed Composition'!$N$22</f>
        <v>0.99019016512198998</v>
      </c>
      <c r="CX34">
        <f>CU34/CP34</f>
        <v>7.921521320975923E-2</v>
      </c>
      <c r="CY34">
        <f>CV34/CP34</f>
        <v>3.9607606604879599</v>
      </c>
      <c r="CZ34">
        <f>CJ34</f>
        <v>1.1395861217105201</v>
      </c>
      <c r="DA34">
        <f>'eLLE Bals'!BQ34</f>
        <v>2.2791722434210402</v>
      </c>
      <c r="DB34">
        <f>'eLLE Bals'!BU34</f>
        <v>5.9918276658891516</v>
      </c>
      <c r="DC34">
        <f>CS34</f>
        <v>1.98038033024398</v>
      </c>
      <c r="DD34">
        <f>'eLLE Bals'!BX34</f>
        <v>3.9607606604879599</v>
      </c>
      <c r="DE34">
        <f>'eLLE Bals'!CA34</f>
        <v>22.124681472751973</v>
      </c>
      <c r="DF34">
        <f>2*2*(CJ34*'Reagent cost'!$C$36*122.44/1000+CK34*'Oxidant Feed Composition'!$N$26+CQ34*'Reagent cost'!$C$34+CR34*'Reagent cost'!$C$35)</f>
        <v>96.258231963173614</v>
      </c>
      <c r="DG34">
        <f>2*2*(CS34*'Reagent cost'!$C$36*122.44/1000+CT34*'Oxidant Feed Composition'!$N$26+CX34*'Reagent cost'!$C$34+CY34*'Reagent cost'!$C$35)</f>
        <v>167.27819475179172</v>
      </c>
      <c r="DH34">
        <f>(AF34+3)*2*(CZ34*'Reagent cost'!$C$38+DA34*'Reagent cost'!$C$39+DB34*'Reagent cost'!$C$36*122.44/1000)</f>
        <v>1024.0110080161555</v>
      </c>
      <c r="DI34">
        <f>3*2*(DC34*'Reagent cost'!$C$38+DD34*'Reagent cost'!$C$39+DE34*'Reagent cost'!$C$36*122.44/1000)</f>
        <v>1200.8017720156963</v>
      </c>
      <c r="DJ34">
        <f>7963.6*(CB34/1000)^0.6*1.7*('CAPEX+OPEX'!$G$116/'CAPEX+OPEX'!$G$115)</f>
        <v>2189.6727102460782</v>
      </c>
      <c r="DK34">
        <f>7963.6*(CC34/1000)^0.6*1.7*('CAPEX+OPEX'!$G$116/'CAPEX+OPEX'!$G$115)</f>
        <v>6215.9013146876341</v>
      </c>
      <c r="DL34">
        <f>7963.6*(CD34/1000)^0.6*1.7*('CAPEX+OPEX'!$G$116/'CAPEX+OPEX'!$G$115)</f>
        <v>3050.5635541858655</v>
      </c>
      <c r="DM34">
        <f>7963.6*(CE34/1000)^0.6*1.7*('CAPEX+OPEX'!$G$116/'CAPEX+OPEX'!$G$115)</f>
        <v>6742.1566359604703</v>
      </c>
      <c r="DN34">
        <f>'TEA Revised Non EYZ'!CM34</f>
        <v>39625.826528698344</v>
      </c>
      <c r="DO34">
        <f>'TEA Revised Non EYZ'!CN34</f>
        <v>4586243.4239371875</v>
      </c>
      <c r="DP34">
        <f>'TEA Revised Non EYZ'!CO34</f>
        <v>11794834.586807497</v>
      </c>
      <c r="DQ34">
        <f>'TEA Revised Non EYZ'!CP34</f>
        <v>2275209.1661185985</v>
      </c>
      <c r="DR34">
        <f>'TEA Revised Non EYZ'!CQ34</f>
        <v>14083914.336508472</v>
      </c>
      <c r="DS34">
        <f>'TEA Revised Non EYZ'!CR34</f>
        <v>1662824.8986326549</v>
      </c>
      <c r="DT34">
        <f>'TEA Revised Non EYZ'!CS34</f>
        <v>646135.89638675924</v>
      </c>
      <c r="DU34">
        <f>'TEA Revised Non EYZ'!CT34</f>
        <v>1661722.9645298459</v>
      </c>
      <c r="DV34">
        <f>'TEA Revised Non EYZ'!CU34</f>
        <v>320544.32748695416</v>
      </c>
      <c r="DW34">
        <f>'TEA Revised Non EYZ'!CV34</f>
        <v>1984221.4582325809</v>
      </c>
      <c r="DX34">
        <f>'TEA Revised Non EYZ'!CW34</f>
        <v>234268.17050410178</v>
      </c>
      <c r="DY34">
        <f>'TEA Revised Non EYZ'!CX34</f>
        <v>4846892.8171402421</v>
      </c>
      <c r="DZ34">
        <f>'TEA Revised Non EYZ'!CY34</f>
        <v>610271.35267664073</v>
      </c>
      <c r="EA34">
        <f>'TEA Revised Non EYZ'!CZ34</f>
        <v>1569487.0490997343</v>
      </c>
      <c r="EB34">
        <f>'TEA Revised Non EYZ'!DA34</f>
        <v>302752.13220965426</v>
      </c>
      <c r="EC34">
        <f>'TEA Revised Non EYZ'!DB34</f>
        <v>1874084.8791982206</v>
      </c>
      <c r="ED34">
        <f>'TEA Revised Non EYZ'!DC34</f>
        <v>221264.83623971866</v>
      </c>
      <c r="EE34">
        <f>'TEA Revised Non EYZ'!DD34</f>
        <v>4577860.2494239686</v>
      </c>
      <c r="EF34">
        <v>0.7</v>
      </c>
      <c r="EG34">
        <v>100</v>
      </c>
      <c r="EH34">
        <f>96485*BL34*V34/EF34/EG34/60</f>
        <v>26.179277846009416</v>
      </c>
      <c r="EI34">
        <f>96485*BN34*BA34/EF34/EG34/60</f>
        <v>45.494522896092967</v>
      </c>
      <c r="EJ34">
        <f>EH34*('CAPEX+OPEX'!$O$25+'CAPEX+OPEX'!$O$26)</f>
        <v>834385.9435080121</v>
      </c>
      <c r="EK34">
        <f>EI34*('CAPEX+OPEX'!$O$25+'CAPEX+OPEX'!$O$26)</f>
        <v>1450001.433744275</v>
      </c>
      <c r="EL34">
        <f>EJ34*1.12/0.6*'CAPEX+OPEX'!$G$116/'CAPEX+OPEX'!$G$115</f>
        <v>1837030.3015082346</v>
      </c>
      <c r="EM34">
        <f>EK34*1.12/0.6*'CAPEX+OPEX'!$G$116/'CAPEX+OPEX'!$G$115</f>
        <v>3192403.4575889762</v>
      </c>
      <c r="EN34">
        <f>EL34+EM34+DY34+EE34+1.15*(SUM(DF34:DM34)+SUM(CF34:CI34))</f>
        <v>14525997.842055077</v>
      </c>
      <c r="EO34">
        <f>EN34/15</f>
        <v>968399.85613700515</v>
      </c>
      <c r="EP34">
        <f>('eLLE Bals'!CB34+'eLLE Bals'!CC34)*'Oxidant Feed Composition'!$N$25*60*7200</f>
        <v>12563374.839854907</v>
      </c>
      <c r="EQ34" s="83">
        <f>('eLLE Bals'!BR34+'eLLE Bals'!BY34)*'Reagent cost'!$C$38*60*7200</f>
        <v>506797.45794626221</v>
      </c>
      <c r="ER34">
        <f>'TEA Revised Non EYZ'!DI34</f>
        <v>504921.59999999998</v>
      </c>
      <c r="ES34">
        <f>'TEA Revised Non EYZ'!DJ34</f>
        <v>65.893691465279048</v>
      </c>
      <c r="ET34">
        <f>'TEA Revised Non EYZ'!DK34</f>
        <v>703.36699026168776</v>
      </c>
      <c r="EU34">
        <f>1.2*SUM(EP34:ET34)</f>
        <v>16291035.790179472</v>
      </c>
      <c r="EV34">
        <f>'TEA Revised Non EYZ'!DM34</f>
        <v>0.70639694042110623</v>
      </c>
      <c r="EW34">
        <f>(BS34*CO34+BT34*CP34)/1000*('Oxidant Feed Composition'!$B$11*'Oxidant Feed Composition'!$O$20+'Oxidant Feed Composition'!$D$11*'Oxidant Feed Composition'!$O$21+'Oxidant Feed Composition'!$F$11*'Oxidant Feed Composition'!$O$27-'Oxidant Feed Composition'!$J$15*18.015)</f>
        <v>1.8218192345346915</v>
      </c>
      <c r="EX34">
        <f>(CZ34*BX34+DC34*BZ34)*368.34/1000</f>
        <v>0.10230242700703486</v>
      </c>
      <c r="EY34">
        <f>'TEA Revised Non EYZ'!DP34</f>
        <v>4.999938342565946E-2</v>
      </c>
      <c r="EZ34">
        <f>SUM(EV34:EX34)-EY34</f>
        <v>2.5805192185371735</v>
      </c>
      <c r="FA34">
        <f>EZ34*0.33*60*7200</f>
        <v>367878.81979465944</v>
      </c>
      <c r="FB34">
        <f>'TEA Revised Non EYZ'!DS34</f>
        <v>1.2</v>
      </c>
      <c r="FC34">
        <v>0.5</v>
      </c>
      <c r="FD34">
        <f>'TEA Revised Non EYZ'!DT34</f>
        <v>1405.5071126003013</v>
      </c>
      <c r="FE34">
        <f>'TEA Revised Non EYZ'!DU34</f>
        <v>706.76046105556952</v>
      </c>
      <c r="FF34">
        <f>'TEA Revised Non EYZ'!DV34</f>
        <v>0.7</v>
      </c>
      <c r="FG34">
        <f>'TEA Revised Non EYZ'!DW34</f>
        <v>35776.359048024235</v>
      </c>
      <c r="FH34">
        <f>'TEA Revised Non EYZ'!DX34</f>
        <v>29068.269280606211</v>
      </c>
      <c r="FI34">
        <f>'TEA Revised Non EYZ'!DY34</f>
        <v>12307.130138966339</v>
      </c>
      <c r="FJ34">
        <f>'TEA Revised Non EYZ'!DZ34</f>
        <v>6519.4301878820042</v>
      </c>
      <c r="FK34">
        <f>'TEA Revised Non EYZ'!EA34</f>
        <v>6563.8027407820491</v>
      </c>
      <c r="FL34">
        <f>'TEA Revised Non EYZ'!EB34</f>
        <v>850.05070170066233</v>
      </c>
      <c r="FM34">
        <f>'TEA Revised Non EYZ'!EC34</f>
        <v>33433.322283380425</v>
      </c>
      <c r="FN34">
        <f>'TEA Revised Non EYZ'!ED34</f>
        <v>27160.244657123931</v>
      </c>
      <c r="FO34">
        <f>'TEA Revised Non EYZ'!EE34</f>
        <v>11499.297133056505</v>
      </c>
      <c r="FP34">
        <f>'TEA Revised Non EYZ'!EF34</f>
        <v>6094.881438018112</v>
      </c>
      <c r="FQ34">
        <f>'TEA Revised Non EYZ'!EG34</f>
        <v>6132.9584709634682</v>
      </c>
      <c r="FR34">
        <f>'TEA Revised Non EYZ'!EH34</f>
        <v>427.44872684640848</v>
      </c>
      <c r="FS34">
        <f>'TEA Revised Non EYZ'!EI34</f>
        <v>175833.19480735034</v>
      </c>
      <c r="FT34">
        <f>EG34*EH34</f>
        <v>2617.9277846009418</v>
      </c>
      <c r="FU34">
        <f>EG34*EI34</f>
        <v>4549.4522896092967</v>
      </c>
      <c r="FV34">
        <f>FC34*(FT34+FU34)/(3.6*10^6)*3600*7200*0.07</f>
        <v>1806.1797787009803</v>
      </c>
      <c r="FW34">
        <f>('CAPEX+OPEX'!$C$39/7/100+0.03)*EL34</f>
        <v>94475.844077566348</v>
      </c>
      <c r="FX34">
        <f>('CAPEX+OPEX'!$C$39/7/100+0.03)*EM34</f>
        <v>164180.74924743306</v>
      </c>
      <c r="FY34">
        <f>SUM(FV34:FX34)</f>
        <v>260462.7731037004</v>
      </c>
      <c r="FZ34">
        <f>FY34+FA34+FS34+EU34</f>
        <v>17095210.577885181</v>
      </c>
      <c r="GA34">
        <f>FZ34+EO34</f>
        <v>18063610.434022184</v>
      </c>
      <c r="GB34">
        <f>GA34/(BK34*60*7200)</f>
        <v>0.4181391304171802</v>
      </c>
      <c r="GC34">
        <f>'TEA Revised Non EYZ'!EM34/'TEA Revised Non EYZ'!EK34*GA34</f>
        <v>1399.431047819035</v>
      </c>
      <c r="GD34">
        <f>'TEA Revised Non EYZ'!EN34/'TEA Revised Non EYZ'!EK34*GA34</f>
        <v>2563.9708643378699</v>
      </c>
    </row>
    <row r="35" spans="1:186">
      <c r="A35">
        <f>'TEA Revised Non EYZ'!A35</f>
        <v>6</v>
      </c>
      <c r="B35">
        <f>'TEA Revised Non EYZ'!B35</f>
        <v>1.54143585092054E-3</v>
      </c>
      <c r="C35">
        <f>'TEA Revised Non EYZ'!C35</f>
        <v>1.54143585092054E-3</v>
      </c>
      <c r="D35">
        <f>'TEA Revised Non EYZ'!D35</f>
        <v>3.4254130020456501E-4</v>
      </c>
      <c r="E35">
        <f>'TEA Revised Non EYZ'!E35</f>
        <v>0</v>
      </c>
      <c r="F35">
        <f>'TEA Revised Non EYZ'!F35</f>
        <v>0</v>
      </c>
      <c r="G35">
        <f>'TEA Revised Non EYZ'!G35</f>
        <v>0</v>
      </c>
      <c r="H35">
        <f>'TEA Revised Non EYZ'!H35</f>
        <v>1.7693893431643E-5</v>
      </c>
      <c r="I35">
        <f>'TEA Revised Non EYZ'!I35</f>
        <v>3.7175600603836103E-8</v>
      </c>
      <c r="J35">
        <f>'TEA Revised Non EYZ'!J35</f>
        <v>3.36890310328726E-4</v>
      </c>
      <c r="K35">
        <f>'TEA Revised Non EYZ'!K35</f>
        <v>0.133710118829723</v>
      </c>
      <c r="L35">
        <f>'TEA Revised Non EYZ'!L35</f>
        <v>0.13525951632913</v>
      </c>
      <c r="M35">
        <f>'TEA Revised Non EYZ'!M35</f>
        <v>4.9588089642288804E-4</v>
      </c>
      <c r="N35">
        <f>'TEA Revised Non EYZ'!N35</f>
        <v>-1.72886878424538E-14</v>
      </c>
      <c r="O35">
        <f>'TEA Revised Non EYZ'!O35</f>
        <v>-1.05961268405396E-12</v>
      </c>
      <c r="P35">
        <f>'TEA Revised Non EYZ'!P35</f>
        <v>-9.6595637304880395E-18</v>
      </c>
      <c r="Q35">
        <f>'TEA Revised Non EYZ'!Q35</f>
        <v>0.11395861217105201</v>
      </c>
      <c r="R35">
        <f>'TEA Revised Non EYZ'!R35</f>
        <v>98.3502748800029</v>
      </c>
      <c r="S35">
        <f>'TEA Revised Non EYZ'!S35</f>
        <v>500</v>
      </c>
      <c r="T35">
        <f>'TEA Revised Non EYZ'!T35</f>
        <v>95</v>
      </c>
      <c r="U35">
        <f>'TEA Revised Non EYZ'!U35</f>
        <v>1</v>
      </c>
      <c r="V35">
        <f>'TEA Revised Non EYZ'!V35</f>
        <v>0.1</v>
      </c>
      <c r="W35">
        <f>'TEA Revised Non EYZ'!W35</f>
        <v>87.751156402202497</v>
      </c>
      <c r="X35" t="str">
        <f>'TEA Revised Non EYZ'!X35</f>
        <v>ddFc</v>
      </c>
      <c r="Y35">
        <f>'TEA Revised Non EYZ'!Y35</f>
        <v>1</v>
      </c>
      <c r="Z35">
        <f>'TEA Revised Non EYZ'!Z35</f>
        <v>0.28318429382522198</v>
      </c>
      <c r="AA35">
        <f>'TEA Revised Non EYZ'!AA35</f>
        <v>0.56945642916197003</v>
      </c>
      <c r="AB35">
        <f>'TEA Revised Non EYZ'!AB35</f>
        <v>3.7698628972227502E-3</v>
      </c>
      <c r="AC35">
        <f>'TEA Revised Non EYZ'!AC35</f>
        <v>1822.2107908876901</v>
      </c>
      <c r="AD35">
        <f>'TEA Revised Non EYZ'!AD35</f>
        <v>2662.6059073104898</v>
      </c>
      <c r="AE35">
        <f>'TEA Revised Non EYZ'!AE35</f>
        <v>2401.5030938442701</v>
      </c>
      <c r="AF35">
        <f>'TEA Revised Non EYZ'!AF35</f>
        <v>7</v>
      </c>
      <c r="AG35">
        <f>'TEA Revised Non EYZ'!AG35</f>
        <v>1.64951815726537E-3</v>
      </c>
      <c r="AH35">
        <f>'TEA Revised Non EYZ'!AH35</f>
        <v>1.6686323374819601E-3</v>
      </c>
      <c r="AI35">
        <f>'TEA Revised Non EYZ'!AI35</f>
        <v>6.1174468293775103E-6</v>
      </c>
      <c r="AJ35">
        <f>'TEA Revised Non EYZ'!AJ35</f>
        <v>0</v>
      </c>
      <c r="AK35">
        <f>'TEA Revised Non EYZ'!AK35</f>
        <v>0</v>
      </c>
      <c r="AL35">
        <f>'TEA Revised Non EYZ'!AL35</f>
        <v>0</v>
      </c>
      <c r="AM35">
        <f>'TEA Revised Non EYZ'!AM35</f>
        <v>1.61236068920583E-3</v>
      </c>
      <c r="AN35">
        <f>'TEA Revised Non EYZ'!AN35</f>
        <v>7.8784098873371198E-5</v>
      </c>
      <c r="AO35">
        <f>'TEA Revised Non EYZ'!AO35</f>
        <v>6.0769898417647796E-6</v>
      </c>
      <c r="AP35">
        <f>'TEA Revised Non EYZ'!AP35</f>
        <v>1.7396945907611301E-3</v>
      </c>
      <c r="AQ35">
        <f>'TEA Revised Non EYZ'!AQ35</f>
        <v>7.4435921644561601E-2</v>
      </c>
      <c r="AR35">
        <f>'TEA Revised Non EYZ'!AR35</f>
        <v>1.8941764922222101E-6</v>
      </c>
      <c r="AS35">
        <f>'TEA Revised Non EYZ'!AS35</f>
        <v>2.4732006807109899E-16</v>
      </c>
      <c r="AT35">
        <f>'TEA Revised Non EYZ'!AT35</f>
        <v>-7.0015824735203402E-14</v>
      </c>
      <c r="AU35">
        <f>'TEA Revised Non EYZ'!AU35</f>
        <v>-9.2578054156934797E-21</v>
      </c>
      <c r="AV35">
        <f>'TEA Revised Non EYZ'!AV35</f>
        <v>0.197300154776898</v>
      </c>
      <c r="AW35">
        <f>'TEA Revised Non EYZ'!AW35</f>
        <v>99.338662210867994</v>
      </c>
      <c r="AX35">
        <f>'TEA Revised Non EYZ'!AX35</f>
        <v>500</v>
      </c>
      <c r="AY35">
        <f>'TEA Revised Non EYZ'!AY35</f>
        <v>95</v>
      </c>
      <c r="AZ35">
        <f>'TEA Revised Non EYZ'!AZ35</f>
        <v>0.92374973309314701</v>
      </c>
      <c r="BA35">
        <f>'TEA Revised Non EYZ'!BA35</f>
        <v>0.1</v>
      </c>
      <c r="BB35">
        <f>'TEA Revised Non EYZ'!BB35</f>
        <v>46.819513858856197</v>
      </c>
      <c r="BC35" t="str">
        <f>'TEA Revised Non EYZ'!BC35</f>
        <v>coeFc</v>
      </c>
      <c r="BD35">
        <f>'TEA Revised Non EYZ'!BD35</f>
        <v>1</v>
      </c>
      <c r="BE35">
        <f>'TEA Revised Non EYZ'!BE35</f>
        <v>1.8775014999999999E-2</v>
      </c>
      <c r="BF35">
        <f>'TEA Revised Non EYZ'!BF35</f>
        <v>0.10492961100000001</v>
      </c>
      <c r="BG35">
        <f>'TEA Revised Non EYZ'!BG35</f>
        <v>1.814625E-3</v>
      </c>
      <c r="BH35">
        <f>'TEA Revised Non EYZ'!BH35</f>
        <v>285.1951444</v>
      </c>
      <c r="BI35">
        <f>'TEA Revised Non EYZ'!BI35</f>
        <v>2169.8944889999998</v>
      </c>
      <c r="BJ35">
        <f>'TEA Revised Non EYZ'!BJ35</f>
        <v>866.49409060000005</v>
      </c>
      <c r="BK35">
        <f>'TEA Revised Non EYZ'!BK35</f>
        <v>100</v>
      </c>
      <c r="BL35">
        <f>'TEA Revised Non EYZ'!BL35</f>
        <v>11.395861217105201</v>
      </c>
      <c r="BM35">
        <f>'TEA Revised Non EYZ'!BM35</f>
        <v>92.374973309314697</v>
      </c>
      <c r="BN35">
        <f>'TEA Revised Non EYZ'!BN35</f>
        <v>19.7300154776898</v>
      </c>
      <c r="BO35">
        <f>'TEA Revised Non EYZ'!BO35</f>
        <v>182.33377947368322</v>
      </c>
      <c r="BP35">
        <f>'TEA Revised Non EYZ'!BP35</f>
        <v>355.14027859841639</v>
      </c>
      <c r="BQ35">
        <f>'TEA Revised Non EYZ'!BQ35</f>
        <v>18.233377947368322</v>
      </c>
      <c r="BR35">
        <f>'TEA Revised Non EYZ'!BR35</f>
        <v>35.51402785984164</v>
      </c>
      <c r="BS35">
        <f>'eLLE Bals'!CF35</f>
        <v>6.8375167302631192</v>
      </c>
      <c r="BT35">
        <f>'eLLE Bals'!CG35</f>
        <v>11.838009286613881</v>
      </c>
      <c r="BU35">
        <f>BM35</f>
        <v>92.374973309314697</v>
      </c>
      <c r="BV35">
        <f>BU35*(AM35*2+AN35*2+AO35*3)</f>
        <v>0.31412299464530774</v>
      </c>
      <c r="BW35">
        <f>BN35*BA35*(AP35*2+AQ35*2+AR35*3)</f>
        <v>0.30060042910854795</v>
      </c>
      <c r="BX35">
        <f>BV35/(2*V35*BL35+BV35)</f>
        <v>0.12112889810399255</v>
      </c>
      <c r="BY35">
        <f>BU35*BX35</f>
        <v>11.189278729343011</v>
      </c>
      <c r="BZ35">
        <f>BW35/(2*BN35*BA35+BW35)</f>
        <v>7.0786082892814975E-2</v>
      </c>
      <c r="CA35">
        <f>2*BN35*BA35/0.04</f>
        <v>98.650077388449006</v>
      </c>
      <c r="CB35">
        <f>(BS35+BL35)*2</f>
        <v>36.466755894736643</v>
      </c>
      <c r="CC35">
        <f>(BU35+BL35)*2</f>
        <v>207.54166905283981</v>
      </c>
      <c r="CD35">
        <f>(BT35+BN35)*2</f>
        <v>63.136049528607359</v>
      </c>
      <c r="CE35">
        <f>(CA35+BN35)*2</f>
        <v>236.76018573227762</v>
      </c>
      <c r="CF35">
        <f>'TEA Revised Non EYZ'!CB35</f>
        <v>2406.8058890526186</v>
      </c>
      <c r="CG35">
        <f>'TEA Revised Non EYZ'!CC35</f>
        <v>4687.8516774990967</v>
      </c>
      <c r="CH35">
        <f>'TEA Revised Non EYZ'!CD35</f>
        <v>2907.8673690603878</v>
      </c>
      <c r="CI35">
        <f>'TEA Revised Non EYZ'!CE35</f>
        <v>36157.816636844051</v>
      </c>
      <c r="CJ35">
        <f>BL35*V35</f>
        <v>1.1395861217105201</v>
      </c>
      <c r="CK35">
        <f>CJ35/2*1.2</f>
        <v>0.68375167302631201</v>
      </c>
      <c r="CL35">
        <f>'eLLE Bals'!CB35*'Oxidant Feed Composition'!$N$20</f>
        <v>3.7986204057017352E-2</v>
      </c>
      <c r="CM35">
        <f>'eLLE Bals'!CB35*'Oxidant Feed Composition'!$N$21</f>
        <v>1.8993102028508668</v>
      </c>
      <c r="CN35">
        <f>'eLLE Bals'!CB35*'Oxidant Feed Composition'!$N$22</f>
        <v>0.56979306085526005</v>
      </c>
      <c r="CO35">
        <f>CN35/CK35</f>
        <v>0.83333333333333337</v>
      </c>
      <c r="CP35">
        <f>CO35</f>
        <v>0.83333333333333337</v>
      </c>
      <c r="CQ35">
        <f>CL35/CO35</f>
        <v>4.5583444868420822E-2</v>
      </c>
      <c r="CR35">
        <f>CM35/CO35</f>
        <v>2.2791722434210402</v>
      </c>
      <c r="CS35">
        <f>BN35*BA35</f>
        <v>1.9730015477689802</v>
      </c>
      <c r="CT35">
        <f>CS35/2*1.2</f>
        <v>1.183800928661388</v>
      </c>
      <c r="CU35">
        <f>'eLLE Bals'!CC35*'Oxidant Feed Composition'!$N$20</f>
        <v>6.5766718258966031E-2</v>
      </c>
      <c r="CV35">
        <f>'eLLE Bals'!CC35*'Oxidant Feed Composition'!$N$21</f>
        <v>3.2883359129483005</v>
      </c>
      <c r="CW35">
        <f>'eLLE Bals'!CC35*'Oxidant Feed Composition'!$N$22</f>
        <v>0.98650077388449009</v>
      </c>
      <c r="CX35">
        <f>CU35/CP35</f>
        <v>7.8920061910759232E-2</v>
      </c>
      <c r="CY35">
        <f>CV35/CP35</f>
        <v>3.9460030955379604</v>
      </c>
      <c r="CZ35">
        <f>CJ35</f>
        <v>1.1395861217105201</v>
      </c>
      <c r="DA35">
        <f>'eLLE Bals'!BQ35</f>
        <v>2.2791722434210402</v>
      </c>
      <c r="DB35">
        <f>'eLLE Bals'!BU35</f>
        <v>5.9892866147247075</v>
      </c>
      <c r="DC35">
        <f>CS35</f>
        <v>1.9730015477689802</v>
      </c>
      <c r="DD35">
        <f>'eLLE Bals'!BX35</f>
        <v>3.9460030955379604</v>
      </c>
      <c r="DE35">
        <f>'eLLE Bals'!CA35</f>
        <v>21.953727780049782</v>
      </c>
      <c r="DF35">
        <f>2*2*(CJ35*'Reagent cost'!$C$36*122.44/1000+CK35*'Oxidant Feed Composition'!$N$26+CQ35*'Reagent cost'!$C$34+CR35*'Reagent cost'!$C$35)</f>
        <v>96.258231963173614</v>
      </c>
      <c r="DG35">
        <f>2*2*(CS35*'Reagent cost'!$C$36*122.44/1000+CT35*'Oxidant Feed Composition'!$N$26+CX35*'Reagent cost'!$C$34+CY35*'Reagent cost'!$C$35)</f>
        <v>166.65492588114398</v>
      </c>
      <c r="DH35">
        <f>(AF35+3)*2*(CZ35*'Reagent cost'!$C$38+DA35*'Reagent cost'!$C$39+DB35*'Reagent cost'!$C$36*122.44/1000)</f>
        <v>1137.3505741142585</v>
      </c>
      <c r="DI35">
        <f>3*2*(DC35*'Reagent cost'!$C$38+DD35*'Reagent cost'!$C$39+DE35*'Reagent cost'!$C$36*122.44/1000)</f>
        <v>1191.7352944973995</v>
      </c>
      <c r="DJ35">
        <f>7963.6*(CB35/1000)^0.6*1.7*('CAPEX+OPEX'!$G$116/'CAPEX+OPEX'!$G$115)</f>
        <v>2189.6727102460782</v>
      </c>
      <c r="DK35">
        <f>7963.6*(CC35/1000)^0.6*1.7*('CAPEX+OPEX'!$G$116/'CAPEX+OPEX'!$G$115)</f>
        <v>6215.9013146876341</v>
      </c>
      <c r="DL35">
        <f>7963.6*(CD35/1000)^0.6*1.7*('CAPEX+OPEX'!$G$116/'CAPEX+OPEX'!$G$115)</f>
        <v>3043.7387294113364</v>
      </c>
      <c r="DM35">
        <f>7963.6*(CE35/1000)^0.6*1.7*('CAPEX+OPEX'!$G$116/'CAPEX+OPEX'!$G$115)</f>
        <v>6727.0728533001402</v>
      </c>
      <c r="DN35">
        <f>'TEA Revised Non EYZ'!CM35</f>
        <v>39625.826528698344</v>
      </c>
      <c r="DO35">
        <f>'TEA Revised Non EYZ'!CN35</f>
        <v>4586243.4239371875</v>
      </c>
      <c r="DP35">
        <f>'TEA Revised Non EYZ'!CO35</f>
        <v>11794834.586807497</v>
      </c>
      <c r="DQ35">
        <f>'TEA Revised Non EYZ'!CP35</f>
        <v>2275209.1661185985</v>
      </c>
      <c r="DR35">
        <f>'TEA Revised Non EYZ'!CQ35</f>
        <v>14083914.336508472</v>
      </c>
      <c r="DS35">
        <f>'TEA Revised Non EYZ'!CR35</f>
        <v>1662824.8986326549</v>
      </c>
      <c r="DT35">
        <f>'TEA Revised Non EYZ'!CS35</f>
        <v>646135.89638675924</v>
      </c>
      <c r="DU35">
        <f>'TEA Revised Non EYZ'!CT35</f>
        <v>1661722.9645298459</v>
      </c>
      <c r="DV35">
        <f>'TEA Revised Non EYZ'!CU35</f>
        <v>320544.32748695416</v>
      </c>
      <c r="DW35">
        <f>'TEA Revised Non EYZ'!CV35</f>
        <v>1984221.4582325809</v>
      </c>
      <c r="DX35">
        <f>'TEA Revised Non EYZ'!CW35</f>
        <v>234268.17050410178</v>
      </c>
      <c r="DY35">
        <f>'TEA Revised Non EYZ'!CX35</f>
        <v>4846892.8171402421</v>
      </c>
      <c r="DZ35">
        <f>'TEA Revised Non EYZ'!CY35</f>
        <v>661177.63088250696</v>
      </c>
      <c r="EA35">
        <f>'TEA Revised Non EYZ'!CZ35</f>
        <v>1700407.0800196673</v>
      </c>
      <c r="EB35">
        <f>'TEA Revised Non EYZ'!DA35</f>
        <v>328006.44605231972</v>
      </c>
      <c r="EC35">
        <f>'TEA Revised Non EYZ'!DB35</f>
        <v>2030413.1843422146</v>
      </c>
      <c r="ED35">
        <f>'TEA Revised Non EYZ'!DC35</f>
        <v>239721.8214175282</v>
      </c>
      <c r="EE35">
        <f>'TEA Revised Non EYZ'!DD35</f>
        <v>4959726.1627142364</v>
      </c>
      <c r="EF35">
        <v>0.7</v>
      </c>
      <c r="EG35">
        <v>100</v>
      </c>
      <c r="EH35">
        <f>96485*BL35*V35/EF35/EG35/60</f>
        <v>26.179277846009416</v>
      </c>
      <c r="EI35">
        <f>96485*BN35*BA35/EF35/EG35/60</f>
        <v>45.325012937259544</v>
      </c>
      <c r="EJ35">
        <f>EH35*('CAPEX+OPEX'!$O$25+'CAPEX+OPEX'!$O$26)</f>
        <v>834385.9435080121</v>
      </c>
      <c r="EK35">
        <f>EI35*('CAPEX+OPEX'!$O$25+'CAPEX+OPEX'!$O$26)</f>
        <v>1444598.8123363361</v>
      </c>
      <c r="EL35">
        <f>EJ35*1.12/0.6*'CAPEX+OPEX'!$G$116/'CAPEX+OPEX'!$G$115</f>
        <v>1837030.3015082346</v>
      </c>
      <c r="EM35">
        <f>EK35*1.12/0.6*'CAPEX+OPEX'!$G$116/'CAPEX+OPEX'!$G$115</f>
        <v>3180508.7471001656</v>
      </c>
      <c r="EN35">
        <f>EL35+EM35+DY35+EE35+1.15*(SUM(DF35:DM35)+SUM(CF35:CI35))</f>
        <v>14901126.063600421</v>
      </c>
      <c r="EO35">
        <f>EN35/15</f>
        <v>993408.40424002812</v>
      </c>
      <c r="EP35">
        <f>('eLLE Bals'!CB35+'eLLE Bals'!CC35)*'Oxidant Feed Composition'!$N$25*60*7200</f>
        <v>12533662.20943957</v>
      </c>
      <c r="EQ35" s="83">
        <f>('eLLE Bals'!BR35+'eLLE Bals'!BY35)*'Reagent cost'!$C$38*60*7200</f>
        <v>506722.17629218852</v>
      </c>
      <c r="ER35">
        <f>'TEA Revised Non EYZ'!DI35</f>
        <v>504921.59999999998</v>
      </c>
      <c r="ES35">
        <f>'TEA Revised Non EYZ'!DJ35</f>
        <v>70.946575665517159</v>
      </c>
      <c r="ET35">
        <f>'TEA Revised Non EYZ'!DK35</f>
        <v>781.31368011808888</v>
      </c>
      <c r="EU35">
        <f>1.2*SUM(EP35:ET35)</f>
        <v>16255389.89518505</v>
      </c>
      <c r="EV35">
        <f>'TEA Revised Non EYZ'!DM35</f>
        <v>0.70639694042110623</v>
      </c>
      <c r="EW35">
        <f>(BS35*CO35+BT35*CP35)/1000*('Oxidant Feed Composition'!$B$11*'Oxidant Feed Composition'!$O$20+'Oxidant Feed Composition'!$D$11*'Oxidant Feed Composition'!$O$21+'Oxidant Feed Composition'!$F$11*'Oxidant Feed Composition'!$O$27-'Oxidant Feed Composition'!$J$15*18.015)</f>
        <v>1.8175105959491769</v>
      </c>
      <c r="EX35">
        <f>(CZ35*BX35+DC35*BZ35)*368.34/1000</f>
        <v>0.10228723060894701</v>
      </c>
      <c r="EY35">
        <f>'TEA Revised Non EYZ'!DP35</f>
        <v>4.999938342565946E-2</v>
      </c>
      <c r="EZ35">
        <f>SUM(EV35:EX35)-EY35</f>
        <v>2.5761953835535709</v>
      </c>
      <c r="FA35">
        <f>EZ35*0.33*60*7200</f>
        <v>367262.41387939709</v>
      </c>
      <c r="FB35">
        <f>'TEA Revised Non EYZ'!DS35</f>
        <v>1.2</v>
      </c>
      <c r="FC35">
        <v>0.5</v>
      </c>
      <c r="FD35">
        <f>'TEA Revised Non EYZ'!DT35</f>
        <v>1405.9393233749126</v>
      </c>
      <c r="FE35">
        <f>'TEA Revised Non EYZ'!DU35</f>
        <v>706.32825031277434</v>
      </c>
      <c r="FF35">
        <f>'TEA Revised Non EYZ'!DV35</f>
        <v>0.7</v>
      </c>
      <c r="FG35">
        <f>'TEA Revised Non EYZ'!DW35</f>
        <v>35776.359048024235</v>
      </c>
      <c r="FH35">
        <f>'TEA Revised Non EYZ'!DX35</f>
        <v>29068.269280606211</v>
      </c>
      <c r="FI35">
        <f>'TEA Revised Non EYZ'!DY35</f>
        <v>12307.130138966339</v>
      </c>
      <c r="FJ35">
        <f>'TEA Revised Non EYZ'!DZ35</f>
        <v>6519.4301878820042</v>
      </c>
      <c r="FK35">
        <f>'TEA Revised Non EYZ'!EA35</f>
        <v>6563.8027407820491</v>
      </c>
      <c r="FL35">
        <f>'TEA Revised Non EYZ'!EB35</f>
        <v>850.31210277714717</v>
      </c>
      <c r="FM35">
        <f>'TEA Revised Non EYZ'!EC35</f>
        <v>36005.116305178919</v>
      </c>
      <c r="FN35">
        <f>'TEA Revised Non EYZ'!ED35</f>
        <v>31040.279608141645</v>
      </c>
      <c r="FO35">
        <f>'TEA Revised Non EYZ'!EE35</f>
        <v>13142.053866350294</v>
      </c>
      <c r="FP35">
        <f>'TEA Revised Non EYZ'!EF35</f>
        <v>6965.5787863064152</v>
      </c>
      <c r="FQ35">
        <f>'TEA Revised Non EYZ'!EG35</f>
        <v>7009.0953953868229</v>
      </c>
      <c r="FR35">
        <f>'TEA Revised Non EYZ'!EH35</f>
        <v>427.18732578916593</v>
      </c>
      <c r="FS35">
        <f>'TEA Revised Non EYZ'!EI35</f>
        <v>185674.61478619123</v>
      </c>
      <c r="FT35">
        <f>EG35*EH35</f>
        <v>2617.9277846009418</v>
      </c>
      <c r="FU35">
        <f>EG35*EI35</f>
        <v>4532.5012937259544</v>
      </c>
      <c r="FV35">
        <f>FC35*(FT35+FU35)/(3.6*10^6)*3600*7200*0.07</f>
        <v>1801.908127738378</v>
      </c>
      <c r="FW35">
        <f>('CAPEX+OPEX'!$C$39/7/100+0.03)*EL35</f>
        <v>94475.844077566348</v>
      </c>
      <c r="FX35">
        <f>('CAPEX+OPEX'!$C$39/7/100+0.03)*EM35</f>
        <v>163569.02127943709</v>
      </c>
      <c r="FY35">
        <f>SUM(FV35:FX35)</f>
        <v>259846.7734847418</v>
      </c>
      <c r="FZ35">
        <f>FY35+FA35+FS35+EU35</f>
        <v>17068173.697335381</v>
      </c>
      <c r="GA35">
        <f>FZ35+EO35</f>
        <v>18061582.101575408</v>
      </c>
      <c r="GB35">
        <f>GA35/(BK35*60*7200)</f>
        <v>0.41809217827720851</v>
      </c>
      <c r="GC35">
        <f>'TEA Revised Non EYZ'!EM35/'TEA Revised Non EYZ'!EK35*GA35</f>
        <v>1398.8434403756198</v>
      </c>
      <c r="GD35">
        <f>'TEA Revised Non EYZ'!EN35/'TEA Revised Non EYZ'!EK35*GA35</f>
        <v>2565.1292065721168</v>
      </c>
    </row>
    <row r="36" spans="1:186">
      <c r="A36">
        <f>'TEA Revised Non EYZ'!A36</f>
        <v>6</v>
      </c>
      <c r="B36">
        <f>'TEA Revised Non EYZ'!B36</f>
        <v>1.54143585092054E-3</v>
      </c>
      <c r="C36">
        <f>'TEA Revised Non EYZ'!C36</f>
        <v>1.54143585092054E-3</v>
      </c>
      <c r="D36">
        <f>'TEA Revised Non EYZ'!D36</f>
        <v>3.4254130020456501E-4</v>
      </c>
      <c r="E36">
        <f>'TEA Revised Non EYZ'!E36</f>
        <v>0</v>
      </c>
      <c r="F36">
        <f>'TEA Revised Non EYZ'!F36</f>
        <v>0</v>
      </c>
      <c r="G36">
        <f>'TEA Revised Non EYZ'!G36</f>
        <v>0</v>
      </c>
      <c r="H36">
        <f>'TEA Revised Non EYZ'!H36</f>
        <v>1.7693893431643E-5</v>
      </c>
      <c r="I36">
        <f>'TEA Revised Non EYZ'!I36</f>
        <v>3.7175600603836103E-8</v>
      </c>
      <c r="J36">
        <f>'TEA Revised Non EYZ'!J36</f>
        <v>3.36890310328726E-4</v>
      </c>
      <c r="K36">
        <f>'TEA Revised Non EYZ'!K36</f>
        <v>0.133710118829723</v>
      </c>
      <c r="L36">
        <f>'TEA Revised Non EYZ'!L36</f>
        <v>0.13525951632913</v>
      </c>
      <c r="M36">
        <f>'TEA Revised Non EYZ'!M36</f>
        <v>4.9588089642288804E-4</v>
      </c>
      <c r="N36">
        <f>'TEA Revised Non EYZ'!N36</f>
        <v>-1.72886878424538E-14</v>
      </c>
      <c r="O36">
        <f>'TEA Revised Non EYZ'!O36</f>
        <v>-1.05961268405396E-12</v>
      </c>
      <c r="P36">
        <f>'TEA Revised Non EYZ'!P36</f>
        <v>-9.6595637304880395E-18</v>
      </c>
      <c r="Q36">
        <f>'TEA Revised Non EYZ'!Q36</f>
        <v>0.11395861217105201</v>
      </c>
      <c r="R36">
        <f>'TEA Revised Non EYZ'!R36</f>
        <v>98.3502748800029</v>
      </c>
      <c r="S36">
        <f>'TEA Revised Non EYZ'!S36</f>
        <v>500</v>
      </c>
      <c r="T36">
        <f>'TEA Revised Non EYZ'!T36</f>
        <v>95</v>
      </c>
      <c r="U36">
        <f>'TEA Revised Non EYZ'!U36</f>
        <v>1</v>
      </c>
      <c r="V36">
        <f>'TEA Revised Non EYZ'!V36</f>
        <v>0.1</v>
      </c>
      <c r="W36">
        <f>'TEA Revised Non EYZ'!W36</f>
        <v>87.751156402202497</v>
      </c>
      <c r="X36" t="str">
        <f>'TEA Revised Non EYZ'!X36</f>
        <v>ddFc</v>
      </c>
      <c r="Y36">
        <f>'TEA Revised Non EYZ'!Y36</f>
        <v>1</v>
      </c>
      <c r="Z36">
        <f>'TEA Revised Non EYZ'!Z36</f>
        <v>0.28318429382522198</v>
      </c>
      <c r="AA36">
        <f>'TEA Revised Non EYZ'!AA36</f>
        <v>0.56945642916197003</v>
      </c>
      <c r="AB36">
        <f>'TEA Revised Non EYZ'!AB36</f>
        <v>3.7698628972227502E-3</v>
      </c>
      <c r="AC36">
        <f>'TEA Revised Non EYZ'!AC36</f>
        <v>1822.2107908876901</v>
      </c>
      <c r="AD36">
        <f>'TEA Revised Non EYZ'!AD36</f>
        <v>2662.6059073104898</v>
      </c>
      <c r="AE36">
        <f>'TEA Revised Non EYZ'!AE36</f>
        <v>2401.5030938442701</v>
      </c>
      <c r="AF36">
        <f>'TEA Revised Non EYZ'!AF36</f>
        <v>8</v>
      </c>
      <c r="AG36">
        <f>'TEA Revised Non EYZ'!AG36</f>
        <v>1.64951815726537E-3</v>
      </c>
      <c r="AH36">
        <f>'TEA Revised Non EYZ'!AH36</f>
        <v>1.6686323374819601E-3</v>
      </c>
      <c r="AI36">
        <f>'TEA Revised Non EYZ'!AI36</f>
        <v>6.1174468293775103E-6</v>
      </c>
      <c r="AJ36">
        <f>'TEA Revised Non EYZ'!AJ36</f>
        <v>0</v>
      </c>
      <c r="AK36">
        <f>'TEA Revised Non EYZ'!AK36</f>
        <v>0</v>
      </c>
      <c r="AL36">
        <f>'TEA Revised Non EYZ'!AL36</f>
        <v>0</v>
      </c>
      <c r="AM36">
        <f>'TEA Revised Non EYZ'!AM36</f>
        <v>1.6125021937551699E-3</v>
      </c>
      <c r="AN36">
        <f>'TEA Revised Non EYZ'!AN36</f>
        <v>7.8791398968760994E-5</v>
      </c>
      <c r="AO36">
        <f>'TEA Revised Non EYZ'!AO36</f>
        <v>6.0771375446680096E-6</v>
      </c>
      <c r="AP36">
        <f>'TEA Revised Non EYZ'!AP36</f>
        <v>1.73492050588017E-3</v>
      </c>
      <c r="AQ36">
        <f>'TEA Revised Non EYZ'!AQ36</f>
        <v>7.4515084509212501E-2</v>
      </c>
      <c r="AR36">
        <f>'TEA Revised Non EYZ'!AR36</f>
        <v>1.8892768957738701E-6</v>
      </c>
      <c r="AS36">
        <f>'TEA Revised Non EYZ'!AS36</f>
        <v>7.2525806974615906E-15</v>
      </c>
      <c r="AT36">
        <f>'TEA Revised Non EYZ'!AT36</f>
        <v>-1.73205959123901E-12</v>
      </c>
      <c r="AU36">
        <f>'TEA Revised Non EYZ'!AU36</f>
        <v>4.3225150089571002E-20</v>
      </c>
      <c r="AV36">
        <f>'TEA Revised Non EYZ'!AV36</f>
        <v>0.19708964352883601</v>
      </c>
      <c r="AW36">
        <f>'TEA Revised Non EYZ'!AW36</f>
        <v>99.341076664272293</v>
      </c>
      <c r="AX36">
        <f>'TEA Revised Non EYZ'!AX36</f>
        <v>500</v>
      </c>
      <c r="AY36">
        <f>'TEA Revised Non EYZ'!AY36</f>
        <v>95</v>
      </c>
      <c r="AZ36">
        <f>'TEA Revised Non EYZ'!AZ36</f>
        <v>0.92374973309314701</v>
      </c>
      <c r="BA36">
        <f>'TEA Revised Non EYZ'!BA36</f>
        <v>0.1</v>
      </c>
      <c r="BB36">
        <f>'TEA Revised Non EYZ'!BB36</f>
        <v>46.869521734052398</v>
      </c>
      <c r="BC36" t="str">
        <f>'TEA Revised Non EYZ'!BC36</f>
        <v>coeFc</v>
      </c>
      <c r="BD36">
        <f>'TEA Revised Non EYZ'!BD36</f>
        <v>1</v>
      </c>
      <c r="BE36">
        <f>'TEA Revised Non EYZ'!BE36</f>
        <v>1.8775014999999999E-2</v>
      </c>
      <c r="BF36">
        <f>'TEA Revised Non EYZ'!BF36</f>
        <v>0.10492961100000001</v>
      </c>
      <c r="BG36">
        <f>'TEA Revised Non EYZ'!BG36</f>
        <v>1.814625E-3</v>
      </c>
      <c r="BH36">
        <f>'TEA Revised Non EYZ'!BH36</f>
        <v>285.1951444</v>
      </c>
      <c r="BI36">
        <f>'TEA Revised Non EYZ'!BI36</f>
        <v>2169.8944889999998</v>
      </c>
      <c r="BJ36">
        <f>'TEA Revised Non EYZ'!BJ36</f>
        <v>866.49409060000005</v>
      </c>
      <c r="BK36">
        <f>'TEA Revised Non EYZ'!BK36</f>
        <v>100</v>
      </c>
      <c r="BL36">
        <f>'TEA Revised Non EYZ'!BL36</f>
        <v>11.395861217105201</v>
      </c>
      <c r="BM36">
        <f>'TEA Revised Non EYZ'!BM36</f>
        <v>92.374973309314697</v>
      </c>
      <c r="BN36">
        <f>'TEA Revised Non EYZ'!BN36</f>
        <v>19.708964352883601</v>
      </c>
      <c r="BO36">
        <f>'TEA Revised Non EYZ'!BO36</f>
        <v>182.33377947368322</v>
      </c>
      <c r="BP36">
        <f>'TEA Revised Non EYZ'!BP36</f>
        <v>394.17928705767201</v>
      </c>
      <c r="BQ36">
        <f>'TEA Revised Non EYZ'!BQ36</f>
        <v>18.233377947368322</v>
      </c>
      <c r="BR36">
        <f>'TEA Revised Non EYZ'!BR36</f>
        <v>39.417928705767203</v>
      </c>
      <c r="BS36">
        <f>'eLLE Bals'!CF36</f>
        <v>6.8375167302631192</v>
      </c>
      <c r="BT36">
        <f>'eLLE Bals'!CG36</f>
        <v>11.82537861173016</v>
      </c>
      <c r="BU36">
        <f>BM36</f>
        <v>92.374973309314697</v>
      </c>
      <c r="BV36">
        <f>BU36*(AM36*2+AN36*2+AO36*3)</f>
        <v>0.31415052722763337</v>
      </c>
      <c r="BW36">
        <f>BN36*BA36*(AP36*2+AQ36*2+AR36*3)</f>
        <v>0.30057289685722893</v>
      </c>
      <c r="BX36">
        <f>BV36/(2*V36*BL36+BV36)</f>
        <v>0.12113822883260082</v>
      </c>
      <c r="BY36">
        <f>BU36*BX36</f>
        <v>11.190140655149158</v>
      </c>
      <c r="BZ36">
        <f>BW36/(2*BN36*BA36+BW36)</f>
        <v>7.0850302245163171E-2</v>
      </c>
      <c r="CA36">
        <f>2*BN36*BA36/0.04</f>
        <v>98.544821764418003</v>
      </c>
      <c r="CB36">
        <f>(BS36+BL36)*2</f>
        <v>36.466755894736643</v>
      </c>
      <c r="CC36">
        <f>(BU36+BL36)*2</f>
        <v>207.54166905283981</v>
      </c>
      <c r="CD36">
        <f>(BT36+BN36)*2</f>
        <v>63.068685929227527</v>
      </c>
      <c r="CE36">
        <f>(CA36+BN36)*2</f>
        <v>236.5075722346032</v>
      </c>
      <c r="CF36">
        <f>'TEA Revised Non EYZ'!CB36</f>
        <v>2406.8058890526186</v>
      </c>
      <c r="CG36">
        <f>'TEA Revised Non EYZ'!CC36</f>
        <v>5203.1665891612702</v>
      </c>
      <c r="CH36">
        <f>'TEA Revised Non EYZ'!CD36</f>
        <v>2907.8673690603878</v>
      </c>
      <c r="CI36">
        <f>'TEA Revised Non EYZ'!CE36</f>
        <v>40132.486350808351</v>
      </c>
      <c r="CJ36">
        <f>BL36*V36</f>
        <v>1.1395861217105201</v>
      </c>
      <c r="CK36">
        <f>CJ36/2*1.2</f>
        <v>0.68375167302631201</v>
      </c>
      <c r="CL36">
        <f>'eLLE Bals'!CB36*'Oxidant Feed Composition'!$N$20</f>
        <v>3.7986204057017352E-2</v>
      </c>
      <c r="CM36">
        <f>'eLLE Bals'!CB36*'Oxidant Feed Composition'!$N$21</f>
        <v>1.8993102028508668</v>
      </c>
      <c r="CN36">
        <f>'eLLE Bals'!CB36*'Oxidant Feed Composition'!$N$22</f>
        <v>0.56979306085526005</v>
      </c>
      <c r="CO36">
        <f>CN36/CK36</f>
        <v>0.83333333333333337</v>
      </c>
      <c r="CP36">
        <f>CO36</f>
        <v>0.83333333333333337</v>
      </c>
      <c r="CQ36">
        <f>CL36/CO36</f>
        <v>4.5583444868420822E-2</v>
      </c>
      <c r="CR36">
        <f>CM36/CO36</f>
        <v>2.2791722434210402</v>
      </c>
      <c r="CS36">
        <f>BN36*BA36</f>
        <v>1.9708964352883602</v>
      </c>
      <c r="CT36">
        <f>CS36/2*1.2</f>
        <v>1.1825378611730162</v>
      </c>
      <c r="CU36">
        <f>'eLLE Bals'!CC36*'Oxidant Feed Composition'!$N$20</f>
        <v>6.5696547842945374E-2</v>
      </c>
      <c r="CV36">
        <f>'eLLE Bals'!CC36*'Oxidant Feed Composition'!$N$21</f>
        <v>3.284827392147267</v>
      </c>
      <c r="CW36">
        <f>'eLLE Bals'!CC36*'Oxidant Feed Composition'!$N$22</f>
        <v>0.98544821764418011</v>
      </c>
      <c r="CX36">
        <f>CU36/CP36</f>
        <v>7.8835857411534441E-2</v>
      </c>
      <c r="CY36">
        <f>CV36/CP36</f>
        <v>3.9417928705767205</v>
      </c>
      <c r="CZ36">
        <f>CJ36</f>
        <v>1.1395861217105201</v>
      </c>
      <c r="DA36">
        <f>'eLLE Bals'!BQ36</f>
        <v>2.2791722434210402</v>
      </c>
      <c r="DB36">
        <f>'eLLE Bals'!BU36</f>
        <v>5.9885619580710756</v>
      </c>
      <c r="DC36">
        <f>CS36</f>
        <v>1.9708964352883602</v>
      </c>
      <c r="DD36">
        <f>'eLLE Bals'!BX36</f>
        <v>3.9417928705767205</v>
      </c>
      <c r="DE36">
        <f>'eLLE Bals'!CA36</f>
        <v>21.905066904524411</v>
      </c>
      <c r="DF36">
        <f>2*2*(CJ36*'Reagent cost'!$C$36*122.44/1000+CK36*'Oxidant Feed Composition'!$N$26+CQ36*'Reagent cost'!$C$34+CR36*'Reagent cost'!$C$35)</f>
        <v>96.258231963173614</v>
      </c>
      <c r="DG36">
        <f>2*2*(CS36*'Reagent cost'!$C$36*122.44/1000+CT36*'Oxidant Feed Composition'!$N$26+CX36*'Reagent cost'!$C$34+CY36*'Reagent cost'!$C$35)</f>
        <v>166.477111847077</v>
      </c>
      <c r="DH36">
        <f>(AF36+3)*2*(CZ36*'Reagent cost'!$C$38+DA36*'Reagent cost'!$C$39+DB36*'Reagent cost'!$C$36*122.44/1000)</f>
        <v>1250.9477817705078</v>
      </c>
      <c r="DI36">
        <f>3*2*(DC36*'Reagent cost'!$C$38+DD36*'Reagent cost'!$C$39+DE36*'Reagent cost'!$C$36*122.44/1000)</f>
        <v>1189.1544515516107</v>
      </c>
      <c r="DJ36">
        <f>7963.6*(CB36/1000)^0.6*1.7*('CAPEX+OPEX'!$G$116/'CAPEX+OPEX'!$G$115)</f>
        <v>2189.6727102460782</v>
      </c>
      <c r="DK36">
        <f>7963.6*(CC36/1000)^0.6*1.7*('CAPEX+OPEX'!$G$116/'CAPEX+OPEX'!$G$115)</f>
        <v>6215.9013146876341</v>
      </c>
      <c r="DL36">
        <f>7963.6*(CD36/1000)^0.6*1.7*('CAPEX+OPEX'!$G$116/'CAPEX+OPEX'!$G$115)</f>
        <v>3041.7897860771859</v>
      </c>
      <c r="DM36">
        <f>7963.6*(CE36/1000)^0.6*1.7*('CAPEX+OPEX'!$G$116/'CAPEX+OPEX'!$G$115)</f>
        <v>6722.76542583631</v>
      </c>
      <c r="DN36">
        <f>'TEA Revised Non EYZ'!CM36</f>
        <v>39625.826528698344</v>
      </c>
      <c r="DO36">
        <f>'TEA Revised Non EYZ'!CN36</f>
        <v>4586243.4239371875</v>
      </c>
      <c r="DP36">
        <f>'TEA Revised Non EYZ'!CO36</f>
        <v>11794834.586807497</v>
      </c>
      <c r="DQ36">
        <f>'TEA Revised Non EYZ'!CP36</f>
        <v>2275209.1661185985</v>
      </c>
      <c r="DR36">
        <f>'TEA Revised Non EYZ'!CQ36</f>
        <v>14083914.336508472</v>
      </c>
      <c r="DS36">
        <f>'TEA Revised Non EYZ'!CR36</f>
        <v>1662824.8986326549</v>
      </c>
      <c r="DT36">
        <f>'TEA Revised Non EYZ'!CS36</f>
        <v>646135.89638675924</v>
      </c>
      <c r="DU36">
        <f>'TEA Revised Non EYZ'!CT36</f>
        <v>1661722.9645298459</v>
      </c>
      <c r="DV36">
        <f>'TEA Revised Non EYZ'!CU36</f>
        <v>320544.32748695416</v>
      </c>
      <c r="DW36">
        <f>'TEA Revised Non EYZ'!CV36</f>
        <v>1984221.4582325809</v>
      </c>
      <c r="DX36">
        <f>'TEA Revised Non EYZ'!CW36</f>
        <v>234268.17050410178</v>
      </c>
      <c r="DY36">
        <f>'TEA Revised Non EYZ'!CX36</f>
        <v>4846892.8171402421</v>
      </c>
      <c r="DZ36">
        <f>'TEA Revised Non EYZ'!CY36</f>
        <v>709593.56018346804</v>
      </c>
      <c r="EA36">
        <f>'TEA Revised Non EYZ'!CZ36</f>
        <v>1824922.4676004604</v>
      </c>
      <c r="EB36">
        <f>'TEA Revised Non EYZ'!DA36</f>
        <v>352025.31202806637</v>
      </c>
      <c r="EC36">
        <f>'TEA Revised Non EYZ'!DB36</f>
        <v>2179093.8664966309</v>
      </c>
      <c r="ED36">
        <f>'TEA Revised Non EYZ'!DC36</f>
        <v>257275.88588603889</v>
      </c>
      <c r="EE36">
        <f>'TEA Revised Non EYZ'!DD36</f>
        <v>5322911.0921946643</v>
      </c>
      <c r="EF36">
        <v>0.7</v>
      </c>
      <c r="EG36">
        <v>100</v>
      </c>
      <c r="EH36">
        <f>96485*BL36*V36/EF36/EG36/60</f>
        <v>26.179277846009416</v>
      </c>
      <c r="EI36">
        <f>96485*BN36*BA36/EF36/EG36/60</f>
        <v>45.276652990189866</v>
      </c>
      <c r="EJ36">
        <f>EH36*('CAPEX+OPEX'!$O$25+'CAPEX+OPEX'!$O$26)</f>
        <v>834385.9435080121</v>
      </c>
      <c r="EK36">
        <f>EI36*('CAPEX+OPEX'!$O$25+'CAPEX+OPEX'!$O$26)</f>
        <v>1443057.4841033313</v>
      </c>
      <c r="EL36">
        <f>EJ36*1.12/0.6*'CAPEX+OPEX'!$G$116/'CAPEX+OPEX'!$G$115</f>
        <v>1837030.3015082346</v>
      </c>
      <c r="EM36">
        <f>EK36*1.12/0.6*'CAPEX+OPEX'!$G$116/'CAPEX+OPEX'!$G$115</f>
        <v>3177115.2735036481</v>
      </c>
      <c r="EN36">
        <f>EL36+EM36+DY36+EE36+1.15*(SUM(DF36:DM36)+SUM(CF36:CI36))</f>
        <v>15266201.271310659</v>
      </c>
      <c r="EO36">
        <f>EN36/15</f>
        <v>1017746.7514207106</v>
      </c>
      <c r="EP36">
        <f>('eLLE Bals'!CB36+'eLLE Bals'!CC36)*'Oxidant Feed Composition'!$N$25*60*7200</f>
        <v>12525185.414069697</v>
      </c>
      <c r="EQ36" s="83">
        <f>('eLLE Bals'!BR36+'eLLE Bals'!BY36)*'Reagent cost'!$C$38*60*7200</f>
        <v>506700.62664793048</v>
      </c>
      <c r="ER36">
        <f>'TEA Revised Non EYZ'!DI36</f>
        <v>504921.59999999998</v>
      </c>
      <c r="ES36">
        <f>'TEA Revised Non EYZ'!DJ36</f>
        <v>76.099724782138892</v>
      </c>
      <c r="ET36">
        <f>'TEA Revised Non EYZ'!DK36</f>
        <v>860.80707439737489</v>
      </c>
      <c r="EU36">
        <f>1.2*SUM(EP36:ET36)</f>
        <v>16245293.457020169</v>
      </c>
      <c r="EV36">
        <f>'TEA Revised Non EYZ'!DM36</f>
        <v>0.70639694042110623</v>
      </c>
      <c r="EW36">
        <f>(BS36*CO36+BT36*CP36)/1000*('Oxidant Feed Composition'!$B$11*'Oxidant Feed Composition'!$O$20+'Oxidant Feed Composition'!$D$11*'Oxidant Feed Composition'!$O$21+'Oxidant Feed Composition'!$F$11*'Oxidant Feed Composition'!$O$27-'Oxidant Feed Composition'!$J$15*18.015)</f>
        <v>1.8162813729856897</v>
      </c>
      <c r="EX36">
        <f>(CZ36*BX36+DC36*BZ36)*368.34/1000</f>
        <v>0.10228288058533469</v>
      </c>
      <c r="EY36">
        <f>'TEA Revised Non EYZ'!DP36</f>
        <v>4.999938342565946E-2</v>
      </c>
      <c r="EZ36">
        <f>SUM(EV36:EX36)-EY36</f>
        <v>2.5749618105664713</v>
      </c>
      <c r="FA36">
        <f>EZ36*0.33*60*7200</f>
        <v>367086.55571435619</v>
      </c>
      <c r="FB36">
        <f>'TEA Revised Non EYZ'!DS36</f>
        <v>1.2</v>
      </c>
      <c r="FC36">
        <v>0.5</v>
      </c>
      <c r="FD36">
        <f>'TEA Revised Non EYZ'!DT36</f>
        <v>1406.0626301487753</v>
      </c>
      <c r="FE36">
        <f>'TEA Revised Non EYZ'!DU36</f>
        <v>706.20494429610153</v>
      </c>
      <c r="FF36">
        <f>'TEA Revised Non EYZ'!DV36</f>
        <v>0.7</v>
      </c>
      <c r="FG36">
        <f>'TEA Revised Non EYZ'!DW36</f>
        <v>35776.359048024235</v>
      </c>
      <c r="FH36">
        <f>'TEA Revised Non EYZ'!DX36</f>
        <v>29068.269280606211</v>
      </c>
      <c r="FI36">
        <f>'TEA Revised Non EYZ'!DY36</f>
        <v>12307.130138966339</v>
      </c>
      <c r="FJ36">
        <f>'TEA Revised Non EYZ'!DZ36</f>
        <v>6519.4301878820042</v>
      </c>
      <c r="FK36">
        <f>'TEA Revised Non EYZ'!EA36</f>
        <v>6563.8027407820491</v>
      </c>
      <c r="FL36">
        <f>'TEA Revised Non EYZ'!EB36</f>
        <v>850.38667871397934</v>
      </c>
      <c r="FM36">
        <f>'TEA Revised Non EYZ'!EC36</f>
        <v>38576.910326977413</v>
      </c>
      <c r="FN36">
        <f>'TEA Revised Non EYZ'!ED36</f>
        <v>34920.314559159349</v>
      </c>
      <c r="FO36">
        <f>'TEA Revised Non EYZ'!EE36</f>
        <v>14784.810599644079</v>
      </c>
      <c r="FP36">
        <f>'TEA Revised Non EYZ'!EF36</f>
        <v>7836.2761345947165</v>
      </c>
      <c r="FQ36">
        <f>'TEA Revised Non EYZ'!EG36</f>
        <v>7885.2323198101749</v>
      </c>
      <c r="FR36">
        <f>'TEA Revised Non EYZ'!EH36</f>
        <v>427.11275031028225</v>
      </c>
      <c r="FS36">
        <f>'TEA Revised Non EYZ'!EI36</f>
        <v>195516.03476547083</v>
      </c>
      <c r="FT36">
        <f>EG36*EH36</f>
        <v>2617.9277846009418</v>
      </c>
      <c r="FU36">
        <f>EG36*EI36</f>
        <v>4527.6652990189868</v>
      </c>
      <c r="FV36">
        <f>FC36*(FT36+FU36)/(3.6*10^6)*3600*7200*0.07</f>
        <v>1800.6894570722222</v>
      </c>
      <c r="FW36">
        <f>('CAPEX+OPEX'!$C$39/7/100+0.03)*EL36</f>
        <v>94475.844077566348</v>
      </c>
      <c r="FX36">
        <f>('CAPEX+OPEX'!$C$39/7/100+0.03)*EM36</f>
        <v>163394.49978018762</v>
      </c>
      <c r="FY36">
        <f>SUM(FV36:FX36)</f>
        <v>259671.0333148262</v>
      </c>
      <c r="FZ36">
        <f>FY36+FA36+FS36+EU36</f>
        <v>17067567.080814824</v>
      </c>
      <c r="GA36">
        <f>FZ36+EO36</f>
        <v>18085313.832235534</v>
      </c>
      <c r="GB36">
        <f>GA36/(BK36*60*7200)</f>
        <v>0.41864152389434106</v>
      </c>
      <c r="GC36">
        <f>'TEA Revised Non EYZ'!EM36/'TEA Revised Non EYZ'!EK36*GA36</f>
        <v>1400.5585063912674</v>
      </c>
      <c r="GD36">
        <f>'TEA Revised Non EYZ'!EN36/'TEA Revised Non EYZ'!EK36*GA36</f>
        <v>2568.9130607865582</v>
      </c>
    </row>
    <row r="37" spans="1:186">
      <c r="A37">
        <f>'TEA Revised Non EYZ'!A37</f>
        <v>6</v>
      </c>
      <c r="B37">
        <f>'TEA Revised Non EYZ'!B37</f>
        <v>1.54143585092054E-3</v>
      </c>
      <c r="C37">
        <f>'TEA Revised Non EYZ'!C37</f>
        <v>1.54143585092054E-3</v>
      </c>
      <c r="D37">
        <f>'TEA Revised Non EYZ'!D37</f>
        <v>3.4254130020456501E-4</v>
      </c>
      <c r="E37">
        <f>'TEA Revised Non EYZ'!E37</f>
        <v>0</v>
      </c>
      <c r="F37">
        <f>'TEA Revised Non EYZ'!F37</f>
        <v>0</v>
      </c>
      <c r="G37">
        <f>'TEA Revised Non EYZ'!G37</f>
        <v>0</v>
      </c>
      <c r="H37">
        <f>'TEA Revised Non EYZ'!H37</f>
        <v>1.7693893431643E-5</v>
      </c>
      <c r="I37">
        <f>'TEA Revised Non EYZ'!I37</f>
        <v>3.7175600603836103E-8</v>
      </c>
      <c r="J37">
        <f>'TEA Revised Non EYZ'!J37</f>
        <v>3.36890310328726E-4</v>
      </c>
      <c r="K37">
        <f>'TEA Revised Non EYZ'!K37</f>
        <v>0.133710118829723</v>
      </c>
      <c r="L37">
        <f>'TEA Revised Non EYZ'!L37</f>
        <v>0.13525951632913</v>
      </c>
      <c r="M37">
        <f>'TEA Revised Non EYZ'!M37</f>
        <v>4.9588089642288804E-4</v>
      </c>
      <c r="N37">
        <f>'TEA Revised Non EYZ'!N37</f>
        <v>-1.72886878424538E-14</v>
      </c>
      <c r="O37">
        <f>'TEA Revised Non EYZ'!O37</f>
        <v>-1.05961268405396E-12</v>
      </c>
      <c r="P37">
        <f>'TEA Revised Non EYZ'!P37</f>
        <v>-9.6595637304880395E-18</v>
      </c>
      <c r="Q37">
        <f>'TEA Revised Non EYZ'!Q37</f>
        <v>0.11395861217105201</v>
      </c>
      <c r="R37">
        <f>'TEA Revised Non EYZ'!R37</f>
        <v>98.3502748800029</v>
      </c>
      <c r="S37">
        <f>'TEA Revised Non EYZ'!S37</f>
        <v>500</v>
      </c>
      <c r="T37">
        <f>'TEA Revised Non EYZ'!T37</f>
        <v>95</v>
      </c>
      <c r="U37">
        <f>'TEA Revised Non EYZ'!U37</f>
        <v>1</v>
      </c>
      <c r="V37">
        <f>'TEA Revised Non EYZ'!V37</f>
        <v>0.1</v>
      </c>
      <c r="W37">
        <f>'TEA Revised Non EYZ'!W37</f>
        <v>87.751156402202497</v>
      </c>
      <c r="X37" t="str">
        <f>'TEA Revised Non EYZ'!X37</f>
        <v>ddFc</v>
      </c>
      <c r="Y37">
        <f>'TEA Revised Non EYZ'!Y37</f>
        <v>1</v>
      </c>
      <c r="Z37">
        <f>'TEA Revised Non EYZ'!Z37</f>
        <v>0.28318429382522198</v>
      </c>
      <c r="AA37">
        <f>'TEA Revised Non EYZ'!AA37</f>
        <v>0.56945642916197003</v>
      </c>
      <c r="AB37">
        <f>'TEA Revised Non EYZ'!AB37</f>
        <v>3.7698628972227502E-3</v>
      </c>
      <c r="AC37">
        <f>'TEA Revised Non EYZ'!AC37</f>
        <v>1822.2107908876901</v>
      </c>
      <c r="AD37">
        <f>'TEA Revised Non EYZ'!AD37</f>
        <v>2662.6059073104898</v>
      </c>
      <c r="AE37">
        <f>'TEA Revised Non EYZ'!AE37</f>
        <v>2401.5030938442701</v>
      </c>
      <c r="AF37">
        <f>'TEA Revised Non EYZ'!AF37</f>
        <v>9</v>
      </c>
      <c r="AG37">
        <f>'TEA Revised Non EYZ'!AG37</f>
        <v>1.64951815726537E-3</v>
      </c>
      <c r="AH37">
        <f>'TEA Revised Non EYZ'!AH37</f>
        <v>1.6686323374819601E-3</v>
      </c>
      <c r="AI37">
        <f>'TEA Revised Non EYZ'!AI37</f>
        <v>6.1174468293775103E-6</v>
      </c>
      <c r="AJ37">
        <f>'TEA Revised Non EYZ'!AJ37</f>
        <v>0</v>
      </c>
      <c r="AK37">
        <f>'TEA Revised Non EYZ'!AK37</f>
        <v>0</v>
      </c>
      <c r="AL37">
        <f>'TEA Revised Non EYZ'!AL37</f>
        <v>0</v>
      </c>
      <c r="AM37">
        <f>'TEA Revised Non EYZ'!AM37</f>
        <v>1.6125422035540001E-3</v>
      </c>
      <c r="AN37">
        <f>'TEA Revised Non EYZ'!AN37</f>
        <v>7.8793462951453095E-5</v>
      </c>
      <c r="AO37">
        <f>'TEA Revised Non EYZ'!AO37</f>
        <v>6.0771793070157197E-6</v>
      </c>
      <c r="AP37">
        <f>'TEA Revised Non EYZ'!AP37</f>
        <v>1.7335688061823E-3</v>
      </c>
      <c r="AQ37">
        <f>'TEA Revised Non EYZ'!AQ37</f>
        <v>7.4537498106893293E-2</v>
      </c>
      <c r="AR37">
        <f>'TEA Revised Non EYZ'!AR37</f>
        <v>1.8878896596870901E-6</v>
      </c>
      <c r="AS37">
        <f>'TEA Revised Non EYZ'!AS37</f>
        <v>6.1243870218274895E-17</v>
      </c>
      <c r="AT37">
        <f>'TEA Revised Non EYZ'!AT37</f>
        <v>-7.9610797121265604E-15</v>
      </c>
      <c r="AU37">
        <f>'TEA Revised Non EYZ'!AU37</f>
        <v>8.7350272685599704E-22</v>
      </c>
      <c r="AV37">
        <f>'TEA Revised Non EYZ'!AV37</f>
        <v>0.19703012219574401</v>
      </c>
      <c r="AW37">
        <f>'TEA Revised Non EYZ'!AW37</f>
        <v>99.341759340376896</v>
      </c>
      <c r="AX37">
        <f>'TEA Revised Non EYZ'!AX37</f>
        <v>500</v>
      </c>
      <c r="AY37">
        <f>'TEA Revised Non EYZ'!AY37</f>
        <v>95</v>
      </c>
      <c r="AZ37">
        <f>'TEA Revised Non EYZ'!AZ37</f>
        <v>0.92374973309314701</v>
      </c>
      <c r="BA37">
        <f>'TEA Revised Non EYZ'!BA37</f>
        <v>0.1</v>
      </c>
      <c r="BB37">
        <f>'TEA Revised Non EYZ'!BB37</f>
        <v>46.883680667640498</v>
      </c>
      <c r="BC37" t="str">
        <f>'TEA Revised Non EYZ'!BC37</f>
        <v>coeFc</v>
      </c>
      <c r="BD37">
        <f>'TEA Revised Non EYZ'!BD37</f>
        <v>1</v>
      </c>
      <c r="BE37">
        <f>'TEA Revised Non EYZ'!BE37</f>
        <v>1.8775014999999999E-2</v>
      </c>
      <c r="BF37">
        <f>'TEA Revised Non EYZ'!BF37</f>
        <v>0.10492961100000001</v>
      </c>
      <c r="BG37">
        <f>'TEA Revised Non EYZ'!BG37</f>
        <v>1.814625E-3</v>
      </c>
      <c r="BH37">
        <f>'TEA Revised Non EYZ'!BH37</f>
        <v>285.1951444</v>
      </c>
      <c r="BI37">
        <f>'TEA Revised Non EYZ'!BI37</f>
        <v>2169.8944889999998</v>
      </c>
      <c r="BJ37">
        <f>'TEA Revised Non EYZ'!BJ37</f>
        <v>866.49409060000005</v>
      </c>
      <c r="BK37">
        <f>'TEA Revised Non EYZ'!BK37</f>
        <v>100</v>
      </c>
      <c r="BL37">
        <f>'TEA Revised Non EYZ'!BL37</f>
        <v>11.395861217105201</v>
      </c>
      <c r="BM37">
        <f>'TEA Revised Non EYZ'!BM37</f>
        <v>92.374973309314697</v>
      </c>
      <c r="BN37">
        <f>'TEA Revised Non EYZ'!BN37</f>
        <v>19.703012219574401</v>
      </c>
      <c r="BO37">
        <f>'TEA Revised Non EYZ'!BO37</f>
        <v>182.33377947368322</v>
      </c>
      <c r="BP37">
        <f>'TEA Revised Non EYZ'!BP37</f>
        <v>433.46626883063681</v>
      </c>
      <c r="BQ37">
        <f>'TEA Revised Non EYZ'!BQ37</f>
        <v>18.233377947368322</v>
      </c>
      <c r="BR37">
        <f>'TEA Revised Non EYZ'!BR37</f>
        <v>43.346626883063685</v>
      </c>
      <c r="BS37">
        <f>'eLLE Bals'!CF37</f>
        <v>6.8375167302631192</v>
      </c>
      <c r="BT37">
        <f>'eLLE Bals'!CG37</f>
        <v>11.82180733174464</v>
      </c>
      <c r="BU37">
        <f>BM37</f>
        <v>92.374973309314697</v>
      </c>
      <c r="BV37">
        <f>BU37*(AM37*2+AN37*2+AO37*3)</f>
        <v>0.31415831192991095</v>
      </c>
      <c r="BW37">
        <f>BN37*BA37*(AP37*2+AQ37*2+AR37*3)</f>
        <v>0.30056511181157125</v>
      </c>
      <c r="BX37">
        <f>BV37/(2*V37*BL37+BV37)</f>
        <v>0.12114086701430796</v>
      </c>
      <c r="BY37">
        <f>BU37*BX37</f>
        <v>11.190384357113938</v>
      </c>
      <c r="BZ37">
        <f>BW37/(2*BN37*BA37+BW37)</f>
        <v>7.086848323305367E-2</v>
      </c>
      <c r="CA37">
        <f>2*BN37*BA37/0.04</f>
        <v>98.515061097872007</v>
      </c>
      <c r="CB37">
        <f>(BS37+BL37)*2</f>
        <v>36.466755894736643</v>
      </c>
      <c r="CC37">
        <f>(BU37+BL37)*2</f>
        <v>207.54166905283981</v>
      </c>
      <c r="CD37">
        <f>(BT37+BN37)*2</f>
        <v>63.049639102638082</v>
      </c>
      <c r="CE37">
        <f>(CA37+BN37)*2</f>
        <v>236.43614663489282</v>
      </c>
      <c r="CF37">
        <f>'TEA Revised Non EYZ'!CB37</f>
        <v>2406.8058890526186</v>
      </c>
      <c r="CG37">
        <f>'TEA Revised Non EYZ'!CC37</f>
        <v>5721.7547485644063</v>
      </c>
      <c r="CH37">
        <f>'TEA Revised Non EYZ'!CD37</f>
        <v>2907.8673690603878</v>
      </c>
      <c r="CI37">
        <f>'TEA Revised Non EYZ'!CE37</f>
        <v>44132.402915519386</v>
      </c>
      <c r="CJ37">
        <f>BL37*V37</f>
        <v>1.1395861217105201</v>
      </c>
      <c r="CK37">
        <f>CJ37/2*1.2</f>
        <v>0.68375167302631201</v>
      </c>
      <c r="CL37">
        <f>'eLLE Bals'!CB37*'Oxidant Feed Composition'!$N$20</f>
        <v>3.7986204057017352E-2</v>
      </c>
      <c r="CM37">
        <f>'eLLE Bals'!CB37*'Oxidant Feed Composition'!$N$21</f>
        <v>1.8993102028508668</v>
      </c>
      <c r="CN37">
        <f>'eLLE Bals'!CB37*'Oxidant Feed Composition'!$N$22</f>
        <v>0.56979306085526005</v>
      </c>
      <c r="CO37">
        <f>CN37/CK37</f>
        <v>0.83333333333333337</v>
      </c>
      <c r="CP37">
        <f>CO37</f>
        <v>0.83333333333333337</v>
      </c>
      <c r="CQ37">
        <f>CL37/CO37</f>
        <v>4.5583444868420822E-2</v>
      </c>
      <c r="CR37">
        <f>CM37/CO37</f>
        <v>2.2791722434210402</v>
      </c>
      <c r="CS37">
        <f>BN37*BA37</f>
        <v>1.9703012219574401</v>
      </c>
      <c r="CT37">
        <f>CS37/2*1.2</f>
        <v>1.182180733174464</v>
      </c>
      <c r="CU37">
        <f>'eLLE Bals'!CC37*'Oxidant Feed Composition'!$N$20</f>
        <v>6.5676707398581363E-2</v>
      </c>
      <c r="CV37">
        <f>'eLLE Bals'!CC37*'Oxidant Feed Composition'!$N$21</f>
        <v>3.2838353699290672</v>
      </c>
      <c r="CW37">
        <f>'eLLE Bals'!CC37*'Oxidant Feed Composition'!$N$22</f>
        <v>0.98515061097872003</v>
      </c>
      <c r="CX37">
        <f>CU37/CP37</f>
        <v>7.8812048878297639E-2</v>
      </c>
      <c r="CY37">
        <f>CV37/CP37</f>
        <v>3.9406024439148806</v>
      </c>
      <c r="CZ37">
        <f>CJ37</f>
        <v>1.1395861217105201</v>
      </c>
      <c r="DA37">
        <f>'eLLE Bals'!BQ37</f>
        <v>2.2791722434210402</v>
      </c>
      <c r="DB37">
        <f>'eLLE Bals'!BU37</f>
        <v>5.9883570848289978</v>
      </c>
      <c r="DC37">
        <f>CS37</f>
        <v>1.9703012219574401</v>
      </c>
      <c r="DD37">
        <f>'eLLE Bals'!BX37</f>
        <v>3.9406024439148801</v>
      </c>
      <c r="DE37">
        <f>'eLLE Bals'!CA37</f>
        <v>21.891317181412226</v>
      </c>
      <c r="DF37">
        <f>2*2*(CJ37*'Reagent cost'!$C$36*122.44/1000+CK37*'Oxidant Feed Composition'!$N$26+CQ37*'Reagent cost'!$C$34+CR37*'Reagent cost'!$C$35)</f>
        <v>96.258231963173614</v>
      </c>
      <c r="DG37">
        <f>2*2*(CS37*'Reagent cost'!$C$36*122.44/1000+CT37*'Oxidant Feed Composition'!$N$26+CX37*'Reagent cost'!$C$34+CY37*'Reagent cost'!$C$35)</f>
        <v>166.42683553905275</v>
      </c>
      <c r="DH37">
        <f>(AF37+3)*2*(CZ37*'Reagent cost'!$C$38+DA37*'Reagent cost'!$C$39+DB37*'Reagent cost'!$C$36*122.44/1000)</f>
        <v>1364.6277918639769</v>
      </c>
      <c r="DI37">
        <f>3*2*(DC37*'Reagent cost'!$C$38+DD37*'Reagent cost'!$C$39+DE37*'Reagent cost'!$C$36*122.44/1000)</f>
        <v>1188.4251925586868</v>
      </c>
      <c r="DJ37">
        <f>7963.6*(CB37/1000)^0.6*1.7*('CAPEX+OPEX'!$G$116/'CAPEX+OPEX'!$G$115)</f>
        <v>2189.6727102460782</v>
      </c>
      <c r="DK37">
        <f>7963.6*(CC37/1000)^0.6*1.7*('CAPEX+OPEX'!$G$116/'CAPEX+OPEX'!$G$115)</f>
        <v>6215.9013146876341</v>
      </c>
      <c r="DL37">
        <f>7963.6*(CD37/1000)^0.6*1.7*('CAPEX+OPEX'!$G$116/'CAPEX+OPEX'!$G$115)</f>
        <v>3041.2385780576142</v>
      </c>
      <c r="DM37">
        <f>7963.6*(CE37/1000)^0.6*1.7*('CAPEX+OPEX'!$G$116/'CAPEX+OPEX'!$G$115)</f>
        <v>6721.5471818164979</v>
      </c>
      <c r="DN37">
        <f>'TEA Revised Non EYZ'!CM37</f>
        <v>39625.826528698344</v>
      </c>
      <c r="DO37">
        <f>'TEA Revised Non EYZ'!CN37</f>
        <v>4586243.4239371875</v>
      </c>
      <c r="DP37">
        <f>'TEA Revised Non EYZ'!CO37</f>
        <v>11794834.586807497</v>
      </c>
      <c r="DQ37">
        <f>'TEA Revised Non EYZ'!CP37</f>
        <v>2275209.1661185985</v>
      </c>
      <c r="DR37">
        <f>'TEA Revised Non EYZ'!CQ37</f>
        <v>14083914.336508472</v>
      </c>
      <c r="DS37">
        <f>'TEA Revised Non EYZ'!CR37</f>
        <v>1662824.8986326549</v>
      </c>
      <c r="DT37">
        <f>'TEA Revised Non EYZ'!CS37</f>
        <v>646135.89638675924</v>
      </c>
      <c r="DU37">
        <f>'TEA Revised Non EYZ'!CT37</f>
        <v>1661722.9645298459</v>
      </c>
      <c r="DV37">
        <f>'TEA Revised Non EYZ'!CU37</f>
        <v>320544.32748695416</v>
      </c>
      <c r="DW37">
        <f>'TEA Revised Non EYZ'!CV37</f>
        <v>1984221.4582325809</v>
      </c>
      <c r="DX37">
        <f>'TEA Revised Non EYZ'!CW37</f>
        <v>234268.17050410178</v>
      </c>
      <c r="DY37">
        <f>'TEA Revised Non EYZ'!CX37</f>
        <v>4846892.8171402421</v>
      </c>
      <c r="DZ37">
        <f>'TEA Revised Non EYZ'!CY37</f>
        <v>755899.67705977859</v>
      </c>
      <c r="EA37">
        <f>'TEA Revised Non EYZ'!CZ37</f>
        <v>1944011.8700649682</v>
      </c>
      <c r="EB37">
        <f>'TEA Revised Non EYZ'!DA37</f>
        <v>374997.51211113459</v>
      </c>
      <c r="EC37">
        <f>'TEA Revised Non EYZ'!DB37</f>
        <v>2321295.5167488609</v>
      </c>
      <c r="ED37">
        <f>'TEA Revised Non EYZ'!DC37</f>
        <v>274064.99997864</v>
      </c>
      <c r="EE37">
        <f>'TEA Revised Non EYZ'!DD37</f>
        <v>5670269.5759633826</v>
      </c>
      <c r="EF37">
        <v>0.7</v>
      </c>
      <c r="EG37">
        <v>100</v>
      </c>
      <c r="EH37">
        <f>96485*BL37*V37/EF37/EG37/60</f>
        <v>26.179277846009416</v>
      </c>
      <c r="EI37">
        <f>96485*BN37*BA37/EF37/EG37/60</f>
        <v>45.262979381086573</v>
      </c>
      <c r="EJ37">
        <f>EH37*('CAPEX+OPEX'!$O$25+'CAPEX+OPEX'!$O$26)</f>
        <v>834385.9435080121</v>
      </c>
      <c r="EK37">
        <f>EI37*('CAPEX+OPEX'!$O$25+'CAPEX+OPEX'!$O$26)</f>
        <v>1442621.6788339913</v>
      </c>
      <c r="EL37">
        <f>EJ37*1.12/0.6*'CAPEX+OPEX'!$G$116/'CAPEX+OPEX'!$G$115</f>
        <v>1837030.3015082346</v>
      </c>
      <c r="EM37">
        <f>EK37*1.12/0.6*'CAPEX+OPEX'!$G$116/'CAPEX+OPEX'!$G$115</f>
        <v>3176155.78048778</v>
      </c>
      <c r="EN37">
        <f>EL37+EM37+DY37+EE37+1.15*(SUM(DF37:DM37)+SUM(CF37:CI37))</f>
        <v>15617924.343172407</v>
      </c>
      <c r="EO37">
        <f>EN37/15</f>
        <v>1041194.9562114938</v>
      </c>
      <c r="EP37">
        <f>('eLLE Bals'!CB37+'eLLE Bals'!CC37)*'Oxidant Feed Composition'!$N$25*60*7200</f>
        <v>12522788.629264098</v>
      </c>
      <c r="EQ37" s="83">
        <f>('eLLE Bals'!BR37+'eLLE Bals'!BY37)*'Reagent cost'!$C$38*60*7200</f>
        <v>506694.52734748612</v>
      </c>
      <c r="ER37">
        <f>'TEA Revised Non EYZ'!DI37</f>
        <v>504921.59999999998</v>
      </c>
      <c r="ES37">
        <f>'TEA Revised Non EYZ'!DJ37</f>
        <v>81.28560637617025</v>
      </c>
      <c r="ET37">
        <f>'TEA Revised Non EYZ'!DK37</f>
        <v>940.80540569159552</v>
      </c>
      <c r="EU37">
        <f>1.2*SUM(EP37:ET37)</f>
        <v>16242512.217148382</v>
      </c>
      <c r="EV37">
        <f>'TEA Revised Non EYZ'!DM37</f>
        <v>0.70639694042110623</v>
      </c>
      <c r="EW37">
        <f>(BS37*CO37+BT37*CP37)/1000*('Oxidant Feed Composition'!$B$11*'Oxidant Feed Composition'!$O$20+'Oxidant Feed Composition'!$D$11*'Oxidant Feed Composition'!$O$21+'Oxidant Feed Composition'!$F$11*'Oxidant Feed Composition'!$O$27-'Oxidant Feed Composition'!$J$15*18.015)</f>
        <v>1.8159338144104229</v>
      </c>
      <c r="EX37">
        <f>(CZ37*BX37+DC37*BZ37)*368.34/1000</f>
        <v>0.10228164937703101</v>
      </c>
      <c r="EY37">
        <f>'TEA Revised Non EYZ'!DP37</f>
        <v>4.999938342565946E-2</v>
      </c>
      <c r="EZ37">
        <f>SUM(EV37:EX37)-EY37</f>
        <v>2.5746130207829006</v>
      </c>
      <c r="FA37">
        <f>EZ37*0.33*60*7200</f>
        <v>367036.83224281034</v>
      </c>
      <c r="FB37">
        <f>'TEA Revised Non EYZ'!DS37</f>
        <v>1.2</v>
      </c>
      <c r="FC37">
        <v>0.5</v>
      </c>
      <c r="FD37">
        <f>'TEA Revised Non EYZ'!DT37</f>
        <v>1406.097494568138</v>
      </c>
      <c r="FE37">
        <f>'TEA Revised Non EYZ'!DU37</f>
        <v>706.1700790912098</v>
      </c>
      <c r="FF37">
        <f>'TEA Revised Non EYZ'!DV37</f>
        <v>0.7</v>
      </c>
      <c r="FG37">
        <f>'TEA Revised Non EYZ'!DW37</f>
        <v>35776.359048024235</v>
      </c>
      <c r="FH37">
        <f>'TEA Revised Non EYZ'!DX37</f>
        <v>29068.269280606211</v>
      </c>
      <c r="FI37">
        <f>'TEA Revised Non EYZ'!DY37</f>
        <v>12307.130138966339</v>
      </c>
      <c r="FJ37">
        <f>'TEA Revised Non EYZ'!DZ37</f>
        <v>6519.4301878820042</v>
      </c>
      <c r="FK37">
        <f>'TEA Revised Non EYZ'!EA37</f>
        <v>6563.8027407820491</v>
      </c>
      <c r="FL37">
        <f>'TEA Revised Non EYZ'!EB37</f>
        <v>850.4077647148099</v>
      </c>
      <c r="FM37">
        <f>'TEA Revised Non EYZ'!EC37</f>
        <v>41148.704348775907</v>
      </c>
      <c r="FN37">
        <f>'TEA Revised Non EYZ'!ED37</f>
        <v>38800.349510177053</v>
      </c>
      <c r="FO37">
        <f>'TEA Revised Non EYZ'!EE37</f>
        <v>16427.567332937866</v>
      </c>
      <c r="FP37">
        <f>'TEA Revised Non EYZ'!EF37</f>
        <v>8706.9734828830187</v>
      </c>
      <c r="FQ37">
        <f>'TEA Revised Non EYZ'!EG37</f>
        <v>8761.3692442335268</v>
      </c>
      <c r="FR37">
        <f>'TEA Revised Non EYZ'!EH37</f>
        <v>427.09166383436366</v>
      </c>
      <c r="FS37">
        <f>'TEA Revised Non EYZ'!EI37</f>
        <v>205357.45474381739</v>
      </c>
      <c r="FT37">
        <f>EG37*EH37</f>
        <v>2617.9277846009418</v>
      </c>
      <c r="FU37">
        <f>EG37*EI37</f>
        <v>4526.297938108657</v>
      </c>
      <c r="FV37">
        <f>FC37*(FT37+FU37)/(3.6*10^6)*3600*7200*0.07</f>
        <v>1800.3448821228192</v>
      </c>
      <c r="FW37">
        <f>('CAPEX+OPEX'!$C$39/7/100+0.03)*EL37</f>
        <v>94475.844077566348</v>
      </c>
      <c r="FX37">
        <f>('CAPEX+OPEX'!$C$39/7/100+0.03)*EM37</f>
        <v>163345.15442508581</v>
      </c>
      <c r="FY37">
        <f>SUM(FV37:FX37)</f>
        <v>259621.34338477498</v>
      </c>
      <c r="FZ37">
        <f>FY37+FA37+FS37+EU37</f>
        <v>17074527.847519785</v>
      </c>
      <c r="GA37">
        <f>FZ37+EO37</f>
        <v>18115722.803731278</v>
      </c>
      <c r="GB37">
        <f>GA37/(BK37*60*7200)</f>
        <v>0.41934543527155738</v>
      </c>
      <c r="GC37">
        <f>'TEA Revised Non EYZ'!EM37/'TEA Revised Non EYZ'!EK37*GA37</f>
        <v>1402.8786204079613</v>
      </c>
      <c r="GD37">
        <f>'TEA Revised Non EYZ'!EN37/'TEA Revised Non EYZ'!EK37*GA37</f>
        <v>2573.3496008761026</v>
      </c>
    </row>
    <row r="38" spans="1:186">
      <c r="A38">
        <f>'TEA Revised Non EYZ'!A38</f>
        <v>6</v>
      </c>
      <c r="B38">
        <f>'TEA Revised Non EYZ'!B38</f>
        <v>1.54143585092054E-3</v>
      </c>
      <c r="C38">
        <f>'TEA Revised Non EYZ'!C38</f>
        <v>1.54143585092054E-3</v>
      </c>
      <c r="D38">
        <f>'TEA Revised Non EYZ'!D38</f>
        <v>3.4254130020456501E-4</v>
      </c>
      <c r="E38">
        <f>'TEA Revised Non EYZ'!E38</f>
        <v>0</v>
      </c>
      <c r="F38">
        <f>'TEA Revised Non EYZ'!F38</f>
        <v>0</v>
      </c>
      <c r="G38">
        <f>'TEA Revised Non EYZ'!G38</f>
        <v>0</v>
      </c>
      <c r="H38">
        <f>'TEA Revised Non EYZ'!H38</f>
        <v>1.7693893431643E-5</v>
      </c>
      <c r="I38">
        <f>'TEA Revised Non EYZ'!I38</f>
        <v>3.7175600603836103E-8</v>
      </c>
      <c r="J38">
        <f>'TEA Revised Non EYZ'!J38</f>
        <v>3.36890310328726E-4</v>
      </c>
      <c r="K38">
        <f>'TEA Revised Non EYZ'!K38</f>
        <v>0.133710118829723</v>
      </c>
      <c r="L38">
        <f>'TEA Revised Non EYZ'!L38</f>
        <v>0.13525951632913</v>
      </c>
      <c r="M38">
        <f>'TEA Revised Non EYZ'!M38</f>
        <v>4.9588089642288804E-4</v>
      </c>
      <c r="N38">
        <f>'TEA Revised Non EYZ'!N38</f>
        <v>-1.72886878424538E-14</v>
      </c>
      <c r="O38">
        <f>'TEA Revised Non EYZ'!O38</f>
        <v>-1.05961268405396E-12</v>
      </c>
      <c r="P38">
        <f>'TEA Revised Non EYZ'!P38</f>
        <v>-9.6595637304880395E-18</v>
      </c>
      <c r="Q38">
        <f>'TEA Revised Non EYZ'!Q38</f>
        <v>0.11395861217105201</v>
      </c>
      <c r="R38">
        <f>'TEA Revised Non EYZ'!R38</f>
        <v>98.3502748800029</v>
      </c>
      <c r="S38">
        <f>'TEA Revised Non EYZ'!S38</f>
        <v>500</v>
      </c>
      <c r="T38">
        <f>'TEA Revised Non EYZ'!T38</f>
        <v>95</v>
      </c>
      <c r="U38">
        <f>'TEA Revised Non EYZ'!U38</f>
        <v>1</v>
      </c>
      <c r="V38">
        <f>'TEA Revised Non EYZ'!V38</f>
        <v>0.1</v>
      </c>
      <c r="W38">
        <f>'TEA Revised Non EYZ'!W38</f>
        <v>87.751156402202497</v>
      </c>
      <c r="X38" t="str">
        <f>'TEA Revised Non EYZ'!X38</f>
        <v>ddFc</v>
      </c>
      <c r="Y38">
        <f>'TEA Revised Non EYZ'!Y38</f>
        <v>1</v>
      </c>
      <c r="Z38">
        <f>'TEA Revised Non EYZ'!Z38</f>
        <v>0.28318429382522198</v>
      </c>
      <c r="AA38">
        <f>'TEA Revised Non EYZ'!AA38</f>
        <v>0.56945642916197003</v>
      </c>
      <c r="AB38">
        <f>'TEA Revised Non EYZ'!AB38</f>
        <v>3.7698628972227502E-3</v>
      </c>
      <c r="AC38">
        <f>'TEA Revised Non EYZ'!AC38</f>
        <v>1822.2107908876901</v>
      </c>
      <c r="AD38">
        <f>'TEA Revised Non EYZ'!AD38</f>
        <v>2662.6059073104898</v>
      </c>
      <c r="AE38">
        <f>'TEA Revised Non EYZ'!AE38</f>
        <v>2401.5030938442701</v>
      </c>
      <c r="AF38">
        <f>'TEA Revised Non EYZ'!AF38</f>
        <v>10</v>
      </c>
      <c r="AG38">
        <f>'TEA Revised Non EYZ'!AG38</f>
        <v>1.64951815726537E-3</v>
      </c>
      <c r="AH38">
        <f>'TEA Revised Non EYZ'!AH38</f>
        <v>1.6686323374819601E-3</v>
      </c>
      <c r="AI38">
        <f>'TEA Revised Non EYZ'!AI38</f>
        <v>6.1174468293775103E-6</v>
      </c>
      <c r="AJ38">
        <f>'TEA Revised Non EYZ'!AJ38</f>
        <v>0</v>
      </c>
      <c r="AK38">
        <f>'TEA Revised Non EYZ'!AK38</f>
        <v>0</v>
      </c>
      <c r="AL38">
        <f>'TEA Revised Non EYZ'!AL38</f>
        <v>0</v>
      </c>
      <c r="AM38">
        <f>'TEA Revised Non EYZ'!AM38</f>
        <v>1.61255347742774E-3</v>
      </c>
      <c r="AN38">
        <f>'TEA Revised Non EYZ'!AN38</f>
        <v>7.8794044578505199E-5</v>
      </c>
      <c r="AO38">
        <f>'TEA Revised Non EYZ'!AO38</f>
        <v>6.07719107473002E-6</v>
      </c>
      <c r="AP38">
        <f>'TEA Revised Non EYZ'!AP38</f>
        <v>1.7331877781333199E-3</v>
      </c>
      <c r="AQ38">
        <f>'TEA Revised Non EYZ'!AQ38</f>
        <v>7.4543816233418506E-2</v>
      </c>
      <c r="AR38">
        <f>'TEA Revised Non EYZ'!AR38</f>
        <v>1.88749861433376E-6</v>
      </c>
      <c r="AS38">
        <f>'TEA Revised Non EYZ'!AS38</f>
        <v>9.0192949137902997E-15</v>
      </c>
      <c r="AT38">
        <f>'TEA Revised Non EYZ'!AT38</f>
        <v>-9.3119934506391495E-13</v>
      </c>
      <c r="AU38">
        <f>'TEA Revised Non EYZ'!AU38</f>
        <v>9.0473706678599895E-20</v>
      </c>
      <c r="AV38">
        <f>'TEA Revised Non EYZ'!AV38</f>
        <v>0.19701335051902499</v>
      </c>
      <c r="AW38">
        <f>'TEA Revised Non EYZ'!AW38</f>
        <v>99.341951703541199</v>
      </c>
      <c r="AX38">
        <f>'TEA Revised Non EYZ'!AX38</f>
        <v>500</v>
      </c>
      <c r="AY38">
        <f>'TEA Revised Non EYZ'!AY38</f>
        <v>95</v>
      </c>
      <c r="AZ38">
        <f>'TEA Revised Non EYZ'!AZ38</f>
        <v>0.92374973309314701</v>
      </c>
      <c r="BA38">
        <f>'TEA Revised Non EYZ'!BA38</f>
        <v>0.1</v>
      </c>
      <c r="BB38">
        <f>'TEA Revised Non EYZ'!BB38</f>
        <v>46.887671858762701</v>
      </c>
      <c r="BC38" t="str">
        <f>'TEA Revised Non EYZ'!BC38</f>
        <v>coeFc</v>
      </c>
      <c r="BD38">
        <f>'TEA Revised Non EYZ'!BD38</f>
        <v>1</v>
      </c>
      <c r="BE38">
        <f>'TEA Revised Non EYZ'!BE38</f>
        <v>1.8775014999999999E-2</v>
      </c>
      <c r="BF38">
        <f>'TEA Revised Non EYZ'!BF38</f>
        <v>0.10492961100000001</v>
      </c>
      <c r="BG38">
        <f>'TEA Revised Non EYZ'!BG38</f>
        <v>1.814625E-3</v>
      </c>
      <c r="BH38">
        <f>'TEA Revised Non EYZ'!BH38</f>
        <v>285.1951444</v>
      </c>
      <c r="BI38">
        <f>'TEA Revised Non EYZ'!BI38</f>
        <v>2169.8944889999998</v>
      </c>
      <c r="BJ38">
        <f>'TEA Revised Non EYZ'!BJ38</f>
        <v>866.49409060000005</v>
      </c>
      <c r="BK38">
        <f>'TEA Revised Non EYZ'!BK38</f>
        <v>100</v>
      </c>
      <c r="BL38">
        <f>'TEA Revised Non EYZ'!BL38</f>
        <v>11.395861217105201</v>
      </c>
      <c r="BM38">
        <f>'TEA Revised Non EYZ'!BM38</f>
        <v>92.374973309314697</v>
      </c>
      <c r="BN38">
        <f>'TEA Revised Non EYZ'!BN38</f>
        <v>19.7013350519025</v>
      </c>
      <c r="BO38">
        <f>'TEA Revised Non EYZ'!BO38</f>
        <v>182.33377947368322</v>
      </c>
      <c r="BP38">
        <f>'TEA Revised Non EYZ'!BP38</f>
        <v>472.83204124565998</v>
      </c>
      <c r="BQ38">
        <f>'TEA Revised Non EYZ'!BQ38</f>
        <v>18.233377947368322</v>
      </c>
      <c r="BR38">
        <f>'TEA Revised Non EYZ'!BR38</f>
        <v>47.283204124565998</v>
      </c>
      <c r="BS38">
        <f>'eLLE Bals'!CF38</f>
        <v>6.8375167302631192</v>
      </c>
      <c r="BT38">
        <f>'eLLE Bals'!CG38</f>
        <v>11.820801031141499</v>
      </c>
      <c r="BU38">
        <f>BM38</f>
        <v>92.374973309314697</v>
      </c>
      <c r="BV38">
        <f>BU38*(AM38*2+AN38*2+AO38*3)</f>
        <v>0.31416050549417629</v>
      </c>
      <c r="BW38">
        <f>BN38*BA38*(AP38*2+AQ38*2+AR38*3)</f>
        <v>0.30056291843016203</v>
      </c>
      <c r="BX38">
        <f>BV38/(2*V38*BL38+BV38)</f>
        <v>0.12114161039519079</v>
      </c>
      <c r="BY38">
        <f>BU38*BX38</f>
        <v>11.19045302690315</v>
      </c>
      <c r="BZ38">
        <f>BW38/(2*BN38*BA38+BW38)</f>
        <v>7.0873608108697403E-2</v>
      </c>
      <c r="CA38">
        <f>2*BN38*BA38/0.04</f>
        <v>98.506675259512505</v>
      </c>
      <c r="CB38">
        <f>(BS38+BL38)*2</f>
        <v>36.466755894736643</v>
      </c>
      <c r="CC38">
        <f>(BU38+BL38)*2</f>
        <v>207.54166905283981</v>
      </c>
      <c r="CD38">
        <f>(BT38+BN38)*2</f>
        <v>63.044272166088</v>
      </c>
      <c r="CE38">
        <f>(CA38+BN38)*2</f>
        <v>236.41602062283002</v>
      </c>
      <c r="CF38">
        <f>'TEA Revised Non EYZ'!CB38</f>
        <v>2406.8058890526186</v>
      </c>
      <c r="CG38">
        <f>'TEA Revised Non EYZ'!CC38</f>
        <v>6241.382944442712</v>
      </c>
      <c r="CH38">
        <f>'TEA Revised Non EYZ'!CD38</f>
        <v>2907.8673690603878</v>
      </c>
      <c r="CI38">
        <f>'TEA Revised Non EYZ'!CE38</f>
        <v>48140.341374000076</v>
      </c>
      <c r="CJ38">
        <f>BL38*V38</f>
        <v>1.1395861217105201</v>
      </c>
      <c r="CK38">
        <f>CJ38/2*1.2</f>
        <v>0.68375167302631201</v>
      </c>
      <c r="CL38">
        <f>'eLLE Bals'!CB38*'Oxidant Feed Composition'!$N$20</f>
        <v>3.7986204057017352E-2</v>
      </c>
      <c r="CM38">
        <f>'eLLE Bals'!CB38*'Oxidant Feed Composition'!$N$21</f>
        <v>1.8993102028508668</v>
      </c>
      <c r="CN38">
        <f>'eLLE Bals'!CB38*'Oxidant Feed Composition'!$N$22</f>
        <v>0.56979306085526005</v>
      </c>
      <c r="CO38">
        <f>CN38/CK38</f>
        <v>0.83333333333333337</v>
      </c>
      <c r="CP38">
        <f>CO38</f>
        <v>0.83333333333333337</v>
      </c>
      <c r="CQ38">
        <f>CL38/CO38</f>
        <v>4.5583444868420822E-2</v>
      </c>
      <c r="CR38">
        <f>CM38/CO38</f>
        <v>2.2791722434210402</v>
      </c>
      <c r="CS38">
        <f>BN38*BA38</f>
        <v>1.9701335051902502</v>
      </c>
      <c r="CT38">
        <f>CS38/2*1.2</f>
        <v>1.1820801031141501</v>
      </c>
      <c r="CU38">
        <f>'eLLE Bals'!CC38*'Oxidant Feed Composition'!$N$20</f>
        <v>6.5671116839675026E-2</v>
      </c>
      <c r="CV38">
        <f>'eLLE Bals'!CC38*'Oxidant Feed Composition'!$N$21</f>
        <v>3.2835558419837505</v>
      </c>
      <c r="CW38">
        <f>'eLLE Bals'!CC38*'Oxidant Feed Composition'!$N$22</f>
        <v>0.98506675259512511</v>
      </c>
      <c r="CX38">
        <f>CU38/CP38</f>
        <v>7.8805340207610028E-2</v>
      </c>
      <c r="CY38">
        <f>CV38/CP38</f>
        <v>3.9402670103805004</v>
      </c>
      <c r="CZ38">
        <f>CJ38</f>
        <v>1.1395861217105201</v>
      </c>
      <c r="DA38">
        <f>'eLLE Bals'!BQ38</f>
        <v>2.2791722434210402</v>
      </c>
      <c r="DB38">
        <f>'eLLE Bals'!BU38</f>
        <v>5.9882993597495586</v>
      </c>
      <c r="DC38">
        <f>CS38</f>
        <v>1.9701335051902502</v>
      </c>
      <c r="DD38">
        <f>'eLLE Bals'!BX38</f>
        <v>3.9402670103805004</v>
      </c>
      <c r="DE38">
        <f>'eLLE Bals'!CA38</f>
        <v>21.887443530533087</v>
      </c>
      <c r="DF38">
        <f>2*2*(CJ38*'Reagent cost'!$C$36*122.44/1000+CK38*'Oxidant Feed Composition'!$N$26+CQ38*'Reagent cost'!$C$34+CR38*'Reagent cost'!$C$35)</f>
        <v>96.258231963173614</v>
      </c>
      <c r="DG38">
        <f>2*2*(CS38*'Reagent cost'!$C$36*122.44/1000+CT38*'Oxidant Feed Composition'!$N$26+CX38*'Reagent cost'!$C$34+CY38*'Reagent cost'!$C$35)</f>
        <v>166.41266888751787</v>
      </c>
      <c r="DH38">
        <f>(AF38+3)*2*(CZ38*'Reagent cost'!$C$38+DA38*'Reagent cost'!$C$39+DB38*'Reagent cost'!$C$36*122.44/1000)</f>
        <v>1478.3337970825432</v>
      </c>
      <c r="DI38">
        <f>3*2*(DC38*'Reagent cost'!$C$38+DD38*'Reagent cost'!$C$39+DE38*'Reagent cost'!$C$36*122.44/1000)</f>
        <v>1188.2197407329043</v>
      </c>
      <c r="DJ38">
        <f>7963.6*(CB38/1000)^0.6*1.7*('CAPEX+OPEX'!$G$116/'CAPEX+OPEX'!$G$115)</f>
        <v>2189.6727102460782</v>
      </c>
      <c r="DK38">
        <f>7963.6*(CC38/1000)^0.6*1.7*('CAPEX+OPEX'!$G$116/'CAPEX+OPEX'!$G$115)</f>
        <v>6215.9013146876341</v>
      </c>
      <c r="DL38">
        <f>7963.6*(CD38/1000)^0.6*1.7*('CAPEX+OPEX'!$G$116/'CAPEX+OPEX'!$G$115)</f>
        <v>3041.0832488985457</v>
      </c>
      <c r="DM38">
        <f>7963.6*(CE38/1000)^0.6*1.7*('CAPEX+OPEX'!$G$116/'CAPEX+OPEX'!$G$115)</f>
        <v>6721.2038834383548</v>
      </c>
      <c r="DN38">
        <f>'TEA Revised Non EYZ'!CM38</f>
        <v>39625.826528698344</v>
      </c>
      <c r="DO38">
        <f>'TEA Revised Non EYZ'!CN38</f>
        <v>4586243.4239371875</v>
      </c>
      <c r="DP38">
        <f>'TEA Revised Non EYZ'!CO38</f>
        <v>11794834.586807497</v>
      </c>
      <c r="DQ38">
        <f>'TEA Revised Non EYZ'!CP38</f>
        <v>2275209.1661185985</v>
      </c>
      <c r="DR38">
        <f>'TEA Revised Non EYZ'!CQ38</f>
        <v>14083914.336508472</v>
      </c>
      <c r="DS38">
        <f>'TEA Revised Non EYZ'!CR38</f>
        <v>1662824.8986326549</v>
      </c>
      <c r="DT38">
        <f>'TEA Revised Non EYZ'!CS38</f>
        <v>646135.89638675924</v>
      </c>
      <c r="DU38">
        <f>'TEA Revised Non EYZ'!CT38</f>
        <v>1661722.9645298459</v>
      </c>
      <c r="DV38">
        <f>'TEA Revised Non EYZ'!CU38</f>
        <v>320544.32748695416</v>
      </c>
      <c r="DW38">
        <f>'TEA Revised Non EYZ'!CV38</f>
        <v>1984221.4582325809</v>
      </c>
      <c r="DX38">
        <f>'TEA Revised Non EYZ'!CW38</f>
        <v>234268.17050410178</v>
      </c>
      <c r="DY38">
        <f>'TEA Revised Non EYZ'!CX38</f>
        <v>4846892.8171402421</v>
      </c>
      <c r="DZ38">
        <f>'TEA Revised Non EYZ'!CY38</f>
        <v>800386.52957740228</v>
      </c>
      <c r="EA38">
        <f>'TEA Revised Non EYZ'!CZ38</f>
        <v>2058422.5147321052</v>
      </c>
      <c r="EB38">
        <f>'TEA Revised Non EYZ'!DA38</f>
        <v>397067.18553744635</v>
      </c>
      <c r="EC38">
        <f>'TEA Revised Non EYZ'!DB38</f>
        <v>2457910.3803840801</v>
      </c>
      <c r="ED38">
        <f>'TEA Revised Non EYZ'!DC38</f>
        <v>290194.50711339182</v>
      </c>
      <c r="EE38">
        <f>'TEA Revised Non EYZ'!DD38</f>
        <v>6003981.117344426</v>
      </c>
      <c r="EF38">
        <v>0.7</v>
      </c>
      <c r="EG38">
        <v>100</v>
      </c>
      <c r="EH38">
        <f>96485*BL38*V38/EF38/EG38/60</f>
        <v>26.179277846009416</v>
      </c>
      <c r="EI38">
        <f>96485*BN38*BA38/EF38/EG38/60</f>
        <v>45.259126487686025</v>
      </c>
      <c r="EJ38">
        <f>EH38*('CAPEX+OPEX'!$O$25+'CAPEX+OPEX'!$O$26)</f>
        <v>834385.9435080121</v>
      </c>
      <c r="EK38">
        <f>EI38*('CAPEX+OPEX'!$O$25+'CAPEX+OPEX'!$O$26)</f>
        <v>1442498.8794155291</v>
      </c>
      <c r="EL38">
        <f>EJ38*1.12/0.6*'CAPEX+OPEX'!$G$116/'CAPEX+OPEX'!$G$115</f>
        <v>1837030.3015082346</v>
      </c>
      <c r="EM38">
        <f>EK38*1.12/0.6*'CAPEX+OPEX'!$G$116/'CAPEX+OPEX'!$G$115</f>
        <v>3175885.4184874641</v>
      </c>
      <c r="EN38">
        <f>EL38+EM38+DY38+EE38+1.15*(SUM(DF38:DM38)+SUM(CF38:CI38))</f>
        <v>15956702.160128733</v>
      </c>
      <c r="EO38">
        <f>EN38/15</f>
        <v>1063780.1440085822</v>
      </c>
      <c r="EP38">
        <f>('eLLE Bals'!CB38+'eLLE Bals'!CC38)*'Oxidant Feed Composition'!$N$25*60*7200</f>
        <v>12522113.273087809</v>
      </c>
      <c r="EQ38" s="83">
        <f>('eLLE Bals'!BR38+'eLLE Bals'!BY38)*'Reagent cost'!$C$38*60*7200</f>
        <v>506692.80846192379</v>
      </c>
      <c r="ER38">
        <f>'TEA Revised Non EYZ'!DI38</f>
        <v>504921.59999999998</v>
      </c>
      <c r="ES38">
        <f>'TEA Revised Non EYZ'!DJ38</f>
        <v>86.481888334953311</v>
      </c>
      <c r="ET38">
        <f>'TEA Revised Non EYZ'!DK38</f>
        <v>1020.9641748612094</v>
      </c>
      <c r="EU38">
        <f>1.2*SUM(EP38:ET38)</f>
        <v>16241802.153135512</v>
      </c>
      <c r="EV38">
        <f>'TEA Revised Non EYZ'!DM38</f>
        <v>0.70639694042110623</v>
      </c>
      <c r="EW38">
        <f>(BS38*CO38+BT38*CP38)/1000*('Oxidant Feed Composition'!$B$11*'Oxidant Feed Composition'!$O$20+'Oxidant Feed Composition'!$D$11*'Oxidant Feed Composition'!$O$21+'Oxidant Feed Composition'!$F$11*'Oxidant Feed Composition'!$O$27-'Oxidant Feed Composition'!$J$15*18.015)</f>
        <v>1.8158358807828898</v>
      </c>
      <c r="EX38">
        <f>(CZ38*BX38+DC38*BZ38)*368.34/1000</f>
        <v>0.10228130240180054</v>
      </c>
      <c r="EY38">
        <f>'TEA Revised Non EYZ'!DP38</f>
        <v>4.999938342565946E-2</v>
      </c>
      <c r="EZ38">
        <f>SUM(EV38:EX38)-EY38</f>
        <v>2.5745147401801374</v>
      </c>
      <c r="FA38">
        <f>EZ38*0.33*60*7200</f>
        <v>367022.82136008039</v>
      </c>
      <c r="FB38">
        <f>'TEA Revised Non EYZ'!DS38</f>
        <v>1.2</v>
      </c>
      <c r="FC38">
        <v>0.5</v>
      </c>
      <c r="FD38">
        <f>'TEA Revised Non EYZ'!DT38</f>
        <v>1406.1073186061401</v>
      </c>
      <c r="FE38">
        <f>'TEA Revised Non EYZ'!DU38</f>
        <v>706.16025546916046</v>
      </c>
      <c r="FF38">
        <f>'TEA Revised Non EYZ'!DV38</f>
        <v>0.7</v>
      </c>
      <c r="FG38">
        <f>'TEA Revised Non EYZ'!DW38</f>
        <v>35776.359048024235</v>
      </c>
      <c r="FH38">
        <f>'TEA Revised Non EYZ'!DX38</f>
        <v>29068.269280606211</v>
      </c>
      <c r="FI38">
        <f>'TEA Revised Non EYZ'!DY38</f>
        <v>12307.130138966339</v>
      </c>
      <c r="FJ38">
        <f>'TEA Revised Non EYZ'!DZ38</f>
        <v>6519.4301878820042</v>
      </c>
      <c r="FK38">
        <f>'TEA Revised Non EYZ'!EA38</f>
        <v>6563.8027407820491</v>
      </c>
      <c r="FL38">
        <f>'TEA Revised Non EYZ'!EB38</f>
        <v>850.41370629299365</v>
      </c>
      <c r="FM38">
        <f>'TEA Revised Non EYZ'!EC38</f>
        <v>43720.498370574402</v>
      </c>
      <c r="FN38">
        <f>'TEA Revised Non EYZ'!ED38</f>
        <v>42680.384461194757</v>
      </c>
      <c r="FO38">
        <f>'TEA Revised Non EYZ'!EE38</f>
        <v>18070.324066231653</v>
      </c>
      <c r="FP38">
        <f>'TEA Revised Non EYZ'!EF38</f>
        <v>9577.6708311713192</v>
      </c>
      <c r="FQ38">
        <f>'TEA Revised Non EYZ'!EG38</f>
        <v>9637.5061686568788</v>
      </c>
      <c r="FR38">
        <f>'TEA Revised Non EYZ'!EH38</f>
        <v>427.0857225077483</v>
      </c>
      <c r="FS38">
        <f>'TEA Revised Non EYZ'!EI38</f>
        <v>215198.87472289061</v>
      </c>
      <c r="FT38">
        <f>EG38*EH38</f>
        <v>2617.9277846009418</v>
      </c>
      <c r="FU38">
        <f>EG38*EI38</f>
        <v>4525.9126487686026</v>
      </c>
      <c r="FV38">
        <f>FC38*(FT38+FU38)/(3.6*10^6)*3600*7200*0.07</f>
        <v>1800.2477892091254</v>
      </c>
      <c r="FW38">
        <f>('CAPEX+OPEX'!$C$39/7/100+0.03)*EL38</f>
        <v>94475.844077566348</v>
      </c>
      <c r="FX38">
        <f>('CAPEX+OPEX'!$C$39/7/100+0.03)*EM38</f>
        <v>163331.25009364099</v>
      </c>
      <c r="FY38">
        <f>SUM(FV38:FX38)</f>
        <v>259607.34196041647</v>
      </c>
      <c r="FZ38">
        <f>FY38+FA38+FS38+EU38</f>
        <v>17083631.191178899</v>
      </c>
      <c r="GA38">
        <f>FZ38+EO38</f>
        <v>18147411.33518748</v>
      </c>
      <c r="GB38">
        <f>GA38/(BK38*60*7200)</f>
        <v>0.42007896609230277</v>
      </c>
      <c r="GC38">
        <f>'TEA Revised Non EYZ'!EM38/'TEA Revised Non EYZ'!EK38*GA38</f>
        <v>1405.3227495075998</v>
      </c>
      <c r="GD38">
        <f>'TEA Revised Non EYZ'!EN38/'TEA Revised Non EYZ'!EK38*GA38</f>
        <v>2577.884036518712</v>
      </c>
    </row>
    <row r="39" spans="1:186">
      <c r="A39">
        <f>'TEA Revised Non EYZ'!A39</f>
        <v>6</v>
      </c>
      <c r="B39">
        <f>'TEA Revised Non EYZ'!B39</f>
        <v>1.54143585092054E-3</v>
      </c>
      <c r="C39">
        <f>'TEA Revised Non EYZ'!C39</f>
        <v>1.54143585092054E-3</v>
      </c>
      <c r="D39">
        <f>'TEA Revised Non EYZ'!D39</f>
        <v>3.4254130020456501E-4</v>
      </c>
      <c r="E39">
        <f>'TEA Revised Non EYZ'!E39</f>
        <v>0</v>
      </c>
      <c r="F39">
        <f>'TEA Revised Non EYZ'!F39</f>
        <v>0</v>
      </c>
      <c r="G39">
        <f>'TEA Revised Non EYZ'!G39</f>
        <v>0</v>
      </c>
      <c r="H39">
        <f>'TEA Revised Non EYZ'!H39</f>
        <v>1.7693893431643E-5</v>
      </c>
      <c r="I39">
        <f>'TEA Revised Non EYZ'!I39</f>
        <v>3.7175600603836103E-8</v>
      </c>
      <c r="J39">
        <f>'TEA Revised Non EYZ'!J39</f>
        <v>3.36890310328726E-4</v>
      </c>
      <c r="K39">
        <f>'TEA Revised Non EYZ'!K39</f>
        <v>0.133710118829723</v>
      </c>
      <c r="L39">
        <f>'TEA Revised Non EYZ'!L39</f>
        <v>0.13525951632913</v>
      </c>
      <c r="M39">
        <f>'TEA Revised Non EYZ'!M39</f>
        <v>4.9588089642288804E-4</v>
      </c>
      <c r="N39">
        <f>'TEA Revised Non EYZ'!N39</f>
        <v>-1.72886878424538E-14</v>
      </c>
      <c r="O39">
        <f>'TEA Revised Non EYZ'!O39</f>
        <v>-1.05961268405396E-12</v>
      </c>
      <c r="P39">
        <f>'TEA Revised Non EYZ'!P39</f>
        <v>-9.6595637304880395E-18</v>
      </c>
      <c r="Q39">
        <f>'TEA Revised Non EYZ'!Q39</f>
        <v>0.11395861217105201</v>
      </c>
      <c r="R39">
        <f>'TEA Revised Non EYZ'!R39</f>
        <v>98.3502748800029</v>
      </c>
      <c r="S39">
        <f>'TEA Revised Non EYZ'!S39</f>
        <v>500</v>
      </c>
      <c r="T39">
        <f>'TEA Revised Non EYZ'!T39</f>
        <v>95</v>
      </c>
      <c r="U39">
        <f>'TEA Revised Non EYZ'!U39</f>
        <v>1</v>
      </c>
      <c r="V39">
        <f>'TEA Revised Non EYZ'!V39</f>
        <v>0.1</v>
      </c>
      <c r="W39">
        <f>'TEA Revised Non EYZ'!W39</f>
        <v>87.751156402202497</v>
      </c>
      <c r="X39" t="str">
        <f>'TEA Revised Non EYZ'!X39</f>
        <v>ddFc</v>
      </c>
      <c r="Y39">
        <f>'TEA Revised Non EYZ'!Y39</f>
        <v>1</v>
      </c>
      <c r="Z39">
        <f>'TEA Revised Non EYZ'!Z39</f>
        <v>0.28318429382522198</v>
      </c>
      <c r="AA39">
        <f>'TEA Revised Non EYZ'!AA39</f>
        <v>0.56945642916197003</v>
      </c>
      <c r="AB39">
        <f>'TEA Revised Non EYZ'!AB39</f>
        <v>3.7698628972227502E-3</v>
      </c>
      <c r="AC39">
        <f>'TEA Revised Non EYZ'!AC39</f>
        <v>1822.2107908876901</v>
      </c>
      <c r="AD39">
        <f>'TEA Revised Non EYZ'!AD39</f>
        <v>2662.6059073104898</v>
      </c>
      <c r="AE39">
        <f>'TEA Revised Non EYZ'!AE39</f>
        <v>2401.5030938442701</v>
      </c>
      <c r="AF39">
        <f>'TEA Revised Non EYZ'!AF39</f>
        <v>11</v>
      </c>
      <c r="AG39">
        <f>'TEA Revised Non EYZ'!AG39</f>
        <v>1.64951815726537E-3</v>
      </c>
      <c r="AH39">
        <f>'TEA Revised Non EYZ'!AH39</f>
        <v>1.6686323374819601E-3</v>
      </c>
      <c r="AI39">
        <f>'TEA Revised Non EYZ'!AI39</f>
        <v>6.1174468293775103E-6</v>
      </c>
      <c r="AJ39">
        <f>'TEA Revised Non EYZ'!AJ39</f>
        <v>0</v>
      </c>
      <c r="AK39">
        <f>'TEA Revised Non EYZ'!AK39</f>
        <v>0</v>
      </c>
      <c r="AL39">
        <f>'TEA Revised Non EYZ'!AL39</f>
        <v>0</v>
      </c>
      <c r="AM39">
        <f>'TEA Revised Non EYZ'!AM39</f>
        <v>1.61255664991154E-3</v>
      </c>
      <c r="AN39">
        <f>'TEA Revised Non EYZ'!AN39</f>
        <v>7.87942082405777E-5</v>
      </c>
      <c r="AO39">
        <f>'TEA Revised Non EYZ'!AO39</f>
        <v>6.0771943863253104E-6</v>
      </c>
      <c r="AP39">
        <f>'TEA Revised Non EYZ'!AP39</f>
        <v>1.7330805296501401E-3</v>
      </c>
      <c r="AQ39">
        <f>'TEA Revised Non EYZ'!AQ39</f>
        <v>7.4545594606665405E-2</v>
      </c>
      <c r="AR39">
        <f>'TEA Revised Non EYZ'!AR39</f>
        <v>1.8873885461363599E-6</v>
      </c>
      <c r="AS39">
        <f>'TEA Revised Non EYZ'!AS39</f>
        <v>1.4982685366893601E-13</v>
      </c>
      <c r="AT39">
        <f>'TEA Revised Non EYZ'!AT39</f>
        <v>-1.2832369715443101E-11</v>
      </c>
      <c r="AU39">
        <f>'TEA Revised Non EYZ'!AU39</f>
        <v>1.70440234344306E-18</v>
      </c>
      <c r="AV39">
        <f>'TEA Revised Non EYZ'!AV39</f>
        <v>0.19700863184865999</v>
      </c>
      <c r="AW39">
        <f>'TEA Revised Non EYZ'!AW39</f>
        <v>99.342005837158993</v>
      </c>
      <c r="AX39">
        <f>'TEA Revised Non EYZ'!AX39</f>
        <v>500</v>
      </c>
      <c r="AY39">
        <f>'TEA Revised Non EYZ'!AY39</f>
        <v>95</v>
      </c>
      <c r="AZ39">
        <f>'TEA Revised Non EYZ'!AZ39</f>
        <v>0.92374973309314701</v>
      </c>
      <c r="BA39">
        <f>'TEA Revised Non EYZ'!BA39</f>
        <v>0.1</v>
      </c>
      <c r="BB39">
        <f>'TEA Revised Non EYZ'!BB39</f>
        <v>46.888794893147498</v>
      </c>
      <c r="BC39" t="str">
        <f>'TEA Revised Non EYZ'!BC39</f>
        <v>coeFc</v>
      </c>
      <c r="BD39">
        <f>'TEA Revised Non EYZ'!BD39</f>
        <v>1</v>
      </c>
      <c r="BE39">
        <f>'TEA Revised Non EYZ'!BE39</f>
        <v>1.8775014999999999E-2</v>
      </c>
      <c r="BF39">
        <f>'TEA Revised Non EYZ'!BF39</f>
        <v>0.10492961100000001</v>
      </c>
      <c r="BG39">
        <f>'TEA Revised Non EYZ'!BG39</f>
        <v>1.814625E-3</v>
      </c>
      <c r="BH39">
        <f>'TEA Revised Non EYZ'!BH39</f>
        <v>285.1951444</v>
      </c>
      <c r="BI39">
        <f>'TEA Revised Non EYZ'!BI39</f>
        <v>2169.8944889999998</v>
      </c>
      <c r="BJ39">
        <f>'TEA Revised Non EYZ'!BJ39</f>
        <v>866.49409060000005</v>
      </c>
      <c r="BK39">
        <f>'TEA Revised Non EYZ'!BK39</f>
        <v>100</v>
      </c>
      <c r="BL39">
        <f>'TEA Revised Non EYZ'!BL39</f>
        <v>11.395861217105201</v>
      </c>
      <c r="BM39">
        <f>'TEA Revised Non EYZ'!BM39</f>
        <v>92.374973309314697</v>
      </c>
      <c r="BN39">
        <f>'TEA Revised Non EYZ'!BN39</f>
        <v>19.700863184865998</v>
      </c>
      <c r="BO39">
        <f>'TEA Revised Non EYZ'!BO39</f>
        <v>182.33377947368322</v>
      </c>
      <c r="BP39">
        <f>'TEA Revised Non EYZ'!BP39</f>
        <v>512.22244280651591</v>
      </c>
      <c r="BQ39">
        <f>'TEA Revised Non EYZ'!BQ39</f>
        <v>18.233377947368322</v>
      </c>
      <c r="BR39">
        <f>'TEA Revised Non EYZ'!BR39</f>
        <v>51.222244280651594</v>
      </c>
      <c r="BS39">
        <f>'eLLE Bals'!CF39</f>
        <v>6.8375167302631192</v>
      </c>
      <c r="BT39">
        <f>'eLLE Bals'!CG39</f>
        <v>11.820517910919598</v>
      </c>
      <c r="BU39">
        <f>BM39</f>
        <v>92.374973309314697</v>
      </c>
      <c r="BV39">
        <f>BU39*(AM39*2+AN39*2+AO39*3)</f>
        <v>0.31416112276467373</v>
      </c>
      <c r="BW39">
        <f>BN39*BA39*(AP39*2+AQ39*2+AR39*3)</f>
        <v>0.30056230351173574</v>
      </c>
      <c r="BX39">
        <f>BV39/(2*V39*BL39+BV39)</f>
        <v>0.12114181958285727</v>
      </c>
      <c r="BY39">
        <f>BU39*BX39</f>
        <v>11.190472350608257</v>
      </c>
      <c r="BZ39">
        <f>BW39/(2*BN39*BA39+BW39)</f>
        <v>7.0875050605583453E-2</v>
      </c>
      <c r="CA39">
        <f>2*BN39*BA39/0.04</f>
        <v>98.504315924330001</v>
      </c>
      <c r="CB39">
        <f>(BS39+BL39)*2</f>
        <v>36.466755894736643</v>
      </c>
      <c r="CC39">
        <f>(BU39+BL39)*2</f>
        <v>207.54166905283981</v>
      </c>
      <c r="CD39">
        <f>(BT39+BN39)*2</f>
        <v>63.042762191571192</v>
      </c>
      <c r="CE39">
        <f>(CA39+BN39)*2</f>
        <v>236.41035821839199</v>
      </c>
      <c r="CF39">
        <f>'TEA Revised Non EYZ'!CB39</f>
        <v>2406.8058890526186</v>
      </c>
      <c r="CG39">
        <f>'TEA Revised Non EYZ'!CC39</f>
        <v>6761.3362450460099</v>
      </c>
      <c r="CH39">
        <f>'TEA Revised Non EYZ'!CD39</f>
        <v>2907.8673690603878</v>
      </c>
      <c r="CI39">
        <f>'TEA Revised Non EYZ'!CE39</f>
        <v>52150.787394119398</v>
      </c>
      <c r="CJ39">
        <f>BL39*V39</f>
        <v>1.1395861217105201</v>
      </c>
      <c r="CK39">
        <f>CJ39/2*1.2</f>
        <v>0.68375167302631201</v>
      </c>
      <c r="CL39">
        <f>'eLLE Bals'!CB39*'Oxidant Feed Composition'!$N$20</f>
        <v>3.7986204057017352E-2</v>
      </c>
      <c r="CM39">
        <f>'eLLE Bals'!CB39*'Oxidant Feed Composition'!$N$21</f>
        <v>1.8993102028508668</v>
      </c>
      <c r="CN39">
        <f>'eLLE Bals'!CB39*'Oxidant Feed Composition'!$N$22</f>
        <v>0.56979306085526005</v>
      </c>
      <c r="CO39">
        <f>CN39/CK39</f>
        <v>0.83333333333333337</v>
      </c>
      <c r="CP39">
        <f>CO39</f>
        <v>0.83333333333333337</v>
      </c>
      <c r="CQ39">
        <f>CL39/CO39</f>
        <v>4.5583444868420822E-2</v>
      </c>
      <c r="CR39">
        <f>CM39/CO39</f>
        <v>2.2791722434210402</v>
      </c>
      <c r="CS39">
        <f>BN39*BA39</f>
        <v>1.9700863184866</v>
      </c>
      <c r="CT39">
        <f>CS39/2*1.2</f>
        <v>1.1820517910919599</v>
      </c>
      <c r="CU39">
        <f>'eLLE Bals'!CC39*'Oxidant Feed Composition'!$N$20</f>
        <v>6.5669543949553363E-2</v>
      </c>
      <c r="CV39">
        <f>'eLLE Bals'!CC39*'Oxidant Feed Composition'!$N$21</f>
        <v>3.2834771974776666</v>
      </c>
      <c r="CW39">
        <f>'eLLE Bals'!CC39*'Oxidant Feed Composition'!$N$22</f>
        <v>0.98504315924329999</v>
      </c>
      <c r="CX39">
        <f>CU39/CP39</f>
        <v>7.8803452739464028E-2</v>
      </c>
      <c r="CY39">
        <f>CV39/CP39</f>
        <v>3.9401726369732</v>
      </c>
      <c r="CZ39">
        <f>CJ39</f>
        <v>1.1395861217105201</v>
      </c>
      <c r="DA39">
        <f>'eLLE Bals'!BQ39</f>
        <v>2.2791722434210402</v>
      </c>
      <c r="DB39">
        <f>'eLLE Bals'!BU39</f>
        <v>5.9882831327081965</v>
      </c>
      <c r="DC39">
        <f>CS39</f>
        <v>1.9700863184866</v>
      </c>
      <c r="DD39">
        <f>'eLLE Bals'!BX39</f>
        <v>3.9401726369732</v>
      </c>
      <c r="DE39">
        <f>'eLLE Bals'!CA39</f>
        <v>21.886353557031292</v>
      </c>
      <c r="DF39">
        <f>2*2*(CJ39*'Reagent cost'!$C$36*122.44/1000+CK39*'Oxidant Feed Composition'!$N$26+CQ39*'Reagent cost'!$C$34+CR39*'Reagent cost'!$C$35)</f>
        <v>96.258231963173614</v>
      </c>
      <c r="DG39">
        <f>2*2*(CS39*'Reagent cost'!$C$36*122.44/1000+CT39*'Oxidant Feed Composition'!$N$26+CX39*'Reagent cost'!$C$34+CY39*'Reagent cost'!$C$35)</f>
        <v>166.40868313463878</v>
      </c>
      <c r="DH39">
        <f>(AF39+3)*2*(CZ39*'Reagent cost'!$C$38+DA39*'Reagent cost'!$C$39+DB39*'Reagent cost'!$C$36*122.44/1000)</f>
        <v>1592.0478527776531</v>
      </c>
      <c r="DI39">
        <f>3*2*(DC39*'Reagent cost'!$C$38+DD39*'Reagent cost'!$C$39+DE39*'Reagent cost'!$C$36*122.44/1000)</f>
        <v>1188.1619305522379</v>
      </c>
      <c r="DJ39">
        <f>7963.6*(CB39/1000)^0.6*1.7*('CAPEX+OPEX'!$G$116/'CAPEX+OPEX'!$G$115)</f>
        <v>2189.6727102460782</v>
      </c>
      <c r="DK39">
        <f>7963.6*(CC39/1000)^0.6*1.7*('CAPEX+OPEX'!$G$116/'CAPEX+OPEX'!$G$115)</f>
        <v>6215.9013146876341</v>
      </c>
      <c r="DL39">
        <f>7963.6*(CD39/1000)^0.6*1.7*('CAPEX+OPEX'!$G$116/'CAPEX+OPEX'!$G$115)</f>
        <v>3041.0395464648595</v>
      </c>
      <c r="DM39">
        <f>7963.6*(CE39/1000)^0.6*1.7*('CAPEX+OPEX'!$G$116/'CAPEX+OPEX'!$G$115)</f>
        <v>6721.1072951693195</v>
      </c>
      <c r="DN39">
        <f>'TEA Revised Non EYZ'!CM39</f>
        <v>39625.826528698344</v>
      </c>
      <c r="DO39">
        <f>'TEA Revised Non EYZ'!CN39</f>
        <v>4586243.4239371875</v>
      </c>
      <c r="DP39">
        <f>'TEA Revised Non EYZ'!CO39</f>
        <v>11794834.586807497</v>
      </c>
      <c r="DQ39">
        <f>'TEA Revised Non EYZ'!CP39</f>
        <v>2275209.1661185985</v>
      </c>
      <c r="DR39">
        <f>'TEA Revised Non EYZ'!CQ39</f>
        <v>14083914.336508472</v>
      </c>
      <c r="DS39">
        <f>'TEA Revised Non EYZ'!CR39</f>
        <v>1662824.8986326549</v>
      </c>
      <c r="DT39">
        <f>'TEA Revised Non EYZ'!CS39</f>
        <v>646135.89638675924</v>
      </c>
      <c r="DU39">
        <f>'TEA Revised Non EYZ'!CT39</f>
        <v>1661722.9645298459</v>
      </c>
      <c r="DV39">
        <f>'TEA Revised Non EYZ'!CU39</f>
        <v>320544.32748695416</v>
      </c>
      <c r="DW39">
        <f>'TEA Revised Non EYZ'!CV39</f>
        <v>1984221.4582325809</v>
      </c>
      <c r="DX39">
        <f>'TEA Revised Non EYZ'!CW39</f>
        <v>234268.17050410178</v>
      </c>
      <c r="DY39">
        <f>'TEA Revised Non EYZ'!CX39</f>
        <v>4846892.8171402421</v>
      </c>
      <c r="DZ39">
        <f>'TEA Revised Non EYZ'!CY39</f>
        <v>843282.14969326498</v>
      </c>
      <c r="EA39">
        <f>'TEA Revised Non EYZ'!CZ39</f>
        <v>2168740.8508946435</v>
      </c>
      <c r="EB39">
        <f>'TEA Revised Non EYZ'!DA39</f>
        <v>418347.45765832032</v>
      </c>
      <c r="EC39">
        <f>'TEA Revised Non EYZ'!DB39</f>
        <v>2589638.7217036909</v>
      </c>
      <c r="ED39">
        <f>'TEA Revised Non EYZ'!DC39</f>
        <v>305747.08437055594</v>
      </c>
      <c r="EE39">
        <f>'TEA Revised Non EYZ'!DD39</f>
        <v>6325756.264320476</v>
      </c>
      <c r="EF39">
        <v>0.7</v>
      </c>
      <c r="EG39">
        <v>100</v>
      </c>
      <c r="EH39">
        <f>96485*BL39*V39/EF39/EG39/60</f>
        <v>26.179277846009416</v>
      </c>
      <c r="EI39">
        <f>96485*BN39*BA39/EF39/EG39/60</f>
        <v>45.258042485518949</v>
      </c>
      <c r="EJ39">
        <f>EH39*('CAPEX+OPEX'!$O$25+'CAPEX+OPEX'!$O$26)</f>
        <v>834385.9435080121</v>
      </c>
      <c r="EK39">
        <f>EI39*('CAPEX+OPEX'!$O$25+'CAPEX+OPEX'!$O$26)</f>
        <v>1442464.33009846</v>
      </c>
      <c r="EL39">
        <f>EJ39*1.12/0.6*'CAPEX+OPEX'!$G$116/'CAPEX+OPEX'!$G$115</f>
        <v>1837030.3015082346</v>
      </c>
      <c r="EM39">
        <f>EK39*1.12/0.6*'CAPEX+OPEX'!$G$116/'CAPEX+OPEX'!$G$115</f>
        <v>3175809.3527976638</v>
      </c>
      <c r="EN39">
        <f>EL39+EM39+DY39+EE39+1.15*(SUM(DF39:DM39)+SUM(CF39:CI39))</f>
        <v>16283741.739398234</v>
      </c>
      <c r="EO39">
        <f>EN39/15</f>
        <v>1085582.782626549</v>
      </c>
      <c r="EP39">
        <f>('eLLE Bals'!CB39+'eLLE Bals'!CC39)*'Oxidant Feed Composition'!$N$25*60*7200</f>
        <v>12521923.263273748</v>
      </c>
      <c r="EQ39" s="83">
        <f>('eLLE Bals'!BR39+'eLLE Bals'!BY39)*'Reagent cost'!$C$38*60*7200</f>
        <v>506692.32662290119</v>
      </c>
      <c r="ER39">
        <f>'TEA Revised Non EYZ'!DI39</f>
        <v>504921.59999999998</v>
      </c>
      <c r="ES39">
        <f>'TEA Revised Non EYZ'!DJ39</f>
        <v>91.68142134098629</v>
      </c>
      <c r="ET39">
        <f>'TEA Revised Non EYZ'!DK39</f>
        <v>1101.1730952635958</v>
      </c>
      <c r="EU39">
        <f>1.2*SUM(EP39:ET39)</f>
        <v>16241676.053295903</v>
      </c>
      <c r="EV39">
        <f>'TEA Revised Non EYZ'!DM39</f>
        <v>0.70639694042110623</v>
      </c>
      <c r="EW39">
        <f>(BS39*CO39+BT39*CP39)/1000*('Oxidant Feed Composition'!$B$11*'Oxidant Feed Composition'!$O$20+'Oxidant Feed Composition'!$D$11*'Oxidant Feed Composition'!$O$21+'Oxidant Feed Composition'!$F$11*'Oxidant Feed Composition'!$O$27-'Oxidant Feed Composition'!$J$15*18.015)</f>
        <v>1.8158083273954904</v>
      </c>
      <c r="EX39">
        <f>(CZ39*BX39+DC39*BZ39)*368.34/1000</f>
        <v>0.10228120513749769</v>
      </c>
      <c r="EY39">
        <f>'TEA Revised Non EYZ'!DP39</f>
        <v>4.999938342565946E-2</v>
      </c>
      <c r="EZ39">
        <f>SUM(EV39:EX39)-EY39</f>
        <v>2.5744870895284349</v>
      </c>
      <c r="FA39">
        <f>EZ39*0.33*60*7200</f>
        <v>367018.87948317372</v>
      </c>
      <c r="FB39">
        <f>'TEA Revised Non EYZ'!DS39</f>
        <v>1.2</v>
      </c>
      <c r="FC39">
        <v>0.5</v>
      </c>
      <c r="FD39">
        <f>'TEA Revised Non EYZ'!DT39</f>
        <v>1406.1100831005861</v>
      </c>
      <c r="FE39">
        <f>'TEA Revised Non EYZ'!DU39</f>
        <v>706.15749631334222</v>
      </c>
      <c r="FF39">
        <f>'TEA Revised Non EYZ'!DV39</f>
        <v>0.7</v>
      </c>
      <c r="FG39">
        <f>'TEA Revised Non EYZ'!DW39</f>
        <v>35776.359048024235</v>
      </c>
      <c r="FH39">
        <f>'TEA Revised Non EYZ'!DX39</f>
        <v>29068.269280606211</v>
      </c>
      <c r="FI39">
        <f>'TEA Revised Non EYZ'!DY39</f>
        <v>12307.130138966339</v>
      </c>
      <c r="FJ39">
        <f>'TEA Revised Non EYZ'!DZ39</f>
        <v>6519.4301878820042</v>
      </c>
      <c r="FK39">
        <f>'TEA Revised Non EYZ'!EA39</f>
        <v>6563.8027407820491</v>
      </c>
      <c r="FL39">
        <f>'TEA Revised Non EYZ'!EB39</f>
        <v>850.41537825923444</v>
      </c>
      <c r="FM39">
        <f>'TEA Revised Non EYZ'!EC39</f>
        <v>46292.292392372896</v>
      </c>
      <c r="FN39">
        <f>'TEA Revised Non EYZ'!ED39</f>
        <v>46560.419412212461</v>
      </c>
      <c r="FO39">
        <f>'TEA Revised Non EYZ'!EE39</f>
        <v>19713.08079952544</v>
      </c>
      <c r="FP39">
        <f>'TEA Revised Non EYZ'!EF39</f>
        <v>10448.368179459621</v>
      </c>
      <c r="FQ39">
        <f>'TEA Revised Non EYZ'!EG39</f>
        <v>10513.643093080233</v>
      </c>
      <c r="FR39">
        <f>'TEA Revised Non EYZ'!EH39</f>
        <v>427.08405377030942</v>
      </c>
      <c r="FS39">
        <f>'TEA Revised Non EYZ'!EI39</f>
        <v>225040.29470494101</v>
      </c>
      <c r="FT39">
        <f>EG39*EH39</f>
        <v>2617.9277846009418</v>
      </c>
      <c r="FU39">
        <f>EG39*EI39</f>
        <v>4525.8042485518945</v>
      </c>
      <c r="FV39">
        <f>FC39*(FT39+FU39)/(3.6*10^6)*3600*7200*0.07</f>
        <v>1800.2204723545151</v>
      </c>
      <c r="FW39">
        <f>('CAPEX+OPEX'!$C$39/7/100+0.03)*EL39</f>
        <v>94475.844077566348</v>
      </c>
      <c r="FX39">
        <f>('CAPEX+OPEX'!$C$39/7/100+0.03)*EM39</f>
        <v>163327.33814387984</v>
      </c>
      <c r="FY39">
        <f>SUM(FV39:FX39)</f>
        <v>259603.40269380069</v>
      </c>
      <c r="FZ39">
        <f>FY39+FA39+FS39+EU39</f>
        <v>17093338.630177818</v>
      </c>
      <c r="GA39">
        <f>FZ39+EO39</f>
        <v>18178921.412804369</v>
      </c>
      <c r="GB39">
        <f>GA39/(BK39*60*7200)</f>
        <v>0.42080836603713817</v>
      </c>
      <c r="GC39">
        <f>'TEA Revised Non EYZ'!EM39/'TEA Revised Non EYZ'!EK39*GA39</f>
        <v>1407.7600980078762</v>
      </c>
      <c r="GD39">
        <f>'TEA Revised Non EYZ'!EN39/'TEA Revised Non EYZ'!EK39*GA39</f>
        <v>2582.3694201626754</v>
      </c>
    </row>
    <row r="40" spans="1:186">
      <c r="A40">
        <f>'TEA Revised Non EYZ'!A40</f>
        <v>6</v>
      </c>
      <c r="B40">
        <f>'TEA Revised Non EYZ'!B40</f>
        <v>1.54143585092054E-3</v>
      </c>
      <c r="C40">
        <f>'TEA Revised Non EYZ'!C40</f>
        <v>1.54143585092054E-3</v>
      </c>
      <c r="D40">
        <f>'TEA Revised Non EYZ'!D40</f>
        <v>3.4254130020456501E-4</v>
      </c>
      <c r="E40">
        <f>'TEA Revised Non EYZ'!E40</f>
        <v>0</v>
      </c>
      <c r="F40">
        <f>'TEA Revised Non EYZ'!F40</f>
        <v>0</v>
      </c>
      <c r="G40">
        <f>'TEA Revised Non EYZ'!G40</f>
        <v>0</v>
      </c>
      <c r="H40">
        <f>'TEA Revised Non EYZ'!H40</f>
        <v>1.7693893431643E-5</v>
      </c>
      <c r="I40">
        <f>'TEA Revised Non EYZ'!I40</f>
        <v>3.7175600603836103E-8</v>
      </c>
      <c r="J40">
        <f>'TEA Revised Non EYZ'!J40</f>
        <v>3.36890310328726E-4</v>
      </c>
      <c r="K40">
        <f>'TEA Revised Non EYZ'!K40</f>
        <v>0.133710118829723</v>
      </c>
      <c r="L40">
        <f>'TEA Revised Non EYZ'!L40</f>
        <v>0.13525951632913</v>
      </c>
      <c r="M40">
        <f>'TEA Revised Non EYZ'!M40</f>
        <v>4.9588089642288804E-4</v>
      </c>
      <c r="N40">
        <f>'TEA Revised Non EYZ'!N40</f>
        <v>-1.72886878424538E-14</v>
      </c>
      <c r="O40">
        <f>'TEA Revised Non EYZ'!O40</f>
        <v>-1.05961268405396E-12</v>
      </c>
      <c r="P40">
        <f>'TEA Revised Non EYZ'!P40</f>
        <v>-9.6595637304880395E-18</v>
      </c>
      <c r="Q40">
        <f>'TEA Revised Non EYZ'!Q40</f>
        <v>0.11395861217105201</v>
      </c>
      <c r="R40">
        <f>'TEA Revised Non EYZ'!R40</f>
        <v>98.3502748800029</v>
      </c>
      <c r="S40">
        <f>'TEA Revised Non EYZ'!S40</f>
        <v>500</v>
      </c>
      <c r="T40">
        <f>'TEA Revised Non EYZ'!T40</f>
        <v>95</v>
      </c>
      <c r="U40">
        <f>'TEA Revised Non EYZ'!U40</f>
        <v>1</v>
      </c>
      <c r="V40">
        <f>'TEA Revised Non EYZ'!V40</f>
        <v>0.1</v>
      </c>
      <c r="W40">
        <f>'TEA Revised Non EYZ'!W40</f>
        <v>87.751156402202497</v>
      </c>
      <c r="X40" t="str">
        <f>'TEA Revised Non EYZ'!X40</f>
        <v>ddFc</v>
      </c>
      <c r="Y40">
        <f>'TEA Revised Non EYZ'!Y40</f>
        <v>1</v>
      </c>
      <c r="Z40">
        <f>'TEA Revised Non EYZ'!Z40</f>
        <v>0.28318429382522198</v>
      </c>
      <c r="AA40">
        <f>'TEA Revised Non EYZ'!AA40</f>
        <v>0.56945642916197003</v>
      </c>
      <c r="AB40">
        <f>'TEA Revised Non EYZ'!AB40</f>
        <v>3.7698628972227502E-3</v>
      </c>
      <c r="AC40">
        <f>'TEA Revised Non EYZ'!AC40</f>
        <v>1822.2107908876901</v>
      </c>
      <c r="AD40">
        <f>'TEA Revised Non EYZ'!AD40</f>
        <v>2662.6059073104898</v>
      </c>
      <c r="AE40">
        <f>'TEA Revised Non EYZ'!AE40</f>
        <v>2401.5030938442701</v>
      </c>
      <c r="AF40">
        <f>'TEA Revised Non EYZ'!AF40</f>
        <v>12</v>
      </c>
      <c r="AG40">
        <f>'TEA Revised Non EYZ'!AG40</f>
        <v>1.64951815726537E-3</v>
      </c>
      <c r="AH40">
        <f>'TEA Revised Non EYZ'!AH40</f>
        <v>1.6686323374819601E-3</v>
      </c>
      <c r="AI40">
        <f>'TEA Revised Non EYZ'!AI40</f>
        <v>6.1174468293775103E-6</v>
      </c>
      <c r="AJ40">
        <f>'TEA Revised Non EYZ'!AJ40</f>
        <v>0</v>
      </c>
      <c r="AK40">
        <f>'TEA Revised Non EYZ'!AK40</f>
        <v>0</v>
      </c>
      <c r="AL40">
        <f>'TEA Revised Non EYZ'!AL40</f>
        <v>0</v>
      </c>
      <c r="AM40">
        <f>'TEA Revised Non EYZ'!AM40</f>
        <v>1.6125575429752001E-3</v>
      </c>
      <c r="AN40">
        <f>'TEA Revised Non EYZ'!AN40</f>
        <v>7.8794254311918995E-5</v>
      </c>
      <c r="AO40">
        <f>'TEA Revised Non EYZ'!AO40</f>
        <v>6.0771953183527996E-6</v>
      </c>
      <c r="AP40">
        <f>'TEA Revised Non EYZ'!AP40</f>
        <v>1.7330503585533999E-3</v>
      </c>
      <c r="AQ40">
        <f>'TEA Revised Non EYZ'!AQ40</f>
        <v>7.4546094895645801E-2</v>
      </c>
      <c r="AR40">
        <f>'TEA Revised Non EYZ'!AR40</f>
        <v>1.8873575819805E-6</v>
      </c>
      <c r="AS40">
        <f>'TEA Revised Non EYZ'!AS40</f>
        <v>7.3561084524067997E-16</v>
      </c>
      <c r="AT40">
        <f>'TEA Revised Non EYZ'!AT40</f>
        <v>-7.3104283043745598E-14</v>
      </c>
      <c r="AU40">
        <f>'TEA Revised Non EYZ'!AU40</f>
        <v>-3.93076227085198E-21</v>
      </c>
      <c r="AV40">
        <f>'TEA Revised Non EYZ'!AV40</f>
        <v>0.197007302276343</v>
      </c>
      <c r="AW40">
        <f>'TEA Revised Non EYZ'!AW40</f>
        <v>99.342021072722403</v>
      </c>
      <c r="AX40">
        <f>'TEA Revised Non EYZ'!AX40</f>
        <v>500</v>
      </c>
      <c r="AY40">
        <f>'TEA Revised Non EYZ'!AY40</f>
        <v>95</v>
      </c>
      <c r="AZ40">
        <f>'TEA Revised Non EYZ'!AZ40</f>
        <v>0.92374973309314701</v>
      </c>
      <c r="BA40">
        <f>'TEA Revised Non EYZ'!BA40</f>
        <v>0.1</v>
      </c>
      <c r="BB40">
        <f>'TEA Revised Non EYZ'!BB40</f>
        <v>46.889111338492199</v>
      </c>
      <c r="BC40" t="str">
        <f>'TEA Revised Non EYZ'!BC40</f>
        <v>coeFc</v>
      </c>
      <c r="BD40">
        <f>'TEA Revised Non EYZ'!BD40</f>
        <v>1</v>
      </c>
      <c r="BE40">
        <f>'TEA Revised Non EYZ'!BE40</f>
        <v>1.8775014999999999E-2</v>
      </c>
      <c r="BF40">
        <f>'TEA Revised Non EYZ'!BF40</f>
        <v>0.10492961100000001</v>
      </c>
      <c r="BG40">
        <f>'TEA Revised Non EYZ'!BG40</f>
        <v>1.814625E-3</v>
      </c>
      <c r="BH40">
        <f>'TEA Revised Non EYZ'!BH40</f>
        <v>285.1951444</v>
      </c>
      <c r="BI40">
        <f>'TEA Revised Non EYZ'!BI40</f>
        <v>2169.8944889999998</v>
      </c>
      <c r="BJ40">
        <f>'TEA Revised Non EYZ'!BJ40</f>
        <v>866.49409060000005</v>
      </c>
      <c r="BK40">
        <f>'TEA Revised Non EYZ'!BK40</f>
        <v>100</v>
      </c>
      <c r="BL40">
        <f>'TEA Revised Non EYZ'!BL40</f>
        <v>11.395861217105201</v>
      </c>
      <c r="BM40">
        <f>'TEA Revised Non EYZ'!BM40</f>
        <v>92.374973309314697</v>
      </c>
      <c r="BN40">
        <f>'TEA Revised Non EYZ'!BN40</f>
        <v>19.700730227634299</v>
      </c>
      <c r="BO40">
        <f>'TEA Revised Non EYZ'!BO40</f>
        <v>182.33377947368322</v>
      </c>
      <c r="BP40">
        <f>'TEA Revised Non EYZ'!BP40</f>
        <v>551.62044637376039</v>
      </c>
      <c r="BQ40">
        <f>'TEA Revised Non EYZ'!BQ40</f>
        <v>18.233377947368322</v>
      </c>
      <c r="BR40">
        <f>'TEA Revised Non EYZ'!BR40</f>
        <v>55.162044637376042</v>
      </c>
      <c r="BS40">
        <f>'eLLE Bals'!CF40</f>
        <v>6.8375167302631192</v>
      </c>
      <c r="BT40">
        <f>'eLLE Bals'!CG40</f>
        <v>11.820438136580579</v>
      </c>
      <c r="BU40">
        <f>BM40</f>
        <v>92.374973309314697</v>
      </c>
      <c r="BV40">
        <f>BU40*(AM40*2+AN40*2+AO40*3)</f>
        <v>0.31416129652810315</v>
      </c>
      <c r="BW40">
        <f>BN40*BA40*(AP40*2+AQ40*2+AR40*3)</f>
        <v>0.30056212722627162</v>
      </c>
      <c r="BX40">
        <f>BV40/(2*V40*BL40+BV40)</f>
        <v>0.12114187846977216</v>
      </c>
      <c r="BY40">
        <f>BU40*BX40</f>
        <v>11.190477790285447</v>
      </c>
      <c r="BZ40">
        <f>BW40/(2*BN40*BA40+BW40)</f>
        <v>7.0875456405466872E-2</v>
      </c>
      <c r="CA40">
        <f>2*BN40*BA40/0.04</f>
        <v>98.503651138171492</v>
      </c>
      <c r="CB40">
        <f>(BS40+BL40)*2</f>
        <v>36.466755894736643</v>
      </c>
      <c r="CC40">
        <f>(BU40+BL40)*2</f>
        <v>207.54166905283981</v>
      </c>
      <c r="CD40">
        <f>(BT40+BN40)*2</f>
        <v>63.04233672842976</v>
      </c>
      <c r="CE40">
        <f>(CA40+BN40)*2</f>
        <v>236.40876273161157</v>
      </c>
      <c r="CF40">
        <f>'TEA Revised Non EYZ'!CB40</f>
        <v>2406.8058890526186</v>
      </c>
      <c r="CG40">
        <f>'TEA Revised Non EYZ'!CC40</f>
        <v>7281.3898921336377</v>
      </c>
      <c r="CH40">
        <f>'TEA Revised Non EYZ'!CD40</f>
        <v>2907.8673690603878</v>
      </c>
      <c r="CI40">
        <f>'TEA Revised Non EYZ'!CE40</f>
        <v>56162.007395590961</v>
      </c>
      <c r="CJ40">
        <f>BL40*V40</f>
        <v>1.1395861217105201</v>
      </c>
      <c r="CK40">
        <f>CJ40/2*1.2</f>
        <v>0.68375167302631201</v>
      </c>
      <c r="CL40">
        <f>'eLLE Bals'!CB40*'Oxidant Feed Composition'!$N$20</f>
        <v>3.7986204057017352E-2</v>
      </c>
      <c r="CM40">
        <f>'eLLE Bals'!CB40*'Oxidant Feed Composition'!$N$21</f>
        <v>1.8993102028508668</v>
      </c>
      <c r="CN40">
        <f>'eLLE Bals'!CB40*'Oxidant Feed Composition'!$N$22</f>
        <v>0.56979306085526005</v>
      </c>
      <c r="CO40">
        <f>CN40/CK40</f>
        <v>0.83333333333333337</v>
      </c>
      <c r="CP40">
        <f>CO40</f>
        <v>0.83333333333333337</v>
      </c>
      <c r="CQ40">
        <f>CL40/CO40</f>
        <v>4.5583444868420822E-2</v>
      </c>
      <c r="CR40">
        <f>CM40/CO40</f>
        <v>2.2791722434210402</v>
      </c>
      <c r="CS40">
        <f>BN40*BA40</f>
        <v>1.97007302276343</v>
      </c>
      <c r="CT40">
        <f>CS40/2*1.2</f>
        <v>1.182043813658058</v>
      </c>
      <c r="CU40">
        <f>'eLLE Bals'!CC40*'Oxidant Feed Composition'!$N$20</f>
        <v>6.5669100758781032E-2</v>
      </c>
      <c r="CV40">
        <f>'eLLE Bals'!CC40*'Oxidant Feed Composition'!$N$21</f>
        <v>3.2834550379390501</v>
      </c>
      <c r="CW40">
        <f>'eLLE Bals'!CC40*'Oxidant Feed Composition'!$N$22</f>
        <v>0.985036511381715</v>
      </c>
      <c r="CX40">
        <f>CU40/CP40</f>
        <v>7.8802920910537241E-2</v>
      </c>
      <c r="CY40">
        <f>CV40/CP40</f>
        <v>3.94014604552686</v>
      </c>
      <c r="CZ40">
        <f>CJ40</f>
        <v>1.1395861217105201</v>
      </c>
      <c r="DA40">
        <f>'eLLE Bals'!BQ40</f>
        <v>2.2791722434210402</v>
      </c>
      <c r="DB40">
        <f>'eLLE Bals'!BU40</f>
        <v>5.9882785416603301</v>
      </c>
      <c r="DC40">
        <f>CS40</f>
        <v>1.97007302276343</v>
      </c>
      <c r="DD40">
        <f>'eLLE Bals'!BX40</f>
        <v>3.94014604552686</v>
      </c>
      <c r="DE40">
        <f>'eLLE Bals'!CA40</f>
        <v>21.886046700962265</v>
      </c>
      <c r="DF40">
        <f>2*2*(CJ40*'Reagent cost'!$C$36*122.44/1000+CK40*'Oxidant Feed Composition'!$N$26+CQ40*'Reagent cost'!$C$34+CR40*'Reagent cost'!$C$35)</f>
        <v>96.258231963173614</v>
      </c>
      <c r="DG40">
        <f>2*2*(CS40*'Reagent cost'!$C$36*122.44/1000+CT40*'Oxidant Feed Composition'!$N$26+CX40*'Reagent cost'!$C$34+CY40*'Reagent cost'!$C$35)</f>
        <v>166.4075600753275</v>
      </c>
      <c r="DH40">
        <f>(AF40+3)*2*(CZ40*'Reagent cost'!$C$38+DA40*'Reagent cost'!$C$39+DB40*'Reagent cost'!$C$36*122.44/1000)</f>
        <v>1705.7643656233147</v>
      </c>
      <c r="DI40">
        <f>3*2*(DC40*'Reagent cost'!$C$38+DD40*'Reagent cost'!$C$39+DE40*'Reagent cost'!$C$36*122.44/1000)</f>
        <v>1188.1456551675587</v>
      </c>
      <c r="DJ40">
        <f>7963.6*(CB40/1000)^0.6*1.7*('CAPEX+OPEX'!$G$116/'CAPEX+OPEX'!$G$115)</f>
        <v>2189.6727102460782</v>
      </c>
      <c r="DK40">
        <f>7963.6*(CC40/1000)^0.6*1.7*('CAPEX+OPEX'!$G$116/'CAPEX+OPEX'!$G$115)</f>
        <v>6215.9013146876341</v>
      </c>
      <c r="DL40">
        <f>7963.6*(CD40/1000)^0.6*1.7*('CAPEX+OPEX'!$G$116/'CAPEX+OPEX'!$G$115)</f>
        <v>3041.0272324233424</v>
      </c>
      <c r="DM40">
        <f>7963.6*(CE40/1000)^0.6*1.7*('CAPEX+OPEX'!$G$116/'CAPEX+OPEX'!$G$115)</f>
        <v>6721.0800794777724</v>
      </c>
      <c r="DN40">
        <f>'TEA Revised Non EYZ'!CM40</f>
        <v>39625.826528698344</v>
      </c>
      <c r="DO40">
        <f>'TEA Revised Non EYZ'!CN40</f>
        <v>4586243.4239371875</v>
      </c>
      <c r="DP40">
        <f>'TEA Revised Non EYZ'!CO40</f>
        <v>11794834.586807497</v>
      </c>
      <c r="DQ40">
        <f>'TEA Revised Non EYZ'!CP40</f>
        <v>2275209.1661185985</v>
      </c>
      <c r="DR40">
        <f>'TEA Revised Non EYZ'!CQ40</f>
        <v>14083914.336508472</v>
      </c>
      <c r="DS40">
        <f>'TEA Revised Non EYZ'!CR40</f>
        <v>1662824.8986326549</v>
      </c>
      <c r="DT40">
        <f>'TEA Revised Non EYZ'!CS40</f>
        <v>646135.89638675924</v>
      </c>
      <c r="DU40">
        <f>'TEA Revised Non EYZ'!CT40</f>
        <v>1661722.9645298459</v>
      </c>
      <c r="DV40">
        <f>'TEA Revised Non EYZ'!CU40</f>
        <v>320544.32748695416</v>
      </c>
      <c r="DW40">
        <f>'TEA Revised Non EYZ'!CV40</f>
        <v>1984221.4582325809</v>
      </c>
      <c r="DX40">
        <f>'TEA Revised Non EYZ'!CW40</f>
        <v>234268.17050410178</v>
      </c>
      <c r="DY40">
        <f>'TEA Revised Non EYZ'!CX40</f>
        <v>4846892.8171402421</v>
      </c>
      <c r="DZ40">
        <f>'TEA Revised Non EYZ'!CY40</f>
        <v>884769.55719627661</v>
      </c>
      <c r="EA40">
        <f>'TEA Revised Non EYZ'!CZ40</f>
        <v>2275437.5662018773</v>
      </c>
      <c r="EB40">
        <f>'TEA Revised Non EYZ'!DA40</f>
        <v>438929.12354563072</v>
      </c>
      <c r="EC40">
        <f>'TEA Revised Non EYZ'!DB40</f>
        <v>2717042.5769518763</v>
      </c>
      <c r="ED40">
        <f>'TEA Revised Non EYZ'!DC40</f>
        <v>320789.08886069356</v>
      </c>
      <c r="EE40">
        <f>'TEA Revised Non EYZ'!DD40</f>
        <v>6636967.9127563545</v>
      </c>
      <c r="EF40">
        <v>0.7</v>
      </c>
      <c r="EG40">
        <v>100</v>
      </c>
      <c r="EH40">
        <f>96485*BL40*V40/EF40/EG40/60</f>
        <v>26.179277846009416</v>
      </c>
      <c r="EI40">
        <f>96485*BN40*BA40/EF40/EG40/60</f>
        <v>45.257737047935613</v>
      </c>
      <c r="EJ40">
        <f>EH40*('CAPEX+OPEX'!$O$25+'CAPEX+OPEX'!$O$26)</f>
        <v>834385.9435080121</v>
      </c>
      <c r="EK40">
        <f>EI40*('CAPEX+OPEX'!$O$25+'CAPEX+OPEX'!$O$26)</f>
        <v>1442454.5951918038</v>
      </c>
      <c r="EL40">
        <f>EJ40*1.12/0.6*'CAPEX+OPEX'!$G$116/'CAPEX+OPEX'!$G$115</f>
        <v>1837030.3015082346</v>
      </c>
      <c r="EM40">
        <f>EK40*1.12/0.6*'CAPEX+OPEX'!$G$116/'CAPEX+OPEX'!$G$115</f>
        <v>3175787.9198880508</v>
      </c>
      <c r="EN40">
        <f>EL40+EM40+DY40+EE40+1.15*(SUM(DF40:DM40)+SUM(CF40:CI40))</f>
        <v>16600273.628142707</v>
      </c>
      <c r="EO40">
        <f>EN40/15</f>
        <v>1106684.908542847</v>
      </c>
      <c r="EP40">
        <f>('eLLE Bals'!CB40+'eLLE Bals'!CC40)*'Oxidant Feed Composition'!$N$25*60*7200</f>
        <v>12521869.724507699</v>
      </c>
      <c r="EQ40" s="83">
        <f>('eLLE Bals'!BR40+'eLLE Bals'!BY40)*'Reagent cost'!$C$38*60*7200</f>
        <v>506692.18835814093</v>
      </c>
      <c r="ER40">
        <f>'TEA Revised Non EYZ'!DI40</f>
        <v>504921.59999999998</v>
      </c>
      <c r="ES40">
        <f>'TEA Revised Non EYZ'!DJ40</f>
        <v>96.881957811862563</v>
      </c>
      <c r="ET40">
        <f>'TEA Revised Non EYZ'!DK40</f>
        <v>1181.3974952930271</v>
      </c>
      <c r="EU40">
        <f>1.2*SUM(EP40:ET40)</f>
        <v>16241714.150782732</v>
      </c>
      <c r="EV40">
        <f>'TEA Revised Non EYZ'!DM40</f>
        <v>0.70639694042110623</v>
      </c>
      <c r="EW40">
        <f>(BS40*CO40+BT40*CP40)/1000*('Oxidant Feed Composition'!$B$11*'Oxidant Feed Composition'!$O$20+'Oxidant Feed Composition'!$D$11*'Oxidant Feed Composition'!$O$21+'Oxidant Feed Composition'!$F$11*'Oxidant Feed Composition'!$O$27-'Oxidant Feed Composition'!$J$15*18.015)</f>
        <v>1.8158005637209185</v>
      </c>
      <c r="EX40">
        <f>(CZ40*BX40+DC40*BZ40)*368.34/1000</f>
        <v>0.10228117722729348</v>
      </c>
      <c r="EY40">
        <f>'TEA Revised Non EYZ'!DP40</f>
        <v>4.999938342565946E-2</v>
      </c>
      <c r="EZ40">
        <f>SUM(EV40:EX40)-EY40</f>
        <v>2.5744792979436588</v>
      </c>
      <c r="FA40">
        <f>EZ40*0.33*60*7200</f>
        <v>367017.76871484797</v>
      </c>
      <c r="FB40">
        <f>'TEA Revised Non EYZ'!DS40</f>
        <v>1.2</v>
      </c>
      <c r="FC40">
        <v>0.5</v>
      </c>
      <c r="FD40">
        <f>'TEA Revised Non EYZ'!DT40</f>
        <v>1406.1108613138913</v>
      </c>
      <c r="FE40">
        <f>'TEA Revised Non EYZ'!DU40</f>
        <v>706.15671237476283</v>
      </c>
      <c r="FF40">
        <f>'TEA Revised Non EYZ'!DV40</f>
        <v>0.7</v>
      </c>
      <c r="FG40">
        <f>'TEA Revised Non EYZ'!DW40</f>
        <v>35776.359048024235</v>
      </c>
      <c r="FH40">
        <f>'TEA Revised Non EYZ'!DX40</f>
        <v>29068.269280606211</v>
      </c>
      <c r="FI40">
        <f>'TEA Revised Non EYZ'!DY40</f>
        <v>12307.130138966339</v>
      </c>
      <c r="FJ40">
        <f>'TEA Revised Non EYZ'!DZ40</f>
        <v>6519.4301878820042</v>
      </c>
      <c r="FK40">
        <f>'TEA Revised Non EYZ'!EA40</f>
        <v>6563.8027407820491</v>
      </c>
      <c r="FL40">
        <f>'TEA Revised Non EYZ'!EB40</f>
        <v>850.41584892264143</v>
      </c>
      <c r="FM40">
        <f>'TEA Revised Non EYZ'!EC40</f>
        <v>48864.08641417139</v>
      </c>
      <c r="FN40">
        <f>'TEA Revised Non EYZ'!ED40</f>
        <v>50440.454363230172</v>
      </c>
      <c r="FO40">
        <f>'TEA Revised Non EYZ'!EE40</f>
        <v>21355.837532819231</v>
      </c>
      <c r="FP40">
        <f>'TEA Revised Non EYZ'!EF40</f>
        <v>11319.065527747925</v>
      </c>
      <c r="FQ40">
        <f>'TEA Revised Non EYZ'!EG40</f>
        <v>11389.780017503586</v>
      </c>
      <c r="FR40">
        <f>'TEA Revised Non EYZ'!EH40</f>
        <v>427.08357964425659</v>
      </c>
      <c r="FS40">
        <f>'TEA Revised Non EYZ'!EI40</f>
        <v>234881.71468030007</v>
      </c>
      <c r="FT40">
        <f>EG40*EH40</f>
        <v>2617.9277846009418</v>
      </c>
      <c r="FU40">
        <f>EG40*EI40</f>
        <v>4525.7737047935616</v>
      </c>
      <c r="FV40">
        <f>FC40*(FT40+FU40)/(3.6*10^6)*3600*7200*0.07</f>
        <v>1800.2127753274151</v>
      </c>
      <c r="FW40">
        <f>('CAPEX+OPEX'!$C$39/7/100+0.03)*EL40</f>
        <v>94475.844077566348</v>
      </c>
      <c r="FX40">
        <f>('CAPEX+OPEX'!$C$39/7/100+0.03)*EM40</f>
        <v>163326.23587995689</v>
      </c>
      <c r="FY40">
        <f>SUM(FV40:FX40)</f>
        <v>259602.29273285065</v>
      </c>
      <c r="FZ40">
        <f>FY40+FA40+FS40+EU40</f>
        <v>17103215.926910732</v>
      </c>
      <c r="GA40">
        <f>FZ40+EO40</f>
        <v>18209900.835453577</v>
      </c>
      <c r="GB40">
        <f>GA40/(BK40*60*7200)</f>
        <v>0.42152548230216613</v>
      </c>
      <c r="GC40">
        <f>'TEA Revised Non EYZ'!EM40/'TEA Revised Non EYZ'!EK40*GA40</f>
        <v>1410.1583369448517</v>
      </c>
      <c r="GD40">
        <f>'TEA Revised Non EYZ'!EN40/'TEA Revised Non EYZ'!EK40*GA40</f>
        <v>2586.7727877071047</v>
      </c>
    </row>
    <row r="41" spans="1:186">
      <c r="A41">
        <f>'TEA Revised Non EYZ'!A41</f>
        <v>6</v>
      </c>
      <c r="B41">
        <f>'TEA Revised Non EYZ'!B41</f>
        <v>1.54143585092054E-3</v>
      </c>
      <c r="C41">
        <f>'TEA Revised Non EYZ'!C41</f>
        <v>1.54143585092054E-3</v>
      </c>
      <c r="D41">
        <f>'TEA Revised Non EYZ'!D41</f>
        <v>3.4254130020456501E-4</v>
      </c>
      <c r="E41">
        <f>'TEA Revised Non EYZ'!E41</f>
        <v>0</v>
      </c>
      <c r="F41">
        <f>'TEA Revised Non EYZ'!F41</f>
        <v>0</v>
      </c>
      <c r="G41">
        <f>'TEA Revised Non EYZ'!G41</f>
        <v>0</v>
      </c>
      <c r="H41">
        <f>'TEA Revised Non EYZ'!H41</f>
        <v>1.7693893431643E-5</v>
      </c>
      <c r="I41">
        <f>'TEA Revised Non EYZ'!I41</f>
        <v>3.7175600603836103E-8</v>
      </c>
      <c r="J41">
        <f>'TEA Revised Non EYZ'!J41</f>
        <v>3.36890310328726E-4</v>
      </c>
      <c r="K41">
        <f>'TEA Revised Non EYZ'!K41</f>
        <v>0.133710118829723</v>
      </c>
      <c r="L41">
        <f>'TEA Revised Non EYZ'!L41</f>
        <v>0.13525951632913</v>
      </c>
      <c r="M41">
        <f>'TEA Revised Non EYZ'!M41</f>
        <v>4.9588089642288804E-4</v>
      </c>
      <c r="N41">
        <f>'TEA Revised Non EYZ'!N41</f>
        <v>-1.72886878424538E-14</v>
      </c>
      <c r="O41">
        <f>'TEA Revised Non EYZ'!O41</f>
        <v>-1.05961268405396E-12</v>
      </c>
      <c r="P41">
        <f>'TEA Revised Non EYZ'!P41</f>
        <v>-9.6595637304880395E-18</v>
      </c>
      <c r="Q41">
        <f>'TEA Revised Non EYZ'!Q41</f>
        <v>0.11395861217105201</v>
      </c>
      <c r="R41">
        <f>'TEA Revised Non EYZ'!R41</f>
        <v>98.3502748800029</v>
      </c>
      <c r="S41">
        <f>'TEA Revised Non EYZ'!S41</f>
        <v>500</v>
      </c>
      <c r="T41">
        <f>'TEA Revised Non EYZ'!T41</f>
        <v>95</v>
      </c>
      <c r="U41">
        <f>'TEA Revised Non EYZ'!U41</f>
        <v>1</v>
      </c>
      <c r="V41">
        <f>'TEA Revised Non EYZ'!V41</f>
        <v>0.1</v>
      </c>
      <c r="W41">
        <f>'TEA Revised Non EYZ'!W41</f>
        <v>87.751156402202497</v>
      </c>
      <c r="X41" t="str">
        <f>'TEA Revised Non EYZ'!X41</f>
        <v>ddFc</v>
      </c>
      <c r="Y41">
        <f>'TEA Revised Non EYZ'!Y41</f>
        <v>1</v>
      </c>
      <c r="Z41">
        <f>'TEA Revised Non EYZ'!Z41</f>
        <v>0.28318429382522198</v>
      </c>
      <c r="AA41">
        <f>'TEA Revised Non EYZ'!AA41</f>
        <v>0.56945642916197003</v>
      </c>
      <c r="AB41">
        <f>'TEA Revised Non EYZ'!AB41</f>
        <v>3.7698628972227502E-3</v>
      </c>
      <c r="AC41">
        <f>'TEA Revised Non EYZ'!AC41</f>
        <v>1822.2107908876901</v>
      </c>
      <c r="AD41">
        <f>'TEA Revised Non EYZ'!AD41</f>
        <v>2662.6059073104898</v>
      </c>
      <c r="AE41">
        <f>'TEA Revised Non EYZ'!AE41</f>
        <v>2401.5030938442701</v>
      </c>
      <c r="AF41">
        <f>'TEA Revised Non EYZ'!AF41</f>
        <v>13</v>
      </c>
      <c r="AG41">
        <f>'TEA Revised Non EYZ'!AG41</f>
        <v>1.64951815726537E-3</v>
      </c>
      <c r="AH41">
        <f>'TEA Revised Non EYZ'!AH41</f>
        <v>1.6686323374819601E-3</v>
      </c>
      <c r="AI41">
        <f>'TEA Revised Non EYZ'!AI41</f>
        <v>6.1174468293775103E-6</v>
      </c>
      <c r="AJ41">
        <f>'TEA Revised Non EYZ'!AJ41</f>
        <v>0</v>
      </c>
      <c r="AK41">
        <f>'TEA Revised Non EYZ'!AK41</f>
        <v>0</v>
      </c>
      <c r="AL41">
        <f>'TEA Revised Non EYZ'!AL41</f>
        <v>0</v>
      </c>
      <c r="AM41">
        <f>'TEA Revised Non EYZ'!AM41</f>
        <v>1.6125577940565899E-3</v>
      </c>
      <c r="AN41">
        <f>'TEA Revised Non EYZ'!AN41</f>
        <v>7.87942672646522E-5</v>
      </c>
      <c r="AO41">
        <f>'TEA Revised Non EYZ'!AO41</f>
        <v>6.0771955804315697E-6</v>
      </c>
      <c r="AP41">
        <f>'TEA Revised Non EYZ'!AP41</f>
        <v>1.73304187149951E-3</v>
      </c>
      <c r="AQ41">
        <f>'TEA Revised Non EYZ'!AQ41</f>
        <v>7.4546235626165996E-2</v>
      </c>
      <c r="AR41">
        <f>'TEA Revised Non EYZ'!AR41</f>
        <v>1.8873488718012801E-6</v>
      </c>
      <c r="AS41">
        <f>'TEA Revised Non EYZ'!AS41</f>
        <v>3.5914196963582301E-19</v>
      </c>
      <c r="AT41">
        <f>'TEA Revised Non EYZ'!AT41</f>
        <v>-3.7730235602495499E-17</v>
      </c>
      <c r="AU41">
        <f>'TEA Revised Non EYZ'!AU41</f>
        <v>-5.6910026143648304E-22</v>
      </c>
      <c r="AV41">
        <f>'TEA Revised Non EYZ'!AV41</f>
        <v>0.197006928745454</v>
      </c>
      <c r="AW41">
        <f>'TEA Revised Non EYZ'!AW41</f>
        <v>99.342025356842598</v>
      </c>
      <c r="AX41">
        <f>'TEA Revised Non EYZ'!AX41</f>
        <v>500</v>
      </c>
      <c r="AY41">
        <f>'TEA Revised Non EYZ'!AY41</f>
        <v>95</v>
      </c>
      <c r="AZ41">
        <f>'TEA Revised Non EYZ'!AZ41</f>
        <v>0.92374973309314701</v>
      </c>
      <c r="BA41">
        <f>'TEA Revised Non EYZ'!BA41</f>
        <v>0.1</v>
      </c>
      <c r="BB41">
        <f>'TEA Revised Non EYZ'!BB41</f>
        <v>46.889200241616201</v>
      </c>
      <c r="BC41" t="str">
        <f>'TEA Revised Non EYZ'!BC41</f>
        <v>coeFc</v>
      </c>
      <c r="BD41">
        <f>'TEA Revised Non EYZ'!BD41</f>
        <v>1</v>
      </c>
      <c r="BE41">
        <f>'TEA Revised Non EYZ'!BE41</f>
        <v>1.8775014999999999E-2</v>
      </c>
      <c r="BF41">
        <f>'TEA Revised Non EYZ'!BF41</f>
        <v>0.10492961100000001</v>
      </c>
      <c r="BG41">
        <f>'TEA Revised Non EYZ'!BG41</f>
        <v>1.814625E-3</v>
      </c>
      <c r="BH41">
        <f>'TEA Revised Non EYZ'!BH41</f>
        <v>285.1951444</v>
      </c>
      <c r="BI41">
        <f>'TEA Revised Non EYZ'!BI41</f>
        <v>2169.8944889999998</v>
      </c>
      <c r="BJ41">
        <f>'TEA Revised Non EYZ'!BJ41</f>
        <v>866.49409060000005</v>
      </c>
      <c r="BK41">
        <f>'TEA Revised Non EYZ'!BK41</f>
        <v>100</v>
      </c>
      <c r="BL41">
        <f>'TEA Revised Non EYZ'!BL41</f>
        <v>11.395861217105201</v>
      </c>
      <c r="BM41">
        <f>'TEA Revised Non EYZ'!BM41</f>
        <v>92.374973309314697</v>
      </c>
      <c r="BN41">
        <f>'TEA Revised Non EYZ'!BN41</f>
        <v>19.7006928745454</v>
      </c>
      <c r="BO41">
        <f>'TEA Revised Non EYZ'!BO41</f>
        <v>182.33377947368322</v>
      </c>
      <c r="BP41">
        <f>'TEA Revised Non EYZ'!BP41</f>
        <v>591.02078623636203</v>
      </c>
      <c r="BQ41">
        <f>'TEA Revised Non EYZ'!BQ41</f>
        <v>18.233377947368322</v>
      </c>
      <c r="BR41">
        <f>'TEA Revised Non EYZ'!BR41</f>
        <v>59.102078623636203</v>
      </c>
      <c r="BS41">
        <f>'eLLE Bals'!CF41</f>
        <v>6.8375167302631192</v>
      </c>
      <c r="BT41">
        <f>'eLLE Bals'!CG41</f>
        <v>11.820415724727239</v>
      </c>
      <c r="BU41">
        <f>BM41</f>
        <v>92.374973309314697</v>
      </c>
      <c r="BV41">
        <f>BU41*(AM41*2+AN41*2+AO41*3)</f>
        <v>0.31416134538102181</v>
      </c>
      <c r="BW41">
        <f>BN41*BA41*(AP41*2+AQ41*2+AR41*3)</f>
        <v>0.30056207835888715</v>
      </c>
      <c r="BX41">
        <f>BV41/(2*V41*BL41+BV41)</f>
        <v>0.12114189502559995</v>
      </c>
      <c r="BY41">
        <f>BU41*BX41</f>
        <v>11.190479319629599</v>
      </c>
      <c r="BZ41">
        <f>BW41/(2*BN41*BA41+BW41)</f>
        <v>7.0875570556310816E-2</v>
      </c>
      <c r="CA41">
        <f>2*BN41*BA41/0.04</f>
        <v>98.503464372726995</v>
      </c>
      <c r="CB41">
        <f>(BS41+BL41)*2</f>
        <v>36.466755894736643</v>
      </c>
      <c r="CC41">
        <f>(BU41+BL41)*2</f>
        <v>207.54166905283981</v>
      </c>
      <c r="CD41">
        <f>(BT41+BN41)*2</f>
        <v>63.042217198545274</v>
      </c>
      <c r="CE41">
        <f>(CA41+BN41)*2</f>
        <v>236.40831449454478</v>
      </c>
      <c r="CF41">
        <f>'TEA Revised Non EYZ'!CB41</f>
        <v>2406.8058890526186</v>
      </c>
      <c r="CG41">
        <f>'TEA Revised Non EYZ'!CC41</f>
        <v>7801.4743783199792</v>
      </c>
      <c r="CH41">
        <f>'TEA Revised Non EYZ'!CD41</f>
        <v>2907.8673690603878</v>
      </c>
      <c r="CI41">
        <f>'TEA Revised Non EYZ'!CE41</f>
        <v>60173.465261771846</v>
      </c>
      <c r="CJ41">
        <f>BL41*V41</f>
        <v>1.1395861217105201</v>
      </c>
      <c r="CK41">
        <f>CJ41/2*1.2</f>
        <v>0.68375167302631201</v>
      </c>
      <c r="CL41">
        <f>'eLLE Bals'!CB41*'Oxidant Feed Composition'!$N$20</f>
        <v>3.7986204057017352E-2</v>
      </c>
      <c r="CM41">
        <f>'eLLE Bals'!CB41*'Oxidant Feed Composition'!$N$21</f>
        <v>1.8993102028508668</v>
      </c>
      <c r="CN41">
        <f>'eLLE Bals'!CB41*'Oxidant Feed Composition'!$N$22</f>
        <v>0.56979306085526005</v>
      </c>
      <c r="CO41">
        <f>CN41/CK41</f>
        <v>0.83333333333333337</v>
      </c>
      <c r="CP41">
        <f>CO41</f>
        <v>0.83333333333333337</v>
      </c>
      <c r="CQ41">
        <f>CL41/CO41</f>
        <v>4.5583444868420822E-2</v>
      </c>
      <c r="CR41">
        <f>CM41/CO41</f>
        <v>2.2791722434210402</v>
      </c>
      <c r="CS41">
        <f>BN41*BA41</f>
        <v>1.97006928745454</v>
      </c>
      <c r="CT41">
        <f>CS41/2*1.2</f>
        <v>1.182041572472724</v>
      </c>
      <c r="CU41">
        <f>'eLLE Bals'!CC41*'Oxidant Feed Composition'!$N$20</f>
        <v>6.5668976248484695E-2</v>
      </c>
      <c r="CV41">
        <f>'eLLE Bals'!CC41*'Oxidant Feed Composition'!$N$21</f>
        <v>3.2834488124242336</v>
      </c>
      <c r="CW41">
        <f>'eLLE Bals'!CC41*'Oxidant Feed Composition'!$N$22</f>
        <v>0.98503464372727001</v>
      </c>
      <c r="CX41">
        <f>CU41/CP41</f>
        <v>7.8802771498181629E-2</v>
      </c>
      <c r="CY41">
        <f>CV41/CP41</f>
        <v>3.94013857490908</v>
      </c>
      <c r="CZ41">
        <f>CJ41</f>
        <v>1.1395861217105201</v>
      </c>
      <c r="DA41">
        <f>'eLLE Bals'!BQ41</f>
        <v>2.2791722434210402</v>
      </c>
      <c r="DB41">
        <f>'eLLE Bals'!BU41</f>
        <v>5.9882772559449577</v>
      </c>
      <c r="DC41">
        <f>CS41</f>
        <v>1.97006928745454</v>
      </c>
      <c r="DD41">
        <f>'eLLE Bals'!BX41</f>
        <v>3.94013857490908</v>
      </c>
      <c r="DE41">
        <f>'eLLE Bals'!CA41</f>
        <v>21.885960436406055</v>
      </c>
      <c r="DF41">
        <f>2*2*(CJ41*'Reagent cost'!$C$36*122.44/1000+CK41*'Oxidant Feed Composition'!$N$26+CQ41*'Reagent cost'!$C$34+CR41*'Reagent cost'!$C$35)</f>
        <v>96.258231963173614</v>
      </c>
      <c r="DG41">
        <f>2*2*(CS41*'Reagent cost'!$C$36*122.44/1000+CT41*'Oxidant Feed Composition'!$N$26+CX41*'Reagent cost'!$C$34+CY41*'Reagent cost'!$C$35)</f>
        <v>166.40724456233312</v>
      </c>
      <c r="DH41">
        <f>(AF41+3)*2*(CZ41*'Reagent cost'!$C$38+DA41*'Reagent cost'!$C$39+DB41*'Reagent cost'!$C$36*122.44/1000)</f>
        <v>1819.4816342474323</v>
      </c>
      <c r="DI41">
        <f>3*2*(DC41*'Reagent cost'!$C$38+DD41*'Reagent cost'!$C$39+DE41*'Reagent cost'!$C$36*122.44/1000)</f>
        <v>1188.1410798340826</v>
      </c>
      <c r="DJ41">
        <f>7963.6*(CB41/1000)^0.6*1.7*('CAPEX+OPEX'!$G$116/'CAPEX+OPEX'!$G$115)</f>
        <v>2189.6727102460782</v>
      </c>
      <c r="DK41">
        <f>7963.6*(CC41/1000)^0.6*1.7*('CAPEX+OPEX'!$G$116/'CAPEX+OPEX'!$G$115)</f>
        <v>6215.9013146876341</v>
      </c>
      <c r="DL41">
        <f>7963.6*(CD41/1000)^0.6*1.7*('CAPEX+OPEX'!$G$116/'CAPEX+OPEX'!$G$115)</f>
        <v>3041.0237729027358</v>
      </c>
      <c r="DM41">
        <f>7963.6*(CE41/1000)^0.6*1.7*('CAPEX+OPEX'!$G$116/'CAPEX+OPEX'!$G$115)</f>
        <v>6721.0724334709284</v>
      </c>
      <c r="DN41">
        <f>'TEA Revised Non EYZ'!CM41</f>
        <v>39625.826528698344</v>
      </c>
      <c r="DO41">
        <f>'TEA Revised Non EYZ'!CN41</f>
        <v>4586243.4239371875</v>
      </c>
      <c r="DP41">
        <f>'TEA Revised Non EYZ'!CO41</f>
        <v>11794834.586807497</v>
      </c>
      <c r="DQ41">
        <f>'TEA Revised Non EYZ'!CP41</f>
        <v>2275209.1661185985</v>
      </c>
      <c r="DR41">
        <f>'TEA Revised Non EYZ'!CQ41</f>
        <v>14083914.336508472</v>
      </c>
      <c r="DS41">
        <f>'TEA Revised Non EYZ'!CR41</f>
        <v>1662824.8986326549</v>
      </c>
      <c r="DT41">
        <f>'TEA Revised Non EYZ'!CS41</f>
        <v>646135.89638675924</v>
      </c>
      <c r="DU41">
        <f>'TEA Revised Non EYZ'!CT41</f>
        <v>1661722.9645298459</v>
      </c>
      <c r="DV41">
        <f>'TEA Revised Non EYZ'!CU41</f>
        <v>320544.32748695416</v>
      </c>
      <c r="DW41">
        <f>'TEA Revised Non EYZ'!CV41</f>
        <v>1984221.4582325809</v>
      </c>
      <c r="DX41">
        <f>'TEA Revised Non EYZ'!CW41</f>
        <v>234268.17050410178</v>
      </c>
      <c r="DY41">
        <f>'TEA Revised Non EYZ'!CX41</f>
        <v>4846892.8171402421</v>
      </c>
      <c r="DZ41">
        <f>'TEA Revised Non EYZ'!CY41</f>
        <v>924998.39931869402</v>
      </c>
      <c r="EA41">
        <f>'TEA Revised Non EYZ'!CZ41</f>
        <v>2378897.5212439853</v>
      </c>
      <c r="EB41">
        <f>'TEA Revised Non EYZ'!DA41</f>
        <v>458886.42233651923</v>
      </c>
      <c r="EC41">
        <f>'TEA Revised Non EYZ'!DB41</f>
        <v>2840581.498447381</v>
      </c>
      <c r="ED41">
        <f>'TEA Revised Non EYZ'!DC41</f>
        <v>335374.77787475183</v>
      </c>
      <c r="EE41">
        <f>'TEA Revised Non EYZ'!DD41</f>
        <v>6938738.6192213316</v>
      </c>
      <c r="EF41">
        <v>0.7</v>
      </c>
      <c r="EG41">
        <v>100</v>
      </c>
      <c r="EH41">
        <f>96485*BL41*V41/EF41/EG41/60</f>
        <v>26.179277846009416</v>
      </c>
      <c r="EI41">
        <f>96485*BN41*BA41/EF41/EG41/60</f>
        <v>45.257651238107449</v>
      </c>
      <c r="EJ41">
        <f>EH41*('CAPEX+OPEX'!$O$25+'CAPEX+OPEX'!$O$26)</f>
        <v>834385.9435080121</v>
      </c>
      <c r="EK41">
        <f>EI41*('CAPEX+OPEX'!$O$25+'CAPEX+OPEX'!$O$26)</f>
        <v>1442451.8602609606</v>
      </c>
      <c r="EL41">
        <f>EJ41*1.12/0.6*'CAPEX+OPEX'!$G$116/'CAPEX+OPEX'!$G$115</f>
        <v>1837030.3015082346</v>
      </c>
      <c r="EM41">
        <f>EK41*1.12/0.6*'CAPEX+OPEX'!$G$116/'CAPEX+OPEX'!$G$115</f>
        <v>3175781.8985128454</v>
      </c>
      <c r="EN41">
        <f>EL41+EM41+DY41+EE41+1.15*(SUM(DF41:DM41)+SUM(CF41:CI41))</f>
        <v>16907380.343400791</v>
      </c>
      <c r="EO41">
        <f>EN41/15</f>
        <v>1127158.6895600527</v>
      </c>
      <c r="EP41">
        <f>('eLLE Bals'!CB41+'eLLE Bals'!CC41)*'Oxidant Feed Composition'!$N$25*60*7200</f>
        <v>12521854.683292849</v>
      </c>
      <c r="EQ41" s="83">
        <f>('eLLE Bals'!BR41+'eLLE Bals'!BY41)*'Reagent cost'!$C$38*60*7200</f>
        <v>506692.15005742473</v>
      </c>
      <c r="ER41">
        <f>'TEA Revised Non EYZ'!DI41</f>
        <v>504921.59999999998</v>
      </c>
      <c r="ES41">
        <f>'TEA Revised Non EYZ'!DJ41</f>
        <v>102.08280267372598</v>
      </c>
      <c r="ET41">
        <f>'TEA Revised Non EYZ'!DK41</f>
        <v>1261.6266526166448</v>
      </c>
      <c r="EU41">
        <f>1.2*SUM(EP41:ET41)</f>
        <v>16241798.571366675</v>
      </c>
      <c r="EV41">
        <f>'TEA Revised Non EYZ'!DM41</f>
        <v>0.70639694042110623</v>
      </c>
      <c r="EW41">
        <f>(BS41*CO41+BT41*CP41)/1000*('Oxidant Feed Composition'!$B$11*'Oxidant Feed Composition'!$O$20+'Oxidant Feed Composition'!$D$11*'Oxidant Feed Composition'!$O$21+'Oxidant Feed Composition'!$F$11*'Oxidant Feed Composition'!$O$27-'Oxidant Feed Composition'!$J$15*18.015)</f>
        <v>1.8157983825892661</v>
      </c>
      <c r="EX41">
        <f>(CZ41*BX41+DC41*BZ41)*368.34/1000</f>
        <v>0.10228116949588884</v>
      </c>
      <c r="EY41">
        <f>'TEA Revised Non EYZ'!DP41</f>
        <v>4.999938342565946E-2</v>
      </c>
      <c r="EZ41">
        <f>SUM(EV41:EX41)-EY41</f>
        <v>2.5744771090806018</v>
      </c>
      <c r="FA41">
        <f>EZ41*0.33*60*7200</f>
        <v>367017.45667053066</v>
      </c>
      <c r="FB41">
        <f>'TEA Revised Non EYZ'!DS41</f>
        <v>1.2</v>
      </c>
      <c r="FC41">
        <v>0.5</v>
      </c>
      <c r="FD41">
        <f>'TEA Revised Non EYZ'!DT41</f>
        <v>1406.1110801055565</v>
      </c>
      <c r="FE41">
        <f>'TEA Revised Non EYZ'!DU41</f>
        <v>706.15649355020639</v>
      </c>
      <c r="FF41">
        <f>'TEA Revised Non EYZ'!DV41</f>
        <v>0.7</v>
      </c>
      <c r="FG41">
        <f>'TEA Revised Non EYZ'!DW41</f>
        <v>35776.359048024235</v>
      </c>
      <c r="FH41">
        <f>'TEA Revised Non EYZ'!DX41</f>
        <v>29068.269280606211</v>
      </c>
      <c r="FI41">
        <f>'TEA Revised Non EYZ'!DY41</f>
        <v>12307.130138966339</v>
      </c>
      <c r="FJ41">
        <f>'TEA Revised Non EYZ'!DZ41</f>
        <v>6519.4301878820042</v>
      </c>
      <c r="FK41">
        <f>'TEA Revised Non EYZ'!EA41</f>
        <v>6563.8027407820491</v>
      </c>
      <c r="FL41">
        <f>'TEA Revised Non EYZ'!EB41</f>
        <v>850.4159812478407</v>
      </c>
      <c r="FM41">
        <f>'TEA Revised Non EYZ'!EC41</f>
        <v>51435.880435969884</v>
      </c>
      <c r="FN41">
        <f>'TEA Revised Non EYZ'!ED41</f>
        <v>54320.489314247861</v>
      </c>
      <c r="FO41">
        <f>'TEA Revised Non EYZ'!EE41</f>
        <v>22998.59426611301</v>
      </c>
      <c r="FP41">
        <f>'TEA Revised Non EYZ'!EF41</f>
        <v>12189.762876036224</v>
      </c>
      <c r="FQ41">
        <f>'TEA Revised Non EYZ'!EG41</f>
        <v>12265.916941926936</v>
      </c>
      <c r="FR41">
        <f>'TEA Revised Non EYZ'!EH41</f>
        <v>427.08344729916485</v>
      </c>
      <c r="FS41">
        <f>'TEA Revised Non EYZ'!EI41</f>
        <v>244723.13465910175</v>
      </c>
      <c r="FT41">
        <f>EG41*EH41</f>
        <v>2617.9277846009418</v>
      </c>
      <c r="FU41">
        <f>EG41*EI41</f>
        <v>4525.7651238107446</v>
      </c>
      <c r="FV41">
        <f>FC41*(FT41+FU41)/(3.6*10^6)*3600*7200*0.07</f>
        <v>1800.2106129197452</v>
      </c>
      <c r="FW41">
        <f>('CAPEX+OPEX'!$C$39/7/100+0.03)*EL41</f>
        <v>94475.844077566348</v>
      </c>
      <c r="FX41">
        <f>('CAPEX+OPEX'!$C$39/7/100+0.03)*EM41</f>
        <v>163325.92620923204</v>
      </c>
      <c r="FY41">
        <f>SUM(FV41:FX41)</f>
        <v>259601.98089971812</v>
      </c>
      <c r="FZ41">
        <f>FY41+FA41+FS41+EU41</f>
        <v>17113141.143596027</v>
      </c>
      <c r="GA41">
        <f>FZ41+EO41</f>
        <v>18240299.833156079</v>
      </c>
      <c r="GB41">
        <f>GA41/(BK41*60*7200)</f>
        <v>0.42222916280453887</v>
      </c>
      <c r="GC41">
        <f>'TEA Revised Non EYZ'!EM41/'TEA Revised Non EYZ'!EK41*GA41</f>
        <v>1412.5121880324048</v>
      </c>
      <c r="GD41">
        <f>'TEA Revised Non EYZ'!EN41/'TEA Revised Non EYZ'!EK41*GA41</f>
        <v>2591.0917996657763</v>
      </c>
    </row>
    <row r="42" spans="1:186">
      <c r="A42">
        <f>'TEA Revised Non EYZ'!A42</f>
        <v>7</v>
      </c>
      <c r="B42">
        <f>'TEA Revised Non EYZ'!B42</f>
        <v>1.54143585092054E-3</v>
      </c>
      <c r="C42">
        <f>'TEA Revised Non EYZ'!C42</f>
        <v>1.54143585092054E-3</v>
      </c>
      <c r="D42">
        <f>'TEA Revised Non EYZ'!D42</f>
        <v>3.4254130020456501E-4</v>
      </c>
      <c r="E42">
        <f>'TEA Revised Non EYZ'!E42</f>
        <v>0</v>
      </c>
      <c r="F42">
        <f>'TEA Revised Non EYZ'!F42</f>
        <v>0</v>
      </c>
      <c r="G42">
        <f>'TEA Revised Non EYZ'!G42</f>
        <v>0</v>
      </c>
      <c r="H42">
        <f>'TEA Revised Non EYZ'!H42</f>
        <v>1.7744466230058299E-5</v>
      </c>
      <c r="I42">
        <f>'TEA Revised Non EYZ'!I42</f>
        <v>1.2927742824924801E-8</v>
      </c>
      <c r="J42">
        <f>'TEA Revised Non EYZ'!J42</f>
        <v>3.3739048286900598E-4</v>
      </c>
      <c r="K42">
        <f>'TEA Revised Non EYZ'!K42</f>
        <v>0.13716795306346499</v>
      </c>
      <c r="L42">
        <f>'TEA Revised Non EYZ'!L42</f>
        <v>0.138764207307677</v>
      </c>
      <c r="M42">
        <f>'TEA Revised Non EYZ'!M42</f>
        <v>4.6369433969460899E-4</v>
      </c>
      <c r="N42">
        <f>'TEA Revised Non EYZ'!N42</f>
        <v>-1.1037178115902399E-16</v>
      </c>
      <c r="O42">
        <f>'TEA Revised Non EYZ'!O42</f>
        <v>-5.3700533603207003E-15</v>
      </c>
      <c r="P42">
        <f>'TEA Revised Non EYZ'!P42</f>
        <v>-3.4304834363799101E-19</v>
      </c>
      <c r="Q42">
        <f>'TEA Revised Non EYZ'!Q42</f>
        <v>0.111082169753281</v>
      </c>
      <c r="R42">
        <f>'TEA Revised Non EYZ'!R42</f>
        <v>98.496293050653193</v>
      </c>
      <c r="S42">
        <f>'TEA Revised Non EYZ'!S42</f>
        <v>500</v>
      </c>
      <c r="T42">
        <f>'TEA Revised Non EYZ'!T42</f>
        <v>95</v>
      </c>
      <c r="U42">
        <f>'TEA Revised Non EYZ'!U42</f>
        <v>1</v>
      </c>
      <c r="V42">
        <f>'TEA Revised Non EYZ'!V42</f>
        <v>0.1</v>
      </c>
      <c r="W42">
        <f>'TEA Revised Non EYZ'!W42</f>
        <v>90.023448607553206</v>
      </c>
      <c r="X42" t="str">
        <f>'TEA Revised Non EYZ'!X42</f>
        <v>ddFc</v>
      </c>
      <c r="Y42">
        <f>'TEA Revised Non EYZ'!Y42</f>
        <v>1</v>
      </c>
      <c r="Z42">
        <f>'TEA Revised Non EYZ'!Z42</f>
        <v>0.28318429382522198</v>
      </c>
      <c r="AA42">
        <f>'TEA Revised Non EYZ'!AA42</f>
        <v>0.56945642916197003</v>
      </c>
      <c r="AB42">
        <f>'TEA Revised Non EYZ'!AB42</f>
        <v>3.7698628972227502E-3</v>
      </c>
      <c r="AC42">
        <f>'TEA Revised Non EYZ'!AC42</f>
        <v>1822.2107908876901</v>
      </c>
      <c r="AD42">
        <f>'TEA Revised Non EYZ'!AD42</f>
        <v>2662.6059073104898</v>
      </c>
      <c r="AE42">
        <f>'TEA Revised Non EYZ'!AE42</f>
        <v>2401.5030938442701</v>
      </c>
      <c r="AF42">
        <f>'TEA Revised Non EYZ'!AF42</f>
        <v>4</v>
      </c>
      <c r="AG42">
        <f>'TEA Revised Non EYZ'!AG42</f>
        <v>1.64967327652189E-3</v>
      </c>
      <c r="AH42">
        <f>'TEA Revised Non EYZ'!AH42</f>
        <v>1.66887089455438E-3</v>
      </c>
      <c r="AI42">
        <f>'TEA Revised Non EYZ'!AI42</f>
        <v>5.5766973522943398E-6</v>
      </c>
      <c r="AJ42">
        <f>'TEA Revised Non EYZ'!AJ42</f>
        <v>0</v>
      </c>
      <c r="AK42">
        <f>'TEA Revised Non EYZ'!AK42</f>
        <v>0</v>
      </c>
      <c r="AL42">
        <f>'TEA Revised Non EYZ'!AL42</f>
        <v>0</v>
      </c>
      <c r="AM42">
        <f>'TEA Revised Non EYZ'!AM42</f>
        <v>1.6047223792851101E-3</v>
      </c>
      <c r="AN42">
        <f>'TEA Revised Non EYZ'!AN42</f>
        <v>7.8926667299838998E-5</v>
      </c>
      <c r="AO42">
        <f>'TEA Revised Non EYZ'!AO42</f>
        <v>5.5324052965634797E-6</v>
      </c>
      <c r="AP42">
        <f>'TEA Revised Non EYZ'!AP42</f>
        <v>1.9882830340612E-3</v>
      </c>
      <c r="AQ42">
        <f>'TEA Revised Non EYZ'!AQ42</f>
        <v>7.0326941752228797E-2</v>
      </c>
      <c r="AR42">
        <f>'TEA Revised Non EYZ'!AR42</f>
        <v>1.9591409371835302E-6</v>
      </c>
      <c r="AS42">
        <f>'TEA Revised Non EYZ'!AS42</f>
        <v>-9.7615058397559906E-15</v>
      </c>
      <c r="AT42">
        <f>'TEA Revised Non EYZ'!AT42</f>
        <v>-1.25855922905593E-13</v>
      </c>
      <c r="AU42">
        <f>'TEA Revised Non EYZ'!AU42</f>
        <v>-3.2733654421091398E-18</v>
      </c>
      <c r="AV42">
        <f>'TEA Revised Non EYZ'!AV42</f>
        <v>0.20881381645079999</v>
      </c>
      <c r="AW42">
        <f>'TEA Revised Non EYZ'!AW42</f>
        <v>99.205765474925002</v>
      </c>
      <c r="AX42">
        <f>'TEA Revised Non EYZ'!AX42</f>
        <v>500</v>
      </c>
      <c r="AY42">
        <f>'TEA Revised Non EYZ'!AY42</f>
        <v>95</v>
      </c>
      <c r="AZ42">
        <f>'TEA Revised Non EYZ'!AZ42</f>
        <v>0.92363221637625403</v>
      </c>
      <c r="BA42">
        <f>'TEA Revised Non EYZ'!BA42</f>
        <v>0.1</v>
      </c>
      <c r="BB42">
        <f>'TEA Revised Non EYZ'!BB42</f>
        <v>44.232332518757197</v>
      </c>
      <c r="BC42" t="str">
        <f>'TEA Revised Non EYZ'!BC42</f>
        <v>coeFc</v>
      </c>
      <c r="BD42">
        <f>'TEA Revised Non EYZ'!BD42</f>
        <v>1</v>
      </c>
      <c r="BE42">
        <f>'TEA Revised Non EYZ'!BE42</f>
        <v>1.8775014999999999E-2</v>
      </c>
      <c r="BF42">
        <f>'TEA Revised Non EYZ'!BF42</f>
        <v>0.10492961100000001</v>
      </c>
      <c r="BG42">
        <f>'TEA Revised Non EYZ'!BG42</f>
        <v>1.814625E-3</v>
      </c>
      <c r="BH42">
        <f>'TEA Revised Non EYZ'!BH42</f>
        <v>285.1951444</v>
      </c>
      <c r="BI42">
        <f>'TEA Revised Non EYZ'!BI42</f>
        <v>2169.8944889999998</v>
      </c>
      <c r="BJ42">
        <f>'TEA Revised Non EYZ'!BJ42</f>
        <v>866.49409060000005</v>
      </c>
      <c r="BK42">
        <f>'TEA Revised Non EYZ'!BK42</f>
        <v>100</v>
      </c>
      <c r="BL42">
        <f>'TEA Revised Non EYZ'!BL42</f>
        <v>11.1082169753281</v>
      </c>
      <c r="BM42">
        <f>'TEA Revised Non EYZ'!BM42</f>
        <v>92.363221637625401</v>
      </c>
      <c r="BN42">
        <f>'TEA Revised Non EYZ'!BN42</f>
        <v>20.881381645079998</v>
      </c>
      <c r="BO42">
        <f>'TEA Revised Non EYZ'!BO42</f>
        <v>199.94790555590581</v>
      </c>
      <c r="BP42">
        <f>'TEA Revised Non EYZ'!BP42</f>
        <v>250.57657974095997</v>
      </c>
      <c r="BQ42">
        <f>'TEA Revised Non EYZ'!BQ42</f>
        <v>19.994790555590583</v>
      </c>
      <c r="BR42">
        <f>'TEA Revised Non EYZ'!BR42</f>
        <v>25.057657974095999</v>
      </c>
      <c r="BS42">
        <f>'eLLE Bals'!CF42</f>
        <v>6.6649301851968596</v>
      </c>
      <c r="BT42">
        <f>'eLLE Bals'!CG42</f>
        <v>12.528828987047998</v>
      </c>
      <c r="BU42">
        <f>BM42</f>
        <v>92.363221637625401</v>
      </c>
      <c r="BV42">
        <f>BU42*(AM42*2+AN42*2+AO42*3)</f>
        <v>0.31254747242919168</v>
      </c>
      <c r="BW42">
        <f>BN42*BA42*(AP42*2+AQ42*2+AR42*3)</f>
        <v>0.30202063437333582</v>
      </c>
      <c r="BX42">
        <f>BV42/(2*V42*BL42+BV42)</f>
        <v>0.12333225426629454</v>
      </c>
      <c r="BY42">
        <f>BU42*BX42</f>
        <v>11.391364335865735</v>
      </c>
      <c r="BZ42">
        <f>BW42/(2*BN42*BA42+BW42)</f>
        <v>6.7440957319801265E-2</v>
      </c>
      <c r="CA42">
        <f>2*BN42*BA42/0.04</f>
        <v>104.40690822539999</v>
      </c>
      <c r="CB42">
        <f>(BS42+BL42)*2</f>
        <v>35.54629432104992</v>
      </c>
      <c r="CC42">
        <f>(BU42+BL42)*2</f>
        <v>206.94287722590701</v>
      </c>
      <c r="CD42">
        <f>(BT42+BN42)*2</f>
        <v>66.820421264255998</v>
      </c>
      <c r="CE42">
        <f>(CA42+BN42)*2</f>
        <v>250.57657974095997</v>
      </c>
      <c r="CF42">
        <f>'TEA Revised Non EYZ'!CB42</f>
        <v>2639.3123533379567</v>
      </c>
      <c r="CG42">
        <f>'TEA Revised Non EYZ'!CC42</f>
        <v>3307.6108525806717</v>
      </c>
      <c r="CH42">
        <f>'TEA Revised Non EYZ'!CD42</f>
        <v>3188.7782491883527</v>
      </c>
      <c r="CI42">
        <f>'TEA Revised Non EYZ'!CE42</f>
        <v>25511.896480788433</v>
      </c>
      <c r="CJ42">
        <f>BL42*V42</f>
        <v>1.11082169753281</v>
      </c>
      <c r="CK42">
        <f>CJ42/2*1.2</f>
        <v>0.66649301851968601</v>
      </c>
      <c r="CL42">
        <f>'eLLE Bals'!CB42*'Oxidant Feed Composition'!$N$20</f>
        <v>3.7027389917760348E-2</v>
      </c>
      <c r="CM42">
        <f>'eLLE Bals'!CB42*'Oxidant Feed Composition'!$N$21</f>
        <v>1.8513694958880169</v>
      </c>
      <c r="CN42">
        <f>'eLLE Bals'!CB42*'Oxidant Feed Composition'!$N$22</f>
        <v>0.55541084876640501</v>
      </c>
      <c r="CO42">
        <f>CN42/CK42</f>
        <v>0.83333333333333337</v>
      </c>
      <c r="CP42">
        <f>CO42</f>
        <v>0.83333333333333337</v>
      </c>
      <c r="CQ42">
        <f>CL42/CO42</f>
        <v>4.4432867901312414E-2</v>
      </c>
      <c r="CR42">
        <f>CM42/CO42</f>
        <v>2.22164339506562</v>
      </c>
      <c r="CS42">
        <f>BN42*BA42</f>
        <v>2.0881381645079999</v>
      </c>
      <c r="CT42">
        <f>CS42/2*1.2</f>
        <v>1.2528828987048</v>
      </c>
      <c r="CU42">
        <f>'eLLE Bals'!CC42*'Oxidant Feed Composition'!$N$20</f>
        <v>6.9604605483600021E-2</v>
      </c>
      <c r="CV42">
        <f>'eLLE Bals'!CC42*'Oxidant Feed Composition'!$N$21</f>
        <v>3.4802302741800002</v>
      </c>
      <c r="CW42">
        <f>'eLLE Bals'!CC42*'Oxidant Feed Composition'!$N$22</f>
        <v>1.044069082254</v>
      </c>
      <c r="CX42">
        <f>CU42/CP42</f>
        <v>8.3525526580320017E-2</v>
      </c>
      <c r="CY42">
        <f>CV42/CP42</f>
        <v>4.1762763290159999</v>
      </c>
      <c r="CZ42">
        <f>CJ42</f>
        <v>1.11082169753281</v>
      </c>
      <c r="DA42">
        <f>'eLLE Bals'!BQ42</f>
        <v>2.22164339506562</v>
      </c>
      <c r="DB42">
        <f>'eLLE Bals'!BU42</f>
        <v>5.6742761217325999</v>
      </c>
      <c r="DC42">
        <f>CS42</f>
        <v>2.0881381645079999</v>
      </c>
      <c r="DD42">
        <f>'eLLE Bals'!BX42</f>
        <v>4.1762763290159999</v>
      </c>
      <c r="DE42">
        <f>'eLLE Bals'!CA42</f>
        <v>24.698048785372904</v>
      </c>
      <c r="DF42">
        <f>2*2*(CJ42*'Reagent cost'!$C$36*122.44/1000+CK42*'Oxidant Feed Composition'!$N$26+CQ42*'Reagent cost'!$C$34+CR42*'Reagent cost'!$C$35)</f>
        <v>93.828566875089578</v>
      </c>
      <c r="DG42">
        <f>2*2*(CS42*'Reagent cost'!$C$36*122.44/1000+CT42*'Oxidant Feed Composition'!$N$26+CX42*'Reagent cost'!$C$34+CY42*'Reagent cost'!$C$35)</f>
        <v>176.38025242766616</v>
      </c>
      <c r="DH42">
        <f>(AF42+3)*2*(CZ42*'Reagent cost'!$C$38+DA42*'Reagent cost'!$C$39+DB42*'Reagent cost'!$C$36*122.44/1000)</f>
        <v>756.2170198904123</v>
      </c>
      <c r="DI42">
        <f>3*2*(DC42*'Reagent cost'!$C$38+DD42*'Reagent cost'!$C$39+DE42*'Reagent cost'!$C$36*122.44/1000)</f>
        <v>1337.1908672274544</v>
      </c>
      <c r="DJ42">
        <f>7963.6*(CB42/1000)^0.6*1.7*('CAPEX+OPEX'!$G$116/'CAPEX+OPEX'!$G$115)</f>
        <v>2156.3414312027717</v>
      </c>
      <c r="DK42">
        <f>7963.6*(CC42/1000)^0.6*1.7*('CAPEX+OPEX'!$G$116/'CAPEX+OPEX'!$G$115)</f>
        <v>6205.1347590783025</v>
      </c>
      <c r="DL42">
        <f>7963.6*(CD42/1000)^0.6*1.7*('CAPEX+OPEX'!$G$116/'CAPEX+OPEX'!$G$115)</f>
        <v>3149.1000109774004</v>
      </c>
      <c r="DM42">
        <f>7963.6*(CE42/1000)^0.6*1.7*('CAPEX+OPEX'!$G$116/'CAPEX+OPEX'!$G$115)</f>
        <v>6959.9354870614361</v>
      </c>
      <c r="DN42">
        <f>'TEA Revised Non EYZ'!CM42</f>
        <v>39625.826528698344</v>
      </c>
      <c r="DO42">
        <f>'TEA Revised Non EYZ'!CN42</f>
        <v>4586243.4239371875</v>
      </c>
      <c r="DP42">
        <f>'TEA Revised Non EYZ'!CO42</f>
        <v>11794834.586807497</v>
      </c>
      <c r="DQ42">
        <f>'TEA Revised Non EYZ'!CP42</f>
        <v>2275209.1661185985</v>
      </c>
      <c r="DR42">
        <f>'TEA Revised Non EYZ'!CQ42</f>
        <v>14083914.336508472</v>
      </c>
      <c r="DS42">
        <f>'TEA Revised Non EYZ'!CR42</f>
        <v>1662824.8986326549</v>
      </c>
      <c r="DT42">
        <f>'TEA Revised Non EYZ'!CS42</f>
        <v>700033.84449786716</v>
      </c>
      <c r="DU42">
        <f>'TEA Revised Non EYZ'!CT42</f>
        <v>1800336.9288957189</v>
      </c>
      <c r="DV42">
        <f>'TEA Revised Non EYZ'!CU42</f>
        <v>347282.79168127343</v>
      </c>
      <c r="DW42">
        <f>'TEA Revised Non EYZ'!CV42</f>
        <v>2149736.8951473436</v>
      </c>
      <c r="DX42">
        <f>'TEA Revised Non EYZ'!CW42</f>
        <v>253809.83932102245</v>
      </c>
      <c r="DY42">
        <f>'TEA Revised Non EYZ'!CX42</f>
        <v>5251200.2995432261</v>
      </c>
      <c r="DZ42">
        <f>'TEA Revised Non EYZ'!CY42</f>
        <v>498662.12122409587</v>
      </c>
      <c r="EA42">
        <f>'TEA Revised Non EYZ'!CZ42</f>
        <v>1282452.0399084061</v>
      </c>
      <c r="EB42">
        <f>'TEA Revised Non EYZ'!DA42</f>
        <v>247383.42999491547</v>
      </c>
      <c r="EC42">
        <f>'TEA Revised Non EYZ'!DB42</f>
        <v>1531343.6180743722</v>
      </c>
      <c r="ED42">
        <f>'TEA Revised Non EYZ'!DC42</f>
        <v>180798.90545028303</v>
      </c>
      <c r="EE42">
        <f>'TEA Revised Non EYZ'!DD42</f>
        <v>3740640.1146520725</v>
      </c>
      <c r="EF42">
        <v>0.7</v>
      </c>
      <c r="EG42">
        <v>100</v>
      </c>
      <c r="EH42">
        <f>96485*BL42*V42/EF42/EG42/60</f>
        <v>25.518483687250757</v>
      </c>
      <c r="EI42">
        <f>96485*BN42*BA42/EF42/EG42/60</f>
        <v>47.970002572036755</v>
      </c>
      <c r="EJ42">
        <f>EH42*('CAPEX+OPEX'!$O$25+'CAPEX+OPEX'!$O$26)</f>
        <v>813325.1120800561</v>
      </c>
      <c r="EK42">
        <f>EI42*('CAPEX+OPEX'!$O$25+'CAPEX+OPEX'!$O$26)</f>
        <v>1528899.9219759554</v>
      </c>
      <c r="EL42">
        <f>EJ42*1.12/0.6*'CAPEX+OPEX'!$G$116/'CAPEX+OPEX'!$G$115</f>
        <v>1790661.6086879191</v>
      </c>
      <c r="EM42">
        <f>EK42*1.12/0.6*'CAPEX+OPEX'!$G$116/'CAPEX+OPEX'!$G$115</f>
        <v>3366110.7386769345</v>
      </c>
      <c r="EN42">
        <f>EL42+EM42+DY42+EE42+1.15*(SUM(DF42:DM42)+SUM(CF42:CI42))</f>
        <v>14212416.746840384</v>
      </c>
      <c r="EO42">
        <f>EN42/15</f>
        <v>947494.44978935889</v>
      </c>
      <c r="EP42">
        <f>('eLLE Bals'!CB42+'eLLE Bals'!CC42)*'Oxidant Feed Composition'!$N$25*60*7200</f>
        <v>12881462.818067295</v>
      </c>
      <c r="EQ42" s="83">
        <f>('eLLE Bals'!BR42+'eLLE Bals'!BY42)*'Reagent cost'!$C$38*60*7200</f>
        <v>506956.32233201788</v>
      </c>
      <c r="ER42">
        <f>'TEA Revised Non EYZ'!DI42</f>
        <v>504921.59999999998</v>
      </c>
      <c r="ES42">
        <f>'TEA Revised Non EYZ'!DJ42</f>
        <v>59.46923205918629</v>
      </c>
      <c r="ET42">
        <f>'TEA Revised Non EYZ'!DK42</f>
        <v>574.01349459953576</v>
      </c>
      <c r="EU42">
        <f>1.2*SUM(EP42:ET42)</f>
        <v>16672769.067751165</v>
      </c>
      <c r="EV42">
        <f>'TEA Revised Non EYZ'!DM42</f>
        <v>0.70639694042110623</v>
      </c>
      <c r="EW42">
        <f>(BS42*CO42+BT42*CP42)/1000*('Oxidant Feed Composition'!$B$11*'Oxidant Feed Composition'!$O$20+'Oxidant Feed Composition'!$D$11*'Oxidant Feed Composition'!$O$21+'Oxidant Feed Composition'!$F$11*'Oxidant Feed Composition'!$O$27-'Oxidant Feed Composition'!$J$15*18.015)</f>
        <v>1.8679452798344967</v>
      </c>
      <c r="EX42">
        <f>(CZ42*BX42+DC42*BZ42)*368.34/1000</f>
        <v>0.10233449546352166</v>
      </c>
      <c r="EY42">
        <f>'TEA Revised Non EYZ'!DP42</f>
        <v>4.999938342565946E-2</v>
      </c>
      <c r="EZ42">
        <f>SUM(EV42:EX42)-EY42</f>
        <v>2.6266773322934651</v>
      </c>
      <c r="FA42">
        <f>EZ42*0.33*60*7200</f>
        <v>374459.12049175642</v>
      </c>
      <c r="FB42">
        <f>'TEA Revised Non EYZ'!DS42</f>
        <v>1.2</v>
      </c>
      <c r="FC42">
        <v>0.5</v>
      </c>
      <c r="FD42">
        <f>'TEA Revised Non EYZ'!DT42</f>
        <v>1398.9914479268402</v>
      </c>
      <c r="FE42">
        <f>'TEA Revised Non EYZ'!DU42</f>
        <v>712.89608624945879</v>
      </c>
      <c r="FF42">
        <f>'TEA Revised Non EYZ'!DV42</f>
        <v>0.7</v>
      </c>
      <c r="FG42">
        <f>'TEA Revised Non EYZ'!DW42</f>
        <v>38528.386667103026</v>
      </c>
      <c r="FH42">
        <f>'TEA Revised Non EYZ'!DX42</f>
        <v>33220.879177835675</v>
      </c>
      <c r="FI42">
        <f>'TEA Revised Non EYZ'!DY42</f>
        <v>14065.291587390104</v>
      </c>
      <c r="FJ42">
        <f>'TEA Revised Non EYZ'!DZ42</f>
        <v>7450.7773575794354</v>
      </c>
      <c r="FK42">
        <f>'TEA Revised Non EYZ'!EA42</f>
        <v>7501.4888466080574</v>
      </c>
      <c r="FL42">
        <f>'TEA Revised Non EYZ'!EB42</f>
        <v>846.11002770615301</v>
      </c>
      <c r="FM42">
        <f>'TEA Revised Non EYZ'!EC42</f>
        <v>28286.660719414074</v>
      </c>
      <c r="FN42">
        <f>'TEA Revised Non EYZ'!ED42</f>
        <v>19398.062099470691</v>
      </c>
      <c r="FO42">
        <f>'TEA Revised Non EYZ'!EE42</f>
        <v>8212.8891953404127</v>
      </c>
      <c r="FP42">
        <f>'TEA Revised Non EYZ'!EF42</f>
        <v>4353.0165286796973</v>
      </c>
      <c r="FQ42">
        <f>'TEA Revised Non EYZ'!EG42</f>
        <v>4380.2075708482198</v>
      </c>
      <c r="FR42">
        <f>'TEA Revised Non EYZ'!EH42</f>
        <v>431.1595529636727</v>
      </c>
      <c r="FS42">
        <f>'TEA Revised Non EYZ'!EI42</f>
        <v>166674.92933093925</v>
      </c>
      <c r="FT42">
        <f>EG42*EH42</f>
        <v>2551.8483687250759</v>
      </c>
      <c r="FU42">
        <f>EG42*EI42</f>
        <v>4797.0002572036756</v>
      </c>
      <c r="FV42">
        <f>FC42*(FT42+FU42)/(3.6*10^6)*3600*7200*0.07</f>
        <v>1851.9098537340456</v>
      </c>
      <c r="FW42">
        <f>('CAPEX+OPEX'!$C$39/7/100+0.03)*EL42</f>
        <v>92091.168446807264</v>
      </c>
      <c r="FX42">
        <f>('CAPEX+OPEX'!$C$39/7/100+0.03)*EM42</f>
        <v>173114.26656052805</v>
      </c>
      <c r="FY42">
        <f>SUM(FV42:FX42)</f>
        <v>267057.34486106934</v>
      </c>
      <c r="FZ42">
        <f>FY42+FA42+FS42+EU42</f>
        <v>17480960.462434929</v>
      </c>
      <c r="GA42">
        <f>FZ42+EO42</f>
        <v>18428454.912224289</v>
      </c>
      <c r="GB42">
        <f>GA42/(BK42*60*7200)</f>
        <v>0.42658460444963631</v>
      </c>
      <c r="GC42">
        <f>'TEA Revised Non EYZ'!EM42/'TEA Revised Non EYZ'!EK42*GA42</f>
        <v>1434.225201676491</v>
      </c>
      <c r="GD42">
        <f>'TEA Revised Non EYZ'!EN42/'TEA Revised Non EYZ'!EK42*GA42</f>
        <v>2595.0491119854491</v>
      </c>
    </row>
    <row r="43" spans="1:186">
      <c r="A43">
        <f>'TEA Revised Non EYZ'!A43</f>
        <v>7</v>
      </c>
      <c r="B43">
        <f>'TEA Revised Non EYZ'!B43</f>
        <v>1.54143585092054E-3</v>
      </c>
      <c r="C43">
        <f>'TEA Revised Non EYZ'!C43</f>
        <v>1.54143585092054E-3</v>
      </c>
      <c r="D43">
        <f>'TEA Revised Non EYZ'!D43</f>
        <v>3.4254130020456501E-4</v>
      </c>
      <c r="E43">
        <f>'TEA Revised Non EYZ'!E43</f>
        <v>0</v>
      </c>
      <c r="F43">
        <f>'TEA Revised Non EYZ'!F43</f>
        <v>0</v>
      </c>
      <c r="G43">
        <f>'TEA Revised Non EYZ'!G43</f>
        <v>0</v>
      </c>
      <c r="H43">
        <f>'TEA Revised Non EYZ'!H43</f>
        <v>1.7744466230058299E-5</v>
      </c>
      <c r="I43">
        <f>'TEA Revised Non EYZ'!I43</f>
        <v>1.2927742824924801E-8</v>
      </c>
      <c r="J43">
        <f>'TEA Revised Non EYZ'!J43</f>
        <v>3.3739048286900598E-4</v>
      </c>
      <c r="K43">
        <f>'TEA Revised Non EYZ'!K43</f>
        <v>0.13716795306346499</v>
      </c>
      <c r="L43">
        <f>'TEA Revised Non EYZ'!L43</f>
        <v>0.138764207307677</v>
      </c>
      <c r="M43">
        <f>'TEA Revised Non EYZ'!M43</f>
        <v>4.6369433969460899E-4</v>
      </c>
      <c r="N43">
        <f>'TEA Revised Non EYZ'!N43</f>
        <v>-1.1037178115902399E-16</v>
      </c>
      <c r="O43">
        <f>'TEA Revised Non EYZ'!O43</f>
        <v>-5.3700533603207003E-15</v>
      </c>
      <c r="P43">
        <f>'TEA Revised Non EYZ'!P43</f>
        <v>-3.4304834363799101E-19</v>
      </c>
      <c r="Q43">
        <f>'TEA Revised Non EYZ'!Q43</f>
        <v>0.111082169753281</v>
      </c>
      <c r="R43">
        <f>'TEA Revised Non EYZ'!R43</f>
        <v>98.496293050653193</v>
      </c>
      <c r="S43">
        <f>'TEA Revised Non EYZ'!S43</f>
        <v>500</v>
      </c>
      <c r="T43">
        <f>'TEA Revised Non EYZ'!T43</f>
        <v>95</v>
      </c>
      <c r="U43">
        <f>'TEA Revised Non EYZ'!U43</f>
        <v>1</v>
      </c>
      <c r="V43">
        <f>'TEA Revised Non EYZ'!V43</f>
        <v>0.1</v>
      </c>
      <c r="W43">
        <f>'TEA Revised Non EYZ'!W43</f>
        <v>90.023448607553206</v>
      </c>
      <c r="X43" t="str">
        <f>'TEA Revised Non EYZ'!X43</f>
        <v>ddFc</v>
      </c>
      <c r="Y43">
        <f>'TEA Revised Non EYZ'!Y43</f>
        <v>1</v>
      </c>
      <c r="Z43">
        <f>'TEA Revised Non EYZ'!Z43</f>
        <v>0.28318429382522198</v>
      </c>
      <c r="AA43">
        <f>'TEA Revised Non EYZ'!AA43</f>
        <v>0.56945642916197003</v>
      </c>
      <c r="AB43">
        <f>'TEA Revised Non EYZ'!AB43</f>
        <v>3.7698628972227502E-3</v>
      </c>
      <c r="AC43">
        <f>'TEA Revised Non EYZ'!AC43</f>
        <v>1822.2107908876901</v>
      </c>
      <c r="AD43">
        <f>'TEA Revised Non EYZ'!AD43</f>
        <v>2662.6059073104898</v>
      </c>
      <c r="AE43">
        <f>'TEA Revised Non EYZ'!AE43</f>
        <v>2401.5030938442701</v>
      </c>
      <c r="AF43">
        <f>'TEA Revised Non EYZ'!AF43</f>
        <v>5</v>
      </c>
      <c r="AG43">
        <f>'TEA Revised Non EYZ'!AG43</f>
        <v>1.64967327652189E-3</v>
      </c>
      <c r="AH43">
        <f>'TEA Revised Non EYZ'!AH43</f>
        <v>1.66887089455438E-3</v>
      </c>
      <c r="AI43">
        <f>'TEA Revised Non EYZ'!AI43</f>
        <v>5.5766973522943398E-6</v>
      </c>
      <c r="AJ43">
        <f>'TEA Revised Non EYZ'!AJ43</f>
        <v>0</v>
      </c>
      <c r="AK43">
        <f>'TEA Revised Non EYZ'!AK43</f>
        <v>0</v>
      </c>
      <c r="AL43">
        <f>'TEA Revised Non EYZ'!AL43</f>
        <v>0</v>
      </c>
      <c r="AM43">
        <f>'TEA Revised Non EYZ'!AM43</f>
        <v>1.6103462731678301E-3</v>
      </c>
      <c r="AN43">
        <f>'TEA Revised Non EYZ'!AN43</f>
        <v>7.9217310821158102E-5</v>
      </c>
      <c r="AO43">
        <f>'TEA Revised Non EYZ'!AO43</f>
        <v>5.5377562230767902E-6</v>
      </c>
      <c r="AP43">
        <f>'TEA Revised Non EYZ'!AP43</f>
        <v>1.8120934755895301E-3</v>
      </c>
      <c r="AQ43">
        <f>'TEA Revised Non EYZ'!AQ43</f>
        <v>7.3247403612026599E-2</v>
      </c>
      <c r="AR43">
        <f>'TEA Revised Non EYZ'!AR43</f>
        <v>1.7943133259324499E-6</v>
      </c>
      <c r="AS43">
        <f>'TEA Revised Non EYZ'!AS43</f>
        <v>-4.8687453808177097E-17</v>
      </c>
      <c r="AT43">
        <f>'TEA Revised Non EYZ'!AT43</f>
        <v>1.6631661325927601E-16</v>
      </c>
      <c r="AU43">
        <f>'TEA Revised Non EYZ'!AU43</f>
        <v>-3.9301005263619403E-20</v>
      </c>
      <c r="AV43">
        <f>'TEA Revised Non EYZ'!AV43</f>
        <v>0.200451509597636</v>
      </c>
      <c r="AW43">
        <f>'TEA Revised Non EYZ'!AW43</f>
        <v>99.301717006365394</v>
      </c>
      <c r="AX43">
        <f>'TEA Revised Non EYZ'!AX43</f>
        <v>500</v>
      </c>
      <c r="AY43">
        <f>'TEA Revised Non EYZ'!AY43</f>
        <v>95</v>
      </c>
      <c r="AZ43">
        <f>'TEA Revised Non EYZ'!AZ43</f>
        <v>0.92363221637625403</v>
      </c>
      <c r="BA43">
        <f>'TEA Revised Non EYZ'!BA43</f>
        <v>0.1</v>
      </c>
      <c r="BB43">
        <f>'TEA Revised Non EYZ'!BB43</f>
        <v>46.0775884517032</v>
      </c>
      <c r="BC43" t="str">
        <f>'TEA Revised Non EYZ'!BC43</f>
        <v>coeFc</v>
      </c>
      <c r="BD43">
        <f>'TEA Revised Non EYZ'!BD43</f>
        <v>1</v>
      </c>
      <c r="BE43">
        <f>'TEA Revised Non EYZ'!BE43</f>
        <v>1.8775014999999999E-2</v>
      </c>
      <c r="BF43">
        <f>'TEA Revised Non EYZ'!BF43</f>
        <v>0.10492961100000001</v>
      </c>
      <c r="BG43">
        <f>'TEA Revised Non EYZ'!BG43</f>
        <v>1.814625E-3</v>
      </c>
      <c r="BH43">
        <f>'TEA Revised Non EYZ'!BH43</f>
        <v>285.1951444</v>
      </c>
      <c r="BI43">
        <f>'TEA Revised Non EYZ'!BI43</f>
        <v>2169.8944889999998</v>
      </c>
      <c r="BJ43">
        <f>'TEA Revised Non EYZ'!BJ43</f>
        <v>866.49409060000005</v>
      </c>
      <c r="BK43">
        <f>'TEA Revised Non EYZ'!BK43</f>
        <v>100</v>
      </c>
      <c r="BL43">
        <f>'TEA Revised Non EYZ'!BL43</f>
        <v>11.1082169753281</v>
      </c>
      <c r="BM43">
        <f>'TEA Revised Non EYZ'!BM43</f>
        <v>92.363221637625401</v>
      </c>
      <c r="BN43">
        <f>'TEA Revised Non EYZ'!BN43</f>
        <v>20.0451509597636</v>
      </c>
      <c r="BO43">
        <f>'TEA Revised Non EYZ'!BO43</f>
        <v>199.94790555590581</v>
      </c>
      <c r="BP43">
        <f>'TEA Revised Non EYZ'!BP43</f>
        <v>280.63211343669042</v>
      </c>
      <c r="BQ43">
        <f>'TEA Revised Non EYZ'!BQ43</f>
        <v>19.994790555590583</v>
      </c>
      <c r="BR43">
        <f>'TEA Revised Non EYZ'!BR43</f>
        <v>28.063211343669042</v>
      </c>
      <c r="BS43">
        <f>'eLLE Bals'!CF43</f>
        <v>6.6649301851968596</v>
      </c>
      <c r="BT43">
        <f>'eLLE Bals'!CG43</f>
        <v>12.027090575858159</v>
      </c>
      <c r="BU43">
        <f>BM43</f>
        <v>92.363221637625401</v>
      </c>
      <c r="BV43">
        <f>BU43*(AM43*2+AN43*2+AO43*3)</f>
        <v>0.31364152657389283</v>
      </c>
      <c r="BW43">
        <f>BN43*BA43*(AP43*2+AQ43*2+AR43*3)</f>
        <v>0.30092658020148655</v>
      </c>
      <c r="BX43">
        <f>BV43/(2*V43*BL43+BV43)</f>
        <v>0.12371056361234056</v>
      </c>
      <c r="BY43">
        <f>BU43*BX43</f>
        <v>11.426306205842167</v>
      </c>
      <c r="BZ43">
        <f>BW43/(2*BN43*BA43+BW43)</f>
        <v>6.9821252534529976E-2</v>
      </c>
      <c r="CA43">
        <f>2*BN43*BA43/0.04</f>
        <v>100.22575479881802</v>
      </c>
      <c r="CB43">
        <f>(BS43+BL43)*2</f>
        <v>35.54629432104992</v>
      </c>
      <c r="CC43">
        <f>(BU43+BL43)*2</f>
        <v>206.94287722590701</v>
      </c>
      <c r="CD43">
        <f>(BT43+BN43)*2</f>
        <v>64.144483071243513</v>
      </c>
      <c r="CE43">
        <f>(CA43+BN43)*2</f>
        <v>240.54181151716324</v>
      </c>
      <c r="CF43">
        <f>'TEA Revised Non EYZ'!CB43</f>
        <v>2639.3123533379567</v>
      </c>
      <c r="CG43">
        <f>'TEA Revised Non EYZ'!CC43</f>
        <v>3704.3438973643133</v>
      </c>
      <c r="CH43">
        <f>'TEA Revised Non EYZ'!CD43</f>
        <v>3188.7782491883527</v>
      </c>
      <c r="CI43">
        <f>'TEA Revised Non EYZ'!CE43</f>
        <v>28571.933716163727</v>
      </c>
      <c r="CJ43">
        <f>BL43*V43</f>
        <v>1.11082169753281</v>
      </c>
      <c r="CK43">
        <f>CJ43/2*1.2</f>
        <v>0.66649301851968601</v>
      </c>
      <c r="CL43">
        <f>'eLLE Bals'!CB43*'Oxidant Feed Composition'!$N$20</f>
        <v>3.7027389917760348E-2</v>
      </c>
      <c r="CM43">
        <f>'eLLE Bals'!CB43*'Oxidant Feed Composition'!$N$21</f>
        <v>1.8513694958880169</v>
      </c>
      <c r="CN43">
        <f>'eLLE Bals'!CB43*'Oxidant Feed Composition'!$N$22</f>
        <v>0.55541084876640501</v>
      </c>
      <c r="CO43">
        <f>CN43/CK43</f>
        <v>0.83333333333333337</v>
      </c>
      <c r="CP43">
        <f>CO43</f>
        <v>0.83333333333333337</v>
      </c>
      <c r="CQ43">
        <f>CL43/CO43</f>
        <v>4.4432867901312414E-2</v>
      </c>
      <c r="CR43">
        <f>CM43/CO43</f>
        <v>2.22164339506562</v>
      </c>
      <c r="CS43">
        <f>BN43*BA43</f>
        <v>2.0045150959763602</v>
      </c>
      <c r="CT43">
        <f>CS43/2*1.2</f>
        <v>1.2027090575858161</v>
      </c>
      <c r="CU43">
        <f>'eLLE Bals'!CC43*'Oxidant Feed Composition'!$N$20</f>
        <v>6.6817169865878698E-2</v>
      </c>
      <c r="CV43">
        <f>'eLLE Bals'!CC43*'Oxidant Feed Composition'!$N$21</f>
        <v>3.3408584932939336</v>
      </c>
      <c r="CW43">
        <f>'eLLE Bals'!CC43*'Oxidant Feed Composition'!$N$22</f>
        <v>1.0022575479881801</v>
      </c>
      <c r="CX43">
        <f>CU43/CP43</f>
        <v>8.018060383905444E-2</v>
      </c>
      <c r="CY43">
        <f>CV43/CP43</f>
        <v>4.0090301919527205</v>
      </c>
      <c r="CZ43">
        <f>CJ43</f>
        <v>1.11082169753281</v>
      </c>
      <c r="DA43">
        <f>'eLLE Bals'!BQ43</f>
        <v>2.22164339506562</v>
      </c>
      <c r="DB43">
        <f>'eLLE Bals'!BU43</f>
        <v>5.6467333290792912</v>
      </c>
      <c r="DC43">
        <f>CS43</f>
        <v>2.0045150959763602</v>
      </c>
      <c r="DD43">
        <f>'eLLE Bals'!BX43</f>
        <v>4.0090301919527205</v>
      </c>
      <c r="DE43">
        <f>'eLLE Bals'!CA43</f>
        <v>22.695694710093456</v>
      </c>
      <c r="DF43">
        <f>2*2*(CJ43*'Reagent cost'!$C$36*122.44/1000+CK43*'Oxidant Feed Composition'!$N$26+CQ43*'Reagent cost'!$C$34+CR43*'Reagent cost'!$C$35)</f>
        <v>93.828566875089578</v>
      </c>
      <c r="DG43">
        <f>2*2*(CS43*'Reagent cost'!$C$36*122.44/1000+CT43*'Oxidant Feed Composition'!$N$26+CX43*'Reagent cost'!$C$34+CY43*'Reagent cost'!$C$35)</f>
        <v>169.31680318513872</v>
      </c>
      <c r="DH43">
        <f>(AF43+3)*2*(CZ43*'Reagent cost'!$C$38+DA43*'Reagent cost'!$C$39+DB43*'Reagent cost'!$C$36*122.44/1000)</f>
        <v>860.43754884737007</v>
      </c>
      <c r="DI43">
        <f>3*2*(DC43*'Reagent cost'!$C$38+DD43*'Reagent cost'!$C$39+DE43*'Reagent cost'!$C$36*122.44/1000)</f>
        <v>1231.0716043043244</v>
      </c>
      <c r="DJ43">
        <f>7963.6*(CB43/1000)^0.6*1.7*('CAPEX+OPEX'!$G$116/'CAPEX+OPEX'!$G$115)</f>
        <v>2156.3414312027717</v>
      </c>
      <c r="DK43">
        <f>7963.6*(CC43/1000)^0.6*1.7*('CAPEX+OPEX'!$G$116/'CAPEX+OPEX'!$G$115)</f>
        <v>6205.1347590783025</v>
      </c>
      <c r="DL43">
        <f>7963.6*(CD43/1000)^0.6*1.7*('CAPEX+OPEX'!$G$116/'CAPEX+OPEX'!$G$115)</f>
        <v>3072.8157035530007</v>
      </c>
      <c r="DM43">
        <f>7963.6*(CE43/1000)^0.6*1.7*('CAPEX+OPEX'!$G$116/'CAPEX+OPEX'!$G$115)</f>
        <v>6791.3368853980364</v>
      </c>
      <c r="DN43">
        <f>'TEA Revised Non EYZ'!CM43</f>
        <v>39625.826528698344</v>
      </c>
      <c r="DO43">
        <f>'TEA Revised Non EYZ'!CN43</f>
        <v>4586243.4239371875</v>
      </c>
      <c r="DP43">
        <f>'TEA Revised Non EYZ'!CO43</f>
        <v>11794834.586807497</v>
      </c>
      <c r="DQ43">
        <f>'TEA Revised Non EYZ'!CP43</f>
        <v>2275209.1661185985</v>
      </c>
      <c r="DR43">
        <f>'TEA Revised Non EYZ'!CQ43</f>
        <v>14083914.336508472</v>
      </c>
      <c r="DS43">
        <f>'TEA Revised Non EYZ'!CR43</f>
        <v>1662824.8986326549</v>
      </c>
      <c r="DT43">
        <f>'TEA Revised Non EYZ'!CS43</f>
        <v>700033.84449786716</v>
      </c>
      <c r="DU43">
        <f>'TEA Revised Non EYZ'!CT43</f>
        <v>1800336.9288957189</v>
      </c>
      <c r="DV43">
        <f>'TEA Revised Non EYZ'!CU43</f>
        <v>347282.79168127343</v>
      </c>
      <c r="DW43">
        <f>'TEA Revised Non EYZ'!CV43</f>
        <v>2149736.8951473436</v>
      </c>
      <c r="DX43">
        <f>'TEA Revised Non EYZ'!CW43</f>
        <v>253809.83932102245</v>
      </c>
      <c r="DY43">
        <f>'TEA Revised Non EYZ'!CX43</f>
        <v>5251200.2995432261</v>
      </c>
      <c r="DZ43">
        <f>'TEA Revised Non EYZ'!CY43</f>
        <v>556307.77247071592</v>
      </c>
      <c r="EA43">
        <f>'TEA Revised Non EYZ'!CZ43</f>
        <v>1430704.293060503</v>
      </c>
      <c r="EB43">
        <f>'TEA Revised Non EYZ'!DA43</f>
        <v>275981.10830798495</v>
      </c>
      <c r="EC43">
        <f>'TEA Revised Non EYZ'!DB43</f>
        <v>1708367.8924057726</v>
      </c>
      <c r="ED43">
        <f>'TEA Revised Non EYZ'!DC43</f>
        <v>201699.37132840801</v>
      </c>
      <c r="EE43">
        <f>'TEA Revised Non EYZ'!DD43</f>
        <v>4173060.4375733845</v>
      </c>
      <c r="EF43">
        <v>0.7</v>
      </c>
      <c r="EG43">
        <v>100</v>
      </c>
      <c r="EH43">
        <f>96485*BL43*V43/EF43/EG43/60</f>
        <v>25.518483687250757</v>
      </c>
      <c r="EI43">
        <f>96485*BN43*BA43/EF43/EG43/60</f>
        <v>46.048961675066458</v>
      </c>
      <c r="EJ43">
        <f>EH43*('CAPEX+OPEX'!$O$25+'CAPEX+OPEX'!$O$26)</f>
        <v>813325.1120800561</v>
      </c>
      <c r="EK43">
        <f>EI43*('CAPEX+OPEX'!$O$25+'CAPEX+OPEX'!$O$26)</f>
        <v>1467672.5065077182</v>
      </c>
      <c r="EL43">
        <f>EJ43*1.12/0.6*'CAPEX+OPEX'!$G$116/'CAPEX+OPEX'!$G$115</f>
        <v>1790661.6086879191</v>
      </c>
      <c r="EM43">
        <f>EK43*1.12/0.6*'CAPEX+OPEX'!$G$116/'CAPEX+OPEX'!$G$115</f>
        <v>3231309.070008717</v>
      </c>
      <c r="EN43">
        <f>EL43+EM43+DY43+EE43+1.15*(SUM(DF43:DM43)+SUM(CF43:CI43))</f>
        <v>14513718.76505952</v>
      </c>
      <c r="EO43">
        <f>EN43/15</f>
        <v>967581.25100396795</v>
      </c>
      <c r="EP43">
        <f>('eLLE Bals'!CB43+'eLLE Bals'!CC43)*'Oxidant Feed Composition'!$N$25*60*7200</f>
        <v>12544732.288620824</v>
      </c>
      <c r="EQ43" s="83">
        <f>('eLLE Bals'!BR43+'eLLE Bals'!BY43)*'Reagent cost'!$C$38*60*7200</f>
        <v>506138.75826287828</v>
      </c>
      <c r="ER43">
        <f>'TEA Revised Non EYZ'!DI43</f>
        <v>504921.59999999998</v>
      </c>
      <c r="ES43">
        <f>'TEA Revised Non EYZ'!DJ43</f>
        <v>63.4365625070227</v>
      </c>
      <c r="ET43">
        <f>'TEA Revised Non EYZ'!DK43</f>
        <v>635.21423930704157</v>
      </c>
      <c r="EU43">
        <f>1.2*SUM(EP43:ET43)</f>
        <v>16267789.557222618</v>
      </c>
      <c r="EV43">
        <f>'TEA Revised Non EYZ'!DM43</f>
        <v>0.70639694042110623</v>
      </c>
      <c r="EW43">
        <f>(BS43*CO43+BT43*CP43)/1000*('Oxidant Feed Composition'!$B$11*'Oxidant Feed Composition'!$O$20+'Oxidant Feed Composition'!$D$11*'Oxidant Feed Composition'!$O$21+'Oxidant Feed Composition'!$F$11*'Oxidant Feed Composition'!$O$27-'Oxidant Feed Composition'!$J$15*18.015)</f>
        <v>1.8191158718752167</v>
      </c>
      <c r="EX43">
        <f>(CZ43*BX43+DC43*BZ43)*368.34/1000</f>
        <v>0.10216946150923616</v>
      </c>
      <c r="EY43">
        <f>'TEA Revised Non EYZ'!DP43</f>
        <v>4.999938342565946E-2</v>
      </c>
      <c r="EZ43">
        <f>SUM(EV43:EX43)-EY43</f>
        <v>2.5776828903798998</v>
      </c>
      <c r="FA43">
        <f>EZ43*0.33*60*7200</f>
        <v>367474.47285255854</v>
      </c>
      <c r="FB43">
        <f>'TEA Revised Non EYZ'!DS43</f>
        <v>1.2</v>
      </c>
      <c r="FC43">
        <v>0.5</v>
      </c>
      <c r="FD43">
        <f>'TEA Revised Non EYZ'!DT43</f>
        <v>1403.8913606805047</v>
      </c>
      <c r="FE43">
        <f>'TEA Revised Non EYZ'!DU43</f>
        <v>707.99617342896511</v>
      </c>
      <c r="FF43">
        <f>'TEA Revised Non EYZ'!DV43</f>
        <v>0.7</v>
      </c>
      <c r="FG43">
        <f>'TEA Revised Non EYZ'!DW43</f>
        <v>38528.386667103026</v>
      </c>
      <c r="FH43">
        <f>'TEA Revised Non EYZ'!DX43</f>
        <v>33220.879177835675</v>
      </c>
      <c r="FI43">
        <f>'TEA Revised Non EYZ'!DY43</f>
        <v>14065.291587390104</v>
      </c>
      <c r="FJ43">
        <f>'TEA Revised Non EYZ'!DZ43</f>
        <v>7450.7773575794354</v>
      </c>
      <c r="FK43">
        <f>'TEA Revised Non EYZ'!EA43</f>
        <v>7501.4888466080574</v>
      </c>
      <c r="FL43">
        <f>'TEA Revised Non EYZ'!EB43</f>
        <v>849.07349493956929</v>
      </c>
      <c r="FM43">
        <f>'TEA Revised Non EYZ'!EC43</f>
        <v>30858.175330269896</v>
      </c>
      <c r="FN43">
        <f>'TEA Revised Non EYZ'!ED43</f>
        <v>23277.674519364831</v>
      </c>
      <c r="FO43">
        <f>'TEA Revised Non EYZ'!EE43</f>
        <v>9855.4670344084952</v>
      </c>
      <c r="FP43">
        <f>'TEA Revised Non EYZ'!EF43</f>
        <v>5223.6198344156373</v>
      </c>
      <c r="FQ43">
        <f>'TEA Revised Non EYZ'!EG43</f>
        <v>5256.2490850178647</v>
      </c>
      <c r="FR43">
        <f>'TEA Revised Non EYZ'!EH43</f>
        <v>428.19608568983807</v>
      </c>
      <c r="FS43">
        <f>'TEA Revised Non EYZ'!EI43</f>
        <v>176515.27902062246</v>
      </c>
      <c r="FT43">
        <f>EG43*EH43</f>
        <v>2551.8483687250759</v>
      </c>
      <c r="FU43">
        <f>EG43*EI43</f>
        <v>4604.8961675066457</v>
      </c>
      <c r="FV43">
        <f>FC43*(FT43+FU43)/(3.6*10^6)*3600*7200*0.07</f>
        <v>1803.4996231303937</v>
      </c>
      <c r="FW43">
        <f>('CAPEX+OPEX'!$C$39/7/100+0.03)*EL43</f>
        <v>92091.168446807264</v>
      </c>
      <c r="FX43">
        <f>('CAPEX+OPEX'!$C$39/7/100+0.03)*EM43</f>
        <v>166181.60931473403</v>
      </c>
      <c r="FY43">
        <f>SUM(FV43:FX43)</f>
        <v>260076.27738467167</v>
      </c>
      <c r="FZ43">
        <f>FY43+FA43+FS43+EU43</f>
        <v>17071855.586480472</v>
      </c>
      <c r="GA43">
        <f>FZ43+EO43</f>
        <v>18039436.837484442</v>
      </c>
      <c r="GB43">
        <f>GA43/(BK43*60*7200)</f>
        <v>0.41757955642325095</v>
      </c>
      <c r="GC43">
        <f>'TEA Revised Non EYZ'!EM43/'TEA Revised Non EYZ'!EK43*GA43</f>
        <v>1399.0459257052007</v>
      </c>
      <c r="GD43">
        <f>'TEA Revised Non EYZ'!EN43/'TEA Revised Non EYZ'!EK43*GA43</f>
        <v>2556.4801914903087</v>
      </c>
    </row>
    <row r="44" spans="1:186">
      <c r="A44">
        <f>'TEA Revised Non EYZ'!A44</f>
        <v>7</v>
      </c>
      <c r="B44">
        <f>'TEA Revised Non EYZ'!B44</f>
        <v>1.54143585092054E-3</v>
      </c>
      <c r="C44">
        <f>'TEA Revised Non EYZ'!C44</f>
        <v>1.54143585092054E-3</v>
      </c>
      <c r="D44">
        <f>'TEA Revised Non EYZ'!D44</f>
        <v>3.4254130020456501E-4</v>
      </c>
      <c r="E44">
        <f>'TEA Revised Non EYZ'!E44</f>
        <v>0</v>
      </c>
      <c r="F44">
        <f>'TEA Revised Non EYZ'!F44</f>
        <v>0</v>
      </c>
      <c r="G44">
        <f>'TEA Revised Non EYZ'!G44</f>
        <v>0</v>
      </c>
      <c r="H44">
        <f>'TEA Revised Non EYZ'!H44</f>
        <v>1.7744466230058299E-5</v>
      </c>
      <c r="I44">
        <f>'TEA Revised Non EYZ'!I44</f>
        <v>1.2927742824924801E-8</v>
      </c>
      <c r="J44">
        <f>'TEA Revised Non EYZ'!J44</f>
        <v>3.3739048286900598E-4</v>
      </c>
      <c r="K44">
        <f>'TEA Revised Non EYZ'!K44</f>
        <v>0.13716795306346499</v>
      </c>
      <c r="L44">
        <f>'TEA Revised Non EYZ'!L44</f>
        <v>0.138764207307677</v>
      </c>
      <c r="M44">
        <f>'TEA Revised Non EYZ'!M44</f>
        <v>4.6369433969460899E-4</v>
      </c>
      <c r="N44">
        <f>'TEA Revised Non EYZ'!N44</f>
        <v>-1.1037178115902399E-16</v>
      </c>
      <c r="O44">
        <f>'TEA Revised Non EYZ'!O44</f>
        <v>-5.3700533603207003E-15</v>
      </c>
      <c r="P44">
        <f>'TEA Revised Non EYZ'!P44</f>
        <v>-3.4304834363799101E-19</v>
      </c>
      <c r="Q44">
        <f>'TEA Revised Non EYZ'!Q44</f>
        <v>0.111082169753281</v>
      </c>
      <c r="R44">
        <f>'TEA Revised Non EYZ'!R44</f>
        <v>98.496293050653193</v>
      </c>
      <c r="S44">
        <f>'TEA Revised Non EYZ'!S44</f>
        <v>500</v>
      </c>
      <c r="T44">
        <f>'TEA Revised Non EYZ'!T44</f>
        <v>95</v>
      </c>
      <c r="U44">
        <f>'TEA Revised Non EYZ'!U44</f>
        <v>1</v>
      </c>
      <c r="V44">
        <f>'TEA Revised Non EYZ'!V44</f>
        <v>0.1</v>
      </c>
      <c r="W44">
        <f>'TEA Revised Non EYZ'!W44</f>
        <v>90.023448607553206</v>
      </c>
      <c r="X44" t="str">
        <f>'TEA Revised Non EYZ'!X44</f>
        <v>ddFc</v>
      </c>
      <c r="Y44">
        <f>'TEA Revised Non EYZ'!Y44</f>
        <v>1</v>
      </c>
      <c r="Z44">
        <f>'TEA Revised Non EYZ'!Z44</f>
        <v>0.28318429382522198</v>
      </c>
      <c r="AA44">
        <f>'TEA Revised Non EYZ'!AA44</f>
        <v>0.56945642916197003</v>
      </c>
      <c r="AB44">
        <f>'TEA Revised Non EYZ'!AB44</f>
        <v>3.7698628972227502E-3</v>
      </c>
      <c r="AC44">
        <f>'TEA Revised Non EYZ'!AC44</f>
        <v>1822.2107908876901</v>
      </c>
      <c r="AD44">
        <f>'TEA Revised Non EYZ'!AD44</f>
        <v>2662.6059073104898</v>
      </c>
      <c r="AE44">
        <f>'TEA Revised Non EYZ'!AE44</f>
        <v>2401.5030938442701</v>
      </c>
      <c r="AF44">
        <f>'TEA Revised Non EYZ'!AF44</f>
        <v>6</v>
      </c>
      <c r="AG44">
        <f>'TEA Revised Non EYZ'!AG44</f>
        <v>1.64967327652189E-3</v>
      </c>
      <c r="AH44">
        <f>'TEA Revised Non EYZ'!AH44</f>
        <v>1.66887089455438E-3</v>
      </c>
      <c r="AI44">
        <f>'TEA Revised Non EYZ'!AI44</f>
        <v>5.5766973522943398E-6</v>
      </c>
      <c r="AJ44">
        <f>'TEA Revised Non EYZ'!AJ44</f>
        <v>0</v>
      </c>
      <c r="AK44">
        <f>'TEA Revised Non EYZ'!AK44</f>
        <v>0</v>
      </c>
      <c r="AL44">
        <f>'TEA Revised Non EYZ'!AL44</f>
        <v>0</v>
      </c>
      <c r="AM44">
        <f>'TEA Revised Non EYZ'!AM44</f>
        <v>1.6120355192372701E-3</v>
      </c>
      <c r="AN44">
        <f>'TEA Revised Non EYZ'!AN44</f>
        <v>7.9304611498975396E-5</v>
      </c>
      <c r="AO44">
        <f>'TEA Revised Non EYZ'!AO44</f>
        <v>5.5393634244761098E-6</v>
      </c>
      <c r="AP44">
        <f>'TEA Revised Non EYZ'!AP44</f>
        <v>1.7562637605677701E-3</v>
      </c>
      <c r="AQ44">
        <f>'TEA Revised Non EYZ'!AQ44</f>
        <v>7.4172795069579203E-2</v>
      </c>
      <c r="AR44">
        <f>'TEA Revised Non EYZ'!AR44</f>
        <v>1.7420863833882601E-6</v>
      </c>
      <c r="AS44">
        <f>'TEA Revised Non EYZ'!AS44</f>
        <v>-2.1751806085490402E-18</v>
      </c>
      <c r="AT44">
        <f>'TEA Revised Non EYZ'!AT44</f>
        <v>-1.83013326715553E-16</v>
      </c>
      <c r="AU44">
        <f>'TEA Revised Non EYZ'!AU44</f>
        <v>-3.08372932359768E-21</v>
      </c>
      <c r="AV44">
        <f>'TEA Revised Non EYZ'!AV44</f>
        <v>0.197939773972164</v>
      </c>
      <c r="AW44">
        <f>'TEA Revised Non EYZ'!AW44</f>
        <v>99.330536956557793</v>
      </c>
      <c r="AX44">
        <f>'TEA Revised Non EYZ'!AX44</f>
        <v>500</v>
      </c>
      <c r="AY44">
        <f>'TEA Revised Non EYZ'!AY44</f>
        <v>95</v>
      </c>
      <c r="AZ44">
        <f>'TEA Revised Non EYZ'!AZ44</f>
        <v>0.92363221637625403</v>
      </c>
      <c r="BA44">
        <f>'TEA Revised Non EYZ'!BA44</f>
        <v>0.1</v>
      </c>
      <c r="BB44">
        <f>'TEA Revised Non EYZ'!BB44</f>
        <v>46.6622850901175</v>
      </c>
      <c r="BC44" t="str">
        <f>'TEA Revised Non EYZ'!BC44</f>
        <v>coeFc</v>
      </c>
      <c r="BD44">
        <f>'TEA Revised Non EYZ'!BD44</f>
        <v>1</v>
      </c>
      <c r="BE44">
        <f>'TEA Revised Non EYZ'!BE44</f>
        <v>1.8775014999999999E-2</v>
      </c>
      <c r="BF44">
        <f>'TEA Revised Non EYZ'!BF44</f>
        <v>0.10492961100000001</v>
      </c>
      <c r="BG44">
        <f>'TEA Revised Non EYZ'!BG44</f>
        <v>1.814625E-3</v>
      </c>
      <c r="BH44">
        <f>'TEA Revised Non EYZ'!BH44</f>
        <v>285.1951444</v>
      </c>
      <c r="BI44">
        <f>'TEA Revised Non EYZ'!BI44</f>
        <v>2169.8944889999998</v>
      </c>
      <c r="BJ44">
        <f>'TEA Revised Non EYZ'!BJ44</f>
        <v>866.49409060000005</v>
      </c>
      <c r="BK44">
        <f>'TEA Revised Non EYZ'!BK44</f>
        <v>100</v>
      </c>
      <c r="BL44">
        <f>'TEA Revised Non EYZ'!BL44</f>
        <v>11.1082169753281</v>
      </c>
      <c r="BM44">
        <f>'TEA Revised Non EYZ'!BM44</f>
        <v>92.363221637625401</v>
      </c>
      <c r="BN44">
        <f>'TEA Revised Non EYZ'!BN44</f>
        <v>19.793977397216402</v>
      </c>
      <c r="BO44">
        <f>'TEA Revised Non EYZ'!BO44</f>
        <v>199.94790555590581</v>
      </c>
      <c r="BP44">
        <f>'TEA Revised Non EYZ'!BP44</f>
        <v>316.70363835546243</v>
      </c>
      <c r="BQ44">
        <f>'TEA Revised Non EYZ'!BQ44</f>
        <v>19.994790555590583</v>
      </c>
      <c r="BR44">
        <f>'TEA Revised Non EYZ'!BR44</f>
        <v>31.670363835546244</v>
      </c>
      <c r="BS44">
        <f>'eLLE Bals'!CF44</f>
        <v>6.6649301851968596</v>
      </c>
      <c r="BT44">
        <f>'eLLE Bals'!CG44</f>
        <v>11.87638643832984</v>
      </c>
      <c r="BU44">
        <f>BM44</f>
        <v>92.363221637625401</v>
      </c>
      <c r="BV44">
        <f>BU44*(AM44*2+AN44*2+AO44*3)</f>
        <v>0.31397014707472309</v>
      </c>
      <c r="BW44">
        <f>BN44*BA44*(AP44*2+AQ44*2+AR44*3)</f>
        <v>0.30059795970071779</v>
      </c>
      <c r="BX44">
        <f>BV44/(2*V44*BL44+BV44)</f>
        <v>0.12382413244634156</v>
      </c>
      <c r="BY44">
        <f>BU44*BX44</f>
        <v>11.436795789228128</v>
      </c>
      <c r="BZ44">
        <f>BW44/(2*BN44*BA44+BW44)</f>
        <v>7.0572949880189584E-2</v>
      </c>
      <c r="CA44">
        <f>2*BN44*BA44/0.04</f>
        <v>98.969886986082017</v>
      </c>
      <c r="CB44">
        <f>(BS44+BL44)*2</f>
        <v>35.54629432104992</v>
      </c>
      <c r="CC44">
        <f>(BU44+BL44)*2</f>
        <v>206.94287722590701</v>
      </c>
      <c r="CD44">
        <f>(BT44+BN44)*2</f>
        <v>63.34072767109248</v>
      </c>
      <c r="CE44">
        <f>(CA44+BN44)*2</f>
        <v>237.52772876659685</v>
      </c>
      <c r="CF44">
        <f>'TEA Revised Non EYZ'!CB44</f>
        <v>2639.3123533379567</v>
      </c>
      <c r="CG44">
        <f>'TEA Revised Non EYZ'!CC44</f>
        <v>4180.4880262921042</v>
      </c>
      <c r="CH44">
        <f>'TEA Revised Non EYZ'!CD44</f>
        <v>3188.7782491883527</v>
      </c>
      <c r="CI44">
        <f>'TEA Revised Non EYZ'!CE44</f>
        <v>32244.475701465093</v>
      </c>
      <c r="CJ44">
        <f>BL44*V44</f>
        <v>1.11082169753281</v>
      </c>
      <c r="CK44">
        <f>CJ44/2*1.2</f>
        <v>0.66649301851968601</v>
      </c>
      <c r="CL44">
        <f>'eLLE Bals'!CB44*'Oxidant Feed Composition'!$N$20</f>
        <v>3.7027389917760348E-2</v>
      </c>
      <c r="CM44">
        <f>'eLLE Bals'!CB44*'Oxidant Feed Composition'!$N$21</f>
        <v>1.8513694958880169</v>
      </c>
      <c r="CN44">
        <f>'eLLE Bals'!CB44*'Oxidant Feed Composition'!$N$22</f>
        <v>0.55541084876640501</v>
      </c>
      <c r="CO44">
        <f>CN44/CK44</f>
        <v>0.83333333333333337</v>
      </c>
      <c r="CP44">
        <f>CO44</f>
        <v>0.83333333333333337</v>
      </c>
      <c r="CQ44">
        <f>CL44/CO44</f>
        <v>4.4432867901312414E-2</v>
      </c>
      <c r="CR44">
        <f>CM44/CO44</f>
        <v>2.22164339506562</v>
      </c>
      <c r="CS44">
        <f>BN44*BA44</f>
        <v>1.9793977397216402</v>
      </c>
      <c r="CT44">
        <f>CS44/2*1.2</f>
        <v>1.187638643832984</v>
      </c>
      <c r="CU44">
        <f>'eLLE Bals'!CC44*'Oxidant Feed Composition'!$N$20</f>
        <v>6.5979924657388042E-2</v>
      </c>
      <c r="CV44">
        <f>'eLLE Bals'!CC44*'Oxidant Feed Composition'!$N$21</f>
        <v>3.2989962328694005</v>
      </c>
      <c r="CW44">
        <f>'eLLE Bals'!CC44*'Oxidant Feed Composition'!$N$22</f>
        <v>0.98969886986082012</v>
      </c>
      <c r="CX44">
        <f>CU44/CP44</f>
        <v>7.9175909588865653E-2</v>
      </c>
      <c r="CY44">
        <f>CV44/CP44</f>
        <v>3.9587954794432805</v>
      </c>
      <c r="CZ44">
        <f>CJ44</f>
        <v>1.11082169753281</v>
      </c>
      <c r="DA44">
        <f>'eLLE Bals'!BQ44</f>
        <v>2.22164339506562</v>
      </c>
      <c r="DB44">
        <f>'eLLE Bals'!BU44</f>
        <v>5.6384978011994429</v>
      </c>
      <c r="DC44">
        <f>CS44</f>
        <v>1.9793977397216402</v>
      </c>
      <c r="DD44">
        <f>'eLLE Bals'!BX44</f>
        <v>3.9587954794432805</v>
      </c>
      <c r="DE44">
        <f>'eLLE Bals'!CA44</f>
        <v>22.109348269210262</v>
      </c>
      <c r="DF44">
        <f>2*2*(CJ44*'Reagent cost'!$C$36*122.44/1000+CK44*'Oxidant Feed Composition'!$N$26+CQ44*'Reagent cost'!$C$34+CR44*'Reagent cost'!$C$35)</f>
        <v>93.828566875089578</v>
      </c>
      <c r="DG44">
        <f>2*2*(CS44*'Reagent cost'!$C$36*122.44/1000+CT44*'Oxidant Feed Composition'!$N$26+CX44*'Reagent cost'!$C$34+CY44*'Reagent cost'!$C$35)</f>
        <v>167.19519757885118</v>
      </c>
      <c r="DH44">
        <f>(AF44+3)*2*(CZ44*'Reagent cost'!$C$38+DA44*'Reagent cost'!$C$39+DB44*'Reagent cost'!$C$36*122.44/1000)</f>
        <v>966.71045805528945</v>
      </c>
      <c r="DI44">
        <f>3*2*(DC44*'Reagent cost'!$C$38+DD44*'Reagent cost'!$C$39+DE44*'Reagent cost'!$C$36*122.44/1000)</f>
        <v>1199.9800008449147</v>
      </c>
      <c r="DJ44">
        <f>7963.6*(CB44/1000)^0.6*1.7*('CAPEX+OPEX'!$G$116/'CAPEX+OPEX'!$G$115)</f>
        <v>2156.3414312027717</v>
      </c>
      <c r="DK44">
        <f>7963.6*(CC44/1000)^0.6*1.7*('CAPEX+OPEX'!$G$116/'CAPEX+OPEX'!$G$115)</f>
        <v>6205.1347590783025</v>
      </c>
      <c r="DL44">
        <f>7963.6*(CD44/1000)^0.6*1.7*('CAPEX+OPEX'!$G$116/'CAPEX+OPEX'!$G$115)</f>
        <v>3049.6553188421171</v>
      </c>
      <c r="DM44">
        <f>7963.6*(CE44/1000)^0.6*1.7*('CAPEX+OPEX'!$G$116/'CAPEX+OPEX'!$G$115)</f>
        <v>6740.1493134310076</v>
      </c>
      <c r="DN44">
        <f>'TEA Revised Non EYZ'!CM44</f>
        <v>39625.826528698344</v>
      </c>
      <c r="DO44">
        <f>'TEA Revised Non EYZ'!CN44</f>
        <v>4586243.4239371875</v>
      </c>
      <c r="DP44">
        <f>'TEA Revised Non EYZ'!CO44</f>
        <v>11794834.586807497</v>
      </c>
      <c r="DQ44">
        <f>'TEA Revised Non EYZ'!CP44</f>
        <v>2275209.1661185985</v>
      </c>
      <c r="DR44">
        <f>'TEA Revised Non EYZ'!CQ44</f>
        <v>14083914.336508472</v>
      </c>
      <c r="DS44">
        <f>'TEA Revised Non EYZ'!CR44</f>
        <v>1662824.8986326549</v>
      </c>
      <c r="DT44">
        <f>'TEA Revised Non EYZ'!CS44</f>
        <v>700033.84449786716</v>
      </c>
      <c r="DU44">
        <f>'TEA Revised Non EYZ'!CT44</f>
        <v>1800336.9288957189</v>
      </c>
      <c r="DV44">
        <f>'TEA Revised Non EYZ'!CU44</f>
        <v>347282.79168127343</v>
      </c>
      <c r="DW44">
        <f>'TEA Revised Non EYZ'!CV44</f>
        <v>2149736.8951473436</v>
      </c>
      <c r="DX44">
        <f>'TEA Revised Non EYZ'!CW44</f>
        <v>253809.83932102245</v>
      </c>
      <c r="DY44">
        <f>'TEA Revised Non EYZ'!CX44</f>
        <v>5251200.2995432261</v>
      </c>
      <c r="DZ44">
        <f>'TEA Revised Non EYZ'!CY44</f>
        <v>610215.4530973233</v>
      </c>
      <c r="EA44">
        <f>'TEA Revised Non EYZ'!CZ44</f>
        <v>1569343.2873691465</v>
      </c>
      <c r="EB44">
        <f>'TEA Revised Non EYZ'!DA44</f>
        <v>302724.40074765182</v>
      </c>
      <c r="EC44">
        <f>'TEA Revised Non EYZ'!DB44</f>
        <v>1873913.2169435648</v>
      </c>
      <c r="ED44">
        <f>'TEA Revised Non EYZ'!DC44</f>
        <v>221244.56884356888</v>
      </c>
      <c r="EE44">
        <f>'TEA Revised Non EYZ'!DD44</f>
        <v>4577440.9270012556</v>
      </c>
      <c r="EF44">
        <v>0.7</v>
      </c>
      <c r="EG44">
        <v>100</v>
      </c>
      <c r="EH44">
        <f>96485*BL44*V44/EF44/EG44/60</f>
        <v>25.518483687250757</v>
      </c>
      <c r="EI44">
        <f>96485*BN44*BA44/EF44/EG44/60</f>
        <v>45.471950218343444</v>
      </c>
      <c r="EJ44">
        <f>EH44*('CAPEX+OPEX'!$O$25+'CAPEX+OPEX'!$O$26)</f>
        <v>813325.1120800561</v>
      </c>
      <c r="EK44">
        <f>EI44*('CAPEX+OPEX'!$O$25+'CAPEX+OPEX'!$O$26)</f>
        <v>1449281.9973590423</v>
      </c>
      <c r="EL44">
        <f>EJ44*1.12/0.6*'CAPEX+OPEX'!$G$116/'CAPEX+OPEX'!$G$115</f>
        <v>1790661.6086879191</v>
      </c>
      <c r="EM44">
        <f>EK44*1.12/0.6*'CAPEX+OPEX'!$G$116/'CAPEX+OPEX'!$G$115</f>
        <v>3190819.5066008712</v>
      </c>
      <c r="EN44">
        <f>EL44+EM44+DY44+EE44+1.15*(SUM(DF44:DM44)+SUM(CF44:CI44))</f>
        <v>14882379.198615892</v>
      </c>
      <c r="EO44">
        <f>EN44/15</f>
        <v>992158.61324105947</v>
      </c>
      <c r="EP44">
        <f>('eLLE Bals'!CB44+'eLLE Bals'!CC44)*'Oxidant Feed Composition'!$N$25*60*7200</f>
        <v>12443590.572364055</v>
      </c>
      <c r="EQ44" s="83">
        <f>('eLLE Bals'!BR44+'eLLE Bals'!BY44)*'Reagent cost'!$C$38*60*7200</f>
        <v>505883.91259510745</v>
      </c>
      <c r="ER44">
        <f>'TEA Revised Non EYZ'!DI44</f>
        <v>504921.59999999998</v>
      </c>
      <c r="ES44">
        <f>'TEA Revised Non EYZ'!DJ44</f>
        <v>68.198003796300611</v>
      </c>
      <c r="ET44">
        <f>'TEA Revised Non EYZ'!DK44</f>
        <v>708.66507901306886</v>
      </c>
      <c r="EU44">
        <f>1.2*SUM(EP44:ET44)</f>
        <v>16146207.537650365</v>
      </c>
      <c r="EV44">
        <f>'TEA Revised Non EYZ'!DM44</f>
        <v>0.70639694042110623</v>
      </c>
      <c r="EW44">
        <f>(BS44*CO44+BT44*CP44)/1000*('Oxidant Feed Composition'!$B$11*'Oxidant Feed Composition'!$O$20+'Oxidant Feed Composition'!$D$11*'Oxidant Feed Composition'!$O$21+'Oxidant Feed Composition'!$F$11*'Oxidant Feed Composition'!$O$27-'Oxidant Feed Composition'!$J$15*18.015)</f>
        <v>1.8044492773940988</v>
      </c>
      <c r="EX44">
        <f>(CZ44*BX44+DC44*BZ44)*368.34/1000</f>
        <v>0.1021180182158328</v>
      </c>
      <c r="EY44">
        <f>'TEA Revised Non EYZ'!DP44</f>
        <v>4.999938342565946E-2</v>
      </c>
      <c r="EZ44">
        <f>SUM(EV44:EX44)-EY44</f>
        <v>2.5629648526053783</v>
      </c>
      <c r="FA44">
        <f>EZ44*0.33*60*7200</f>
        <v>365376.26938742277</v>
      </c>
      <c r="FB44">
        <f>'TEA Revised Non EYZ'!DS44</f>
        <v>1.2</v>
      </c>
      <c r="FC44">
        <v>0.5</v>
      </c>
      <c r="FD44">
        <f>'TEA Revised Non EYZ'!DT44</f>
        <v>1405.3631449818135</v>
      </c>
      <c r="FE44">
        <f>'TEA Revised Non EYZ'!DU44</f>
        <v>706.52438912777689</v>
      </c>
      <c r="FF44">
        <f>'TEA Revised Non EYZ'!DV44</f>
        <v>0.7</v>
      </c>
      <c r="FG44">
        <f>'TEA Revised Non EYZ'!DW44</f>
        <v>38528.386667103026</v>
      </c>
      <c r="FH44">
        <f>'TEA Revised Non EYZ'!DX44</f>
        <v>33220.879177835675</v>
      </c>
      <c r="FI44">
        <f>'TEA Revised Non EYZ'!DY44</f>
        <v>14065.291587390104</v>
      </c>
      <c r="FJ44">
        <f>'TEA Revised Non EYZ'!DZ44</f>
        <v>7450.7773575794354</v>
      </c>
      <c r="FK44">
        <f>'TEA Revised Non EYZ'!EA44</f>
        <v>7501.4888466080574</v>
      </c>
      <c r="FL44">
        <f>'TEA Revised Non EYZ'!EB44</f>
        <v>849.96363008500089</v>
      </c>
      <c r="FM44">
        <f>'TEA Revised Non EYZ'!EC44</f>
        <v>33429.689941125718</v>
      </c>
      <c r="FN44">
        <f>'TEA Revised Non EYZ'!ED44</f>
        <v>27157.286939258967</v>
      </c>
      <c r="FO44">
        <f>'TEA Revised Non EYZ'!EE44</f>
        <v>11498.044873476576</v>
      </c>
      <c r="FP44">
        <f>'TEA Revised Non EYZ'!EF44</f>
        <v>6094.2231401515764</v>
      </c>
      <c r="FQ44">
        <f>'TEA Revised Non EYZ'!EG44</f>
        <v>6132.2905991875077</v>
      </c>
      <c r="FR44">
        <f>'TEA Revised Non EYZ'!EH44</f>
        <v>427.30595054447951</v>
      </c>
      <c r="FS44">
        <f>'TEA Revised Non EYZ'!EI44</f>
        <v>186355.62871034618</v>
      </c>
      <c r="FT44">
        <f>EG44*EH44</f>
        <v>2551.8483687250759</v>
      </c>
      <c r="FU44">
        <f>EG44*EI44</f>
        <v>4547.1950218343445</v>
      </c>
      <c r="FV44">
        <f>FC44*(FT44+FU44)/(3.6*10^6)*3600*7200*0.07</f>
        <v>1788.9589344209737</v>
      </c>
      <c r="FW44">
        <f>('CAPEX+OPEX'!$C$39/7/100+0.03)*EL44</f>
        <v>92091.168446807264</v>
      </c>
      <c r="FX44">
        <f>('CAPEX+OPEX'!$C$39/7/100+0.03)*EM44</f>
        <v>164099.28891090196</v>
      </c>
      <c r="FY44">
        <f>SUM(FV44:FX44)</f>
        <v>257979.41629213019</v>
      </c>
      <c r="FZ44">
        <f>FY44+FA44+FS44+EU44</f>
        <v>16955918.852040265</v>
      </c>
      <c r="GA44">
        <f>FZ44+EO44</f>
        <v>17948077.465281323</v>
      </c>
      <c r="GB44">
        <f>GA44/(BK44*60*7200)</f>
        <v>0.41546475614077133</v>
      </c>
      <c r="GC44">
        <f>'TEA Revised Non EYZ'!EM44/'TEA Revised Non EYZ'!EK44*GA44</f>
        <v>1390.5018689525025</v>
      </c>
      <c r="GD44">
        <f>'TEA Revised Non EYZ'!EN44/'TEA Revised Non EYZ'!EK44*GA44</f>
        <v>2548.4181925977532</v>
      </c>
    </row>
    <row r="45" spans="1:186">
      <c r="A45">
        <f>'TEA Revised Non EYZ'!A45</f>
        <v>7</v>
      </c>
      <c r="B45">
        <f>'TEA Revised Non EYZ'!B45</f>
        <v>1.54143585092054E-3</v>
      </c>
      <c r="C45">
        <f>'TEA Revised Non EYZ'!C45</f>
        <v>1.54143585092054E-3</v>
      </c>
      <c r="D45">
        <f>'TEA Revised Non EYZ'!D45</f>
        <v>3.4254130020456501E-4</v>
      </c>
      <c r="E45">
        <f>'TEA Revised Non EYZ'!E45</f>
        <v>0</v>
      </c>
      <c r="F45">
        <f>'TEA Revised Non EYZ'!F45</f>
        <v>0</v>
      </c>
      <c r="G45">
        <f>'TEA Revised Non EYZ'!G45</f>
        <v>0</v>
      </c>
      <c r="H45">
        <f>'TEA Revised Non EYZ'!H45</f>
        <v>1.7744466230058299E-5</v>
      </c>
      <c r="I45">
        <f>'TEA Revised Non EYZ'!I45</f>
        <v>1.2927742824924801E-8</v>
      </c>
      <c r="J45">
        <f>'TEA Revised Non EYZ'!J45</f>
        <v>3.3739048286900598E-4</v>
      </c>
      <c r="K45">
        <f>'TEA Revised Non EYZ'!K45</f>
        <v>0.13716795306346499</v>
      </c>
      <c r="L45">
        <f>'TEA Revised Non EYZ'!L45</f>
        <v>0.138764207307677</v>
      </c>
      <c r="M45">
        <f>'TEA Revised Non EYZ'!M45</f>
        <v>4.6369433969460899E-4</v>
      </c>
      <c r="N45">
        <f>'TEA Revised Non EYZ'!N45</f>
        <v>-1.1037178115902399E-16</v>
      </c>
      <c r="O45">
        <f>'TEA Revised Non EYZ'!O45</f>
        <v>-5.3700533603207003E-15</v>
      </c>
      <c r="P45">
        <f>'TEA Revised Non EYZ'!P45</f>
        <v>-3.4304834363799101E-19</v>
      </c>
      <c r="Q45">
        <f>'TEA Revised Non EYZ'!Q45</f>
        <v>0.111082169753281</v>
      </c>
      <c r="R45">
        <f>'TEA Revised Non EYZ'!R45</f>
        <v>98.496293050653193</v>
      </c>
      <c r="S45">
        <f>'TEA Revised Non EYZ'!S45</f>
        <v>500</v>
      </c>
      <c r="T45">
        <f>'TEA Revised Non EYZ'!T45</f>
        <v>95</v>
      </c>
      <c r="U45">
        <f>'TEA Revised Non EYZ'!U45</f>
        <v>1</v>
      </c>
      <c r="V45">
        <f>'TEA Revised Non EYZ'!V45</f>
        <v>0.1</v>
      </c>
      <c r="W45">
        <f>'TEA Revised Non EYZ'!W45</f>
        <v>90.023448607553206</v>
      </c>
      <c r="X45" t="str">
        <f>'TEA Revised Non EYZ'!X45</f>
        <v>ddFc</v>
      </c>
      <c r="Y45">
        <f>'TEA Revised Non EYZ'!Y45</f>
        <v>1</v>
      </c>
      <c r="Z45">
        <f>'TEA Revised Non EYZ'!Z45</f>
        <v>0.28318429382522198</v>
      </c>
      <c r="AA45">
        <f>'TEA Revised Non EYZ'!AA45</f>
        <v>0.56945642916197003</v>
      </c>
      <c r="AB45">
        <f>'TEA Revised Non EYZ'!AB45</f>
        <v>3.7698628972227502E-3</v>
      </c>
      <c r="AC45">
        <f>'TEA Revised Non EYZ'!AC45</f>
        <v>1822.2107908876901</v>
      </c>
      <c r="AD45">
        <f>'TEA Revised Non EYZ'!AD45</f>
        <v>2662.6059073104898</v>
      </c>
      <c r="AE45">
        <f>'TEA Revised Non EYZ'!AE45</f>
        <v>2401.5030938442701</v>
      </c>
      <c r="AF45">
        <f>'TEA Revised Non EYZ'!AF45</f>
        <v>7</v>
      </c>
      <c r="AG45">
        <f>'TEA Revised Non EYZ'!AG45</f>
        <v>1.64967327652189E-3</v>
      </c>
      <c r="AH45">
        <f>'TEA Revised Non EYZ'!AH45</f>
        <v>1.66887089455438E-3</v>
      </c>
      <c r="AI45">
        <f>'TEA Revised Non EYZ'!AI45</f>
        <v>5.5766973522943398E-6</v>
      </c>
      <c r="AJ45">
        <f>'TEA Revised Non EYZ'!AJ45</f>
        <v>0</v>
      </c>
      <c r="AK45">
        <f>'TEA Revised Non EYZ'!AK45</f>
        <v>0</v>
      </c>
      <c r="AL45">
        <f>'TEA Revised Non EYZ'!AL45</f>
        <v>0</v>
      </c>
      <c r="AM45">
        <f>'TEA Revised Non EYZ'!AM45</f>
        <v>1.6125268282720601E-3</v>
      </c>
      <c r="AN45">
        <f>'TEA Revised Non EYZ'!AN45</f>
        <v>7.9330002196474706E-5</v>
      </c>
      <c r="AO45">
        <f>'TEA Revised Non EYZ'!AO45</f>
        <v>5.5398308704750104E-6</v>
      </c>
      <c r="AP45">
        <f>'TEA Revised Non EYZ'!AP45</f>
        <v>1.7397589915908601E-3</v>
      </c>
      <c r="AQ45">
        <f>'TEA Revised Non EYZ'!AQ45</f>
        <v>7.4446365407150494E-2</v>
      </c>
      <c r="AR45">
        <f>'TEA Revised Non EYZ'!AR45</f>
        <v>1.7266467254719899E-6</v>
      </c>
      <c r="AS45">
        <f>'TEA Revised Non EYZ'!AS45</f>
        <v>-4.8721335126067302E-18</v>
      </c>
      <c r="AT45">
        <f>'TEA Revised Non EYZ'!AT45</f>
        <v>-2.21068822969794E-15</v>
      </c>
      <c r="AU45">
        <f>'TEA Revised Non EYZ'!AU45</f>
        <v>-5.2476338060364E-21</v>
      </c>
      <c r="AV45">
        <f>'TEA Revised Non EYZ'!AV45</f>
        <v>0.19720924848406601</v>
      </c>
      <c r="AW45">
        <f>'TEA Revised Non EYZ'!AW45</f>
        <v>99.338919086147698</v>
      </c>
      <c r="AX45">
        <f>'TEA Revised Non EYZ'!AX45</f>
        <v>500</v>
      </c>
      <c r="AY45">
        <f>'TEA Revised Non EYZ'!AY45</f>
        <v>95</v>
      </c>
      <c r="AZ45">
        <f>'TEA Revised Non EYZ'!AZ45</f>
        <v>0.92363221637625403</v>
      </c>
      <c r="BA45">
        <f>'TEA Revised Non EYZ'!BA45</f>
        <v>0.1</v>
      </c>
      <c r="BB45">
        <f>'TEA Revised Non EYZ'!BB45</f>
        <v>46.835136966250197</v>
      </c>
      <c r="BC45" t="str">
        <f>'TEA Revised Non EYZ'!BC45</f>
        <v>coeFc</v>
      </c>
      <c r="BD45">
        <f>'TEA Revised Non EYZ'!BD45</f>
        <v>1</v>
      </c>
      <c r="BE45">
        <f>'TEA Revised Non EYZ'!BE45</f>
        <v>1.8775014999999999E-2</v>
      </c>
      <c r="BF45">
        <f>'TEA Revised Non EYZ'!BF45</f>
        <v>0.10492961100000001</v>
      </c>
      <c r="BG45">
        <f>'TEA Revised Non EYZ'!BG45</f>
        <v>1.814625E-3</v>
      </c>
      <c r="BH45">
        <f>'TEA Revised Non EYZ'!BH45</f>
        <v>285.1951444</v>
      </c>
      <c r="BI45">
        <f>'TEA Revised Non EYZ'!BI45</f>
        <v>2169.8944889999998</v>
      </c>
      <c r="BJ45">
        <f>'TEA Revised Non EYZ'!BJ45</f>
        <v>866.49409060000005</v>
      </c>
      <c r="BK45">
        <f>'TEA Revised Non EYZ'!BK45</f>
        <v>100</v>
      </c>
      <c r="BL45">
        <f>'TEA Revised Non EYZ'!BL45</f>
        <v>11.1082169753281</v>
      </c>
      <c r="BM45">
        <f>'TEA Revised Non EYZ'!BM45</f>
        <v>92.363221637625401</v>
      </c>
      <c r="BN45">
        <f>'TEA Revised Non EYZ'!BN45</f>
        <v>19.7209248484066</v>
      </c>
      <c r="BO45">
        <f>'TEA Revised Non EYZ'!BO45</f>
        <v>199.94790555590581</v>
      </c>
      <c r="BP45">
        <f>'TEA Revised Non EYZ'!BP45</f>
        <v>354.97664727131883</v>
      </c>
      <c r="BQ45">
        <f>'TEA Revised Non EYZ'!BQ45</f>
        <v>19.994790555590583</v>
      </c>
      <c r="BR45">
        <f>'TEA Revised Non EYZ'!BR45</f>
        <v>35.497664727131884</v>
      </c>
      <c r="BS45">
        <f>'eLLE Bals'!CF45</f>
        <v>6.6649301851968596</v>
      </c>
      <c r="BT45">
        <f>'eLLE Bals'!CG45</f>
        <v>11.83255490904396</v>
      </c>
      <c r="BU45">
        <f>BM45</f>
        <v>92.363221637625401</v>
      </c>
      <c r="BV45">
        <f>BU45*(AM45*2+AN45*2+AO45*3)</f>
        <v>0.31406572470296529</v>
      </c>
      <c r="BW45">
        <f>BN45*BA45*(AP45*2+AQ45*2+AR45*3)</f>
        <v>0.30050238207288077</v>
      </c>
      <c r="BX45">
        <f>BV45/(2*V45*BL45+BV45)</f>
        <v>0.12385715784767444</v>
      </c>
      <c r="BY45">
        <f>BU45*BX45</f>
        <v>11.439846121691108</v>
      </c>
      <c r="BZ45">
        <f>BW45/(2*BN45*BA45+BW45)</f>
        <v>7.0794938983831684E-2</v>
      </c>
      <c r="CA45">
        <f>2*BN45*BA45/0.04</f>
        <v>98.604624242032997</v>
      </c>
      <c r="CB45">
        <f>(BS45+BL45)*2</f>
        <v>35.54629432104992</v>
      </c>
      <c r="CC45">
        <f>(BU45+BL45)*2</f>
        <v>206.94287722590701</v>
      </c>
      <c r="CD45">
        <f>(BT45+BN45)*2</f>
        <v>63.106959514901121</v>
      </c>
      <c r="CE45">
        <f>(CA45+BN45)*2</f>
        <v>236.65109818087919</v>
      </c>
      <c r="CF45">
        <f>'TEA Revised Non EYZ'!CB45</f>
        <v>2639.3123533379567</v>
      </c>
      <c r="CG45">
        <f>'TEA Revised Non EYZ'!CC45</f>
        <v>4685.6917439814088</v>
      </c>
      <c r="CH45">
        <f>'TEA Revised Non EYZ'!CD45</f>
        <v>3188.7782491883527</v>
      </c>
      <c r="CI45">
        <f>'TEA Revised Non EYZ'!CE45</f>
        <v>36141.156877650901</v>
      </c>
      <c r="CJ45">
        <f>BL45*V45</f>
        <v>1.11082169753281</v>
      </c>
      <c r="CK45">
        <f>CJ45/2*1.2</f>
        <v>0.66649301851968601</v>
      </c>
      <c r="CL45">
        <f>'eLLE Bals'!CB45*'Oxidant Feed Composition'!$N$20</f>
        <v>3.7027389917760348E-2</v>
      </c>
      <c r="CM45">
        <f>'eLLE Bals'!CB45*'Oxidant Feed Composition'!$N$21</f>
        <v>1.8513694958880169</v>
      </c>
      <c r="CN45">
        <f>'eLLE Bals'!CB45*'Oxidant Feed Composition'!$N$22</f>
        <v>0.55541084876640501</v>
      </c>
      <c r="CO45">
        <f>CN45/CK45</f>
        <v>0.83333333333333337</v>
      </c>
      <c r="CP45">
        <f>CO45</f>
        <v>0.83333333333333337</v>
      </c>
      <c r="CQ45">
        <f>CL45/CO45</f>
        <v>4.4432867901312414E-2</v>
      </c>
      <c r="CR45">
        <f>CM45/CO45</f>
        <v>2.22164339506562</v>
      </c>
      <c r="CS45">
        <f>BN45*BA45</f>
        <v>1.97209248484066</v>
      </c>
      <c r="CT45">
        <f>CS45/2*1.2</f>
        <v>1.183255490904396</v>
      </c>
      <c r="CU45">
        <f>'eLLE Bals'!CC45*'Oxidant Feed Composition'!$N$20</f>
        <v>6.5736416161355365E-2</v>
      </c>
      <c r="CV45">
        <f>'eLLE Bals'!CC45*'Oxidant Feed Composition'!$N$21</f>
        <v>3.286820808067767</v>
      </c>
      <c r="CW45">
        <f>'eLLE Bals'!CC45*'Oxidant Feed Composition'!$N$22</f>
        <v>0.98604624242033001</v>
      </c>
      <c r="CX45">
        <f>CU45/CP45</f>
        <v>7.8883699393626439E-2</v>
      </c>
      <c r="CY45">
        <f>CV45/CP45</f>
        <v>3.94418496968132</v>
      </c>
      <c r="CZ45">
        <f>CJ45</f>
        <v>1.11082169753281</v>
      </c>
      <c r="DA45">
        <f>'eLLE Bals'!BQ45</f>
        <v>2.22164339506562</v>
      </c>
      <c r="DB45">
        <f>'eLLE Bals'!BU45</f>
        <v>5.6361057743299128</v>
      </c>
      <c r="DC45">
        <f>CS45</f>
        <v>1.97209248484066</v>
      </c>
      <c r="DD45">
        <f>'eLLE Bals'!BX45</f>
        <v>3.94418496968132</v>
      </c>
      <c r="DE45">
        <f>'eLLE Bals'!CA45</f>
        <v>21.940127440339936</v>
      </c>
      <c r="DF45">
        <f>2*2*(CJ45*'Reagent cost'!$C$36*122.44/1000+CK45*'Oxidant Feed Composition'!$N$26+CQ45*'Reagent cost'!$C$34+CR45*'Reagent cost'!$C$35)</f>
        <v>93.828566875089578</v>
      </c>
      <c r="DG45">
        <f>2*2*(CS45*'Reagent cost'!$C$36*122.44/1000+CT45*'Oxidant Feed Composition'!$N$26+CX45*'Reagent cost'!$C$34+CY45*'Reagent cost'!$C$35)</f>
        <v>166.57813941581566</v>
      </c>
      <c r="DH45">
        <f>(AF45+3)*2*(CZ45*'Reagent cost'!$C$38+DA45*'Reagent cost'!$C$39+DB45*'Reagent cost'!$C$36*122.44/1000)</f>
        <v>1073.7090677855294</v>
      </c>
      <c r="DI45">
        <f>3*2*(DC45*'Reagent cost'!$C$38+DD45*'Reagent cost'!$C$39+DE45*'Reagent cost'!$C$36*122.44/1000)</f>
        <v>1191.0053913479601</v>
      </c>
      <c r="DJ45">
        <f>7963.6*(CB45/1000)^0.6*1.7*('CAPEX+OPEX'!$G$116/'CAPEX+OPEX'!$G$115)</f>
        <v>2156.3414312027717</v>
      </c>
      <c r="DK45">
        <f>7963.6*(CC45/1000)^0.6*1.7*('CAPEX+OPEX'!$G$116/'CAPEX+OPEX'!$G$115)</f>
        <v>6205.1347590783025</v>
      </c>
      <c r="DL45">
        <f>7963.6*(CD45/1000)^0.6*1.7*('CAPEX+OPEX'!$G$116/'CAPEX+OPEX'!$G$115)</f>
        <v>3042.8972080018357</v>
      </c>
      <c r="DM45">
        <f>7963.6*(CE45/1000)^0.6*1.7*('CAPEX+OPEX'!$G$116/'CAPEX+OPEX'!$G$115)</f>
        <v>6725.2129775576441</v>
      </c>
      <c r="DN45">
        <f>'TEA Revised Non EYZ'!CM45</f>
        <v>39625.826528698344</v>
      </c>
      <c r="DO45">
        <f>'TEA Revised Non EYZ'!CN45</f>
        <v>4586243.4239371875</v>
      </c>
      <c r="DP45">
        <f>'TEA Revised Non EYZ'!CO45</f>
        <v>11794834.586807497</v>
      </c>
      <c r="DQ45">
        <f>'TEA Revised Non EYZ'!CP45</f>
        <v>2275209.1661185985</v>
      </c>
      <c r="DR45">
        <f>'TEA Revised Non EYZ'!CQ45</f>
        <v>14083914.336508472</v>
      </c>
      <c r="DS45">
        <f>'TEA Revised Non EYZ'!CR45</f>
        <v>1662824.8986326549</v>
      </c>
      <c r="DT45">
        <f>'TEA Revised Non EYZ'!CS45</f>
        <v>700033.84449786716</v>
      </c>
      <c r="DU45">
        <f>'TEA Revised Non EYZ'!CT45</f>
        <v>1800336.9288957189</v>
      </c>
      <c r="DV45">
        <f>'TEA Revised Non EYZ'!CU45</f>
        <v>347282.79168127343</v>
      </c>
      <c r="DW45">
        <f>'TEA Revised Non EYZ'!CV45</f>
        <v>2149736.8951473436</v>
      </c>
      <c r="DX45">
        <f>'TEA Revised Non EYZ'!CW45</f>
        <v>253809.83932102245</v>
      </c>
      <c r="DY45">
        <f>'TEA Revised Non EYZ'!CX45</f>
        <v>5251200.2995432261</v>
      </c>
      <c r="DZ45">
        <f>'TEA Revised Non EYZ'!CY45</f>
        <v>661117.06839459355</v>
      </c>
      <c r="EA45">
        <f>'TEA Revised Non EYZ'!CZ45</f>
        <v>1700251.3262881106</v>
      </c>
      <c r="EB45">
        <f>'TEA Revised Non EYZ'!DA45</f>
        <v>327976.40134799713</v>
      </c>
      <c r="EC45">
        <f>'TEA Revised Non EYZ'!DB45</f>
        <v>2030227.2027418208</v>
      </c>
      <c r="ED45">
        <f>'TEA Revised Non EYZ'!DC45</f>
        <v>239699.86340014514</v>
      </c>
      <c r="EE45">
        <f>'TEA Revised Non EYZ'!DD45</f>
        <v>4959271.8621726679</v>
      </c>
      <c r="EF45">
        <v>0.7</v>
      </c>
      <c r="EG45">
        <v>100</v>
      </c>
      <c r="EH45">
        <f>96485*BL45*V45/EF45/EG45/60</f>
        <v>25.518483687250757</v>
      </c>
      <c r="EI45">
        <f>96485*BN45*BA45/EF45/EG45/60</f>
        <v>45.304129380916926</v>
      </c>
      <c r="EJ45">
        <f>EH45*('CAPEX+OPEX'!$O$25+'CAPEX+OPEX'!$O$26)</f>
        <v>813325.1120800561</v>
      </c>
      <c r="EK45">
        <f>EI45*('CAPEX+OPEX'!$O$25+'CAPEX+OPEX'!$O$26)</f>
        <v>1443933.2116285842</v>
      </c>
      <c r="EL45">
        <f>EJ45*1.12/0.6*'CAPEX+OPEX'!$G$116/'CAPEX+OPEX'!$G$115</f>
        <v>1790661.6086879191</v>
      </c>
      <c r="EM45">
        <f>EK45*1.12/0.6*'CAPEX+OPEX'!$G$116/'CAPEX+OPEX'!$G$115</f>
        <v>3179043.3237210219</v>
      </c>
      <c r="EN45">
        <f>EL45+EM45+DY45+EE45+1.15*(SUM(DF45:DM45)+SUM(CF45:CI45))</f>
        <v>15257583.187905071</v>
      </c>
      <c r="EO45">
        <f>EN45/15</f>
        <v>1017172.2125270048</v>
      </c>
      <c r="EP45">
        <f>('eLLE Bals'!CB45+'eLLE Bals'!CC45)*'Oxidant Feed Composition'!$N$25*60*7200</f>
        <v>12414174.020364614</v>
      </c>
      <c r="EQ45" s="83">
        <f>('eLLE Bals'!BR45+'eLLE Bals'!BY45)*'Reagent cost'!$C$38*60*7200</f>
        <v>505808.94375626615</v>
      </c>
      <c r="ER45">
        <f>'TEA Revised Non EYZ'!DI45</f>
        <v>504921.59999999998</v>
      </c>
      <c r="ES45">
        <f>'TEA Revised Non EYZ'!DJ45</f>
        <v>73.250040973193663</v>
      </c>
      <c r="ET45">
        <f>'TEA Revised Non EYZ'!DK45</f>
        <v>786.59870253678514</v>
      </c>
      <c r="EU45">
        <f>1.2*SUM(EP45:ET45)</f>
        <v>16110917.295437265</v>
      </c>
      <c r="EV45">
        <f>'TEA Revised Non EYZ'!DM45</f>
        <v>0.70639694042110623</v>
      </c>
      <c r="EW45">
        <f>(BS45*CO45+BT45*CP45)/1000*('Oxidant Feed Composition'!$B$11*'Oxidant Feed Composition'!$O$20+'Oxidant Feed Composition'!$D$11*'Oxidant Feed Composition'!$O$21+'Oxidant Feed Composition'!$F$11*'Oxidant Feed Composition'!$O$27-'Oxidant Feed Composition'!$J$15*18.015)</f>
        <v>1.8001835732398088</v>
      </c>
      <c r="EX45">
        <f>(CZ45*BX45+DC45*BZ45)*368.34/1000</f>
        <v>0.10210288496280813</v>
      </c>
      <c r="EY45">
        <f>'TEA Revised Non EYZ'!DP45</f>
        <v>4.999938342565946E-2</v>
      </c>
      <c r="EZ45">
        <f>SUM(EV45:EX45)-EY45</f>
        <v>2.5586840151980641</v>
      </c>
      <c r="FA45">
        <f>EZ45*0.33*60*7200</f>
        <v>364765.99320663605</v>
      </c>
      <c r="FB45">
        <f>'TEA Revised Non EYZ'!DS45</f>
        <v>1.2</v>
      </c>
      <c r="FC45">
        <v>0.5</v>
      </c>
      <c r="FD45">
        <f>'TEA Revised Non EYZ'!DT45</f>
        <v>1405.7912061949582</v>
      </c>
      <c r="FE45">
        <f>'TEA Revised Non EYZ'!DU45</f>
        <v>706.09632791556498</v>
      </c>
      <c r="FF45">
        <f>'TEA Revised Non EYZ'!DV45</f>
        <v>0.7</v>
      </c>
      <c r="FG45">
        <f>'TEA Revised Non EYZ'!DW45</f>
        <v>38528.386667103026</v>
      </c>
      <c r="FH45">
        <f>'TEA Revised Non EYZ'!DX45</f>
        <v>33220.879177835675</v>
      </c>
      <c r="FI45">
        <f>'TEA Revised Non EYZ'!DY45</f>
        <v>14065.291587390104</v>
      </c>
      <c r="FJ45">
        <f>'TEA Revised Non EYZ'!DZ45</f>
        <v>7450.7773575794354</v>
      </c>
      <c r="FK45">
        <f>'TEA Revised Non EYZ'!EA45</f>
        <v>7501.4888466080574</v>
      </c>
      <c r="FL45">
        <f>'TEA Revised Non EYZ'!EB45</f>
        <v>850.2225215067109</v>
      </c>
      <c r="FM45">
        <f>'TEA Revised Non EYZ'!EC45</f>
        <v>36001.204551981551</v>
      </c>
      <c r="FN45">
        <f>'TEA Revised Non EYZ'!ED45</f>
        <v>31036.899359153111</v>
      </c>
      <c r="FO45">
        <f>'TEA Revised Non EYZ'!EE45</f>
        <v>13140.622712544662</v>
      </c>
      <c r="FP45">
        <f>'TEA Revised Non EYZ'!EF45</f>
        <v>6964.8264458875174</v>
      </c>
      <c r="FQ45">
        <f>'TEA Revised Non EYZ'!EG45</f>
        <v>7008.3321133571535</v>
      </c>
      <c r="FR45">
        <f>'TEA Revised Non EYZ'!EH45</f>
        <v>427.04705912333372</v>
      </c>
      <c r="FS45">
        <f>'TEA Revised Non EYZ'!EI45</f>
        <v>196195.97840007034</v>
      </c>
      <c r="FT45">
        <f>EG45*EH45</f>
        <v>2551.8483687250759</v>
      </c>
      <c r="FU45">
        <f>EG45*EI45</f>
        <v>4530.4129380916929</v>
      </c>
      <c r="FV45">
        <f>FC45*(FT45+FU45)/(3.6*10^6)*3600*7200*0.07</f>
        <v>1784.7298493178259</v>
      </c>
      <c r="FW45">
        <f>('CAPEX+OPEX'!$C$39/7/100+0.03)*EL45</f>
        <v>92091.168446807264</v>
      </c>
      <c r="FX45">
        <f>('CAPEX+OPEX'!$C$39/7/100+0.03)*EM45</f>
        <v>163493.6566485097</v>
      </c>
      <c r="FY45">
        <f>SUM(FV45:FX45)</f>
        <v>257369.55494463479</v>
      </c>
      <c r="FZ45">
        <f>FY45+FA45+FS45+EU45</f>
        <v>16929248.821988605</v>
      </c>
      <c r="GA45">
        <f>FZ45+EO45</f>
        <v>17946421.034515608</v>
      </c>
      <c r="GB45">
        <f>GA45/(BK45*60*7200)</f>
        <v>0.41542641283600945</v>
      </c>
      <c r="GC45">
        <f>'TEA Revised Non EYZ'!EM45/'TEA Revised Non EYZ'!EK45*GA45</f>
        <v>1389.9498982590374</v>
      </c>
      <c r="GD45">
        <f>'TEA Revised Non EYZ'!EN45/'TEA Revised Non EYZ'!EK45*GA45</f>
        <v>2549.6071997539266</v>
      </c>
    </row>
    <row r="46" spans="1:186">
      <c r="A46">
        <f>'TEA Revised Non EYZ'!A46</f>
        <v>7</v>
      </c>
      <c r="B46">
        <f>'TEA Revised Non EYZ'!B46</f>
        <v>1.54143585092054E-3</v>
      </c>
      <c r="C46">
        <f>'TEA Revised Non EYZ'!C46</f>
        <v>1.54143585092054E-3</v>
      </c>
      <c r="D46">
        <f>'TEA Revised Non EYZ'!D46</f>
        <v>3.4254130020456501E-4</v>
      </c>
      <c r="E46">
        <f>'TEA Revised Non EYZ'!E46</f>
        <v>0</v>
      </c>
      <c r="F46">
        <f>'TEA Revised Non EYZ'!F46</f>
        <v>0</v>
      </c>
      <c r="G46">
        <f>'TEA Revised Non EYZ'!G46</f>
        <v>0</v>
      </c>
      <c r="H46">
        <f>'TEA Revised Non EYZ'!H46</f>
        <v>1.7744466230058299E-5</v>
      </c>
      <c r="I46">
        <f>'TEA Revised Non EYZ'!I46</f>
        <v>1.2927742824924801E-8</v>
      </c>
      <c r="J46">
        <f>'TEA Revised Non EYZ'!J46</f>
        <v>3.3739048286900598E-4</v>
      </c>
      <c r="K46">
        <f>'TEA Revised Non EYZ'!K46</f>
        <v>0.13716795306346499</v>
      </c>
      <c r="L46">
        <f>'TEA Revised Non EYZ'!L46</f>
        <v>0.138764207307677</v>
      </c>
      <c r="M46">
        <f>'TEA Revised Non EYZ'!M46</f>
        <v>4.6369433969460899E-4</v>
      </c>
      <c r="N46">
        <f>'TEA Revised Non EYZ'!N46</f>
        <v>-1.1037178115902399E-16</v>
      </c>
      <c r="O46">
        <f>'TEA Revised Non EYZ'!O46</f>
        <v>-5.3700533603207003E-15</v>
      </c>
      <c r="P46">
        <f>'TEA Revised Non EYZ'!P46</f>
        <v>-3.4304834363799101E-19</v>
      </c>
      <c r="Q46">
        <f>'TEA Revised Non EYZ'!Q46</f>
        <v>0.111082169753281</v>
      </c>
      <c r="R46">
        <f>'TEA Revised Non EYZ'!R46</f>
        <v>98.496293050653193</v>
      </c>
      <c r="S46">
        <f>'TEA Revised Non EYZ'!S46</f>
        <v>500</v>
      </c>
      <c r="T46">
        <f>'TEA Revised Non EYZ'!T46</f>
        <v>95</v>
      </c>
      <c r="U46">
        <f>'TEA Revised Non EYZ'!U46</f>
        <v>1</v>
      </c>
      <c r="V46">
        <f>'TEA Revised Non EYZ'!V46</f>
        <v>0.1</v>
      </c>
      <c r="W46">
        <f>'TEA Revised Non EYZ'!W46</f>
        <v>90.023448607553206</v>
      </c>
      <c r="X46" t="str">
        <f>'TEA Revised Non EYZ'!X46</f>
        <v>ddFc</v>
      </c>
      <c r="Y46">
        <f>'TEA Revised Non EYZ'!Y46</f>
        <v>1</v>
      </c>
      <c r="Z46">
        <f>'TEA Revised Non EYZ'!Z46</f>
        <v>0.28318429382522198</v>
      </c>
      <c r="AA46">
        <f>'TEA Revised Non EYZ'!AA46</f>
        <v>0.56945642916197003</v>
      </c>
      <c r="AB46">
        <f>'TEA Revised Non EYZ'!AB46</f>
        <v>3.7698628972227502E-3</v>
      </c>
      <c r="AC46">
        <f>'TEA Revised Non EYZ'!AC46</f>
        <v>1822.2107908876901</v>
      </c>
      <c r="AD46">
        <f>'TEA Revised Non EYZ'!AD46</f>
        <v>2662.6059073104898</v>
      </c>
      <c r="AE46">
        <f>'TEA Revised Non EYZ'!AE46</f>
        <v>2401.5030938442701</v>
      </c>
      <c r="AF46">
        <f>'TEA Revised Non EYZ'!AF46</f>
        <v>8</v>
      </c>
      <c r="AG46">
        <f>'TEA Revised Non EYZ'!AG46</f>
        <v>1.64967327652189E-3</v>
      </c>
      <c r="AH46">
        <f>'TEA Revised Non EYZ'!AH46</f>
        <v>1.66887089455438E-3</v>
      </c>
      <c r="AI46">
        <f>'TEA Revised Non EYZ'!AI46</f>
        <v>5.5766973522943398E-6</v>
      </c>
      <c r="AJ46">
        <f>'TEA Revised Non EYZ'!AJ46</f>
        <v>0</v>
      </c>
      <c r="AK46">
        <f>'TEA Revised Non EYZ'!AK46</f>
        <v>0</v>
      </c>
      <c r="AL46">
        <f>'TEA Revised Non EYZ'!AL46</f>
        <v>0</v>
      </c>
      <c r="AM46">
        <f>'TEA Revised Non EYZ'!AM46</f>
        <v>1.6126668855832699E-3</v>
      </c>
      <c r="AN46">
        <f>'TEA Revised Non EYZ'!AN46</f>
        <v>7.9337240379229206E-5</v>
      </c>
      <c r="AO46">
        <f>'TEA Revised Non EYZ'!AO46</f>
        <v>5.5399641251523699E-6</v>
      </c>
      <c r="AP46">
        <f>'TEA Revised Non EYZ'!AP46</f>
        <v>1.7350315599837401E-3</v>
      </c>
      <c r="AQ46">
        <f>'TEA Revised Non EYZ'!AQ46</f>
        <v>7.4524723667687906E-2</v>
      </c>
      <c r="AR46">
        <f>'TEA Revised Non EYZ'!AR46</f>
        <v>1.7222243722089301E-6</v>
      </c>
      <c r="AS46">
        <f>'TEA Revised Non EYZ'!AS46</f>
        <v>5.7278333009773403E-15</v>
      </c>
      <c r="AT46">
        <f>'TEA Revised Non EYZ'!AT46</f>
        <v>-1.34509916226155E-12</v>
      </c>
      <c r="AU46">
        <f>'TEA Revised Non EYZ'!AU46</f>
        <v>2.7085201977436299E-20</v>
      </c>
      <c r="AV46">
        <f>'TEA Revised Non EYZ'!AV46</f>
        <v>0.19700099793756001</v>
      </c>
      <c r="AW46">
        <f>'TEA Revised Non EYZ'!AW46</f>
        <v>99.341308577076504</v>
      </c>
      <c r="AX46">
        <f>'TEA Revised Non EYZ'!AX46</f>
        <v>500</v>
      </c>
      <c r="AY46">
        <f>'TEA Revised Non EYZ'!AY46</f>
        <v>95</v>
      </c>
      <c r="AZ46">
        <f>'TEA Revised Non EYZ'!AZ46</f>
        <v>0.92363221637625403</v>
      </c>
      <c r="BA46">
        <f>'TEA Revised Non EYZ'!BA46</f>
        <v>0.1</v>
      </c>
      <c r="BB46">
        <f>'TEA Revised Non EYZ'!BB46</f>
        <v>46.884646577729498</v>
      </c>
      <c r="BC46" t="str">
        <f>'TEA Revised Non EYZ'!BC46</f>
        <v>coeFc</v>
      </c>
      <c r="BD46">
        <f>'TEA Revised Non EYZ'!BD46</f>
        <v>1</v>
      </c>
      <c r="BE46">
        <f>'TEA Revised Non EYZ'!BE46</f>
        <v>1.8775014999999999E-2</v>
      </c>
      <c r="BF46">
        <f>'TEA Revised Non EYZ'!BF46</f>
        <v>0.10492961100000001</v>
      </c>
      <c r="BG46">
        <f>'TEA Revised Non EYZ'!BG46</f>
        <v>1.814625E-3</v>
      </c>
      <c r="BH46">
        <f>'TEA Revised Non EYZ'!BH46</f>
        <v>285.1951444</v>
      </c>
      <c r="BI46">
        <f>'TEA Revised Non EYZ'!BI46</f>
        <v>2169.8944889999998</v>
      </c>
      <c r="BJ46">
        <f>'TEA Revised Non EYZ'!BJ46</f>
        <v>866.49409060000005</v>
      </c>
      <c r="BK46">
        <f>'TEA Revised Non EYZ'!BK46</f>
        <v>100</v>
      </c>
      <c r="BL46">
        <f>'TEA Revised Non EYZ'!BL46</f>
        <v>11.1082169753281</v>
      </c>
      <c r="BM46">
        <f>'TEA Revised Non EYZ'!BM46</f>
        <v>92.363221637625401</v>
      </c>
      <c r="BN46">
        <f>'TEA Revised Non EYZ'!BN46</f>
        <v>19.700099793756003</v>
      </c>
      <c r="BO46">
        <f>'TEA Revised Non EYZ'!BO46</f>
        <v>199.94790555590581</v>
      </c>
      <c r="BP46">
        <f>'TEA Revised Non EYZ'!BP46</f>
        <v>394.00199587512009</v>
      </c>
      <c r="BQ46">
        <f>'TEA Revised Non EYZ'!BQ46</f>
        <v>19.994790555590583</v>
      </c>
      <c r="BR46">
        <f>'TEA Revised Non EYZ'!BR46</f>
        <v>39.400199587512013</v>
      </c>
      <c r="BS46">
        <f>'eLLE Bals'!CF46</f>
        <v>6.6649301851968596</v>
      </c>
      <c r="BT46">
        <f>'eLLE Bals'!CG46</f>
        <v>11.820059876253602</v>
      </c>
      <c r="BU46">
        <f>BM46</f>
        <v>92.363221637625401</v>
      </c>
      <c r="BV46">
        <f>BU46*(AM46*2+AN46*2+AO46*3)</f>
        <v>0.31409297099916972</v>
      </c>
      <c r="BW46">
        <f>BN46*BA46*(AP46*2+AQ46*2+AR46*3)</f>
        <v>0.30047513604410742</v>
      </c>
      <c r="BX46">
        <f>BV46/(2*V46*BL46+BV46)</f>
        <v>0.12386657193650251</v>
      </c>
      <c r="BY46">
        <f>BU46*BX46</f>
        <v>11.440715637264052</v>
      </c>
      <c r="BZ46">
        <f>BW46/(2*BN46*BA46+BW46)</f>
        <v>7.0858503388650088E-2</v>
      </c>
      <c r="CA46">
        <f>2*BN46*BA46/0.04</f>
        <v>98.500498968780008</v>
      </c>
      <c r="CB46">
        <f>(BS46+BL46)*2</f>
        <v>35.54629432104992</v>
      </c>
      <c r="CC46">
        <f>(BU46+BL46)*2</f>
        <v>206.94287722590701</v>
      </c>
      <c r="CD46">
        <f>(BT46+BN46)*2</f>
        <v>63.040319340019209</v>
      </c>
      <c r="CE46">
        <f>(CA46+BN46)*2</f>
        <v>236.40119752507201</v>
      </c>
      <c r="CF46">
        <f>'TEA Revised Non EYZ'!CB46</f>
        <v>2639.3123533379567</v>
      </c>
      <c r="CG46">
        <f>'TEA Revised Non EYZ'!CC46</f>
        <v>5200.8263455515853</v>
      </c>
      <c r="CH46">
        <f>'TEA Revised Non EYZ'!CD46</f>
        <v>3188.7782491883527</v>
      </c>
      <c r="CI46">
        <f>'TEA Revised Non EYZ'!CE46</f>
        <v>40114.435843849977</v>
      </c>
      <c r="CJ46">
        <f>BL46*V46</f>
        <v>1.11082169753281</v>
      </c>
      <c r="CK46">
        <f>CJ46/2*1.2</f>
        <v>0.66649301851968601</v>
      </c>
      <c r="CL46">
        <f>'eLLE Bals'!CB46*'Oxidant Feed Composition'!$N$20</f>
        <v>3.7027389917760348E-2</v>
      </c>
      <c r="CM46">
        <f>'eLLE Bals'!CB46*'Oxidant Feed Composition'!$N$21</f>
        <v>1.8513694958880169</v>
      </c>
      <c r="CN46">
        <f>'eLLE Bals'!CB46*'Oxidant Feed Composition'!$N$22</f>
        <v>0.55541084876640501</v>
      </c>
      <c r="CO46">
        <f>CN46/CK46</f>
        <v>0.83333333333333337</v>
      </c>
      <c r="CP46">
        <f>CO46</f>
        <v>0.83333333333333337</v>
      </c>
      <c r="CQ46">
        <f>CL46/CO46</f>
        <v>4.4432867901312414E-2</v>
      </c>
      <c r="CR46">
        <f>CM46/CO46</f>
        <v>2.22164339506562</v>
      </c>
      <c r="CS46">
        <f>BN46*BA46</f>
        <v>1.9700099793756003</v>
      </c>
      <c r="CT46">
        <f>CS46/2*1.2</f>
        <v>1.1820059876253601</v>
      </c>
      <c r="CU46">
        <f>'eLLE Bals'!CC46*'Oxidant Feed Composition'!$N$20</f>
        <v>6.5666999312520041E-2</v>
      </c>
      <c r="CV46">
        <f>'eLLE Bals'!CC46*'Oxidant Feed Composition'!$N$21</f>
        <v>3.2833499656260008</v>
      </c>
      <c r="CW46">
        <f>'eLLE Bals'!CC46*'Oxidant Feed Composition'!$N$22</f>
        <v>0.98500498968780015</v>
      </c>
      <c r="CX46">
        <f>CU46/CP46</f>
        <v>7.8800399175024044E-2</v>
      </c>
      <c r="CY46">
        <f>CV46/CP46</f>
        <v>3.9400199587512006</v>
      </c>
      <c r="CZ46">
        <f>CJ46</f>
        <v>1.11082169753281</v>
      </c>
      <c r="DA46">
        <f>'eLLE Bals'!BQ46</f>
        <v>2.22164339506562</v>
      </c>
      <c r="DB46">
        <f>'eLLE Bals'!BU46</f>
        <v>5.6354241482287257</v>
      </c>
      <c r="DC46">
        <f>CS46</f>
        <v>1.9700099793756003</v>
      </c>
      <c r="DD46">
        <f>'eLLE Bals'!BX46</f>
        <v>3.9400199587512006</v>
      </c>
      <c r="DE46">
        <f>'eLLE Bals'!CA46</f>
        <v>21.891996426589657</v>
      </c>
      <c r="DF46">
        <f>2*2*(CJ46*'Reagent cost'!$C$36*122.44/1000+CK46*'Oxidant Feed Composition'!$N$26+CQ46*'Reagent cost'!$C$34+CR46*'Reagent cost'!$C$35)</f>
        <v>93.828566875089578</v>
      </c>
      <c r="DG46">
        <f>2*2*(CS46*'Reagent cost'!$C$36*122.44/1000+CT46*'Oxidant Feed Composition'!$N$26+CX46*'Reagent cost'!$C$34+CY46*'Reagent cost'!$C$35)</f>
        <v>166.40223494462097</v>
      </c>
      <c r="DH46">
        <f>(AF46+3)*2*(CZ46*'Reagent cost'!$C$38+DA46*'Reagent cost'!$C$39+DB46*'Reagent cost'!$C$36*122.44/1000)</f>
        <v>1180.9503104111357</v>
      </c>
      <c r="DI46">
        <f>3*2*(DC46*'Reagent cost'!$C$38+DD46*'Reagent cost'!$C$39+DE46*'Reagent cost'!$C$36*122.44/1000)</f>
        <v>1188.452642424063</v>
      </c>
      <c r="DJ46">
        <f>7963.6*(CB46/1000)^0.6*1.7*('CAPEX+OPEX'!$G$116/'CAPEX+OPEX'!$G$115)</f>
        <v>2156.3414312027717</v>
      </c>
      <c r="DK46">
        <f>7963.6*(CC46/1000)^0.6*1.7*('CAPEX+OPEX'!$G$116/'CAPEX+OPEX'!$G$115)</f>
        <v>6205.1347590783025</v>
      </c>
      <c r="DL46">
        <f>7963.6*(CD46/1000)^0.6*1.7*('CAPEX+OPEX'!$G$116/'CAPEX+OPEX'!$G$115)</f>
        <v>3040.9688433532851</v>
      </c>
      <c r="DM46">
        <f>7963.6*(CE46/1000)^0.6*1.7*('CAPEX+OPEX'!$G$116/'CAPEX+OPEX'!$G$115)</f>
        <v>6720.9510317627646</v>
      </c>
      <c r="DN46">
        <f>'TEA Revised Non EYZ'!CM46</f>
        <v>39625.826528698344</v>
      </c>
      <c r="DO46">
        <f>'TEA Revised Non EYZ'!CN46</f>
        <v>4586243.4239371875</v>
      </c>
      <c r="DP46">
        <f>'TEA Revised Non EYZ'!CO46</f>
        <v>11794834.586807497</v>
      </c>
      <c r="DQ46">
        <f>'TEA Revised Non EYZ'!CP46</f>
        <v>2275209.1661185985</v>
      </c>
      <c r="DR46">
        <f>'TEA Revised Non EYZ'!CQ46</f>
        <v>14083914.336508472</v>
      </c>
      <c r="DS46">
        <f>'TEA Revised Non EYZ'!CR46</f>
        <v>1662824.8986326549</v>
      </c>
      <c r="DT46">
        <f>'TEA Revised Non EYZ'!CS46</f>
        <v>700033.84449786716</v>
      </c>
      <c r="DU46">
        <f>'TEA Revised Non EYZ'!CT46</f>
        <v>1800336.9288957189</v>
      </c>
      <c r="DV46">
        <f>'TEA Revised Non EYZ'!CU46</f>
        <v>347282.79168127343</v>
      </c>
      <c r="DW46">
        <f>'TEA Revised Non EYZ'!CV46</f>
        <v>2149736.8951473436</v>
      </c>
      <c r="DX46">
        <f>'TEA Revised Non EYZ'!CW46</f>
        <v>253809.83932102245</v>
      </c>
      <c r="DY46">
        <f>'TEA Revised Non EYZ'!CX46</f>
        <v>5251200.2995432261</v>
      </c>
      <c r="DZ46">
        <f>'TEA Revised Non EYZ'!CY46</f>
        <v>709528.56289770885</v>
      </c>
      <c r="EA46">
        <f>'TEA Revised Non EYZ'!CZ46</f>
        <v>1824755.3085198672</v>
      </c>
      <c r="EB46">
        <f>'TEA Revised Non EYZ'!DA46</f>
        <v>351993.06724586396</v>
      </c>
      <c r="EC46">
        <f>'TEA Revised Non EYZ'!DB46</f>
        <v>2178894.2660567677</v>
      </c>
      <c r="ED46">
        <f>'TEA Revised Non EYZ'!DC46</f>
        <v>257252.31995307075</v>
      </c>
      <c r="EE46">
        <f>'TEA Revised Non EYZ'!DD46</f>
        <v>5322423.5246732784</v>
      </c>
      <c r="EF46">
        <v>0.7</v>
      </c>
      <c r="EG46">
        <v>100</v>
      </c>
      <c r="EH46">
        <f>96485*BL46*V46/EF46/EG46/60</f>
        <v>25.518483687250757</v>
      </c>
      <c r="EI46">
        <f>96485*BN46*BA46/EF46/EG46/60</f>
        <v>45.256288776203533</v>
      </c>
      <c r="EJ46">
        <f>EH46*('CAPEX+OPEX'!$O$25+'CAPEX+OPEX'!$O$26)</f>
        <v>813325.1120800561</v>
      </c>
      <c r="EK46">
        <f>EI46*('CAPEX+OPEX'!$O$25+'CAPEX+OPEX'!$O$26)</f>
        <v>1442408.435875159</v>
      </c>
      <c r="EL46">
        <f>EJ46*1.12/0.6*'CAPEX+OPEX'!$G$116/'CAPEX+OPEX'!$G$115</f>
        <v>1790661.6086879191</v>
      </c>
      <c r="EM46">
        <f>EK46*1.12/0.6*'CAPEX+OPEX'!$G$116/'CAPEX+OPEX'!$G$115</f>
        <v>3175686.2929802225</v>
      </c>
      <c r="EN46">
        <f>EL46+EM46+DY46+EE46+1.15*(SUM(DF46:DM46)+SUM(CF46:CI46))</f>
        <v>15622652.565888423</v>
      </c>
      <c r="EO46">
        <f>EN46/15</f>
        <v>1041510.1710592282</v>
      </c>
      <c r="EP46">
        <f>('eLLE Bals'!CB46+'eLLE Bals'!CC46)*'Oxidant Feed Composition'!$N$25*60*7200</f>
        <v>12405788.258156432</v>
      </c>
      <c r="EQ46" s="83">
        <f>('eLLE Bals'!BR46+'eLLE Bals'!BY46)*'Reagent cost'!$C$38*60*7200</f>
        <v>505787.50148562255</v>
      </c>
      <c r="ER46">
        <f>'TEA Revised Non EYZ'!DI46</f>
        <v>504921.59999999998</v>
      </c>
      <c r="ES46">
        <f>'TEA Revised Non EYZ'!DJ46</f>
        <v>78.401386988895425</v>
      </c>
      <c r="ET46">
        <f>'TEA Revised Non EYZ'!DK46</f>
        <v>866.06428186076664</v>
      </c>
      <c r="EU46">
        <f>1.2*SUM(EP46:ET46)</f>
        <v>16100930.190373085</v>
      </c>
      <c r="EV46">
        <f>'TEA Revised Non EYZ'!DM46</f>
        <v>0.70639694042110623</v>
      </c>
      <c r="EW46">
        <f>(BS46*CO46+BT46*CP46)/1000*('Oxidant Feed Composition'!$B$11*'Oxidant Feed Composition'!$O$20+'Oxidant Feed Composition'!$D$11*'Oxidant Feed Composition'!$O$21+'Oxidant Feed Composition'!$F$11*'Oxidant Feed Composition'!$O$27-'Oxidant Feed Composition'!$J$15*18.015)</f>
        <v>1.7989675510258862</v>
      </c>
      <c r="EX46">
        <f>(CZ46*BX46+DC46*BZ46)*368.34/1000</f>
        <v>0.10209855661369548</v>
      </c>
      <c r="EY46">
        <f>'TEA Revised Non EYZ'!DP46</f>
        <v>4.999938342565946E-2</v>
      </c>
      <c r="EZ46">
        <f>SUM(EV46:EX46)-EY46</f>
        <v>2.5574636646350286</v>
      </c>
      <c r="FA46">
        <f>EZ46*0.33*60*7200</f>
        <v>364592.02003036969</v>
      </c>
      <c r="FB46">
        <f>'TEA Revised Non EYZ'!DS46</f>
        <v>1.2</v>
      </c>
      <c r="FC46">
        <v>0.5</v>
      </c>
      <c r="FD46">
        <f>'TEA Revised Non EYZ'!DT46</f>
        <v>1405.9132334970786</v>
      </c>
      <c r="FE46">
        <f>'TEA Revised Non EYZ'!DU46</f>
        <v>705.97430122516892</v>
      </c>
      <c r="FF46">
        <f>'TEA Revised Non EYZ'!DV46</f>
        <v>0.7</v>
      </c>
      <c r="FG46">
        <f>'TEA Revised Non EYZ'!DW46</f>
        <v>38528.386667103026</v>
      </c>
      <c r="FH46">
        <f>'TEA Revised Non EYZ'!DX46</f>
        <v>33220.879177835675</v>
      </c>
      <c r="FI46">
        <f>'TEA Revised Non EYZ'!DY46</f>
        <v>14065.291587390104</v>
      </c>
      <c r="FJ46">
        <f>'TEA Revised Non EYZ'!DZ46</f>
        <v>7450.7773575794354</v>
      </c>
      <c r="FK46">
        <f>'TEA Revised Non EYZ'!EA46</f>
        <v>7501.4888466080574</v>
      </c>
      <c r="FL46">
        <f>'TEA Revised Non EYZ'!EB46</f>
        <v>850.29632361903327</v>
      </c>
      <c r="FM46">
        <f>'TEA Revised Non EYZ'!EC46</f>
        <v>38572.719162837369</v>
      </c>
      <c r="FN46">
        <f>'TEA Revised Non EYZ'!ED46</f>
        <v>34916.511779047243</v>
      </c>
      <c r="FO46">
        <f>'TEA Revised Non EYZ'!EE46</f>
        <v>14783.200551612743</v>
      </c>
      <c r="FP46">
        <f>'TEA Revised Non EYZ'!EF46</f>
        <v>7835.4297516234565</v>
      </c>
      <c r="FQ46">
        <f>'TEA Revised Non EYZ'!EG46</f>
        <v>7884.3736275267966</v>
      </c>
      <c r="FR46">
        <f>'TEA Revised Non EYZ'!EH46</f>
        <v>426.9732573809822</v>
      </c>
      <c r="FS46">
        <f>'TEA Revised Non EYZ'!EI46</f>
        <v>206036.32809016391</v>
      </c>
      <c r="FT46">
        <f>EG46*EH46</f>
        <v>2551.8483687250759</v>
      </c>
      <c r="FU46">
        <f>EG46*EI46</f>
        <v>4525.6288776203537</v>
      </c>
      <c r="FV46">
        <f>FC46*(FT46+FU46)/(3.6*10^6)*3600*7200*0.07</f>
        <v>1783.5242660790486</v>
      </c>
      <c r="FW46">
        <f>('CAPEX+OPEX'!$C$39/7/100+0.03)*EL46</f>
        <v>92091.168446807264</v>
      </c>
      <c r="FX46">
        <f>('CAPEX+OPEX'!$C$39/7/100+0.03)*EM46</f>
        <v>163321.00935326857</v>
      </c>
      <c r="FY46">
        <f>SUM(FV46:FX46)</f>
        <v>257195.70206615489</v>
      </c>
      <c r="FZ46">
        <f>FY46+FA46+FS46+EU46</f>
        <v>16928754.240559775</v>
      </c>
      <c r="GA46">
        <f>FZ46+EO46</f>
        <v>17970264.411619004</v>
      </c>
      <c r="GB46">
        <f>GA46/(BK46*60*7200)</f>
        <v>0.415978342861551</v>
      </c>
      <c r="GC46">
        <f>'TEA Revised Non EYZ'!EM46/'TEA Revised Non EYZ'!EK46*GA46</f>
        <v>1391.6756869112355</v>
      </c>
      <c r="GD46">
        <f>'TEA Revised Non EYZ'!EN46/'TEA Revised Non EYZ'!EK46*GA46</f>
        <v>2553.4013999434101</v>
      </c>
    </row>
    <row r="47" spans="1:186">
      <c r="A47">
        <f>'TEA Revised Non EYZ'!A47</f>
        <v>7</v>
      </c>
      <c r="B47">
        <f>'TEA Revised Non EYZ'!B47</f>
        <v>1.54143585092054E-3</v>
      </c>
      <c r="C47">
        <f>'TEA Revised Non EYZ'!C47</f>
        <v>1.54143585092054E-3</v>
      </c>
      <c r="D47">
        <f>'TEA Revised Non EYZ'!D47</f>
        <v>3.4254130020456501E-4</v>
      </c>
      <c r="E47">
        <f>'TEA Revised Non EYZ'!E47</f>
        <v>0</v>
      </c>
      <c r="F47">
        <f>'TEA Revised Non EYZ'!F47</f>
        <v>0</v>
      </c>
      <c r="G47">
        <f>'TEA Revised Non EYZ'!G47</f>
        <v>0</v>
      </c>
      <c r="H47">
        <f>'TEA Revised Non EYZ'!H47</f>
        <v>1.7744466230058299E-5</v>
      </c>
      <c r="I47">
        <f>'TEA Revised Non EYZ'!I47</f>
        <v>1.2927742824924801E-8</v>
      </c>
      <c r="J47">
        <f>'TEA Revised Non EYZ'!J47</f>
        <v>3.3739048286900598E-4</v>
      </c>
      <c r="K47">
        <f>'TEA Revised Non EYZ'!K47</f>
        <v>0.13716795306346499</v>
      </c>
      <c r="L47">
        <f>'TEA Revised Non EYZ'!L47</f>
        <v>0.138764207307677</v>
      </c>
      <c r="M47">
        <f>'TEA Revised Non EYZ'!M47</f>
        <v>4.6369433969460899E-4</v>
      </c>
      <c r="N47">
        <f>'TEA Revised Non EYZ'!N47</f>
        <v>-1.1037178115902399E-16</v>
      </c>
      <c r="O47">
        <f>'TEA Revised Non EYZ'!O47</f>
        <v>-5.3700533603207003E-15</v>
      </c>
      <c r="P47">
        <f>'TEA Revised Non EYZ'!P47</f>
        <v>-3.4304834363799101E-19</v>
      </c>
      <c r="Q47">
        <f>'TEA Revised Non EYZ'!Q47</f>
        <v>0.111082169753281</v>
      </c>
      <c r="R47">
        <f>'TEA Revised Non EYZ'!R47</f>
        <v>98.496293050653193</v>
      </c>
      <c r="S47">
        <f>'TEA Revised Non EYZ'!S47</f>
        <v>500</v>
      </c>
      <c r="T47">
        <f>'TEA Revised Non EYZ'!T47</f>
        <v>95</v>
      </c>
      <c r="U47">
        <f>'TEA Revised Non EYZ'!U47</f>
        <v>1</v>
      </c>
      <c r="V47">
        <f>'TEA Revised Non EYZ'!V47</f>
        <v>0.1</v>
      </c>
      <c r="W47">
        <f>'TEA Revised Non EYZ'!W47</f>
        <v>90.023448607553206</v>
      </c>
      <c r="X47" t="str">
        <f>'TEA Revised Non EYZ'!X47</f>
        <v>ddFc</v>
      </c>
      <c r="Y47">
        <f>'TEA Revised Non EYZ'!Y47</f>
        <v>1</v>
      </c>
      <c r="Z47">
        <f>'TEA Revised Non EYZ'!Z47</f>
        <v>0.28318429382522198</v>
      </c>
      <c r="AA47">
        <f>'TEA Revised Non EYZ'!AA47</f>
        <v>0.56945642916197003</v>
      </c>
      <c r="AB47">
        <f>'TEA Revised Non EYZ'!AB47</f>
        <v>3.7698628972227502E-3</v>
      </c>
      <c r="AC47">
        <f>'TEA Revised Non EYZ'!AC47</f>
        <v>1822.2107908876901</v>
      </c>
      <c r="AD47">
        <f>'TEA Revised Non EYZ'!AD47</f>
        <v>2662.6059073104898</v>
      </c>
      <c r="AE47">
        <f>'TEA Revised Non EYZ'!AE47</f>
        <v>2401.5030938442701</v>
      </c>
      <c r="AF47">
        <f>'TEA Revised Non EYZ'!AF47</f>
        <v>9</v>
      </c>
      <c r="AG47">
        <f>'TEA Revised Non EYZ'!AG47</f>
        <v>1.64967327652189E-3</v>
      </c>
      <c r="AH47">
        <f>'TEA Revised Non EYZ'!AH47</f>
        <v>1.66887089455438E-3</v>
      </c>
      <c r="AI47">
        <f>'TEA Revised Non EYZ'!AI47</f>
        <v>5.5766973522943398E-6</v>
      </c>
      <c r="AJ47">
        <f>'TEA Revised Non EYZ'!AJ47</f>
        <v>0</v>
      </c>
      <c r="AK47">
        <f>'TEA Revised Non EYZ'!AK47</f>
        <v>0</v>
      </c>
      <c r="AL47">
        <f>'TEA Revised Non EYZ'!AL47</f>
        <v>0</v>
      </c>
      <c r="AM47">
        <f>'TEA Revised Non EYZ'!AM47</f>
        <v>1.6127064588001699E-3</v>
      </c>
      <c r="AN47">
        <f>'TEA Revised Non EYZ'!AN47</f>
        <v>7.9339285496144799E-5</v>
      </c>
      <c r="AO47">
        <f>'TEA Revised Non EYZ'!AO47</f>
        <v>5.5400017762774897E-6</v>
      </c>
      <c r="AP47">
        <f>'TEA Revised Non EYZ'!AP47</f>
        <v>1.7336940135680801E-3</v>
      </c>
      <c r="AQ47">
        <f>'TEA Revised Non EYZ'!AQ47</f>
        <v>7.4546893805151004E-2</v>
      </c>
      <c r="AR47">
        <f>'TEA Revised Non EYZ'!AR47</f>
        <v>1.7209731425580199E-6</v>
      </c>
      <c r="AS47">
        <f>'TEA Revised Non EYZ'!AS47</f>
        <v>4.4438736544749601E-17</v>
      </c>
      <c r="AT47">
        <f>'TEA Revised Non EYZ'!AT47</f>
        <v>-5.7289242794133999E-15</v>
      </c>
      <c r="AU47">
        <f>'TEA Revised Non EYZ'!AU47</f>
        <v>-1.43598554339205E-21</v>
      </c>
      <c r="AV47">
        <f>'TEA Revised Non EYZ'!AV47</f>
        <v>0.19694215655956099</v>
      </c>
      <c r="AW47">
        <f>'TEA Revised Non EYZ'!AW47</f>
        <v>99.341983728025795</v>
      </c>
      <c r="AX47">
        <f>'TEA Revised Non EYZ'!AX47</f>
        <v>500</v>
      </c>
      <c r="AY47">
        <f>'TEA Revised Non EYZ'!AY47</f>
        <v>95</v>
      </c>
      <c r="AZ47">
        <f>'TEA Revised Non EYZ'!AZ47</f>
        <v>0.92363221637625403</v>
      </c>
      <c r="BA47">
        <f>'TEA Revised Non EYZ'!BA47</f>
        <v>0.1</v>
      </c>
      <c r="BB47">
        <f>'TEA Revised Non EYZ'!BB47</f>
        <v>46.898654534480997</v>
      </c>
      <c r="BC47" t="str">
        <f>'TEA Revised Non EYZ'!BC47</f>
        <v>coeFc</v>
      </c>
      <c r="BD47">
        <f>'TEA Revised Non EYZ'!BD47</f>
        <v>1</v>
      </c>
      <c r="BE47">
        <f>'TEA Revised Non EYZ'!BE47</f>
        <v>1.8775014999999999E-2</v>
      </c>
      <c r="BF47">
        <f>'TEA Revised Non EYZ'!BF47</f>
        <v>0.10492961100000001</v>
      </c>
      <c r="BG47">
        <f>'TEA Revised Non EYZ'!BG47</f>
        <v>1.814625E-3</v>
      </c>
      <c r="BH47">
        <f>'TEA Revised Non EYZ'!BH47</f>
        <v>285.1951444</v>
      </c>
      <c r="BI47">
        <f>'TEA Revised Non EYZ'!BI47</f>
        <v>2169.8944889999998</v>
      </c>
      <c r="BJ47">
        <f>'TEA Revised Non EYZ'!BJ47</f>
        <v>866.49409060000005</v>
      </c>
      <c r="BK47">
        <f>'TEA Revised Non EYZ'!BK47</f>
        <v>100</v>
      </c>
      <c r="BL47">
        <f>'TEA Revised Non EYZ'!BL47</f>
        <v>11.1082169753281</v>
      </c>
      <c r="BM47">
        <f>'TEA Revised Non EYZ'!BM47</f>
        <v>92.363221637625401</v>
      </c>
      <c r="BN47">
        <f>'TEA Revised Non EYZ'!BN47</f>
        <v>19.6942156559561</v>
      </c>
      <c r="BO47">
        <f>'TEA Revised Non EYZ'!BO47</f>
        <v>199.94790555590581</v>
      </c>
      <c r="BP47">
        <f>'TEA Revised Non EYZ'!BP47</f>
        <v>433.2727444310342</v>
      </c>
      <c r="BQ47">
        <f>'TEA Revised Non EYZ'!BQ47</f>
        <v>19.994790555590583</v>
      </c>
      <c r="BR47">
        <f>'TEA Revised Non EYZ'!BR47</f>
        <v>43.32727444310342</v>
      </c>
      <c r="BS47">
        <f>'eLLE Bals'!CF47</f>
        <v>6.6649301851968596</v>
      </c>
      <c r="BT47">
        <f>'eLLE Bals'!CG47</f>
        <v>11.81652939357366</v>
      </c>
      <c r="BU47">
        <f>BM47</f>
        <v>92.363221637625401</v>
      </c>
      <c r="BV47">
        <f>BU47*(AM47*2+AN47*2+AO47*3)</f>
        <v>0.3141006694386882</v>
      </c>
      <c r="BW47">
        <f>BN47*BA47*(AP47*2+AQ47*2+AR47*3)</f>
        <v>0.30046743733785264</v>
      </c>
      <c r="BX47">
        <f>BV47/(2*V47*BL47+BV47)</f>
        <v>0.12386923185013514</v>
      </c>
      <c r="BY47">
        <f>BU47*BX47</f>
        <v>11.440961315456439</v>
      </c>
      <c r="BZ47">
        <f>BW47/(2*BN47*BA47+BW47)</f>
        <v>7.0876486277839948E-2</v>
      </c>
      <c r="CA47">
        <f>2*BN47*BA47/0.04</f>
        <v>98.4710782797805</v>
      </c>
      <c r="CB47">
        <f>(BS47+BL47)*2</f>
        <v>35.54629432104992</v>
      </c>
      <c r="CC47">
        <f>(BU47+BL47)*2</f>
        <v>206.94287722590701</v>
      </c>
      <c r="CD47">
        <f>(BT47+BN47)*2</f>
        <v>63.02149009905952</v>
      </c>
      <c r="CE47">
        <f>(CA47+BN47)*2</f>
        <v>236.3305878714732</v>
      </c>
      <c r="CF47">
        <f>'TEA Revised Non EYZ'!CB47</f>
        <v>2639.3123533379567</v>
      </c>
      <c r="CG47">
        <f>'TEA Revised Non EYZ'!CC47</f>
        <v>5719.2002264896519</v>
      </c>
      <c r="CH47">
        <f>'TEA Revised Non EYZ'!CD47</f>
        <v>3188.7782491883527</v>
      </c>
      <c r="CI47">
        <f>'TEA Revised Non EYZ'!CE47</f>
        <v>44112.69965971521</v>
      </c>
      <c r="CJ47">
        <f>BL47*V47</f>
        <v>1.11082169753281</v>
      </c>
      <c r="CK47">
        <f>CJ47/2*1.2</f>
        <v>0.66649301851968601</v>
      </c>
      <c r="CL47">
        <f>'eLLE Bals'!CB47*'Oxidant Feed Composition'!$N$20</f>
        <v>3.7027389917760348E-2</v>
      </c>
      <c r="CM47">
        <f>'eLLE Bals'!CB47*'Oxidant Feed Composition'!$N$21</f>
        <v>1.8513694958880169</v>
      </c>
      <c r="CN47">
        <f>'eLLE Bals'!CB47*'Oxidant Feed Composition'!$N$22</f>
        <v>0.55541084876640501</v>
      </c>
      <c r="CO47">
        <f>CN47/CK47</f>
        <v>0.83333333333333337</v>
      </c>
      <c r="CP47">
        <f>CO47</f>
        <v>0.83333333333333337</v>
      </c>
      <c r="CQ47">
        <f>CL47/CO47</f>
        <v>4.4432867901312414E-2</v>
      </c>
      <c r="CR47">
        <f>CM47/CO47</f>
        <v>2.22164339506562</v>
      </c>
      <c r="CS47">
        <f>BN47*BA47</f>
        <v>1.96942156559561</v>
      </c>
      <c r="CT47">
        <f>CS47/2*1.2</f>
        <v>1.181652939357366</v>
      </c>
      <c r="CU47">
        <f>'eLLE Bals'!CC47*'Oxidant Feed Composition'!$N$20</f>
        <v>6.564738551985369E-2</v>
      </c>
      <c r="CV47">
        <f>'eLLE Bals'!CC47*'Oxidant Feed Composition'!$N$21</f>
        <v>3.2823692759926835</v>
      </c>
      <c r="CW47">
        <f>'eLLE Bals'!CC47*'Oxidant Feed Composition'!$N$22</f>
        <v>0.984710782797805</v>
      </c>
      <c r="CX47">
        <f>CU47/CP47</f>
        <v>7.8776862623824426E-2</v>
      </c>
      <c r="CY47">
        <f>CV47/CP47</f>
        <v>3.93884313119122</v>
      </c>
      <c r="CZ47">
        <f>CJ47</f>
        <v>1.11082169753281</v>
      </c>
      <c r="DA47">
        <f>'eLLE Bals'!BQ47</f>
        <v>2.22164339506562</v>
      </c>
      <c r="DB47">
        <f>'eLLE Bals'!BU47</f>
        <v>5.6352315738162755</v>
      </c>
      <c r="DC47">
        <f>CS47</f>
        <v>1.96942156559561</v>
      </c>
      <c r="DD47">
        <f>'eLLE Bals'!BX47</f>
        <v>3.93884313119122</v>
      </c>
      <c r="DE47">
        <f>'eLLE Bals'!CA47</f>
        <v>21.878405735426242</v>
      </c>
      <c r="DF47">
        <f>2*2*(CJ47*'Reagent cost'!$C$36*122.44/1000+CK47*'Oxidant Feed Composition'!$N$26+CQ47*'Reagent cost'!$C$34+CR47*'Reagent cost'!$C$35)</f>
        <v>93.828566875089578</v>
      </c>
      <c r="DG47">
        <f>2*2*(CS47*'Reagent cost'!$C$36*122.44/1000+CT47*'Oxidant Feed Composition'!$N$26+CX47*'Reagent cost'!$C$34+CY47*'Reagent cost'!$C$35)</f>
        <v>166.35253297910421</v>
      </c>
      <c r="DH47">
        <f>(AF47+3)*2*(CZ47*'Reagent cost'!$C$38+DA47*'Reagent cost'!$C$39+DB47*'Reagent cost'!$C$36*122.44/1000)</f>
        <v>1288.2694662841307</v>
      </c>
      <c r="DI47">
        <f>3*2*(DC47*'Reagent cost'!$C$38+DD47*'Reagent cost'!$C$39+DE47*'Reagent cost'!$C$36*122.44/1000)</f>
        <v>1187.7318159131787</v>
      </c>
      <c r="DJ47">
        <f>7963.6*(CB47/1000)^0.6*1.7*('CAPEX+OPEX'!$G$116/'CAPEX+OPEX'!$G$115)</f>
        <v>2156.3414312027717</v>
      </c>
      <c r="DK47">
        <f>7963.6*(CC47/1000)^0.6*1.7*('CAPEX+OPEX'!$G$116/'CAPEX+OPEX'!$G$115)</f>
        <v>6205.1347590783025</v>
      </c>
      <c r="DL47">
        <f>7963.6*(CD47/1000)^0.6*1.7*('CAPEX+OPEX'!$G$116/'CAPEX+OPEX'!$G$115)</f>
        <v>3040.4238344763421</v>
      </c>
      <c r="DM47">
        <f>7963.6*(CE47/1000)^0.6*1.7*('CAPEX+OPEX'!$G$116/'CAPEX+OPEX'!$G$115)</f>
        <v>6719.7464886837342</v>
      </c>
      <c r="DN47">
        <f>'TEA Revised Non EYZ'!CM47</f>
        <v>39625.826528698344</v>
      </c>
      <c r="DO47">
        <f>'TEA Revised Non EYZ'!CN47</f>
        <v>4586243.4239371875</v>
      </c>
      <c r="DP47">
        <f>'TEA Revised Non EYZ'!CO47</f>
        <v>11794834.586807497</v>
      </c>
      <c r="DQ47">
        <f>'TEA Revised Non EYZ'!CP47</f>
        <v>2275209.1661185985</v>
      </c>
      <c r="DR47">
        <f>'TEA Revised Non EYZ'!CQ47</f>
        <v>14083914.336508472</v>
      </c>
      <c r="DS47">
        <f>'TEA Revised Non EYZ'!CR47</f>
        <v>1662824.8986326549</v>
      </c>
      <c r="DT47">
        <f>'TEA Revised Non EYZ'!CS47</f>
        <v>700033.84449786716</v>
      </c>
      <c r="DU47">
        <f>'TEA Revised Non EYZ'!CT47</f>
        <v>1800336.9288957189</v>
      </c>
      <c r="DV47">
        <f>'TEA Revised Non EYZ'!CU47</f>
        <v>347282.79168127343</v>
      </c>
      <c r="DW47">
        <f>'TEA Revised Non EYZ'!CV47</f>
        <v>2149736.8951473436</v>
      </c>
      <c r="DX47">
        <f>'TEA Revised Non EYZ'!CW47</f>
        <v>253809.83932102245</v>
      </c>
      <c r="DY47">
        <f>'TEA Revised Non EYZ'!CX47</f>
        <v>5251200.2995432261</v>
      </c>
      <c r="DZ47">
        <f>'TEA Revised Non EYZ'!CY47</f>
        <v>755830.43823057832</v>
      </c>
      <c r="EA47">
        <f>'TEA Revised Non EYZ'!CZ47</f>
        <v>1943833.8026442246</v>
      </c>
      <c r="EB47">
        <f>'TEA Revised Non EYZ'!DA47</f>
        <v>374963.16312345862</v>
      </c>
      <c r="EC47">
        <f>'TEA Revised Non EYZ'!DB47</f>
        <v>2321082.8909352971</v>
      </c>
      <c r="ED47">
        <f>'TEA Revised Non EYZ'!DC47</f>
        <v>274039.89619794104</v>
      </c>
      <c r="EE47">
        <f>'TEA Revised Non EYZ'!DD47</f>
        <v>5669750.1911314996</v>
      </c>
      <c r="EF47">
        <v>0.7</v>
      </c>
      <c r="EG47">
        <v>100</v>
      </c>
      <c r="EH47">
        <f>96485*BL47*V47/EF47/EG47/60</f>
        <v>25.518483687250757</v>
      </c>
      <c r="EI47">
        <f>96485*BN47*BA47/EF47/EG47/60</f>
        <v>45.242771370593452</v>
      </c>
      <c r="EJ47">
        <f>EH47*('CAPEX+OPEX'!$O$25+'CAPEX+OPEX'!$O$26)</f>
        <v>813325.1120800561</v>
      </c>
      <c r="EK47">
        <f>EI47*('CAPEX+OPEX'!$O$25+'CAPEX+OPEX'!$O$26)</f>
        <v>1441977.6091235545</v>
      </c>
      <c r="EL47">
        <f>EJ47*1.12/0.6*'CAPEX+OPEX'!$G$116/'CAPEX+OPEX'!$G$115</f>
        <v>1790661.6086879191</v>
      </c>
      <c r="EM47">
        <f>EK47*1.12/0.6*'CAPEX+OPEX'!$G$116/'CAPEX+OPEX'!$G$115</f>
        <v>3174737.760944711</v>
      </c>
      <c r="EN47">
        <f>EL47+EM47+DY47+EE47+1.15*(SUM(DF47:DM47)+SUM(CF47:CI47))</f>
        <v>15974345.352599211</v>
      </c>
      <c r="EO47">
        <f>EN47/15</f>
        <v>1064956.3568399474</v>
      </c>
      <c r="EP47">
        <f>('eLLE Bals'!CB47+'eLLE Bals'!CC47)*'Oxidant Feed Composition'!$N$25*60*7200</f>
        <v>12403418.853551352</v>
      </c>
      <c r="EQ47" s="83">
        <f>('eLLE Bals'!BR47+'eLLE Bals'!BY47)*'Reagent cost'!$C$38*60*7200</f>
        <v>505781.43693927792</v>
      </c>
      <c r="ER47">
        <f>'TEA Revised Non EYZ'!DI47</f>
        <v>504921.59999999998</v>
      </c>
      <c r="ES47">
        <f>'TEA Revised Non EYZ'!DJ47</f>
        <v>83.585125798276096</v>
      </c>
      <c r="ET47">
        <f>'TEA Revised Non EYZ'!DK47</f>
        <v>946.02955817807128</v>
      </c>
      <c r="EU47">
        <f>1.2*SUM(EP47:ET47)</f>
        <v>16098181.806209527</v>
      </c>
      <c r="EV47">
        <f>'TEA Revised Non EYZ'!DM47</f>
        <v>0.70639694042110623</v>
      </c>
      <c r="EW47">
        <f>(BS47*CO47+BT47*CP47)/1000*('Oxidant Feed Composition'!$B$11*'Oxidant Feed Composition'!$O$20+'Oxidant Feed Composition'!$D$11*'Oxidant Feed Composition'!$O$21+'Oxidant Feed Composition'!$F$11*'Oxidant Feed Composition'!$O$27-'Oxidant Feed Composition'!$J$15*18.015)</f>
        <v>1.7986239628627569</v>
      </c>
      <c r="EX47">
        <f>(CZ47*BX47+DC47*BZ47)*368.34/1000</f>
        <v>0.10209733242087447</v>
      </c>
      <c r="EY47">
        <f>'TEA Revised Non EYZ'!DP47</f>
        <v>4.999938342565946E-2</v>
      </c>
      <c r="EZ47">
        <f>SUM(EV47:EX47)-EY47</f>
        <v>2.5571188522790784</v>
      </c>
      <c r="FA47">
        <f>EZ47*0.33*60*7200</f>
        <v>364542.86358090542</v>
      </c>
      <c r="FB47">
        <f>'TEA Revised Non EYZ'!DS47</f>
        <v>1.2</v>
      </c>
      <c r="FC47">
        <v>0.5</v>
      </c>
      <c r="FD47">
        <f>'TEA Revised Non EYZ'!DT47</f>
        <v>1405.9477123179286</v>
      </c>
      <c r="FE47">
        <f>'TEA Revised Non EYZ'!DU47</f>
        <v>705.93982179416889</v>
      </c>
      <c r="FF47">
        <f>'TEA Revised Non EYZ'!DV47</f>
        <v>0.7</v>
      </c>
      <c r="FG47">
        <f>'TEA Revised Non EYZ'!DW47</f>
        <v>38528.386667103026</v>
      </c>
      <c r="FH47">
        <f>'TEA Revised Non EYZ'!DX47</f>
        <v>33220.879177835675</v>
      </c>
      <c r="FI47">
        <f>'TEA Revised Non EYZ'!DY47</f>
        <v>14065.291587390104</v>
      </c>
      <c r="FJ47">
        <f>'TEA Revised Non EYZ'!DZ47</f>
        <v>7450.7773575794354</v>
      </c>
      <c r="FK47">
        <f>'TEA Revised Non EYZ'!EA47</f>
        <v>7501.4888466080574</v>
      </c>
      <c r="FL47">
        <f>'TEA Revised Non EYZ'!EB47</f>
        <v>850.31717640988325</v>
      </c>
      <c r="FM47">
        <f>'TEA Revised Non EYZ'!EC47</f>
        <v>41144.233773693195</v>
      </c>
      <c r="FN47">
        <f>'TEA Revised Non EYZ'!ED47</f>
        <v>38796.12419894139</v>
      </c>
      <c r="FO47">
        <f>'TEA Revised Non EYZ'!EE47</f>
        <v>16425.778390680825</v>
      </c>
      <c r="FP47">
        <f>'TEA Revised Non EYZ'!EF47</f>
        <v>8706.0330573593965</v>
      </c>
      <c r="FQ47">
        <f>'TEA Revised Non EYZ'!EG47</f>
        <v>8760.4151416964414</v>
      </c>
      <c r="FR47">
        <f>'TEA Revised Non EYZ'!EH47</f>
        <v>426.95240422111334</v>
      </c>
      <c r="FS47">
        <f>'TEA Revised Non EYZ'!EI47</f>
        <v>215876.67777951853</v>
      </c>
      <c r="FT47">
        <f>EG47*EH47</f>
        <v>2551.8483687250759</v>
      </c>
      <c r="FU47">
        <f>EG47*EI47</f>
        <v>4524.2771370593455</v>
      </c>
      <c r="FV47">
        <f>FC47*(FT47+FU47)/(3.6*10^6)*3600*7200*0.07</f>
        <v>1783.1836274576742</v>
      </c>
      <c r="FW47">
        <f>('CAPEX+OPEX'!$C$39/7/100+0.03)*EL47</f>
        <v>92091.168446807264</v>
      </c>
      <c r="FX47">
        <f>('CAPEX+OPEX'!$C$39/7/100+0.03)*EM47</f>
        <v>163272.227705728</v>
      </c>
      <c r="FY47">
        <f>SUM(FV47:FX47)</f>
        <v>257146.57977999293</v>
      </c>
      <c r="FZ47">
        <f>FY47+FA47+FS47+EU47</f>
        <v>16935747.927349944</v>
      </c>
      <c r="GA47">
        <f>FZ47+EO47</f>
        <v>18000704.284189891</v>
      </c>
      <c r="GB47">
        <f>GA47/(BK47*60*7200)</f>
        <v>0.41668296954143269</v>
      </c>
      <c r="GC47">
        <f>'TEA Revised Non EYZ'!EM47/'TEA Revised Non EYZ'!EK47*GA47</f>
        <v>1393.9988407908811</v>
      </c>
      <c r="GD47">
        <f>'TEA Revised Non EYZ'!EN47/'TEA Revised Non EYZ'!EK47*GA47</f>
        <v>2557.8417822574866</v>
      </c>
    </row>
    <row r="48" spans="1:186">
      <c r="A48">
        <f>'TEA Revised Non EYZ'!A48</f>
        <v>7</v>
      </c>
      <c r="B48">
        <f>'TEA Revised Non EYZ'!B48</f>
        <v>1.54143585092054E-3</v>
      </c>
      <c r="C48">
        <f>'TEA Revised Non EYZ'!C48</f>
        <v>1.54143585092054E-3</v>
      </c>
      <c r="D48">
        <f>'TEA Revised Non EYZ'!D48</f>
        <v>3.4254130020456501E-4</v>
      </c>
      <c r="E48">
        <f>'TEA Revised Non EYZ'!E48</f>
        <v>0</v>
      </c>
      <c r="F48">
        <f>'TEA Revised Non EYZ'!F48</f>
        <v>0</v>
      </c>
      <c r="G48">
        <f>'TEA Revised Non EYZ'!G48</f>
        <v>0</v>
      </c>
      <c r="H48">
        <f>'TEA Revised Non EYZ'!H48</f>
        <v>1.7744466230058299E-5</v>
      </c>
      <c r="I48">
        <f>'TEA Revised Non EYZ'!I48</f>
        <v>1.2927742824924801E-8</v>
      </c>
      <c r="J48">
        <f>'TEA Revised Non EYZ'!J48</f>
        <v>3.3739048286900598E-4</v>
      </c>
      <c r="K48">
        <f>'TEA Revised Non EYZ'!K48</f>
        <v>0.13716795306346499</v>
      </c>
      <c r="L48">
        <f>'TEA Revised Non EYZ'!L48</f>
        <v>0.138764207307677</v>
      </c>
      <c r="M48">
        <f>'TEA Revised Non EYZ'!M48</f>
        <v>4.6369433969460899E-4</v>
      </c>
      <c r="N48">
        <f>'TEA Revised Non EYZ'!N48</f>
        <v>-1.1037178115902399E-16</v>
      </c>
      <c r="O48">
        <f>'TEA Revised Non EYZ'!O48</f>
        <v>-5.3700533603207003E-15</v>
      </c>
      <c r="P48">
        <f>'TEA Revised Non EYZ'!P48</f>
        <v>-3.4304834363799101E-19</v>
      </c>
      <c r="Q48">
        <f>'TEA Revised Non EYZ'!Q48</f>
        <v>0.111082169753281</v>
      </c>
      <c r="R48">
        <f>'TEA Revised Non EYZ'!R48</f>
        <v>98.496293050653193</v>
      </c>
      <c r="S48">
        <f>'TEA Revised Non EYZ'!S48</f>
        <v>500</v>
      </c>
      <c r="T48">
        <f>'TEA Revised Non EYZ'!T48</f>
        <v>95</v>
      </c>
      <c r="U48">
        <f>'TEA Revised Non EYZ'!U48</f>
        <v>1</v>
      </c>
      <c r="V48">
        <f>'TEA Revised Non EYZ'!V48</f>
        <v>0.1</v>
      </c>
      <c r="W48">
        <f>'TEA Revised Non EYZ'!W48</f>
        <v>90.023448607553206</v>
      </c>
      <c r="X48" t="str">
        <f>'TEA Revised Non EYZ'!X48</f>
        <v>ddFc</v>
      </c>
      <c r="Y48">
        <f>'TEA Revised Non EYZ'!Y48</f>
        <v>1</v>
      </c>
      <c r="Z48">
        <f>'TEA Revised Non EYZ'!Z48</f>
        <v>0.28318429382522198</v>
      </c>
      <c r="AA48">
        <f>'TEA Revised Non EYZ'!AA48</f>
        <v>0.56945642916197003</v>
      </c>
      <c r="AB48">
        <f>'TEA Revised Non EYZ'!AB48</f>
        <v>3.7698628972227502E-3</v>
      </c>
      <c r="AC48">
        <f>'TEA Revised Non EYZ'!AC48</f>
        <v>1822.2107908876901</v>
      </c>
      <c r="AD48">
        <f>'TEA Revised Non EYZ'!AD48</f>
        <v>2662.6059073104898</v>
      </c>
      <c r="AE48">
        <f>'TEA Revised Non EYZ'!AE48</f>
        <v>2401.5030938442701</v>
      </c>
      <c r="AF48">
        <f>'TEA Revised Non EYZ'!AF48</f>
        <v>10</v>
      </c>
      <c r="AG48">
        <f>'TEA Revised Non EYZ'!AG48</f>
        <v>1.64967327652189E-3</v>
      </c>
      <c r="AH48">
        <f>'TEA Revised Non EYZ'!AH48</f>
        <v>1.66887089455438E-3</v>
      </c>
      <c r="AI48">
        <f>'TEA Revised Non EYZ'!AI48</f>
        <v>5.5766973522943398E-6</v>
      </c>
      <c r="AJ48">
        <f>'TEA Revised Non EYZ'!AJ48</f>
        <v>0</v>
      </c>
      <c r="AK48">
        <f>'TEA Revised Non EYZ'!AK48</f>
        <v>0</v>
      </c>
      <c r="AL48">
        <f>'TEA Revised Non EYZ'!AL48</f>
        <v>0</v>
      </c>
      <c r="AM48">
        <f>'TEA Revised Non EYZ'!AM48</f>
        <v>1.6127176023782901E-3</v>
      </c>
      <c r="AN48">
        <f>'TEA Revised Non EYZ'!AN48</f>
        <v>7.93398614299424E-5</v>
      </c>
      <c r="AO48">
        <f>'TEA Revised Non EYZ'!AO48</f>
        <v>5.5400123786141803E-6</v>
      </c>
      <c r="AP48">
        <f>'TEA Revised Non EYZ'!AP48</f>
        <v>1.73331722315182E-3</v>
      </c>
      <c r="AQ48">
        <f>'TEA Revised Non EYZ'!AQ48</f>
        <v>7.4553139192579998E-2</v>
      </c>
      <c r="AR48">
        <f>'TEA Revised Non EYZ'!AR48</f>
        <v>1.72062066779231E-6</v>
      </c>
      <c r="AS48">
        <f>'TEA Revised Non EYZ'!AS48</f>
        <v>7.0422590285265596E-15</v>
      </c>
      <c r="AT48">
        <f>'TEA Revised Non EYZ'!AT48</f>
        <v>-7.2813760229606304E-13</v>
      </c>
      <c r="AU48">
        <f>'TEA Revised Non EYZ'!AU48</f>
        <v>6.7531025208829095E-20</v>
      </c>
      <c r="AV48">
        <f>'TEA Revised Non EYZ'!AV48</f>
        <v>0.19692558727263099</v>
      </c>
      <c r="AW48">
        <f>'TEA Revised Non EYZ'!AW48</f>
        <v>99.342173846585595</v>
      </c>
      <c r="AX48">
        <f>'TEA Revised Non EYZ'!AX48</f>
        <v>500</v>
      </c>
      <c r="AY48">
        <f>'TEA Revised Non EYZ'!AY48</f>
        <v>95</v>
      </c>
      <c r="AZ48">
        <f>'TEA Revised Non EYZ'!AZ48</f>
        <v>0.92363221637625403</v>
      </c>
      <c r="BA48">
        <f>'TEA Revised Non EYZ'!BA48</f>
        <v>0.1</v>
      </c>
      <c r="BB48">
        <f>'TEA Revised Non EYZ'!BB48</f>
        <v>46.9026005796566</v>
      </c>
      <c r="BC48" t="str">
        <f>'TEA Revised Non EYZ'!BC48</f>
        <v>coeFc</v>
      </c>
      <c r="BD48">
        <f>'TEA Revised Non EYZ'!BD48</f>
        <v>1</v>
      </c>
      <c r="BE48">
        <f>'TEA Revised Non EYZ'!BE48</f>
        <v>1.8775014999999999E-2</v>
      </c>
      <c r="BF48">
        <f>'TEA Revised Non EYZ'!BF48</f>
        <v>0.10492961100000001</v>
      </c>
      <c r="BG48">
        <f>'TEA Revised Non EYZ'!BG48</f>
        <v>1.814625E-3</v>
      </c>
      <c r="BH48">
        <f>'TEA Revised Non EYZ'!BH48</f>
        <v>285.1951444</v>
      </c>
      <c r="BI48">
        <f>'TEA Revised Non EYZ'!BI48</f>
        <v>2169.8944889999998</v>
      </c>
      <c r="BJ48">
        <f>'TEA Revised Non EYZ'!BJ48</f>
        <v>866.49409060000005</v>
      </c>
      <c r="BK48">
        <f>'TEA Revised Non EYZ'!BK48</f>
        <v>100</v>
      </c>
      <c r="BL48">
        <f>'TEA Revised Non EYZ'!BL48</f>
        <v>11.1082169753281</v>
      </c>
      <c r="BM48">
        <f>'TEA Revised Non EYZ'!BM48</f>
        <v>92.363221637625401</v>
      </c>
      <c r="BN48">
        <f>'TEA Revised Non EYZ'!BN48</f>
        <v>19.692558727263098</v>
      </c>
      <c r="BO48">
        <f>'TEA Revised Non EYZ'!BO48</f>
        <v>199.94790555590581</v>
      </c>
      <c r="BP48">
        <f>'TEA Revised Non EYZ'!BP48</f>
        <v>472.62140945431435</v>
      </c>
      <c r="BQ48">
        <f>'TEA Revised Non EYZ'!BQ48</f>
        <v>19.994790555590583</v>
      </c>
      <c r="BR48">
        <f>'TEA Revised Non EYZ'!BR48</f>
        <v>47.26214094543144</v>
      </c>
      <c r="BS48">
        <f>'eLLE Bals'!CF48</f>
        <v>6.6649301851968596</v>
      </c>
      <c r="BT48">
        <f>'eLLE Bals'!CG48</f>
        <v>11.815535236357858</v>
      </c>
      <c r="BU48">
        <f>BM48</f>
        <v>92.363221637625401</v>
      </c>
      <c r="BV48">
        <f>BU48*(AM48*2+AN48*2+AO48*3)</f>
        <v>0.31410283728023963</v>
      </c>
      <c r="BW48">
        <f>BN48*BA48*(AP48*2+AQ48*2+AR48*3)</f>
        <v>0.30046526963938347</v>
      </c>
      <c r="BX48">
        <f>BV48/(2*V48*BL48+BV48)</f>
        <v>0.12386998086541888</v>
      </c>
      <c r="BY48">
        <f>BU48*BX48</f>
        <v>11.441030496921101</v>
      </c>
      <c r="BZ48">
        <f>BW48/(2*BN48*BA48+BW48)</f>
        <v>7.0881551980498794E-2</v>
      </c>
      <c r="CA48">
        <f>2*BN48*BA48/0.04</f>
        <v>98.462793636315496</v>
      </c>
      <c r="CB48">
        <f>(BS48+BL48)*2</f>
        <v>35.54629432104992</v>
      </c>
      <c r="CC48">
        <f>(BU48+BL48)*2</f>
        <v>206.94287722590701</v>
      </c>
      <c r="CD48">
        <f>(BT48+BN48)*2</f>
        <v>63.016187927241916</v>
      </c>
      <c r="CE48">
        <f>(CA48+BN48)*2</f>
        <v>236.3107047271572</v>
      </c>
      <c r="CF48">
        <f>'TEA Revised Non EYZ'!CB48</f>
        <v>2639.3123533379567</v>
      </c>
      <c r="CG48">
        <f>'TEA Revised Non EYZ'!CC48</f>
        <v>6238.6026047969499</v>
      </c>
      <c r="CH48">
        <f>'TEA Revised Non EYZ'!CD48</f>
        <v>3188.7782491883527</v>
      </c>
      <c r="CI48">
        <f>'TEA Revised Non EYZ'!CE48</f>
        <v>48118.896367200447</v>
      </c>
      <c r="CJ48">
        <f>BL48*V48</f>
        <v>1.11082169753281</v>
      </c>
      <c r="CK48">
        <f>CJ48/2*1.2</f>
        <v>0.66649301851968601</v>
      </c>
      <c r="CL48">
        <f>'eLLE Bals'!CB48*'Oxidant Feed Composition'!$N$20</f>
        <v>3.7027389917760348E-2</v>
      </c>
      <c r="CM48">
        <f>'eLLE Bals'!CB48*'Oxidant Feed Composition'!$N$21</f>
        <v>1.8513694958880169</v>
      </c>
      <c r="CN48">
        <f>'eLLE Bals'!CB48*'Oxidant Feed Composition'!$N$22</f>
        <v>0.55541084876640501</v>
      </c>
      <c r="CO48">
        <f>CN48/CK48</f>
        <v>0.83333333333333337</v>
      </c>
      <c r="CP48">
        <f>CO48</f>
        <v>0.83333333333333337</v>
      </c>
      <c r="CQ48">
        <f>CL48/CO48</f>
        <v>4.4432867901312414E-2</v>
      </c>
      <c r="CR48">
        <f>CM48/CO48</f>
        <v>2.22164339506562</v>
      </c>
      <c r="CS48">
        <f>BN48*BA48</f>
        <v>1.9692558727263099</v>
      </c>
      <c r="CT48">
        <f>CS48/2*1.2</f>
        <v>1.1815535236357859</v>
      </c>
      <c r="CU48">
        <f>'eLLE Bals'!CC48*'Oxidant Feed Composition'!$N$20</f>
        <v>6.5641862424210357E-2</v>
      </c>
      <c r="CV48">
        <f>'eLLE Bals'!CC48*'Oxidant Feed Composition'!$N$21</f>
        <v>3.2820931212105164</v>
      </c>
      <c r="CW48">
        <f>'eLLE Bals'!CC48*'Oxidant Feed Composition'!$N$22</f>
        <v>0.98462793636315493</v>
      </c>
      <c r="CX48">
        <f>CU48/CP48</f>
        <v>7.8770234909052425E-2</v>
      </c>
      <c r="CY48">
        <f>CV48/CP48</f>
        <v>3.9385117454526197</v>
      </c>
      <c r="CZ48">
        <f>CJ48</f>
        <v>1.11082169753281</v>
      </c>
      <c r="DA48">
        <f>'eLLE Bals'!BQ48</f>
        <v>2.22164339506562</v>
      </c>
      <c r="DB48">
        <f>'eLLE Bals'!BU48</f>
        <v>5.6351773490843637</v>
      </c>
      <c r="DC48">
        <f>CS48</f>
        <v>1.9692558727263099</v>
      </c>
      <c r="DD48">
        <f>'eLLE Bals'!BX48</f>
        <v>3.9385117454526197</v>
      </c>
      <c r="DE48">
        <f>'eLLE Bals'!CA48</f>
        <v>21.874579377667025</v>
      </c>
      <c r="DF48">
        <f>2*2*(CJ48*'Reagent cost'!$C$36*122.44/1000+CK48*'Oxidant Feed Composition'!$N$26+CQ48*'Reagent cost'!$C$34+CR48*'Reagent cost'!$C$35)</f>
        <v>93.828566875089578</v>
      </c>
      <c r="DG48">
        <f>2*2*(CS48*'Reagent cost'!$C$36*122.44/1000+CT48*'Oxidant Feed Composition'!$N$26+CX48*'Reagent cost'!$C$34+CY48*'Reagent cost'!$C$35)</f>
        <v>166.33853728159272</v>
      </c>
      <c r="DH48">
        <f>(AF48+3)*2*(CZ48*'Reagent cost'!$C$38+DA48*'Reagent cost'!$C$39+DB48*'Reagent cost'!$C$36*122.44/1000)</f>
        <v>1395.6130646333706</v>
      </c>
      <c r="DI48">
        <f>3*2*(DC48*'Reagent cost'!$C$38+DD48*'Reagent cost'!$C$39+DE48*'Reagent cost'!$C$36*122.44/1000)</f>
        <v>1187.52887179864</v>
      </c>
      <c r="DJ48">
        <f>7963.6*(CB48/1000)^0.6*1.7*('CAPEX+OPEX'!$G$116/'CAPEX+OPEX'!$G$115)</f>
        <v>2156.3414312027717</v>
      </c>
      <c r="DK48">
        <f>7963.6*(CC48/1000)^0.6*1.7*('CAPEX+OPEX'!$G$116/'CAPEX+OPEX'!$G$115)</f>
        <v>6205.1347590783025</v>
      </c>
      <c r="DL48">
        <f>7963.6*(CD48/1000)^0.6*1.7*('CAPEX+OPEX'!$G$116/'CAPEX+OPEX'!$G$115)</f>
        <v>3040.2703523468736</v>
      </c>
      <c r="DM48">
        <f>7963.6*(CE48/1000)^0.6*1.7*('CAPEX+OPEX'!$G$116/'CAPEX+OPEX'!$G$115)</f>
        <v>6719.4072724899679</v>
      </c>
      <c r="DN48">
        <f>'TEA Revised Non EYZ'!CM48</f>
        <v>39625.826528698344</v>
      </c>
      <c r="DO48">
        <f>'TEA Revised Non EYZ'!CN48</f>
        <v>4586243.4239371875</v>
      </c>
      <c r="DP48">
        <f>'TEA Revised Non EYZ'!CO48</f>
        <v>11794834.586807497</v>
      </c>
      <c r="DQ48">
        <f>'TEA Revised Non EYZ'!CP48</f>
        <v>2275209.1661185985</v>
      </c>
      <c r="DR48">
        <f>'TEA Revised Non EYZ'!CQ48</f>
        <v>14083914.336508472</v>
      </c>
      <c r="DS48">
        <f>'TEA Revised Non EYZ'!CR48</f>
        <v>1662824.8986326549</v>
      </c>
      <c r="DT48">
        <f>'TEA Revised Non EYZ'!CS48</f>
        <v>700033.84449786716</v>
      </c>
      <c r="DU48">
        <f>'TEA Revised Non EYZ'!CT48</f>
        <v>1800336.9288957189</v>
      </c>
      <c r="DV48">
        <f>'TEA Revised Non EYZ'!CU48</f>
        <v>347282.79168127343</v>
      </c>
      <c r="DW48">
        <f>'TEA Revised Non EYZ'!CV48</f>
        <v>2149736.8951473436</v>
      </c>
      <c r="DX48">
        <f>'TEA Revised Non EYZ'!CW48</f>
        <v>253809.83932102245</v>
      </c>
      <c r="DY48">
        <f>'TEA Revised Non EYZ'!CX48</f>
        <v>5251200.2995432261</v>
      </c>
      <c r="DZ48">
        <f>'TEA Revised Non EYZ'!CY48</f>
        <v>800313.21584557055</v>
      </c>
      <c r="EA48">
        <f>'TEA Revised Non EYZ'!CZ48</f>
        <v>2058233.9675356387</v>
      </c>
      <c r="EB48">
        <f>'TEA Revised Non EYZ'!DA48</f>
        <v>397030.81501385069</v>
      </c>
      <c r="EC48">
        <f>'TEA Revised Non EYZ'!DB48</f>
        <v>2457685.2409347831</v>
      </c>
      <c r="ED48">
        <f>'TEA Revised Non EYZ'!DC48</f>
        <v>290167.92590357957</v>
      </c>
      <c r="EE48">
        <f>'TEA Revised Non EYZ'!DD48</f>
        <v>6003431.1652334221</v>
      </c>
      <c r="EF48">
        <v>0.7</v>
      </c>
      <c r="EG48">
        <v>100</v>
      </c>
      <c r="EH48">
        <f>96485*BL48*V48/EF48/EG48/60</f>
        <v>25.518483687250757</v>
      </c>
      <c r="EI48">
        <f>96485*BN48*BA48/EF48/EG48/60</f>
        <v>45.238964971428096</v>
      </c>
      <c r="EJ48">
        <f>EH48*('CAPEX+OPEX'!$O$25+'CAPEX+OPEX'!$O$26)</f>
        <v>813325.1120800561</v>
      </c>
      <c r="EK48">
        <f>EI48*('CAPEX+OPEX'!$O$25+'CAPEX+OPEX'!$O$26)</f>
        <v>1441856.2915693563</v>
      </c>
      <c r="EL48">
        <f>EJ48*1.12/0.6*'CAPEX+OPEX'!$G$116/'CAPEX+OPEX'!$G$115</f>
        <v>1790661.6086879191</v>
      </c>
      <c r="EM48">
        <f>EK48*1.12/0.6*'CAPEX+OPEX'!$G$116/'CAPEX+OPEX'!$G$115</f>
        <v>3174470.6614988246</v>
      </c>
      <c r="EN48">
        <f>EL48+EM48+DY48+EE48+1.15*(SUM(DF48:DM48)+SUM(CF48:CI48))</f>
        <v>16313086.295258155</v>
      </c>
      <c r="EO48">
        <f>EN48/15</f>
        <v>1087539.0863505437</v>
      </c>
      <c r="EP48">
        <f>('eLLE Bals'!CB48+'eLLE Bals'!CC48)*'Oxidant Feed Composition'!$N$25*60*7200</f>
        <v>12402751.647138283</v>
      </c>
      <c r="EQ48" s="83">
        <f>('eLLE Bals'!BR48+'eLLE Bals'!BY48)*'Reagent cost'!$C$38*60*7200</f>
        <v>505779.72892161756</v>
      </c>
      <c r="ER48">
        <f>'TEA Revised Non EYZ'!DI48</f>
        <v>504921.59999999998</v>
      </c>
      <c r="ES48">
        <f>'TEA Revised Non EYZ'!DJ48</f>
        <v>88.779149581349074</v>
      </c>
      <c r="ET48">
        <f>'TEA Revised Non EYZ'!DK48</f>
        <v>1026.1534923277761</v>
      </c>
      <c r="EU48">
        <f>1.2*SUM(EP48:ET48)</f>
        <v>16097481.49044217</v>
      </c>
      <c r="EV48">
        <f>'TEA Revised Non EYZ'!DM48</f>
        <v>0.70639694042110623</v>
      </c>
      <c r="EW48">
        <f>(BS48*CO48+BT48*CP48)/1000*('Oxidant Feed Composition'!$B$11*'Oxidant Feed Composition'!$O$20+'Oxidant Feed Composition'!$D$11*'Oxidant Feed Composition'!$O$21+'Oxidant Feed Composition'!$F$11*'Oxidant Feed Composition'!$O$27-'Oxidant Feed Composition'!$J$15*18.015)</f>
        <v>1.7985272110351445</v>
      </c>
      <c r="EX48">
        <f>(CZ48*BX48+DC48*BZ48)*368.34/1000</f>
        <v>0.10209698763944491</v>
      </c>
      <c r="EY48">
        <f>'TEA Revised Non EYZ'!DP48</f>
        <v>4.999938342565946E-2</v>
      </c>
      <c r="EZ48">
        <f>SUM(EV48:EX48)-EY48</f>
        <v>2.5570217556700361</v>
      </c>
      <c r="FA48">
        <f>EZ48*0.33*60*7200</f>
        <v>364529.02148832043</v>
      </c>
      <c r="FB48">
        <f>'TEA Revised Non EYZ'!DS48</f>
        <v>1.2</v>
      </c>
      <c r="FC48">
        <v>0.5</v>
      </c>
      <c r="FD48">
        <f>'TEA Revised Non EYZ'!DT48</f>
        <v>1405.9574213625024</v>
      </c>
      <c r="FE48">
        <f>'TEA Revised Non EYZ'!DU48</f>
        <v>705.93011307507709</v>
      </c>
      <c r="FF48">
        <f>'TEA Revised Non EYZ'!DV48</f>
        <v>0.7</v>
      </c>
      <c r="FG48">
        <f>'TEA Revised Non EYZ'!DW48</f>
        <v>38528.386667103026</v>
      </c>
      <c r="FH48">
        <f>'TEA Revised Non EYZ'!DX48</f>
        <v>33220.879177835675</v>
      </c>
      <c r="FI48">
        <f>'TEA Revised Non EYZ'!DY48</f>
        <v>14065.291587390104</v>
      </c>
      <c r="FJ48">
        <f>'TEA Revised Non EYZ'!DZ48</f>
        <v>7450.7773575794354</v>
      </c>
      <c r="FK48">
        <f>'TEA Revised Non EYZ'!EA48</f>
        <v>7501.4888466080574</v>
      </c>
      <c r="FL48">
        <f>'TEA Revised Non EYZ'!EB48</f>
        <v>850.32304844004148</v>
      </c>
      <c r="FM48">
        <f>'TEA Revised Non EYZ'!EC48</f>
        <v>43715.748384549021</v>
      </c>
      <c r="FN48">
        <f>'TEA Revised Non EYZ'!ED48</f>
        <v>42675.736618835523</v>
      </c>
      <c r="FO48">
        <f>'TEA Revised Non EYZ'!EE48</f>
        <v>18068.356229748908</v>
      </c>
      <c r="FP48">
        <f>'TEA Revised Non EYZ'!EF48</f>
        <v>9576.6363630953347</v>
      </c>
      <c r="FQ48">
        <f>'TEA Revised Non EYZ'!EG48</f>
        <v>9636.4566558660845</v>
      </c>
      <c r="FR48">
        <f>'TEA Revised Non EYZ'!EH48</f>
        <v>426.94653238780671</v>
      </c>
      <c r="FS48">
        <f>'TEA Revised Non EYZ'!EI48</f>
        <v>225717.02746943905</v>
      </c>
      <c r="FT48">
        <f>EG48*EH48</f>
        <v>2551.8483687250759</v>
      </c>
      <c r="FU48">
        <f>EG48*EI48</f>
        <v>4523.8964971428095</v>
      </c>
      <c r="FV48">
        <f>FC48*(FT48+FU48)/(3.6*10^6)*3600*7200*0.07</f>
        <v>1783.0877061987076</v>
      </c>
      <c r="FW48">
        <f>('CAPEX+OPEX'!$C$39/7/100+0.03)*EL48</f>
        <v>92091.168446807264</v>
      </c>
      <c r="FX48">
        <f>('CAPEX+OPEX'!$C$39/7/100+0.03)*EM48</f>
        <v>163258.49116279668</v>
      </c>
      <c r="FY48">
        <f>SUM(FV48:FX48)</f>
        <v>257132.74731580267</v>
      </c>
      <c r="FZ48">
        <f>FY48+FA48+FS48+EU48</f>
        <v>16944860.286715731</v>
      </c>
      <c r="GA48">
        <f>FZ48+EO48</f>
        <v>18032399.373066276</v>
      </c>
      <c r="GB48">
        <f>GA48/(BK48*60*7200)</f>
        <v>0.41741665215431195</v>
      </c>
      <c r="GC48">
        <f>'TEA Revised Non EYZ'!EM48/'TEA Revised Non EYZ'!EK48*GA48</f>
        <v>1396.4437015957353</v>
      </c>
      <c r="GD48">
        <f>'TEA Revised Non EYZ'!EN48/'TEA Revised Non EYZ'!EK48*GA48</f>
        <v>2562.3780400748155</v>
      </c>
    </row>
    <row r="49" spans="1:186">
      <c r="A49">
        <f>'TEA Revised Non EYZ'!A49</f>
        <v>7</v>
      </c>
      <c r="B49">
        <f>'TEA Revised Non EYZ'!B49</f>
        <v>1.54143585092054E-3</v>
      </c>
      <c r="C49">
        <f>'TEA Revised Non EYZ'!C49</f>
        <v>1.54143585092054E-3</v>
      </c>
      <c r="D49">
        <f>'TEA Revised Non EYZ'!D49</f>
        <v>3.4254130020456501E-4</v>
      </c>
      <c r="E49">
        <f>'TEA Revised Non EYZ'!E49</f>
        <v>0</v>
      </c>
      <c r="F49">
        <f>'TEA Revised Non EYZ'!F49</f>
        <v>0</v>
      </c>
      <c r="G49">
        <f>'TEA Revised Non EYZ'!G49</f>
        <v>0</v>
      </c>
      <c r="H49">
        <f>'TEA Revised Non EYZ'!H49</f>
        <v>1.7744466230058299E-5</v>
      </c>
      <c r="I49">
        <f>'TEA Revised Non EYZ'!I49</f>
        <v>1.2927742824924801E-8</v>
      </c>
      <c r="J49">
        <f>'TEA Revised Non EYZ'!J49</f>
        <v>3.3739048286900598E-4</v>
      </c>
      <c r="K49">
        <f>'TEA Revised Non EYZ'!K49</f>
        <v>0.13716795306346499</v>
      </c>
      <c r="L49">
        <f>'TEA Revised Non EYZ'!L49</f>
        <v>0.138764207307677</v>
      </c>
      <c r="M49">
        <f>'TEA Revised Non EYZ'!M49</f>
        <v>4.6369433969460899E-4</v>
      </c>
      <c r="N49">
        <f>'TEA Revised Non EYZ'!N49</f>
        <v>-1.1037178115902399E-16</v>
      </c>
      <c r="O49">
        <f>'TEA Revised Non EYZ'!O49</f>
        <v>-5.3700533603207003E-15</v>
      </c>
      <c r="P49">
        <f>'TEA Revised Non EYZ'!P49</f>
        <v>-3.4304834363799101E-19</v>
      </c>
      <c r="Q49">
        <f>'TEA Revised Non EYZ'!Q49</f>
        <v>0.111082169753281</v>
      </c>
      <c r="R49">
        <f>'TEA Revised Non EYZ'!R49</f>
        <v>98.496293050653193</v>
      </c>
      <c r="S49">
        <f>'TEA Revised Non EYZ'!S49</f>
        <v>500</v>
      </c>
      <c r="T49">
        <f>'TEA Revised Non EYZ'!T49</f>
        <v>95</v>
      </c>
      <c r="U49">
        <f>'TEA Revised Non EYZ'!U49</f>
        <v>1</v>
      </c>
      <c r="V49">
        <f>'TEA Revised Non EYZ'!V49</f>
        <v>0.1</v>
      </c>
      <c r="W49">
        <f>'TEA Revised Non EYZ'!W49</f>
        <v>90.023448607553206</v>
      </c>
      <c r="X49" t="str">
        <f>'TEA Revised Non EYZ'!X49</f>
        <v>ddFc</v>
      </c>
      <c r="Y49">
        <f>'TEA Revised Non EYZ'!Y49</f>
        <v>1</v>
      </c>
      <c r="Z49">
        <f>'TEA Revised Non EYZ'!Z49</f>
        <v>0.28318429382522198</v>
      </c>
      <c r="AA49">
        <f>'TEA Revised Non EYZ'!AA49</f>
        <v>0.56945642916197003</v>
      </c>
      <c r="AB49">
        <f>'TEA Revised Non EYZ'!AB49</f>
        <v>3.7698628972227502E-3</v>
      </c>
      <c r="AC49">
        <f>'TEA Revised Non EYZ'!AC49</f>
        <v>1822.2107908876901</v>
      </c>
      <c r="AD49">
        <f>'TEA Revised Non EYZ'!AD49</f>
        <v>2662.6059073104898</v>
      </c>
      <c r="AE49">
        <f>'TEA Revised Non EYZ'!AE49</f>
        <v>2401.5030938442701</v>
      </c>
      <c r="AF49">
        <f>'TEA Revised Non EYZ'!AF49</f>
        <v>11</v>
      </c>
      <c r="AG49">
        <f>'TEA Revised Non EYZ'!AG49</f>
        <v>1.64967327652189E-3</v>
      </c>
      <c r="AH49">
        <f>'TEA Revised Non EYZ'!AH49</f>
        <v>1.66887089455438E-3</v>
      </c>
      <c r="AI49">
        <f>'TEA Revised Non EYZ'!AI49</f>
        <v>5.5766973522943398E-6</v>
      </c>
      <c r="AJ49">
        <f>'TEA Revised Non EYZ'!AJ49</f>
        <v>0</v>
      </c>
      <c r="AK49">
        <f>'TEA Revised Non EYZ'!AK49</f>
        <v>0</v>
      </c>
      <c r="AL49">
        <f>'TEA Revised Non EYZ'!AL49</f>
        <v>0</v>
      </c>
      <c r="AM49">
        <f>'TEA Revised Non EYZ'!AM49</f>
        <v>1.6127207366253499E-3</v>
      </c>
      <c r="AN49">
        <f>'TEA Revised Non EYZ'!AN49</f>
        <v>7.9340023409112399E-5</v>
      </c>
      <c r="AO49">
        <f>'TEA Revised Non EYZ'!AO49</f>
        <v>5.5400153606251003E-6</v>
      </c>
      <c r="AP49">
        <f>'TEA Revised Non EYZ'!AP49</f>
        <v>1.7332112363545699E-3</v>
      </c>
      <c r="AQ49">
        <f>'TEA Revised Non EYZ'!AQ49</f>
        <v>7.4554895947902003E-2</v>
      </c>
      <c r="AR49">
        <f>'TEA Revised Non EYZ'!AR49</f>
        <v>1.7205215207154199E-6</v>
      </c>
      <c r="AS49">
        <f>'TEA Revised Non EYZ'!AS49</f>
        <v>2.2210084791272899E-15</v>
      </c>
      <c r="AT49">
        <f>'TEA Revised Non EYZ'!AT49</f>
        <v>-2.21852267459632E-13</v>
      </c>
      <c r="AU49">
        <f>'TEA Revised Non EYZ'!AU49</f>
        <v>1.5524525736395199E-20</v>
      </c>
      <c r="AV49">
        <f>'TEA Revised Non EYZ'!AV49</f>
        <v>0.19692092693176799</v>
      </c>
      <c r="AW49">
        <f>'TEA Revised Non EYZ'!AW49</f>
        <v>99.3422273192906</v>
      </c>
      <c r="AX49">
        <f>'TEA Revised Non EYZ'!AX49</f>
        <v>500</v>
      </c>
      <c r="AY49">
        <f>'TEA Revised Non EYZ'!AY49</f>
        <v>95</v>
      </c>
      <c r="AZ49">
        <f>'TEA Revised Non EYZ'!AZ49</f>
        <v>0.92363221637625403</v>
      </c>
      <c r="BA49">
        <f>'TEA Revised Non EYZ'!BA49</f>
        <v>0.1</v>
      </c>
      <c r="BB49">
        <f>'TEA Revised Non EYZ'!BB49</f>
        <v>46.903710579032897</v>
      </c>
      <c r="BC49" t="str">
        <f>'TEA Revised Non EYZ'!BC49</f>
        <v>coeFc</v>
      </c>
      <c r="BD49">
        <f>'TEA Revised Non EYZ'!BD49</f>
        <v>1</v>
      </c>
      <c r="BE49">
        <f>'TEA Revised Non EYZ'!BE49</f>
        <v>1.8775014999999999E-2</v>
      </c>
      <c r="BF49">
        <f>'TEA Revised Non EYZ'!BF49</f>
        <v>0.10492961100000001</v>
      </c>
      <c r="BG49">
        <f>'TEA Revised Non EYZ'!BG49</f>
        <v>1.814625E-3</v>
      </c>
      <c r="BH49">
        <f>'TEA Revised Non EYZ'!BH49</f>
        <v>285.1951444</v>
      </c>
      <c r="BI49">
        <f>'TEA Revised Non EYZ'!BI49</f>
        <v>2169.8944889999998</v>
      </c>
      <c r="BJ49">
        <f>'TEA Revised Non EYZ'!BJ49</f>
        <v>866.49409060000005</v>
      </c>
      <c r="BK49">
        <f>'TEA Revised Non EYZ'!BK49</f>
        <v>100</v>
      </c>
      <c r="BL49">
        <f>'TEA Revised Non EYZ'!BL49</f>
        <v>11.1082169753281</v>
      </c>
      <c r="BM49">
        <f>'TEA Revised Non EYZ'!BM49</f>
        <v>92.363221637625401</v>
      </c>
      <c r="BN49">
        <f>'TEA Revised Non EYZ'!BN49</f>
        <v>19.6920926931768</v>
      </c>
      <c r="BO49">
        <f>'TEA Revised Non EYZ'!BO49</f>
        <v>199.94790555590581</v>
      </c>
      <c r="BP49">
        <f>'TEA Revised Non EYZ'!BP49</f>
        <v>511.99441002259681</v>
      </c>
      <c r="BQ49">
        <f>'TEA Revised Non EYZ'!BQ49</f>
        <v>19.994790555590583</v>
      </c>
      <c r="BR49">
        <f>'TEA Revised Non EYZ'!BR49</f>
        <v>51.199441002259682</v>
      </c>
      <c r="BS49">
        <f>'eLLE Bals'!CF49</f>
        <v>6.6649301851968596</v>
      </c>
      <c r="BT49">
        <f>'eLLE Bals'!CG49</f>
        <v>11.81525561590608</v>
      </c>
      <c r="BU49">
        <f>BM49</f>
        <v>92.363221637625401</v>
      </c>
      <c r="BV49">
        <f>BU49*(AM49*2+AN49*2+AO49*3)</f>
        <v>0.31410344700667164</v>
      </c>
      <c r="BW49">
        <f>BN49*BA49*(AP49*2+AQ49*2+AR49*3)</f>
        <v>0.30046465981265746</v>
      </c>
      <c r="BX49">
        <f>BV49/(2*V49*BL49+BV49)</f>
        <v>0.12387019153299092</v>
      </c>
      <c r="BY49">
        <f>BU49*BX49</f>
        <v>11.44104995485675</v>
      </c>
      <c r="BZ49">
        <f>BW49/(2*BN49*BA49+BW49)</f>
        <v>7.0882976894165561E-2</v>
      </c>
      <c r="CA49">
        <f>2*BN49*BA49/0.04</f>
        <v>98.460463465884004</v>
      </c>
      <c r="CB49">
        <f>(BS49+BL49)*2</f>
        <v>35.54629432104992</v>
      </c>
      <c r="CC49">
        <f>(BU49+BL49)*2</f>
        <v>206.94287722590701</v>
      </c>
      <c r="CD49">
        <f>(BT49+BN49)*2</f>
        <v>63.014696618165758</v>
      </c>
      <c r="CE49">
        <f>(CA49+BN49)*2</f>
        <v>236.30511231812162</v>
      </c>
      <c r="CF49">
        <f>'TEA Revised Non EYZ'!CB49</f>
        <v>2639.3123533379567</v>
      </c>
      <c r="CG49">
        <f>'TEA Revised Non EYZ'!CC49</f>
        <v>6758.3262122982787</v>
      </c>
      <c r="CH49">
        <f>'TEA Revised Non EYZ'!CD49</f>
        <v>3188.7782491883527</v>
      </c>
      <c r="CI49">
        <f>'TEA Revised Non EYZ'!CE49</f>
        <v>52127.570744009543</v>
      </c>
      <c r="CJ49">
        <f>BL49*V49</f>
        <v>1.11082169753281</v>
      </c>
      <c r="CK49">
        <f>CJ49/2*1.2</f>
        <v>0.66649301851968601</v>
      </c>
      <c r="CL49">
        <f>'eLLE Bals'!CB49*'Oxidant Feed Composition'!$N$20</f>
        <v>3.7027389917760348E-2</v>
      </c>
      <c r="CM49">
        <f>'eLLE Bals'!CB49*'Oxidant Feed Composition'!$N$21</f>
        <v>1.8513694958880169</v>
      </c>
      <c r="CN49">
        <f>'eLLE Bals'!CB49*'Oxidant Feed Composition'!$N$22</f>
        <v>0.55541084876640501</v>
      </c>
      <c r="CO49">
        <f>CN49/CK49</f>
        <v>0.83333333333333337</v>
      </c>
      <c r="CP49">
        <f>CO49</f>
        <v>0.83333333333333337</v>
      </c>
      <c r="CQ49">
        <f>CL49/CO49</f>
        <v>4.4432867901312414E-2</v>
      </c>
      <c r="CR49">
        <f>CM49/CO49</f>
        <v>2.22164339506562</v>
      </c>
      <c r="CS49">
        <f>BN49*BA49</f>
        <v>1.9692092693176801</v>
      </c>
      <c r="CT49">
        <f>CS49/2*1.2</f>
        <v>1.181525561590608</v>
      </c>
      <c r="CU49">
        <f>'eLLE Bals'!CC49*'Oxidant Feed Composition'!$N$20</f>
        <v>6.5640308977256034E-2</v>
      </c>
      <c r="CV49">
        <f>'eLLE Bals'!CC49*'Oxidant Feed Composition'!$N$21</f>
        <v>3.2820154488628002</v>
      </c>
      <c r="CW49">
        <f>'eLLE Bals'!CC49*'Oxidant Feed Composition'!$N$22</f>
        <v>0.98460463465884007</v>
      </c>
      <c r="CX49">
        <f>CU49/CP49</f>
        <v>7.8768370772707236E-2</v>
      </c>
      <c r="CY49">
        <f>CV49/CP49</f>
        <v>3.9384185386353598</v>
      </c>
      <c r="CZ49">
        <f>CJ49</f>
        <v>1.11082169753281</v>
      </c>
      <c r="DA49">
        <f>'eLLE Bals'!BQ49</f>
        <v>2.22164339506562</v>
      </c>
      <c r="DB49">
        <f>'eLLE Bals'!BU49</f>
        <v>5.6351620969941907</v>
      </c>
      <c r="DC49">
        <f>CS49</f>
        <v>1.9692092693176801</v>
      </c>
      <c r="DD49">
        <f>'eLLE Bals'!BX49</f>
        <v>3.9384185386353603</v>
      </c>
      <c r="DE49">
        <f>'eLLE Bals'!CA49</f>
        <v>21.873503228034352</v>
      </c>
      <c r="DF49">
        <f>2*2*(CJ49*'Reagent cost'!$C$36*122.44/1000+CK49*'Oxidant Feed Composition'!$N$26+CQ49*'Reagent cost'!$C$34+CR49*'Reagent cost'!$C$35)</f>
        <v>93.828566875089578</v>
      </c>
      <c r="DG49">
        <f>2*2*(CS49*'Reagent cost'!$C$36*122.44/1000+CT49*'Oxidant Feed Composition'!$N$26+CX49*'Reagent cost'!$C$34+CY49*'Reagent cost'!$C$35)</f>
        <v>166.33460079830931</v>
      </c>
      <c r="DH49">
        <f>(AF49+3)*2*(CZ49*'Reagent cost'!$C$38+DA49*'Reagent cost'!$C$39+DB49*'Reagent cost'!$C$36*122.44/1000)</f>
        <v>1502.9642231066014</v>
      </c>
      <c r="DI49">
        <f>3*2*(DC49*'Reagent cost'!$C$38+DD49*'Reagent cost'!$C$39+DE49*'Reagent cost'!$C$36*122.44/1000)</f>
        <v>1187.4717944049157</v>
      </c>
      <c r="DJ49">
        <f>7963.6*(CB49/1000)^0.6*1.7*('CAPEX+OPEX'!$G$116/'CAPEX+OPEX'!$G$115)</f>
        <v>2156.3414312027717</v>
      </c>
      <c r="DK49">
        <f>7963.6*(CC49/1000)^0.6*1.7*('CAPEX+OPEX'!$G$116/'CAPEX+OPEX'!$G$115)</f>
        <v>6205.1347590783025</v>
      </c>
      <c r="DL49">
        <f>7963.6*(CD49/1000)^0.6*1.7*('CAPEX+OPEX'!$G$116/'CAPEX+OPEX'!$G$115)</f>
        <v>3040.2271824467625</v>
      </c>
      <c r="DM49">
        <f>7963.6*(CE49/1000)^0.6*1.7*('CAPEX+OPEX'!$G$116/'CAPEX+OPEX'!$G$115)</f>
        <v>6719.3118611919108</v>
      </c>
      <c r="DN49">
        <f>'TEA Revised Non EYZ'!CM49</f>
        <v>39625.826528698344</v>
      </c>
      <c r="DO49">
        <f>'TEA Revised Non EYZ'!CN49</f>
        <v>4586243.4239371875</v>
      </c>
      <c r="DP49">
        <f>'TEA Revised Non EYZ'!CO49</f>
        <v>11794834.586807497</v>
      </c>
      <c r="DQ49">
        <f>'TEA Revised Non EYZ'!CP49</f>
        <v>2275209.1661185985</v>
      </c>
      <c r="DR49">
        <f>'TEA Revised Non EYZ'!CQ49</f>
        <v>14083914.336508472</v>
      </c>
      <c r="DS49">
        <f>'TEA Revised Non EYZ'!CR49</f>
        <v>1662824.8986326549</v>
      </c>
      <c r="DT49">
        <f>'TEA Revised Non EYZ'!CS49</f>
        <v>700033.84449786716</v>
      </c>
      <c r="DU49">
        <f>'TEA Revised Non EYZ'!CT49</f>
        <v>1800336.9288957189</v>
      </c>
      <c r="DV49">
        <f>'TEA Revised Non EYZ'!CU49</f>
        <v>347282.79168127343</v>
      </c>
      <c r="DW49">
        <f>'TEA Revised Non EYZ'!CV49</f>
        <v>2149736.8951473436</v>
      </c>
      <c r="DX49">
        <f>'TEA Revised Non EYZ'!CW49</f>
        <v>253809.83932102245</v>
      </c>
      <c r="DY49">
        <f>'TEA Revised Non EYZ'!CX49</f>
        <v>5251200.2995432261</v>
      </c>
      <c r="DZ49">
        <f>'TEA Revised Non EYZ'!CY49</f>
        <v>843204.90681236121</v>
      </c>
      <c r="EA49">
        <f>'TEA Revised Non EYZ'!CZ49</f>
        <v>2168542.1987693524</v>
      </c>
      <c r="EB49">
        <f>'TEA Revised Non EYZ'!DA49</f>
        <v>418309.13790631329</v>
      </c>
      <c r="EC49">
        <f>'TEA Revised Non EYZ'!DB49</f>
        <v>2589401.5162138832</v>
      </c>
      <c r="ED49">
        <f>'TEA Revised Non EYZ'!DC49</f>
        <v>305719.07857720047</v>
      </c>
      <c r="EE49">
        <f>'TEA Revised Non EYZ'!DD49</f>
        <v>6325176.8382791113</v>
      </c>
      <c r="EF49">
        <v>0.7</v>
      </c>
      <c r="EG49">
        <v>100</v>
      </c>
      <c r="EH49">
        <f>96485*BL49*V49/EF49/EG49/60</f>
        <v>25.518483687250757</v>
      </c>
      <c r="EI49">
        <f>96485*BN49*BA49/EF49/EG49/60</f>
        <v>45.237894369075327</v>
      </c>
      <c r="EJ49">
        <f>EH49*('CAPEX+OPEX'!$O$25+'CAPEX+OPEX'!$O$26)</f>
        <v>813325.1120800561</v>
      </c>
      <c r="EK49">
        <f>EI49*('CAPEX+OPEX'!$O$25+'CAPEX+OPEX'!$O$26)</f>
        <v>1441822.1693311688</v>
      </c>
      <c r="EL49">
        <f>EJ49*1.12/0.6*'CAPEX+OPEX'!$G$116/'CAPEX+OPEX'!$G$115</f>
        <v>1790661.6086879191</v>
      </c>
      <c r="EM49">
        <f>EK49*1.12/0.6*'CAPEX+OPEX'!$G$116/'CAPEX+OPEX'!$G$115</f>
        <v>3174395.5360895419</v>
      </c>
      <c r="EN49">
        <f>EL49+EM49+DY49+EE49+1.15*(SUM(DF49:DM49)+SUM(CF49:CI49))</f>
        <v>16640087.724874428</v>
      </c>
      <c r="EO49">
        <f>EN49/15</f>
        <v>1109339.1816582952</v>
      </c>
      <c r="EP49">
        <f>('eLLE Bals'!CB49+'eLLE Bals'!CC49)*'Oxidant Feed Composition'!$N$25*60*7200</f>
        <v>12402563.98611678</v>
      </c>
      <c r="EQ49" s="83">
        <f>('eLLE Bals'!BR49+'eLLE Bals'!BY49)*'Reagent cost'!$C$38*60*7200</f>
        <v>505779.24837191001</v>
      </c>
      <c r="ER49">
        <f>'TEA Revised Non EYZ'!DI49</f>
        <v>504921.59999999998</v>
      </c>
      <c r="ES49">
        <f>'TEA Revised Non EYZ'!DJ49</f>
        <v>93.976385656362368</v>
      </c>
      <c r="ET49">
        <f>'TEA Revised Non EYZ'!DK49</f>
        <v>1106.3269798639581</v>
      </c>
      <c r="EU49">
        <f>1.2*SUM(EP49:ET49)</f>
        <v>16097358.165425053</v>
      </c>
      <c r="EV49">
        <f>'TEA Revised Non EYZ'!DM49</f>
        <v>0.70639694042110623</v>
      </c>
      <c r="EW49">
        <f>(BS49*CO49+BT49*CP49)/1000*('Oxidant Feed Composition'!$B$11*'Oxidant Feed Composition'!$O$20+'Oxidant Feed Composition'!$D$11*'Oxidant Feed Composition'!$O$21+'Oxidant Feed Composition'!$F$11*'Oxidant Feed Composition'!$O$27-'Oxidant Feed Composition'!$J$15*18.015)</f>
        <v>1.7984999982469485</v>
      </c>
      <c r="EX49">
        <f>(CZ49*BX49+DC49*BZ49)*368.34/1000</f>
        <v>0.10209689063540392</v>
      </c>
      <c r="EY49">
        <f>'TEA Revised Non EYZ'!DP49</f>
        <v>4.999938342565946E-2</v>
      </c>
      <c r="EZ49">
        <f>SUM(EV49:EX49)-EY49</f>
        <v>2.5569944458777996</v>
      </c>
      <c r="FA49">
        <f>EZ49*0.33*60*7200</f>
        <v>364525.12820433913</v>
      </c>
      <c r="FB49">
        <f>'TEA Revised Non EYZ'!DS49</f>
        <v>1.2</v>
      </c>
      <c r="FC49">
        <v>0.5</v>
      </c>
      <c r="FD49">
        <f>'TEA Revised Non EYZ'!DT49</f>
        <v>1405.9601521286265</v>
      </c>
      <c r="FE49">
        <f>'TEA Revised Non EYZ'!DU49</f>
        <v>705.927382080764</v>
      </c>
      <c r="FF49">
        <f>'TEA Revised Non EYZ'!DV49</f>
        <v>0.7</v>
      </c>
      <c r="FG49">
        <f>'TEA Revised Non EYZ'!DW49</f>
        <v>38528.386667103026</v>
      </c>
      <c r="FH49">
        <f>'TEA Revised Non EYZ'!DX49</f>
        <v>33220.879177835675</v>
      </c>
      <c r="FI49">
        <f>'TEA Revised Non EYZ'!DY49</f>
        <v>14065.291587390104</v>
      </c>
      <c r="FJ49">
        <f>'TEA Revised Non EYZ'!DZ49</f>
        <v>7450.7773575794354</v>
      </c>
      <c r="FK49">
        <f>'TEA Revised Non EYZ'!EA49</f>
        <v>7501.4888466080574</v>
      </c>
      <c r="FL49">
        <f>'TEA Revised Non EYZ'!EB49</f>
        <v>850.3247000073934</v>
      </c>
      <c r="FM49">
        <f>'TEA Revised Non EYZ'!EC49</f>
        <v>46287.262995404846</v>
      </c>
      <c r="FN49">
        <f>'TEA Revised Non EYZ'!ED49</f>
        <v>46555.349038729662</v>
      </c>
      <c r="FO49">
        <f>'TEA Revised Non EYZ'!EE49</f>
        <v>19710.93406881699</v>
      </c>
      <c r="FP49">
        <f>'TEA Revised Non EYZ'!EF49</f>
        <v>10447.239668831275</v>
      </c>
      <c r="FQ49">
        <f>'TEA Revised Non EYZ'!EG49</f>
        <v>10512.498170035729</v>
      </c>
      <c r="FR49">
        <f>'TEA Revised Non EYZ'!EH49</f>
        <v>426.94488068244613</v>
      </c>
      <c r="FS49">
        <f>'TEA Revised Non EYZ'!EI49</f>
        <v>235557.37715902465</v>
      </c>
      <c r="FT49">
        <f>EG49*EH49</f>
        <v>2551.8483687250759</v>
      </c>
      <c r="FU49">
        <f>EG49*EI49</f>
        <v>4523.7894369075329</v>
      </c>
      <c r="FV49">
        <f>FC49*(FT49+FU49)/(3.6*10^6)*3600*7200*0.07</f>
        <v>1783.0607270194173</v>
      </c>
      <c r="FW49">
        <f>('CAPEX+OPEX'!$C$39/7/100+0.03)*EL49</f>
        <v>92091.168446807264</v>
      </c>
      <c r="FX49">
        <f>('CAPEX+OPEX'!$C$39/7/100+0.03)*EM49</f>
        <v>163254.62757031928</v>
      </c>
      <c r="FY49">
        <f>SUM(FV49:FX49)</f>
        <v>257128.85674414597</v>
      </c>
      <c r="FZ49">
        <f>FY49+FA49+FS49+EU49</f>
        <v>16954569.527532563</v>
      </c>
      <c r="GA49">
        <f>FZ49+EO49</f>
        <v>18063908.709190857</v>
      </c>
      <c r="GB49">
        <f>GA49/(BK49*60*7200)</f>
        <v>0.41814603493497354</v>
      </c>
      <c r="GC49">
        <f>'TEA Revised Non EYZ'!EM49/'TEA Revised Non EYZ'!EK49*GA49</f>
        <v>1398.8810914779046</v>
      </c>
      <c r="GD49">
        <f>'TEA Revised Non EYZ'!EN49/'TEA Revised Non EYZ'!EK49*GA49</f>
        <v>2566.8646264154995</v>
      </c>
    </row>
    <row r="50" spans="1:186">
      <c r="A50">
        <f>'TEA Revised Non EYZ'!A50</f>
        <v>7</v>
      </c>
      <c r="B50">
        <f>'TEA Revised Non EYZ'!B50</f>
        <v>1.54143585092054E-3</v>
      </c>
      <c r="C50">
        <f>'TEA Revised Non EYZ'!C50</f>
        <v>1.54143585092054E-3</v>
      </c>
      <c r="D50">
        <f>'TEA Revised Non EYZ'!D50</f>
        <v>3.4254130020456501E-4</v>
      </c>
      <c r="E50">
        <f>'TEA Revised Non EYZ'!E50</f>
        <v>0</v>
      </c>
      <c r="F50">
        <f>'TEA Revised Non EYZ'!F50</f>
        <v>0</v>
      </c>
      <c r="G50">
        <f>'TEA Revised Non EYZ'!G50</f>
        <v>0</v>
      </c>
      <c r="H50">
        <f>'TEA Revised Non EYZ'!H50</f>
        <v>1.7744466230058299E-5</v>
      </c>
      <c r="I50">
        <f>'TEA Revised Non EYZ'!I50</f>
        <v>1.2927742824924801E-8</v>
      </c>
      <c r="J50">
        <f>'TEA Revised Non EYZ'!J50</f>
        <v>3.3739048286900598E-4</v>
      </c>
      <c r="K50">
        <f>'TEA Revised Non EYZ'!K50</f>
        <v>0.13716795306346499</v>
      </c>
      <c r="L50">
        <f>'TEA Revised Non EYZ'!L50</f>
        <v>0.138764207307677</v>
      </c>
      <c r="M50">
        <f>'TEA Revised Non EYZ'!M50</f>
        <v>4.6369433969460899E-4</v>
      </c>
      <c r="N50">
        <f>'TEA Revised Non EYZ'!N50</f>
        <v>-1.1037178115902399E-16</v>
      </c>
      <c r="O50">
        <f>'TEA Revised Non EYZ'!O50</f>
        <v>-5.3700533603207003E-15</v>
      </c>
      <c r="P50">
        <f>'TEA Revised Non EYZ'!P50</f>
        <v>-3.4304834363799101E-19</v>
      </c>
      <c r="Q50">
        <f>'TEA Revised Non EYZ'!Q50</f>
        <v>0.111082169753281</v>
      </c>
      <c r="R50">
        <f>'TEA Revised Non EYZ'!R50</f>
        <v>98.496293050653193</v>
      </c>
      <c r="S50">
        <f>'TEA Revised Non EYZ'!S50</f>
        <v>500</v>
      </c>
      <c r="T50">
        <f>'TEA Revised Non EYZ'!T50</f>
        <v>95</v>
      </c>
      <c r="U50">
        <f>'TEA Revised Non EYZ'!U50</f>
        <v>1</v>
      </c>
      <c r="V50">
        <f>'TEA Revised Non EYZ'!V50</f>
        <v>0.1</v>
      </c>
      <c r="W50">
        <f>'TEA Revised Non EYZ'!W50</f>
        <v>90.023448607553206</v>
      </c>
      <c r="X50" t="str">
        <f>'TEA Revised Non EYZ'!X50</f>
        <v>ddFc</v>
      </c>
      <c r="Y50">
        <f>'TEA Revised Non EYZ'!Y50</f>
        <v>1</v>
      </c>
      <c r="Z50">
        <f>'TEA Revised Non EYZ'!Z50</f>
        <v>0.28318429382522198</v>
      </c>
      <c r="AA50">
        <f>'TEA Revised Non EYZ'!AA50</f>
        <v>0.56945642916197003</v>
      </c>
      <c r="AB50">
        <f>'TEA Revised Non EYZ'!AB50</f>
        <v>3.7698628972227502E-3</v>
      </c>
      <c r="AC50">
        <f>'TEA Revised Non EYZ'!AC50</f>
        <v>1822.2107908876901</v>
      </c>
      <c r="AD50">
        <f>'TEA Revised Non EYZ'!AD50</f>
        <v>2662.6059073104898</v>
      </c>
      <c r="AE50">
        <f>'TEA Revised Non EYZ'!AE50</f>
        <v>2401.5030938442701</v>
      </c>
      <c r="AF50">
        <f>'TEA Revised Non EYZ'!AF50</f>
        <v>12</v>
      </c>
      <c r="AG50">
        <f>'TEA Revised Non EYZ'!AG50</f>
        <v>1.64967327652189E-3</v>
      </c>
      <c r="AH50">
        <f>'TEA Revised Non EYZ'!AH50</f>
        <v>1.66887089455438E-3</v>
      </c>
      <c r="AI50">
        <f>'TEA Revised Non EYZ'!AI50</f>
        <v>5.5766973522943398E-6</v>
      </c>
      <c r="AJ50">
        <f>'TEA Revised Non EYZ'!AJ50</f>
        <v>0</v>
      </c>
      <c r="AK50">
        <f>'TEA Revised Non EYZ'!AK50</f>
        <v>0</v>
      </c>
      <c r="AL50">
        <f>'TEA Revised Non EYZ'!AL50</f>
        <v>0</v>
      </c>
      <c r="AM50">
        <f>'TEA Revised Non EYZ'!AM50</f>
        <v>1.6127216178039401E-3</v>
      </c>
      <c r="AN50">
        <f>'TEA Revised Non EYZ'!AN50</f>
        <v>7.9340068948572E-5</v>
      </c>
      <c r="AO50">
        <f>'TEA Revised Non EYZ'!AO50</f>
        <v>5.5400161990028701E-6</v>
      </c>
      <c r="AP50">
        <f>'TEA Revised Non EYZ'!AP50</f>
        <v>1.7331814378101901E-3</v>
      </c>
      <c r="AQ50">
        <f>'TEA Revised Non EYZ'!AQ50</f>
        <v>7.4555389865565105E-2</v>
      </c>
      <c r="AR50">
        <f>'TEA Revised Non EYZ'!AR50</f>
        <v>1.7204936451815799E-6</v>
      </c>
      <c r="AS50">
        <f>'TEA Revised Non EYZ'!AS50</f>
        <v>4.8772157102902604E-16</v>
      </c>
      <c r="AT50">
        <f>'TEA Revised Non EYZ'!AT50</f>
        <v>-4.7916531853431302E-14</v>
      </c>
      <c r="AU50">
        <f>'TEA Revised Non EYZ'!AU50</f>
        <v>-4.0829635035617401E-21</v>
      </c>
      <c r="AV50">
        <f>'TEA Revised Non EYZ'!AV50</f>
        <v>0.19691961669677699</v>
      </c>
      <c r="AW50">
        <f>'TEA Revised Non EYZ'!AW50</f>
        <v>99.342242352879694</v>
      </c>
      <c r="AX50">
        <f>'TEA Revised Non EYZ'!AX50</f>
        <v>500</v>
      </c>
      <c r="AY50">
        <f>'TEA Revised Non EYZ'!AY50</f>
        <v>95</v>
      </c>
      <c r="AZ50">
        <f>'TEA Revised Non EYZ'!AZ50</f>
        <v>0.92363221637625403</v>
      </c>
      <c r="BA50">
        <f>'TEA Revised Non EYZ'!BA50</f>
        <v>0.1</v>
      </c>
      <c r="BB50">
        <f>'TEA Revised Non EYZ'!BB50</f>
        <v>46.904022660093197</v>
      </c>
      <c r="BC50" t="str">
        <f>'TEA Revised Non EYZ'!BC50</f>
        <v>coeFc</v>
      </c>
      <c r="BD50">
        <f>'TEA Revised Non EYZ'!BD50</f>
        <v>1</v>
      </c>
      <c r="BE50">
        <f>'TEA Revised Non EYZ'!BE50</f>
        <v>1.8775014999999999E-2</v>
      </c>
      <c r="BF50">
        <f>'TEA Revised Non EYZ'!BF50</f>
        <v>0.10492961100000001</v>
      </c>
      <c r="BG50">
        <f>'TEA Revised Non EYZ'!BG50</f>
        <v>1.814625E-3</v>
      </c>
      <c r="BH50">
        <f>'TEA Revised Non EYZ'!BH50</f>
        <v>285.1951444</v>
      </c>
      <c r="BI50">
        <f>'TEA Revised Non EYZ'!BI50</f>
        <v>2169.8944889999998</v>
      </c>
      <c r="BJ50">
        <f>'TEA Revised Non EYZ'!BJ50</f>
        <v>866.49409060000005</v>
      </c>
      <c r="BK50">
        <f>'TEA Revised Non EYZ'!BK50</f>
        <v>100</v>
      </c>
      <c r="BL50">
        <f>'TEA Revised Non EYZ'!BL50</f>
        <v>11.1082169753281</v>
      </c>
      <c r="BM50">
        <f>'TEA Revised Non EYZ'!BM50</f>
        <v>92.363221637625401</v>
      </c>
      <c r="BN50">
        <f>'TEA Revised Non EYZ'!BN50</f>
        <v>19.691961669677699</v>
      </c>
      <c r="BO50">
        <f>'TEA Revised Non EYZ'!BO50</f>
        <v>199.94790555590581</v>
      </c>
      <c r="BP50">
        <f>'TEA Revised Non EYZ'!BP50</f>
        <v>551.37492675097553</v>
      </c>
      <c r="BQ50">
        <f>'TEA Revised Non EYZ'!BQ50</f>
        <v>19.994790555590583</v>
      </c>
      <c r="BR50">
        <f>'TEA Revised Non EYZ'!BR50</f>
        <v>55.137492675097555</v>
      </c>
      <c r="BS50">
        <f>'eLLE Bals'!CF50</f>
        <v>6.6649301851968596</v>
      </c>
      <c r="BT50">
        <f>'eLLE Bals'!CG50</f>
        <v>11.815177001806619</v>
      </c>
      <c r="BU50">
        <f>BM50</f>
        <v>92.363221637625401</v>
      </c>
      <c r="BV50">
        <f>BU50*(AM50*2+AN50*2+AO50*3)</f>
        <v>0.3141036184283067</v>
      </c>
      <c r="BW50">
        <f>BN50*BA50*(AP50*2+AQ50*2+AR50*3)</f>
        <v>0.30046448835658224</v>
      </c>
      <c r="BX50">
        <f>BV50/(2*V50*BL50+BV50)</f>
        <v>0.12387025076114085</v>
      </c>
      <c r="BY50">
        <f>BU50*BX50</f>
        <v>11.441055425359488</v>
      </c>
      <c r="BZ50">
        <f>BW50/(2*BN50*BA50+BW50)</f>
        <v>7.0883377512644757E-2</v>
      </c>
      <c r="CA50">
        <f>2*BN50*BA50/0.04</f>
        <v>98.459808348388492</v>
      </c>
      <c r="CB50">
        <f>(BS50+BL50)*2</f>
        <v>35.54629432104992</v>
      </c>
      <c r="CC50">
        <f>(BU50+BL50)*2</f>
        <v>206.94287722590701</v>
      </c>
      <c r="CD50">
        <f>(BT50+BN50)*2</f>
        <v>63.01427734296864</v>
      </c>
      <c r="CE50">
        <f>(CA50+BN50)*2</f>
        <v>236.30354003613238</v>
      </c>
      <c r="CF50">
        <f>'TEA Revised Non EYZ'!CB50</f>
        <v>2639.3123533379567</v>
      </c>
      <c r="CG50">
        <f>'TEA Revised Non EYZ'!CC50</f>
        <v>7278.1490331128771</v>
      </c>
      <c r="CH50">
        <f>'TEA Revised Non EYZ'!CD50</f>
        <v>3188.7782491883527</v>
      </c>
      <c r="CI50">
        <f>'TEA Revised Non EYZ'!CE50</f>
        <v>56137.010361921792</v>
      </c>
      <c r="CJ50">
        <f>BL50*V50</f>
        <v>1.11082169753281</v>
      </c>
      <c r="CK50">
        <f>CJ50/2*1.2</f>
        <v>0.66649301851968601</v>
      </c>
      <c r="CL50">
        <f>'eLLE Bals'!CB50*'Oxidant Feed Composition'!$N$20</f>
        <v>3.7027389917760348E-2</v>
      </c>
      <c r="CM50">
        <f>'eLLE Bals'!CB50*'Oxidant Feed Composition'!$N$21</f>
        <v>1.8513694958880169</v>
      </c>
      <c r="CN50">
        <f>'eLLE Bals'!CB50*'Oxidant Feed Composition'!$N$22</f>
        <v>0.55541084876640501</v>
      </c>
      <c r="CO50">
        <f>CN50/CK50</f>
        <v>0.83333333333333337</v>
      </c>
      <c r="CP50">
        <f>CO50</f>
        <v>0.83333333333333337</v>
      </c>
      <c r="CQ50">
        <f>CL50/CO50</f>
        <v>4.4432867901312414E-2</v>
      </c>
      <c r="CR50">
        <f>CM50/CO50</f>
        <v>2.22164339506562</v>
      </c>
      <c r="CS50">
        <f>BN50*BA50</f>
        <v>1.96919616696777</v>
      </c>
      <c r="CT50">
        <f>CS50/2*1.2</f>
        <v>1.181517700180662</v>
      </c>
      <c r="CU50">
        <f>'eLLE Bals'!CC50*'Oxidant Feed Composition'!$N$20</f>
        <v>6.5639872232259033E-2</v>
      </c>
      <c r="CV50">
        <f>'eLLE Bals'!CC50*'Oxidant Feed Composition'!$N$21</f>
        <v>3.28199361161295</v>
      </c>
      <c r="CW50">
        <f>'eLLE Bals'!CC50*'Oxidant Feed Composition'!$N$22</f>
        <v>0.984598083483885</v>
      </c>
      <c r="CX50">
        <f>CU50/CP50</f>
        <v>7.876784667871084E-2</v>
      </c>
      <c r="CY50">
        <f>CV50/CP50</f>
        <v>3.93839233393554</v>
      </c>
      <c r="CZ50">
        <f>CJ50</f>
        <v>1.11082169753281</v>
      </c>
      <c r="DA50">
        <f>'eLLE Bals'!BQ50</f>
        <v>2.22164339506562</v>
      </c>
      <c r="DB50">
        <f>'eLLE Bals'!BU50</f>
        <v>5.6351578089093737</v>
      </c>
      <c r="DC50">
        <f>CS50</f>
        <v>1.96919616696777</v>
      </c>
      <c r="DD50">
        <f>'eLLE Bals'!BX50</f>
        <v>3.93839233393554</v>
      </c>
      <c r="DE50">
        <f>'eLLE Bals'!CA50</f>
        <v>21.873200678005229</v>
      </c>
      <c r="DF50">
        <f>2*2*(CJ50*'Reagent cost'!$C$36*122.44/1000+CK50*'Oxidant Feed Composition'!$N$26+CQ50*'Reagent cost'!$C$34+CR50*'Reagent cost'!$C$35)</f>
        <v>93.828566875089578</v>
      </c>
      <c r="DG50">
        <f>2*2*(CS50*'Reagent cost'!$C$36*122.44/1000+CT50*'Oxidant Feed Composition'!$N$26+CX50*'Reagent cost'!$C$34+CY50*'Reagent cost'!$C$35)</f>
        <v>166.33349407279474</v>
      </c>
      <c r="DH50">
        <f>(AF50+3)*2*(CZ50*'Reagent cost'!$C$38+DA50*'Reagent cost'!$C$39+DB50*'Reagent cost'!$C$36*122.44/1000)</f>
        <v>1610.3176981362224</v>
      </c>
      <c r="DI50">
        <f>3*2*(DC50*'Reagent cost'!$C$38+DD50*'Reagent cost'!$C$39+DE50*'Reagent cost'!$C$36*122.44/1000)</f>
        <v>1187.4557475907322</v>
      </c>
      <c r="DJ50">
        <f>7963.6*(CB50/1000)^0.6*1.7*('CAPEX+OPEX'!$G$116/'CAPEX+OPEX'!$G$115)</f>
        <v>2156.3414312027717</v>
      </c>
      <c r="DK50">
        <f>7963.6*(CC50/1000)^0.6*1.7*('CAPEX+OPEX'!$G$116/'CAPEX+OPEX'!$G$115)</f>
        <v>6205.1347590783025</v>
      </c>
      <c r="DL50">
        <f>7963.6*(CD50/1000)^0.6*1.7*('CAPEX+OPEX'!$G$116/'CAPEX+OPEX'!$G$115)</f>
        <v>3040.2150453395552</v>
      </c>
      <c r="DM50">
        <f>7963.6*(CE50/1000)^0.6*1.7*('CAPEX+OPEX'!$G$116/'CAPEX+OPEX'!$G$115)</f>
        <v>6719.2850365490385</v>
      </c>
      <c r="DN50">
        <f>'TEA Revised Non EYZ'!CM50</f>
        <v>39625.826528698344</v>
      </c>
      <c r="DO50">
        <f>'TEA Revised Non EYZ'!CN50</f>
        <v>4586243.4239371875</v>
      </c>
      <c r="DP50">
        <f>'TEA Revised Non EYZ'!CO50</f>
        <v>11794834.586807497</v>
      </c>
      <c r="DQ50">
        <f>'TEA Revised Non EYZ'!CP50</f>
        <v>2275209.1661185985</v>
      </c>
      <c r="DR50">
        <f>'TEA Revised Non EYZ'!CQ50</f>
        <v>14083914.336508472</v>
      </c>
      <c r="DS50">
        <f>'TEA Revised Non EYZ'!CR50</f>
        <v>1662824.8986326549</v>
      </c>
      <c r="DT50">
        <f>'TEA Revised Non EYZ'!CS50</f>
        <v>700033.84449786716</v>
      </c>
      <c r="DU50">
        <f>'TEA Revised Non EYZ'!CT50</f>
        <v>1800336.9288957189</v>
      </c>
      <c r="DV50">
        <f>'TEA Revised Non EYZ'!CU50</f>
        <v>347282.79168127343</v>
      </c>
      <c r="DW50">
        <f>'TEA Revised Non EYZ'!CV50</f>
        <v>2149736.8951473436</v>
      </c>
      <c r="DX50">
        <f>'TEA Revised Non EYZ'!CW50</f>
        <v>253809.83932102245</v>
      </c>
      <c r="DY50">
        <f>'TEA Revised Non EYZ'!CX50</f>
        <v>5251200.2995432261</v>
      </c>
      <c r="DZ50">
        <f>'TEA Revised Non EYZ'!CY50</f>
        <v>884688.5141556306</v>
      </c>
      <c r="EA50">
        <f>'TEA Revised Non EYZ'!CZ50</f>
        <v>2275229.140880656</v>
      </c>
      <c r="EB50">
        <f>'TEA Revised Non EYZ'!DA50</f>
        <v>438888.91855608189</v>
      </c>
      <c r="EC50">
        <f>'TEA Revised Non EYZ'!DB50</f>
        <v>2716793.7015354363</v>
      </c>
      <c r="ED50">
        <f>'TEA Revised Non EYZ'!DC50</f>
        <v>320759.70525119215</v>
      </c>
      <c r="EE50">
        <f>'TEA Revised Non EYZ'!DD50</f>
        <v>6636359.9803789966</v>
      </c>
      <c r="EF50">
        <v>0.7</v>
      </c>
      <c r="EG50">
        <v>100</v>
      </c>
      <c r="EH50">
        <f>96485*BL50*V50/EF50/EG50/60</f>
        <v>25.518483687250757</v>
      </c>
      <c r="EI50">
        <f>96485*BN50*BA50/EF50/EG50/60</f>
        <v>45.237593373782218</v>
      </c>
      <c r="EJ50">
        <f>EH50*('CAPEX+OPEX'!$O$25+'CAPEX+OPEX'!$O$26)</f>
        <v>813325.1120800561</v>
      </c>
      <c r="EK50">
        <f>EI50*('CAPEX+OPEX'!$O$25+'CAPEX+OPEX'!$O$26)</f>
        <v>1441812.5760091869</v>
      </c>
      <c r="EL50">
        <f>EJ50*1.12/0.6*'CAPEX+OPEX'!$G$116/'CAPEX+OPEX'!$G$115</f>
        <v>1790661.6086879191</v>
      </c>
      <c r="EM50">
        <f>EK50*1.12/0.6*'CAPEX+OPEX'!$G$116/'CAPEX+OPEX'!$G$115</f>
        <v>3174374.4149005879</v>
      </c>
      <c r="EN50">
        <f>EL50+EM50+DY50+EE50+1.15*(SUM(DF50:DM50)+SUM(CF50:CI50))</f>
        <v>16956581.789553594</v>
      </c>
      <c r="EO50">
        <f>EN50/15</f>
        <v>1130438.7859702397</v>
      </c>
      <c r="EP50">
        <f>('eLLE Bals'!CB50+'eLLE Bals'!CC50)*'Oxidant Feed Composition'!$N$25*60*7200</f>
        <v>12402511.2260196</v>
      </c>
      <c r="EQ50" s="83">
        <f>('eLLE Bals'!BR50+'eLLE Bals'!BY50)*'Reagent cost'!$C$38*60*7200</f>
        <v>505779.11325965443</v>
      </c>
      <c r="ER50">
        <f>'TEA Revised Non EYZ'!DI50</f>
        <v>504921.59999999998</v>
      </c>
      <c r="ES50">
        <f>'TEA Revised Non EYZ'!DJ50</f>
        <v>99.174613864508345</v>
      </c>
      <c r="ET50">
        <f>'TEA Revised Non EYZ'!DK50</f>
        <v>1186.5157722222029</v>
      </c>
      <c r="EU50">
        <f>1.2*SUM(EP50:ET50)</f>
        <v>16097397.155598409</v>
      </c>
      <c r="EV50">
        <f>'TEA Revised Non EYZ'!DM50</f>
        <v>0.70639694042110623</v>
      </c>
      <c r="EW50">
        <f>(BS50*CO50+BT50*CP50)/1000*('Oxidant Feed Composition'!$B$11*'Oxidant Feed Composition'!$O$20+'Oxidant Feed Composition'!$D$11*'Oxidant Feed Composition'!$O$21+'Oxidant Feed Composition'!$F$11*'Oxidant Feed Composition'!$O$27-'Oxidant Feed Composition'!$J$15*18.015)</f>
        <v>1.7984923474874124</v>
      </c>
      <c r="EX50">
        <f>(CZ50*BX50+DC50*BZ50)*368.34/1000</f>
        <v>0.10209686336156613</v>
      </c>
      <c r="EY50">
        <f>'TEA Revised Non EYZ'!DP50</f>
        <v>4.999938342565946E-2</v>
      </c>
      <c r="EZ50">
        <f>SUM(EV50:EX50)-EY50</f>
        <v>2.5569867678444256</v>
      </c>
      <c r="FA50">
        <f>EZ50*0.33*60*7200</f>
        <v>364524.03362390131</v>
      </c>
      <c r="FB50">
        <f>'TEA Revised Non EYZ'!DS50</f>
        <v>1.2</v>
      </c>
      <c r="FC50">
        <v>0.5</v>
      </c>
      <c r="FD50">
        <f>'TEA Revised Non EYZ'!DT50</f>
        <v>1405.960919870389</v>
      </c>
      <c r="FE50">
        <f>'TEA Revised Non EYZ'!DU50</f>
        <v>705.92661426068241</v>
      </c>
      <c r="FF50">
        <f>'TEA Revised Non EYZ'!DV50</f>
        <v>0.7</v>
      </c>
      <c r="FG50">
        <f>'TEA Revised Non EYZ'!DW50</f>
        <v>38528.386667103026</v>
      </c>
      <c r="FH50">
        <f>'TEA Revised Non EYZ'!DX50</f>
        <v>33220.879177835675</v>
      </c>
      <c r="FI50">
        <f>'TEA Revised Non EYZ'!DY50</f>
        <v>14065.291587390104</v>
      </c>
      <c r="FJ50">
        <f>'TEA Revised Non EYZ'!DZ50</f>
        <v>7450.7773575794354</v>
      </c>
      <c r="FK50">
        <f>'TEA Revised Non EYZ'!EA50</f>
        <v>7501.4888466080574</v>
      </c>
      <c r="FL50">
        <f>'TEA Revised Non EYZ'!EB50</f>
        <v>850.32516433761134</v>
      </c>
      <c r="FM50">
        <f>'TEA Revised Non EYZ'!EC50</f>
        <v>48858.777606260672</v>
      </c>
      <c r="FN50">
        <f>'TEA Revised Non EYZ'!ED50</f>
        <v>50434.961458623809</v>
      </c>
      <c r="FO50">
        <f>'TEA Revised Non EYZ'!EE50</f>
        <v>21353.511907885077</v>
      </c>
      <c r="FP50">
        <f>'TEA Revised Non EYZ'!EF50</f>
        <v>11317.842974567217</v>
      </c>
      <c r="FQ50">
        <f>'TEA Revised Non EYZ'!EG50</f>
        <v>11388.539684205374</v>
      </c>
      <c r="FR50">
        <f>'TEA Revised Non EYZ'!EH50</f>
        <v>426.94441630486074</v>
      </c>
      <c r="FS50">
        <f>'TEA Revised Non EYZ'!EI50</f>
        <v>245397.72684870093</v>
      </c>
      <c r="FT50">
        <f>EG50*EH50</f>
        <v>2551.8483687250759</v>
      </c>
      <c r="FU50">
        <f>EG50*EI50</f>
        <v>4523.759337378222</v>
      </c>
      <c r="FV50">
        <f>FC50*(FT50+FU50)/(3.6*10^6)*3600*7200*0.07</f>
        <v>1783.0531419380313</v>
      </c>
      <c r="FW50">
        <f>('CAPEX+OPEX'!$C$39/7/100+0.03)*EL50</f>
        <v>92091.168446807264</v>
      </c>
      <c r="FX50">
        <f>('CAPEX+OPEX'!$C$39/7/100+0.03)*EM50</f>
        <v>163253.54133774451</v>
      </c>
      <c r="FY50">
        <f>SUM(FV50:FX50)</f>
        <v>257127.76292648981</v>
      </c>
      <c r="FZ50">
        <f>FY50+FA50+FS50+EU50</f>
        <v>16964446.678997502</v>
      </c>
      <c r="GA50">
        <f>FZ50+EO50</f>
        <v>18094885.464967743</v>
      </c>
      <c r="GB50">
        <f>GA50/(BK50*60*7200)</f>
        <v>0.41886308946684592</v>
      </c>
      <c r="GC50">
        <f>'TEA Revised Non EYZ'!EM50/'TEA Revised Non EYZ'!EK50*GA50</f>
        <v>1401.2791863433911</v>
      </c>
      <c r="GD50">
        <f>'TEA Revised Non EYZ'!EN50/'TEA Revised Non EYZ'!EK50*GA50</f>
        <v>2571.2689729485737</v>
      </c>
    </row>
    <row r="51" spans="1:186">
      <c r="A51">
        <f>'TEA Revised Non EYZ'!A51</f>
        <v>7</v>
      </c>
      <c r="B51">
        <f>'TEA Revised Non EYZ'!B51</f>
        <v>1.54143585092054E-3</v>
      </c>
      <c r="C51">
        <f>'TEA Revised Non EYZ'!C51</f>
        <v>1.54143585092054E-3</v>
      </c>
      <c r="D51">
        <f>'TEA Revised Non EYZ'!D51</f>
        <v>3.4254130020456501E-4</v>
      </c>
      <c r="E51">
        <f>'TEA Revised Non EYZ'!E51</f>
        <v>0</v>
      </c>
      <c r="F51">
        <f>'TEA Revised Non EYZ'!F51</f>
        <v>0</v>
      </c>
      <c r="G51">
        <f>'TEA Revised Non EYZ'!G51</f>
        <v>0</v>
      </c>
      <c r="H51">
        <f>'TEA Revised Non EYZ'!H51</f>
        <v>1.7744466230058299E-5</v>
      </c>
      <c r="I51">
        <f>'TEA Revised Non EYZ'!I51</f>
        <v>1.2927742824924801E-8</v>
      </c>
      <c r="J51">
        <f>'TEA Revised Non EYZ'!J51</f>
        <v>3.3739048286900598E-4</v>
      </c>
      <c r="K51">
        <f>'TEA Revised Non EYZ'!K51</f>
        <v>0.13716795306346499</v>
      </c>
      <c r="L51">
        <f>'TEA Revised Non EYZ'!L51</f>
        <v>0.138764207307677</v>
      </c>
      <c r="M51">
        <f>'TEA Revised Non EYZ'!M51</f>
        <v>4.6369433969460899E-4</v>
      </c>
      <c r="N51">
        <f>'TEA Revised Non EYZ'!N51</f>
        <v>-1.1037178115902399E-16</v>
      </c>
      <c r="O51">
        <f>'TEA Revised Non EYZ'!O51</f>
        <v>-5.3700533603207003E-15</v>
      </c>
      <c r="P51">
        <f>'TEA Revised Non EYZ'!P51</f>
        <v>-3.4304834363799101E-19</v>
      </c>
      <c r="Q51">
        <f>'TEA Revised Non EYZ'!Q51</f>
        <v>0.111082169753281</v>
      </c>
      <c r="R51">
        <f>'TEA Revised Non EYZ'!R51</f>
        <v>98.496293050653193</v>
      </c>
      <c r="S51">
        <f>'TEA Revised Non EYZ'!S51</f>
        <v>500</v>
      </c>
      <c r="T51">
        <f>'TEA Revised Non EYZ'!T51</f>
        <v>95</v>
      </c>
      <c r="U51">
        <f>'TEA Revised Non EYZ'!U51</f>
        <v>1</v>
      </c>
      <c r="V51">
        <f>'TEA Revised Non EYZ'!V51</f>
        <v>0.1</v>
      </c>
      <c r="W51">
        <f>'TEA Revised Non EYZ'!W51</f>
        <v>90.023448607553206</v>
      </c>
      <c r="X51" t="str">
        <f>'TEA Revised Non EYZ'!X51</f>
        <v>ddFc</v>
      </c>
      <c r="Y51">
        <f>'TEA Revised Non EYZ'!Y51</f>
        <v>1</v>
      </c>
      <c r="Z51">
        <f>'TEA Revised Non EYZ'!Z51</f>
        <v>0.28318429382522198</v>
      </c>
      <c r="AA51">
        <f>'TEA Revised Non EYZ'!AA51</f>
        <v>0.56945642916197003</v>
      </c>
      <c r="AB51">
        <f>'TEA Revised Non EYZ'!AB51</f>
        <v>3.7698628972227502E-3</v>
      </c>
      <c r="AC51">
        <f>'TEA Revised Non EYZ'!AC51</f>
        <v>1822.2107908876901</v>
      </c>
      <c r="AD51">
        <f>'TEA Revised Non EYZ'!AD51</f>
        <v>2662.6059073104898</v>
      </c>
      <c r="AE51">
        <f>'TEA Revised Non EYZ'!AE51</f>
        <v>2401.5030938442701</v>
      </c>
      <c r="AF51">
        <f>'TEA Revised Non EYZ'!AF51</f>
        <v>13</v>
      </c>
      <c r="AG51">
        <f>'TEA Revised Non EYZ'!AG51</f>
        <v>1.64967327652189E-3</v>
      </c>
      <c r="AH51">
        <f>'TEA Revised Non EYZ'!AH51</f>
        <v>1.66887089455438E-3</v>
      </c>
      <c r="AI51">
        <f>'TEA Revised Non EYZ'!AI51</f>
        <v>5.5766973522943398E-6</v>
      </c>
      <c r="AJ51">
        <f>'TEA Revised Non EYZ'!AJ51</f>
        <v>0</v>
      </c>
      <c r="AK51">
        <f>'TEA Revised Non EYZ'!AK51</f>
        <v>0</v>
      </c>
      <c r="AL51">
        <f>'TEA Revised Non EYZ'!AL51</f>
        <v>0</v>
      </c>
      <c r="AM51">
        <f>'TEA Revised Non EYZ'!AM51</f>
        <v>1.61272186550998E-3</v>
      </c>
      <c r="AN51">
        <f>'TEA Revised Non EYZ'!AN51</f>
        <v>7.93400817500593E-5</v>
      </c>
      <c r="AO51">
        <f>'TEA Revised Non EYZ'!AO51</f>
        <v>5.54001643467726E-6</v>
      </c>
      <c r="AP51">
        <f>'TEA Revised Non EYZ'!AP51</f>
        <v>1.7331730611392299E-3</v>
      </c>
      <c r="AQ51">
        <f>'TEA Revised Non EYZ'!AQ51</f>
        <v>7.4555528710795793E-2</v>
      </c>
      <c r="AR51">
        <f>'TEA Revised Non EYZ'!AR51</f>
        <v>1.7204858090881901E-6</v>
      </c>
      <c r="AS51">
        <f>'TEA Revised Non EYZ'!AS51</f>
        <v>5.6920614055488896E-19</v>
      </c>
      <c r="AT51">
        <f>'TEA Revised Non EYZ'!AT51</f>
        <v>-1.9298798670241899E-17</v>
      </c>
      <c r="AU51">
        <f>'TEA Revised Non EYZ'!AU51</f>
        <v>2.0514079191314999E-22</v>
      </c>
      <c r="AV51">
        <f>'TEA Revised Non EYZ'!AV51</f>
        <v>0.19691924837979699</v>
      </c>
      <c r="AW51">
        <f>'TEA Revised Non EYZ'!AW51</f>
        <v>99.342246578936397</v>
      </c>
      <c r="AX51">
        <f>'TEA Revised Non EYZ'!AX51</f>
        <v>500</v>
      </c>
      <c r="AY51">
        <f>'TEA Revised Non EYZ'!AY51</f>
        <v>95</v>
      </c>
      <c r="AZ51">
        <f>'TEA Revised Non EYZ'!AZ51</f>
        <v>0.92363221637625403</v>
      </c>
      <c r="BA51">
        <f>'TEA Revised Non EYZ'!BA51</f>
        <v>0.1</v>
      </c>
      <c r="BB51">
        <f>'TEA Revised Non EYZ'!BB51</f>
        <v>46.904110389191104</v>
      </c>
      <c r="BC51" t="str">
        <f>'TEA Revised Non EYZ'!BC51</f>
        <v>coeFc</v>
      </c>
      <c r="BD51">
        <f>'TEA Revised Non EYZ'!BD51</f>
        <v>1</v>
      </c>
      <c r="BE51">
        <f>'TEA Revised Non EYZ'!BE51</f>
        <v>1.8775014999999999E-2</v>
      </c>
      <c r="BF51">
        <f>'TEA Revised Non EYZ'!BF51</f>
        <v>0.10492961100000001</v>
      </c>
      <c r="BG51">
        <f>'TEA Revised Non EYZ'!BG51</f>
        <v>1.814625E-3</v>
      </c>
      <c r="BH51">
        <f>'TEA Revised Non EYZ'!BH51</f>
        <v>285.1951444</v>
      </c>
      <c r="BI51">
        <f>'TEA Revised Non EYZ'!BI51</f>
        <v>2169.8944889999998</v>
      </c>
      <c r="BJ51">
        <f>'TEA Revised Non EYZ'!BJ51</f>
        <v>866.49409060000005</v>
      </c>
      <c r="BK51">
        <f>'TEA Revised Non EYZ'!BK51</f>
        <v>100</v>
      </c>
      <c r="BL51">
        <f>'TEA Revised Non EYZ'!BL51</f>
        <v>11.1082169753281</v>
      </c>
      <c r="BM51">
        <f>'TEA Revised Non EYZ'!BM51</f>
        <v>92.363221637625401</v>
      </c>
      <c r="BN51">
        <f>'TEA Revised Non EYZ'!BN51</f>
        <v>19.691924837979698</v>
      </c>
      <c r="BO51">
        <f>'TEA Revised Non EYZ'!BO51</f>
        <v>199.94790555590581</v>
      </c>
      <c r="BP51">
        <f>'TEA Revised Non EYZ'!BP51</f>
        <v>590.75774513939098</v>
      </c>
      <c r="BQ51">
        <f>'TEA Revised Non EYZ'!BQ51</f>
        <v>19.994790555590583</v>
      </c>
      <c r="BR51">
        <f>'TEA Revised Non EYZ'!BR51</f>
        <v>59.075774513939102</v>
      </c>
      <c r="BS51">
        <f>'eLLE Bals'!CF51</f>
        <v>6.6649301851968596</v>
      </c>
      <c r="BT51">
        <f>'eLLE Bals'!CG51</f>
        <v>11.815154902787819</v>
      </c>
      <c r="BU51">
        <f>BM51</f>
        <v>92.363221637625401</v>
      </c>
      <c r="BV51">
        <f>BU51*(AM51*2+AN51*2+AO51*3)</f>
        <v>0.31410366661623862</v>
      </c>
      <c r="BW51">
        <f>BN51*BA51*(AP51*2+AQ51*2+AR51*3)</f>
        <v>0.30046444015916984</v>
      </c>
      <c r="BX51">
        <f>BV51/(2*V51*BL51+BV51)</f>
        <v>0.12387026741062508</v>
      </c>
      <c r="BY51">
        <f>BU51*BX51</f>
        <v>11.441056963159491</v>
      </c>
      <c r="BZ51">
        <f>BW51/(2*BN51*BA51+BW51)</f>
        <v>7.0883490130472807E-2</v>
      </c>
      <c r="CA51">
        <f>2*BN51*BA51/0.04</f>
        <v>98.459624189898491</v>
      </c>
      <c r="CB51">
        <f>(BS51+BL51)*2</f>
        <v>35.54629432104992</v>
      </c>
      <c r="CC51">
        <f>(BU51+BL51)*2</f>
        <v>206.94287722590701</v>
      </c>
      <c r="CD51">
        <f>(BT51+BN51)*2</f>
        <v>63.014159481535032</v>
      </c>
      <c r="CE51">
        <f>(CA51+BN51)*2</f>
        <v>236.30309805575638</v>
      </c>
      <c r="CF51">
        <f>'TEA Revised Non EYZ'!CB51</f>
        <v>2639.3123533379567</v>
      </c>
      <c r="CG51">
        <f>'TEA Revised Non EYZ'!CC51</f>
        <v>7798.0022358399619</v>
      </c>
      <c r="CH51">
        <f>'TEA Revised Non EYZ'!CD51</f>
        <v>3188.7782491883527</v>
      </c>
      <c r="CI51">
        <f>'TEA Revised Non EYZ'!CE51</f>
        <v>60146.684318225351</v>
      </c>
      <c r="CJ51">
        <f>BL51*V51</f>
        <v>1.11082169753281</v>
      </c>
      <c r="CK51">
        <f>CJ51/2*1.2</f>
        <v>0.66649301851968601</v>
      </c>
      <c r="CL51">
        <f>'eLLE Bals'!CB51*'Oxidant Feed Composition'!$N$20</f>
        <v>3.7027389917760348E-2</v>
      </c>
      <c r="CM51">
        <f>'eLLE Bals'!CB51*'Oxidant Feed Composition'!$N$21</f>
        <v>1.8513694958880169</v>
      </c>
      <c r="CN51">
        <f>'eLLE Bals'!CB51*'Oxidant Feed Composition'!$N$22</f>
        <v>0.55541084876640501</v>
      </c>
      <c r="CO51">
        <f>CN51/CK51</f>
        <v>0.83333333333333337</v>
      </c>
      <c r="CP51">
        <f>CO51</f>
        <v>0.83333333333333337</v>
      </c>
      <c r="CQ51">
        <f>CL51/CO51</f>
        <v>4.4432867901312414E-2</v>
      </c>
      <c r="CR51">
        <f>CM51/CO51</f>
        <v>2.22164339506562</v>
      </c>
      <c r="CS51">
        <f>BN51*BA51</f>
        <v>1.96919248379797</v>
      </c>
      <c r="CT51">
        <f>CS51/2*1.2</f>
        <v>1.1815154902787819</v>
      </c>
      <c r="CU51">
        <f>'eLLE Bals'!CC51*'Oxidant Feed Composition'!$N$20</f>
        <v>6.5639749459932353E-2</v>
      </c>
      <c r="CV51">
        <f>'eLLE Bals'!CC51*'Oxidant Feed Composition'!$N$21</f>
        <v>3.2819874729966165</v>
      </c>
      <c r="CW51">
        <f>'eLLE Bals'!CC51*'Oxidant Feed Composition'!$N$22</f>
        <v>0.98459624189898498</v>
      </c>
      <c r="CX51">
        <f>CU51/CP51</f>
        <v>7.8767699351918824E-2</v>
      </c>
      <c r="CY51">
        <f>CV51/CP51</f>
        <v>3.9383849675959395</v>
      </c>
      <c r="CZ51">
        <f>CJ51</f>
        <v>1.11082169753281</v>
      </c>
      <c r="DA51">
        <f>'eLLE Bals'!BQ51</f>
        <v>2.22164339506562</v>
      </c>
      <c r="DB51">
        <f>'eLLE Bals'!BU51</f>
        <v>5.6351566034982188</v>
      </c>
      <c r="DC51">
        <f>CS51</f>
        <v>1.96919248379797</v>
      </c>
      <c r="DD51">
        <f>'eLLE Bals'!BX51</f>
        <v>3.9383849675959399</v>
      </c>
      <c r="DE51">
        <f>'eLLE Bals'!CA51</f>
        <v>21.873115629228174</v>
      </c>
      <c r="DF51">
        <f>2*2*(CJ51*'Reagent cost'!$C$36*122.44/1000+CK51*'Oxidant Feed Composition'!$N$26+CQ51*'Reagent cost'!$C$34+CR51*'Reagent cost'!$C$35)</f>
        <v>93.828566875089578</v>
      </c>
      <c r="DG51">
        <f>2*2*(CS51*'Reagent cost'!$C$36*122.44/1000+CT51*'Oxidant Feed Composition'!$N$26+CX51*'Reagent cost'!$C$34+CY51*'Reagent cost'!$C$35)</f>
        <v>166.33318296387003</v>
      </c>
      <c r="DH51">
        <f>(AF51+3)*2*(CZ51*'Reagent cost'!$C$38+DA51*'Reagent cost'!$C$39+DB51*'Reagent cost'!$C$36*122.44/1000)</f>
        <v>1717.6718778142938</v>
      </c>
      <c r="DI51">
        <f>3*2*(DC51*'Reagent cost'!$C$38+DD51*'Reagent cost'!$C$39+DE51*'Reagent cost'!$C$36*122.44/1000)</f>
        <v>1187.451236726725</v>
      </c>
      <c r="DJ51">
        <f>7963.6*(CB51/1000)^0.6*1.7*('CAPEX+OPEX'!$G$116/'CAPEX+OPEX'!$G$115)</f>
        <v>2156.3414312027717</v>
      </c>
      <c r="DK51">
        <f>7963.6*(CC51/1000)^0.6*1.7*('CAPEX+OPEX'!$G$116/'CAPEX+OPEX'!$G$115)</f>
        <v>6205.1347590783025</v>
      </c>
      <c r="DL51">
        <f>7963.6*(CD51/1000)^0.6*1.7*('CAPEX+OPEX'!$G$116/'CAPEX+OPEX'!$G$115)</f>
        <v>3040.2116335009732</v>
      </c>
      <c r="DM51">
        <f>7963.6*(CE51/1000)^0.6*1.7*('CAPEX+OPEX'!$G$116/'CAPEX+OPEX'!$G$115)</f>
        <v>6719.2774959258959</v>
      </c>
      <c r="DN51">
        <f>'TEA Revised Non EYZ'!CM51</f>
        <v>39625.826528698344</v>
      </c>
      <c r="DO51">
        <f>'TEA Revised Non EYZ'!CN51</f>
        <v>4586243.4239371875</v>
      </c>
      <c r="DP51">
        <f>'TEA Revised Non EYZ'!CO51</f>
        <v>11794834.586807497</v>
      </c>
      <c r="DQ51">
        <f>'TEA Revised Non EYZ'!CP51</f>
        <v>2275209.1661185985</v>
      </c>
      <c r="DR51">
        <f>'TEA Revised Non EYZ'!CQ51</f>
        <v>14083914.336508472</v>
      </c>
      <c r="DS51">
        <f>'TEA Revised Non EYZ'!CR51</f>
        <v>1662824.8986326549</v>
      </c>
      <c r="DT51">
        <f>'TEA Revised Non EYZ'!CS51</f>
        <v>700033.84449786716</v>
      </c>
      <c r="DU51">
        <f>'TEA Revised Non EYZ'!CT51</f>
        <v>1800336.9288957189</v>
      </c>
      <c r="DV51">
        <f>'TEA Revised Non EYZ'!CU51</f>
        <v>347282.79168127343</v>
      </c>
      <c r="DW51">
        <f>'TEA Revised Non EYZ'!CV51</f>
        <v>2149736.8951473436</v>
      </c>
      <c r="DX51">
        <f>'TEA Revised Non EYZ'!CW51</f>
        <v>253809.83932102245</v>
      </c>
      <c r="DY51">
        <f>'TEA Revised Non EYZ'!CX51</f>
        <v>5251200.2995432261</v>
      </c>
      <c r="DZ51">
        <f>'TEA Revised Non EYZ'!CY51</f>
        <v>924913.67140026169</v>
      </c>
      <c r="EA51">
        <f>'TEA Revised Non EYZ'!CZ51</f>
        <v>2378679.619207304</v>
      </c>
      <c r="EB51">
        <f>'TEA Revised Non EYZ'!DA51</f>
        <v>458844.38930014853</v>
      </c>
      <c r="EC51">
        <f>'TEA Revised Non EYZ'!DB51</f>
        <v>2840321.3071241546</v>
      </c>
      <c r="ED51">
        <f>'TEA Revised Non EYZ'!DC51</f>
        <v>335344.05824664765</v>
      </c>
      <c r="EE51">
        <f>'TEA Revised Non EYZ'!DD51</f>
        <v>6938103.0452785166</v>
      </c>
      <c r="EF51">
        <v>0.7</v>
      </c>
      <c r="EG51">
        <v>100</v>
      </c>
      <c r="EH51">
        <f>96485*BL51*V51/EF51/EG51/60</f>
        <v>25.518483687250757</v>
      </c>
      <c r="EI51">
        <f>96485*BN51*BA51/EF51/EG51/60</f>
        <v>45.237508761725515</v>
      </c>
      <c r="EJ51">
        <f>EH51*('CAPEX+OPEX'!$O$25+'CAPEX+OPEX'!$O$26)</f>
        <v>813325.1120800561</v>
      </c>
      <c r="EK51">
        <f>EI51*('CAPEX+OPEX'!$O$25+'CAPEX+OPEX'!$O$26)</f>
        <v>1441809.8792537155</v>
      </c>
      <c r="EL51">
        <f>EJ51*1.12/0.6*'CAPEX+OPEX'!$G$116/'CAPEX+OPEX'!$G$115</f>
        <v>1790661.6086879191</v>
      </c>
      <c r="EM51">
        <f>EK51*1.12/0.6*'CAPEX+OPEX'!$G$116/'CAPEX+OPEX'!$G$115</f>
        <v>3174368.4775743959</v>
      </c>
      <c r="EN51">
        <f>EL51+EM51+DY51+EE51+1.15*(SUM(DF51:DM51)+SUM(CF51:CI51))</f>
        <v>17263651.312525842</v>
      </c>
      <c r="EO51">
        <f>EN51/15</f>
        <v>1150910.0875017229</v>
      </c>
      <c r="EP51">
        <f>('eLLE Bals'!CB51+'eLLE Bals'!CC51)*'Oxidant Feed Composition'!$N$25*60*7200</f>
        <v>12402496.394756664</v>
      </c>
      <c r="EQ51" s="83">
        <f>('eLLE Bals'!BR51+'eLLE Bals'!BY51)*'Reagent cost'!$C$38*60*7200</f>
        <v>505779.07527850667</v>
      </c>
      <c r="ER51">
        <f>'TEA Revised Non EYZ'!DI51</f>
        <v>504921.59999999998</v>
      </c>
      <c r="ES51">
        <f>'TEA Revised Non EYZ'!DJ51</f>
        <v>104.37314589177919</v>
      </c>
      <c r="ET51">
        <f>'TEA Revised Non EYZ'!DK51</f>
        <v>1266.7092513482742</v>
      </c>
      <c r="EU51">
        <f>1.2*SUM(EP51:ET51)</f>
        <v>16097481.782918891</v>
      </c>
      <c r="EV51">
        <f>'TEA Revised Non EYZ'!DM51</f>
        <v>0.70639694042110623</v>
      </c>
      <c r="EW51">
        <f>(BS51*CO51+BT51*CP51)/1000*('Oxidant Feed Composition'!$B$11*'Oxidant Feed Composition'!$O$20+'Oxidant Feed Composition'!$D$11*'Oxidant Feed Composition'!$O$21+'Oxidant Feed Composition'!$F$11*'Oxidant Feed Composition'!$O$27-'Oxidant Feed Composition'!$J$15*18.015)</f>
        <v>1.7984901968009581</v>
      </c>
      <c r="EX51">
        <f>(CZ51*BX51+DC51*BZ51)*368.34/1000</f>
        <v>0.10209685569466978</v>
      </c>
      <c r="EY51">
        <f>'TEA Revised Non EYZ'!DP51</f>
        <v>4.999938342565946E-2</v>
      </c>
      <c r="EZ51">
        <f>SUM(EV51:EX51)-EY51</f>
        <v>2.5569846094910749</v>
      </c>
      <c r="FA51">
        <f>EZ51*0.33*60*7200</f>
        <v>364523.72592904768</v>
      </c>
      <c r="FB51">
        <f>'TEA Revised Non EYZ'!DS51</f>
        <v>1.2</v>
      </c>
      <c r="FC51">
        <v>0.5</v>
      </c>
      <c r="FD51">
        <f>'TEA Revised Non EYZ'!DT51</f>
        <v>1405.9611356884682</v>
      </c>
      <c r="FE51">
        <f>'TEA Revised Non EYZ'!DU51</f>
        <v>705.92639842104836</v>
      </c>
      <c r="FF51">
        <f>'TEA Revised Non EYZ'!DV51</f>
        <v>0.7</v>
      </c>
      <c r="FG51">
        <f>'TEA Revised Non EYZ'!DW51</f>
        <v>38528.386667103026</v>
      </c>
      <c r="FH51">
        <f>'TEA Revised Non EYZ'!DX51</f>
        <v>33220.879177835675</v>
      </c>
      <c r="FI51">
        <f>'TEA Revised Non EYZ'!DY51</f>
        <v>14065.291587390104</v>
      </c>
      <c r="FJ51">
        <f>'TEA Revised Non EYZ'!DZ51</f>
        <v>7450.7773575794354</v>
      </c>
      <c r="FK51">
        <f>'TEA Revised Non EYZ'!EA51</f>
        <v>7501.4888466080574</v>
      </c>
      <c r="FL51">
        <f>'TEA Revised Non EYZ'!EB51</f>
        <v>850.32529486438557</v>
      </c>
      <c r="FM51">
        <f>'TEA Revised Non EYZ'!EC51</f>
        <v>51430.292217116497</v>
      </c>
      <c r="FN51">
        <f>'TEA Revised Non EYZ'!ED51</f>
        <v>54314.573878517935</v>
      </c>
      <c r="FO51">
        <f>'TEA Revised Non EYZ'!EE51</f>
        <v>22996.089746953152</v>
      </c>
      <c r="FP51">
        <f>'TEA Revised Non EYZ'!EF51</f>
        <v>12188.446280303153</v>
      </c>
      <c r="FQ51">
        <f>'TEA Revised Non EYZ'!EG51</f>
        <v>12264.581198375015</v>
      </c>
      <c r="FR51">
        <f>'TEA Revised Non EYZ'!EH51</f>
        <v>426.94428576505004</v>
      </c>
      <c r="FS51">
        <f>'TEA Revised Non EYZ'!EI51</f>
        <v>255238.07653841146</v>
      </c>
      <c r="FT51">
        <f>EG51*EH51</f>
        <v>2551.8483687250759</v>
      </c>
      <c r="FU51">
        <f>EG51*EI51</f>
        <v>4523.7508761725512</v>
      </c>
      <c r="FV51">
        <f>FC51*(FT51+FU51)/(3.6*10^6)*3600*7200*0.07</f>
        <v>1783.0510097142021</v>
      </c>
      <c r="FW51">
        <f>('CAPEX+OPEX'!$C$39/7/100+0.03)*EL51</f>
        <v>92091.168446807264</v>
      </c>
      <c r="FX51">
        <f>('CAPEX+OPEX'!$C$39/7/100+0.03)*EM51</f>
        <v>163253.23598954035</v>
      </c>
      <c r="FY51">
        <f>SUM(FV51:FX51)</f>
        <v>257127.45544606179</v>
      </c>
      <c r="FZ51">
        <f>FY51+FA51+FS51+EU51</f>
        <v>16974371.040832411</v>
      </c>
      <c r="GA51">
        <f>FZ51+EO51</f>
        <v>18125281.128334135</v>
      </c>
      <c r="GB51">
        <f>GA51/(BK51*60*7200)</f>
        <v>0.4195666927855124</v>
      </c>
      <c r="GC51">
        <f>'TEA Revised Non EYZ'!EM51/'TEA Revised Non EYZ'!EK51*GA51</f>
        <v>1403.6328298217247</v>
      </c>
      <c r="GD51">
        <f>'TEA Revised Non EYZ'!EN51/'TEA Revised Non EYZ'!EK51*GA51</f>
        <v>2575.588898783386</v>
      </c>
    </row>
    <row r="52" spans="1:186">
      <c r="A52">
        <f>'TEA Revised Non EYZ'!A52</f>
        <v>8</v>
      </c>
      <c r="B52">
        <f>'TEA Revised Non EYZ'!B52</f>
        <v>1.54143585092054E-3</v>
      </c>
      <c r="C52">
        <f>'TEA Revised Non EYZ'!C52</f>
        <v>1.54143585092054E-3</v>
      </c>
      <c r="D52">
        <f>'TEA Revised Non EYZ'!D52</f>
        <v>3.4254130020456501E-4</v>
      </c>
      <c r="E52">
        <f>'TEA Revised Non EYZ'!E52</f>
        <v>0</v>
      </c>
      <c r="F52">
        <f>'TEA Revised Non EYZ'!F52</f>
        <v>0</v>
      </c>
      <c r="G52">
        <f>'TEA Revised Non EYZ'!G52</f>
        <v>0</v>
      </c>
      <c r="H52">
        <f>'TEA Revised Non EYZ'!H52</f>
        <v>1.7762434284205799E-5</v>
      </c>
      <c r="I52">
        <f>'TEA Revised Non EYZ'!I52</f>
        <v>4.4591984978445998E-9</v>
      </c>
      <c r="J52">
        <f>'TEA Revised Non EYZ'!J52</f>
        <v>3.37570976171142E-4</v>
      </c>
      <c r="K52">
        <f>'TEA Revised Non EYZ'!K52</f>
        <v>0.13846015972746001</v>
      </c>
      <c r="L52">
        <f>'TEA Revised Non EYZ'!L52</f>
        <v>0.14007387303476199</v>
      </c>
      <c r="M52">
        <f>'TEA Revised Non EYZ'!M52</f>
        <v>4.5166625081916902E-4</v>
      </c>
      <c r="N52">
        <f>'TEA Revised Non EYZ'!N52</f>
        <v>-2.6107588313450902E-16</v>
      </c>
      <c r="O52">
        <f>'TEA Revised Non EYZ'!O52</f>
        <v>-1.18524981496115E-14</v>
      </c>
      <c r="P52">
        <f>'TEA Revised Non EYZ'!P52</f>
        <v>-2.5241581828178102E-19</v>
      </c>
      <c r="Q52">
        <f>'TEA Revised Non EYZ'!Q52</f>
        <v>0.110044175857931</v>
      </c>
      <c r="R52">
        <f>'TEA Revised Non EYZ'!R52</f>
        <v>98.548985471108097</v>
      </c>
      <c r="S52">
        <f>'TEA Revised Non EYZ'!S52</f>
        <v>500</v>
      </c>
      <c r="T52">
        <f>'TEA Revised Non EYZ'!T52</f>
        <v>95</v>
      </c>
      <c r="U52">
        <f>'TEA Revised Non EYZ'!U52</f>
        <v>1</v>
      </c>
      <c r="V52">
        <f>'TEA Revised Non EYZ'!V52</f>
        <v>0.1</v>
      </c>
      <c r="W52">
        <f>'TEA Revised Non EYZ'!W52</f>
        <v>90.872596591664205</v>
      </c>
      <c r="X52" t="str">
        <f>'TEA Revised Non EYZ'!X52</f>
        <v>ddFc</v>
      </c>
      <c r="Y52">
        <f>'TEA Revised Non EYZ'!Y52</f>
        <v>1</v>
      </c>
      <c r="Z52">
        <f>'TEA Revised Non EYZ'!Z52</f>
        <v>0.28318429382522198</v>
      </c>
      <c r="AA52">
        <f>'TEA Revised Non EYZ'!AA52</f>
        <v>0.56945642916197003</v>
      </c>
      <c r="AB52">
        <f>'TEA Revised Non EYZ'!AB52</f>
        <v>3.7698628972227502E-3</v>
      </c>
      <c r="AC52">
        <f>'TEA Revised Non EYZ'!AC52</f>
        <v>1822.2107908876901</v>
      </c>
      <c r="AD52">
        <f>'TEA Revised Non EYZ'!AD52</f>
        <v>2662.6059073104898</v>
      </c>
      <c r="AE52">
        <f>'TEA Revised Non EYZ'!AE52</f>
        <v>2401.5030938442701</v>
      </c>
      <c r="AF52">
        <f>'TEA Revised Non EYZ'!AF52</f>
        <v>4</v>
      </c>
      <c r="AG52">
        <f>'TEA Revised Non EYZ'!AG52</f>
        <v>1.6497294784823999E-3</v>
      </c>
      <c r="AH52">
        <f>'TEA Revised Non EYZ'!AH52</f>
        <v>1.66895660069658E-3</v>
      </c>
      <c r="AI52">
        <f>'TEA Revised Non EYZ'!AI52</f>
        <v>5.38152729188446E-6</v>
      </c>
      <c r="AJ52">
        <f>'TEA Revised Non EYZ'!AJ52</f>
        <v>0</v>
      </c>
      <c r="AK52">
        <f>'TEA Revised Non EYZ'!AK52</f>
        <v>0</v>
      </c>
      <c r="AL52">
        <f>'TEA Revised Non EYZ'!AL52</f>
        <v>0</v>
      </c>
      <c r="AM52">
        <f>'TEA Revised Non EYZ'!AM52</f>
        <v>1.6048042794156499E-3</v>
      </c>
      <c r="AN52">
        <f>'TEA Revised Non EYZ'!AN52</f>
        <v>7.91245725580603E-5</v>
      </c>
      <c r="AO52">
        <f>'TEA Revised Non EYZ'!AO52</f>
        <v>5.33881057128359E-6</v>
      </c>
      <c r="AP52">
        <f>'TEA Revised Non EYZ'!AP52</f>
        <v>1.9876957232607701E-3</v>
      </c>
      <c r="AQ52">
        <f>'TEA Revised Non EYZ'!AQ52</f>
        <v>7.0341420588359904E-2</v>
      </c>
      <c r="AR52">
        <f>'TEA Revised Non EYZ'!AR52</f>
        <v>1.8899825621476501E-6</v>
      </c>
      <c r="AS52">
        <f>'TEA Revised Non EYZ'!AS52</f>
        <v>-9.5823143256984394E-15</v>
      </c>
      <c r="AT52">
        <f>'TEA Revised Non EYZ'!AT52</f>
        <v>-1.23568690002517E-13</v>
      </c>
      <c r="AU52">
        <f>'TEA Revised Non EYZ'!AU52</f>
        <v>-3.11350782564959E-18</v>
      </c>
      <c r="AV52">
        <f>'TEA Revised Non EYZ'!AV52</f>
        <v>0.208746528965852</v>
      </c>
      <c r="AW52">
        <f>'TEA Revised Non EYZ'!AW52</f>
        <v>99.206234247565902</v>
      </c>
      <c r="AX52">
        <f>'TEA Revised Non EYZ'!AX52</f>
        <v>499.99999999999898</v>
      </c>
      <c r="AY52">
        <f>'TEA Revised Non EYZ'!AY52</f>
        <v>95</v>
      </c>
      <c r="AZ52">
        <f>'TEA Revised Non EYZ'!AZ52</f>
        <v>0.92358985913147196</v>
      </c>
      <c r="BA52">
        <f>'TEA Revised Non EYZ'!BA52</f>
        <v>0.1</v>
      </c>
      <c r="BB52">
        <f>'TEA Revised Non EYZ'!BB52</f>
        <v>44.244561272803402</v>
      </c>
      <c r="BC52" t="str">
        <f>'TEA Revised Non EYZ'!BC52</f>
        <v>coeFc</v>
      </c>
      <c r="BD52">
        <f>'TEA Revised Non EYZ'!BD52</f>
        <v>1</v>
      </c>
      <c r="BE52">
        <f>'TEA Revised Non EYZ'!BE52</f>
        <v>1.8775014999999999E-2</v>
      </c>
      <c r="BF52">
        <f>'TEA Revised Non EYZ'!BF52</f>
        <v>0.10492961100000001</v>
      </c>
      <c r="BG52">
        <f>'TEA Revised Non EYZ'!BG52</f>
        <v>1.814625E-3</v>
      </c>
      <c r="BH52">
        <f>'TEA Revised Non EYZ'!BH52</f>
        <v>285.1951444</v>
      </c>
      <c r="BI52">
        <f>'TEA Revised Non EYZ'!BI52</f>
        <v>2169.8944889999998</v>
      </c>
      <c r="BJ52">
        <f>'TEA Revised Non EYZ'!BJ52</f>
        <v>866.49409060000005</v>
      </c>
      <c r="BK52">
        <f>'TEA Revised Non EYZ'!BK52</f>
        <v>100</v>
      </c>
      <c r="BL52">
        <f>'TEA Revised Non EYZ'!BL52</f>
        <v>11.004417585793099</v>
      </c>
      <c r="BM52">
        <f>'TEA Revised Non EYZ'!BM52</f>
        <v>92.358985913147194</v>
      </c>
      <c r="BN52">
        <f>'TEA Revised Non EYZ'!BN52</f>
        <v>20.8746528965852</v>
      </c>
      <c r="BO52">
        <f>'TEA Revised Non EYZ'!BO52</f>
        <v>220.08835171586199</v>
      </c>
      <c r="BP52">
        <f>'TEA Revised Non EYZ'!BP52</f>
        <v>250.49583475902239</v>
      </c>
      <c r="BQ52">
        <f>'TEA Revised Non EYZ'!BQ52</f>
        <v>22.008835171586199</v>
      </c>
      <c r="BR52">
        <f>'TEA Revised Non EYZ'!BR52</f>
        <v>25.049583475902239</v>
      </c>
      <c r="BS52">
        <f>'eLLE Bals'!CF52</f>
        <v>6.6026505514758593</v>
      </c>
      <c r="BT52">
        <f>'eLLE Bals'!CG52</f>
        <v>12.524791737951119</v>
      </c>
      <c r="BU52">
        <f>BM52</f>
        <v>92.358985913147194</v>
      </c>
      <c r="BV52">
        <f>BU52*(AM52*2+AN52*2+AO52*3)</f>
        <v>0.31253118362740245</v>
      </c>
      <c r="BW52">
        <f>BN52*BA52*(AP52*2+AQ52*2+AR52*3)</f>
        <v>0.30198087528335371</v>
      </c>
      <c r="BX52">
        <f>BV52/(2*V52*BL52+BV52)</f>
        <v>0.12434525171260608</v>
      </c>
      <c r="BY52">
        <f>BU52*BX52</f>
        <v>11.484401351291327</v>
      </c>
      <c r="BZ52">
        <f>BW52/(2*BN52*BA52+BW52)</f>
        <v>6.7452947940938965E-2</v>
      </c>
      <c r="CA52">
        <f>2*BN52*BA52/0.04</f>
        <v>104.373264482926</v>
      </c>
      <c r="CB52">
        <f>(BS52+BL52)*2</f>
        <v>35.214136274537921</v>
      </c>
      <c r="CC52">
        <f>(BU52+BL52)*2</f>
        <v>206.7268069978806</v>
      </c>
      <c r="CD52">
        <f>(BT52+BN52)*2</f>
        <v>66.798889269072646</v>
      </c>
      <c r="CE52">
        <f>(CA52+BN52)*2</f>
        <v>250.49583475902242</v>
      </c>
      <c r="CF52">
        <f>'TEA Revised Non EYZ'!CB52</f>
        <v>2905.1662426493785</v>
      </c>
      <c r="CG52">
        <f>'TEA Revised Non EYZ'!CC52</f>
        <v>3306.5450188190953</v>
      </c>
      <c r="CH52">
        <f>'TEA Revised Non EYZ'!CD52</f>
        <v>3509.9789962792502</v>
      </c>
      <c r="CI52">
        <f>'TEA Revised Non EYZ'!CE52</f>
        <v>25503.675610255905</v>
      </c>
      <c r="CJ52">
        <f>BL52*V52</f>
        <v>1.10044175857931</v>
      </c>
      <c r="CK52">
        <f>CJ52/2*1.2</f>
        <v>0.66026505514758604</v>
      </c>
      <c r="CL52">
        <f>'eLLE Bals'!CB52*'Oxidant Feed Composition'!$N$20</f>
        <v>3.668139195264368E-2</v>
      </c>
      <c r="CM52">
        <f>'eLLE Bals'!CB52*'Oxidant Feed Composition'!$N$21</f>
        <v>1.8340695976321835</v>
      </c>
      <c r="CN52">
        <f>'eLLE Bals'!CB52*'Oxidant Feed Composition'!$N$22</f>
        <v>0.55022087928965502</v>
      </c>
      <c r="CO52">
        <f>CN52/CK52</f>
        <v>0.83333333333333326</v>
      </c>
      <c r="CP52">
        <f>CO52</f>
        <v>0.83333333333333326</v>
      </c>
      <c r="CQ52">
        <f>CL52/CO52</f>
        <v>4.4017670343172423E-2</v>
      </c>
      <c r="CR52">
        <f>CM52/CO52</f>
        <v>2.2008835171586205</v>
      </c>
      <c r="CS52">
        <f>BN52*BA52</f>
        <v>2.0874652896585202</v>
      </c>
      <c r="CT52">
        <f>CS52/2*1.2</f>
        <v>1.252479173795112</v>
      </c>
      <c r="CU52">
        <f>'eLLE Bals'!CC52*'Oxidant Feed Composition'!$N$20</f>
        <v>6.9582176321950698E-2</v>
      </c>
      <c r="CV52">
        <f>'eLLE Bals'!CC52*'Oxidant Feed Composition'!$N$21</f>
        <v>3.4791088160975336</v>
      </c>
      <c r="CW52">
        <f>'eLLE Bals'!CC52*'Oxidant Feed Composition'!$N$22</f>
        <v>1.0437326448292601</v>
      </c>
      <c r="CX52">
        <f>CU52/CP52</f>
        <v>8.3498611586340851E-2</v>
      </c>
      <c r="CY52">
        <f>CV52/CP52</f>
        <v>4.1749305793170404</v>
      </c>
      <c r="CZ52">
        <f>CJ52</f>
        <v>1.10044175857931</v>
      </c>
      <c r="DA52">
        <f>'eLLE Bals'!BQ52</f>
        <v>2.2008835171586201</v>
      </c>
      <c r="DB52">
        <f>'eLLE Bals'!BU52</f>
        <v>5.5485643939218185</v>
      </c>
      <c r="DC52">
        <f>CS52</f>
        <v>2.0874652896585202</v>
      </c>
      <c r="DD52">
        <f>'eLLE Bals'!BX52</f>
        <v>4.1749305793170404</v>
      </c>
      <c r="DE52">
        <f>'eLLE Bals'!CA52</f>
        <v>24.684587967613481</v>
      </c>
      <c r="DF52">
        <f>2*2*(CJ52*'Reagent cost'!$C$36*122.44/1000+CK52*'Oxidant Feed Composition'!$N$26+CQ52*'Reagent cost'!$C$34+CR52*'Reagent cost'!$C$35)</f>
        <v>92.951797184309328</v>
      </c>
      <c r="DG52">
        <f>2*2*(CS52*'Reagent cost'!$C$36*122.44/1000+CT52*'Oxidant Feed Composition'!$N$26+CX52*'Reagent cost'!$C$34+CY52*'Reagent cost'!$C$35)</f>
        <v>176.32341622888359</v>
      </c>
      <c r="DH52">
        <f>(AF52+3)*2*(CZ52*'Reagent cost'!$C$38+DA52*'Reagent cost'!$C$39+DB52*'Reagent cost'!$C$36*122.44/1000)</f>
        <v>740.35133166535343</v>
      </c>
      <c r="DI52">
        <f>3*2*(DC52*'Reagent cost'!$C$38+DD52*'Reagent cost'!$C$39+DE52*'Reagent cost'!$C$36*122.44/1000)</f>
        <v>1336.4745195923322</v>
      </c>
      <c r="DJ52">
        <f>7963.6*(CB52/1000)^0.6*1.7*('CAPEX+OPEX'!$G$116/'CAPEX+OPEX'!$G$115)</f>
        <v>2144.228934815284</v>
      </c>
      <c r="DK52">
        <f>7963.6*(CC52/1000)^0.6*1.7*('CAPEX+OPEX'!$G$116/'CAPEX+OPEX'!$G$115)</f>
        <v>6201.2466571653367</v>
      </c>
      <c r="DL52">
        <f>7963.6*(CD52/1000)^0.6*1.7*('CAPEX+OPEX'!$G$116/'CAPEX+OPEX'!$G$115)</f>
        <v>3148.491118286343</v>
      </c>
      <c r="DM52">
        <f>7963.6*(CE52/1000)^0.6*1.7*('CAPEX+OPEX'!$G$116/'CAPEX+OPEX'!$G$115)</f>
        <v>6958.5897521424013</v>
      </c>
      <c r="DN52">
        <f>'TEA Revised Non EYZ'!CM52</f>
        <v>39625.826528698344</v>
      </c>
      <c r="DO52">
        <f>'TEA Revised Non EYZ'!CN52</f>
        <v>4586243.4239371875</v>
      </c>
      <c r="DP52">
        <f>'TEA Revised Non EYZ'!CO52</f>
        <v>11794834.586807497</v>
      </c>
      <c r="DQ52">
        <f>'TEA Revised Non EYZ'!CP52</f>
        <v>2275209.1661185985</v>
      </c>
      <c r="DR52">
        <f>'TEA Revised Non EYZ'!CQ52</f>
        <v>14083914.336508472</v>
      </c>
      <c r="DS52">
        <f>'TEA Revised Non EYZ'!CR52</f>
        <v>1662824.8986326549</v>
      </c>
      <c r="DT52">
        <f>'TEA Revised Non EYZ'!CS52</f>
        <v>751295.09040276916</v>
      </c>
      <c r="DU52">
        <f>'TEA Revised Non EYZ'!CT52</f>
        <v>1932169.8606163235</v>
      </c>
      <c r="DV52">
        <f>'TEA Revised Non EYZ'!CU52</f>
        <v>372713.20297186484</v>
      </c>
      <c r="DW52">
        <f>'TEA Revised Non EYZ'!CV52</f>
        <v>2307155.2721002945</v>
      </c>
      <c r="DX52">
        <f>'TEA Revised Non EYZ'!CW52</f>
        <v>272395.52441150707</v>
      </c>
      <c r="DY52">
        <f>'TEA Revised Non EYZ'!CX52</f>
        <v>5635728.9505027588</v>
      </c>
      <c r="DZ52">
        <f>'TEA Revised Non EYZ'!CY52</f>
        <v>498645.65589957108</v>
      </c>
      <c r="EA52">
        <f>'TEA Revised Non EYZ'!CZ52</f>
        <v>1282409.694624644</v>
      </c>
      <c r="EB52">
        <f>'TEA Revised Non EYZ'!DA52</f>
        <v>247375.26164146824</v>
      </c>
      <c r="EC52">
        <f>'TEA Revised Non EYZ'!DB52</f>
        <v>1531293.0546396186</v>
      </c>
      <c r="ED52">
        <f>'TEA Revised Non EYZ'!DC52</f>
        <v>180792.93565124425</v>
      </c>
      <c r="EE52">
        <f>'TEA Revised Non EYZ'!DD52</f>
        <v>3740516.6024565459</v>
      </c>
      <c r="EF52">
        <v>0.7</v>
      </c>
      <c r="EG52">
        <v>100</v>
      </c>
      <c r="EH52">
        <f>96485*BL52*V52/EF52/EG52/60</f>
        <v>25.280029303934459</v>
      </c>
      <c r="EI52">
        <f>96485*BN52*BA52/EF52/EG52/60</f>
        <v>47.954544874452935</v>
      </c>
      <c r="EJ52">
        <f>EH52*('CAPEX+OPEX'!$O$25+'CAPEX+OPEX'!$O$26)</f>
        <v>805725.09397499904</v>
      </c>
      <c r="EK52">
        <f>EI52*('CAPEX+OPEX'!$O$25+'CAPEX+OPEX'!$O$26)</f>
        <v>1528407.2542385641</v>
      </c>
      <c r="EL52">
        <f>EJ52*1.12/0.6*'CAPEX+OPEX'!$G$116/'CAPEX+OPEX'!$G$115</f>
        <v>1773928.987938937</v>
      </c>
      <c r="EM52">
        <f>EK52*1.12/0.6*'CAPEX+OPEX'!$G$116/'CAPEX+OPEX'!$G$115</f>
        <v>3365026.0541023617</v>
      </c>
      <c r="EN52">
        <f>EL52+EM52+DY52+EE52+1.15*(SUM(DF52:DM52)+SUM(CF52:CI52))</f>
        <v>14579628.22190495</v>
      </c>
      <c r="EO52">
        <f>EN52/15</f>
        <v>971975.21479366336</v>
      </c>
      <c r="EP52">
        <f>('eLLE Bals'!CB52+'eLLE Bals'!CC52)*'Oxidant Feed Composition'!$N$25*60*7200</f>
        <v>12836955.723205756</v>
      </c>
      <c r="EQ52" s="83">
        <f>('eLLE Bals'!BR52+'eLLE Bals'!BY52)*'Reagent cost'!$C$38*60*7200</f>
        <v>506617.31419716735</v>
      </c>
      <c r="ER52">
        <f>'TEA Revised Non EYZ'!DI52</f>
        <v>504921.59999999998</v>
      </c>
      <c r="ES52">
        <f>'TEA Revised Non EYZ'!DJ52</f>
        <v>62.117112614684743</v>
      </c>
      <c r="ET52">
        <f>'TEA Revised Non EYZ'!DK52</f>
        <v>580.27309213070305</v>
      </c>
      <c r="EU52">
        <f>1.2*SUM(EP52:ET52)</f>
        <v>16618964.433129201</v>
      </c>
      <c r="EV52">
        <f>'TEA Revised Non EYZ'!DM52</f>
        <v>0.70639694042110623</v>
      </c>
      <c r="EW52">
        <f>(BS52*CO52+BT52*CP52)/1000*('Oxidant Feed Composition'!$B$11*'Oxidant Feed Composition'!$O$20+'Oxidant Feed Composition'!$D$11*'Oxidant Feed Composition'!$O$21+'Oxidant Feed Composition'!$F$11*'Oxidant Feed Composition'!$O$27-'Oxidant Feed Composition'!$J$15*18.015)</f>
        <v>1.8614912909560635</v>
      </c>
      <c r="EX52">
        <f>(CZ52*BX52+DC52*BZ52)*368.34/1000</f>
        <v>0.10226606308599775</v>
      </c>
      <c r="EY52">
        <f>'TEA Revised Non EYZ'!DP52</f>
        <v>4.999938342565946E-2</v>
      </c>
      <c r="EZ52">
        <f>SUM(EV52:EX52)-EY52</f>
        <v>2.6201549110375084</v>
      </c>
      <c r="FA52">
        <f>EZ52*0.33*60*7200</f>
        <v>373529.28411750722</v>
      </c>
      <c r="FB52">
        <f>'TEA Revised Non EYZ'!DS52</f>
        <v>1.2</v>
      </c>
      <c r="FC52">
        <v>0.5</v>
      </c>
      <c r="FD52">
        <f>'TEA Revised Non EYZ'!DT52</f>
        <v>1398.9575525177422</v>
      </c>
      <c r="FE52">
        <f>'TEA Revised Non EYZ'!DU52</f>
        <v>712.79296950667776</v>
      </c>
      <c r="FF52">
        <f>'TEA Revised Non EYZ'!DV52</f>
        <v>0.7</v>
      </c>
      <c r="FG52">
        <f>'TEA Revised Non EYZ'!DW52</f>
        <v>41280.414286181804</v>
      </c>
      <c r="FH52">
        <f>'TEA Revised Non EYZ'!DX52</f>
        <v>37373.489075065132</v>
      </c>
      <c r="FI52">
        <f>'TEA Revised Non EYZ'!DY52</f>
        <v>15823.453035813865</v>
      </c>
      <c r="FJ52">
        <f>'TEA Revised Non EYZ'!DZ52</f>
        <v>8382.1245272768647</v>
      </c>
      <c r="FK52">
        <f>'TEA Revised Non EYZ'!EA52</f>
        <v>8439.174952434063</v>
      </c>
      <c r="FL52">
        <f>'TEA Revised Non EYZ'!EB52</f>
        <v>846.08952776273043</v>
      </c>
      <c r="FM52">
        <f>'TEA Revised Non EYZ'!EC52</f>
        <v>28285.552898305465</v>
      </c>
      <c r="FN52">
        <f>'TEA Revised Non EYZ'!ED52</f>
        <v>19397.30061303094</v>
      </c>
      <c r="FO52">
        <f>'TEA Revised Non EYZ'!EE52</f>
        <v>8212.5667918074541</v>
      </c>
      <c r="FP52">
        <f>'TEA Revised Non EYZ'!EF52</f>
        <v>4352.8470449002243</v>
      </c>
      <c r="FQ52">
        <f>'TEA Revised Non EYZ'!EG52</f>
        <v>4380.0356222973096</v>
      </c>
      <c r="FR52">
        <f>'TEA Revised Non EYZ'!EH52</f>
        <v>431.09718795763877</v>
      </c>
      <c r="FS52">
        <f>'TEA Revised Non EYZ'!EI52</f>
        <v>177204.1455628335</v>
      </c>
      <c r="FT52">
        <f>EG52*EH52</f>
        <v>2528.0029303934457</v>
      </c>
      <c r="FU52">
        <f>EG52*EI52</f>
        <v>4795.4544874452931</v>
      </c>
      <c r="FV52">
        <f>FC52*(FT52+FU52)/(3.6*10^6)*3600*7200*0.07</f>
        <v>1845.5112692953624</v>
      </c>
      <c r="FW52">
        <f>('CAPEX+OPEX'!$C$39/7/100+0.03)*EL52</f>
        <v>91230.633665431043</v>
      </c>
      <c r="FX52">
        <f>('CAPEX+OPEX'!$C$39/7/100+0.03)*EM52</f>
        <v>173058.48278240717</v>
      </c>
      <c r="FY52">
        <f>SUM(FV52:FX52)</f>
        <v>266134.62771713355</v>
      </c>
      <c r="FZ52">
        <f>FY52+FA52+FS52+EU52</f>
        <v>17435832.490526676</v>
      </c>
      <c r="GA52">
        <f>FZ52+EO52</f>
        <v>18407807.70532034</v>
      </c>
      <c r="GB52">
        <f>GA52/(BK52*60*7200)</f>
        <v>0.42610665984537821</v>
      </c>
      <c r="GC52">
        <f>'TEA Revised Non EYZ'!EM52/'TEA Revised Non EYZ'!EK52*GA52</f>
        <v>1432.607857988588</v>
      </c>
      <c r="GD52">
        <f>'TEA Revised Non EYZ'!EN52/'TEA Revised Non EYZ'!EK52*GA52</f>
        <v>2592.5098211465815</v>
      </c>
    </row>
    <row r="53" spans="1:186">
      <c r="A53">
        <f>'TEA Revised Non EYZ'!A53</f>
        <v>8</v>
      </c>
      <c r="B53">
        <f>'TEA Revised Non EYZ'!B53</f>
        <v>1.54143585092054E-3</v>
      </c>
      <c r="C53">
        <f>'TEA Revised Non EYZ'!C53</f>
        <v>1.54143585092054E-3</v>
      </c>
      <c r="D53">
        <f>'TEA Revised Non EYZ'!D53</f>
        <v>3.4254130020456501E-4</v>
      </c>
      <c r="E53">
        <f>'TEA Revised Non EYZ'!E53</f>
        <v>0</v>
      </c>
      <c r="F53">
        <f>'TEA Revised Non EYZ'!F53</f>
        <v>0</v>
      </c>
      <c r="G53">
        <f>'TEA Revised Non EYZ'!G53</f>
        <v>0</v>
      </c>
      <c r="H53">
        <f>'TEA Revised Non EYZ'!H53</f>
        <v>1.7762434284205799E-5</v>
      </c>
      <c r="I53">
        <f>'TEA Revised Non EYZ'!I53</f>
        <v>4.4591984978445998E-9</v>
      </c>
      <c r="J53">
        <f>'TEA Revised Non EYZ'!J53</f>
        <v>3.37570976171142E-4</v>
      </c>
      <c r="K53">
        <f>'TEA Revised Non EYZ'!K53</f>
        <v>0.13846015972746001</v>
      </c>
      <c r="L53">
        <f>'TEA Revised Non EYZ'!L53</f>
        <v>0.14007387303476199</v>
      </c>
      <c r="M53">
        <f>'TEA Revised Non EYZ'!M53</f>
        <v>4.5166625081916902E-4</v>
      </c>
      <c r="N53">
        <f>'TEA Revised Non EYZ'!N53</f>
        <v>-2.6107588313450902E-16</v>
      </c>
      <c r="O53">
        <f>'TEA Revised Non EYZ'!O53</f>
        <v>-1.18524981496115E-14</v>
      </c>
      <c r="P53">
        <f>'TEA Revised Non EYZ'!P53</f>
        <v>-2.5241581828178102E-19</v>
      </c>
      <c r="Q53">
        <f>'TEA Revised Non EYZ'!Q53</f>
        <v>0.110044175857931</v>
      </c>
      <c r="R53">
        <f>'TEA Revised Non EYZ'!R53</f>
        <v>98.548985471108097</v>
      </c>
      <c r="S53">
        <f>'TEA Revised Non EYZ'!S53</f>
        <v>500</v>
      </c>
      <c r="T53">
        <f>'TEA Revised Non EYZ'!T53</f>
        <v>95</v>
      </c>
      <c r="U53">
        <f>'TEA Revised Non EYZ'!U53</f>
        <v>1</v>
      </c>
      <c r="V53">
        <f>'TEA Revised Non EYZ'!V53</f>
        <v>0.1</v>
      </c>
      <c r="W53">
        <f>'TEA Revised Non EYZ'!W53</f>
        <v>90.872596591664205</v>
      </c>
      <c r="X53" t="str">
        <f>'TEA Revised Non EYZ'!X53</f>
        <v>ddFc</v>
      </c>
      <c r="Y53">
        <f>'TEA Revised Non EYZ'!Y53</f>
        <v>1</v>
      </c>
      <c r="Z53">
        <f>'TEA Revised Non EYZ'!Z53</f>
        <v>0.28318429382522198</v>
      </c>
      <c r="AA53">
        <f>'TEA Revised Non EYZ'!AA53</f>
        <v>0.56945642916197003</v>
      </c>
      <c r="AB53">
        <f>'TEA Revised Non EYZ'!AB53</f>
        <v>3.7698628972227502E-3</v>
      </c>
      <c r="AC53">
        <f>'TEA Revised Non EYZ'!AC53</f>
        <v>1822.2107908876901</v>
      </c>
      <c r="AD53">
        <f>'TEA Revised Non EYZ'!AD53</f>
        <v>2662.6059073104898</v>
      </c>
      <c r="AE53">
        <f>'TEA Revised Non EYZ'!AE53</f>
        <v>2401.5030938442701</v>
      </c>
      <c r="AF53">
        <f>'TEA Revised Non EYZ'!AF53</f>
        <v>5</v>
      </c>
      <c r="AG53">
        <f>'TEA Revised Non EYZ'!AG53</f>
        <v>1.6497294784823999E-3</v>
      </c>
      <c r="AH53">
        <f>'TEA Revised Non EYZ'!AH53</f>
        <v>1.66895660069658E-3</v>
      </c>
      <c r="AI53">
        <f>'TEA Revised Non EYZ'!AI53</f>
        <v>5.38152729188446E-6</v>
      </c>
      <c r="AJ53">
        <f>'TEA Revised Non EYZ'!AJ53</f>
        <v>0</v>
      </c>
      <c r="AK53">
        <f>'TEA Revised Non EYZ'!AK53</f>
        <v>0</v>
      </c>
      <c r="AL53">
        <f>'TEA Revised Non EYZ'!AL53</f>
        <v>0</v>
      </c>
      <c r="AM53">
        <f>'TEA Revised Non EYZ'!AM53</f>
        <v>1.6104132966485E-3</v>
      </c>
      <c r="AN53">
        <f>'TEA Revised Non EYZ'!AN53</f>
        <v>7.9414634231904594E-5</v>
      </c>
      <c r="AO53">
        <f>'TEA Revised Non EYZ'!AO53</f>
        <v>5.3439603602742398E-6</v>
      </c>
      <c r="AP53">
        <f>'TEA Revised Non EYZ'!AP53</f>
        <v>1.8119059661181E-3</v>
      </c>
      <c r="AQ53">
        <f>'TEA Revised Non EYZ'!AQ53</f>
        <v>7.3254839053204804E-2</v>
      </c>
      <c r="AR53">
        <f>'TEA Revised Non EYZ'!AR53</f>
        <v>1.7312908918998299E-6</v>
      </c>
      <c r="AS53">
        <f>'TEA Revised Non EYZ'!AS53</f>
        <v>-4.56313589344836E-17</v>
      </c>
      <c r="AT53">
        <f>'TEA Revised Non EYZ'!AT53</f>
        <v>1.8236280541206101E-16</v>
      </c>
      <c r="AU53">
        <f>'TEA Revised Non EYZ'!AU53</f>
        <v>-3.5912873474602201E-20</v>
      </c>
      <c r="AV53">
        <f>'TEA Revised Non EYZ'!AV53</f>
        <v>0.20040789930945399</v>
      </c>
      <c r="AW53">
        <f>'TEA Revised Non EYZ'!AW53</f>
        <v>99.301928066649793</v>
      </c>
      <c r="AX53">
        <f>'TEA Revised Non EYZ'!AX53</f>
        <v>499.99999999999898</v>
      </c>
      <c r="AY53">
        <f>'TEA Revised Non EYZ'!AY53</f>
        <v>95</v>
      </c>
      <c r="AZ53">
        <f>'TEA Revised Non EYZ'!AZ53</f>
        <v>0.92358985913147196</v>
      </c>
      <c r="BA53">
        <f>'TEA Revised Non EYZ'!BA53</f>
        <v>0.1</v>
      </c>
      <c r="BB53">
        <f>'TEA Revised Non EYZ'!BB53</f>
        <v>46.085501734905897</v>
      </c>
      <c r="BC53" t="str">
        <f>'TEA Revised Non EYZ'!BC53</f>
        <v>coeFc</v>
      </c>
      <c r="BD53">
        <f>'TEA Revised Non EYZ'!BD53</f>
        <v>1</v>
      </c>
      <c r="BE53">
        <f>'TEA Revised Non EYZ'!BE53</f>
        <v>1.8775014999999999E-2</v>
      </c>
      <c r="BF53">
        <f>'TEA Revised Non EYZ'!BF53</f>
        <v>0.10492961100000001</v>
      </c>
      <c r="BG53">
        <f>'TEA Revised Non EYZ'!BG53</f>
        <v>1.814625E-3</v>
      </c>
      <c r="BH53">
        <f>'TEA Revised Non EYZ'!BH53</f>
        <v>285.1951444</v>
      </c>
      <c r="BI53">
        <f>'TEA Revised Non EYZ'!BI53</f>
        <v>2169.8944889999998</v>
      </c>
      <c r="BJ53">
        <f>'TEA Revised Non EYZ'!BJ53</f>
        <v>866.49409060000005</v>
      </c>
      <c r="BK53">
        <f>'TEA Revised Non EYZ'!BK53</f>
        <v>100</v>
      </c>
      <c r="BL53">
        <f>'TEA Revised Non EYZ'!BL53</f>
        <v>11.004417585793099</v>
      </c>
      <c r="BM53">
        <f>'TEA Revised Non EYZ'!BM53</f>
        <v>92.358985913147194</v>
      </c>
      <c r="BN53">
        <f>'TEA Revised Non EYZ'!BN53</f>
        <v>20.040789930945397</v>
      </c>
      <c r="BO53">
        <f>'TEA Revised Non EYZ'!BO53</f>
        <v>220.08835171586199</v>
      </c>
      <c r="BP53">
        <f>'TEA Revised Non EYZ'!BP53</f>
        <v>280.57105903323554</v>
      </c>
      <c r="BQ53">
        <f>'TEA Revised Non EYZ'!BQ53</f>
        <v>22.008835171586199</v>
      </c>
      <c r="BR53">
        <f>'TEA Revised Non EYZ'!BR53</f>
        <v>28.057105903323556</v>
      </c>
      <c r="BS53">
        <f>'eLLE Bals'!CF53</f>
        <v>6.6026505514758593</v>
      </c>
      <c r="BT53">
        <f>'eLLE Bals'!CG53</f>
        <v>12.024473958567238</v>
      </c>
      <c r="BU53">
        <f>BM53</f>
        <v>92.358985913147194</v>
      </c>
      <c r="BV53">
        <f>BU53*(AM53*2+AN53*2+AO53*3)</f>
        <v>0.31362227640655682</v>
      </c>
      <c r="BW53">
        <f>BN53*BA53*(AP53*2+AQ53*2+AR53*3)</f>
        <v>0.30088978247754061</v>
      </c>
      <c r="BX53">
        <f>BV53/(2*V53*BL53+BV53)</f>
        <v>0.12472521527257624</v>
      </c>
      <c r="BY53">
        <f>BU53*BX53</f>
        <v>11.51949440037412</v>
      </c>
      <c r="BZ53">
        <f>BW53/(2*BN53*BA53+BW53)</f>
        <v>6.9827441845845939E-2</v>
      </c>
      <c r="CA53">
        <f>2*BN53*BA53/0.04</f>
        <v>100.20394965472698</v>
      </c>
      <c r="CB53">
        <f>(BS53+BL53)*2</f>
        <v>35.214136274537921</v>
      </c>
      <c r="CC53">
        <f>(BU53+BL53)*2</f>
        <v>206.7268069978806</v>
      </c>
      <c r="CD53">
        <f>(BT53+BN53)*2</f>
        <v>64.130527779025272</v>
      </c>
      <c r="CE53">
        <f>(CA53+BN53)*2</f>
        <v>240.48947917134475</v>
      </c>
      <c r="CF53">
        <f>'TEA Revised Non EYZ'!CB53</f>
        <v>2905.1662426493785</v>
      </c>
      <c r="CG53">
        <f>'TEA Revised Non EYZ'!CC53</f>
        <v>3703.5379792387093</v>
      </c>
      <c r="CH53">
        <f>'TEA Revised Non EYZ'!CD53</f>
        <v>3509.9789962792502</v>
      </c>
      <c r="CI53">
        <f>'TEA Revised Non EYZ'!CE53</f>
        <v>28565.717598032308</v>
      </c>
      <c r="CJ53">
        <f>BL53*V53</f>
        <v>1.10044175857931</v>
      </c>
      <c r="CK53">
        <f>CJ53/2*1.2</f>
        <v>0.66026505514758604</v>
      </c>
      <c r="CL53">
        <f>'eLLE Bals'!CB53*'Oxidant Feed Composition'!$N$20</f>
        <v>3.668139195264368E-2</v>
      </c>
      <c r="CM53">
        <f>'eLLE Bals'!CB53*'Oxidant Feed Composition'!$N$21</f>
        <v>1.8340695976321835</v>
      </c>
      <c r="CN53">
        <f>'eLLE Bals'!CB53*'Oxidant Feed Composition'!$N$22</f>
        <v>0.55022087928965502</v>
      </c>
      <c r="CO53">
        <f>CN53/CK53</f>
        <v>0.83333333333333326</v>
      </c>
      <c r="CP53">
        <f>CO53</f>
        <v>0.83333333333333326</v>
      </c>
      <c r="CQ53">
        <f>CL53/CO53</f>
        <v>4.4017670343172423E-2</v>
      </c>
      <c r="CR53">
        <f>CM53/CO53</f>
        <v>2.2008835171586205</v>
      </c>
      <c r="CS53">
        <f>BN53*BA53</f>
        <v>2.0040789930945397</v>
      </c>
      <c r="CT53">
        <f>CS53/2*1.2</f>
        <v>1.2024473958567239</v>
      </c>
      <c r="CU53">
        <f>'eLLE Bals'!CC53*'Oxidant Feed Composition'!$N$20</f>
        <v>6.6802633103151349E-2</v>
      </c>
      <c r="CV53">
        <f>'eLLE Bals'!CC53*'Oxidant Feed Composition'!$N$21</f>
        <v>3.3401316551575668</v>
      </c>
      <c r="CW53">
        <f>'eLLE Bals'!CC53*'Oxidant Feed Composition'!$N$22</f>
        <v>1.0020394965472699</v>
      </c>
      <c r="CX53">
        <f>CU53/CP53</f>
        <v>8.016315972378163E-2</v>
      </c>
      <c r="CY53">
        <f>CV53/CP53</f>
        <v>4.0081579861890804</v>
      </c>
      <c r="CZ53">
        <f>CJ53</f>
        <v>1.10044175857931</v>
      </c>
      <c r="DA53">
        <f>'eLLE Bals'!BQ53</f>
        <v>2.2008835171586201</v>
      </c>
      <c r="DB53">
        <f>'eLLE Bals'!BU53</f>
        <v>5.5216040427191979</v>
      </c>
      <c r="DC53">
        <f>CS53</f>
        <v>2.0040789930945397</v>
      </c>
      <c r="DD53">
        <f>'eLLE Bals'!BX53</f>
        <v>4.0081579861890795</v>
      </c>
      <c r="DE53">
        <f>'eLLE Bals'!CA53</f>
        <v>22.688212874211377</v>
      </c>
      <c r="DF53">
        <f>2*2*(CJ53*'Reagent cost'!$C$36*122.44/1000+CK53*'Oxidant Feed Composition'!$N$26+CQ53*'Reagent cost'!$C$34+CR53*'Reagent cost'!$C$35)</f>
        <v>92.951797184309328</v>
      </c>
      <c r="DG53">
        <f>2*2*(CS53*'Reagent cost'!$C$36*122.44/1000+CT53*'Oxidant Feed Composition'!$N$26+CX53*'Reagent cost'!$C$34+CY53*'Reagent cost'!$C$35)</f>
        <v>169.27996657265433</v>
      </c>
      <c r="DH53">
        <f>(AF53+3)*2*(CZ53*'Reagent cost'!$C$38+DA53*'Reagent cost'!$C$39+DB53*'Reagent cost'!$C$36*122.44/1000)</f>
        <v>842.3859129961678</v>
      </c>
      <c r="DI53">
        <f>3*2*(DC53*'Reagent cost'!$C$38+DD53*'Reagent cost'!$C$39+DE53*'Reagent cost'!$C$36*122.44/1000)</f>
        <v>1230.6717805975568</v>
      </c>
      <c r="DJ53">
        <f>7963.6*(CB53/1000)^0.6*1.7*('CAPEX+OPEX'!$G$116/'CAPEX+OPEX'!$G$115)</f>
        <v>2144.228934815284</v>
      </c>
      <c r="DK53">
        <f>7963.6*(CC53/1000)^0.6*1.7*('CAPEX+OPEX'!$G$116/'CAPEX+OPEX'!$G$115)</f>
        <v>6201.2466571653367</v>
      </c>
      <c r="DL53">
        <f>7963.6*(CD53/1000)^0.6*1.7*('CAPEX+OPEX'!$G$116/'CAPEX+OPEX'!$G$115)</f>
        <v>3072.4145724960686</v>
      </c>
      <c r="DM53">
        <f>7963.6*(CE53/1000)^0.6*1.7*('CAPEX+OPEX'!$G$116/'CAPEX+OPEX'!$G$115)</f>
        <v>6790.4503316943192</v>
      </c>
      <c r="DN53">
        <f>'TEA Revised Non EYZ'!CM53</f>
        <v>39625.826528698344</v>
      </c>
      <c r="DO53">
        <f>'TEA Revised Non EYZ'!CN53</f>
        <v>4586243.4239371875</v>
      </c>
      <c r="DP53">
        <f>'TEA Revised Non EYZ'!CO53</f>
        <v>11794834.586807497</v>
      </c>
      <c r="DQ53">
        <f>'TEA Revised Non EYZ'!CP53</f>
        <v>2275209.1661185985</v>
      </c>
      <c r="DR53">
        <f>'TEA Revised Non EYZ'!CQ53</f>
        <v>14083914.336508472</v>
      </c>
      <c r="DS53">
        <f>'TEA Revised Non EYZ'!CR53</f>
        <v>1662824.8986326549</v>
      </c>
      <c r="DT53">
        <f>'TEA Revised Non EYZ'!CS53</f>
        <v>751295.09040276916</v>
      </c>
      <c r="DU53">
        <f>'TEA Revised Non EYZ'!CT53</f>
        <v>1932169.8606163235</v>
      </c>
      <c r="DV53">
        <f>'TEA Revised Non EYZ'!CU53</f>
        <v>372713.20297186484</v>
      </c>
      <c r="DW53">
        <f>'TEA Revised Non EYZ'!CV53</f>
        <v>2307155.2721002945</v>
      </c>
      <c r="DX53">
        <f>'TEA Revised Non EYZ'!CW53</f>
        <v>272395.52441150707</v>
      </c>
      <c r="DY53">
        <f>'TEA Revised Non EYZ'!CX53</f>
        <v>5635728.9505027588</v>
      </c>
      <c r="DZ53">
        <f>'TEA Revised Non EYZ'!CY53</f>
        <v>556289.40374443913</v>
      </c>
      <c r="EA53">
        <f>'TEA Revised Non EYZ'!CZ53</f>
        <v>1430657.052635611</v>
      </c>
      <c r="EB53">
        <f>'TEA Revised Non EYZ'!DA53</f>
        <v>275971.99568780069</v>
      </c>
      <c r="EC53">
        <f>'TEA Revised Non EYZ'!DB53</f>
        <v>1708311.4838065251</v>
      </c>
      <c r="ED53">
        <f>'TEA Revised Non EYZ'!DC53</f>
        <v>201692.71141688875</v>
      </c>
      <c r="EE53">
        <f>'TEA Revised Non EYZ'!DD53</f>
        <v>4172922.6472912654</v>
      </c>
      <c r="EF53">
        <v>0.7</v>
      </c>
      <c r="EG53">
        <v>100</v>
      </c>
      <c r="EH53">
        <f>96485*BL53*V53/EF53/EG53/60</f>
        <v>25.280029303934459</v>
      </c>
      <c r="EI53">
        <f>96485*BN53*BA53/EF53/EG53/60</f>
        <v>46.038943249696835</v>
      </c>
      <c r="EJ53">
        <f>EH53*('CAPEX+OPEX'!$O$25+'CAPEX+OPEX'!$O$26)</f>
        <v>805725.09397499904</v>
      </c>
      <c r="EK53">
        <f>EI53*('CAPEX+OPEX'!$O$25+'CAPEX+OPEX'!$O$26)</f>
        <v>1467353.1992543375</v>
      </c>
      <c r="EL53">
        <f>EJ53*1.12/0.6*'CAPEX+OPEX'!$G$116/'CAPEX+OPEX'!$G$115</f>
        <v>1773928.987938937</v>
      </c>
      <c r="EM53">
        <f>EK53*1.12/0.6*'CAPEX+OPEX'!$G$116/'CAPEX+OPEX'!$G$115</f>
        <v>3230606.0654764427</v>
      </c>
      <c r="EN53">
        <f>EL53+EM53+DY53+EE53+1.15*(SUM(DF53:DM53)+SUM(CF53:CI53))</f>
        <v>14881298.886594582</v>
      </c>
      <c r="EO53">
        <f>EN53/15</f>
        <v>992086.5924396388</v>
      </c>
      <c r="EP53">
        <f>('eLLE Bals'!CB53+'eLLE Bals'!CC53)*'Oxidant Feed Composition'!$N$25*60*7200</f>
        <v>12501178.619069166</v>
      </c>
      <c r="EQ53" s="83">
        <f>('eLLE Bals'!BR53+'eLLE Bals'!BY53)*'Reagent cost'!$C$38*60*7200</f>
        <v>505800.11046754435</v>
      </c>
      <c r="ER53">
        <f>'TEA Revised Non EYZ'!DI53</f>
        <v>504921.59999999998</v>
      </c>
      <c r="ES53">
        <f>'TEA Revised Non EYZ'!DJ53</f>
        <v>66.087042218880882</v>
      </c>
      <c r="ET53">
        <f>'TEA Revised Non EYZ'!DK53</f>
        <v>641.51393188623115</v>
      </c>
      <c r="EU53">
        <f>1.2*SUM(EP53:ET53)</f>
        <v>16215129.516612975</v>
      </c>
      <c r="EV53">
        <f>'TEA Revised Non EYZ'!DM53</f>
        <v>0.70639694042110623</v>
      </c>
      <c r="EW53">
        <f>(BS53*CO53+BT53*CP53)/1000*('Oxidant Feed Composition'!$B$11*'Oxidant Feed Composition'!$O$20+'Oxidant Feed Composition'!$D$11*'Oxidant Feed Composition'!$O$21+'Oxidant Feed Composition'!$F$11*'Oxidant Feed Composition'!$O$27-'Oxidant Feed Composition'!$J$15*18.015)</f>
        <v>1.8128001395234232</v>
      </c>
      <c r="EX53">
        <f>(CZ53*BX53+DC53*BZ53)*368.34/1000</f>
        <v>0.10210110187005472</v>
      </c>
      <c r="EY53">
        <f>'TEA Revised Non EYZ'!DP53</f>
        <v>4.999938342565946E-2</v>
      </c>
      <c r="EZ53">
        <f>SUM(EV53:EX53)-EY53</f>
        <v>2.5712987983889248</v>
      </c>
      <c r="FA53">
        <f>EZ53*0.33*60*7200</f>
        <v>366564.35669832514</v>
      </c>
      <c r="FB53">
        <f>'TEA Revised Non EYZ'!DS53</f>
        <v>1.2</v>
      </c>
      <c r="FC53">
        <v>0.5</v>
      </c>
      <c r="FD53">
        <f>'TEA Revised Non EYZ'!DT53</f>
        <v>1403.844239951464</v>
      </c>
      <c r="FE53">
        <f>'TEA Revised Non EYZ'!DU53</f>
        <v>707.90628200732976</v>
      </c>
      <c r="FF53">
        <f>'TEA Revised Non EYZ'!DV53</f>
        <v>0.7</v>
      </c>
      <c r="FG53">
        <f>'TEA Revised Non EYZ'!DW53</f>
        <v>41280.414286181804</v>
      </c>
      <c r="FH53">
        <f>'TEA Revised Non EYZ'!DX53</f>
        <v>37373.489075065132</v>
      </c>
      <c r="FI53">
        <f>'TEA Revised Non EYZ'!DY53</f>
        <v>15823.453035813865</v>
      </c>
      <c r="FJ53">
        <f>'TEA Revised Non EYZ'!DZ53</f>
        <v>8382.1245272768647</v>
      </c>
      <c r="FK53">
        <f>'TEA Revised Non EYZ'!EA53</f>
        <v>8439.174952434063</v>
      </c>
      <c r="FL53">
        <f>'TEA Revised Non EYZ'!EB53</f>
        <v>849.04499632264549</v>
      </c>
      <c r="FM53">
        <f>'TEA Revised Non EYZ'!EC53</f>
        <v>30856.96679815141</v>
      </c>
      <c r="FN53">
        <f>'TEA Revised Non EYZ'!ED53</f>
        <v>23276.76073563713</v>
      </c>
      <c r="FO53">
        <f>'TEA Revised Non EYZ'!EE53</f>
        <v>9855.0801501689457</v>
      </c>
      <c r="FP53">
        <f>'TEA Revised Non EYZ'!EF53</f>
        <v>5223.4164538802697</v>
      </c>
      <c r="FQ53">
        <f>'TEA Revised Non EYZ'!EG53</f>
        <v>5256.0427467567724</v>
      </c>
      <c r="FR53">
        <f>'TEA Revised Non EYZ'!EH53</f>
        <v>428.14171935803307</v>
      </c>
      <c r="FS53">
        <f>'TEA Revised Non EYZ'!EI53</f>
        <v>187044.10947704694</v>
      </c>
      <c r="FT53">
        <f>EG53*EH53</f>
        <v>2528.0029303934457</v>
      </c>
      <c r="FU53">
        <f>EG53*EI53</f>
        <v>4603.8943249696831</v>
      </c>
      <c r="FV53">
        <f>FC53*(FT53+FU53)/(3.6*10^6)*3600*7200*0.07</f>
        <v>1797.2381083515083</v>
      </c>
      <c r="FW53">
        <f>('CAPEX+OPEX'!$C$39/7/100+0.03)*EL53</f>
        <v>91230.633665431043</v>
      </c>
      <c r="FX53">
        <f>('CAPEX+OPEX'!$C$39/7/100+0.03)*EM53</f>
        <v>166145.45479593135</v>
      </c>
      <c r="FY53">
        <f>SUM(FV53:FX53)</f>
        <v>259173.32656971388</v>
      </c>
      <c r="FZ53">
        <f>FY53+FA53+FS53+EU53</f>
        <v>17027911.30935806</v>
      </c>
      <c r="GA53">
        <f>FZ53+EO53</f>
        <v>18019997.901797701</v>
      </c>
      <c r="GB53">
        <f>GA53/(BK53*60*7200)</f>
        <v>0.41712958106013198</v>
      </c>
      <c r="GC53">
        <f>'TEA Revised Non EYZ'!EM53/'TEA Revised Non EYZ'!EK53*GA53</f>
        <v>1397.5413242479801</v>
      </c>
      <c r="GD53">
        <f>'TEA Revised Non EYZ'!EN53/'TEA Revised Non EYZ'!EK53*GA53</f>
        <v>2554.0465766979091</v>
      </c>
    </row>
    <row r="54" spans="1:186">
      <c r="A54">
        <f>'TEA Revised Non EYZ'!A54</f>
        <v>8</v>
      </c>
      <c r="B54">
        <f>'TEA Revised Non EYZ'!B54</f>
        <v>1.54143585092054E-3</v>
      </c>
      <c r="C54">
        <f>'TEA Revised Non EYZ'!C54</f>
        <v>1.54143585092054E-3</v>
      </c>
      <c r="D54">
        <f>'TEA Revised Non EYZ'!D54</f>
        <v>3.4254130020456501E-4</v>
      </c>
      <c r="E54">
        <f>'TEA Revised Non EYZ'!E54</f>
        <v>0</v>
      </c>
      <c r="F54">
        <f>'TEA Revised Non EYZ'!F54</f>
        <v>0</v>
      </c>
      <c r="G54">
        <f>'TEA Revised Non EYZ'!G54</f>
        <v>0</v>
      </c>
      <c r="H54">
        <f>'TEA Revised Non EYZ'!H54</f>
        <v>1.7762434284205799E-5</v>
      </c>
      <c r="I54">
        <f>'TEA Revised Non EYZ'!I54</f>
        <v>4.4591984978445998E-9</v>
      </c>
      <c r="J54">
        <f>'TEA Revised Non EYZ'!J54</f>
        <v>3.37570976171142E-4</v>
      </c>
      <c r="K54">
        <f>'TEA Revised Non EYZ'!K54</f>
        <v>0.13846015972746001</v>
      </c>
      <c r="L54">
        <f>'TEA Revised Non EYZ'!L54</f>
        <v>0.14007387303476199</v>
      </c>
      <c r="M54">
        <f>'TEA Revised Non EYZ'!M54</f>
        <v>4.5166625081916902E-4</v>
      </c>
      <c r="N54">
        <f>'TEA Revised Non EYZ'!N54</f>
        <v>-2.6107588313450902E-16</v>
      </c>
      <c r="O54">
        <f>'TEA Revised Non EYZ'!O54</f>
        <v>-1.18524981496115E-14</v>
      </c>
      <c r="P54">
        <f>'TEA Revised Non EYZ'!P54</f>
        <v>-2.5241581828178102E-19</v>
      </c>
      <c r="Q54">
        <f>'TEA Revised Non EYZ'!Q54</f>
        <v>0.110044175857931</v>
      </c>
      <c r="R54">
        <f>'TEA Revised Non EYZ'!R54</f>
        <v>98.548985471108097</v>
      </c>
      <c r="S54">
        <f>'TEA Revised Non EYZ'!S54</f>
        <v>500</v>
      </c>
      <c r="T54">
        <f>'TEA Revised Non EYZ'!T54</f>
        <v>95</v>
      </c>
      <c r="U54">
        <f>'TEA Revised Non EYZ'!U54</f>
        <v>1</v>
      </c>
      <c r="V54">
        <f>'TEA Revised Non EYZ'!V54</f>
        <v>0.1</v>
      </c>
      <c r="W54">
        <f>'TEA Revised Non EYZ'!W54</f>
        <v>90.872596591664205</v>
      </c>
      <c r="X54" t="str">
        <f>'TEA Revised Non EYZ'!X54</f>
        <v>ddFc</v>
      </c>
      <c r="Y54">
        <f>'TEA Revised Non EYZ'!Y54</f>
        <v>1</v>
      </c>
      <c r="Z54">
        <f>'TEA Revised Non EYZ'!Z54</f>
        <v>0.28318429382522198</v>
      </c>
      <c r="AA54">
        <f>'TEA Revised Non EYZ'!AA54</f>
        <v>0.56945642916197003</v>
      </c>
      <c r="AB54">
        <f>'TEA Revised Non EYZ'!AB54</f>
        <v>3.7698628972227502E-3</v>
      </c>
      <c r="AC54">
        <f>'TEA Revised Non EYZ'!AC54</f>
        <v>1822.2107908876901</v>
      </c>
      <c r="AD54">
        <f>'TEA Revised Non EYZ'!AD54</f>
        <v>2662.6059073104898</v>
      </c>
      <c r="AE54">
        <f>'TEA Revised Non EYZ'!AE54</f>
        <v>2401.5030938442701</v>
      </c>
      <c r="AF54">
        <f>'TEA Revised Non EYZ'!AF54</f>
        <v>6</v>
      </c>
      <c r="AG54">
        <f>'TEA Revised Non EYZ'!AG54</f>
        <v>1.6497294784823999E-3</v>
      </c>
      <c r="AH54">
        <f>'TEA Revised Non EYZ'!AH54</f>
        <v>1.66895660069658E-3</v>
      </c>
      <c r="AI54">
        <f>'TEA Revised Non EYZ'!AI54</f>
        <v>5.38152729188446E-6</v>
      </c>
      <c r="AJ54">
        <f>'TEA Revised Non EYZ'!AJ54</f>
        <v>0</v>
      </c>
      <c r="AK54">
        <f>'TEA Revised Non EYZ'!AK54</f>
        <v>0</v>
      </c>
      <c r="AL54">
        <f>'TEA Revised Non EYZ'!AL54</f>
        <v>0</v>
      </c>
      <c r="AM54">
        <f>'TEA Revised Non EYZ'!AM54</f>
        <v>1.6120973624594601E-3</v>
      </c>
      <c r="AN54">
        <f>'TEA Revised Non EYZ'!AN54</f>
        <v>7.9501723318735999E-5</v>
      </c>
      <c r="AO54">
        <f>'TEA Revised Non EYZ'!AO54</f>
        <v>5.3455064946735699E-6</v>
      </c>
      <c r="AP54">
        <f>'TEA Revised Non EYZ'!AP54</f>
        <v>1.7562344447916399E-3</v>
      </c>
      <c r="AQ54">
        <f>'TEA Revised Non EYZ'!AQ54</f>
        <v>7.4177476557294494E-2</v>
      </c>
      <c r="AR54">
        <f>'TEA Revised Non EYZ'!AR54</f>
        <v>1.6810366111767E-6</v>
      </c>
      <c r="AS54">
        <f>'TEA Revised Non EYZ'!AS54</f>
        <v>-2.1616280813929698E-18</v>
      </c>
      <c r="AT54">
        <f>'TEA Revised Non EYZ'!AT54</f>
        <v>-1.5872719805187701E-16</v>
      </c>
      <c r="AU54">
        <f>'TEA Revised Non EYZ'!AU54</f>
        <v>-1.13158307797254E-21</v>
      </c>
      <c r="AV54">
        <f>'TEA Revised Non EYZ'!AV54</f>
        <v>0.19790433355595599</v>
      </c>
      <c r="AW54">
        <f>'TEA Revised Non EYZ'!AW54</f>
        <v>99.330658468178498</v>
      </c>
      <c r="AX54">
        <f>'TEA Revised Non EYZ'!AX54</f>
        <v>499.99999999999898</v>
      </c>
      <c r="AY54">
        <f>'TEA Revised Non EYZ'!AY54</f>
        <v>95</v>
      </c>
      <c r="AZ54">
        <f>'TEA Revised Non EYZ'!AZ54</f>
        <v>0.92358985913147196</v>
      </c>
      <c r="BA54">
        <f>'TEA Revised Non EYZ'!BA54</f>
        <v>0.1</v>
      </c>
      <c r="BB54">
        <f>'TEA Revised Non EYZ'!BB54</f>
        <v>46.668501014422198</v>
      </c>
      <c r="BC54" t="str">
        <f>'TEA Revised Non EYZ'!BC54</f>
        <v>coeFc</v>
      </c>
      <c r="BD54">
        <f>'TEA Revised Non EYZ'!BD54</f>
        <v>1</v>
      </c>
      <c r="BE54">
        <f>'TEA Revised Non EYZ'!BE54</f>
        <v>1.8775014999999999E-2</v>
      </c>
      <c r="BF54">
        <f>'TEA Revised Non EYZ'!BF54</f>
        <v>0.10492961100000001</v>
      </c>
      <c r="BG54">
        <f>'TEA Revised Non EYZ'!BG54</f>
        <v>1.814625E-3</v>
      </c>
      <c r="BH54">
        <f>'TEA Revised Non EYZ'!BH54</f>
        <v>285.1951444</v>
      </c>
      <c r="BI54">
        <f>'TEA Revised Non EYZ'!BI54</f>
        <v>2169.8944889999998</v>
      </c>
      <c r="BJ54">
        <f>'TEA Revised Non EYZ'!BJ54</f>
        <v>866.49409060000005</v>
      </c>
      <c r="BK54">
        <f>'TEA Revised Non EYZ'!BK54</f>
        <v>100</v>
      </c>
      <c r="BL54">
        <f>'TEA Revised Non EYZ'!BL54</f>
        <v>11.004417585793099</v>
      </c>
      <c r="BM54">
        <f>'TEA Revised Non EYZ'!BM54</f>
        <v>92.358985913147194</v>
      </c>
      <c r="BN54">
        <f>'TEA Revised Non EYZ'!BN54</f>
        <v>19.790433355595599</v>
      </c>
      <c r="BO54">
        <f>'TEA Revised Non EYZ'!BO54</f>
        <v>220.08835171586199</v>
      </c>
      <c r="BP54">
        <f>'TEA Revised Non EYZ'!BP54</f>
        <v>316.64693368952959</v>
      </c>
      <c r="BQ54">
        <f>'TEA Revised Non EYZ'!BQ54</f>
        <v>22.008835171586199</v>
      </c>
      <c r="BR54">
        <f>'TEA Revised Non EYZ'!BR54</f>
        <v>31.66469336895296</v>
      </c>
      <c r="BS54">
        <f>'eLLE Bals'!CF54</f>
        <v>6.6026505514758593</v>
      </c>
      <c r="BT54">
        <f>'eLLE Bals'!CG54</f>
        <v>11.874260013357359</v>
      </c>
      <c r="BU54">
        <f>BM54</f>
        <v>92.358985913147194</v>
      </c>
      <c r="BV54">
        <f>BU54*(AM54*2+AN54*2+AO54*3)</f>
        <v>0.31394986894528271</v>
      </c>
      <c r="BW54">
        <f>BN54*BA54*(AP54*2+AQ54*2+AR54*3)</f>
        <v>0.30056218993887501</v>
      </c>
      <c r="BX54">
        <f>BV54/(2*V54*BL54+BV54)</f>
        <v>0.12483923216546304</v>
      </c>
      <c r="BY54">
        <f>BU54*BX54</f>
        <v>11.530024884978113</v>
      </c>
      <c r="BZ54">
        <f>BW54/(2*BN54*BA54+BW54)</f>
        <v>7.0576889465407827E-2</v>
      </c>
      <c r="CA54">
        <f>2*BN54*BA54/0.04</f>
        <v>98.952166777977993</v>
      </c>
      <c r="CB54">
        <f>(BS54+BL54)*2</f>
        <v>35.214136274537921</v>
      </c>
      <c r="CC54">
        <f>(BU54+BL54)*2</f>
        <v>206.7268069978806</v>
      </c>
      <c r="CD54">
        <f>(BT54+BN54)*2</f>
        <v>63.329386737905921</v>
      </c>
      <c r="CE54">
        <f>(CA54+BN54)*2</f>
        <v>237.48520026714718</v>
      </c>
      <c r="CF54">
        <f>'TEA Revised Non EYZ'!CB54</f>
        <v>2905.1662426493785</v>
      </c>
      <c r="CG54">
        <f>'TEA Revised Non EYZ'!CC54</f>
        <v>4179.7395247017912</v>
      </c>
      <c r="CH54">
        <f>'TEA Revised Non EYZ'!CD54</f>
        <v>3509.9789962792502</v>
      </c>
      <c r="CI54">
        <f>'TEA Revised Non EYZ'!CE54</f>
        <v>32238.702442173457</v>
      </c>
      <c r="CJ54">
        <f>BL54*V54</f>
        <v>1.10044175857931</v>
      </c>
      <c r="CK54">
        <f>CJ54/2*1.2</f>
        <v>0.66026505514758604</v>
      </c>
      <c r="CL54">
        <f>'eLLE Bals'!CB54*'Oxidant Feed Composition'!$N$20</f>
        <v>3.668139195264368E-2</v>
      </c>
      <c r="CM54">
        <f>'eLLE Bals'!CB54*'Oxidant Feed Composition'!$N$21</f>
        <v>1.8340695976321835</v>
      </c>
      <c r="CN54">
        <f>'eLLE Bals'!CB54*'Oxidant Feed Composition'!$N$22</f>
        <v>0.55022087928965502</v>
      </c>
      <c r="CO54">
        <f>CN54/CK54</f>
        <v>0.83333333333333326</v>
      </c>
      <c r="CP54">
        <f>CO54</f>
        <v>0.83333333333333326</v>
      </c>
      <c r="CQ54">
        <f>CL54/CO54</f>
        <v>4.4017670343172423E-2</v>
      </c>
      <c r="CR54">
        <f>CM54/CO54</f>
        <v>2.2008835171586205</v>
      </c>
      <c r="CS54">
        <f>BN54*BA54</f>
        <v>1.97904333555956</v>
      </c>
      <c r="CT54">
        <f>CS54/2*1.2</f>
        <v>1.1874260013357361</v>
      </c>
      <c r="CU54">
        <f>'eLLE Bals'!CC54*'Oxidant Feed Composition'!$N$20</f>
        <v>6.5968111185318701E-2</v>
      </c>
      <c r="CV54">
        <f>'eLLE Bals'!CC54*'Oxidant Feed Composition'!$N$21</f>
        <v>3.2984055592659334</v>
      </c>
      <c r="CW54">
        <f>'eLLE Bals'!CC54*'Oxidant Feed Composition'!$N$22</f>
        <v>0.98952166777978001</v>
      </c>
      <c r="CX54">
        <f>CU54/CP54</f>
        <v>7.9161733422382446E-2</v>
      </c>
      <c r="CY54">
        <f>CV54/CP54</f>
        <v>3.9580866711191205</v>
      </c>
      <c r="CZ54">
        <f>CJ54</f>
        <v>1.10044175857931</v>
      </c>
      <c r="DA54">
        <f>'eLLE Bals'!BQ54</f>
        <v>2.2008835171586201</v>
      </c>
      <c r="DB54">
        <f>'eLLE Bals'!BU54</f>
        <v>5.5135459749984346</v>
      </c>
      <c r="DC54">
        <f>CS54</f>
        <v>1.97904333555956</v>
      </c>
      <c r="DD54">
        <f>'eLLE Bals'!BX54</f>
        <v>3.95808667111912</v>
      </c>
      <c r="DE54">
        <f>'eLLE Bals'!CA54</f>
        <v>22.103824341834482</v>
      </c>
      <c r="DF54">
        <f>2*2*(CJ54*'Reagent cost'!$C$36*122.44/1000+CK54*'Oxidant Feed Composition'!$N$26+CQ54*'Reagent cost'!$C$34+CR54*'Reagent cost'!$C$35)</f>
        <v>92.951797184309328</v>
      </c>
      <c r="DG54">
        <f>2*2*(CS54*'Reagent cost'!$C$36*122.44/1000+CT54*'Oxidant Feed Composition'!$N$26+CX54*'Reagent cost'!$C$34+CY54*'Reagent cost'!$C$35)</f>
        <v>167.1652618702704</v>
      </c>
      <c r="DH54">
        <f>(AF54+3)*2*(CZ54*'Reagent cost'!$C$38+DA54*'Reagent cost'!$C$39+DB54*'Reagent cost'!$C$36*122.44/1000)</f>
        <v>946.42998776920956</v>
      </c>
      <c r="DI54">
        <f>3*2*(DC54*'Reagent cost'!$C$38+DD54*'Reagent cost'!$C$39+DE54*'Reagent cost'!$C$36*122.44/1000)</f>
        <v>1199.6839390840933</v>
      </c>
      <c r="DJ54">
        <f>7963.6*(CB54/1000)^0.6*1.7*('CAPEX+OPEX'!$G$116/'CAPEX+OPEX'!$G$115)</f>
        <v>2144.228934815284</v>
      </c>
      <c r="DK54">
        <f>7963.6*(CC54/1000)^0.6*1.7*('CAPEX+OPEX'!$G$116/'CAPEX+OPEX'!$G$115)</f>
        <v>6201.2466571653367</v>
      </c>
      <c r="DL54">
        <f>7963.6*(CD54/1000)^0.6*1.7*('CAPEX+OPEX'!$G$116/'CAPEX+OPEX'!$G$115)</f>
        <v>3049.3276891123733</v>
      </c>
      <c r="DM54">
        <f>7963.6*(CE54/1000)^0.6*1.7*('CAPEX+OPEX'!$G$116/'CAPEX+OPEX'!$G$115)</f>
        <v>6739.4252075675186</v>
      </c>
      <c r="DN54">
        <f>'TEA Revised Non EYZ'!CM54</f>
        <v>39625.826528698344</v>
      </c>
      <c r="DO54">
        <f>'TEA Revised Non EYZ'!CN54</f>
        <v>4586243.4239371875</v>
      </c>
      <c r="DP54">
        <f>'TEA Revised Non EYZ'!CO54</f>
        <v>11794834.586807497</v>
      </c>
      <c r="DQ54">
        <f>'TEA Revised Non EYZ'!CP54</f>
        <v>2275209.1661185985</v>
      </c>
      <c r="DR54">
        <f>'TEA Revised Non EYZ'!CQ54</f>
        <v>14083914.336508472</v>
      </c>
      <c r="DS54">
        <f>'TEA Revised Non EYZ'!CR54</f>
        <v>1662824.8986326549</v>
      </c>
      <c r="DT54">
        <f>'TEA Revised Non EYZ'!CS54</f>
        <v>751295.09040276916</v>
      </c>
      <c r="DU54">
        <f>'TEA Revised Non EYZ'!CT54</f>
        <v>1932169.8606163235</v>
      </c>
      <c r="DV54">
        <f>'TEA Revised Non EYZ'!CU54</f>
        <v>372713.20297186484</v>
      </c>
      <c r="DW54">
        <f>'TEA Revised Non EYZ'!CV54</f>
        <v>2307155.2721002945</v>
      </c>
      <c r="DX54">
        <f>'TEA Revised Non EYZ'!CW54</f>
        <v>272395.52441150707</v>
      </c>
      <c r="DY54">
        <f>'TEA Revised Non EYZ'!CX54</f>
        <v>5635728.9505027588</v>
      </c>
      <c r="DZ54">
        <f>'TEA Revised Non EYZ'!CY54</f>
        <v>610195.30439334596</v>
      </c>
      <c r="EA54">
        <f>'TEA Revised Non EYZ'!CZ54</f>
        <v>1569291.469223317</v>
      </c>
      <c r="EB54">
        <f>'TEA Revised Non EYZ'!DA54</f>
        <v>302714.40509069752</v>
      </c>
      <c r="EC54">
        <f>'TEA Revised Non EYZ'!DB54</f>
        <v>1873851.3422032651</v>
      </c>
      <c r="ED54">
        <f>'TEA Revised Non EYZ'!DC54</f>
        <v>221237.26356917509</v>
      </c>
      <c r="EE54">
        <f>'TEA Revised Non EYZ'!DD54</f>
        <v>4577289.7844798015</v>
      </c>
      <c r="EF54">
        <v>0.7</v>
      </c>
      <c r="EG54">
        <v>100</v>
      </c>
      <c r="EH54">
        <f>96485*BL54*V54/EF54/EG54/60</f>
        <v>25.280029303934459</v>
      </c>
      <c r="EI54">
        <f>96485*BN54*BA54/EF54/EG54/60</f>
        <v>45.463808626539084</v>
      </c>
      <c r="EJ54">
        <f>EH54*('CAPEX+OPEX'!$O$25+'CAPEX+OPEX'!$O$26)</f>
        <v>805725.09397499904</v>
      </c>
      <c r="EK54">
        <f>EI54*('CAPEX+OPEX'!$O$25+'CAPEX+OPEX'!$O$26)</f>
        <v>1449022.5085450537</v>
      </c>
      <c r="EL54">
        <f>EJ54*1.12/0.6*'CAPEX+OPEX'!$G$116/'CAPEX+OPEX'!$G$115</f>
        <v>1773928.987938937</v>
      </c>
      <c r="EM54">
        <f>EK54*1.12/0.6*'CAPEX+OPEX'!$G$116/'CAPEX+OPEX'!$G$115</f>
        <v>3190248.2016575076</v>
      </c>
      <c r="EN54">
        <f>EL54+EM54+DY54+EE54+1.15*(SUM(DF54:DM54)+SUM(CF54:CI54))</f>
        <v>15250076.078261433</v>
      </c>
      <c r="EO54">
        <f>EN54/15</f>
        <v>1016671.7385507622</v>
      </c>
      <c r="EP54">
        <f>('eLLE Bals'!CB54+'eLLE Bals'!CC54)*'Oxidant Feed Composition'!$N$25*60*7200</f>
        <v>12400365.884439554</v>
      </c>
      <c r="EQ54" s="83">
        <f>('eLLE Bals'!BR54+'eLLE Bals'!BY54)*'Reagent cost'!$C$38*60*7200</f>
        <v>505545.52914491808</v>
      </c>
      <c r="ER54">
        <f>'TEA Revised Non EYZ'!DI54</f>
        <v>504921.59999999998</v>
      </c>
      <c r="ES54">
        <f>'TEA Revised Non EYZ'!DJ54</f>
        <v>70.849057673511695</v>
      </c>
      <c r="ET54">
        <f>'TEA Revised Non EYZ'!DK54</f>
        <v>714.97362876905424</v>
      </c>
      <c r="EU54">
        <f>1.2*SUM(EP54:ET54)</f>
        <v>16093942.603525098</v>
      </c>
      <c r="EV54">
        <f>'TEA Revised Non EYZ'!DM54</f>
        <v>0.70639694042110623</v>
      </c>
      <c r="EW54">
        <f>(BS54*CO54+BT54*CP54)/1000*('Oxidant Feed Composition'!$B$11*'Oxidant Feed Composition'!$O$20+'Oxidant Feed Composition'!$D$11*'Oxidant Feed Composition'!$O$21+'Oxidant Feed Composition'!$F$11*'Oxidant Feed Composition'!$O$27-'Oxidant Feed Composition'!$J$15*18.015)</f>
        <v>1.7981812507793224</v>
      </c>
      <c r="EX54">
        <f>(CZ54*BX54+DC54*BZ54)*368.34/1000</f>
        <v>0.10204971193751471</v>
      </c>
      <c r="EY54">
        <f>'TEA Revised Non EYZ'!DP54</f>
        <v>4.999938342565946E-2</v>
      </c>
      <c r="EZ54">
        <f>SUM(EV54:EX54)-EY54</f>
        <v>2.5566285197122842</v>
      </c>
      <c r="FA54">
        <f>EZ54*0.33*60*7200</f>
        <v>364472.96177018329</v>
      </c>
      <c r="FB54">
        <f>'TEA Revised Non EYZ'!DS54</f>
        <v>1.2</v>
      </c>
      <c r="FC54">
        <v>0.5</v>
      </c>
      <c r="FD54">
        <f>'TEA Revised Non EYZ'!DT54</f>
        <v>1405.3114316602573</v>
      </c>
      <c r="FE54">
        <f>'TEA Revised Non EYZ'!DU54</f>
        <v>706.4390902986579</v>
      </c>
      <c r="FF54">
        <f>'TEA Revised Non EYZ'!DV54</f>
        <v>0.7</v>
      </c>
      <c r="FG54">
        <f>'TEA Revised Non EYZ'!DW54</f>
        <v>41280.414286181804</v>
      </c>
      <c r="FH54">
        <f>'TEA Revised Non EYZ'!DX54</f>
        <v>37373.489075065132</v>
      </c>
      <c r="FI54">
        <f>'TEA Revised Non EYZ'!DY54</f>
        <v>15823.453035813865</v>
      </c>
      <c r="FJ54">
        <f>'TEA Revised Non EYZ'!DZ54</f>
        <v>8382.1245272768647</v>
      </c>
      <c r="FK54">
        <f>'TEA Revised Non EYZ'!EA54</f>
        <v>8439.174952434063</v>
      </c>
      <c r="FL54">
        <f>'TEA Revised Non EYZ'!EB54</f>
        <v>849.93235386812376</v>
      </c>
      <c r="FM54">
        <f>'TEA Revised Non EYZ'!EC54</f>
        <v>33428.38069799736</v>
      </c>
      <c r="FN54">
        <f>'TEA Revised Non EYZ'!ED54</f>
        <v>27156.220858243316</v>
      </c>
      <c r="FO54">
        <f>'TEA Revised Non EYZ'!EE54</f>
        <v>11497.593508530435</v>
      </c>
      <c r="FP54">
        <f>'TEA Revised Non EYZ'!EF54</f>
        <v>6093.9858628603142</v>
      </c>
      <c r="FQ54">
        <f>'TEA Revised Non EYZ'!EG54</f>
        <v>6132.0498712162334</v>
      </c>
      <c r="FR54">
        <f>'TEA Revised Non EYZ'!EH54</f>
        <v>427.2543618126283</v>
      </c>
      <c r="FS54">
        <f>'TEA Revised Non EYZ'!EI54</f>
        <v>196884.07339130016</v>
      </c>
      <c r="FT54">
        <f>EG54*EH54</f>
        <v>2528.0029303934457</v>
      </c>
      <c r="FU54">
        <f>EG54*EI54</f>
        <v>4546.3808626539085</v>
      </c>
      <c r="FV54">
        <f>FC54*(FT54+FU54)/(3.6*10^6)*3600*7200*0.07</f>
        <v>1782.7447158479333</v>
      </c>
      <c r="FW54">
        <f>('CAPEX+OPEX'!$C$39/7/100+0.03)*EL54</f>
        <v>91230.633665431043</v>
      </c>
      <c r="FX54">
        <f>('CAPEX+OPEX'!$C$39/7/100+0.03)*EM54</f>
        <v>164069.90751381466</v>
      </c>
      <c r="FY54">
        <f>SUM(FV54:FX54)</f>
        <v>257083.28589509364</v>
      </c>
      <c r="FZ54">
        <f>FY54+FA54+FS54+EU54</f>
        <v>16912382.924581677</v>
      </c>
      <c r="GA54">
        <f>FZ54+EO54</f>
        <v>17929054.66313244</v>
      </c>
      <c r="GB54">
        <f>GA54/(BK54*60*7200)</f>
        <v>0.41502441349843611</v>
      </c>
      <c r="GC54">
        <f>'TEA Revised Non EYZ'!EM54/'TEA Revised Non EYZ'!EK54*GA54</f>
        <v>1389.03559500812</v>
      </c>
      <c r="GD54">
        <f>'TEA Revised Non EYZ'!EN54/'TEA Revised Non EYZ'!EK54*GA54</f>
        <v>2546.0227628141902</v>
      </c>
    </row>
    <row r="55" spans="1:186">
      <c r="A55" s="8">
        <f>'TEA Revised Non EYZ'!A55</f>
        <v>8</v>
      </c>
      <c r="B55" s="8">
        <f>'TEA Revised Non EYZ'!B55</f>
        <v>1.54143585092054E-3</v>
      </c>
      <c r="C55" s="8">
        <f>'TEA Revised Non EYZ'!C55</f>
        <v>1.54143585092054E-3</v>
      </c>
      <c r="D55" s="8">
        <f>'TEA Revised Non EYZ'!D55</f>
        <v>3.4254130020456501E-4</v>
      </c>
      <c r="E55" s="8">
        <f>'TEA Revised Non EYZ'!E55</f>
        <v>0</v>
      </c>
      <c r="F55" s="8">
        <f>'TEA Revised Non EYZ'!F55</f>
        <v>0</v>
      </c>
      <c r="G55" s="8">
        <f>'TEA Revised Non EYZ'!G55</f>
        <v>0</v>
      </c>
      <c r="H55" s="8">
        <f>'TEA Revised Non EYZ'!H55</f>
        <v>1.7762434284205799E-5</v>
      </c>
      <c r="I55" s="8">
        <f>'TEA Revised Non EYZ'!I55</f>
        <v>4.4591984978445998E-9</v>
      </c>
      <c r="J55" s="8">
        <f>'TEA Revised Non EYZ'!J55</f>
        <v>3.37570976171142E-4</v>
      </c>
      <c r="K55" s="8">
        <f>'TEA Revised Non EYZ'!K55</f>
        <v>0.13846015972746001</v>
      </c>
      <c r="L55" s="8">
        <f>'TEA Revised Non EYZ'!L55</f>
        <v>0.14007387303476199</v>
      </c>
      <c r="M55" s="8">
        <f>'TEA Revised Non EYZ'!M55</f>
        <v>4.5166625081916902E-4</v>
      </c>
      <c r="N55" s="8">
        <f>'TEA Revised Non EYZ'!N55</f>
        <v>-2.6107588313450902E-16</v>
      </c>
      <c r="O55" s="8">
        <f>'TEA Revised Non EYZ'!O55</f>
        <v>-1.18524981496115E-14</v>
      </c>
      <c r="P55" s="8">
        <f>'TEA Revised Non EYZ'!P55</f>
        <v>-2.5241581828178102E-19</v>
      </c>
      <c r="Q55" s="8">
        <f>'TEA Revised Non EYZ'!Q55</f>
        <v>0.110044175857931</v>
      </c>
      <c r="R55" s="8">
        <f>'TEA Revised Non EYZ'!R55</f>
        <v>98.548985471108097</v>
      </c>
      <c r="S55" s="8">
        <f>'TEA Revised Non EYZ'!S55</f>
        <v>500</v>
      </c>
      <c r="T55" s="8">
        <f>'TEA Revised Non EYZ'!T55</f>
        <v>95</v>
      </c>
      <c r="U55" s="8">
        <f>'TEA Revised Non EYZ'!U55</f>
        <v>1</v>
      </c>
      <c r="V55" s="8">
        <f>'TEA Revised Non EYZ'!V55</f>
        <v>0.1</v>
      </c>
      <c r="W55" s="8">
        <f>'TEA Revised Non EYZ'!W55</f>
        <v>90.872596591664205</v>
      </c>
      <c r="X55" s="8" t="str">
        <f>'TEA Revised Non EYZ'!X55</f>
        <v>ddFc</v>
      </c>
      <c r="Y55" s="8">
        <f>'TEA Revised Non EYZ'!Y55</f>
        <v>1</v>
      </c>
      <c r="Z55" s="8">
        <f>'TEA Revised Non EYZ'!Z55</f>
        <v>0.28318429382522198</v>
      </c>
      <c r="AA55" s="8">
        <f>'TEA Revised Non EYZ'!AA55</f>
        <v>0.56945642916197003</v>
      </c>
      <c r="AB55" s="8">
        <f>'TEA Revised Non EYZ'!AB55</f>
        <v>3.7698628972227502E-3</v>
      </c>
      <c r="AC55" s="8">
        <f>'TEA Revised Non EYZ'!AC55</f>
        <v>1822.2107908876901</v>
      </c>
      <c r="AD55" s="8">
        <f>'TEA Revised Non EYZ'!AD55</f>
        <v>2662.6059073104898</v>
      </c>
      <c r="AE55" s="8">
        <f>'TEA Revised Non EYZ'!AE55</f>
        <v>2401.5030938442701</v>
      </c>
      <c r="AF55" s="8">
        <f>'TEA Revised Non EYZ'!AF55</f>
        <v>7</v>
      </c>
      <c r="AG55" s="8">
        <f>'TEA Revised Non EYZ'!AG55</f>
        <v>1.6497294784823999E-3</v>
      </c>
      <c r="AH55" s="8">
        <f>'TEA Revised Non EYZ'!AH55</f>
        <v>1.66895660069658E-3</v>
      </c>
      <c r="AI55" s="8">
        <f>'TEA Revised Non EYZ'!AI55</f>
        <v>5.38152729188446E-6</v>
      </c>
      <c r="AJ55" s="8">
        <f>'TEA Revised Non EYZ'!AJ55</f>
        <v>0</v>
      </c>
      <c r="AK55" s="8">
        <f>'TEA Revised Non EYZ'!AK55</f>
        <v>0</v>
      </c>
      <c r="AL55" s="8">
        <f>'TEA Revised Non EYZ'!AL55</f>
        <v>0</v>
      </c>
      <c r="AM55" s="8">
        <f>'TEA Revised Non EYZ'!AM55</f>
        <v>1.6125869955133201E-3</v>
      </c>
      <c r="AN55" s="8">
        <f>'TEA Revised Non EYZ'!AN55</f>
        <v>7.9527043739658596E-5</v>
      </c>
      <c r="AO55" s="8">
        <f>'TEA Revised Non EYZ'!AO55</f>
        <v>5.3459560242007103E-6</v>
      </c>
      <c r="AP55" s="8">
        <f>'TEA Revised Non EYZ'!AP55</f>
        <v>1.7397829738956801E-3</v>
      </c>
      <c r="AQ55" s="8">
        <f>'TEA Revised Non EYZ'!AQ55</f>
        <v>7.4450124503133999E-2</v>
      </c>
      <c r="AR55" s="8">
        <f>'TEA Revised Non EYZ'!AR55</f>
        <v>1.6661860201321599E-6</v>
      </c>
      <c r="AS55" s="8">
        <f>'TEA Revised Non EYZ'!AS55</f>
        <v>-4.4926627522367998E-18</v>
      </c>
      <c r="AT55" s="8">
        <f>'TEA Revised Non EYZ'!AT55</f>
        <v>-1.8262301393345801E-15</v>
      </c>
      <c r="AU55" s="8">
        <f>'TEA Revised Non EYZ'!AU55</f>
        <v>-5.4726269326508303E-21</v>
      </c>
      <c r="AV55" s="8">
        <f>'TEA Revised Non EYZ'!AV55</f>
        <v>0.197176435957374</v>
      </c>
      <c r="AW55" s="8">
        <f>'TEA Revised Non EYZ'!AW55</f>
        <v>99.339011664265001</v>
      </c>
      <c r="AX55" s="8">
        <f>'TEA Revised Non EYZ'!AX55</f>
        <v>499.99999999999898</v>
      </c>
      <c r="AY55" s="8">
        <f>'TEA Revised Non EYZ'!AY55</f>
        <v>95</v>
      </c>
      <c r="AZ55" s="8">
        <f>'TEA Revised Non EYZ'!AZ55</f>
        <v>0.92358985913147196</v>
      </c>
      <c r="BA55" s="8">
        <f>'TEA Revised Non EYZ'!BA55</f>
        <v>0.1</v>
      </c>
      <c r="BB55" s="8">
        <f>'TEA Revised Non EYZ'!BB55</f>
        <v>46.840782705451403</v>
      </c>
      <c r="BC55" s="8" t="str">
        <f>'TEA Revised Non EYZ'!BC55</f>
        <v>coeFc</v>
      </c>
      <c r="BD55" s="8">
        <f>'TEA Revised Non EYZ'!BD55</f>
        <v>1</v>
      </c>
      <c r="BE55" s="8">
        <f>'TEA Revised Non EYZ'!BE55</f>
        <v>1.8775014999999999E-2</v>
      </c>
      <c r="BF55" s="8">
        <f>'TEA Revised Non EYZ'!BF55</f>
        <v>0.10492961100000001</v>
      </c>
      <c r="BG55" s="8">
        <f>'TEA Revised Non EYZ'!BG55</f>
        <v>1.814625E-3</v>
      </c>
      <c r="BH55" s="8">
        <f>'TEA Revised Non EYZ'!BH55</f>
        <v>285.1951444</v>
      </c>
      <c r="BI55" s="8">
        <f>'TEA Revised Non EYZ'!BI55</f>
        <v>2169.8944889999998</v>
      </c>
      <c r="BJ55" s="8">
        <f>'TEA Revised Non EYZ'!BJ55</f>
        <v>866.49409060000005</v>
      </c>
      <c r="BK55" s="8">
        <f>'TEA Revised Non EYZ'!BK55</f>
        <v>100</v>
      </c>
      <c r="BL55" s="8">
        <f>'TEA Revised Non EYZ'!BL55</f>
        <v>11.004417585793099</v>
      </c>
      <c r="BM55" s="8">
        <f>'TEA Revised Non EYZ'!BM55</f>
        <v>92.358985913147194</v>
      </c>
      <c r="BN55" s="8">
        <f>'TEA Revised Non EYZ'!BN55</f>
        <v>19.7176435957374</v>
      </c>
      <c r="BO55" s="8">
        <f>'TEA Revised Non EYZ'!BO55</f>
        <v>220.08835171586199</v>
      </c>
      <c r="BP55" s="8">
        <f>'TEA Revised Non EYZ'!BP55</f>
        <v>354.91758472327319</v>
      </c>
      <c r="BQ55" s="8">
        <f>'TEA Revised Non EYZ'!BQ55</f>
        <v>22.008835171586199</v>
      </c>
      <c r="BR55" s="8">
        <f>'TEA Revised Non EYZ'!BR55</f>
        <v>35.491758472327319</v>
      </c>
      <c r="BS55" s="8">
        <f>'eLLE Bals'!CF55</f>
        <v>6.6026505514758593</v>
      </c>
      <c r="BT55" s="8">
        <f>'eLLE Bals'!CG55</f>
        <v>11.83058615744244</v>
      </c>
      <c r="BU55" s="8">
        <f>BM55</f>
        <v>92.358985913147194</v>
      </c>
      <c r="BV55" s="8">
        <f>BU55*(AM55*2+AN55*2+AO55*3)</f>
        <v>0.31404511466100327</v>
      </c>
      <c r="BW55" s="8">
        <f>BN55*BA55*(AP55*2+AQ55*2+AR55*3)</f>
        <v>0.30046694422348863</v>
      </c>
      <c r="BX55" s="8">
        <f>BV55/(2*V55*BL55+BV55)</f>
        <v>0.12487237637188239</v>
      </c>
      <c r="BY55" s="8">
        <f>BU55*BX55</f>
        <v>11.533086050271901</v>
      </c>
      <c r="BZ55" s="8">
        <f>BW55/(2*BN55*BA55+BW55)</f>
        <v>7.0798127061428323E-2</v>
      </c>
      <c r="CA55" s="8">
        <f>2*BN55*BA55/0.04</f>
        <v>98.588217978686998</v>
      </c>
      <c r="CB55" s="8">
        <f>(BS55+BL55)*2</f>
        <v>35.214136274537921</v>
      </c>
      <c r="CC55" s="8">
        <f>(BU55+BL55)*2</f>
        <v>206.7268069978806</v>
      </c>
      <c r="CD55" s="8">
        <f>(BT55+BN55)*2</f>
        <v>63.096459506359679</v>
      </c>
      <c r="CE55" s="8">
        <f>(CA55+BN55)*2</f>
        <v>236.6117231488488</v>
      </c>
      <c r="CF55" s="8">
        <f>'TEA Revised Non EYZ'!CB55</f>
        <v>2905.1662426493785</v>
      </c>
      <c r="CG55" s="8">
        <f>'TEA Revised Non EYZ'!CC55</f>
        <v>4684.9121183472062</v>
      </c>
      <c r="CH55" s="8">
        <f>'TEA Revised Non EYZ'!CD55</f>
        <v>3509.9789962792502</v>
      </c>
      <c r="CI55" s="8">
        <f>'TEA Revised Non EYZ'!CE55</f>
        <v>36135.1435558425</v>
      </c>
      <c r="CJ55" s="8">
        <f>BL55*V55</f>
        <v>1.10044175857931</v>
      </c>
      <c r="CK55" s="8">
        <f>CJ55/2*1.2</f>
        <v>0.66026505514758604</v>
      </c>
      <c r="CL55" s="8">
        <f>'eLLE Bals'!CB55*'Oxidant Feed Composition'!$N$20</f>
        <v>3.668139195264368E-2</v>
      </c>
      <c r="CM55" s="8">
        <f>'eLLE Bals'!CB55*'Oxidant Feed Composition'!$N$21</f>
        <v>1.8340695976321835</v>
      </c>
      <c r="CN55" s="8">
        <f>'eLLE Bals'!CB55*'Oxidant Feed Composition'!$N$22</f>
        <v>0.55022087928965502</v>
      </c>
      <c r="CO55" s="8">
        <f>CN55/CK55</f>
        <v>0.83333333333333326</v>
      </c>
      <c r="CP55" s="8">
        <f>CO55</f>
        <v>0.83333333333333326</v>
      </c>
      <c r="CQ55" s="8">
        <f>CL55/CO55</f>
        <v>4.4017670343172423E-2</v>
      </c>
      <c r="CR55" s="8">
        <f>CM55/CO55</f>
        <v>2.2008835171586205</v>
      </c>
      <c r="CS55" s="8">
        <f>BN55*BA55</f>
        <v>1.97176435957374</v>
      </c>
      <c r="CT55" s="8">
        <f>CS55/2*1.2</f>
        <v>1.183058615744244</v>
      </c>
      <c r="CU55" s="8">
        <f>'eLLE Bals'!CC55*'Oxidant Feed Composition'!$N$20</f>
        <v>6.5725478652458022E-2</v>
      </c>
      <c r="CV55" s="8">
        <f>'eLLE Bals'!CC55*'Oxidant Feed Composition'!$N$21</f>
        <v>3.2862739326229002</v>
      </c>
      <c r="CW55" s="8">
        <f>'eLLE Bals'!CC55*'Oxidant Feed Composition'!$N$22</f>
        <v>0.98588217978686998</v>
      </c>
      <c r="CX55" s="8">
        <f>CU55/CP55</f>
        <v>7.8870574382949629E-2</v>
      </c>
      <c r="CY55" s="8">
        <f>CV55/CP55</f>
        <v>3.9435287191474808</v>
      </c>
      <c r="CZ55" s="8">
        <f>CJ55</f>
        <v>1.10044175857931</v>
      </c>
      <c r="DA55" s="8">
        <f>'eLLE Bals'!BQ55</f>
        <v>2.2008835171586201</v>
      </c>
      <c r="DB55" s="8">
        <f>'eLLE Bals'!BU55</f>
        <v>5.5112062909106427</v>
      </c>
      <c r="DC55" s="8">
        <f>CS55</f>
        <v>1.97176435957374</v>
      </c>
      <c r="DD55" s="8">
        <f>'eLLE Bals'!BX55</f>
        <v>3.9435287191474799</v>
      </c>
      <c r="DE55" s="8">
        <f>'eLLE Bals'!CA55</f>
        <v>21.935222767028907</v>
      </c>
      <c r="DF55" s="8">
        <f>2*2*(CJ55*'Reagent cost'!$C$36*122.44/1000+CK55*'Oxidant Feed Composition'!$N$26+CQ55*'Reagent cost'!$C$34+CR55*'Reagent cost'!$C$35)</f>
        <v>92.951797184309328</v>
      </c>
      <c r="DG55" s="8">
        <f>2*2*(CS55*'Reagent cost'!$C$36*122.44/1000+CT55*'Oxidant Feed Composition'!$N$26+CX55*'Reagent cost'!$C$34+CY55*'Reagent cost'!$C$35)</f>
        <v>166.55042342537453</v>
      </c>
      <c r="DH55" s="8">
        <f>(AF55+3)*2*(CZ55*'Reagent cost'!$C$38+DA55*'Reagent cost'!$C$39+DB55*'Reagent cost'!$C$36*122.44/1000)</f>
        <v>1051.1842637721245</v>
      </c>
      <c r="DI55" s="8">
        <f>3*2*(DC55*'Reagent cost'!$C$38+DD55*'Reagent cost'!$C$39+DE55*'Reagent cost'!$C$36*122.44/1000)</f>
        <v>1190.7421595137064</v>
      </c>
      <c r="DJ55" s="8">
        <f>7963.6*(CB55/1000)^0.6*1.7*('CAPEX+OPEX'!$G$116/'CAPEX+OPEX'!$G$115)</f>
        <v>2144.228934815284</v>
      </c>
      <c r="DK55" s="8">
        <f>7963.6*(CC55/1000)^0.6*1.7*('CAPEX+OPEX'!$G$116/'CAPEX+OPEX'!$G$115)</f>
        <v>6201.2466571653367</v>
      </c>
      <c r="DL55" s="8">
        <f>7963.6*(CD55/1000)^0.6*1.7*('CAPEX+OPEX'!$G$116/'CAPEX+OPEX'!$G$115)</f>
        <v>3042.5934236628641</v>
      </c>
      <c r="DM55" s="8">
        <f>7963.6*(CE55/1000)^0.6*1.7*('CAPEX+OPEX'!$G$116/'CAPEX+OPEX'!$G$115)</f>
        <v>6724.5415732218489</v>
      </c>
      <c r="DN55" s="8">
        <f>'TEA Revised Non EYZ'!CM55</f>
        <v>39625.826528698344</v>
      </c>
      <c r="DO55" s="8">
        <f>'TEA Revised Non EYZ'!CN55</f>
        <v>4586243.4239371875</v>
      </c>
      <c r="DP55" s="8">
        <f>'TEA Revised Non EYZ'!CO55</f>
        <v>11794834.586807497</v>
      </c>
      <c r="DQ55" s="8">
        <f>'TEA Revised Non EYZ'!CP55</f>
        <v>2275209.1661185985</v>
      </c>
      <c r="DR55" s="8">
        <f>'TEA Revised Non EYZ'!CQ55</f>
        <v>14083914.336508472</v>
      </c>
      <c r="DS55" s="8">
        <f>'TEA Revised Non EYZ'!CR55</f>
        <v>1662824.8986326549</v>
      </c>
      <c r="DT55" s="8">
        <f>'TEA Revised Non EYZ'!CS55</f>
        <v>751295.09040276916</v>
      </c>
      <c r="DU55" s="8">
        <f>'TEA Revised Non EYZ'!CT55</f>
        <v>1932169.8606163235</v>
      </c>
      <c r="DV55" s="8">
        <f>'TEA Revised Non EYZ'!CU55</f>
        <v>372713.20297186484</v>
      </c>
      <c r="DW55" s="8">
        <f>'TEA Revised Non EYZ'!CV55</f>
        <v>2307155.2721002945</v>
      </c>
      <c r="DX55" s="8">
        <f>'TEA Revised Non EYZ'!CW55</f>
        <v>272395.52441150707</v>
      </c>
      <c r="DY55" s="8">
        <f>'TEA Revised Non EYZ'!CX55</f>
        <v>5635728.9505027588</v>
      </c>
      <c r="DZ55" s="8">
        <f>'TEA Revised Non EYZ'!CY55</f>
        <v>661095.23897018633</v>
      </c>
      <c r="EA55" s="8">
        <f>'TEA Revised Non EYZ'!CZ55</f>
        <v>1700195.1856897587</v>
      </c>
      <c r="EB55" s="8">
        <f>'TEA Revised Non EYZ'!DA55</f>
        <v>327965.57189523784</v>
      </c>
      <c r="EC55" s="8">
        <f>'TEA Revised Non EYZ'!DB55</f>
        <v>2030160.1666700414</v>
      </c>
      <c r="ED55" s="8">
        <f>'TEA Revised Non EYZ'!DC55</f>
        <v>239691.94875038246</v>
      </c>
      <c r="EE55" s="8">
        <f>'TEA Revised Non EYZ'!DD55</f>
        <v>4959108.1119756065</v>
      </c>
      <c r="EF55" s="8">
        <v>0.7</v>
      </c>
      <c r="EG55" s="8">
        <v>100</v>
      </c>
      <c r="EH55" s="8">
        <f>96485*BL55*V55/EF55/EG55/60</f>
        <v>25.280029303934459</v>
      </c>
      <c r="EI55" s="8">
        <f>96485*BN55*BA55/EF55/EG55/60</f>
        <v>45.296591484160089</v>
      </c>
      <c r="EJ55" s="8">
        <f>EH55*('CAPEX+OPEX'!$O$25+'CAPEX+OPEX'!$O$26)</f>
        <v>805725.09397499904</v>
      </c>
      <c r="EK55" s="8">
        <f>EI55*('CAPEX+OPEX'!$O$25+'CAPEX+OPEX'!$O$26)</f>
        <v>1443692.9637831503</v>
      </c>
      <c r="EL55" s="8">
        <f>EJ55*1.12/0.6*'CAPEX+OPEX'!$G$116/'CAPEX+OPEX'!$G$115</f>
        <v>1773928.987938937</v>
      </c>
      <c r="EM55" s="8">
        <f>EK55*1.12/0.6*'CAPEX+OPEX'!$G$116/'CAPEX+OPEX'!$G$115</f>
        <v>3178514.3807595931</v>
      </c>
      <c r="EN55" s="8">
        <f>EL55+EM55+DY55+EE55+1.15*(SUM(DF55:DM55)+SUM(CF55:CI55))</f>
        <v>15625307.057344656</v>
      </c>
      <c r="EO55" s="8">
        <f>EN55/15</f>
        <v>1041687.1371563104</v>
      </c>
      <c r="EP55" s="8">
        <f>('eLLE Bals'!CB55+'eLLE Bals'!CC55)*'Oxidant Feed Composition'!$N$25*60*7200</f>
        <v>12371055.151401743</v>
      </c>
      <c r="EQ55" s="85">
        <f>('eLLE Bals'!BR55+'eLLE Bals'!BY55)*'Reagent cost'!$C$38*60*7200</f>
        <v>505470.6683357248</v>
      </c>
      <c r="ER55" s="8">
        <f>'TEA Revised Non EYZ'!DI55</f>
        <v>504921.59999999998</v>
      </c>
      <c r="ES55" s="8">
        <f>'TEA Revised Non EYZ'!DJ55</f>
        <v>75.900783609965842</v>
      </c>
      <c r="ET55" s="8">
        <f>'TEA Revised Non EYZ'!DK55</f>
        <v>792.90245104243502</v>
      </c>
      <c r="EU55" s="8">
        <f>1.2*SUM(EP55:ET55)</f>
        <v>16058779.467566542</v>
      </c>
      <c r="EV55" s="8">
        <f>'TEA Revised Non EYZ'!DM55</f>
        <v>0.70639694042110623</v>
      </c>
      <c r="EW55" s="8">
        <f>(BS55*CO55+BT55*CP55)/1000*('Oxidant Feed Composition'!$B$11*'Oxidant Feed Composition'!$O$20+'Oxidant Feed Composition'!$D$11*'Oxidant Feed Composition'!$O$21+'Oxidant Feed Composition'!$F$11*'Oxidant Feed Composition'!$O$27-'Oxidant Feed Composition'!$J$15*18.015)</f>
        <v>1.7939308914684478</v>
      </c>
      <c r="EX55" s="8">
        <f>(CZ55*BX55+DC55*BZ55)*368.34/1000</f>
        <v>0.10203460049141708</v>
      </c>
      <c r="EY55" s="8">
        <f>'TEA Revised Non EYZ'!DP55</f>
        <v>4.999938342565946E-2</v>
      </c>
      <c r="EZ55" s="8">
        <f>SUM(EV55:EX55)-EY55</f>
        <v>2.552363048955312</v>
      </c>
      <c r="FA55" s="8">
        <f>EZ55*0.33*60*7200</f>
        <v>363864.87625906931</v>
      </c>
      <c r="FB55" s="8">
        <f>'TEA Revised Non EYZ'!DS55</f>
        <v>1.2</v>
      </c>
      <c r="FC55" s="8">
        <v>0.5</v>
      </c>
      <c r="FD55" s="8">
        <f>'TEA Revised Non EYZ'!DT55</f>
        <v>1405.7380096269114</v>
      </c>
      <c r="FE55" s="8">
        <f>'TEA Revised Non EYZ'!DU55</f>
        <v>706.0125123327706</v>
      </c>
      <c r="FF55" s="8">
        <f>'TEA Revised Non EYZ'!DV55</f>
        <v>0.7</v>
      </c>
      <c r="FG55" s="8">
        <f>'TEA Revised Non EYZ'!DW55</f>
        <v>41280.414286181804</v>
      </c>
      <c r="FH55" s="8">
        <f>'TEA Revised Non EYZ'!DX55</f>
        <v>37373.489075065132</v>
      </c>
      <c r="FI55" s="8">
        <f>'TEA Revised Non EYZ'!DY55</f>
        <v>15823.453035813865</v>
      </c>
      <c r="FJ55" s="8">
        <f>'TEA Revised Non EYZ'!DZ55</f>
        <v>8382.1245272768647</v>
      </c>
      <c r="FK55" s="8">
        <f>'TEA Revised Non EYZ'!EA55</f>
        <v>8439.174952434063</v>
      </c>
      <c r="FL55" s="8">
        <f>'TEA Revised Non EYZ'!EB55</f>
        <v>850.19034822235619</v>
      </c>
      <c r="FM55" s="8">
        <f>'TEA Revised Non EYZ'!EC55</f>
        <v>35999.794597843313</v>
      </c>
      <c r="FN55" s="8">
        <f>'TEA Revised Non EYZ'!ED55</f>
        <v>31035.680980849509</v>
      </c>
      <c r="FO55" s="8">
        <f>'TEA Revised Non EYZ'!EE55</f>
        <v>13140.106866891929</v>
      </c>
      <c r="FP55" s="8">
        <f>'TEA Revised Non EYZ'!EF55</f>
        <v>6964.5552718403605</v>
      </c>
      <c r="FQ55" s="8">
        <f>'TEA Revised Non EYZ'!EG55</f>
        <v>7008.0569956756972</v>
      </c>
      <c r="FR55" s="8">
        <f>'TEA Revised Non EYZ'!EH55</f>
        <v>426.99636745885965</v>
      </c>
      <c r="FS55" s="8">
        <f>'TEA Revised Non EYZ'!EI55</f>
        <v>206724.03730555376</v>
      </c>
      <c r="FT55" s="8">
        <f>EG55*EH55</f>
        <v>2528.0029303934457</v>
      </c>
      <c r="FU55" s="8">
        <f>EG55*EI55</f>
        <v>4529.659148416009</v>
      </c>
      <c r="FV55" s="8">
        <f>FC55*(FT55+FU55)/(3.6*10^6)*3600*7200*0.07</f>
        <v>1778.530843859983</v>
      </c>
      <c r="FW55" s="8">
        <f>('CAPEX+OPEX'!$C$39/7/100+0.03)*EL55</f>
        <v>91230.633665431043</v>
      </c>
      <c r="FX55" s="8">
        <f>('CAPEX+OPEX'!$C$39/7/100+0.03)*EM55</f>
        <v>163466.45386763621</v>
      </c>
      <c r="FY55" s="8">
        <f>SUM(FV55:FX55)</f>
        <v>256475.61837692725</v>
      </c>
      <c r="FZ55" s="8">
        <f>FY55+FA55+FS55+EU55</f>
        <v>16885843.999508094</v>
      </c>
      <c r="GA55" s="8">
        <f>FZ55+EO55</f>
        <v>17927531.136664405</v>
      </c>
      <c r="GB55" s="8">
        <f>GA55/(BK55*60*7200)</f>
        <v>0.41498914668204645</v>
      </c>
      <c r="GC55" s="8">
        <f>'TEA Revised Non EYZ'!EM55/'TEA Revised Non EYZ'!EK55*GA55</f>
        <v>1388.4958238861968</v>
      </c>
      <c r="GD55" s="8">
        <f>'TEA Revised Non EYZ'!EN55/'TEA Revised Non EYZ'!EK55*GA55</f>
        <v>2547.2245361779833</v>
      </c>
    </row>
    <row r="56" spans="1:186">
      <c r="A56">
        <f>'TEA Revised Non EYZ'!A56</f>
        <v>8</v>
      </c>
      <c r="B56">
        <f>'TEA Revised Non EYZ'!B56</f>
        <v>1.54143585092054E-3</v>
      </c>
      <c r="C56">
        <f>'TEA Revised Non EYZ'!C56</f>
        <v>1.54143585092054E-3</v>
      </c>
      <c r="D56">
        <f>'TEA Revised Non EYZ'!D56</f>
        <v>3.4254130020456501E-4</v>
      </c>
      <c r="E56">
        <f>'TEA Revised Non EYZ'!E56</f>
        <v>0</v>
      </c>
      <c r="F56">
        <f>'TEA Revised Non EYZ'!F56</f>
        <v>0</v>
      </c>
      <c r="G56">
        <f>'TEA Revised Non EYZ'!G56</f>
        <v>0</v>
      </c>
      <c r="H56">
        <f>'TEA Revised Non EYZ'!H56</f>
        <v>1.7762434284205799E-5</v>
      </c>
      <c r="I56">
        <f>'TEA Revised Non EYZ'!I56</f>
        <v>4.4591984978445998E-9</v>
      </c>
      <c r="J56">
        <f>'TEA Revised Non EYZ'!J56</f>
        <v>3.37570976171142E-4</v>
      </c>
      <c r="K56">
        <f>'TEA Revised Non EYZ'!K56</f>
        <v>0.13846015972746001</v>
      </c>
      <c r="L56">
        <f>'TEA Revised Non EYZ'!L56</f>
        <v>0.14007387303476199</v>
      </c>
      <c r="M56">
        <f>'TEA Revised Non EYZ'!M56</f>
        <v>4.5166625081916902E-4</v>
      </c>
      <c r="N56">
        <f>'TEA Revised Non EYZ'!N56</f>
        <v>-2.6107588313450902E-16</v>
      </c>
      <c r="O56">
        <f>'TEA Revised Non EYZ'!O56</f>
        <v>-1.18524981496115E-14</v>
      </c>
      <c r="P56">
        <f>'TEA Revised Non EYZ'!P56</f>
        <v>-2.5241581828178102E-19</v>
      </c>
      <c r="Q56">
        <f>'TEA Revised Non EYZ'!Q56</f>
        <v>0.110044175857931</v>
      </c>
      <c r="R56">
        <f>'TEA Revised Non EYZ'!R56</f>
        <v>98.548985471108097</v>
      </c>
      <c r="S56">
        <f>'TEA Revised Non EYZ'!S56</f>
        <v>500</v>
      </c>
      <c r="T56">
        <f>'TEA Revised Non EYZ'!T56</f>
        <v>95</v>
      </c>
      <c r="U56">
        <f>'TEA Revised Non EYZ'!U56</f>
        <v>1</v>
      </c>
      <c r="V56">
        <f>'TEA Revised Non EYZ'!V56</f>
        <v>0.1</v>
      </c>
      <c r="W56">
        <f>'TEA Revised Non EYZ'!W56</f>
        <v>90.872596591664205</v>
      </c>
      <c r="X56" t="str">
        <f>'TEA Revised Non EYZ'!X56</f>
        <v>ddFc</v>
      </c>
      <c r="Y56">
        <f>'TEA Revised Non EYZ'!Y56</f>
        <v>1</v>
      </c>
      <c r="Z56">
        <f>'TEA Revised Non EYZ'!Z56</f>
        <v>0.28318429382522198</v>
      </c>
      <c r="AA56">
        <f>'TEA Revised Non EYZ'!AA56</f>
        <v>0.56945642916197003</v>
      </c>
      <c r="AB56">
        <f>'TEA Revised Non EYZ'!AB56</f>
        <v>3.7698628972227502E-3</v>
      </c>
      <c r="AC56">
        <f>'TEA Revised Non EYZ'!AC56</f>
        <v>1822.2107908876901</v>
      </c>
      <c r="AD56">
        <f>'TEA Revised Non EYZ'!AD56</f>
        <v>2662.6059073104898</v>
      </c>
      <c r="AE56">
        <f>'TEA Revised Non EYZ'!AE56</f>
        <v>2401.5030938442701</v>
      </c>
      <c r="AF56">
        <f>'TEA Revised Non EYZ'!AF56</f>
        <v>8</v>
      </c>
      <c r="AG56">
        <f>'TEA Revised Non EYZ'!AG56</f>
        <v>1.6497294784823999E-3</v>
      </c>
      <c r="AH56">
        <f>'TEA Revised Non EYZ'!AH56</f>
        <v>1.66895660069658E-3</v>
      </c>
      <c r="AI56">
        <f>'TEA Revised Non EYZ'!AI56</f>
        <v>5.38152729188446E-6</v>
      </c>
      <c r="AJ56">
        <f>'TEA Revised Non EYZ'!AJ56</f>
        <v>0</v>
      </c>
      <c r="AK56">
        <f>'TEA Revised Non EYZ'!AK56</f>
        <v>0</v>
      </c>
      <c r="AL56">
        <f>'TEA Revised Non EYZ'!AL56</f>
        <v>0</v>
      </c>
      <c r="AM56">
        <f>'TEA Revised Non EYZ'!AM56</f>
        <v>1.6127265357375701E-3</v>
      </c>
      <c r="AN56">
        <f>'TEA Revised Non EYZ'!AN56</f>
        <v>7.9534259850848901E-5</v>
      </c>
      <c r="AO56">
        <f>'TEA Revised Non EYZ'!AO56</f>
        <v>5.3460841353395197E-6</v>
      </c>
      <c r="AP56">
        <f>'TEA Revised Non EYZ'!AP56</f>
        <v>1.7350722139013899E-3</v>
      </c>
      <c r="AQ56">
        <f>'TEA Revised Non EYZ'!AQ56</f>
        <v>7.4528195270851597E-2</v>
      </c>
      <c r="AR56">
        <f>'TEA Revised Non EYZ'!AR56</f>
        <v>1.6619336609946501E-6</v>
      </c>
      <c r="AS56">
        <f>'TEA Revised Non EYZ'!AS56</f>
        <v>5.2535422843599799E-15</v>
      </c>
      <c r="AT56">
        <f>'TEA Revised Non EYZ'!AT56</f>
        <v>-1.2261545945246801E-12</v>
      </c>
      <c r="AU56">
        <f>'TEA Revised Non EYZ'!AU56</f>
        <v>2.5556572205438301E-20</v>
      </c>
      <c r="AV56">
        <f>'TEA Revised Non EYZ'!AV56</f>
        <v>0.19696899297954801</v>
      </c>
      <c r="AW56">
        <f>'TEA Revised Non EYZ'!AW56</f>
        <v>99.341392236393602</v>
      </c>
      <c r="AX56">
        <f>'TEA Revised Non EYZ'!AX56</f>
        <v>499.99999999999898</v>
      </c>
      <c r="AY56">
        <f>'TEA Revised Non EYZ'!AY56</f>
        <v>95</v>
      </c>
      <c r="AZ56">
        <f>'TEA Revised Non EYZ'!AZ56</f>
        <v>0.92358985913147196</v>
      </c>
      <c r="BA56">
        <f>'TEA Revised Non EYZ'!BA56</f>
        <v>0.1</v>
      </c>
      <c r="BB56">
        <f>'TEA Revised Non EYZ'!BB56</f>
        <v>46.890114284504001</v>
      </c>
      <c r="BC56" t="str">
        <f>'TEA Revised Non EYZ'!BC56</f>
        <v>coeFc</v>
      </c>
      <c r="BD56">
        <f>'TEA Revised Non EYZ'!BD56</f>
        <v>1</v>
      </c>
      <c r="BE56">
        <f>'TEA Revised Non EYZ'!BE56</f>
        <v>1.8775014999999999E-2</v>
      </c>
      <c r="BF56">
        <f>'TEA Revised Non EYZ'!BF56</f>
        <v>0.10492961100000001</v>
      </c>
      <c r="BG56">
        <f>'TEA Revised Non EYZ'!BG56</f>
        <v>1.814625E-3</v>
      </c>
      <c r="BH56">
        <f>'TEA Revised Non EYZ'!BH56</f>
        <v>285.1951444</v>
      </c>
      <c r="BI56">
        <f>'TEA Revised Non EYZ'!BI56</f>
        <v>2169.8944889999998</v>
      </c>
      <c r="BJ56">
        <f>'TEA Revised Non EYZ'!BJ56</f>
        <v>866.49409060000005</v>
      </c>
      <c r="BK56">
        <f>'TEA Revised Non EYZ'!BK56</f>
        <v>100</v>
      </c>
      <c r="BL56">
        <f>'TEA Revised Non EYZ'!BL56</f>
        <v>11.004417585793099</v>
      </c>
      <c r="BM56">
        <f>'TEA Revised Non EYZ'!BM56</f>
        <v>92.358985913147194</v>
      </c>
      <c r="BN56">
        <f>'TEA Revised Non EYZ'!BN56</f>
        <v>19.696899297954801</v>
      </c>
      <c r="BO56">
        <f>'TEA Revised Non EYZ'!BO56</f>
        <v>220.08835171586199</v>
      </c>
      <c r="BP56">
        <f>'TEA Revised Non EYZ'!BP56</f>
        <v>393.93798595909601</v>
      </c>
      <c r="BQ56">
        <f>'TEA Revised Non EYZ'!BQ56</f>
        <v>22.008835171586199</v>
      </c>
      <c r="BR56">
        <f>'TEA Revised Non EYZ'!BR56</f>
        <v>39.393798595909601</v>
      </c>
      <c r="BS56">
        <f>'eLLE Bals'!CF56</f>
        <v>6.6026505514758593</v>
      </c>
      <c r="BT56">
        <f>'eLLE Bals'!CG56</f>
        <v>11.818139578772881</v>
      </c>
      <c r="BU56">
        <f>BM56</f>
        <v>92.358985913147194</v>
      </c>
      <c r="BV56">
        <f>BU56*(AM56*2+AN56*2+AO56*3)</f>
        <v>0.3140722586902831</v>
      </c>
      <c r="BW56">
        <f>BN56*BA56*(AP56*2+AQ56*2+AR56*3)</f>
        <v>0.30043980043802221</v>
      </c>
      <c r="BX56">
        <f>BV56/(2*V56*BL56+BV56)</f>
        <v>0.12488182166315452</v>
      </c>
      <c r="BY56">
        <f>BU56*BX56</f>
        <v>11.533958407795449</v>
      </c>
      <c r="BZ56">
        <f>BW56/(2*BN56*BA56+BW56)</f>
        <v>7.0861457450755935E-2</v>
      </c>
      <c r="CA56">
        <f>2*BN56*BA56/0.04</f>
        <v>98.484496489774003</v>
      </c>
      <c r="CB56">
        <f>(BS56+BL56)*2</f>
        <v>35.214136274537921</v>
      </c>
      <c r="CC56">
        <f>(BU56+BL56)*2</f>
        <v>206.7268069978806</v>
      </c>
      <c r="CD56">
        <f>(BT56+BN56)*2</f>
        <v>63.030077753455359</v>
      </c>
      <c r="CE56">
        <f>(CA56+BN56)*2</f>
        <v>236.36279157545761</v>
      </c>
      <c r="CF56">
        <f>'TEA Revised Non EYZ'!CB56</f>
        <v>2905.1662426493785</v>
      </c>
      <c r="CG56">
        <f>'TEA Revised Non EYZ'!CC56</f>
        <v>5199.9814146600684</v>
      </c>
      <c r="CH56">
        <f>'TEA Revised Non EYZ'!CD56</f>
        <v>3509.9789962792502</v>
      </c>
      <c r="CI56">
        <f>'TEA Revised Non EYZ'!CE56</f>
        <v>40107.918816787671</v>
      </c>
      <c r="CJ56">
        <f>BL56*V56</f>
        <v>1.10044175857931</v>
      </c>
      <c r="CK56">
        <f>CJ56/2*1.2</f>
        <v>0.66026505514758604</v>
      </c>
      <c r="CL56">
        <f>'eLLE Bals'!CB56*'Oxidant Feed Composition'!$N$20</f>
        <v>3.668139195264368E-2</v>
      </c>
      <c r="CM56">
        <f>'eLLE Bals'!CB56*'Oxidant Feed Composition'!$N$21</f>
        <v>1.8340695976321835</v>
      </c>
      <c r="CN56">
        <f>'eLLE Bals'!CB56*'Oxidant Feed Composition'!$N$22</f>
        <v>0.55022087928965502</v>
      </c>
      <c r="CO56">
        <f>CN56/CK56</f>
        <v>0.83333333333333326</v>
      </c>
      <c r="CP56">
        <f>CO56</f>
        <v>0.83333333333333326</v>
      </c>
      <c r="CQ56">
        <f>CL56/CO56</f>
        <v>4.4017670343172423E-2</v>
      </c>
      <c r="CR56">
        <f>CM56/CO56</f>
        <v>2.2008835171586205</v>
      </c>
      <c r="CS56">
        <f>BN56*BA56</f>
        <v>1.9696899297954802</v>
      </c>
      <c r="CT56">
        <f>CS56/2*1.2</f>
        <v>1.1818139578772882</v>
      </c>
      <c r="CU56">
        <f>'eLLE Bals'!CC56*'Oxidant Feed Composition'!$N$20</f>
        <v>6.5656330993182702E-2</v>
      </c>
      <c r="CV56">
        <f>'eLLE Bals'!CC56*'Oxidant Feed Composition'!$N$21</f>
        <v>3.2828165496591337</v>
      </c>
      <c r="CW56">
        <f>'eLLE Bals'!CC56*'Oxidant Feed Composition'!$N$22</f>
        <v>0.98484496489774009</v>
      </c>
      <c r="CX56">
        <f>CU56/CP56</f>
        <v>7.8787597191819256E-2</v>
      </c>
      <c r="CY56">
        <f>CV56/CP56</f>
        <v>3.9393798595909608</v>
      </c>
      <c r="CZ56">
        <f>CJ56</f>
        <v>1.10044175857931</v>
      </c>
      <c r="DA56">
        <f>'eLLE Bals'!BQ56</f>
        <v>2.2008835171586201</v>
      </c>
      <c r="DB56">
        <f>'eLLE Bals'!BU56</f>
        <v>5.5105397670481819</v>
      </c>
      <c r="DC56">
        <f>CS56</f>
        <v>1.9696899297954802</v>
      </c>
      <c r="DD56">
        <f>'eLLE Bals'!BX56</f>
        <v>3.9393798595909604</v>
      </c>
      <c r="DE56">
        <f>'eLLE Bals'!CA56</f>
        <v>21.887281014776537</v>
      </c>
      <c r="DF56">
        <f>2*2*(CJ56*'Reagent cost'!$C$36*122.44/1000+CK56*'Oxidant Feed Composition'!$N$26+CQ56*'Reagent cost'!$C$34+CR56*'Reagent cost'!$C$35)</f>
        <v>92.951797184309328</v>
      </c>
      <c r="DG56">
        <f>2*2*(CS56*'Reagent cost'!$C$36*122.44/1000+CT56*'Oxidant Feed Composition'!$N$26+CX56*'Reagent cost'!$C$34+CY56*'Reagent cost'!$C$35)</f>
        <v>166.37520108896408</v>
      </c>
      <c r="DH56">
        <f>(AF56+3)*2*(CZ56*'Reagent cost'!$C$38+DA56*'Reagent cost'!$C$39+DB56*'Reagent cost'!$C$36*122.44/1000)</f>
        <v>1156.1758988602498</v>
      </c>
      <c r="DI56">
        <f>3*2*(DC56*'Reagent cost'!$C$38+DD56*'Reagent cost'!$C$39+DE56*'Reagent cost'!$C$36*122.44/1000)</f>
        <v>1188.1994455207043</v>
      </c>
      <c r="DJ56">
        <f>7963.6*(CB56/1000)^0.6*1.7*('CAPEX+OPEX'!$G$116/'CAPEX+OPEX'!$G$115)</f>
        <v>2144.228934815284</v>
      </c>
      <c r="DK56">
        <f>7963.6*(CC56/1000)^0.6*1.7*('CAPEX+OPEX'!$G$116/'CAPEX+OPEX'!$G$115)</f>
        <v>6201.2466571653367</v>
      </c>
      <c r="DL56">
        <f>7963.6*(CD56/1000)^0.6*1.7*('CAPEX+OPEX'!$G$116/'CAPEX+OPEX'!$G$115)</f>
        <v>3040.6724106131192</v>
      </c>
      <c r="DM56">
        <f>7963.6*(CE56/1000)^0.6*1.7*('CAPEX+OPEX'!$G$116/'CAPEX+OPEX'!$G$115)</f>
        <v>6720.295875451242</v>
      </c>
      <c r="DN56">
        <f>'TEA Revised Non EYZ'!CM56</f>
        <v>39625.826528698344</v>
      </c>
      <c r="DO56">
        <f>'TEA Revised Non EYZ'!CN56</f>
        <v>4586243.4239371875</v>
      </c>
      <c r="DP56">
        <f>'TEA Revised Non EYZ'!CO56</f>
        <v>11794834.586807497</v>
      </c>
      <c r="DQ56">
        <f>'TEA Revised Non EYZ'!CP56</f>
        <v>2275209.1661185985</v>
      </c>
      <c r="DR56">
        <f>'TEA Revised Non EYZ'!CQ56</f>
        <v>14083914.336508472</v>
      </c>
      <c r="DS56">
        <f>'TEA Revised Non EYZ'!CR56</f>
        <v>1662824.8986326549</v>
      </c>
      <c r="DT56">
        <f>'TEA Revised Non EYZ'!CS56</f>
        <v>751295.09040276916</v>
      </c>
      <c r="DU56">
        <f>'TEA Revised Non EYZ'!CT56</f>
        <v>1932169.8606163235</v>
      </c>
      <c r="DV56">
        <f>'TEA Revised Non EYZ'!CU56</f>
        <v>372713.20297186484</v>
      </c>
      <c r="DW56">
        <f>'TEA Revised Non EYZ'!CV56</f>
        <v>2307155.2721002945</v>
      </c>
      <c r="DX56">
        <f>'TEA Revised Non EYZ'!CW56</f>
        <v>272395.52441150707</v>
      </c>
      <c r="DY56">
        <f>'TEA Revised Non EYZ'!CX56</f>
        <v>5635728.9505027588</v>
      </c>
      <c r="DZ56">
        <f>'TEA Revised Non EYZ'!CY56</f>
        <v>709505.13497417013</v>
      </c>
      <c r="EA56">
        <f>'TEA Revised Non EYZ'!CZ56</f>
        <v>1824695.0569245399</v>
      </c>
      <c r="EB56">
        <f>'TEA Revised Non EYZ'!DA56</f>
        <v>351981.44478681608</v>
      </c>
      <c r="EC56">
        <f>'TEA Revised Non EYZ'!DB56</f>
        <v>2178822.3211472412</v>
      </c>
      <c r="ED56">
        <f>'TEA Revised Non EYZ'!DC56</f>
        <v>257243.82573874708</v>
      </c>
      <c r="EE56">
        <f>'TEA Revised Non EYZ'!DD56</f>
        <v>5322247.7835715134</v>
      </c>
      <c r="EF56">
        <v>0.7</v>
      </c>
      <c r="EG56">
        <v>100</v>
      </c>
      <c r="EH56">
        <f>96485*BL56*V56/EF56/EG56/60</f>
        <v>25.280029303934459</v>
      </c>
      <c r="EI56">
        <f>96485*BN56*BA56/EF56/EG56/60</f>
        <v>45.248936399123075</v>
      </c>
      <c r="EJ56">
        <f>EH56*('CAPEX+OPEX'!$O$25+'CAPEX+OPEX'!$O$26)</f>
        <v>805725.09397499904</v>
      </c>
      <c r="EK56">
        <f>EI56*('CAPEX+OPEX'!$O$25+'CAPEX+OPEX'!$O$26)</f>
        <v>1442174.1009128506</v>
      </c>
      <c r="EL56">
        <f>EJ56*1.12/0.6*'CAPEX+OPEX'!$G$116/'CAPEX+OPEX'!$G$115</f>
        <v>1773928.987938937</v>
      </c>
      <c r="EM56">
        <f>EK56*1.12/0.6*'CAPEX+OPEX'!$G$116/'CAPEX+OPEX'!$G$115</f>
        <v>3175170.3681497383</v>
      </c>
      <c r="EN56">
        <f>EL56+EM56+DY56+EE56+1.15*(SUM(DF56:DM56)+SUM(CF56:CI56))</f>
        <v>15990374.260607684</v>
      </c>
      <c r="EO56">
        <f>EN56/15</f>
        <v>1066024.950707179</v>
      </c>
      <c r="EP56">
        <f>('eLLE Bals'!CB56+'eLLE Bals'!CC56)*'Oxidant Feed Composition'!$N$25*60*7200</f>
        <v>12362701.908094622</v>
      </c>
      <c r="EQ56" s="83">
        <f>('eLLE Bals'!BR56+'eLLE Bals'!BY56)*'Reagent cost'!$C$38*60*7200</f>
        <v>505449.26336501003</v>
      </c>
      <c r="ER56">
        <f>'TEA Revised Non EYZ'!DI56</f>
        <v>504921.59999999998</v>
      </c>
      <c r="ES56">
        <f>'TEA Revised Non EYZ'!DJ56</f>
        <v>81.051476573094476</v>
      </c>
      <c r="ET56">
        <f>'TEA Revised Non EYZ'!DK56</f>
        <v>872.35795626133847</v>
      </c>
      <c r="EU56">
        <f>1.2*SUM(EP56:ET56)</f>
        <v>16048831.417070959</v>
      </c>
      <c r="EV56">
        <f>'TEA Revised Non EYZ'!DM56</f>
        <v>0.70639694042110623</v>
      </c>
      <c r="EW56">
        <f>(BS56*CO56+BT56*CP56)/1000*('Oxidant Feed Composition'!$B$11*'Oxidant Feed Composition'!$O$20+'Oxidant Feed Composition'!$D$11*'Oxidant Feed Composition'!$O$21+'Oxidant Feed Composition'!$F$11*'Oxidant Feed Composition'!$O$27-'Oxidant Feed Composition'!$J$15*18.015)</f>
        <v>1.7927195848313657</v>
      </c>
      <c r="EX56">
        <f>(CZ56*BX56+DC56*BZ56)*368.34/1000</f>
        <v>0.10203027967168954</v>
      </c>
      <c r="EY56">
        <f>'TEA Revised Non EYZ'!DP56</f>
        <v>4.999938342565946E-2</v>
      </c>
      <c r="EZ56">
        <f>SUM(EV56:EX56)-EY56</f>
        <v>2.5511474214985022</v>
      </c>
      <c r="FA56">
        <f>EZ56*0.33*60*7200</f>
        <v>363691.57640882646</v>
      </c>
      <c r="FB56">
        <f>'TEA Revised Non EYZ'!DS56</f>
        <v>1.2</v>
      </c>
      <c r="FC56">
        <v>0.5</v>
      </c>
      <c r="FD56">
        <f>'TEA Revised Non EYZ'!DT56</f>
        <v>1405.8595798458919</v>
      </c>
      <c r="FE56">
        <f>'TEA Revised Non EYZ'!DU56</f>
        <v>705.89094267147937</v>
      </c>
      <c r="FF56">
        <f>'TEA Revised Non EYZ'!DV56</f>
        <v>0.7</v>
      </c>
      <c r="FG56">
        <f>'TEA Revised Non EYZ'!DW56</f>
        <v>41280.414286181804</v>
      </c>
      <c r="FH56">
        <f>'TEA Revised Non EYZ'!DX56</f>
        <v>37373.489075065132</v>
      </c>
      <c r="FI56">
        <f>'TEA Revised Non EYZ'!DY56</f>
        <v>15823.453035813865</v>
      </c>
      <c r="FJ56">
        <f>'TEA Revised Non EYZ'!DZ56</f>
        <v>8382.1245272768647</v>
      </c>
      <c r="FK56">
        <f>'TEA Revised Non EYZ'!EA56</f>
        <v>8439.174952434063</v>
      </c>
      <c r="FL56">
        <f>'TEA Revised Non EYZ'!EB56</f>
        <v>850.26387389079548</v>
      </c>
      <c r="FM56">
        <f>'TEA Revised Non EYZ'!EC56</f>
        <v>38571.208497689258</v>
      </c>
      <c r="FN56">
        <f>'TEA Revised Non EYZ'!ED56</f>
        <v>34915.141103455695</v>
      </c>
      <c r="FO56">
        <f>'TEA Revised Non EYZ'!EE56</f>
        <v>14782.620225253419</v>
      </c>
      <c r="FP56">
        <f>'TEA Revised Non EYZ'!EF56</f>
        <v>7835.124680820405</v>
      </c>
      <c r="FQ56">
        <f>'TEA Revised Non EYZ'!EG56</f>
        <v>7884.0641201351591</v>
      </c>
      <c r="FR56">
        <f>'TEA Revised Non EYZ'!EH56</f>
        <v>426.92284212771074</v>
      </c>
      <c r="FS56">
        <f>'TEA Revised Non EYZ'!EI56</f>
        <v>216564.00122014419</v>
      </c>
      <c r="FT56">
        <f>EG56*EH56</f>
        <v>2528.0029303934457</v>
      </c>
      <c r="FU56">
        <f>EG56*EI56</f>
        <v>4524.8936399123077</v>
      </c>
      <c r="FV56">
        <f>FC56*(FT56+FU56)/(3.6*10^6)*3600*7200*0.07</f>
        <v>1777.3299357170501</v>
      </c>
      <c r="FW56">
        <f>('CAPEX+OPEX'!$C$39/7/100+0.03)*EL56</f>
        <v>91230.633665431043</v>
      </c>
      <c r="FX56">
        <f>('CAPEX+OPEX'!$C$39/7/100+0.03)*EM56</f>
        <v>163294.47607627226</v>
      </c>
      <c r="FY56">
        <f>SUM(FV56:FX56)</f>
        <v>256302.43967742036</v>
      </c>
      <c r="FZ56">
        <f>FY56+FA56+FS56+EU56</f>
        <v>16885389.43437735</v>
      </c>
      <c r="GA56">
        <f>FZ56+EO56</f>
        <v>17951414.385084528</v>
      </c>
      <c r="GB56">
        <f>GA56/(BK56*60*7200)</f>
        <v>0.41554199965473443</v>
      </c>
      <c r="GC56">
        <f>'TEA Revised Non EYZ'!EM56/'TEA Revised Non EYZ'!EK56*GA56</f>
        <v>1390.2252889653064</v>
      </c>
      <c r="GD56">
        <f>'TEA Revised Non EYZ'!EN56/'TEA Revised Non EYZ'!EK56*GA56</f>
        <v>2551.0229519308768</v>
      </c>
    </row>
    <row r="57" spans="1:186">
      <c r="A57">
        <f>'TEA Revised Non EYZ'!A57</f>
        <v>8</v>
      </c>
      <c r="B57">
        <f>'TEA Revised Non EYZ'!B57</f>
        <v>1.54143585092054E-3</v>
      </c>
      <c r="C57">
        <f>'TEA Revised Non EYZ'!C57</f>
        <v>1.54143585092054E-3</v>
      </c>
      <c r="D57">
        <f>'TEA Revised Non EYZ'!D57</f>
        <v>3.4254130020456501E-4</v>
      </c>
      <c r="E57">
        <f>'TEA Revised Non EYZ'!E57</f>
        <v>0</v>
      </c>
      <c r="F57">
        <f>'TEA Revised Non EYZ'!F57</f>
        <v>0</v>
      </c>
      <c r="G57">
        <f>'TEA Revised Non EYZ'!G57</f>
        <v>0</v>
      </c>
      <c r="H57">
        <f>'TEA Revised Non EYZ'!H57</f>
        <v>1.7762434284205799E-5</v>
      </c>
      <c r="I57">
        <f>'TEA Revised Non EYZ'!I57</f>
        <v>4.4591984978445998E-9</v>
      </c>
      <c r="J57">
        <f>'TEA Revised Non EYZ'!J57</f>
        <v>3.37570976171142E-4</v>
      </c>
      <c r="K57">
        <f>'TEA Revised Non EYZ'!K57</f>
        <v>0.13846015972746001</v>
      </c>
      <c r="L57">
        <f>'TEA Revised Non EYZ'!L57</f>
        <v>0.14007387303476199</v>
      </c>
      <c r="M57">
        <f>'TEA Revised Non EYZ'!M57</f>
        <v>4.5166625081916902E-4</v>
      </c>
      <c r="N57">
        <f>'TEA Revised Non EYZ'!N57</f>
        <v>-2.6107588313450902E-16</v>
      </c>
      <c r="O57">
        <f>'TEA Revised Non EYZ'!O57</f>
        <v>-1.18524981496115E-14</v>
      </c>
      <c r="P57">
        <f>'TEA Revised Non EYZ'!P57</f>
        <v>-2.5241581828178102E-19</v>
      </c>
      <c r="Q57">
        <f>'TEA Revised Non EYZ'!Q57</f>
        <v>0.110044175857931</v>
      </c>
      <c r="R57">
        <f>'TEA Revised Non EYZ'!R57</f>
        <v>98.548985471108097</v>
      </c>
      <c r="S57">
        <f>'TEA Revised Non EYZ'!S57</f>
        <v>500</v>
      </c>
      <c r="T57">
        <f>'TEA Revised Non EYZ'!T57</f>
        <v>95</v>
      </c>
      <c r="U57">
        <f>'TEA Revised Non EYZ'!U57</f>
        <v>1</v>
      </c>
      <c r="V57">
        <f>'TEA Revised Non EYZ'!V57</f>
        <v>0.1</v>
      </c>
      <c r="W57">
        <f>'TEA Revised Non EYZ'!W57</f>
        <v>90.872596591664205</v>
      </c>
      <c r="X57" t="str">
        <f>'TEA Revised Non EYZ'!X57</f>
        <v>ddFc</v>
      </c>
      <c r="Y57">
        <f>'TEA Revised Non EYZ'!Y57</f>
        <v>1</v>
      </c>
      <c r="Z57">
        <f>'TEA Revised Non EYZ'!Z57</f>
        <v>0.28318429382522198</v>
      </c>
      <c r="AA57">
        <f>'TEA Revised Non EYZ'!AA57</f>
        <v>0.56945642916197003</v>
      </c>
      <c r="AB57">
        <f>'TEA Revised Non EYZ'!AB57</f>
        <v>3.7698628972227502E-3</v>
      </c>
      <c r="AC57">
        <f>'TEA Revised Non EYZ'!AC57</f>
        <v>1822.2107908876901</v>
      </c>
      <c r="AD57">
        <f>'TEA Revised Non EYZ'!AD57</f>
        <v>2662.6059073104898</v>
      </c>
      <c r="AE57">
        <f>'TEA Revised Non EYZ'!AE57</f>
        <v>2401.5030938442701</v>
      </c>
      <c r="AF57">
        <f>'TEA Revised Non EYZ'!AF57</f>
        <v>9</v>
      </c>
      <c r="AG57">
        <f>'TEA Revised Non EYZ'!AG57</f>
        <v>1.6497294784823999E-3</v>
      </c>
      <c r="AH57">
        <f>'TEA Revised Non EYZ'!AH57</f>
        <v>1.66895660069658E-3</v>
      </c>
      <c r="AI57">
        <f>'TEA Revised Non EYZ'!AI57</f>
        <v>5.38152729188446E-6</v>
      </c>
      <c r="AJ57">
        <f>'TEA Revised Non EYZ'!AJ57</f>
        <v>0</v>
      </c>
      <c r="AK57">
        <f>'TEA Revised Non EYZ'!AK57</f>
        <v>0</v>
      </c>
      <c r="AL57">
        <f>'TEA Revised Non EYZ'!AL57</f>
        <v>0</v>
      </c>
      <c r="AM57">
        <f>'TEA Revised Non EYZ'!AM57</f>
        <v>1.61276595302466E-3</v>
      </c>
      <c r="AN57">
        <f>'TEA Revised Non EYZ'!AN57</f>
        <v>7.9536298223616001E-5</v>
      </c>
      <c r="AO57">
        <f>'TEA Revised Non EYZ'!AO57</f>
        <v>5.3461203241357404E-6</v>
      </c>
      <c r="AP57">
        <f>'TEA Revised Non EYZ'!AP57</f>
        <v>1.7337397232919901E-3</v>
      </c>
      <c r="AQ57">
        <f>'TEA Revised Non EYZ'!AQ57</f>
        <v>7.4550278451312305E-2</v>
      </c>
      <c r="AR57">
        <f>'TEA Revised Non EYZ'!AR57</f>
        <v>1.66073083417147E-6</v>
      </c>
      <c r="AS57">
        <f>'TEA Revised Non EYZ'!AS57</f>
        <v>3.9512392923518602E-17</v>
      </c>
      <c r="AT57">
        <f>'TEA Revised Non EYZ'!AT57</f>
        <v>-5.1148321689176102E-15</v>
      </c>
      <c r="AU57">
        <f>'TEA Revised Non EYZ'!AU57</f>
        <v>-1.7734752333136898E-21</v>
      </c>
      <c r="AV57">
        <f>'TEA Revised Non EYZ'!AV57</f>
        <v>0.19691039440255501</v>
      </c>
      <c r="AW57">
        <f>'TEA Revised Non EYZ'!AW57</f>
        <v>99.342064699697403</v>
      </c>
      <c r="AX57">
        <f>'TEA Revised Non EYZ'!AX57</f>
        <v>499.99999999999898</v>
      </c>
      <c r="AY57">
        <f>'TEA Revised Non EYZ'!AY57</f>
        <v>95</v>
      </c>
      <c r="AZ57">
        <f>'TEA Revised Non EYZ'!AZ57</f>
        <v>0.92358985913147196</v>
      </c>
      <c r="BA57">
        <f>'TEA Revised Non EYZ'!BA57</f>
        <v>0.1</v>
      </c>
      <c r="BB57">
        <f>'TEA Revised Non EYZ'!BB57</f>
        <v>46.904068316643603</v>
      </c>
      <c r="BC57" t="str">
        <f>'TEA Revised Non EYZ'!BC57</f>
        <v>coeFc</v>
      </c>
      <c r="BD57">
        <f>'TEA Revised Non EYZ'!BD57</f>
        <v>1</v>
      </c>
      <c r="BE57">
        <f>'TEA Revised Non EYZ'!BE57</f>
        <v>1.8775014999999999E-2</v>
      </c>
      <c r="BF57">
        <f>'TEA Revised Non EYZ'!BF57</f>
        <v>0.10492961100000001</v>
      </c>
      <c r="BG57">
        <f>'TEA Revised Non EYZ'!BG57</f>
        <v>1.814625E-3</v>
      </c>
      <c r="BH57">
        <f>'TEA Revised Non EYZ'!BH57</f>
        <v>285.1951444</v>
      </c>
      <c r="BI57">
        <f>'TEA Revised Non EYZ'!BI57</f>
        <v>2169.8944889999998</v>
      </c>
      <c r="BJ57">
        <f>'TEA Revised Non EYZ'!BJ57</f>
        <v>866.49409060000005</v>
      </c>
      <c r="BK57">
        <f>'TEA Revised Non EYZ'!BK57</f>
        <v>100</v>
      </c>
      <c r="BL57">
        <f>'TEA Revised Non EYZ'!BL57</f>
        <v>11.004417585793099</v>
      </c>
      <c r="BM57">
        <f>'TEA Revised Non EYZ'!BM57</f>
        <v>92.358985913147194</v>
      </c>
      <c r="BN57">
        <f>'TEA Revised Non EYZ'!BN57</f>
        <v>19.691039440255501</v>
      </c>
      <c r="BO57">
        <f>'TEA Revised Non EYZ'!BO57</f>
        <v>220.08835171586199</v>
      </c>
      <c r="BP57">
        <f>'TEA Revised Non EYZ'!BP57</f>
        <v>433.20286768562102</v>
      </c>
      <c r="BQ57">
        <f>'TEA Revised Non EYZ'!BQ57</f>
        <v>22.008835171586199</v>
      </c>
      <c r="BR57">
        <f>'TEA Revised Non EYZ'!BR57</f>
        <v>43.320286768562106</v>
      </c>
      <c r="BS57">
        <f>'eLLE Bals'!CF57</f>
        <v>6.6026505514758593</v>
      </c>
      <c r="BT57">
        <f>'eLLE Bals'!CG57</f>
        <v>11.8146236641533</v>
      </c>
      <c r="BU57">
        <f>BM57</f>
        <v>92.358985913147194</v>
      </c>
      <c r="BV57">
        <f>BU57*(AM57*2+AN57*2+AO57*3)</f>
        <v>0.31407992632277415</v>
      </c>
      <c r="BW57">
        <f>BN57*BA57*(AP57*2+AQ57*2+AR57*3)</f>
        <v>0.30043213256236673</v>
      </c>
      <c r="BX57">
        <f>BV57/(2*V57*BL57+BV57)</f>
        <v>0.1248844897276129</v>
      </c>
      <c r="BY57">
        <f>BU57*BX57</f>
        <v>11.534204827523176</v>
      </c>
      <c r="BZ57">
        <f>BW57/(2*BN57*BA57+BW57)</f>
        <v>7.0879369585833463E-2</v>
      </c>
      <c r="CA57">
        <f>2*BN57*BA57/0.04</f>
        <v>98.455197201277514</v>
      </c>
      <c r="CB57">
        <f>(BS57+BL57)*2</f>
        <v>35.214136274537921</v>
      </c>
      <c r="CC57">
        <f>(BU57+BL57)*2</f>
        <v>206.7268069978806</v>
      </c>
      <c r="CD57">
        <f>(BT57+BN57)*2</f>
        <v>63.011326208817607</v>
      </c>
      <c r="CE57">
        <f>(CA57+BN57)*2</f>
        <v>236.29247328306604</v>
      </c>
      <c r="CF57">
        <f>'TEA Revised Non EYZ'!CB57</f>
        <v>2905.1662426493785</v>
      </c>
      <c r="CG57">
        <f>'TEA Revised Non EYZ'!CC57</f>
        <v>5718.2778534501977</v>
      </c>
      <c r="CH57">
        <f>'TEA Revised Non EYZ'!CD57</f>
        <v>3509.9789962792502</v>
      </c>
      <c r="CI57">
        <f>'TEA Revised Non EYZ'!CE57</f>
        <v>44105.585314482967</v>
      </c>
      <c r="CJ57">
        <f>BL57*V57</f>
        <v>1.10044175857931</v>
      </c>
      <c r="CK57">
        <f>CJ57/2*1.2</f>
        <v>0.66026505514758604</v>
      </c>
      <c r="CL57">
        <f>'eLLE Bals'!CB57*'Oxidant Feed Composition'!$N$20</f>
        <v>3.668139195264368E-2</v>
      </c>
      <c r="CM57">
        <f>'eLLE Bals'!CB57*'Oxidant Feed Composition'!$N$21</f>
        <v>1.8340695976321835</v>
      </c>
      <c r="CN57">
        <f>'eLLE Bals'!CB57*'Oxidant Feed Composition'!$N$22</f>
        <v>0.55022087928965502</v>
      </c>
      <c r="CO57">
        <f>CN57/CK57</f>
        <v>0.83333333333333326</v>
      </c>
      <c r="CP57">
        <f>CO57</f>
        <v>0.83333333333333326</v>
      </c>
      <c r="CQ57">
        <f>CL57/CO57</f>
        <v>4.4017670343172423E-2</v>
      </c>
      <c r="CR57">
        <f>CM57/CO57</f>
        <v>2.2008835171586205</v>
      </c>
      <c r="CS57">
        <f>BN57*BA57</f>
        <v>1.9691039440255502</v>
      </c>
      <c r="CT57">
        <f>CS57/2*1.2</f>
        <v>1.1814623664153301</v>
      </c>
      <c r="CU57">
        <f>'eLLE Bals'!CC57*'Oxidant Feed Composition'!$N$20</f>
        <v>6.5636798134185034E-2</v>
      </c>
      <c r="CV57">
        <f>'eLLE Bals'!CC57*'Oxidant Feed Composition'!$N$21</f>
        <v>3.2818399067092505</v>
      </c>
      <c r="CW57">
        <f>'eLLE Bals'!CC57*'Oxidant Feed Composition'!$N$22</f>
        <v>0.98455197201277511</v>
      </c>
      <c r="CX57">
        <f>CU57/CP57</f>
        <v>7.8764157761022052E-2</v>
      </c>
      <c r="CY57">
        <f>CV57/CP57</f>
        <v>3.9382078880511009</v>
      </c>
      <c r="CZ57">
        <f>CJ57</f>
        <v>1.10044175857931</v>
      </c>
      <c r="DA57">
        <f>'eLLE Bals'!BQ57</f>
        <v>2.2008835171586201</v>
      </c>
      <c r="DB57">
        <f>'eLLE Bals'!BU57</f>
        <v>5.5103515063860158</v>
      </c>
      <c r="DC57">
        <f>CS57</f>
        <v>1.9691039440255502</v>
      </c>
      <c r="DD57">
        <f>'eLLE Bals'!BX57</f>
        <v>3.9382078880511004</v>
      </c>
      <c r="DE57">
        <f>'eLLE Bals'!CA57</f>
        <v>21.873747106956458</v>
      </c>
      <c r="DF57">
        <f>2*2*(CJ57*'Reagent cost'!$C$36*122.44/1000+CK57*'Oxidant Feed Composition'!$N$26+CQ57*'Reagent cost'!$C$34+CR57*'Reagent cost'!$C$35)</f>
        <v>92.951797184309328</v>
      </c>
      <c r="DG57">
        <f>2*2*(CS57*'Reagent cost'!$C$36*122.44/1000+CT57*'Oxidant Feed Composition'!$N$26+CX57*'Reagent cost'!$C$34+CY57*'Reagent cost'!$C$35)</f>
        <v>166.32570421190104</v>
      </c>
      <c r="DH57">
        <f>(AF57+3)*2*(CZ57*'Reagent cost'!$C$38+DA57*'Reagent cost'!$C$39+DB57*'Reagent cost'!$C$36*122.44/1000)</f>
        <v>1261.2437306955812</v>
      </c>
      <c r="DI57">
        <f>3*2*(DC57*'Reagent cost'!$C$38+DD57*'Reagent cost'!$C$39+DE57*'Reagent cost'!$C$36*122.44/1000)</f>
        <v>1187.48162988485</v>
      </c>
      <c r="DJ57">
        <f>7963.6*(CB57/1000)^0.6*1.7*('CAPEX+OPEX'!$G$116/'CAPEX+OPEX'!$G$115)</f>
        <v>2144.228934815284</v>
      </c>
      <c r="DK57">
        <f>7963.6*(CC57/1000)^0.6*1.7*('CAPEX+OPEX'!$G$116/'CAPEX+OPEX'!$G$115)</f>
        <v>6201.2466571653367</v>
      </c>
      <c r="DL57">
        <f>7963.6*(CD57/1000)^0.6*1.7*('CAPEX+OPEX'!$G$116/'CAPEX+OPEX'!$G$115)</f>
        <v>3040.1296154954202</v>
      </c>
      <c r="DM57">
        <f>7963.6*(CE57/1000)^0.6*1.7*('CAPEX+OPEX'!$G$116/'CAPEX+OPEX'!$G$115)</f>
        <v>6719.0962250785306</v>
      </c>
      <c r="DN57">
        <f>'TEA Revised Non EYZ'!CM57</f>
        <v>39625.826528698344</v>
      </c>
      <c r="DO57">
        <f>'TEA Revised Non EYZ'!CN57</f>
        <v>4586243.4239371875</v>
      </c>
      <c r="DP57">
        <f>'TEA Revised Non EYZ'!CO57</f>
        <v>11794834.586807497</v>
      </c>
      <c r="DQ57">
        <f>'TEA Revised Non EYZ'!CP57</f>
        <v>2275209.1661185985</v>
      </c>
      <c r="DR57">
        <f>'TEA Revised Non EYZ'!CQ57</f>
        <v>14083914.336508472</v>
      </c>
      <c r="DS57">
        <f>'TEA Revised Non EYZ'!CR57</f>
        <v>1662824.8986326549</v>
      </c>
      <c r="DT57">
        <f>'TEA Revised Non EYZ'!CS57</f>
        <v>751295.09040276916</v>
      </c>
      <c r="DU57">
        <f>'TEA Revised Non EYZ'!CT57</f>
        <v>1932169.8606163235</v>
      </c>
      <c r="DV57">
        <f>'TEA Revised Non EYZ'!CU57</f>
        <v>372713.20297186484</v>
      </c>
      <c r="DW57">
        <f>'TEA Revised Non EYZ'!CV57</f>
        <v>2307155.2721002945</v>
      </c>
      <c r="DX57">
        <f>'TEA Revised Non EYZ'!CW57</f>
        <v>272395.52441150707</v>
      </c>
      <c r="DY57">
        <f>'TEA Revised Non EYZ'!CX57</f>
        <v>5635728.9505027588</v>
      </c>
      <c r="DZ57">
        <f>'TEA Revised Non EYZ'!CY57</f>
        <v>755805.48146542325</v>
      </c>
      <c r="EA57">
        <f>'TEA Revised Non EYZ'!CZ57</f>
        <v>1943769.6191961134</v>
      </c>
      <c r="EB57">
        <f>'TEA Revised Non EYZ'!DA57</f>
        <v>374950.78221481753</v>
      </c>
      <c r="EC57">
        <f>'TEA Revised Non EYZ'!DB57</f>
        <v>2321006.2510995818</v>
      </c>
      <c r="ED57">
        <f>'TEA Revised Non EYZ'!DC57</f>
        <v>274030.84767463926</v>
      </c>
      <c r="EE57">
        <f>'TEA Revised Non EYZ'!DD57</f>
        <v>5669562.9816505751</v>
      </c>
      <c r="EF57">
        <v>0.7</v>
      </c>
      <c r="EG57">
        <v>100</v>
      </c>
      <c r="EH57">
        <f>96485*BL57*V57/EF57/EG57/60</f>
        <v>25.280029303934459</v>
      </c>
      <c r="EI57">
        <f>96485*BN57*BA57/EF57/EG57/60</f>
        <v>45.235474771263156</v>
      </c>
      <c r="EJ57">
        <f>EH57*('CAPEX+OPEX'!$O$25+'CAPEX+OPEX'!$O$26)</f>
        <v>805725.09397499904</v>
      </c>
      <c r="EK57">
        <f>EI57*('CAPEX+OPEX'!$O$25+'CAPEX+OPEX'!$O$26)</f>
        <v>1441745.0519096993</v>
      </c>
      <c r="EL57">
        <f>EJ57*1.12/0.6*'CAPEX+OPEX'!$G$116/'CAPEX+OPEX'!$G$115</f>
        <v>1773928.987938937</v>
      </c>
      <c r="EM57">
        <f>EK57*1.12/0.6*'CAPEX+OPEX'!$G$116/'CAPEX+OPEX'!$G$115</f>
        <v>3174225.7501036725</v>
      </c>
      <c r="EN57">
        <f>EL57+EM57+DY57+EE57+1.15*(SUM(DF57:DM57)+SUM(CF57:CI57))</f>
        <v>16342056.139802547</v>
      </c>
      <c r="EO57">
        <f>EN57/15</f>
        <v>1089470.4093201698</v>
      </c>
      <c r="EP57">
        <f>('eLLE Bals'!CB57+'eLLE Bals'!CC57)*'Oxidant Feed Composition'!$N$25*60*7200</f>
        <v>12360342.280517908</v>
      </c>
      <c r="EQ57" s="83">
        <f>('eLLE Bals'!BR57+'eLLE Bals'!BY57)*'Reagent cost'!$C$38*60*7200</f>
        <v>505443.21093471698</v>
      </c>
      <c r="ER57">
        <f>'TEA Revised Non EYZ'!DI57</f>
        <v>504921.59999999998</v>
      </c>
      <c r="ES57">
        <f>'TEA Revised Non EYZ'!DJ57</f>
        <v>86.234440960995769</v>
      </c>
      <c r="ET57">
        <f>'TEA Revised Non EYZ'!DK57</f>
        <v>952.31128621524431</v>
      </c>
      <c r="EU57">
        <f>1.2*SUM(EP57:ET57)</f>
        <v>16046094.764615761</v>
      </c>
      <c r="EV57">
        <f>'TEA Revised Non EYZ'!DM57</f>
        <v>0.70639694042110623</v>
      </c>
      <c r="EW57">
        <f>(BS57*CO57+BT57*CP57)/1000*('Oxidant Feed Composition'!$B$11*'Oxidant Feed Composition'!$O$20+'Oxidant Feed Composition'!$D$11*'Oxidant Feed Composition'!$O$21+'Oxidant Feed Composition'!$F$11*'Oxidant Feed Composition'!$O$27-'Oxidant Feed Composition'!$J$15*18.015)</f>
        <v>1.7923774144384261</v>
      </c>
      <c r="EX57">
        <f>(CZ57*BX57+DC57*BZ57)*368.34/1000</f>
        <v>0.10202905792462164</v>
      </c>
      <c r="EY57">
        <f>'TEA Revised Non EYZ'!DP57</f>
        <v>4.999938342565946E-2</v>
      </c>
      <c r="EZ57">
        <f>SUM(EV57:EX57)-EY57</f>
        <v>2.5508040293584946</v>
      </c>
      <c r="FA57">
        <f>EZ57*0.33*60*7200</f>
        <v>363642.62242534704</v>
      </c>
      <c r="FB57">
        <f>'TEA Revised Non EYZ'!DS57</f>
        <v>1.2</v>
      </c>
      <c r="FC57">
        <v>0.5</v>
      </c>
      <c r="FD57">
        <f>'TEA Revised Non EYZ'!DT57</f>
        <v>1405.8939209566693</v>
      </c>
      <c r="FE57">
        <f>'TEA Revised Non EYZ'!DU57</f>
        <v>705.85660100448581</v>
      </c>
      <c r="FF57">
        <f>'TEA Revised Non EYZ'!DV57</f>
        <v>0.7</v>
      </c>
      <c r="FG57">
        <f>'TEA Revised Non EYZ'!DW57</f>
        <v>41280.414286181804</v>
      </c>
      <c r="FH57">
        <f>'TEA Revised Non EYZ'!DX57</f>
        <v>37373.489075065132</v>
      </c>
      <c r="FI57">
        <f>'TEA Revised Non EYZ'!DY57</f>
        <v>15823.453035813865</v>
      </c>
      <c r="FJ57">
        <f>'TEA Revised Non EYZ'!DZ57</f>
        <v>8382.1245272768647</v>
      </c>
      <c r="FK57">
        <f>'TEA Revised Non EYZ'!EA57</f>
        <v>8439.174952434063</v>
      </c>
      <c r="FL57">
        <f>'TEA Revised Non EYZ'!EB57</f>
        <v>850.28464339459367</v>
      </c>
      <c r="FM57">
        <f>'TEA Revised Non EYZ'!EC57</f>
        <v>41142.622397535211</v>
      </c>
      <c r="FN57">
        <f>'TEA Revised Non EYZ'!ED57</f>
        <v>38794.601226061888</v>
      </c>
      <c r="FO57">
        <f>'TEA Revised Non EYZ'!EE57</f>
        <v>16425.133583614912</v>
      </c>
      <c r="FP57">
        <f>'TEA Revised Non EYZ'!EF57</f>
        <v>8705.6940898004505</v>
      </c>
      <c r="FQ57">
        <f>'TEA Revised Non EYZ'!EG57</f>
        <v>8760.071244594621</v>
      </c>
      <c r="FR57">
        <f>'TEA Revised Non EYZ'!EH57</f>
        <v>426.90207228751308</v>
      </c>
      <c r="FS57">
        <f>'TEA Revised Non EYZ'!EI57</f>
        <v>226403.96513406091</v>
      </c>
      <c r="FT57">
        <f>EG57*EH57</f>
        <v>2528.0029303934457</v>
      </c>
      <c r="FU57">
        <f>EG57*EI57</f>
        <v>4523.5474771263152</v>
      </c>
      <c r="FV57">
        <f>FC57*(FT57+FU57)/(3.6*10^6)*3600*7200*0.07</f>
        <v>1776.9907026949797</v>
      </c>
      <c r="FW57">
        <f>('CAPEX+OPEX'!$C$39/7/100+0.03)*EL57</f>
        <v>91230.633665431043</v>
      </c>
      <c r="FX57">
        <f>('CAPEX+OPEX'!$C$39/7/100+0.03)*EM57</f>
        <v>163245.89571961743</v>
      </c>
      <c r="FY57">
        <f>SUM(FV57:FX57)</f>
        <v>256253.52008774347</v>
      </c>
      <c r="FZ57">
        <f>FY57+FA57+FS57+EU57</f>
        <v>16892394.872262914</v>
      </c>
      <c r="GA57">
        <f>FZ57+EO57</f>
        <v>17981865.281583082</v>
      </c>
      <c r="GB57">
        <f>GA57/(BK57*60*7200)</f>
        <v>0.41624688151812689</v>
      </c>
      <c r="GC57">
        <f>'TEA Revised Non EYZ'!EM57/'TEA Revised Non EYZ'!EK57*GA57</f>
        <v>1392.5494840650849</v>
      </c>
      <c r="GD57">
        <f>'TEA Revised Non EYZ'!EN57/'TEA Revised Non EYZ'!EK57*GA57</f>
        <v>2555.4648571552352</v>
      </c>
    </row>
    <row r="58" spans="1:186">
      <c r="A58">
        <f>'TEA Revised Non EYZ'!A58</f>
        <v>8</v>
      </c>
      <c r="B58">
        <f>'TEA Revised Non EYZ'!B58</f>
        <v>1.54143585092054E-3</v>
      </c>
      <c r="C58">
        <f>'TEA Revised Non EYZ'!C58</f>
        <v>1.54143585092054E-3</v>
      </c>
      <c r="D58">
        <f>'TEA Revised Non EYZ'!D58</f>
        <v>3.4254130020456501E-4</v>
      </c>
      <c r="E58">
        <f>'TEA Revised Non EYZ'!E58</f>
        <v>0</v>
      </c>
      <c r="F58">
        <f>'TEA Revised Non EYZ'!F58</f>
        <v>0</v>
      </c>
      <c r="G58">
        <f>'TEA Revised Non EYZ'!G58</f>
        <v>0</v>
      </c>
      <c r="H58">
        <f>'TEA Revised Non EYZ'!H58</f>
        <v>1.7762434284205799E-5</v>
      </c>
      <c r="I58">
        <f>'TEA Revised Non EYZ'!I58</f>
        <v>4.4591984978445998E-9</v>
      </c>
      <c r="J58">
        <f>'TEA Revised Non EYZ'!J58</f>
        <v>3.37570976171142E-4</v>
      </c>
      <c r="K58">
        <f>'TEA Revised Non EYZ'!K58</f>
        <v>0.13846015972746001</v>
      </c>
      <c r="L58">
        <f>'TEA Revised Non EYZ'!L58</f>
        <v>0.14007387303476199</v>
      </c>
      <c r="M58">
        <f>'TEA Revised Non EYZ'!M58</f>
        <v>4.5166625081916902E-4</v>
      </c>
      <c r="N58">
        <f>'TEA Revised Non EYZ'!N58</f>
        <v>-2.6107588313450902E-16</v>
      </c>
      <c r="O58">
        <f>'TEA Revised Non EYZ'!O58</f>
        <v>-1.18524981496115E-14</v>
      </c>
      <c r="P58">
        <f>'TEA Revised Non EYZ'!P58</f>
        <v>-2.5241581828178102E-19</v>
      </c>
      <c r="Q58">
        <f>'TEA Revised Non EYZ'!Q58</f>
        <v>0.110044175857931</v>
      </c>
      <c r="R58">
        <f>'TEA Revised Non EYZ'!R58</f>
        <v>98.548985471108097</v>
      </c>
      <c r="S58">
        <f>'TEA Revised Non EYZ'!S58</f>
        <v>500</v>
      </c>
      <c r="T58">
        <f>'TEA Revised Non EYZ'!T58</f>
        <v>95</v>
      </c>
      <c r="U58">
        <f>'TEA Revised Non EYZ'!U58</f>
        <v>1</v>
      </c>
      <c r="V58">
        <f>'TEA Revised Non EYZ'!V58</f>
        <v>0.1</v>
      </c>
      <c r="W58">
        <f>'TEA Revised Non EYZ'!W58</f>
        <v>90.872596591664205</v>
      </c>
      <c r="X58" t="str">
        <f>'TEA Revised Non EYZ'!X58</f>
        <v>ddFc</v>
      </c>
      <c r="Y58">
        <f>'TEA Revised Non EYZ'!Y58</f>
        <v>1</v>
      </c>
      <c r="Z58">
        <f>'TEA Revised Non EYZ'!Z58</f>
        <v>0.28318429382522198</v>
      </c>
      <c r="AA58">
        <f>'TEA Revised Non EYZ'!AA58</f>
        <v>0.56945642916197003</v>
      </c>
      <c r="AB58">
        <f>'TEA Revised Non EYZ'!AB58</f>
        <v>3.7698628972227502E-3</v>
      </c>
      <c r="AC58">
        <f>'TEA Revised Non EYZ'!AC58</f>
        <v>1822.2107908876901</v>
      </c>
      <c r="AD58">
        <f>'TEA Revised Non EYZ'!AD58</f>
        <v>2662.6059073104898</v>
      </c>
      <c r="AE58">
        <f>'TEA Revised Non EYZ'!AE58</f>
        <v>2401.5030938442701</v>
      </c>
      <c r="AF58">
        <f>'TEA Revised Non EYZ'!AF58</f>
        <v>10</v>
      </c>
      <c r="AG58">
        <f>'TEA Revised Non EYZ'!AG58</f>
        <v>1.6497294784823999E-3</v>
      </c>
      <c r="AH58">
        <f>'TEA Revised Non EYZ'!AH58</f>
        <v>1.66895660069658E-3</v>
      </c>
      <c r="AI58">
        <f>'TEA Revised Non EYZ'!AI58</f>
        <v>5.38152729188446E-6</v>
      </c>
      <c r="AJ58">
        <f>'TEA Revised Non EYZ'!AJ58</f>
        <v>0</v>
      </c>
      <c r="AK58">
        <f>'TEA Revised Non EYZ'!AK58</f>
        <v>0</v>
      </c>
      <c r="AL58">
        <f>'TEA Revised Non EYZ'!AL58</f>
        <v>0</v>
      </c>
      <c r="AM58">
        <f>'TEA Revised Non EYZ'!AM58</f>
        <v>1.61277705008137E-3</v>
      </c>
      <c r="AN58">
        <f>'TEA Revised Non EYZ'!AN58</f>
        <v>7.9536872122754404E-5</v>
      </c>
      <c r="AO58">
        <f>'TEA Revised Non EYZ'!AO58</f>
        <v>5.3461305122899801E-6</v>
      </c>
      <c r="AP58">
        <f>'TEA Revised Non EYZ'!AP58</f>
        <v>1.73336444614092E-3</v>
      </c>
      <c r="AQ58">
        <f>'TEA Revised Non EYZ'!AQ58</f>
        <v>7.4556497867205695E-2</v>
      </c>
      <c r="AR58">
        <f>'TEA Revised Non EYZ'!AR58</f>
        <v>1.6603920749814E-6</v>
      </c>
      <c r="AS58">
        <f>'TEA Revised Non EYZ'!AS58</f>
        <v>6.41926968395281E-15</v>
      </c>
      <c r="AT58">
        <f>'TEA Revised Non EYZ'!AT58</f>
        <v>-6.6401007955962902E-13</v>
      </c>
      <c r="AU58">
        <f>'TEA Revised Non EYZ'!AU58</f>
        <v>6.1661351582152895E-20</v>
      </c>
      <c r="AV58">
        <f>'TEA Revised Non EYZ'!AV58</f>
        <v>0.19689389736263299</v>
      </c>
      <c r="AW58">
        <f>'TEA Revised Non EYZ'!AW58</f>
        <v>99.342254016850205</v>
      </c>
      <c r="AX58">
        <f>'TEA Revised Non EYZ'!AX58</f>
        <v>499.99999999999898</v>
      </c>
      <c r="AY58">
        <f>'TEA Revised Non EYZ'!AY58</f>
        <v>95</v>
      </c>
      <c r="AZ58">
        <f>'TEA Revised Non EYZ'!AZ58</f>
        <v>0.92358985913147196</v>
      </c>
      <c r="BA58">
        <f>'TEA Revised Non EYZ'!BA58</f>
        <v>0.1</v>
      </c>
      <c r="BB58">
        <f>'TEA Revised Non EYZ'!BB58</f>
        <v>46.907998241836403</v>
      </c>
      <c r="BC58" t="str">
        <f>'TEA Revised Non EYZ'!BC58</f>
        <v>coeFc</v>
      </c>
      <c r="BD58">
        <f>'TEA Revised Non EYZ'!BD58</f>
        <v>1</v>
      </c>
      <c r="BE58">
        <f>'TEA Revised Non EYZ'!BE58</f>
        <v>1.8775014999999999E-2</v>
      </c>
      <c r="BF58">
        <f>'TEA Revised Non EYZ'!BF58</f>
        <v>0.10492961100000001</v>
      </c>
      <c r="BG58">
        <f>'TEA Revised Non EYZ'!BG58</f>
        <v>1.814625E-3</v>
      </c>
      <c r="BH58">
        <f>'TEA Revised Non EYZ'!BH58</f>
        <v>285.1951444</v>
      </c>
      <c r="BI58">
        <f>'TEA Revised Non EYZ'!BI58</f>
        <v>2169.8944889999998</v>
      </c>
      <c r="BJ58">
        <f>'TEA Revised Non EYZ'!BJ58</f>
        <v>866.49409060000005</v>
      </c>
      <c r="BK58">
        <f>'TEA Revised Non EYZ'!BK58</f>
        <v>100</v>
      </c>
      <c r="BL58">
        <f>'TEA Revised Non EYZ'!BL58</f>
        <v>11.004417585793099</v>
      </c>
      <c r="BM58">
        <f>'TEA Revised Non EYZ'!BM58</f>
        <v>92.358985913147194</v>
      </c>
      <c r="BN58">
        <f>'TEA Revised Non EYZ'!BN58</f>
        <v>19.689389736263298</v>
      </c>
      <c r="BO58">
        <f>'TEA Revised Non EYZ'!BO58</f>
        <v>220.08835171586199</v>
      </c>
      <c r="BP58">
        <f>'TEA Revised Non EYZ'!BP58</f>
        <v>472.54535367031917</v>
      </c>
      <c r="BQ58">
        <f>'TEA Revised Non EYZ'!BQ58</f>
        <v>22.008835171586199</v>
      </c>
      <c r="BR58">
        <f>'TEA Revised Non EYZ'!BR58</f>
        <v>47.25453536703192</v>
      </c>
      <c r="BS58">
        <f>'eLLE Bals'!CF58</f>
        <v>6.6026505514758593</v>
      </c>
      <c r="BT58">
        <f>'eLLE Bals'!CG58</f>
        <v>11.813633841757978</v>
      </c>
      <c r="BU58">
        <f>BM58</f>
        <v>92.358985913147194</v>
      </c>
      <c r="BV58">
        <f>BU58*(AM58*2+AN58*2+AO58*3)</f>
        <v>0.31408208498097057</v>
      </c>
      <c r="BW58">
        <f>BN58*BA58*(AP58*2+AQ58*2+AR58*3)</f>
        <v>0.3004299740346732</v>
      </c>
      <c r="BX58">
        <f>BV58/(2*V58*BL58+BV58)</f>
        <v>0.12488524086125363</v>
      </c>
      <c r="BY58">
        <f>BU58*BX58</f>
        <v>11.534274201464518</v>
      </c>
      <c r="BZ58">
        <f>BW58/(2*BN58*BA58+BW58)</f>
        <v>7.0884414161069567E-2</v>
      </c>
      <c r="CA58">
        <f>2*BN58*BA58/0.04</f>
        <v>98.446948681316485</v>
      </c>
      <c r="CB58">
        <f>(BS58+BL58)*2</f>
        <v>35.214136274537921</v>
      </c>
      <c r="CC58">
        <f>(BU58+BL58)*2</f>
        <v>206.7268069978806</v>
      </c>
      <c r="CD58">
        <f>(BT58+BN58)*2</f>
        <v>63.006047156042555</v>
      </c>
      <c r="CE58">
        <f>(CA58+BN58)*2</f>
        <v>236.27267683515956</v>
      </c>
      <c r="CF58">
        <f>'TEA Revised Non EYZ'!CB58</f>
        <v>2905.1662426493785</v>
      </c>
      <c r="CG58">
        <f>'TEA Revised Non EYZ'!CC58</f>
        <v>6237.5986684482132</v>
      </c>
      <c r="CH58">
        <f>'TEA Revised Non EYZ'!CD58</f>
        <v>3509.9789962792502</v>
      </c>
      <c r="CI58">
        <f>'TEA Revised Non EYZ'!CE58</f>
        <v>48111.152916914485</v>
      </c>
      <c r="CJ58">
        <f>BL58*V58</f>
        <v>1.10044175857931</v>
      </c>
      <c r="CK58">
        <f>CJ58/2*1.2</f>
        <v>0.66026505514758604</v>
      </c>
      <c r="CL58">
        <f>'eLLE Bals'!CB58*'Oxidant Feed Composition'!$N$20</f>
        <v>3.668139195264368E-2</v>
      </c>
      <c r="CM58">
        <f>'eLLE Bals'!CB58*'Oxidant Feed Composition'!$N$21</f>
        <v>1.8340695976321835</v>
      </c>
      <c r="CN58">
        <f>'eLLE Bals'!CB58*'Oxidant Feed Composition'!$N$22</f>
        <v>0.55022087928965502</v>
      </c>
      <c r="CO58">
        <f>CN58/CK58</f>
        <v>0.83333333333333326</v>
      </c>
      <c r="CP58">
        <f>CO58</f>
        <v>0.83333333333333326</v>
      </c>
      <c r="CQ58">
        <f>CL58/CO58</f>
        <v>4.4017670343172423E-2</v>
      </c>
      <c r="CR58">
        <f>CM58/CO58</f>
        <v>2.2008835171586205</v>
      </c>
      <c r="CS58">
        <f>BN58*BA58</f>
        <v>1.9689389736263299</v>
      </c>
      <c r="CT58">
        <f>CS58/2*1.2</f>
        <v>1.1813633841757978</v>
      </c>
      <c r="CU58">
        <f>'eLLE Bals'!CC58*'Oxidant Feed Composition'!$N$20</f>
        <v>6.5631299120877687E-2</v>
      </c>
      <c r="CV58">
        <f>'eLLE Bals'!CC58*'Oxidant Feed Composition'!$N$21</f>
        <v>3.2815649560438831</v>
      </c>
      <c r="CW58">
        <f>'eLLE Bals'!CC58*'Oxidant Feed Composition'!$N$22</f>
        <v>0.98446948681316493</v>
      </c>
      <c r="CX58">
        <f>CU58/CP58</f>
        <v>7.8757558945053235E-2</v>
      </c>
      <c r="CY58">
        <f>CV58/CP58</f>
        <v>3.9378779472526602</v>
      </c>
      <c r="CZ58">
        <f>CJ58</f>
        <v>1.10044175857931</v>
      </c>
      <c r="DA58">
        <f>'eLLE Bals'!BQ58</f>
        <v>2.2008835171586201</v>
      </c>
      <c r="DB58">
        <f>'eLLE Bals'!BU58</f>
        <v>5.5102985086689795</v>
      </c>
      <c r="DC58">
        <f>CS58</f>
        <v>1.9689389736263299</v>
      </c>
      <c r="DD58">
        <f>'eLLE Bals'!BX58</f>
        <v>3.9378779472526597</v>
      </c>
      <c r="DE58">
        <f>'eLLE Bals'!CA58</f>
        <v>21.869937629879374</v>
      </c>
      <c r="DF58">
        <f>2*2*(CJ58*'Reagent cost'!$C$36*122.44/1000+CK58*'Oxidant Feed Composition'!$N$26+CQ58*'Reagent cost'!$C$34+CR58*'Reagent cost'!$C$35)</f>
        <v>92.951797184309328</v>
      </c>
      <c r="DG58">
        <f>2*2*(CS58*'Reagent cost'!$C$36*122.44/1000+CT58*'Oxidant Feed Composition'!$N$26+CX58*'Reagent cost'!$C$34+CY58*'Reagent cost'!$C$35)</f>
        <v>166.31176953978397</v>
      </c>
      <c r="DH58">
        <f>(AF58+3)*2*(CZ58*'Reagent cost'!$C$38+DA58*'Reagent cost'!$C$39+DB58*'Reagent cost'!$C$36*122.44/1000)</f>
        <v>1366.3354602632182</v>
      </c>
      <c r="DI58">
        <f>3*2*(DC58*'Reagent cost'!$C$38+DD58*'Reagent cost'!$C$39+DE58*'Reagent cost'!$C$36*122.44/1000)</f>
        <v>1187.2795808679289</v>
      </c>
      <c r="DJ58">
        <f>7963.6*(CB58/1000)^0.6*1.7*('CAPEX+OPEX'!$G$116/'CAPEX+OPEX'!$G$115)</f>
        <v>2144.228934815284</v>
      </c>
      <c r="DK58">
        <f>7963.6*(CC58/1000)^0.6*1.7*('CAPEX+OPEX'!$G$116/'CAPEX+OPEX'!$G$115)</f>
        <v>6201.2466571653367</v>
      </c>
      <c r="DL58">
        <f>7963.6*(CD58/1000)^0.6*1.7*('CAPEX+OPEX'!$G$116/'CAPEX+OPEX'!$G$115)</f>
        <v>3039.9767927452131</v>
      </c>
      <c r="DM58">
        <f>7963.6*(CE58/1000)^0.6*1.7*('CAPEX+OPEX'!$G$116/'CAPEX+OPEX'!$G$115)</f>
        <v>6718.758466201808</v>
      </c>
      <c r="DN58">
        <f>'TEA Revised Non EYZ'!CM58</f>
        <v>39625.826528698344</v>
      </c>
      <c r="DO58">
        <f>'TEA Revised Non EYZ'!CN58</f>
        <v>4586243.4239371875</v>
      </c>
      <c r="DP58">
        <f>'TEA Revised Non EYZ'!CO58</f>
        <v>11794834.586807497</v>
      </c>
      <c r="DQ58">
        <f>'TEA Revised Non EYZ'!CP58</f>
        <v>2275209.1661185985</v>
      </c>
      <c r="DR58">
        <f>'TEA Revised Non EYZ'!CQ58</f>
        <v>14083914.336508472</v>
      </c>
      <c r="DS58">
        <f>'TEA Revised Non EYZ'!CR58</f>
        <v>1662824.8986326549</v>
      </c>
      <c r="DT58">
        <f>'TEA Revised Non EYZ'!CS58</f>
        <v>751295.09040276916</v>
      </c>
      <c r="DU58">
        <f>'TEA Revised Non EYZ'!CT58</f>
        <v>1932169.8606163235</v>
      </c>
      <c r="DV58">
        <f>'TEA Revised Non EYZ'!CU58</f>
        <v>372713.20297186484</v>
      </c>
      <c r="DW58">
        <f>'TEA Revised Non EYZ'!CV58</f>
        <v>2307155.2721002945</v>
      </c>
      <c r="DX58">
        <f>'TEA Revised Non EYZ'!CW58</f>
        <v>272395.52441150707</v>
      </c>
      <c r="DY58">
        <f>'TEA Revised Non EYZ'!CX58</f>
        <v>5635728.9505027588</v>
      </c>
      <c r="DZ58">
        <f>'TEA Revised Non EYZ'!CY58</f>
        <v>800286.7903035864</v>
      </c>
      <c r="EA58">
        <f>'TEA Revised Non EYZ'!CZ58</f>
        <v>2058166.0067084958</v>
      </c>
      <c r="EB58">
        <f>'TEA Revised Non EYZ'!DA58</f>
        <v>397017.70545341435</v>
      </c>
      <c r="EC58">
        <f>'TEA Revised Non EYZ'!DB58</f>
        <v>2457604.0906260884</v>
      </c>
      <c r="ED58">
        <f>'TEA Revised Non EYZ'!DC58</f>
        <v>290158.34484886675</v>
      </c>
      <c r="EE58">
        <f>'TEA Revised Non EYZ'!DD58</f>
        <v>6003232.9379404513</v>
      </c>
      <c r="EF58">
        <v>0.7</v>
      </c>
      <c r="EG58">
        <v>100</v>
      </c>
      <c r="EH58">
        <f>96485*BL58*V58/EF58/EG58/60</f>
        <v>25.280029303934459</v>
      </c>
      <c r="EI58">
        <f>96485*BN58*BA58/EF58/EG58/60</f>
        <v>45.23168496912772</v>
      </c>
      <c r="EJ58">
        <f>EH58*('CAPEX+OPEX'!$O$25+'CAPEX+OPEX'!$O$26)</f>
        <v>805725.09397499904</v>
      </c>
      <c r="EK58">
        <f>EI58*('CAPEX+OPEX'!$O$25+'CAPEX+OPEX'!$O$26)</f>
        <v>1441624.2633360387</v>
      </c>
      <c r="EL58">
        <f>EJ58*1.12/0.6*'CAPEX+OPEX'!$G$116/'CAPEX+OPEX'!$G$115</f>
        <v>1773928.987938937</v>
      </c>
      <c r="EM58">
        <f>EK58*1.12/0.6*'CAPEX+OPEX'!$G$116/'CAPEX+OPEX'!$G$115</f>
        <v>3173959.8152906322</v>
      </c>
      <c r="EN58">
        <f>EL58+EM58+DY58+EE58+1.15*(SUM(DF58:DM58)+SUM(CF58:CI58))</f>
        <v>16680783.825898316</v>
      </c>
      <c r="EO58">
        <f>EN58/15</f>
        <v>1112052.2550598877</v>
      </c>
      <c r="EP58">
        <f>('eLLE Bals'!CB58+'eLLE Bals'!CC58)*'Oxidant Feed Composition'!$N$25*60*7200</f>
        <v>12359677.983322794</v>
      </c>
      <c r="EQ58" s="83">
        <f>('eLLE Bals'!BR58+'eLLE Bals'!BY58)*'Reagent cost'!$C$38*60*7200</f>
        <v>505441.50671787246</v>
      </c>
      <c r="ER58">
        <f>'TEA Revised Non EYZ'!DI58</f>
        <v>504921.59999999998</v>
      </c>
      <c r="ES58">
        <f>'TEA Revised Non EYZ'!DJ58</f>
        <v>91.427649110975906</v>
      </c>
      <c r="ET58">
        <f>'TEA Revised Non EYZ'!DK58</f>
        <v>1032.4226382638747</v>
      </c>
      <c r="EU58">
        <f>1.2*SUM(EP58:ET58)</f>
        <v>16045397.928393647</v>
      </c>
      <c r="EV58">
        <f>'TEA Revised Non EYZ'!DM58</f>
        <v>0.70639694042110623</v>
      </c>
      <c r="EW58">
        <f>(BS58*CO58+BT58*CP58)/1000*('Oxidant Feed Composition'!$B$11*'Oxidant Feed Composition'!$O$20+'Oxidant Feed Composition'!$D$11*'Oxidant Feed Composition'!$O$21+'Oxidant Feed Composition'!$F$11*'Oxidant Feed Composition'!$O$27-'Oxidant Feed Composition'!$J$15*18.015)</f>
        <v>1.7922810844774935</v>
      </c>
      <c r="EX58">
        <f>(CZ58*BX58+DC58*BZ58)*368.34/1000</f>
        <v>0.10202871391042702</v>
      </c>
      <c r="EY58">
        <f>'TEA Revised Non EYZ'!DP58</f>
        <v>4.999938342565946E-2</v>
      </c>
      <c r="EZ58">
        <f>SUM(EV58:EX58)-EY58</f>
        <v>2.5507073553833672</v>
      </c>
      <c r="FA58">
        <f>EZ58*0.33*60*7200</f>
        <v>363628.8405834529</v>
      </c>
      <c r="FB58">
        <f>'TEA Revised Non EYZ'!DS58</f>
        <v>1.2</v>
      </c>
      <c r="FC58">
        <v>0.5</v>
      </c>
      <c r="FD58">
        <f>'TEA Revised Non EYZ'!DT58</f>
        <v>1405.9035889466509</v>
      </c>
      <c r="FE58">
        <f>'TEA Revised Non EYZ'!DU58</f>
        <v>705.84693331136953</v>
      </c>
      <c r="FF58">
        <f>'TEA Revised Non EYZ'!DV58</f>
        <v>0.7</v>
      </c>
      <c r="FG58">
        <f>'TEA Revised Non EYZ'!DW58</f>
        <v>41280.414286181804</v>
      </c>
      <c r="FH58">
        <f>'TEA Revised Non EYZ'!DX58</f>
        <v>37373.489075065132</v>
      </c>
      <c r="FI58">
        <f>'TEA Revised Non EYZ'!DY58</f>
        <v>15823.453035813865</v>
      </c>
      <c r="FJ58">
        <f>'TEA Revised Non EYZ'!DZ58</f>
        <v>8382.1245272768647</v>
      </c>
      <c r="FK58">
        <f>'TEA Revised Non EYZ'!EA58</f>
        <v>8439.174952434063</v>
      </c>
      <c r="FL58">
        <f>'TEA Revised Non EYZ'!EB58</f>
        <v>850.29049059493457</v>
      </c>
      <c r="FM58">
        <f>'TEA Revised Non EYZ'!EC58</f>
        <v>43714.036297381164</v>
      </c>
      <c r="FN58">
        <f>'TEA Revised Non EYZ'!ED58</f>
        <v>42674.061348668067</v>
      </c>
      <c r="FO58">
        <f>'TEA Revised Non EYZ'!EE58</f>
        <v>18067.6469419764</v>
      </c>
      <c r="FP58">
        <f>'TEA Revised Non EYZ'!EF58</f>
        <v>9576.263498780494</v>
      </c>
      <c r="FQ58">
        <f>'TEA Revised Non EYZ'!EG58</f>
        <v>9636.0783690540829</v>
      </c>
      <c r="FR58">
        <f>'TEA Revised Non EYZ'!EH58</f>
        <v>426.89622526671633</v>
      </c>
      <c r="FS58">
        <f>'TEA Revised Non EYZ'!EI58</f>
        <v>236243.92904849356</v>
      </c>
      <c r="FT58">
        <f>EG58*EH58</f>
        <v>2528.0029303934457</v>
      </c>
      <c r="FU58">
        <f>EG58*EI58</f>
        <v>4523.1684969127718</v>
      </c>
      <c r="FV58">
        <f>FC58*(FT58+FU58)/(3.6*10^6)*3600*7200*0.07</f>
        <v>1776.8951996811668</v>
      </c>
      <c r="FW58">
        <f>('CAPEX+OPEX'!$C$39/7/100+0.03)*EL58</f>
        <v>91230.633665431043</v>
      </c>
      <c r="FX58">
        <f>('CAPEX+OPEX'!$C$39/7/100+0.03)*EM58</f>
        <v>163232.21907208965</v>
      </c>
      <c r="FY58">
        <f>SUM(FV58:FX58)</f>
        <v>256239.74793720187</v>
      </c>
      <c r="FZ58">
        <f>FY58+FA58+FS58+EU58</f>
        <v>16901510.445962794</v>
      </c>
      <c r="GA58">
        <f>FZ58+EO58</f>
        <v>18013562.701022681</v>
      </c>
      <c r="GB58">
        <f>GA58/(BK58*60*7200)</f>
        <v>0.4169806180792287</v>
      </c>
      <c r="GC58">
        <f>'TEA Revised Non EYZ'!EM58/'TEA Revised Non EYZ'!EK58*GA58</f>
        <v>1394.9945928309558</v>
      </c>
      <c r="GD58">
        <f>'TEA Revised Non EYZ'!EN58/'TEA Revised Non EYZ'!EK58*GA58</f>
        <v>2560.0018118233702</v>
      </c>
    </row>
    <row r="59" spans="1:186">
      <c r="A59">
        <f>'TEA Revised Non EYZ'!A59</f>
        <v>8</v>
      </c>
      <c r="B59">
        <f>'TEA Revised Non EYZ'!B59</f>
        <v>1.54143585092054E-3</v>
      </c>
      <c r="C59">
        <f>'TEA Revised Non EYZ'!C59</f>
        <v>1.54143585092054E-3</v>
      </c>
      <c r="D59">
        <f>'TEA Revised Non EYZ'!D59</f>
        <v>3.4254130020456501E-4</v>
      </c>
      <c r="E59">
        <f>'TEA Revised Non EYZ'!E59</f>
        <v>0</v>
      </c>
      <c r="F59">
        <f>'TEA Revised Non EYZ'!F59</f>
        <v>0</v>
      </c>
      <c r="G59">
        <f>'TEA Revised Non EYZ'!G59</f>
        <v>0</v>
      </c>
      <c r="H59">
        <f>'TEA Revised Non EYZ'!H59</f>
        <v>1.7762434284205799E-5</v>
      </c>
      <c r="I59">
        <f>'TEA Revised Non EYZ'!I59</f>
        <v>4.4591984978445998E-9</v>
      </c>
      <c r="J59">
        <f>'TEA Revised Non EYZ'!J59</f>
        <v>3.37570976171142E-4</v>
      </c>
      <c r="K59">
        <f>'TEA Revised Non EYZ'!K59</f>
        <v>0.13846015972746001</v>
      </c>
      <c r="L59">
        <f>'TEA Revised Non EYZ'!L59</f>
        <v>0.14007387303476199</v>
      </c>
      <c r="M59">
        <f>'TEA Revised Non EYZ'!M59</f>
        <v>4.5166625081916902E-4</v>
      </c>
      <c r="N59">
        <f>'TEA Revised Non EYZ'!N59</f>
        <v>-2.6107588313450902E-16</v>
      </c>
      <c r="O59">
        <f>'TEA Revised Non EYZ'!O59</f>
        <v>-1.18524981496115E-14</v>
      </c>
      <c r="P59">
        <f>'TEA Revised Non EYZ'!P59</f>
        <v>-2.5241581828178102E-19</v>
      </c>
      <c r="Q59">
        <f>'TEA Revised Non EYZ'!Q59</f>
        <v>0.110044175857931</v>
      </c>
      <c r="R59">
        <f>'TEA Revised Non EYZ'!R59</f>
        <v>98.548985471108097</v>
      </c>
      <c r="S59">
        <f>'TEA Revised Non EYZ'!S59</f>
        <v>500</v>
      </c>
      <c r="T59">
        <f>'TEA Revised Non EYZ'!T59</f>
        <v>95</v>
      </c>
      <c r="U59">
        <f>'TEA Revised Non EYZ'!U59</f>
        <v>1</v>
      </c>
      <c r="V59">
        <f>'TEA Revised Non EYZ'!V59</f>
        <v>0.1</v>
      </c>
      <c r="W59">
        <f>'TEA Revised Non EYZ'!W59</f>
        <v>90.872596591664205</v>
      </c>
      <c r="X59" t="str">
        <f>'TEA Revised Non EYZ'!X59</f>
        <v>ddFc</v>
      </c>
      <c r="Y59">
        <f>'TEA Revised Non EYZ'!Y59</f>
        <v>1</v>
      </c>
      <c r="Z59">
        <f>'TEA Revised Non EYZ'!Z59</f>
        <v>0.28318429382522198</v>
      </c>
      <c r="AA59">
        <f>'TEA Revised Non EYZ'!AA59</f>
        <v>0.56945642916197003</v>
      </c>
      <c r="AB59">
        <f>'TEA Revised Non EYZ'!AB59</f>
        <v>3.7698628972227502E-3</v>
      </c>
      <c r="AC59">
        <f>'TEA Revised Non EYZ'!AC59</f>
        <v>1822.2107908876901</v>
      </c>
      <c r="AD59">
        <f>'TEA Revised Non EYZ'!AD59</f>
        <v>2662.6059073104898</v>
      </c>
      <c r="AE59">
        <f>'TEA Revised Non EYZ'!AE59</f>
        <v>2401.5030938442701</v>
      </c>
      <c r="AF59">
        <f>'TEA Revised Non EYZ'!AF59</f>
        <v>11</v>
      </c>
      <c r="AG59">
        <f>'TEA Revised Non EYZ'!AG59</f>
        <v>1.6497294784823999E-3</v>
      </c>
      <c r="AH59">
        <f>'TEA Revised Non EYZ'!AH59</f>
        <v>1.66895660069658E-3</v>
      </c>
      <c r="AI59">
        <f>'TEA Revised Non EYZ'!AI59</f>
        <v>5.38152729188446E-6</v>
      </c>
      <c r="AJ59">
        <f>'TEA Revised Non EYZ'!AJ59</f>
        <v>0</v>
      </c>
      <c r="AK59">
        <f>'TEA Revised Non EYZ'!AK59</f>
        <v>0</v>
      </c>
      <c r="AL59">
        <f>'TEA Revised Non EYZ'!AL59</f>
        <v>0</v>
      </c>
      <c r="AM59">
        <f>'TEA Revised Non EYZ'!AM59</f>
        <v>1.6127801705222199E-3</v>
      </c>
      <c r="AN59">
        <f>'TEA Revised Non EYZ'!AN59</f>
        <v>7.9537033492425895E-5</v>
      </c>
      <c r="AO59">
        <f>'TEA Revised Non EYZ'!AO59</f>
        <v>5.3461333771461197E-6</v>
      </c>
      <c r="AP59">
        <f>'TEA Revised Non EYZ'!AP59</f>
        <v>1.73325890938514E-3</v>
      </c>
      <c r="AQ59">
        <f>'TEA Revised Non EYZ'!AQ59</f>
        <v>7.4558246913040901E-2</v>
      </c>
      <c r="AR59">
        <f>'TEA Revised Non EYZ'!AR59</f>
        <v>1.6602968079419499E-6</v>
      </c>
      <c r="AS59">
        <f>'TEA Revised Non EYZ'!AS59</f>
        <v>2.06541869111204E-15</v>
      </c>
      <c r="AT59">
        <f>'TEA Revised Non EYZ'!AT59</f>
        <v>-2.05823422541606E-13</v>
      </c>
      <c r="AU59">
        <f>'TEA Revised Non EYZ'!AU59</f>
        <v>1.5676726969104899E-20</v>
      </c>
      <c r="AV59">
        <f>'TEA Revised Non EYZ'!AV59</f>
        <v>0.19688925842004401</v>
      </c>
      <c r="AW59">
        <f>'TEA Revised Non EYZ'!AW59</f>
        <v>99.342307251851594</v>
      </c>
      <c r="AX59">
        <f>'TEA Revised Non EYZ'!AX59</f>
        <v>499.99999999999898</v>
      </c>
      <c r="AY59">
        <f>'TEA Revised Non EYZ'!AY59</f>
        <v>95</v>
      </c>
      <c r="AZ59">
        <f>'TEA Revised Non EYZ'!AZ59</f>
        <v>0.92358985913147196</v>
      </c>
      <c r="BA59">
        <f>'TEA Revised Non EYZ'!BA59</f>
        <v>0.1</v>
      </c>
      <c r="BB59">
        <f>'TEA Revised Non EYZ'!BB59</f>
        <v>46.909103449467104</v>
      </c>
      <c r="BC59" t="str">
        <f>'TEA Revised Non EYZ'!BC59</f>
        <v>coeFc</v>
      </c>
      <c r="BD59">
        <f>'TEA Revised Non EYZ'!BD59</f>
        <v>1</v>
      </c>
      <c r="BE59">
        <f>'TEA Revised Non EYZ'!BE59</f>
        <v>1.8775014999999999E-2</v>
      </c>
      <c r="BF59">
        <f>'TEA Revised Non EYZ'!BF59</f>
        <v>0.10492961100000001</v>
      </c>
      <c r="BG59">
        <f>'TEA Revised Non EYZ'!BG59</f>
        <v>1.814625E-3</v>
      </c>
      <c r="BH59">
        <f>'TEA Revised Non EYZ'!BH59</f>
        <v>285.1951444</v>
      </c>
      <c r="BI59">
        <f>'TEA Revised Non EYZ'!BI59</f>
        <v>2169.8944889999998</v>
      </c>
      <c r="BJ59">
        <f>'TEA Revised Non EYZ'!BJ59</f>
        <v>866.49409060000005</v>
      </c>
      <c r="BK59">
        <f>'TEA Revised Non EYZ'!BK59</f>
        <v>100</v>
      </c>
      <c r="BL59">
        <f>'TEA Revised Non EYZ'!BL59</f>
        <v>11.004417585793099</v>
      </c>
      <c r="BM59">
        <f>'TEA Revised Non EYZ'!BM59</f>
        <v>92.358985913147194</v>
      </c>
      <c r="BN59">
        <f>'TEA Revised Non EYZ'!BN59</f>
        <v>19.688925842004402</v>
      </c>
      <c r="BO59">
        <f>'TEA Revised Non EYZ'!BO59</f>
        <v>220.08835171586199</v>
      </c>
      <c r="BP59">
        <f>'TEA Revised Non EYZ'!BP59</f>
        <v>511.91207189211445</v>
      </c>
      <c r="BQ59">
        <f>'TEA Revised Non EYZ'!BQ59</f>
        <v>22.008835171586199</v>
      </c>
      <c r="BR59">
        <f>'TEA Revised Non EYZ'!BR59</f>
        <v>51.191207189211447</v>
      </c>
      <c r="BS59">
        <f>'eLLE Bals'!CF59</f>
        <v>6.6026505514758593</v>
      </c>
      <c r="BT59">
        <f>'eLLE Bals'!CG59</f>
        <v>11.81335550520264</v>
      </c>
      <c r="BU59">
        <f>BM59</f>
        <v>92.358985913147194</v>
      </c>
      <c r="BV59">
        <f>BU59*(AM59*2+AN59*2+AO59*3)</f>
        <v>0.31408269198413957</v>
      </c>
      <c r="BW59">
        <f>BN59*BA59*(AP59*2+AQ59*2+AR59*3)</f>
        <v>0.30042936694073691</v>
      </c>
      <c r="BX59">
        <f>BV59/(2*V59*BL59+BV59)</f>
        <v>0.12488545207579405</v>
      </c>
      <c r="BY59">
        <f>BU59*BX59</f>
        <v>11.534293709025281</v>
      </c>
      <c r="BZ59">
        <f>BW59/(2*BN59*BA59+BW59)</f>
        <v>7.0885832804242668E-2</v>
      </c>
      <c r="CA59">
        <f>2*BN59*BA59/0.04</f>
        <v>98.444629210022015</v>
      </c>
      <c r="CB59">
        <f>(BS59+BL59)*2</f>
        <v>35.214136274537921</v>
      </c>
      <c r="CC59">
        <f>(BU59+BL59)*2</f>
        <v>206.7268069978806</v>
      </c>
      <c r="CD59">
        <f>(BT59+BN59)*2</f>
        <v>63.004562694414084</v>
      </c>
      <c r="CE59">
        <f>(CA59+BN59)*2</f>
        <v>236.26711010405285</v>
      </c>
      <c r="CF59">
        <f>'TEA Revised Non EYZ'!CB59</f>
        <v>2905.1662426493785</v>
      </c>
      <c r="CG59">
        <f>'TEA Revised Non EYZ'!CC59</f>
        <v>6757.2393489759106</v>
      </c>
      <c r="CH59">
        <f>'TEA Revised Non EYZ'!CD59</f>
        <v>3509.9789962792502</v>
      </c>
      <c r="CI59">
        <f>'TEA Revised Non EYZ'!CE59</f>
        <v>52119.187670605555</v>
      </c>
      <c r="CJ59">
        <f>BL59*V59</f>
        <v>1.10044175857931</v>
      </c>
      <c r="CK59">
        <f>CJ59/2*1.2</f>
        <v>0.66026505514758604</v>
      </c>
      <c r="CL59">
        <f>'eLLE Bals'!CB59*'Oxidant Feed Composition'!$N$20</f>
        <v>3.668139195264368E-2</v>
      </c>
      <c r="CM59">
        <f>'eLLE Bals'!CB59*'Oxidant Feed Composition'!$N$21</f>
        <v>1.8340695976321835</v>
      </c>
      <c r="CN59">
        <f>'eLLE Bals'!CB59*'Oxidant Feed Composition'!$N$22</f>
        <v>0.55022087928965502</v>
      </c>
      <c r="CO59">
        <f>CN59/CK59</f>
        <v>0.83333333333333326</v>
      </c>
      <c r="CP59">
        <f>CO59</f>
        <v>0.83333333333333326</v>
      </c>
      <c r="CQ59">
        <f>CL59/CO59</f>
        <v>4.4017670343172423E-2</v>
      </c>
      <c r="CR59">
        <f>CM59/CO59</f>
        <v>2.2008835171586205</v>
      </c>
      <c r="CS59">
        <f>BN59*BA59</f>
        <v>1.9688925842004403</v>
      </c>
      <c r="CT59">
        <f>CS59/2*1.2</f>
        <v>1.1813355505202641</v>
      </c>
      <c r="CU59">
        <f>'eLLE Bals'!CC59*'Oxidant Feed Composition'!$N$20</f>
        <v>6.5629752806681374E-2</v>
      </c>
      <c r="CV59">
        <f>'eLLE Bals'!CC59*'Oxidant Feed Composition'!$N$21</f>
        <v>3.2814876403340674</v>
      </c>
      <c r="CW59">
        <f>'eLLE Bals'!CC59*'Oxidant Feed Composition'!$N$22</f>
        <v>0.98444629210022017</v>
      </c>
      <c r="CX59">
        <f>CU59/CP59</f>
        <v>7.8755703368017654E-2</v>
      </c>
      <c r="CY59">
        <f>CV59/CP59</f>
        <v>3.9377851684008811</v>
      </c>
      <c r="CZ59">
        <f>CJ59</f>
        <v>1.10044175857931</v>
      </c>
      <c r="DA59">
        <f>'eLLE Bals'!BQ59</f>
        <v>2.2008835171586201</v>
      </c>
      <c r="DB59">
        <f>'eLLE Bals'!BU59</f>
        <v>5.5102836052317166</v>
      </c>
      <c r="DC59">
        <f>CS59</f>
        <v>1.9688925842004403</v>
      </c>
      <c r="DD59">
        <f>'eLLE Bals'!BX59</f>
        <v>3.9377851684008807</v>
      </c>
      <c r="DE59">
        <f>'eLLE Bals'!CA59</f>
        <v>21.868866475505691</v>
      </c>
      <c r="DF59">
        <f>2*2*(CJ59*'Reagent cost'!$C$36*122.44/1000+CK59*'Oxidant Feed Composition'!$N$26+CQ59*'Reagent cost'!$C$34+CR59*'Reagent cost'!$C$35)</f>
        <v>92.951797184309328</v>
      </c>
      <c r="DG59">
        <f>2*2*(CS59*'Reagent cost'!$C$36*122.44/1000+CT59*'Oxidant Feed Composition'!$N$26+CX59*'Reagent cost'!$C$34+CY59*'Reagent cost'!$C$35)</f>
        <v>166.30785113113294</v>
      </c>
      <c r="DH59">
        <f>(AF59+3)*2*(CZ59*'Reagent cost'!$C$38+DA59*'Reagent cost'!$C$39+DB59*'Reagent cost'!$C$36*122.44/1000)</f>
        <v>1471.4345797350045</v>
      </c>
      <c r="DI59">
        <f>3*2*(DC59*'Reagent cost'!$C$38+DD59*'Reagent cost'!$C$39+DE59*'Reagent cost'!$C$36*122.44/1000)</f>
        <v>1187.2227683527972</v>
      </c>
      <c r="DJ59">
        <f>7963.6*(CB59/1000)^0.6*1.7*('CAPEX+OPEX'!$G$116/'CAPEX+OPEX'!$G$115)</f>
        <v>2144.228934815284</v>
      </c>
      <c r="DK59">
        <f>7963.6*(CC59/1000)^0.6*1.7*('CAPEX+OPEX'!$G$116/'CAPEX+OPEX'!$G$115)</f>
        <v>6201.2466571653367</v>
      </c>
      <c r="DL59">
        <f>7963.6*(CD59/1000)^0.6*1.7*('CAPEX+OPEX'!$G$116/'CAPEX+OPEX'!$G$115)</f>
        <v>3039.9338182971837</v>
      </c>
      <c r="DM59">
        <f>7963.6*(CE59/1000)^0.6*1.7*('CAPEX+OPEX'!$G$116/'CAPEX+OPEX'!$G$115)</f>
        <v>6718.6634868791989</v>
      </c>
      <c r="DN59">
        <f>'TEA Revised Non EYZ'!CM59</f>
        <v>39625.826528698344</v>
      </c>
      <c r="DO59">
        <f>'TEA Revised Non EYZ'!CN59</f>
        <v>4586243.4239371875</v>
      </c>
      <c r="DP59">
        <f>'TEA Revised Non EYZ'!CO59</f>
        <v>11794834.586807497</v>
      </c>
      <c r="DQ59">
        <f>'TEA Revised Non EYZ'!CP59</f>
        <v>2275209.1661185985</v>
      </c>
      <c r="DR59">
        <f>'TEA Revised Non EYZ'!CQ59</f>
        <v>14083914.336508472</v>
      </c>
      <c r="DS59">
        <f>'TEA Revised Non EYZ'!CR59</f>
        <v>1662824.8986326549</v>
      </c>
      <c r="DT59">
        <f>'TEA Revised Non EYZ'!CS59</f>
        <v>751295.09040276916</v>
      </c>
      <c r="DU59">
        <f>'TEA Revised Non EYZ'!CT59</f>
        <v>1932169.8606163235</v>
      </c>
      <c r="DV59">
        <f>'TEA Revised Non EYZ'!CU59</f>
        <v>372713.20297186484</v>
      </c>
      <c r="DW59">
        <f>'TEA Revised Non EYZ'!CV59</f>
        <v>2307155.2721002945</v>
      </c>
      <c r="DX59">
        <f>'TEA Revised Non EYZ'!CW59</f>
        <v>272395.52441150707</v>
      </c>
      <c r="DY59">
        <f>'TEA Revised Non EYZ'!CX59</f>
        <v>5635728.9505027588</v>
      </c>
      <c r="DZ59">
        <f>'TEA Revised Non EYZ'!CY59</f>
        <v>843177.06502963789</v>
      </c>
      <c r="EA59">
        <f>'TEA Revised Non EYZ'!CZ59</f>
        <v>2168470.5956747346</v>
      </c>
      <c r="EB59">
        <f>'TEA Revised Non EYZ'!DA59</f>
        <v>418295.32575693569</v>
      </c>
      <c r="EC59">
        <f>'TEA Revised Non EYZ'!DB59</f>
        <v>2589316.0167655097</v>
      </c>
      <c r="ED59">
        <f>'TEA Revised Non EYZ'!DC59</f>
        <v>305708.98403897922</v>
      </c>
      <c r="EE59">
        <f>'TEA Revised Non EYZ'!DD59</f>
        <v>6324967.9872657973</v>
      </c>
      <c r="EF59">
        <v>0.7</v>
      </c>
      <c r="EG59">
        <v>100</v>
      </c>
      <c r="EH59">
        <f>96485*BL59*V59/EF59/EG59/60</f>
        <v>25.280029303934459</v>
      </c>
      <c r="EI59">
        <f>96485*BN59*BA59/EF59/EG59/60</f>
        <v>45.23061928251893</v>
      </c>
      <c r="EJ59">
        <f>EH59*('CAPEX+OPEX'!$O$25+'CAPEX+OPEX'!$O$26)</f>
        <v>805725.09397499904</v>
      </c>
      <c r="EK59">
        <f>EI59*('CAPEX+OPEX'!$O$25+'CAPEX+OPEX'!$O$26)</f>
        <v>1441590.2977724434</v>
      </c>
      <c r="EL59">
        <f>EJ59*1.12/0.6*'CAPEX+OPEX'!$G$116/'CAPEX+OPEX'!$G$115</f>
        <v>1773928.987938937</v>
      </c>
      <c r="EM59">
        <f>EK59*1.12/0.6*'CAPEX+OPEX'!$G$116/'CAPEX+OPEX'!$G$115</f>
        <v>3173885.0348248086</v>
      </c>
      <c r="EN59">
        <f>EL59+EM59+DY59+EE59+1.15*(SUM(DF59:DM59)+SUM(CF59:CI59))</f>
        <v>17007771.557007182</v>
      </c>
      <c r="EO59">
        <f>EN59/15</f>
        <v>1133851.4371338121</v>
      </c>
      <c r="EP59">
        <f>('eLLE Bals'!CB59+'eLLE Bals'!CC59)*'Oxidant Feed Composition'!$N$25*60*7200</f>
        <v>12359491.183959713</v>
      </c>
      <c r="EQ59" s="83">
        <f>('eLLE Bals'!BR59+'eLLE Bals'!BY59)*'Reagent cost'!$C$38*60*7200</f>
        <v>505441.02735910198</v>
      </c>
      <c r="ER59">
        <f>'TEA Revised Non EYZ'!DI59</f>
        <v>504921.59999999998</v>
      </c>
      <c r="ES59">
        <f>'TEA Revised Non EYZ'!DJ59</f>
        <v>96.6240559162529</v>
      </c>
      <c r="ET59">
        <f>'TEA Revised Non EYZ'!DK59</f>
        <v>1112.5833333376961</v>
      </c>
      <c r="EU59">
        <f>1.2*SUM(EP59:ET59)</f>
        <v>16045275.622449681</v>
      </c>
      <c r="EV59">
        <f>'TEA Revised Non EYZ'!DM59</f>
        <v>0.70639694042110623</v>
      </c>
      <c r="EW59">
        <f>(BS59*CO59+BT59*CP59)/1000*('Oxidant Feed Composition'!$B$11*'Oxidant Feed Composition'!$O$20+'Oxidant Feed Composition'!$D$11*'Oxidant Feed Composition'!$O$21+'Oxidant Feed Composition'!$F$11*'Oxidant Feed Composition'!$O$27-'Oxidant Feed Composition'!$J$15*18.015)</f>
        <v>1.7922539966386763</v>
      </c>
      <c r="EX59">
        <f>(CZ59*BX59+DC59*BZ59)*368.34/1000</f>
        <v>0.10202861714678929</v>
      </c>
      <c r="EY59">
        <f>'TEA Revised Non EYZ'!DP59</f>
        <v>4.999938342565946E-2</v>
      </c>
      <c r="EZ59">
        <f>SUM(EV59:EX59)-EY59</f>
        <v>2.5506801707809128</v>
      </c>
      <c r="FA59">
        <f>EZ59*0.33*60*7200</f>
        <v>363624.96514652693</v>
      </c>
      <c r="FB59">
        <f>'TEA Revised Non EYZ'!DS59</f>
        <v>1.2</v>
      </c>
      <c r="FC59">
        <v>0.5</v>
      </c>
      <c r="FD59">
        <f>'TEA Revised Non EYZ'!DT59</f>
        <v>1405.9063075371266</v>
      </c>
      <c r="FE59">
        <f>'TEA Revised Non EYZ'!DU59</f>
        <v>705.84421451437709</v>
      </c>
      <c r="FF59">
        <f>'TEA Revised Non EYZ'!DV59</f>
        <v>0.7</v>
      </c>
      <c r="FG59">
        <f>'TEA Revised Non EYZ'!DW59</f>
        <v>41280.414286181804</v>
      </c>
      <c r="FH59">
        <f>'TEA Revised Non EYZ'!DX59</f>
        <v>37373.489075065132</v>
      </c>
      <c r="FI59">
        <f>'TEA Revised Non EYZ'!DY59</f>
        <v>15823.453035813865</v>
      </c>
      <c r="FJ59">
        <f>'TEA Revised Non EYZ'!DZ59</f>
        <v>8382.1245272768647</v>
      </c>
      <c r="FK59">
        <f>'TEA Revised Non EYZ'!EA59</f>
        <v>8439.174952434063</v>
      </c>
      <c r="FL59">
        <f>'TEA Revised Non EYZ'!EB59</f>
        <v>850.29213479845407</v>
      </c>
      <c r="FM59">
        <f>'TEA Revised Non EYZ'!EC59</f>
        <v>46285.450197227117</v>
      </c>
      <c r="FN59">
        <f>'TEA Revised Non EYZ'!ED59</f>
        <v>46553.52147127426</v>
      </c>
      <c r="FO59">
        <f>'TEA Revised Non EYZ'!EE59</f>
        <v>19710.160300337891</v>
      </c>
      <c r="FP59">
        <f>'TEA Revised Non EYZ'!EF59</f>
        <v>10446.832907760539</v>
      </c>
      <c r="FQ59">
        <f>'TEA Revised Non EYZ'!EG59</f>
        <v>10512.085493513545</v>
      </c>
      <c r="FR59">
        <f>'TEA Revised Non EYZ'!EH59</f>
        <v>426.89458093829529</v>
      </c>
      <c r="FS59">
        <f>'TEA Revised Non EYZ'!EI59</f>
        <v>246083.89296262185</v>
      </c>
      <c r="FT59">
        <f>EG59*EH59</f>
        <v>2528.0029303934457</v>
      </c>
      <c r="FU59">
        <f>EG59*EI59</f>
        <v>4523.0619282518928</v>
      </c>
      <c r="FV59">
        <f>FC59*(FT59+FU59)/(3.6*10^6)*3600*7200*0.07</f>
        <v>1776.8683443786256</v>
      </c>
      <c r="FW59">
        <f>('CAPEX+OPEX'!$C$39/7/100+0.03)*EL59</f>
        <v>91230.633665431043</v>
      </c>
      <c r="FX59">
        <f>('CAPEX+OPEX'!$C$39/7/100+0.03)*EM59</f>
        <v>163228.37321956159</v>
      </c>
      <c r="FY59">
        <f>SUM(FV59:FX59)</f>
        <v>256235.87522937125</v>
      </c>
      <c r="FZ59">
        <f>FY59+FA59+FS59+EU59</f>
        <v>16911220.355788201</v>
      </c>
      <c r="GA59">
        <f>FZ59+EO59</f>
        <v>18045071.792922013</v>
      </c>
      <c r="GB59">
        <f>GA59/(BK59*60*7200)</f>
        <v>0.41770999520652807</v>
      </c>
      <c r="GC59">
        <f>'TEA Revised Non EYZ'!EM59/'TEA Revised Non EYZ'!EK59*GA59</f>
        <v>1397.4319955084954</v>
      </c>
      <c r="GD59">
        <f>'TEA Revised Non EYZ'!EN59/'TEA Revised Non EYZ'!EK59*GA59</f>
        <v>2564.4888407961244</v>
      </c>
    </row>
    <row r="60" spans="1:186">
      <c r="A60">
        <f>'TEA Revised Non EYZ'!A60</f>
        <v>8</v>
      </c>
      <c r="B60">
        <f>'TEA Revised Non EYZ'!B60</f>
        <v>1.54143585092054E-3</v>
      </c>
      <c r="C60">
        <f>'TEA Revised Non EYZ'!C60</f>
        <v>1.54143585092054E-3</v>
      </c>
      <c r="D60">
        <f>'TEA Revised Non EYZ'!D60</f>
        <v>3.4254130020456501E-4</v>
      </c>
      <c r="E60">
        <f>'TEA Revised Non EYZ'!E60</f>
        <v>0</v>
      </c>
      <c r="F60">
        <f>'TEA Revised Non EYZ'!F60</f>
        <v>0</v>
      </c>
      <c r="G60">
        <f>'TEA Revised Non EYZ'!G60</f>
        <v>0</v>
      </c>
      <c r="H60">
        <f>'TEA Revised Non EYZ'!H60</f>
        <v>1.7762434284205799E-5</v>
      </c>
      <c r="I60">
        <f>'TEA Revised Non EYZ'!I60</f>
        <v>4.4591984978445998E-9</v>
      </c>
      <c r="J60">
        <f>'TEA Revised Non EYZ'!J60</f>
        <v>3.37570976171142E-4</v>
      </c>
      <c r="K60">
        <f>'TEA Revised Non EYZ'!K60</f>
        <v>0.13846015972746001</v>
      </c>
      <c r="L60">
        <f>'TEA Revised Non EYZ'!L60</f>
        <v>0.14007387303476199</v>
      </c>
      <c r="M60">
        <f>'TEA Revised Non EYZ'!M60</f>
        <v>4.5166625081916902E-4</v>
      </c>
      <c r="N60">
        <f>'TEA Revised Non EYZ'!N60</f>
        <v>-2.6107588313450902E-16</v>
      </c>
      <c r="O60">
        <f>'TEA Revised Non EYZ'!O60</f>
        <v>-1.18524981496115E-14</v>
      </c>
      <c r="P60">
        <f>'TEA Revised Non EYZ'!P60</f>
        <v>-2.5241581828178102E-19</v>
      </c>
      <c r="Q60">
        <f>'TEA Revised Non EYZ'!Q60</f>
        <v>0.110044175857931</v>
      </c>
      <c r="R60">
        <f>'TEA Revised Non EYZ'!R60</f>
        <v>98.548985471108097</v>
      </c>
      <c r="S60">
        <f>'TEA Revised Non EYZ'!S60</f>
        <v>500</v>
      </c>
      <c r="T60">
        <f>'TEA Revised Non EYZ'!T60</f>
        <v>95</v>
      </c>
      <c r="U60">
        <f>'TEA Revised Non EYZ'!U60</f>
        <v>1</v>
      </c>
      <c r="V60">
        <f>'TEA Revised Non EYZ'!V60</f>
        <v>0.1</v>
      </c>
      <c r="W60">
        <f>'TEA Revised Non EYZ'!W60</f>
        <v>90.872596591664205</v>
      </c>
      <c r="X60" t="str">
        <f>'TEA Revised Non EYZ'!X60</f>
        <v>ddFc</v>
      </c>
      <c r="Y60">
        <f>'TEA Revised Non EYZ'!Y60</f>
        <v>1</v>
      </c>
      <c r="Z60">
        <f>'TEA Revised Non EYZ'!Z60</f>
        <v>0.28318429382522198</v>
      </c>
      <c r="AA60">
        <f>'TEA Revised Non EYZ'!AA60</f>
        <v>0.56945642916197003</v>
      </c>
      <c r="AB60">
        <f>'TEA Revised Non EYZ'!AB60</f>
        <v>3.7698628972227502E-3</v>
      </c>
      <c r="AC60">
        <f>'TEA Revised Non EYZ'!AC60</f>
        <v>1822.2107908876901</v>
      </c>
      <c r="AD60">
        <f>'TEA Revised Non EYZ'!AD60</f>
        <v>2662.6059073104898</v>
      </c>
      <c r="AE60">
        <f>'TEA Revised Non EYZ'!AE60</f>
        <v>2401.5030938442701</v>
      </c>
      <c r="AF60">
        <f>'TEA Revised Non EYZ'!AF60</f>
        <v>12</v>
      </c>
      <c r="AG60">
        <f>'TEA Revised Non EYZ'!AG60</f>
        <v>1.6497294784823999E-3</v>
      </c>
      <c r="AH60">
        <f>'TEA Revised Non EYZ'!AH60</f>
        <v>1.66895660069658E-3</v>
      </c>
      <c r="AI60">
        <f>'TEA Revised Non EYZ'!AI60</f>
        <v>5.38152729188446E-6</v>
      </c>
      <c r="AJ60">
        <f>'TEA Revised Non EYZ'!AJ60</f>
        <v>0</v>
      </c>
      <c r="AK60">
        <f>'TEA Revised Non EYZ'!AK60</f>
        <v>0</v>
      </c>
      <c r="AL60">
        <f>'TEA Revised Non EYZ'!AL60</f>
        <v>0</v>
      </c>
      <c r="AM60">
        <f>'TEA Revised Non EYZ'!AM60</f>
        <v>1.61278104761876E-3</v>
      </c>
      <c r="AN60">
        <f>'TEA Revised Non EYZ'!AN60</f>
        <v>7.9537078850164199E-5</v>
      </c>
      <c r="AO60">
        <f>'TEA Revised Non EYZ'!AO60</f>
        <v>5.3461341824022602E-6</v>
      </c>
      <c r="AP60">
        <f>'TEA Revised Non EYZ'!AP60</f>
        <v>1.7332292441623099E-3</v>
      </c>
      <c r="AQ60">
        <f>'TEA Revised Non EYZ'!AQ60</f>
        <v>7.4558738550610695E-2</v>
      </c>
      <c r="AR60">
        <f>'TEA Revised Non EYZ'!AR60</f>
        <v>1.6602700294237901E-6</v>
      </c>
      <c r="AS60">
        <f>'TEA Revised Non EYZ'!AS60</f>
        <v>4.1856302495160702E-16</v>
      </c>
      <c r="AT60">
        <f>'TEA Revised Non EYZ'!AT60</f>
        <v>-4.1007778769919203E-14</v>
      </c>
      <c r="AU60">
        <f>'TEA Revised Non EYZ'!AU60</f>
        <v>-1.18452263717593E-21</v>
      </c>
      <c r="AV60">
        <f>'TEA Revised Non EYZ'!AV60</f>
        <v>0.19688795449878599</v>
      </c>
      <c r="AW60">
        <f>'TEA Revised Non EYZ'!AW60</f>
        <v>99.342322215190194</v>
      </c>
      <c r="AX60">
        <f>'TEA Revised Non EYZ'!AX60</f>
        <v>499.99999999999898</v>
      </c>
      <c r="AY60">
        <f>'TEA Revised Non EYZ'!AY60</f>
        <v>95</v>
      </c>
      <c r="AZ60">
        <f>'TEA Revised Non EYZ'!AZ60</f>
        <v>0.92358985913147196</v>
      </c>
      <c r="BA60">
        <f>'TEA Revised Non EYZ'!BA60</f>
        <v>0.1</v>
      </c>
      <c r="BB60">
        <f>'TEA Revised Non EYZ'!BB60</f>
        <v>46.909414112337899</v>
      </c>
      <c r="BC60" t="str">
        <f>'TEA Revised Non EYZ'!BC60</f>
        <v>coeFc</v>
      </c>
      <c r="BD60">
        <f>'TEA Revised Non EYZ'!BD60</f>
        <v>1</v>
      </c>
      <c r="BE60">
        <f>'TEA Revised Non EYZ'!BE60</f>
        <v>1.8775014999999999E-2</v>
      </c>
      <c r="BF60">
        <f>'TEA Revised Non EYZ'!BF60</f>
        <v>0.10492961100000001</v>
      </c>
      <c r="BG60">
        <f>'TEA Revised Non EYZ'!BG60</f>
        <v>1.814625E-3</v>
      </c>
      <c r="BH60">
        <f>'TEA Revised Non EYZ'!BH60</f>
        <v>285.1951444</v>
      </c>
      <c r="BI60">
        <f>'TEA Revised Non EYZ'!BI60</f>
        <v>2169.8944889999998</v>
      </c>
      <c r="BJ60">
        <f>'TEA Revised Non EYZ'!BJ60</f>
        <v>866.49409060000005</v>
      </c>
      <c r="BK60">
        <f>'TEA Revised Non EYZ'!BK60</f>
        <v>100</v>
      </c>
      <c r="BL60">
        <f>'TEA Revised Non EYZ'!BL60</f>
        <v>11.004417585793099</v>
      </c>
      <c r="BM60">
        <f>'TEA Revised Non EYZ'!BM60</f>
        <v>92.358985913147194</v>
      </c>
      <c r="BN60">
        <f>'TEA Revised Non EYZ'!BN60</f>
        <v>19.688795449878597</v>
      </c>
      <c r="BO60">
        <f>'TEA Revised Non EYZ'!BO60</f>
        <v>220.08835171586199</v>
      </c>
      <c r="BP60">
        <f>'TEA Revised Non EYZ'!BP60</f>
        <v>551.28627259660072</v>
      </c>
      <c r="BQ60">
        <f>'TEA Revised Non EYZ'!BQ60</f>
        <v>22.008835171586199</v>
      </c>
      <c r="BR60">
        <f>'TEA Revised Non EYZ'!BR60</f>
        <v>55.128627259660078</v>
      </c>
      <c r="BS60">
        <f>'eLLE Bals'!CF60</f>
        <v>6.6026505514758593</v>
      </c>
      <c r="BT60">
        <f>'eLLE Bals'!CG60</f>
        <v>11.813277269927157</v>
      </c>
      <c r="BU60">
        <f>BM60</f>
        <v>92.358985913147194</v>
      </c>
      <c r="BV60">
        <f>BU60*(AM60*2+AN60*2+AO60*3)</f>
        <v>0.31408286260114093</v>
      </c>
      <c r="BW60">
        <f>BN60*BA60*(AP60*2+AQ60*2+AR60*3)</f>
        <v>0.30042919629110248</v>
      </c>
      <c r="BX60">
        <f>BV60/(2*V60*BL60+BV60)</f>
        <v>0.12488551144415033</v>
      </c>
      <c r="BY60">
        <f>BU60*BX60</f>
        <v>11.534299192226463</v>
      </c>
      <c r="BZ60">
        <f>BW60/(2*BN60*BA60+BW60)</f>
        <v>7.0886231568473665E-2</v>
      </c>
      <c r="CA60">
        <f>2*BN60*BA60/0.04</f>
        <v>98.443977249392987</v>
      </c>
      <c r="CB60">
        <f>(BS60+BL60)*2</f>
        <v>35.214136274537921</v>
      </c>
      <c r="CC60">
        <f>(BU60+BL60)*2</f>
        <v>206.7268069978806</v>
      </c>
      <c r="CD60">
        <f>(BT60+BN60)*2</f>
        <v>63.004145439611506</v>
      </c>
      <c r="CE60">
        <f>(CA60+BN60)*2</f>
        <v>236.26554539854317</v>
      </c>
      <c r="CF60">
        <f>'TEA Revised Non EYZ'!CB60</f>
        <v>2905.1662426493785</v>
      </c>
      <c r="CG60">
        <f>'TEA Revised Non EYZ'!CC60</f>
        <v>7276.9787982751304</v>
      </c>
      <c r="CH60">
        <f>'TEA Revised Non EYZ'!CD60</f>
        <v>3509.9789962792502</v>
      </c>
      <c r="CI60">
        <f>'TEA Revised Non EYZ'!CE60</f>
        <v>56127.984236609766</v>
      </c>
      <c r="CJ60">
        <f>BL60*V60</f>
        <v>1.10044175857931</v>
      </c>
      <c r="CK60">
        <f>CJ60/2*1.2</f>
        <v>0.66026505514758604</v>
      </c>
      <c r="CL60">
        <f>'eLLE Bals'!CB60*'Oxidant Feed Composition'!$N$20</f>
        <v>3.668139195264368E-2</v>
      </c>
      <c r="CM60">
        <f>'eLLE Bals'!CB60*'Oxidant Feed Composition'!$N$21</f>
        <v>1.8340695976321835</v>
      </c>
      <c r="CN60">
        <f>'eLLE Bals'!CB60*'Oxidant Feed Composition'!$N$22</f>
        <v>0.55022087928965502</v>
      </c>
      <c r="CO60">
        <f>CN60/CK60</f>
        <v>0.83333333333333326</v>
      </c>
      <c r="CP60">
        <f>CO60</f>
        <v>0.83333333333333326</v>
      </c>
      <c r="CQ60">
        <f>CL60/CO60</f>
        <v>4.4017670343172423E-2</v>
      </c>
      <c r="CR60">
        <f>CM60/CO60</f>
        <v>2.2008835171586205</v>
      </c>
      <c r="CS60">
        <f>BN60*BA60</f>
        <v>1.9688795449878598</v>
      </c>
      <c r="CT60">
        <f>CS60/2*1.2</f>
        <v>1.1813277269927158</v>
      </c>
      <c r="CU60">
        <f>'eLLE Bals'!CC60*'Oxidant Feed Composition'!$N$20</f>
        <v>6.5629318166262024E-2</v>
      </c>
      <c r="CV60">
        <f>'eLLE Bals'!CC60*'Oxidant Feed Composition'!$N$21</f>
        <v>3.2814659083130997</v>
      </c>
      <c r="CW60">
        <f>'eLLE Bals'!CC60*'Oxidant Feed Composition'!$N$22</f>
        <v>0.98443977249392989</v>
      </c>
      <c r="CX60">
        <f>CU60/CP60</f>
        <v>7.8755181799514434E-2</v>
      </c>
      <c r="CY60">
        <f>CV60/CP60</f>
        <v>3.93775908997572</v>
      </c>
      <c r="CZ60">
        <f>CJ60</f>
        <v>1.10044175857931</v>
      </c>
      <c r="DA60">
        <f>'eLLE Bals'!BQ60</f>
        <v>2.2008835171586201</v>
      </c>
      <c r="DB60">
        <f>'eLLE Bals'!BU60</f>
        <v>5.5102794161205306</v>
      </c>
      <c r="DC60">
        <f>CS60</f>
        <v>1.9688795449878598</v>
      </c>
      <c r="DD60">
        <f>'eLLE Bals'!BX60</f>
        <v>3.9377590899757196</v>
      </c>
      <c r="DE60">
        <f>'eLLE Bals'!CA60</f>
        <v>21.86856539864328</v>
      </c>
      <c r="DF60">
        <f>2*2*(CJ60*'Reagent cost'!$C$36*122.44/1000+CK60*'Oxidant Feed Composition'!$N$26+CQ60*'Reagent cost'!$C$34+CR60*'Reagent cost'!$C$35)</f>
        <v>92.951797184309328</v>
      </c>
      <c r="DG60">
        <f>2*2*(CS60*'Reagent cost'!$C$36*122.44/1000+CT60*'Oxidant Feed Composition'!$N$26+CX60*'Reagent cost'!$C$34+CY60*'Reagent cost'!$C$35)</f>
        <v>166.30674973868415</v>
      </c>
      <c r="DH60">
        <f>(AF60+3)*2*(CZ60*'Reagent cost'!$C$38+DA60*'Reagent cost'!$C$39+DB60*'Reagent cost'!$C$36*122.44/1000)</f>
        <v>1576.5359630548371</v>
      </c>
      <c r="DI60">
        <f>3*2*(DC60*'Reagent cost'!$C$38+DD60*'Reagent cost'!$C$39+DE60*'Reagent cost'!$C$36*122.44/1000)</f>
        <v>1187.2067996555793</v>
      </c>
      <c r="DJ60">
        <f>7963.6*(CB60/1000)^0.6*1.7*('CAPEX+OPEX'!$G$116/'CAPEX+OPEX'!$G$115)</f>
        <v>2144.228934815284</v>
      </c>
      <c r="DK60">
        <f>7963.6*(CC60/1000)^0.6*1.7*('CAPEX+OPEX'!$G$116/'CAPEX+OPEX'!$G$115)</f>
        <v>6201.2466571653367</v>
      </c>
      <c r="DL60">
        <f>7963.6*(CD60/1000)^0.6*1.7*('CAPEX+OPEX'!$G$116/'CAPEX+OPEX'!$G$115)</f>
        <v>3039.9217388990178</v>
      </c>
      <c r="DM60">
        <f>7963.6*(CE60/1000)^0.6*1.7*('CAPEX+OPEX'!$G$116/'CAPEX+OPEX'!$G$115)</f>
        <v>6718.6367897810824</v>
      </c>
      <c r="DN60">
        <f>'TEA Revised Non EYZ'!CM60</f>
        <v>39625.826528698344</v>
      </c>
      <c r="DO60">
        <f>'TEA Revised Non EYZ'!CN60</f>
        <v>4586243.4239371875</v>
      </c>
      <c r="DP60">
        <f>'TEA Revised Non EYZ'!CO60</f>
        <v>11794834.586807497</v>
      </c>
      <c r="DQ60">
        <f>'TEA Revised Non EYZ'!CP60</f>
        <v>2275209.1661185985</v>
      </c>
      <c r="DR60">
        <f>'TEA Revised Non EYZ'!CQ60</f>
        <v>14083914.336508472</v>
      </c>
      <c r="DS60">
        <f>'TEA Revised Non EYZ'!CR60</f>
        <v>1662824.8986326549</v>
      </c>
      <c r="DT60">
        <f>'TEA Revised Non EYZ'!CS60</f>
        <v>751295.09040276916</v>
      </c>
      <c r="DU60">
        <f>'TEA Revised Non EYZ'!CT60</f>
        <v>1932169.8606163235</v>
      </c>
      <c r="DV60">
        <f>'TEA Revised Non EYZ'!CU60</f>
        <v>372713.20297186484</v>
      </c>
      <c r="DW60">
        <f>'TEA Revised Non EYZ'!CV60</f>
        <v>2307155.2721002945</v>
      </c>
      <c r="DX60">
        <f>'TEA Revised Non EYZ'!CW60</f>
        <v>272395.52441150707</v>
      </c>
      <c r="DY60">
        <f>'TEA Revised Non EYZ'!CX60</f>
        <v>5635728.9505027588</v>
      </c>
      <c r="DZ60">
        <f>'TEA Revised Non EYZ'!CY60</f>
        <v>884659.30262568092</v>
      </c>
      <c r="EA60">
        <f>'TEA Revised Non EYZ'!CZ60</f>
        <v>2275154.0150899086</v>
      </c>
      <c r="EB60">
        <f>'TEA Revised Non EYZ'!DA60</f>
        <v>438874.42688292934</v>
      </c>
      <c r="EC60">
        <f>'TEA Revised Non EYZ'!DB60</f>
        <v>2716703.9957245099</v>
      </c>
      <c r="ED60">
        <f>'TEA Revised Non EYZ'!DC60</f>
        <v>320749.11408652045</v>
      </c>
      <c r="EE60">
        <f>'TEA Revised Non EYZ'!DD60</f>
        <v>6636140.8544095494</v>
      </c>
      <c r="EF60">
        <v>0.7</v>
      </c>
      <c r="EG60">
        <v>100</v>
      </c>
      <c r="EH60">
        <f>96485*BL60*V60/EF60/EG60/60</f>
        <v>25.280029303934459</v>
      </c>
      <c r="EI60">
        <f>96485*BN60*BA60/EF60/EG60/60</f>
        <v>45.230319737655641</v>
      </c>
      <c r="EJ60">
        <f>EH60*('CAPEX+OPEX'!$O$25+'CAPEX+OPEX'!$O$26)</f>
        <v>805725.09397499904</v>
      </c>
      <c r="EK60">
        <f>EI60*('CAPEX+OPEX'!$O$25+'CAPEX+OPEX'!$O$26)</f>
        <v>1441580.7506785607</v>
      </c>
      <c r="EL60">
        <f>EJ60*1.12/0.6*'CAPEX+OPEX'!$G$116/'CAPEX+OPEX'!$G$115</f>
        <v>1773928.987938937</v>
      </c>
      <c r="EM60">
        <f>EK60*1.12/0.6*'CAPEX+OPEX'!$G$116/'CAPEX+OPEX'!$G$115</f>
        <v>3173864.0154141975</v>
      </c>
      <c r="EN60">
        <f>EL60+EM60+DY60+EE60+1.15*(SUM(DF60:DM60)+SUM(CF60:CI60))</f>
        <v>17324252.023525167</v>
      </c>
      <c r="EO60">
        <f>EN60/15</f>
        <v>1154950.1349016777</v>
      </c>
      <c r="EP60">
        <f>('eLLE Bals'!CB60+'eLLE Bals'!CC60)*'Oxidant Feed Composition'!$N$25*60*7200</f>
        <v>12359438.678101785</v>
      </c>
      <c r="EQ60" s="83">
        <f>('eLLE Bals'!BR60+'eLLE Bals'!BY60)*'Reagent cost'!$C$38*60*7200</f>
        <v>505440.89261177566</v>
      </c>
      <c r="ER60">
        <f>'TEA Revised Non EYZ'!DI60</f>
        <v>504921.59999999998</v>
      </c>
      <c r="ES60">
        <f>'TEA Revised Non EYZ'!DJ60</f>
        <v>101.82145040924509</v>
      </c>
      <c r="ET60">
        <f>'TEA Revised Non EYZ'!DK60</f>
        <v>1192.7592646577802</v>
      </c>
      <c r="EU60">
        <f>1.2*SUM(EP60:ET60)</f>
        <v>16045314.901714351</v>
      </c>
      <c r="EV60">
        <f>'TEA Revised Non EYZ'!DM60</f>
        <v>0.70639694042110623</v>
      </c>
      <c r="EW60">
        <f>(BS60*CO60+BT60*CP60)/1000*('Oxidant Feed Composition'!$B$11*'Oxidant Feed Composition'!$O$20+'Oxidant Feed Composition'!$D$11*'Oxidant Feed Composition'!$O$21+'Oxidant Feed Composition'!$F$11*'Oxidant Feed Composition'!$O$27-'Oxidant Feed Composition'!$J$15*18.015)</f>
        <v>1.7922463827464605</v>
      </c>
      <c r="EX60">
        <f>(CZ60*BX60+DC60*BZ60)*368.34/1000</f>
        <v>0.10202858994661633</v>
      </c>
      <c r="EY60">
        <f>'TEA Revised Non EYZ'!DP60</f>
        <v>4.999938342565946E-2</v>
      </c>
      <c r="EZ60">
        <f>SUM(EV60:EX60)-EY60</f>
        <v>2.5506725296885238</v>
      </c>
      <c r="FA60">
        <f>EZ60*0.33*60*7200</f>
        <v>363623.87583239598</v>
      </c>
      <c r="FB60">
        <f>'TEA Revised Non EYZ'!DS60</f>
        <v>1.2</v>
      </c>
      <c r="FC60">
        <v>0.5</v>
      </c>
      <c r="FD60">
        <f>'TEA Revised Non EYZ'!DT60</f>
        <v>1405.9070716810863</v>
      </c>
      <c r="FE60">
        <f>'TEA Revised Non EYZ'!DU60</f>
        <v>705.84345029620977</v>
      </c>
      <c r="FF60">
        <f>'TEA Revised Non EYZ'!DV60</f>
        <v>0.7</v>
      </c>
      <c r="FG60">
        <f>'TEA Revised Non EYZ'!DW60</f>
        <v>41280.414286181804</v>
      </c>
      <c r="FH60">
        <f>'TEA Revised Non EYZ'!DX60</f>
        <v>37373.489075065132</v>
      </c>
      <c r="FI60">
        <f>'TEA Revised Non EYZ'!DY60</f>
        <v>15823.453035813865</v>
      </c>
      <c r="FJ60">
        <f>'TEA Revised Non EYZ'!DZ60</f>
        <v>8382.1245272768647</v>
      </c>
      <c r="FK60">
        <f>'TEA Revised Non EYZ'!EA60</f>
        <v>8439.174952434063</v>
      </c>
      <c r="FL60">
        <f>'TEA Revised Non EYZ'!EB60</f>
        <v>850.29259695272106</v>
      </c>
      <c r="FM60">
        <f>'TEA Revised Non EYZ'!EC60</f>
        <v>48856.86409707307</v>
      </c>
      <c r="FN60">
        <f>'TEA Revised Non EYZ'!ED60</f>
        <v>50432.981593880453</v>
      </c>
      <c r="FO60">
        <f>'TEA Revised Non EYZ'!EE60</f>
        <v>21352.673658699387</v>
      </c>
      <c r="FP60">
        <f>'TEA Revised Non EYZ'!EF60</f>
        <v>11317.402316740587</v>
      </c>
      <c r="FQ60">
        <f>'TEA Revised Non EYZ'!EG60</f>
        <v>11388.092617973009</v>
      </c>
      <c r="FR60">
        <f>'TEA Revised Non EYZ'!EH60</f>
        <v>426.8941187391477</v>
      </c>
      <c r="FS60">
        <f>'TEA Revised Non EYZ'!EI60</f>
        <v>255923.8568768301</v>
      </c>
      <c r="FT60">
        <f>EG60*EH60</f>
        <v>2528.0029303934457</v>
      </c>
      <c r="FU60">
        <f>EG60*EI60</f>
        <v>4523.0319737655645</v>
      </c>
      <c r="FV60">
        <f>FC60*(FT60+FU60)/(3.6*10^6)*3600*7200*0.07</f>
        <v>1776.8607958480711</v>
      </c>
      <c r="FW60">
        <f>('CAPEX+OPEX'!$C$39/7/100+0.03)*EL60</f>
        <v>91230.633665431043</v>
      </c>
      <c r="FX60">
        <f>('CAPEX+OPEX'!$C$39/7/100+0.03)*EM60</f>
        <v>163227.29222130158</v>
      </c>
      <c r="FY60">
        <f>SUM(FV60:FX60)</f>
        <v>256234.78668258071</v>
      </c>
      <c r="FZ60">
        <f>FY60+FA60+FS60+EU60</f>
        <v>16921097.42110616</v>
      </c>
      <c r="GA60">
        <f>FZ60+EO60</f>
        <v>18076047.556007836</v>
      </c>
      <c r="GB60">
        <f>GA60/(BK60*60*7200)</f>
        <v>0.41842702675944066</v>
      </c>
      <c r="GC60">
        <f>'TEA Revised Non EYZ'!EM60/'TEA Revised Non EYZ'!EK60*GA60</f>
        <v>1399.8300344241331</v>
      </c>
      <c r="GD60">
        <f>'TEA Revised Non EYZ'!EN60/'TEA Revised Non EYZ'!EK60*GA60</f>
        <v>2568.8935486817741</v>
      </c>
    </row>
    <row r="61" spans="1:186">
      <c r="A61">
        <f>'TEA Revised Non EYZ'!A61</f>
        <v>8</v>
      </c>
      <c r="B61">
        <f>'TEA Revised Non EYZ'!B61</f>
        <v>1.54143585092054E-3</v>
      </c>
      <c r="C61">
        <f>'TEA Revised Non EYZ'!C61</f>
        <v>1.54143585092054E-3</v>
      </c>
      <c r="D61">
        <f>'TEA Revised Non EYZ'!D61</f>
        <v>3.4254130020456501E-4</v>
      </c>
      <c r="E61">
        <f>'TEA Revised Non EYZ'!E61</f>
        <v>0</v>
      </c>
      <c r="F61">
        <f>'TEA Revised Non EYZ'!F61</f>
        <v>0</v>
      </c>
      <c r="G61">
        <f>'TEA Revised Non EYZ'!G61</f>
        <v>0</v>
      </c>
      <c r="H61">
        <f>'TEA Revised Non EYZ'!H61</f>
        <v>1.7762434284205799E-5</v>
      </c>
      <c r="I61">
        <f>'TEA Revised Non EYZ'!I61</f>
        <v>4.4591984978445998E-9</v>
      </c>
      <c r="J61">
        <f>'TEA Revised Non EYZ'!J61</f>
        <v>3.37570976171142E-4</v>
      </c>
      <c r="K61">
        <f>'TEA Revised Non EYZ'!K61</f>
        <v>0.13846015972746001</v>
      </c>
      <c r="L61">
        <f>'TEA Revised Non EYZ'!L61</f>
        <v>0.14007387303476199</v>
      </c>
      <c r="M61">
        <f>'TEA Revised Non EYZ'!M61</f>
        <v>4.5166625081916902E-4</v>
      </c>
      <c r="N61">
        <f>'TEA Revised Non EYZ'!N61</f>
        <v>-2.6107588313450902E-16</v>
      </c>
      <c r="O61">
        <f>'TEA Revised Non EYZ'!O61</f>
        <v>-1.18524981496115E-14</v>
      </c>
      <c r="P61">
        <f>'TEA Revised Non EYZ'!P61</f>
        <v>-2.5241581828178102E-19</v>
      </c>
      <c r="Q61">
        <f>'TEA Revised Non EYZ'!Q61</f>
        <v>0.110044175857931</v>
      </c>
      <c r="R61">
        <f>'TEA Revised Non EYZ'!R61</f>
        <v>98.548985471108097</v>
      </c>
      <c r="S61">
        <f>'TEA Revised Non EYZ'!S61</f>
        <v>500</v>
      </c>
      <c r="T61">
        <f>'TEA Revised Non EYZ'!T61</f>
        <v>95</v>
      </c>
      <c r="U61">
        <f>'TEA Revised Non EYZ'!U61</f>
        <v>1</v>
      </c>
      <c r="V61">
        <f>'TEA Revised Non EYZ'!V61</f>
        <v>0.1</v>
      </c>
      <c r="W61">
        <f>'TEA Revised Non EYZ'!W61</f>
        <v>90.872596591664205</v>
      </c>
      <c r="X61" t="str">
        <f>'TEA Revised Non EYZ'!X61</f>
        <v>ddFc</v>
      </c>
      <c r="Y61">
        <f>'TEA Revised Non EYZ'!Y61</f>
        <v>1</v>
      </c>
      <c r="Z61">
        <f>'TEA Revised Non EYZ'!Z61</f>
        <v>0.28318429382522198</v>
      </c>
      <c r="AA61">
        <f>'TEA Revised Non EYZ'!AA61</f>
        <v>0.56945642916197003</v>
      </c>
      <c r="AB61">
        <f>'TEA Revised Non EYZ'!AB61</f>
        <v>3.7698628972227502E-3</v>
      </c>
      <c r="AC61">
        <f>'TEA Revised Non EYZ'!AC61</f>
        <v>1822.2107908876901</v>
      </c>
      <c r="AD61">
        <f>'TEA Revised Non EYZ'!AD61</f>
        <v>2662.6059073104898</v>
      </c>
      <c r="AE61">
        <f>'TEA Revised Non EYZ'!AE61</f>
        <v>2401.5030938442701</v>
      </c>
      <c r="AF61">
        <f>'TEA Revised Non EYZ'!AF61</f>
        <v>13</v>
      </c>
      <c r="AG61">
        <f>'TEA Revised Non EYZ'!AG61</f>
        <v>1.6497294784823999E-3</v>
      </c>
      <c r="AH61">
        <f>'TEA Revised Non EYZ'!AH61</f>
        <v>1.66895660069658E-3</v>
      </c>
      <c r="AI61">
        <f>'TEA Revised Non EYZ'!AI61</f>
        <v>5.38152729188446E-6</v>
      </c>
      <c r="AJ61">
        <f>'TEA Revised Non EYZ'!AJ61</f>
        <v>0</v>
      </c>
      <c r="AK61">
        <f>'TEA Revised Non EYZ'!AK61</f>
        <v>0</v>
      </c>
      <c r="AL61">
        <f>'TEA Revised Non EYZ'!AL61</f>
        <v>0</v>
      </c>
      <c r="AM61">
        <f>'TEA Revised Non EYZ'!AM61</f>
        <v>1.6127812941209201E-3</v>
      </c>
      <c r="AN61">
        <f>'TEA Revised Non EYZ'!AN61</f>
        <v>7.9537091597651401E-5</v>
      </c>
      <c r="AO61">
        <f>'TEA Revised Non EYZ'!AO61</f>
        <v>5.34613440871419E-6</v>
      </c>
      <c r="AP61">
        <f>'TEA Revised Non EYZ'!AP61</f>
        <v>1.73322090687147E-3</v>
      </c>
      <c r="AQ61">
        <f>'TEA Revised Non EYZ'!AQ61</f>
        <v>7.4558876723361894E-2</v>
      </c>
      <c r="AR61">
        <f>'TEA Revised Non EYZ'!AR61</f>
        <v>1.6602625034295099E-6</v>
      </c>
      <c r="AS61">
        <f>'TEA Revised Non EYZ'!AS61</f>
        <v>-3.2526065174565099E-19</v>
      </c>
      <c r="AT61">
        <f>'TEA Revised Non EYZ'!AT61</f>
        <v>-1.5178830414797E-17</v>
      </c>
      <c r="AU61">
        <f>'TEA Revised Non EYZ'!AU61</f>
        <v>5.3601303693436099E-22</v>
      </c>
      <c r="AV61">
        <f>'TEA Revised Non EYZ'!AV61</f>
        <v>0.19688758804081399</v>
      </c>
      <c r="AW61">
        <f>'TEA Revised Non EYZ'!AW61</f>
        <v>99.342326420537802</v>
      </c>
      <c r="AX61">
        <f>'TEA Revised Non EYZ'!AX61</f>
        <v>499.99999999999898</v>
      </c>
      <c r="AY61">
        <f>'TEA Revised Non EYZ'!AY61</f>
        <v>95</v>
      </c>
      <c r="AZ61">
        <f>'TEA Revised Non EYZ'!AZ61</f>
        <v>0.92358985913147196</v>
      </c>
      <c r="BA61">
        <f>'TEA Revised Non EYZ'!BA61</f>
        <v>0.1</v>
      </c>
      <c r="BB61">
        <f>'TEA Revised Non EYZ'!BB61</f>
        <v>46.909501422711003</v>
      </c>
      <c r="BC61" t="str">
        <f>'TEA Revised Non EYZ'!BC61</f>
        <v>coeFc</v>
      </c>
      <c r="BD61">
        <f>'TEA Revised Non EYZ'!BD61</f>
        <v>1</v>
      </c>
      <c r="BE61">
        <f>'TEA Revised Non EYZ'!BE61</f>
        <v>1.8775014999999999E-2</v>
      </c>
      <c r="BF61">
        <f>'TEA Revised Non EYZ'!BF61</f>
        <v>0.10492961100000001</v>
      </c>
      <c r="BG61">
        <f>'TEA Revised Non EYZ'!BG61</f>
        <v>1.814625E-3</v>
      </c>
      <c r="BH61">
        <f>'TEA Revised Non EYZ'!BH61</f>
        <v>285.1951444</v>
      </c>
      <c r="BI61">
        <f>'TEA Revised Non EYZ'!BI61</f>
        <v>2169.8944889999998</v>
      </c>
      <c r="BJ61">
        <f>'TEA Revised Non EYZ'!BJ61</f>
        <v>866.49409060000005</v>
      </c>
      <c r="BK61">
        <f>'TEA Revised Non EYZ'!BK61</f>
        <v>100</v>
      </c>
      <c r="BL61">
        <f>'TEA Revised Non EYZ'!BL61</f>
        <v>11.004417585793099</v>
      </c>
      <c r="BM61">
        <f>'TEA Revised Non EYZ'!BM61</f>
        <v>92.358985913147194</v>
      </c>
      <c r="BN61">
        <f>'TEA Revised Non EYZ'!BN61</f>
        <v>19.688758804081399</v>
      </c>
      <c r="BO61">
        <f>'TEA Revised Non EYZ'!BO61</f>
        <v>220.08835171586199</v>
      </c>
      <c r="BP61">
        <f>'TEA Revised Non EYZ'!BP61</f>
        <v>590.66276412244201</v>
      </c>
      <c r="BQ61">
        <f>'TEA Revised Non EYZ'!BQ61</f>
        <v>22.008835171586199</v>
      </c>
      <c r="BR61">
        <f>'TEA Revised Non EYZ'!BR61</f>
        <v>59.066276412244207</v>
      </c>
      <c r="BS61">
        <f>'eLLE Bals'!CF61</f>
        <v>6.6026505514758593</v>
      </c>
      <c r="BT61">
        <f>'eLLE Bals'!CG61</f>
        <v>11.813255282448839</v>
      </c>
      <c r="BU61">
        <f>BM61</f>
        <v>92.358985913147194</v>
      </c>
      <c r="BV61">
        <f>BU61*(AM61*2+AN61*2+AO61*3)</f>
        <v>0.31408291055191573</v>
      </c>
      <c r="BW61">
        <f>BN61*BA61*(AP61*2+AQ61*2+AR61*3)</f>
        <v>0.3004291483322134</v>
      </c>
      <c r="BX61">
        <f>BV61/(2*V61*BL61+BV61)</f>
        <v>0.12488552812923101</v>
      </c>
      <c r="BY61">
        <f>BU61*BX61</f>
        <v>11.534300733243594</v>
      </c>
      <c r="BZ61">
        <f>BW61/(2*BN61*BA61+BW61)</f>
        <v>7.0886343639486968E-2</v>
      </c>
      <c r="CA61">
        <f>2*BN61*BA61/0.04</f>
        <v>98.443794020406997</v>
      </c>
      <c r="CB61">
        <f>(BS61+BL61)*2</f>
        <v>35.214136274537921</v>
      </c>
      <c r="CC61">
        <f>(BU61+BL61)*2</f>
        <v>206.7268069978806</v>
      </c>
      <c r="CD61">
        <f>(BT61+BN61)*2</f>
        <v>63.004028173060476</v>
      </c>
      <c r="CE61">
        <f>(CA61+BN61)*2</f>
        <v>236.2651056489768</v>
      </c>
      <c r="CF61">
        <f>'TEA Revised Non EYZ'!CB61</f>
        <v>2905.1662426493785</v>
      </c>
      <c r="CG61">
        <f>'TEA Revised Non EYZ'!CC61</f>
        <v>7796.7484864162352</v>
      </c>
      <c r="CH61">
        <f>'TEA Revised Non EYZ'!CD61</f>
        <v>3509.9789962792502</v>
      </c>
      <c r="CI61">
        <f>'TEA Revised Non EYZ'!CE61</f>
        <v>60137.014037489032</v>
      </c>
      <c r="CJ61">
        <f>BL61*V61</f>
        <v>1.10044175857931</v>
      </c>
      <c r="CK61">
        <f>CJ61/2*1.2</f>
        <v>0.66026505514758604</v>
      </c>
      <c r="CL61">
        <f>'eLLE Bals'!CB61*'Oxidant Feed Composition'!$N$20</f>
        <v>3.668139195264368E-2</v>
      </c>
      <c r="CM61">
        <f>'eLLE Bals'!CB61*'Oxidant Feed Composition'!$N$21</f>
        <v>1.8340695976321835</v>
      </c>
      <c r="CN61">
        <f>'eLLE Bals'!CB61*'Oxidant Feed Composition'!$N$22</f>
        <v>0.55022087928965502</v>
      </c>
      <c r="CO61">
        <f>CN61/CK61</f>
        <v>0.83333333333333326</v>
      </c>
      <c r="CP61">
        <f>CO61</f>
        <v>0.83333333333333326</v>
      </c>
      <c r="CQ61">
        <f>CL61/CO61</f>
        <v>4.4017670343172423E-2</v>
      </c>
      <c r="CR61">
        <f>CM61/CO61</f>
        <v>2.2008835171586205</v>
      </c>
      <c r="CS61">
        <f>BN61*BA61</f>
        <v>1.9688758804081399</v>
      </c>
      <c r="CT61">
        <f>CS61/2*1.2</f>
        <v>1.1813255282448838</v>
      </c>
      <c r="CU61">
        <f>'eLLE Bals'!CC61*'Oxidant Feed Composition'!$N$20</f>
        <v>6.5629196013604688E-2</v>
      </c>
      <c r="CV61">
        <f>'eLLE Bals'!CC61*'Oxidant Feed Composition'!$N$21</f>
        <v>3.2814598006802336</v>
      </c>
      <c r="CW61">
        <f>'eLLE Bals'!CC61*'Oxidant Feed Composition'!$N$22</f>
        <v>0.98443794020406994</v>
      </c>
      <c r="CX61">
        <f>CU61/CP61</f>
        <v>7.8755035216325639E-2</v>
      </c>
      <c r="CY61">
        <f>CV61/CP61</f>
        <v>3.9377517608162806</v>
      </c>
      <c r="CZ61">
        <f>CJ61</f>
        <v>1.10044175857931</v>
      </c>
      <c r="DA61">
        <f>'eLLE Bals'!BQ61</f>
        <v>2.2008835171586201</v>
      </c>
      <c r="DB61">
        <f>'eLLE Bals'!BU61</f>
        <v>5.5102782388068858</v>
      </c>
      <c r="DC61">
        <f>CS61</f>
        <v>1.9688758804081399</v>
      </c>
      <c r="DD61">
        <f>'eLLE Bals'!BX61</f>
        <v>3.9377517608162798</v>
      </c>
      <c r="DE61">
        <f>'eLLE Bals'!CA61</f>
        <v>21.868480783346442</v>
      </c>
      <c r="DF61">
        <f>2*2*(CJ61*'Reagent cost'!$C$36*122.44/1000+CK61*'Oxidant Feed Composition'!$N$26+CQ61*'Reagent cost'!$C$34+CR61*'Reagent cost'!$C$35)</f>
        <v>92.951797184309328</v>
      </c>
      <c r="DG61">
        <f>2*2*(CS61*'Reagent cost'!$C$36*122.44/1000+CT61*'Oxidant Feed Composition'!$N$26+CX61*'Reagent cost'!$C$34+CY61*'Reagent cost'!$C$35)</f>
        <v>166.30644020002094</v>
      </c>
      <c r="DH61">
        <f>(AF61+3)*2*(CZ61*'Reagent cost'!$C$38+DA61*'Reagent cost'!$C$39+DB61*'Reagent cost'!$C$36*122.44/1000)</f>
        <v>1681.6380348352511</v>
      </c>
      <c r="DI61">
        <f>3*2*(DC61*'Reagent cost'!$C$38+DD61*'Reagent cost'!$C$39+DE61*'Reagent cost'!$C$36*122.44/1000)</f>
        <v>1187.2023117778551</v>
      </c>
      <c r="DJ61">
        <f>7963.6*(CB61/1000)^0.6*1.7*('CAPEX+OPEX'!$G$116/'CAPEX+OPEX'!$G$115)</f>
        <v>2144.228934815284</v>
      </c>
      <c r="DK61">
        <f>7963.6*(CC61/1000)^0.6*1.7*('CAPEX+OPEX'!$G$116/'CAPEX+OPEX'!$G$115)</f>
        <v>6201.2466571653367</v>
      </c>
      <c r="DL61">
        <f>7963.6*(CD61/1000)^0.6*1.7*('CAPEX+OPEX'!$G$116/'CAPEX+OPEX'!$G$115)</f>
        <v>3039.9183440626803</v>
      </c>
      <c r="DM61">
        <f>7963.6*(CE61/1000)^0.6*1.7*('CAPEX+OPEX'!$G$116/'CAPEX+OPEX'!$G$115)</f>
        <v>6718.629286735194</v>
      </c>
      <c r="DN61">
        <f>'TEA Revised Non EYZ'!CM61</f>
        <v>39625.826528698344</v>
      </c>
      <c r="DO61">
        <f>'TEA Revised Non EYZ'!CN61</f>
        <v>4586243.4239371875</v>
      </c>
      <c r="DP61">
        <f>'TEA Revised Non EYZ'!CO61</f>
        <v>11794834.586807497</v>
      </c>
      <c r="DQ61">
        <f>'TEA Revised Non EYZ'!CP61</f>
        <v>2275209.1661185985</v>
      </c>
      <c r="DR61">
        <f>'TEA Revised Non EYZ'!CQ61</f>
        <v>14083914.336508472</v>
      </c>
      <c r="DS61">
        <f>'TEA Revised Non EYZ'!CR61</f>
        <v>1662824.8986326549</v>
      </c>
      <c r="DT61">
        <f>'TEA Revised Non EYZ'!CS61</f>
        <v>751295.09040276916</v>
      </c>
      <c r="DU61">
        <f>'TEA Revised Non EYZ'!CT61</f>
        <v>1932169.8606163235</v>
      </c>
      <c r="DV61">
        <f>'TEA Revised Non EYZ'!CU61</f>
        <v>372713.20297186484</v>
      </c>
      <c r="DW61">
        <f>'TEA Revised Non EYZ'!CV61</f>
        <v>2307155.2721002945</v>
      </c>
      <c r="DX61">
        <f>'TEA Revised Non EYZ'!CW61</f>
        <v>272395.52441150707</v>
      </c>
      <c r="DY61">
        <f>'TEA Revised Non EYZ'!CX61</f>
        <v>5635728.9505027588</v>
      </c>
      <c r="DZ61">
        <f>'TEA Revised Non EYZ'!CY61</f>
        <v>924883.13167584944</v>
      </c>
      <c r="EA61">
        <f>'TEA Revised Non EYZ'!CZ61</f>
        <v>2378601.0775852241</v>
      </c>
      <c r="EB61">
        <f>'TEA Revised Non EYZ'!DA61</f>
        <v>458829.23871730972</v>
      </c>
      <c r="EC61">
        <f>'TEA Revised Non EYZ'!DB61</f>
        <v>2840227.5225552334</v>
      </c>
      <c r="ED61">
        <f>'TEA Revised Non EYZ'!DC61</f>
        <v>335332.98552122596</v>
      </c>
      <c r="EE61">
        <f>'TEA Revised Non EYZ'!DD61</f>
        <v>6937873.956054843</v>
      </c>
      <c r="EF61">
        <v>0.7</v>
      </c>
      <c r="EG61">
        <v>100</v>
      </c>
      <c r="EH61">
        <f>96485*BL61*V61/EF61/EG61/60</f>
        <v>25.280029303934459</v>
      </c>
      <c r="EI61">
        <f>96485*BN61*BA61/EF61/EG61/60</f>
        <v>45.23023555266176</v>
      </c>
      <c r="EJ61">
        <f>EH61*('CAPEX+OPEX'!$O$25+'CAPEX+OPEX'!$O$26)</f>
        <v>805725.09397499904</v>
      </c>
      <c r="EK61">
        <f>EI61*('CAPEX+OPEX'!$O$25+'CAPEX+OPEX'!$O$26)</f>
        <v>1441578.0675344355</v>
      </c>
      <c r="EL61">
        <f>EJ61*1.12/0.6*'CAPEX+OPEX'!$G$116/'CAPEX+OPEX'!$G$115</f>
        <v>1773928.987938937</v>
      </c>
      <c r="EM61">
        <f>EK61*1.12/0.6*'CAPEX+OPEX'!$G$116/'CAPEX+OPEX'!$G$115</f>
        <v>3173858.1080554998</v>
      </c>
      <c r="EN61">
        <f>EL61+EM61+DY61+EE61+1.15*(SUM(DF61:DM61)+SUM(CF61:CI61))</f>
        <v>17631308.186557092</v>
      </c>
      <c r="EO61">
        <f>EN61/15</f>
        <v>1175420.5457704728</v>
      </c>
      <c r="EP61">
        <f>('eLLE Bals'!CB61+'eLLE Bals'!CC61)*'Oxidant Feed Composition'!$N$25*60*7200</f>
        <v>12359423.921696754</v>
      </c>
      <c r="EQ61" s="83">
        <f>('eLLE Bals'!BR61+'eLLE Bals'!BY61)*'Reagent cost'!$C$38*60*7200</f>
        <v>505440.85474258306</v>
      </c>
      <c r="ER61">
        <f>'TEA Revised Non EYZ'!DI61</f>
        <v>504921.59999999998</v>
      </c>
      <c r="ES61">
        <f>'TEA Revised Non EYZ'!DJ61</f>
        <v>107.01914729065615</v>
      </c>
      <c r="ET61">
        <f>'TEA Revised Non EYZ'!DK61</f>
        <v>1272.9398606753657</v>
      </c>
      <c r="EU61">
        <f>1.2*SUM(EP61:ET61)</f>
        <v>16045399.602536762</v>
      </c>
      <c r="EV61">
        <f>'TEA Revised Non EYZ'!DM61</f>
        <v>0.70639694042110623</v>
      </c>
      <c r="EW61">
        <f>(BS61*CO61+BT61*CP61)/1000*('Oxidant Feed Composition'!$B$11*'Oxidant Feed Composition'!$O$20+'Oxidant Feed Composition'!$D$11*'Oxidant Feed Composition'!$O$21+'Oxidant Feed Composition'!$F$11*'Oxidant Feed Composition'!$O$27-'Oxidant Feed Composition'!$J$15*18.015)</f>
        <v>1.7922442429151766</v>
      </c>
      <c r="EX61">
        <f>(CZ61*BX61+DC61*BZ61)*368.34/1000</f>
        <v>0.10202858230231926</v>
      </c>
      <c r="EY61">
        <f>'TEA Revised Non EYZ'!DP61</f>
        <v>4.999938342565946E-2</v>
      </c>
      <c r="EZ61">
        <f>SUM(EV61:EX61)-EY61</f>
        <v>2.5506703822129428</v>
      </c>
      <c r="FA61">
        <f>EZ61*0.33*60*7200</f>
        <v>363623.56968827714</v>
      </c>
      <c r="FB61">
        <f>'TEA Revised Non EYZ'!DS61</f>
        <v>1.2</v>
      </c>
      <c r="FC61">
        <v>0.5</v>
      </c>
      <c r="FD61">
        <f>'TEA Revised Non EYZ'!DT61</f>
        <v>1405.9072864386719</v>
      </c>
      <c r="FE61">
        <f>'TEA Revised Non EYZ'!DU61</f>
        <v>705.84323552017645</v>
      </c>
      <c r="FF61">
        <f>'TEA Revised Non EYZ'!DV61</f>
        <v>0.7</v>
      </c>
      <c r="FG61">
        <f>'TEA Revised Non EYZ'!DW61</f>
        <v>41280.414286181804</v>
      </c>
      <c r="FH61">
        <f>'TEA Revised Non EYZ'!DX61</f>
        <v>37373.489075065132</v>
      </c>
      <c r="FI61">
        <f>'TEA Revised Non EYZ'!DY61</f>
        <v>15823.453035813865</v>
      </c>
      <c r="FJ61">
        <f>'TEA Revised Non EYZ'!DZ61</f>
        <v>8382.1245272768647</v>
      </c>
      <c r="FK61">
        <f>'TEA Revised Non EYZ'!EA61</f>
        <v>8439.174952434063</v>
      </c>
      <c r="FL61">
        <f>'TEA Revised Non EYZ'!EB61</f>
        <v>850.29272683810882</v>
      </c>
      <c r="FM61">
        <f>'TEA Revised Non EYZ'!EC61</f>
        <v>51428.277996919023</v>
      </c>
      <c r="FN61">
        <f>'TEA Revised Non EYZ'!ED61</f>
        <v>54312.441716486632</v>
      </c>
      <c r="FO61">
        <f>'TEA Revised Non EYZ'!EE61</f>
        <v>22995.187017060871</v>
      </c>
      <c r="FP61">
        <f>'TEA Revised Non EYZ'!EF61</f>
        <v>12187.971725720628</v>
      </c>
      <c r="FQ61">
        <f>'TEA Revised Non EYZ'!EG61</f>
        <v>12264.099742432467</v>
      </c>
      <c r="FR61">
        <f>'TEA Revised Non EYZ'!EH61</f>
        <v>426.89398884260271</v>
      </c>
      <c r="FS61">
        <f>'TEA Revised Non EYZ'!EI61</f>
        <v>265763.82079107204</v>
      </c>
      <c r="FT61">
        <f>EG61*EH61</f>
        <v>2528.0029303934457</v>
      </c>
      <c r="FU61">
        <f>EG61*EI61</f>
        <v>4523.0235552661761</v>
      </c>
      <c r="FV61">
        <f>FC61*(FT61+FU61)/(3.6*10^6)*3600*7200*0.07</f>
        <v>1776.8586743862247</v>
      </c>
      <c r="FW61">
        <f>('CAPEX+OPEX'!$C$39/7/100+0.03)*EL61</f>
        <v>91230.633665431043</v>
      </c>
      <c r="FX61">
        <f>('CAPEX+OPEX'!$C$39/7/100+0.03)*EM61</f>
        <v>163226.98841428285</v>
      </c>
      <c r="FY61">
        <f>SUM(FV61:FX61)</f>
        <v>256234.48075410014</v>
      </c>
      <c r="FZ61">
        <f>FY61+FA61+FS61+EU61</f>
        <v>16931021.473770212</v>
      </c>
      <c r="GA61">
        <f>FZ61+EO61</f>
        <v>18106442.019540686</v>
      </c>
      <c r="GB61">
        <f>GA61/(BK61*60*7200)</f>
        <v>0.41913060230418253</v>
      </c>
      <c r="GC61">
        <f>'TEA Revised Non EYZ'!EM61/'TEA Revised Non EYZ'!EK61*GA61</f>
        <v>1402.1836025198295</v>
      </c>
      <c r="GD61">
        <f>'TEA Revised Non EYZ'!EN61/'TEA Revised Non EYZ'!EK61*GA61</f>
        <v>2573.2138067114051</v>
      </c>
    </row>
    <row r="62" spans="1:186">
      <c r="A62">
        <f>'TEA Revised Non EYZ'!A62</f>
        <v>9</v>
      </c>
      <c r="B62">
        <f>'TEA Revised Non EYZ'!B62</f>
        <v>1.54143585092054E-3</v>
      </c>
      <c r="C62">
        <f>'TEA Revised Non EYZ'!C62</f>
        <v>1.54143585092054E-3</v>
      </c>
      <c r="D62">
        <f>'TEA Revised Non EYZ'!D62</f>
        <v>3.4254130020456501E-4</v>
      </c>
      <c r="E62">
        <f>'TEA Revised Non EYZ'!E62</f>
        <v>0</v>
      </c>
      <c r="F62">
        <f>'TEA Revised Non EYZ'!F62</f>
        <v>0</v>
      </c>
      <c r="G62">
        <f>'TEA Revised Non EYZ'!G62</f>
        <v>0</v>
      </c>
      <c r="H62">
        <f>'TEA Revised Non EYZ'!H62</f>
        <v>1.7768596981705501E-5</v>
      </c>
      <c r="I62">
        <f>'TEA Revised Non EYZ'!I62</f>
        <v>1.5331283704498101E-9</v>
      </c>
      <c r="J62">
        <f>'TEA Revised Non EYZ'!J62</f>
        <v>3.3763247208936601E-4</v>
      </c>
      <c r="K62">
        <f>'TEA Revised Non EYZ'!K62</f>
        <v>0.13890601070001499</v>
      </c>
      <c r="L62">
        <f>'TEA Revised Non EYZ'!L62</f>
        <v>0.14052575540227799</v>
      </c>
      <c r="M62">
        <f>'TEA Revised Non EYZ'!M62</f>
        <v>4.4751616793740602E-4</v>
      </c>
      <c r="N62">
        <f>'TEA Revised Non EYZ'!N62</f>
        <v>-5.0090140368830299E-17</v>
      </c>
      <c r="O62">
        <f>'TEA Revised Non EYZ'!O62</f>
        <v>-6.2343793322261397E-15</v>
      </c>
      <c r="P62">
        <f>'TEA Revised Non EYZ'!P62</f>
        <v>1.7787691892340301E-20</v>
      </c>
      <c r="Q62">
        <f>'TEA Revised Non EYZ'!Q62</f>
        <v>0.10969051996097</v>
      </c>
      <c r="R62">
        <f>'TEA Revised Non EYZ'!R62</f>
        <v>98.566938318892298</v>
      </c>
      <c r="S62">
        <f>'TEA Revised Non EYZ'!S62</f>
        <v>500</v>
      </c>
      <c r="T62">
        <f>'TEA Revised Non EYZ'!T62</f>
        <v>95</v>
      </c>
      <c r="U62">
        <f>'TEA Revised Non EYZ'!U62</f>
        <v>1</v>
      </c>
      <c r="V62">
        <f>'TEA Revised Non EYZ'!V62</f>
        <v>0.1</v>
      </c>
      <c r="W62">
        <f>'TEA Revised Non EYZ'!W62</f>
        <v>91.165581160141301</v>
      </c>
      <c r="X62" t="str">
        <f>'TEA Revised Non EYZ'!X62</f>
        <v>ddFc</v>
      </c>
      <c r="Y62">
        <f>'TEA Revised Non EYZ'!Y62</f>
        <v>1</v>
      </c>
      <c r="Z62">
        <f>'TEA Revised Non EYZ'!Z62</f>
        <v>0.28318429382522198</v>
      </c>
      <c r="AA62">
        <f>'TEA Revised Non EYZ'!AA62</f>
        <v>0.56945642916197003</v>
      </c>
      <c r="AB62">
        <f>'TEA Revised Non EYZ'!AB62</f>
        <v>3.7698628972227502E-3</v>
      </c>
      <c r="AC62">
        <f>'TEA Revised Non EYZ'!AC62</f>
        <v>1822.2107908876901</v>
      </c>
      <c r="AD62">
        <f>'TEA Revised Non EYZ'!AD62</f>
        <v>2662.6059073104898</v>
      </c>
      <c r="AE62">
        <f>'TEA Revised Non EYZ'!AE62</f>
        <v>2401.5030938442701</v>
      </c>
      <c r="AF62">
        <f>'TEA Revised Non EYZ'!AF62</f>
        <v>4</v>
      </c>
      <c r="AG62">
        <f>'TEA Revised Non EYZ'!AG62</f>
        <v>1.6497485970141401E-3</v>
      </c>
      <c r="AH62">
        <f>'TEA Revised Non EYZ'!AH62</f>
        <v>1.6689858606617799E-3</v>
      </c>
      <c r="AI62">
        <f>'TEA Revised Non EYZ'!AI62</f>
        <v>5.3150268046377499E-6</v>
      </c>
      <c r="AJ62">
        <f>'TEA Revised Non EYZ'!AJ62</f>
        <v>0</v>
      </c>
      <c r="AK62">
        <f>'TEA Revised Non EYZ'!AK62</f>
        <v>0</v>
      </c>
      <c r="AL62">
        <f>'TEA Revised Non EYZ'!AL62</f>
        <v>0</v>
      </c>
      <c r="AM62">
        <f>'TEA Revised Non EYZ'!AM62</f>
        <v>1.6048321319618701E-3</v>
      </c>
      <c r="AN62">
        <f>'TEA Revised Non EYZ'!AN62</f>
        <v>7.9192002642469804E-5</v>
      </c>
      <c r="AO62">
        <f>'TEA Revised Non EYZ'!AO62</f>
        <v>5.2728464102818699E-6</v>
      </c>
      <c r="AP62">
        <f>'TEA Revised Non EYZ'!AP62</f>
        <v>1.9874961185591101E-3</v>
      </c>
      <c r="AQ62">
        <f>'TEA Revised Non EYZ'!AQ62</f>
        <v>7.0346344441502298E-2</v>
      </c>
      <c r="AR62">
        <f>'TEA Revised Non EYZ'!AR62</f>
        <v>1.86642849011818E-6</v>
      </c>
      <c r="AS62">
        <f>'TEA Revised Non EYZ'!AS62</f>
        <v>-9.5194915860664904E-15</v>
      </c>
      <c r="AT62">
        <f>'TEA Revised Non EYZ'!AT62</f>
        <v>-1.2276442883096799E-13</v>
      </c>
      <c r="AU62">
        <f>'TEA Revised Non EYZ'!AU62</f>
        <v>-3.0580668722738401E-18</v>
      </c>
      <c r="AV62">
        <f>'TEA Revised Non EYZ'!AV62</f>
        <v>0.20872364334642199</v>
      </c>
      <c r="AW62">
        <f>'TEA Revised Non EYZ'!AW62</f>
        <v>99.206393572294303</v>
      </c>
      <c r="AX62">
        <f>'TEA Revised Non EYZ'!AX62</f>
        <v>500</v>
      </c>
      <c r="AY62">
        <f>'TEA Revised Non EYZ'!AY62</f>
        <v>95</v>
      </c>
      <c r="AZ62">
        <f>'TEA Revised Non EYZ'!AZ62</f>
        <v>0.92357542033771201</v>
      </c>
      <c r="BA62">
        <f>'TEA Revised Non EYZ'!BA62</f>
        <v>0.1</v>
      </c>
      <c r="BB62">
        <f>'TEA Revised Non EYZ'!BB62</f>
        <v>44.248720726134401</v>
      </c>
      <c r="BC62" t="str">
        <f>'TEA Revised Non EYZ'!BC62</f>
        <v>coeFc</v>
      </c>
      <c r="BD62">
        <f>'TEA Revised Non EYZ'!BD62</f>
        <v>1</v>
      </c>
      <c r="BE62">
        <f>'TEA Revised Non EYZ'!BE62</f>
        <v>1.8775014999999999E-2</v>
      </c>
      <c r="BF62">
        <f>'TEA Revised Non EYZ'!BF62</f>
        <v>0.10492961100000001</v>
      </c>
      <c r="BG62">
        <f>'TEA Revised Non EYZ'!BG62</f>
        <v>1.814625E-3</v>
      </c>
      <c r="BH62">
        <f>'TEA Revised Non EYZ'!BH62</f>
        <v>285.1951444</v>
      </c>
      <c r="BI62">
        <f>'TEA Revised Non EYZ'!BI62</f>
        <v>2169.8944889999998</v>
      </c>
      <c r="BJ62">
        <f>'TEA Revised Non EYZ'!BJ62</f>
        <v>866.49409060000005</v>
      </c>
      <c r="BK62">
        <f>'TEA Revised Non EYZ'!BK62</f>
        <v>100</v>
      </c>
      <c r="BL62">
        <f>'TEA Revised Non EYZ'!BL62</f>
        <v>10.969051996096999</v>
      </c>
      <c r="BM62">
        <f>'TEA Revised Non EYZ'!BM62</f>
        <v>92.357542033771196</v>
      </c>
      <c r="BN62">
        <f>'TEA Revised Non EYZ'!BN62</f>
        <v>20.872364334642199</v>
      </c>
      <c r="BO62">
        <f>'TEA Revised Non EYZ'!BO62</f>
        <v>241.31914391413397</v>
      </c>
      <c r="BP62">
        <f>'TEA Revised Non EYZ'!BP62</f>
        <v>250.46837201570639</v>
      </c>
      <c r="BQ62">
        <f>'TEA Revised Non EYZ'!BQ62</f>
        <v>24.1319143914134</v>
      </c>
      <c r="BR62">
        <f>'TEA Revised Non EYZ'!BR62</f>
        <v>25.046837201570639</v>
      </c>
      <c r="BS62">
        <f>'eLLE Bals'!CF62</f>
        <v>6.5814311976581994</v>
      </c>
      <c r="BT62">
        <f>'eLLE Bals'!CG62</f>
        <v>12.52341860078532</v>
      </c>
      <c r="BU62">
        <f>BM62</f>
        <v>92.357542033771196</v>
      </c>
      <c r="BV62">
        <f>BU62*(AM62*2+AN62*2+AO62*3)</f>
        <v>0.31252562099713665</v>
      </c>
      <c r="BW62">
        <f>BN62*BA62*(AP62*2+AQ62*2+AR62*3)</f>
        <v>0.30196734181133933</v>
      </c>
      <c r="BX62">
        <f>BV62/(2*V62*BL62+BV62)</f>
        <v>0.12469422235336816</v>
      </c>
      <c r="BY62">
        <f>BU62*BX62</f>
        <v>11.516451882369612</v>
      </c>
      <c r="BZ62">
        <f>BW62/(2*BN62*BA62+BW62)</f>
        <v>6.7457025611953852E-2</v>
      </c>
      <c r="CA62">
        <f>2*BN62*BA62/0.04</f>
        <v>104.361821673211</v>
      </c>
      <c r="CB62">
        <f>(BS62+BL62)*2</f>
        <v>35.100966387510397</v>
      </c>
      <c r="CC62">
        <f>(BU62+BL62)*2</f>
        <v>206.65318805973638</v>
      </c>
      <c r="CD62">
        <f>(BT62+BN62)*2</f>
        <v>66.791565870855038</v>
      </c>
      <c r="CE62">
        <f>(CA62+BN62)*2</f>
        <v>250.46837201570639</v>
      </c>
      <c r="CF62">
        <f>'TEA Revised Non EYZ'!CB62</f>
        <v>3185.4126996665682</v>
      </c>
      <c r="CG62">
        <f>'TEA Revised Non EYZ'!CC62</f>
        <v>3306.1825106073247</v>
      </c>
      <c r="CH62">
        <f>'TEA Revised Non EYZ'!CD62</f>
        <v>3848.5686313477631</v>
      </c>
      <c r="CI62">
        <f>'TEA Revised Non EYZ'!CE62</f>
        <v>25500.8795521994</v>
      </c>
      <c r="CJ62">
        <f>BL62*V62</f>
        <v>1.0969051996096999</v>
      </c>
      <c r="CK62">
        <f>CJ62/2*1.2</f>
        <v>0.65814311976581996</v>
      </c>
      <c r="CL62">
        <f>'eLLE Bals'!CB62*'Oxidant Feed Composition'!$N$20</f>
        <v>3.656350665365668E-2</v>
      </c>
      <c r="CM62">
        <f>'eLLE Bals'!CB62*'Oxidant Feed Composition'!$N$21</f>
        <v>1.8281753326828334</v>
      </c>
      <c r="CN62">
        <f>'eLLE Bals'!CB62*'Oxidant Feed Composition'!$N$22</f>
        <v>0.54845259980484995</v>
      </c>
      <c r="CO62">
        <f>CN62/CK62</f>
        <v>0.83333333333333326</v>
      </c>
      <c r="CP62">
        <f>CO62</f>
        <v>0.83333333333333326</v>
      </c>
      <c r="CQ62">
        <f>CL62/CO62</f>
        <v>4.3876207984388023E-2</v>
      </c>
      <c r="CR62">
        <f>CM62/CO62</f>
        <v>2.1938103992194002</v>
      </c>
      <c r="CS62">
        <f>BN62*BA62</f>
        <v>2.0872364334642199</v>
      </c>
      <c r="CT62">
        <f>CS62/2*1.2</f>
        <v>1.2523418600785319</v>
      </c>
      <c r="CU62">
        <f>'eLLE Bals'!CC62*'Oxidant Feed Composition'!$N$20</f>
        <v>6.95745477821407E-2</v>
      </c>
      <c r="CV62">
        <f>'eLLE Bals'!CC62*'Oxidant Feed Composition'!$N$21</f>
        <v>3.4787273891070338</v>
      </c>
      <c r="CW62">
        <f>'eLLE Bals'!CC62*'Oxidant Feed Composition'!$N$22</f>
        <v>1.04361821673211</v>
      </c>
      <c r="CX62">
        <f>CU62/CP62</f>
        <v>8.3489457338568843E-2</v>
      </c>
      <c r="CY62">
        <f>CV62/CP62</f>
        <v>4.1744728669284408</v>
      </c>
      <c r="CZ62">
        <f>CJ62</f>
        <v>1.0969051996096999</v>
      </c>
      <c r="DA62">
        <f>'eLLE Bals'!BQ62</f>
        <v>2.1938103992193998</v>
      </c>
      <c r="DB62">
        <f>'eLLE Bals'!BU62</f>
        <v>5.5060448198242016</v>
      </c>
      <c r="DC62">
        <f>CS62</f>
        <v>2.0872364334642199</v>
      </c>
      <c r="DD62">
        <f>'eLLE Bals'!BX62</f>
        <v>4.1744728669284399</v>
      </c>
      <c r="DE62">
        <f>'eLLE Bals'!CA62</f>
        <v>24.680011217660351</v>
      </c>
      <c r="DF62">
        <f>2*2*(CJ62*'Reagent cost'!$C$36*122.44/1000+CK62*'Oxidant Feed Composition'!$N$26+CQ62*'Reagent cost'!$C$34+CR62*'Reagent cost'!$C$35)</f>
        <v>92.653072140924976</v>
      </c>
      <c r="DG62">
        <f>2*2*(CS62*'Reagent cost'!$C$36*122.44/1000+CT62*'Oxidant Feed Composition'!$N$26+CX62*'Reagent cost'!$C$34+CY62*'Reagent cost'!$C$35)</f>
        <v>176.30408526984721</v>
      </c>
      <c r="DH62">
        <f>(AF62+3)*2*(CZ62*'Reagent cost'!$C$38+DA62*'Reagent cost'!$C$39+DB62*'Reagent cost'!$C$36*122.44/1000)</f>
        <v>734.98346114255708</v>
      </c>
      <c r="DI62">
        <f>3*2*(DC62*'Reagent cost'!$C$38+DD62*'Reagent cost'!$C$39+DE62*'Reagent cost'!$C$36*122.44/1000)</f>
        <v>1336.2309555593008</v>
      </c>
      <c r="DJ62">
        <f>7963.6*(CB62/1000)^0.6*1.7*('CAPEX+OPEX'!$G$116/'CAPEX+OPEX'!$G$115)</f>
        <v>2140.0916471558648</v>
      </c>
      <c r="DK62">
        <f>7963.6*(CC62/1000)^0.6*1.7*('CAPEX+OPEX'!$G$116/'CAPEX+OPEX'!$G$115)</f>
        <v>6199.9215410229135</v>
      </c>
      <c r="DL62">
        <f>7963.6*(CD62/1000)^0.6*1.7*('CAPEX+OPEX'!$G$116/'CAPEX+OPEX'!$G$115)</f>
        <v>3148.2840056223422</v>
      </c>
      <c r="DM62">
        <f>7963.6*(CE62/1000)^0.6*1.7*('CAPEX+OPEX'!$G$116/'CAPEX+OPEX'!$G$115)</f>
        <v>6958.1320052385299</v>
      </c>
      <c r="DN62">
        <f>'TEA Revised Non EYZ'!CM62</f>
        <v>39625.826528698344</v>
      </c>
      <c r="DO62">
        <f>'TEA Revised Non EYZ'!CN62</f>
        <v>4586243.4239371875</v>
      </c>
      <c r="DP62">
        <f>'TEA Revised Non EYZ'!CO62</f>
        <v>11794834.586807497</v>
      </c>
      <c r="DQ62">
        <f>'TEA Revised Non EYZ'!CP62</f>
        <v>2275209.1661185985</v>
      </c>
      <c r="DR62">
        <f>'TEA Revised Non EYZ'!CQ62</f>
        <v>14083914.336508472</v>
      </c>
      <c r="DS62">
        <f>'TEA Revised Non EYZ'!CR62</f>
        <v>1662824.8986326549</v>
      </c>
      <c r="DT62">
        <f>'TEA Revised Non EYZ'!CS62</f>
        <v>800322.53402245743</v>
      </c>
      <c r="DU62">
        <f>'TEA Revised Non EYZ'!CT62</f>
        <v>2058257.9318883498</v>
      </c>
      <c r="DV62">
        <f>'TEA Revised Non EYZ'!CU62</f>
        <v>397035.437708179</v>
      </c>
      <c r="DW62">
        <f>'TEA Revised Non EYZ'!CV62</f>
        <v>2457713.856163613</v>
      </c>
      <c r="DX62">
        <f>'TEA Revised Non EYZ'!CW62</f>
        <v>290171.30437591631</v>
      </c>
      <c r="DY62">
        <f>'TEA Revised Non EYZ'!CX62</f>
        <v>6003501.064158516</v>
      </c>
      <c r="DZ62">
        <f>'TEA Revised Non EYZ'!CY62</f>
        <v>498640.04312959599</v>
      </c>
      <c r="EA62">
        <f>'TEA Revised Non EYZ'!CZ62</f>
        <v>1282395.2597839017</v>
      </c>
      <c r="EB62">
        <f>'TEA Revised Non EYZ'!DA62</f>
        <v>247372.47717834351</v>
      </c>
      <c r="EC62">
        <f>'TEA Revised Non EYZ'!DB62</f>
        <v>1531275.8183605524</v>
      </c>
      <c r="ED62">
        <f>'TEA Revised Non EYZ'!DC62</f>
        <v>180790.90064071334</v>
      </c>
      <c r="EE62">
        <f>'TEA Revised Non EYZ'!DD62</f>
        <v>3740474.4990931074</v>
      </c>
      <c r="EF62">
        <v>0.7</v>
      </c>
      <c r="EG62">
        <v>100</v>
      </c>
      <c r="EH62">
        <f>96485*BL62*V62/EF62/EG62/60</f>
        <v>25.198785281986165</v>
      </c>
      <c r="EI62">
        <f>96485*BN62*BA62/EF62/EG62/60</f>
        <v>47.949287448284593</v>
      </c>
      <c r="EJ62">
        <f>EH62*('CAPEX+OPEX'!$O$25+'CAPEX+OPEX'!$O$26)</f>
        <v>803135.68450746301</v>
      </c>
      <c r="EK62">
        <f>EI62*('CAPEX+OPEX'!$O$25+'CAPEX+OPEX'!$O$26)</f>
        <v>1528239.6895517264</v>
      </c>
      <c r="EL62">
        <f>EJ62*1.12/0.6*'CAPEX+OPEX'!$G$116/'CAPEX+OPEX'!$G$115</f>
        <v>1768228.0006537526</v>
      </c>
      <c r="EM62">
        <f>EK62*1.12/0.6*'CAPEX+OPEX'!$G$116/'CAPEX+OPEX'!$G$115</f>
        <v>3364657.1344080912</v>
      </c>
      <c r="EN62">
        <f>EL62+EM62+DY62+EE62+1.15*(SUM(DF62:DM62)+SUM(CF62:CI62))</f>
        <v>14941982.489105487</v>
      </c>
      <c r="EO62">
        <f>EN62/15</f>
        <v>996132.16594036587</v>
      </c>
      <c r="EP62">
        <f>('eLLE Bals'!CB62+'eLLE Bals'!CC62)*'Oxidant Feed Composition'!$N$25*60*7200</f>
        <v>12821793.277435791</v>
      </c>
      <c r="EQ62" s="83">
        <f>('eLLE Bals'!BR62+'eLLE Bals'!BY62)*'Reagent cost'!$C$38*60*7200</f>
        <v>506500.72784678789</v>
      </c>
      <c r="ER62">
        <f>'TEA Revised Non EYZ'!DI62</f>
        <v>504921.59999999998</v>
      </c>
      <c r="ES62">
        <f>'TEA Revised Non EYZ'!DJ62</f>
        <v>64.915952102738927</v>
      </c>
      <c r="ET62">
        <f>'TEA Revised Non EYZ'!DK62</f>
        <v>586.98896367094324</v>
      </c>
      <c r="EU62">
        <f>1.2*SUM(EP62:ET62)</f>
        <v>16600641.012238022</v>
      </c>
      <c r="EV62">
        <f>'TEA Revised Non EYZ'!DM62</f>
        <v>0.70639694042110623</v>
      </c>
      <c r="EW62">
        <f>(BS62*CO62+BT62*CP62)/1000*('Oxidant Feed Composition'!$B$11*'Oxidant Feed Composition'!$O$20+'Oxidant Feed Composition'!$D$11*'Oxidant Feed Composition'!$O$21+'Oxidant Feed Composition'!$F$11*'Oxidant Feed Composition'!$O$27-'Oxidant Feed Composition'!$J$15*18.015)</f>
        <v>1.8592925795669317</v>
      </c>
      <c r="EX62">
        <f>(CZ62*BX62+DC62*BZ62)*368.34/1000</f>
        <v>0.10224252889810335</v>
      </c>
      <c r="EY62">
        <f>'TEA Revised Non EYZ'!DP62</f>
        <v>4.999938342565946E-2</v>
      </c>
      <c r="EZ62">
        <f>SUM(EV62:EX62)-EY62</f>
        <v>2.617932665460482</v>
      </c>
      <c r="FA62">
        <f>EZ62*0.33*60*7200</f>
        <v>373212.48078804638</v>
      </c>
      <c r="FB62">
        <f>'TEA Revised Non EYZ'!DS62</f>
        <v>1.2</v>
      </c>
      <c r="FC62">
        <v>0.5</v>
      </c>
      <c r="FD62">
        <f>'TEA Revised Non EYZ'!DT62</f>
        <v>1398.9459464463214</v>
      </c>
      <c r="FE62">
        <f>'TEA Revised Non EYZ'!DU62</f>
        <v>712.75787536363475</v>
      </c>
      <c r="FF62">
        <f>'TEA Revised Non EYZ'!DV62</f>
        <v>0.7</v>
      </c>
      <c r="FG62">
        <f>'TEA Revised Non EYZ'!DW62</f>
        <v>44032.441905260595</v>
      </c>
      <c r="FH62">
        <f>'TEA Revised Non EYZ'!DX62</f>
        <v>41526.098972294596</v>
      </c>
      <c r="FI62">
        <f>'TEA Revised Non EYZ'!DY62</f>
        <v>17581.614484237631</v>
      </c>
      <c r="FJ62">
        <f>'TEA Revised Non EYZ'!DZ62</f>
        <v>9313.4716969742931</v>
      </c>
      <c r="FK62">
        <f>'TEA Revised Non EYZ'!EA62</f>
        <v>9376.8610582600722</v>
      </c>
      <c r="FL62">
        <f>'TEA Revised Non EYZ'!EB62</f>
        <v>846.08250841073527</v>
      </c>
      <c r="FM62">
        <f>'TEA Revised Non EYZ'!EC62</f>
        <v>28285.175261081924</v>
      </c>
      <c r="FN62">
        <f>'TEA Revised Non EYZ'!ED62</f>
        <v>19397.041035374452</v>
      </c>
      <c r="FO62">
        <f>'TEA Revised Non EYZ'!EE62</f>
        <v>8212.4568899770857</v>
      </c>
      <c r="FP62">
        <f>'TEA Revised Non EYZ'!EF62</f>
        <v>4352.7892707765368</v>
      </c>
      <c r="FQ62">
        <f>'TEA Revised Non EYZ'!EG62</f>
        <v>4379.977007987779</v>
      </c>
      <c r="FR62">
        <f>'TEA Revised Non EYZ'!EH62</f>
        <v>431.07596301992629</v>
      </c>
      <c r="FS62">
        <f>'TEA Revised Non EYZ'!EI62</f>
        <v>187735.08605365563</v>
      </c>
      <c r="FT62">
        <f>EG62*EH62</f>
        <v>2519.8785281986166</v>
      </c>
      <c r="FU62">
        <f>EG62*EI62</f>
        <v>4794.9287448284595</v>
      </c>
      <c r="FV62">
        <f>FC62*(FT62+FU62)/(3.6*10^6)*3600*7200*0.07</f>
        <v>1843.3314328028234</v>
      </c>
      <c r="FW62">
        <f>('CAPEX+OPEX'!$C$39/7/100+0.03)*EL62</f>
        <v>90937.440033621562</v>
      </c>
      <c r="FX62">
        <f>('CAPEX+OPEX'!$C$39/7/100+0.03)*EM62</f>
        <v>173039.50976955896</v>
      </c>
      <c r="FY62">
        <f>SUM(FV62:FX62)</f>
        <v>265820.28123598336</v>
      </c>
      <c r="FZ62">
        <f>FY62+FA62+FS62+EU62</f>
        <v>17427408.860315707</v>
      </c>
      <c r="GA62">
        <f>FZ62+EO62</f>
        <v>18423541.026256073</v>
      </c>
      <c r="GB62">
        <f>GA62/(BK62*60*7200)</f>
        <v>0.42647085708926097</v>
      </c>
      <c r="GC62">
        <f>'TEA Revised Non EYZ'!EM62/'TEA Revised Non EYZ'!EK62*GA62</f>
        <v>1433.8288197544514</v>
      </c>
      <c r="GD62">
        <f>'TEA Revised Non EYZ'!EN62/'TEA Revised Non EYZ'!EK62*GA62</f>
        <v>2594.8511068322086</v>
      </c>
    </row>
    <row r="63" spans="1:186">
      <c r="A63">
        <f>'TEA Revised Non EYZ'!A63</f>
        <v>9</v>
      </c>
      <c r="B63">
        <f>'TEA Revised Non EYZ'!B63</f>
        <v>1.54143585092054E-3</v>
      </c>
      <c r="C63">
        <f>'TEA Revised Non EYZ'!C63</f>
        <v>1.54143585092054E-3</v>
      </c>
      <c r="D63">
        <f>'TEA Revised Non EYZ'!D63</f>
        <v>3.4254130020456501E-4</v>
      </c>
      <c r="E63">
        <f>'TEA Revised Non EYZ'!E63</f>
        <v>0</v>
      </c>
      <c r="F63">
        <f>'TEA Revised Non EYZ'!F63</f>
        <v>0</v>
      </c>
      <c r="G63">
        <f>'TEA Revised Non EYZ'!G63</f>
        <v>0</v>
      </c>
      <c r="H63">
        <f>'TEA Revised Non EYZ'!H63</f>
        <v>1.7768596981705501E-5</v>
      </c>
      <c r="I63">
        <f>'TEA Revised Non EYZ'!I63</f>
        <v>1.5331283704498101E-9</v>
      </c>
      <c r="J63">
        <f>'TEA Revised Non EYZ'!J63</f>
        <v>3.3763247208936601E-4</v>
      </c>
      <c r="K63">
        <f>'TEA Revised Non EYZ'!K63</f>
        <v>0.13890601070001499</v>
      </c>
      <c r="L63">
        <f>'TEA Revised Non EYZ'!L63</f>
        <v>0.14052575540227799</v>
      </c>
      <c r="M63">
        <f>'TEA Revised Non EYZ'!M63</f>
        <v>4.4751616793740602E-4</v>
      </c>
      <c r="N63">
        <f>'TEA Revised Non EYZ'!N63</f>
        <v>-5.0090140368830299E-17</v>
      </c>
      <c r="O63">
        <f>'TEA Revised Non EYZ'!O63</f>
        <v>-6.2343793322261397E-15</v>
      </c>
      <c r="P63">
        <f>'TEA Revised Non EYZ'!P63</f>
        <v>1.7787691892340301E-20</v>
      </c>
      <c r="Q63">
        <f>'TEA Revised Non EYZ'!Q63</f>
        <v>0.10969051996097</v>
      </c>
      <c r="R63">
        <f>'TEA Revised Non EYZ'!R63</f>
        <v>98.566938318892298</v>
      </c>
      <c r="S63">
        <f>'TEA Revised Non EYZ'!S63</f>
        <v>500</v>
      </c>
      <c r="T63">
        <f>'TEA Revised Non EYZ'!T63</f>
        <v>95</v>
      </c>
      <c r="U63">
        <f>'TEA Revised Non EYZ'!U63</f>
        <v>1</v>
      </c>
      <c r="V63">
        <f>'TEA Revised Non EYZ'!V63</f>
        <v>0.1</v>
      </c>
      <c r="W63">
        <f>'TEA Revised Non EYZ'!W63</f>
        <v>91.165581160141301</v>
      </c>
      <c r="X63" t="str">
        <f>'TEA Revised Non EYZ'!X63</f>
        <v>ddFc</v>
      </c>
      <c r="Y63">
        <f>'TEA Revised Non EYZ'!Y63</f>
        <v>1</v>
      </c>
      <c r="Z63">
        <f>'TEA Revised Non EYZ'!Z63</f>
        <v>0.28318429382522198</v>
      </c>
      <c r="AA63">
        <f>'TEA Revised Non EYZ'!AA63</f>
        <v>0.56945642916197003</v>
      </c>
      <c r="AB63">
        <f>'TEA Revised Non EYZ'!AB63</f>
        <v>3.7698628972227502E-3</v>
      </c>
      <c r="AC63">
        <f>'TEA Revised Non EYZ'!AC63</f>
        <v>1822.2107908876901</v>
      </c>
      <c r="AD63">
        <f>'TEA Revised Non EYZ'!AD63</f>
        <v>2662.6059073104898</v>
      </c>
      <c r="AE63">
        <f>'TEA Revised Non EYZ'!AE63</f>
        <v>2401.5030938442701</v>
      </c>
      <c r="AF63">
        <f>'TEA Revised Non EYZ'!AF63</f>
        <v>5</v>
      </c>
      <c r="AG63">
        <f>'TEA Revised Non EYZ'!AG63</f>
        <v>1.6497485970141401E-3</v>
      </c>
      <c r="AH63">
        <f>'TEA Revised Non EYZ'!AH63</f>
        <v>1.6689858606617799E-3</v>
      </c>
      <c r="AI63">
        <f>'TEA Revised Non EYZ'!AI63</f>
        <v>5.3150268046377499E-6</v>
      </c>
      <c r="AJ63">
        <f>'TEA Revised Non EYZ'!AJ63</f>
        <v>0</v>
      </c>
      <c r="AK63">
        <f>'TEA Revised Non EYZ'!AK63</f>
        <v>0</v>
      </c>
      <c r="AL63">
        <f>'TEA Revised Non EYZ'!AL63</f>
        <v>0</v>
      </c>
      <c r="AM63">
        <f>'TEA Revised Non EYZ'!AM63</f>
        <v>1.6104360946851499E-3</v>
      </c>
      <c r="AN63">
        <f>'TEA Revised Non EYZ'!AN63</f>
        <v>7.9481866578997695E-5</v>
      </c>
      <c r="AO63">
        <f>'TEA Revised Non EYZ'!AO63</f>
        <v>5.2779279086813702E-6</v>
      </c>
      <c r="AP63">
        <f>'TEA Revised Non EYZ'!AP63</f>
        <v>1.8118422491867001E-3</v>
      </c>
      <c r="AQ63">
        <f>'TEA Revised Non EYZ'!AQ63</f>
        <v>7.32573690584577E-2</v>
      </c>
      <c r="AR63">
        <f>'TEA Revised Non EYZ'!AR63</f>
        <v>1.7098211283888001E-6</v>
      </c>
      <c r="AS63">
        <f>'TEA Revised Non EYZ'!AS63</f>
        <v>-4.5211230592645498E-17</v>
      </c>
      <c r="AT63">
        <f>'TEA Revised Non EYZ'!AT63</f>
        <v>1.8735013540549499E-16</v>
      </c>
      <c r="AU63">
        <f>'TEA Revised Non EYZ'!AU63</f>
        <v>-3.54430348866721E-20</v>
      </c>
      <c r="AV63">
        <f>'TEA Revised Non EYZ'!AV63</f>
        <v>0.20039305783583899</v>
      </c>
      <c r="AW63">
        <f>'TEA Revised Non EYZ'!AW63</f>
        <v>99.301999833302602</v>
      </c>
      <c r="AX63">
        <f>'TEA Revised Non EYZ'!AX63</f>
        <v>500</v>
      </c>
      <c r="AY63">
        <f>'TEA Revised Non EYZ'!AY63</f>
        <v>95</v>
      </c>
      <c r="AZ63">
        <f>'TEA Revised Non EYZ'!AZ63</f>
        <v>0.92357542033771201</v>
      </c>
      <c r="BA63">
        <f>'TEA Revised Non EYZ'!BA63</f>
        <v>0.1</v>
      </c>
      <c r="BB63">
        <f>'TEA Revised Non EYZ'!BB63</f>
        <v>46.088194387167597</v>
      </c>
      <c r="BC63" t="str">
        <f>'TEA Revised Non EYZ'!BC63</f>
        <v>coeFc</v>
      </c>
      <c r="BD63">
        <f>'TEA Revised Non EYZ'!BD63</f>
        <v>1</v>
      </c>
      <c r="BE63">
        <f>'TEA Revised Non EYZ'!BE63</f>
        <v>1.8775014999999999E-2</v>
      </c>
      <c r="BF63">
        <f>'TEA Revised Non EYZ'!BF63</f>
        <v>0.10492961100000001</v>
      </c>
      <c r="BG63">
        <f>'TEA Revised Non EYZ'!BG63</f>
        <v>1.814625E-3</v>
      </c>
      <c r="BH63">
        <f>'TEA Revised Non EYZ'!BH63</f>
        <v>285.1951444</v>
      </c>
      <c r="BI63">
        <f>'TEA Revised Non EYZ'!BI63</f>
        <v>2169.8944889999998</v>
      </c>
      <c r="BJ63">
        <f>'TEA Revised Non EYZ'!BJ63</f>
        <v>866.49409060000005</v>
      </c>
      <c r="BK63">
        <f>'TEA Revised Non EYZ'!BK63</f>
        <v>100</v>
      </c>
      <c r="BL63">
        <f>'TEA Revised Non EYZ'!BL63</f>
        <v>10.969051996096999</v>
      </c>
      <c r="BM63">
        <f>'TEA Revised Non EYZ'!BM63</f>
        <v>92.357542033771196</v>
      </c>
      <c r="BN63">
        <f>'TEA Revised Non EYZ'!BN63</f>
        <v>20.039305783583899</v>
      </c>
      <c r="BO63">
        <f>'TEA Revised Non EYZ'!BO63</f>
        <v>241.31914391413397</v>
      </c>
      <c r="BP63">
        <f>'TEA Revised Non EYZ'!BP63</f>
        <v>280.55028097017458</v>
      </c>
      <c r="BQ63">
        <f>'TEA Revised Non EYZ'!BQ63</f>
        <v>24.1319143914134</v>
      </c>
      <c r="BR63">
        <f>'TEA Revised Non EYZ'!BR63</f>
        <v>28.055028097017459</v>
      </c>
      <c r="BS63">
        <f>'eLLE Bals'!CF63</f>
        <v>6.5814311976581994</v>
      </c>
      <c r="BT63">
        <f>'eLLE Bals'!CG63</f>
        <v>12.023583470150339</v>
      </c>
      <c r="BU63">
        <f>BM63</f>
        <v>92.357542033771196</v>
      </c>
      <c r="BV63">
        <f>BU63*(AM63*2+AN63*2+AO63*3)</f>
        <v>0.31361570762818863</v>
      </c>
      <c r="BW63">
        <f>BN63*BA63*(AP63*2+AQ63*2+AR63*3)</f>
        <v>0.3008772551538002</v>
      </c>
      <c r="BX63">
        <f>BV63/(2*V63*BL63+BV63)</f>
        <v>0.1250747556515138</v>
      </c>
      <c r="BY63">
        <f>BU63*BX63</f>
        <v>11.551597002448347</v>
      </c>
      <c r="BZ63">
        <f>BW63/(2*BN63*BA63+BW63)</f>
        <v>6.9829547861360752E-2</v>
      </c>
      <c r="CA63">
        <f>2*BN63*BA63/0.04</f>
        <v>100.19652891791949</v>
      </c>
      <c r="CB63">
        <f>(BS63+BL63)*2</f>
        <v>35.100966387510397</v>
      </c>
      <c r="CC63">
        <f>(BU63+BL63)*2</f>
        <v>206.65318805973638</v>
      </c>
      <c r="CD63">
        <f>(BT63+BN63)*2</f>
        <v>64.125778507468482</v>
      </c>
      <c r="CE63">
        <f>(CA63+BN63)*2</f>
        <v>240.47166940300679</v>
      </c>
      <c r="CF63">
        <f>'TEA Revised Non EYZ'!CB63</f>
        <v>3185.4126996665682</v>
      </c>
      <c r="CG63">
        <f>'TEA Revised Non EYZ'!CC63</f>
        <v>3703.2637088063047</v>
      </c>
      <c r="CH63">
        <f>'TEA Revised Non EYZ'!CD63</f>
        <v>3848.5686313477631</v>
      </c>
      <c r="CI63">
        <f>'TEA Revised Non EYZ'!CE63</f>
        <v>28563.602125810481</v>
      </c>
      <c r="CJ63">
        <f>BL63*V63</f>
        <v>1.0969051996096999</v>
      </c>
      <c r="CK63">
        <f>CJ63/2*1.2</f>
        <v>0.65814311976581996</v>
      </c>
      <c r="CL63">
        <f>'eLLE Bals'!CB63*'Oxidant Feed Composition'!$N$20</f>
        <v>3.656350665365668E-2</v>
      </c>
      <c r="CM63">
        <f>'eLLE Bals'!CB63*'Oxidant Feed Composition'!$N$21</f>
        <v>1.8281753326828334</v>
      </c>
      <c r="CN63">
        <f>'eLLE Bals'!CB63*'Oxidant Feed Composition'!$N$22</f>
        <v>0.54845259980484995</v>
      </c>
      <c r="CO63">
        <f>CN63/CK63</f>
        <v>0.83333333333333326</v>
      </c>
      <c r="CP63">
        <f>CO63</f>
        <v>0.83333333333333326</v>
      </c>
      <c r="CQ63">
        <f>CL63/CO63</f>
        <v>4.3876207984388023E-2</v>
      </c>
      <c r="CR63">
        <f>CM63/CO63</f>
        <v>2.1938103992194002</v>
      </c>
      <c r="CS63">
        <f>BN63*BA63</f>
        <v>2.0039305783583901</v>
      </c>
      <c r="CT63">
        <f>CS63/2*1.2</f>
        <v>1.2023583470150341</v>
      </c>
      <c r="CU63">
        <f>'eLLE Bals'!CC63*'Oxidant Feed Composition'!$N$20</f>
        <v>6.6797685945279697E-2</v>
      </c>
      <c r="CV63">
        <f>'eLLE Bals'!CC63*'Oxidant Feed Composition'!$N$21</f>
        <v>3.3398842972639837</v>
      </c>
      <c r="CW63">
        <f>'eLLE Bals'!CC63*'Oxidant Feed Composition'!$N$22</f>
        <v>1.001965289179195</v>
      </c>
      <c r="CX63">
        <f>CU63/CP63</f>
        <v>8.015722313433564E-2</v>
      </c>
      <c r="CY63">
        <f>CV63/CP63</f>
        <v>4.007861156716781</v>
      </c>
      <c r="CZ63">
        <f>CJ63</f>
        <v>1.0969051996096999</v>
      </c>
      <c r="DA63">
        <f>'eLLE Bals'!BQ63</f>
        <v>2.1938103992193998</v>
      </c>
      <c r="DB63">
        <f>'eLLE Bals'!BU63</f>
        <v>5.4792811434863644</v>
      </c>
      <c r="DC63">
        <f>CS63</f>
        <v>2.0039305783583901</v>
      </c>
      <c r="DD63">
        <f>'eLLE Bals'!BX63</f>
        <v>4.0078611567167801</v>
      </c>
      <c r="DE63">
        <f>'eLLE Bals'!CA63</f>
        <v>22.685667144896161</v>
      </c>
      <c r="DF63">
        <f>2*2*(CJ63*'Reagent cost'!$C$36*122.44/1000+CK63*'Oxidant Feed Composition'!$N$26+CQ63*'Reagent cost'!$C$34+CR63*'Reagent cost'!$C$35)</f>
        <v>92.653072140924976</v>
      </c>
      <c r="DG63">
        <f>2*2*(CS63*'Reagent cost'!$C$36*122.44/1000+CT63*'Oxidant Feed Composition'!$N$26+CX63*'Reagent cost'!$C$34+CY63*'Reagent cost'!$C$35)</f>
        <v>169.26743031951219</v>
      </c>
      <c r="DH63">
        <f>(AF63+3)*2*(CZ63*'Reagent cost'!$C$38+DA63*'Reagent cost'!$C$39+DB63*'Reagent cost'!$C$36*122.44/1000)</f>
        <v>836.2784132843899</v>
      </c>
      <c r="DI63">
        <f>3*2*(DC63*'Reagent cost'!$C$38+DD63*'Reagent cost'!$C$39+DE63*'Reagent cost'!$C$36*122.44/1000)</f>
        <v>1230.535737961429</v>
      </c>
      <c r="DJ63">
        <f>7963.6*(CB63/1000)^0.6*1.7*('CAPEX+OPEX'!$G$116/'CAPEX+OPEX'!$G$115)</f>
        <v>2140.0916471558648</v>
      </c>
      <c r="DK63">
        <f>7963.6*(CC63/1000)^0.6*1.7*('CAPEX+OPEX'!$G$116/'CAPEX+OPEX'!$G$115)</f>
        <v>6199.9215410229135</v>
      </c>
      <c r="DL63">
        <f>7963.6*(CD63/1000)^0.6*1.7*('CAPEX+OPEX'!$G$116/'CAPEX+OPEX'!$G$115)</f>
        <v>3072.2780514246729</v>
      </c>
      <c r="DM63">
        <f>7963.6*(CE63/1000)^0.6*1.7*('CAPEX+OPEX'!$G$116/'CAPEX+OPEX'!$G$115)</f>
        <v>6790.148601725049</v>
      </c>
      <c r="DN63">
        <f>'TEA Revised Non EYZ'!CM63</f>
        <v>39625.826528698344</v>
      </c>
      <c r="DO63">
        <f>'TEA Revised Non EYZ'!CN63</f>
        <v>4586243.4239371875</v>
      </c>
      <c r="DP63">
        <f>'TEA Revised Non EYZ'!CO63</f>
        <v>11794834.586807497</v>
      </c>
      <c r="DQ63">
        <f>'TEA Revised Non EYZ'!CP63</f>
        <v>2275209.1661185985</v>
      </c>
      <c r="DR63">
        <f>'TEA Revised Non EYZ'!CQ63</f>
        <v>14083914.336508472</v>
      </c>
      <c r="DS63">
        <f>'TEA Revised Non EYZ'!CR63</f>
        <v>1662824.8986326549</v>
      </c>
      <c r="DT63">
        <f>'TEA Revised Non EYZ'!CS63</f>
        <v>800322.53402245743</v>
      </c>
      <c r="DU63">
        <f>'TEA Revised Non EYZ'!CT63</f>
        <v>2058257.9318883498</v>
      </c>
      <c r="DV63">
        <f>'TEA Revised Non EYZ'!CU63</f>
        <v>397035.437708179</v>
      </c>
      <c r="DW63">
        <f>'TEA Revised Non EYZ'!CV63</f>
        <v>2457713.856163613</v>
      </c>
      <c r="DX63">
        <f>'TEA Revised Non EYZ'!CW63</f>
        <v>290171.30437591631</v>
      </c>
      <c r="DY63">
        <f>'TEA Revised Non EYZ'!CX63</f>
        <v>6003501.064158516</v>
      </c>
      <c r="DZ63">
        <f>'TEA Revised Non EYZ'!CY63</f>
        <v>556283.14213476516</v>
      </c>
      <c r="EA63">
        <f>'TEA Revised Non EYZ'!CZ63</f>
        <v>1430640.9491183041</v>
      </c>
      <c r="EB63">
        <f>'TEA Revised Non EYZ'!DA63</f>
        <v>275968.88933900755</v>
      </c>
      <c r="EC63">
        <f>'TEA Revised Non EYZ'!DB63</f>
        <v>1708292.2550028826</v>
      </c>
      <c r="ED63">
        <f>'TEA Revised Non EYZ'!DC63</f>
        <v>201690.44115787523</v>
      </c>
      <c r="EE63">
        <f>'TEA Revised Non EYZ'!DD63</f>
        <v>4172875.6767528341</v>
      </c>
      <c r="EF63">
        <v>0.7</v>
      </c>
      <c r="EG63">
        <v>100</v>
      </c>
      <c r="EH63">
        <f>96485*BL63*V63/EF63/EG63/60</f>
        <v>25.198785281986165</v>
      </c>
      <c r="EI63">
        <f>96485*BN63*BA63/EF63/EG63/60</f>
        <v>46.035533774502213</v>
      </c>
      <c r="EJ63">
        <f>EH63*('CAPEX+OPEX'!$O$25+'CAPEX+OPEX'!$O$26)</f>
        <v>803135.68450746301</v>
      </c>
      <c r="EK63">
        <f>EI63*('CAPEX+OPEX'!$O$25+'CAPEX+OPEX'!$O$26)</f>
        <v>1467244.5324609345</v>
      </c>
      <c r="EL63">
        <f>EJ63*1.12/0.6*'CAPEX+OPEX'!$G$116/'CAPEX+OPEX'!$G$115</f>
        <v>1768228.0006537526</v>
      </c>
      <c r="EM63">
        <f>EK63*1.12/0.6*'CAPEX+OPEX'!$G$116/'CAPEX+OPEX'!$G$115</f>
        <v>3230366.8186461213</v>
      </c>
      <c r="EN63">
        <f>EL63+EM63+DY63+EE63+1.15*(SUM(DF63:DM63)+SUM(CF63:CI63))</f>
        <v>15243778.38512099</v>
      </c>
      <c r="EO63">
        <f>EN63/15</f>
        <v>1016251.8923413993</v>
      </c>
      <c r="EP63">
        <f>('eLLE Bals'!CB63+'eLLE Bals'!CC63)*'Oxidant Feed Composition'!$N$25*60*7200</f>
        <v>12486340.092228128</v>
      </c>
      <c r="EQ63" s="83">
        <f>('eLLE Bals'!BR63+'eLLE Bals'!BY63)*'Reagent cost'!$C$38*60*7200</f>
        <v>505683.64096198708</v>
      </c>
      <c r="ER63">
        <f>'TEA Revised Non EYZ'!DI63</f>
        <v>504921.59999999998</v>
      </c>
      <c r="ES63">
        <f>'TEA Revised Non EYZ'!DJ63</f>
        <v>68.886764084728725</v>
      </c>
      <c r="ET63">
        <f>'TEA Revised Non EYZ'!DK63</f>
        <v>648.24341514316495</v>
      </c>
      <c r="EU63">
        <f>1.2*SUM(EP63:ET63)</f>
        <v>16197194.956043212</v>
      </c>
      <c r="EV63">
        <f>'TEA Revised Non EYZ'!DM63</f>
        <v>0.70639694042110623</v>
      </c>
      <c r="EW63">
        <f>(BS63*CO63+BT63*CP63)/1000*('Oxidant Feed Composition'!$B$11*'Oxidant Feed Composition'!$O$20+'Oxidant Feed Composition'!$D$11*'Oxidant Feed Composition'!$O$21+'Oxidant Feed Composition'!$F$11*'Oxidant Feed Composition'!$O$27-'Oxidant Feed Composition'!$J$15*18.015)</f>
        <v>1.810648399727727</v>
      </c>
      <c r="EX63">
        <f>(CZ63*BX63+DC63*BZ63)*368.34/1000</f>
        <v>0.10207759126852348</v>
      </c>
      <c r="EY63">
        <f>'TEA Revised Non EYZ'!DP63</f>
        <v>4.999938342565946E-2</v>
      </c>
      <c r="EZ63">
        <f>SUM(EV63:EX63)-EY63</f>
        <v>2.5691235479916972</v>
      </c>
      <c r="FA63">
        <f>EZ63*0.33*60*7200</f>
        <v>366254.25300169637</v>
      </c>
      <c r="FB63">
        <f>'TEA Revised Non EYZ'!DS63</f>
        <v>1.2</v>
      </c>
      <c r="FC63">
        <v>0.5</v>
      </c>
      <c r="FD63">
        <f>'TEA Revised Non EYZ'!DT63</f>
        <v>1403.8281404593017</v>
      </c>
      <c r="FE63">
        <f>'TEA Revised Non EYZ'!DU63</f>
        <v>707.87568128545342</v>
      </c>
      <c r="FF63">
        <f>'TEA Revised Non EYZ'!DV63</f>
        <v>0.7</v>
      </c>
      <c r="FG63">
        <f>'TEA Revised Non EYZ'!DW63</f>
        <v>44032.441905260595</v>
      </c>
      <c r="FH63">
        <f>'TEA Revised Non EYZ'!DX63</f>
        <v>41526.098972294596</v>
      </c>
      <c r="FI63">
        <f>'TEA Revised Non EYZ'!DY63</f>
        <v>17581.614484237631</v>
      </c>
      <c r="FJ63">
        <f>'TEA Revised Non EYZ'!DZ63</f>
        <v>9313.4716969742931</v>
      </c>
      <c r="FK63">
        <f>'TEA Revised Non EYZ'!EA63</f>
        <v>9376.8610582600722</v>
      </c>
      <c r="FL63">
        <f>'TEA Revised Non EYZ'!EB63</f>
        <v>849.03525934978575</v>
      </c>
      <c r="FM63">
        <f>'TEA Revised Non EYZ'!EC63</f>
        <v>30856.554830271187</v>
      </c>
      <c r="FN63">
        <f>'TEA Revised Non EYZ'!ED63</f>
        <v>23276.449242449344</v>
      </c>
      <c r="FO63">
        <f>'TEA Revised Non EYZ'!EE63</f>
        <v>9854.9482679725043</v>
      </c>
      <c r="FP63">
        <f>'TEA Revised Non EYZ'!EF63</f>
        <v>5223.3471249318445</v>
      </c>
      <c r="FQ63">
        <f>'TEA Revised Non EYZ'!EG63</f>
        <v>5255.9724095853353</v>
      </c>
      <c r="FR63">
        <f>'TEA Revised Non EYZ'!EH63</f>
        <v>428.12321204144223</v>
      </c>
      <c r="FS63">
        <f>'TEA Revised Non EYZ'!EI63</f>
        <v>197574.91846362862</v>
      </c>
      <c r="FT63">
        <f>EG63*EH63</f>
        <v>2519.8785281986166</v>
      </c>
      <c r="FU63">
        <f>EG63*EI63</f>
        <v>4603.553377450221</v>
      </c>
      <c r="FV63">
        <f>FC63*(FT63+FU63)/(3.6*10^6)*3600*7200*0.07</f>
        <v>1795.1048402235074</v>
      </c>
      <c r="FW63">
        <f>('CAPEX+OPEX'!$C$39/7/100+0.03)*EL63</f>
        <v>90937.440033621562</v>
      </c>
      <c r="FX63">
        <f>('CAPEX+OPEX'!$C$39/7/100+0.03)*EM63</f>
        <v>166133.1506732291</v>
      </c>
      <c r="FY63">
        <f>SUM(FV63:FX63)</f>
        <v>258865.69554707417</v>
      </c>
      <c r="FZ63">
        <f>FY63+FA63+FS63+EU63</f>
        <v>17019889.82305561</v>
      </c>
      <c r="GA63">
        <f>FZ63+EO63</f>
        <v>18036141.715397008</v>
      </c>
      <c r="GB63">
        <f>GA63/(BK63*60*7200)</f>
        <v>0.41750328044900481</v>
      </c>
      <c r="GC63">
        <f>'TEA Revised Non EYZ'!EM63/'TEA Revised Non EYZ'!EK63*GA63</f>
        <v>1398.7944199152791</v>
      </c>
      <c r="GD63">
        <f>'TEA Revised Non EYZ'!EN63/'TEA Revised Non EYZ'!EK63*GA63</f>
        <v>2556.4441628296936</v>
      </c>
    </row>
    <row r="64" spans="1:186">
      <c r="A64">
        <f>'TEA Revised Non EYZ'!A64</f>
        <v>9</v>
      </c>
      <c r="B64">
        <f>'TEA Revised Non EYZ'!B64</f>
        <v>1.54143585092054E-3</v>
      </c>
      <c r="C64">
        <f>'TEA Revised Non EYZ'!C64</f>
        <v>1.54143585092054E-3</v>
      </c>
      <c r="D64">
        <f>'TEA Revised Non EYZ'!D64</f>
        <v>3.4254130020456501E-4</v>
      </c>
      <c r="E64">
        <f>'TEA Revised Non EYZ'!E64</f>
        <v>0</v>
      </c>
      <c r="F64">
        <f>'TEA Revised Non EYZ'!F64</f>
        <v>0</v>
      </c>
      <c r="G64">
        <f>'TEA Revised Non EYZ'!G64</f>
        <v>0</v>
      </c>
      <c r="H64">
        <f>'TEA Revised Non EYZ'!H64</f>
        <v>1.7768596981705501E-5</v>
      </c>
      <c r="I64">
        <f>'TEA Revised Non EYZ'!I64</f>
        <v>1.5331283704498101E-9</v>
      </c>
      <c r="J64">
        <f>'TEA Revised Non EYZ'!J64</f>
        <v>3.3763247208936601E-4</v>
      </c>
      <c r="K64">
        <f>'TEA Revised Non EYZ'!K64</f>
        <v>0.13890601070001499</v>
      </c>
      <c r="L64">
        <f>'TEA Revised Non EYZ'!L64</f>
        <v>0.14052575540227799</v>
      </c>
      <c r="M64">
        <f>'TEA Revised Non EYZ'!M64</f>
        <v>4.4751616793740602E-4</v>
      </c>
      <c r="N64">
        <f>'TEA Revised Non EYZ'!N64</f>
        <v>-5.0090140368830299E-17</v>
      </c>
      <c r="O64">
        <f>'TEA Revised Non EYZ'!O64</f>
        <v>-6.2343793322261397E-15</v>
      </c>
      <c r="P64">
        <f>'TEA Revised Non EYZ'!P64</f>
        <v>1.7787691892340301E-20</v>
      </c>
      <c r="Q64">
        <f>'TEA Revised Non EYZ'!Q64</f>
        <v>0.10969051996097</v>
      </c>
      <c r="R64">
        <f>'TEA Revised Non EYZ'!R64</f>
        <v>98.566938318892298</v>
      </c>
      <c r="S64">
        <f>'TEA Revised Non EYZ'!S64</f>
        <v>500</v>
      </c>
      <c r="T64">
        <f>'TEA Revised Non EYZ'!T64</f>
        <v>95</v>
      </c>
      <c r="U64">
        <f>'TEA Revised Non EYZ'!U64</f>
        <v>1</v>
      </c>
      <c r="V64">
        <f>'TEA Revised Non EYZ'!V64</f>
        <v>0.1</v>
      </c>
      <c r="W64">
        <f>'TEA Revised Non EYZ'!W64</f>
        <v>91.165581160141301</v>
      </c>
      <c r="X64" t="str">
        <f>'TEA Revised Non EYZ'!X64</f>
        <v>ddFc</v>
      </c>
      <c r="Y64">
        <f>'TEA Revised Non EYZ'!Y64</f>
        <v>1</v>
      </c>
      <c r="Z64">
        <f>'TEA Revised Non EYZ'!Z64</f>
        <v>0.28318429382522198</v>
      </c>
      <c r="AA64">
        <f>'TEA Revised Non EYZ'!AA64</f>
        <v>0.56945642916197003</v>
      </c>
      <c r="AB64">
        <f>'TEA Revised Non EYZ'!AB64</f>
        <v>3.7698628972227502E-3</v>
      </c>
      <c r="AC64">
        <f>'TEA Revised Non EYZ'!AC64</f>
        <v>1822.2107908876901</v>
      </c>
      <c r="AD64">
        <f>'TEA Revised Non EYZ'!AD64</f>
        <v>2662.6059073104898</v>
      </c>
      <c r="AE64">
        <f>'TEA Revised Non EYZ'!AE64</f>
        <v>2401.5030938442701</v>
      </c>
      <c r="AF64">
        <f>'TEA Revised Non EYZ'!AF64</f>
        <v>6</v>
      </c>
      <c r="AG64">
        <f>'TEA Revised Non EYZ'!AG64</f>
        <v>1.6497485970141401E-3</v>
      </c>
      <c r="AH64">
        <f>'TEA Revised Non EYZ'!AH64</f>
        <v>1.6689858606617799E-3</v>
      </c>
      <c r="AI64">
        <f>'TEA Revised Non EYZ'!AI64</f>
        <v>5.3150268046377499E-6</v>
      </c>
      <c r="AJ64">
        <f>'TEA Revised Non EYZ'!AJ64</f>
        <v>0</v>
      </c>
      <c r="AK64">
        <f>'TEA Revised Non EYZ'!AK64</f>
        <v>0</v>
      </c>
      <c r="AL64">
        <f>'TEA Revised Non EYZ'!AL64</f>
        <v>0</v>
      </c>
      <c r="AM64">
        <f>'TEA Revised Non EYZ'!AM64</f>
        <v>1.6121184009261799E-3</v>
      </c>
      <c r="AN64">
        <f>'TEA Revised Non EYZ'!AN64</f>
        <v>7.9568883775184404E-5</v>
      </c>
      <c r="AO64">
        <f>'TEA Revised Non EYZ'!AO64</f>
        <v>5.27945332060777E-6</v>
      </c>
      <c r="AP64">
        <f>'TEA Revised Non EYZ'!AP64</f>
        <v>1.7562244702796299E-3</v>
      </c>
      <c r="AQ64">
        <f>'TEA Revised Non EYZ'!AQ64</f>
        <v>7.4179071024813498E-2</v>
      </c>
      <c r="AR64">
        <f>'TEA Revised Non EYZ'!AR64</f>
        <v>1.6602364494864499E-6</v>
      </c>
      <c r="AS64">
        <f>'TEA Revised Non EYZ'!AS64</f>
        <v>-2.22939071717331E-18</v>
      </c>
      <c r="AT64">
        <f>'TEA Revised Non EYZ'!AT64</f>
        <v>-1.51137782844479E-16</v>
      </c>
      <c r="AU64">
        <f>'TEA Revised Non EYZ'!AU64</f>
        <v>-1.53524721689841E-21</v>
      </c>
      <c r="AV64">
        <f>'TEA Revised Non EYZ'!AV64</f>
        <v>0.19789226694805201</v>
      </c>
      <c r="AW64">
        <f>'TEA Revised Non EYZ'!AW64</f>
        <v>99.330699818880703</v>
      </c>
      <c r="AX64">
        <f>'TEA Revised Non EYZ'!AX64</f>
        <v>500</v>
      </c>
      <c r="AY64">
        <f>'TEA Revised Non EYZ'!AY64</f>
        <v>95</v>
      </c>
      <c r="AZ64">
        <f>'TEA Revised Non EYZ'!AZ64</f>
        <v>0.92357542033771201</v>
      </c>
      <c r="BA64">
        <f>'TEA Revised Non EYZ'!BA64</f>
        <v>0.1</v>
      </c>
      <c r="BB64">
        <f>'TEA Revised Non EYZ'!BB64</f>
        <v>46.670617027200798</v>
      </c>
      <c r="BC64" t="str">
        <f>'TEA Revised Non EYZ'!BC64</f>
        <v>coeFc</v>
      </c>
      <c r="BD64">
        <f>'TEA Revised Non EYZ'!BD64</f>
        <v>1</v>
      </c>
      <c r="BE64">
        <f>'TEA Revised Non EYZ'!BE64</f>
        <v>1.8775014999999999E-2</v>
      </c>
      <c r="BF64">
        <f>'TEA Revised Non EYZ'!BF64</f>
        <v>0.10492961100000001</v>
      </c>
      <c r="BG64">
        <f>'TEA Revised Non EYZ'!BG64</f>
        <v>1.814625E-3</v>
      </c>
      <c r="BH64">
        <f>'TEA Revised Non EYZ'!BH64</f>
        <v>285.1951444</v>
      </c>
      <c r="BI64">
        <f>'TEA Revised Non EYZ'!BI64</f>
        <v>2169.8944889999998</v>
      </c>
      <c r="BJ64">
        <f>'TEA Revised Non EYZ'!BJ64</f>
        <v>866.49409060000005</v>
      </c>
      <c r="BK64">
        <f>'TEA Revised Non EYZ'!BK64</f>
        <v>100</v>
      </c>
      <c r="BL64">
        <f>'TEA Revised Non EYZ'!BL64</f>
        <v>10.969051996096999</v>
      </c>
      <c r="BM64">
        <f>'TEA Revised Non EYZ'!BM64</f>
        <v>92.357542033771196</v>
      </c>
      <c r="BN64">
        <f>'TEA Revised Non EYZ'!BN64</f>
        <v>19.789226694805201</v>
      </c>
      <c r="BO64">
        <f>'TEA Revised Non EYZ'!BO64</f>
        <v>241.31914391413397</v>
      </c>
      <c r="BP64">
        <f>'TEA Revised Non EYZ'!BP64</f>
        <v>316.62762711688322</v>
      </c>
      <c r="BQ64">
        <f>'TEA Revised Non EYZ'!BQ64</f>
        <v>24.1319143914134</v>
      </c>
      <c r="BR64">
        <f>'TEA Revised Non EYZ'!BR64</f>
        <v>31.662762711688323</v>
      </c>
      <c r="BS64">
        <f>'eLLE Bals'!CF64</f>
        <v>6.5814311976581994</v>
      </c>
      <c r="BT64">
        <f>'eLLE Bals'!CG64</f>
        <v>11.87353601688312</v>
      </c>
      <c r="BU64">
        <f>BM64</f>
        <v>92.357542033771196</v>
      </c>
      <c r="BV64">
        <f>BU64*(AM64*2+AN64*2+AO64*3)</f>
        <v>0.31394295100552511</v>
      </c>
      <c r="BW64">
        <f>BN64*BA64*(AP64*2+AQ64*2+AR64*3)</f>
        <v>0.30055001177652341</v>
      </c>
      <c r="BX64">
        <f>BV64/(2*V64*BL64+BV64)</f>
        <v>0.12518892696419567</v>
      </c>
      <c r="BY64">
        <f>BU64*BX64</f>
        <v>11.562141584258415</v>
      </c>
      <c r="BZ64">
        <f>BW64/(2*BN64*BA64+BW64)</f>
        <v>7.0578231240194148E-2</v>
      </c>
      <c r="CA64">
        <f>2*BN64*BA64/0.04</f>
        <v>98.946133474026013</v>
      </c>
      <c r="CB64">
        <f>(BS64+BL64)*2</f>
        <v>35.100966387510397</v>
      </c>
      <c r="CC64">
        <f>(BU64+BL64)*2</f>
        <v>206.65318805973638</v>
      </c>
      <c r="CD64">
        <f>(BT64+BN64)*2</f>
        <v>63.325525423376646</v>
      </c>
      <c r="CE64">
        <f>(CA64+BN64)*2</f>
        <v>237.47072033766244</v>
      </c>
      <c r="CF64">
        <f>'TEA Revised Non EYZ'!CB64</f>
        <v>3185.4126996665682</v>
      </c>
      <c r="CG64">
        <f>'TEA Revised Non EYZ'!CC64</f>
        <v>4179.484677942859</v>
      </c>
      <c r="CH64">
        <f>'TEA Revised Non EYZ'!CD64</f>
        <v>3848.5686313477631</v>
      </c>
      <c r="CI64">
        <f>'TEA Revised Non EYZ'!CE64</f>
        <v>32236.736786471469</v>
      </c>
      <c r="CJ64">
        <f>BL64*V64</f>
        <v>1.0969051996096999</v>
      </c>
      <c r="CK64">
        <f>CJ64/2*1.2</f>
        <v>0.65814311976581996</v>
      </c>
      <c r="CL64">
        <f>'eLLE Bals'!CB64*'Oxidant Feed Composition'!$N$20</f>
        <v>3.656350665365668E-2</v>
      </c>
      <c r="CM64">
        <f>'eLLE Bals'!CB64*'Oxidant Feed Composition'!$N$21</f>
        <v>1.8281753326828334</v>
      </c>
      <c r="CN64">
        <f>'eLLE Bals'!CB64*'Oxidant Feed Composition'!$N$22</f>
        <v>0.54845259980484995</v>
      </c>
      <c r="CO64">
        <f>CN64/CK64</f>
        <v>0.83333333333333326</v>
      </c>
      <c r="CP64">
        <f>CO64</f>
        <v>0.83333333333333326</v>
      </c>
      <c r="CQ64">
        <f>CL64/CO64</f>
        <v>4.3876207984388023E-2</v>
      </c>
      <c r="CR64">
        <f>CM64/CO64</f>
        <v>2.1938103992194002</v>
      </c>
      <c r="CS64">
        <f>BN64*BA64</f>
        <v>1.9789226694805202</v>
      </c>
      <c r="CT64">
        <f>CS64/2*1.2</f>
        <v>1.1873536016883122</v>
      </c>
      <c r="CU64">
        <f>'eLLE Bals'!CC64*'Oxidant Feed Composition'!$N$20</f>
        <v>6.5964088982684035E-2</v>
      </c>
      <c r="CV64">
        <f>'eLLE Bals'!CC64*'Oxidant Feed Composition'!$N$21</f>
        <v>3.2982044491342006</v>
      </c>
      <c r="CW64">
        <f>'eLLE Bals'!CC64*'Oxidant Feed Composition'!$N$22</f>
        <v>0.9894613347402601</v>
      </c>
      <c r="CX64">
        <f>CU64/CP64</f>
        <v>7.9156906779220854E-2</v>
      </c>
      <c r="CY64">
        <f>CV64/CP64</f>
        <v>3.9578453389610413</v>
      </c>
      <c r="CZ64">
        <f>CJ64</f>
        <v>1.0969051996096999</v>
      </c>
      <c r="DA64">
        <f>'eLLE Bals'!BQ64</f>
        <v>2.1938103992193998</v>
      </c>
      <c r="DB64">
        <f>'eLLE Bals'!BU64</f>
        <v>5.4712829757209347</v>
      </c>
      <c r="DC64">
        <f>CS64</f>
        <v>1.9789226694805202</v>
      </c>
      <c r="DD64">
        <f>'eLLE Bals'!BX64</f>
        <v>3.9578453389610404</v>
      </c>
      <c r="DE64">
        <f>'eLLE Bals'!CA64</f>
        <v>22.101943570285687</v>
      </c>
      <c r="DF64">
        <f>2*2*(CJ64*'Reagent cost'!$C$36*122.44/1000+CK64*'Oxidant Feed Composition'!$N$26+CQ64*'Reagent cost'!$C$34+CR64*'Reagent cost'!$C$35)</f>
        <v>92.653072140924976</v>
      </c>
      <c r="DG64">
        <f>2*2*(CS64*'Reagent cost'!$C$36*122.44/1000+CT64*'Oxidant Feed Composition'!$N$26+CX64*'Reagent cost'!$C$34+CY64*'Reagent cost'!$C$35)</f>
        <v>167.15506948269652</v>
      </c>
      <c r="DH64">
        <f>(AF64+3)*2*(CZ64*'Reagent cost'!$C$38+DA64*'Reagent cost'!$C$39+DB64*'Reagent cost'!$C$36*122.44/1000)</f>
        <v>939.5683734722486</v>
      </c>
      <c r="DI64">
        <f>3*2*(DC64*'Reagent cost'!$C$38+DD64*'Reagent cost'!$C$39+DE64*'Reagent cost'!$C$36*122.44/1000)</f>
        <v>1199.583136805421</v>
      </c>
      <c r="DJ64">
        <f>7963.6*(CB64/1000)^0.6*1.7*('CAPEX+OPEX'!$G$116/'CAPEX+OPEX'!$G$115)</f>
        <v>2140.0916471558648</v>
      </c>
      <c r="DK64">
        <f>7963.6*(CC64/1000)^0.6*1.7*('CAPEX+OPEX'!$G$116/'CAPEX+OPEX'!$G$115)</f>
        <v>6199.9215410229135</v>
      </c>
      <c r="DL64">
        <f>7963.6*(CD64/1000)^0.6*1.7*('CAPEX+OPEX'!$G$116/'CAPEX+OPEX'!$G$115)</f>
        <v>3049.2161337270823</v>
      </c>
      <c r="DM64">
        <f>7963.6*(CE64/1000)^0.6*1.7*('CAPEX+OPEX'!$G$116/'CAPEX+OPEX'!$G$115)</f>
        <v>6739.1786551296318</v>
      </c>
      <c r="DN64">
        <f>'TEA Revised Non EYZ'!CM64</f>
        <v>39625.826528698344</v>
      </c>
      <c r="DO64">
        <f>'TEA Revised Non EYZ'!CN64</f>
        <v>4586243.4239371875</v>
      </c>
      <c r="DP64">
        <f>'TEA Revised Non EYZ'!CO64</f>
        <v>11794834.586807497</v>
      </c>
      <c r="DQ64">
        <f>'TEA Revised Non EYZ'!CP64</f>
        <v>2275209.1661185985</v>
      </c>
      <c r="DR64">
        <f>'TEA Revised Non EYZ'!CQ64</f>
        <v>14083914.336508472</v>
      </c>
      <c r="DS64">
        <f>'TEA Revised Non EYZ'!CR64</f>
        <v>1662824.8986326549</v>
      </c>
      <c r="DT64">
        <f>'TEA Revised Non EYZ'!CS64</f>
        <v>800322.53402245743</v>
      </c>
      <c r="DU64">
        <f>'TEA Revised Non EYZ'!CT64</f>
        <v>2058257.9318883498</v>
      </c>
      <c r="DV64">
        <f>'TEA Revised Non EYZ'!CU64</f>
        <v>397035.437708179</v>
      </c>
      <c r="DW64">
        <f>'TEA Revised Non EYZ'!CV64</f>
        <v>2457713.856163613</v>
      </c>
      <c r="DX64">
        <f>'TEA Revised Non EYZ'!CW64</f>
        <v>290171.30437591631</v>
      </c>
      <c r="DY64">
        <f>'TEA Revised Non EYZ'!CX64</f>
        <v>6003501.064158516</v>
      </c>
      <c r="DZ64">
        <f>'TEA Revised Non EYZ'!CY64</f>
        <v>610188.43601728987</v>
      </c>
      <c r="EA64">
        <f>'TEA Revised Non EYZ'!CZ64</f>
        <v>1569273.8052329933</v>
      </c>
      <c r="EB64">
        <f>'TEA Revised Non EYZ'!DA64</f>
        <v>302710.99772856798</v>
      </c>
      <c r="EC64">
        <f>'TEA Revised Non EYZ'!DB64</f>
        <v>1873830.2500781715</v>
      </c>
      <c r="ED64">
        <f>'TEA Revised Non EYZ'!DC64</f>
        <v>221234.77331611529</v>
      </c>
      <c r="EE64">
        <f>'TEA Revised Non EYZ'!DD64</f>
        <v>4577238.2623731382</v>
      </c>
      <c r="EF64">
        <v>0.7</v>
      </c>
      <c r="EG64">
        <v>100</v>
      </c>
      <c r="EH64">
        <f>96485*BL64*V64/EF64/EG64/60</f>
        <v>25.198785281986165</v>
      </c>
      <c r="EI64">
        <f>96485*BN64*BA64/EF64/EG64/60</f>
        <v>45.461036610673332</v>
      </c>
      <c r="EJ64">
        <f>EH64*('CAPEX+OPEX'!$O$25+'CAPEX+OPEX'!$O$26)</f>
        <v>803135.68450746301</v>
      </c>
      <c r="EK64">
        <f>EI64*('CAPEX+OPEX'!$O$25+'CAPEX+OPEX'!$O$26)</f>
        <v>1448934.1588553805</v>
      </c>
      <c r="EL64">
        <f>EJ64*1.12/0.6*'CAPEX+OPEX'!$G$116/'CAPEX+OPEX'!$G$115</f>
        <v>1768228.0006537526</v>
      </c>
      <c r="EM64">
        <f>EK64*1.12/0.6*'CAPEX+OPEX'!$G$116/'CAPEX+OPEX'!$G$115</f>
        <v>3190053.6860879189</v>
      </c>
      <c r="EN64">
        <f>EL64+EM64+DY64+EE64+1.15*(SUM(DF64:DM64)+SUM(CF64:CI64))</f>
        <v>15612595.219261345</v>
      </c>
      <c r="EO64">
        <f>EN64/15</f>
        <v>1040839.6812840897</v>
      </c>
      <c r="EP64">
        <f>('eLLE Bals'!CB64+'eLLE Bals'!CC64)*'Oxidant Feed Composition'!$N$25*60*7200</f>
        <v>12385639.094947599</v>
      </c>
      <c r="EQ64" s="83">
        <f>('eLLE Bals'!BR64+'eLLE Bals'!BY64)*'Reagent cost'!$C$38*60*7200</f>
        <v>505429.14777520933</v>
      </c>
      <c r="ER64">
        <f>'TEA Revised Non EYZ'!DI64</f>
        <v>504921.59999999998</v>
      </c>
      <c r="ES64">
        <f>'TEA Revised Non EYZ'!DJ64</f>
        <v>73.64897377609428</v>
      </c>
      <c r="ET64">
        <f>'TEA Revised Non EYZ'!DK64</f>
        <v>721.70610835638468</v>
      </c>
      <c r="EU64">
        <f>1.2*SUM(EP64:ET64)</f>
        <v>16076142.237365926</v>
      </c>
      <c r="EV64">
        <f>'TEA Revised Non EYZ'!DM64</f>
        <v>0.70639694042110623</v>
      </c>
      <c r="EW64">
        <f>(BS64*CO64+BT64*CP64)/1000*('Oxidant Feed Composition'!$B$11*'Oxidant Feed Composition'!$O$20+'Oxidant Feed Composition'!$D$11*'Oxidant Feed Composition'!$O$21+'Oxidant Feed Composition'!$F$11*'Oxidant Feed Composition'!$O$27-'Oxidant Feed Composition'!$J$15*18.015)</f>
        <v>1.796045714054407</v>
      </c>
      <c r="EX64">
        <f>(CZ64*BX64+DC64*BZ64)*368.34/1000</f>
        <v>0.10202621912713671</v>
      </c>
      <c r="EY64">
        <f>'TEA Revised Non EYZ'!DP64</f>
        <v>4.999938342565946E-2</v>
      </c>
      <c r="EZ64">
        <f>SUM(EV64:EX64)-EY64</f>
        <v>2.5544694901769907</v>
      </c>
      <c r="FA64">
        <f>EZ64*0.33*60*7200</f>
        <v>364165.17051963182</v>
      </c>
      <c r="FB64">
        <f>'TEA Revised Non EYZ'!DS64</f>
        <v>1.2</v>
      </c>
      <c r="FC64">
        <v>0.5</v>
      </c>
      <c r="FD64">
        <f>'TEA Revised Non EYZ'!DT64</f>
        <v>1405.2937722269342</v>
      </c>
      <c r="FE64">
        <f>'TEA Revised Non EYZ'!DU64</f>
        <v>706.41004951793764</v>
      </c>
      <c r="FF64">
        <f>'TEA Revised Non EYZ'!DV64</f>
        <v>0.7</v>
      </c>
      <c r="FG64">
        <f>'TEA Revised Non EYZ'!DW64</f>
        <v>44032.441905260595</v>
      </c>
      <c r="FH64">
        <f>'TEA Revised Non EYZ'!DX64</f>
        <v>41526.098972294596</v>
      </c>
      <c r="FI64">
        <f>'TEA Revised Non EYZ'!DY64</f>
        <v>17581.614484237631</v>
      </c>
      <c r="FJ64">
        <f>'TEA Revised Non EYZ'!DZ64</f>
        <v>9313.4716969742931</v>
      </c>
      <c r="FK64">
        <f>'TEA Revised Non EYZ'!EA64</f>
        <v>9376.8610582600722</v>
      </c>
      <c r="FL64">
        <f>'TEA Revised Non EYZ'!EB64</f>
        <v>849.92167344284985</v>
      </c>
      <c r="FM64">
        <f>'TEA Revised Non EYZ'!EC64</f>
        <v>33427.93439946045</v>
      </c>
      <c r="FN64">
        <f>'TEA Revised Non EYZ'!ED64</f>
        <v>27155.857449524232</v>
      </c>
      <c r="FO64">
        <f>'TEA Revised Non EYZ'!EE64</f>
        <v>11497.439645967921</v>
      </c>
      <c r="FP64">
        <f>'TEA Revised Non EYZ'!EF64</f>
        <v>6093.9049790871513</v>
      </c>
      <c r="FQ64">
        <f>'TEA Revised Non EYZ'!EG64</f>
        <v>6131.9678111828907</v>
      </c>
      <c r="FR64">
        <f>'TEA Revised Non EYZ'!EH64</f>
        <v>427.23679794844873</v>
      </c>
      <c r="FS64">
        <f>'TEA Revised Non EYZ'!EI64</f>
        <v>207414.75087364111</v>
      </c>
      <c r="FT64">
        <f>EG64*EH64</f>
        <v>2519.8785281986166</v>
      </c>
      <c r="FU64">
        <f>EG64*EI64</f>
        <v>4546.1036610673336</v>
      </c>
      <c r="FV64">
        <f>FC64*(FT64+FU64)/(3.6*10^6)*3600*7200*0.07</f>
        <v>1780.6275116950194</v>
      </c>
      <c r="FW64">
        <f>('CAPEX+OPEX'!$C$39/7/100+0.03)*EL64</f>
        <v>90937.440033621562</v>
      </c>
      <c r="FX64">
        <f>('CAPEX+OPEX'!$C$39/7/100+0.03)*EM64</f>
        <v>164059.90385595011</v>
      </c>
      <c r="FY64">
        <f>SUM(FV64:FX64)</f>
        <v>256777.9714012667</v>
      </c>
      <c r="FZ64">
        <f>FY64+FA64+FS64+EU64</f>
        <v>16904500.130160466</v>
      </c>
      <c r="GA64">
        <f>FZ64+EO64</f>
        <v>17945339.811444554</v>
      </c>
      <c r="GB64">
        <f>GA64/(BK64*60*7200)</f>
        <v>0.41540138452417952</v>
      </c>
      <c r="GC64">
        <f>'TEA Revised Non EYZ'!EM64/'TEA Revised Non EYZ'!EK64*GA64</f>
        <v>1390.2998648497955</v>
      </c>
      <c r="GD64">
        <f>'TEA Revised Non EYZ'!EN64/'TEA Revised Non EYZ'!EK64*GA64</f>
        <v>2548.439492953959</v>
      </c>
    </row>
    <row r="65" spans="1:186">
      <c r="A65">
        <f>'TEA Revised Non EYZ'!A65</f>
        <v>9</v>
      </c>
      <c r="B65">
        <f>'TEA Revised Non EYZ'!B65</f>
        <v>1.54143585092054E-3</v>
      </c>
      <c r="C65">
        <f>'TEA Revised Non EYZ'!C65</f>
        <v>1.54143585092054E-3</v>
      </c>
      <c r="D65">
        <f>'TEA Revised Non EYZ'!D65</f>
        <v>3.4254130020456501E-4</v>
      </c>
      <c r="E65">
        <f>'TEA Revised Non EYZ'!E65</f>
        <v>0</v>
      </c>
      <c r="F65">
        <f>'TEA Revised Non EYZ'!F65</f>
        <v>0</v>
      </c>
      <c r="G65">
        <f>'TEA Revised Non EYZ'!G65</f>
        <v>0</v>
      </c>
      <c r="H65">
        <f>'TEA Revised Non EYZ'!H65</f>
        <v>1.7768596981705501E-5</v>
      </c>
      <c r="I65">
        <f>'TEA Revised Non EYZ'!I65</f>
        <v>1.5331283704498101E-9</v>
      </c>
      <c r="J65">
        <f>'TEA Revised Non EYZ'!J65</f>
        <v>3.3763247208936601E-4</v>
      </c>
      <c r="K65">
        <f>'TEA Revised Non EYZ'!K65</f>
        <v>0.13890601070001499</v>
      </c>
      <c r="L65">
        <f>'TEA Revised Non EYZ'!L65</f>
        <v>0.14052575540227799</v>
      </c>
      <c r="M65">
        <f>'TEA Revised Non EYZ'!M65</f>
        <v>4.4751616793740602E-4</v>
      </c>
      <c r="N65">
        <f>'TEA Revised Non EYZ'!N65</f>
        <v>-5.0090140368830299E-17</v>
      </c>
      <c r="O65">
        <f>'TEA Revised Non EYZ'!O65</f>
        <v>-6.2343793322261397E-15</v>
      </c>
      <c r="P65">
        <f>'TEA Revised Non EYZ'!P65</f>
        <v>1.7787691892340301E-20</v>
      </c>
      <c r="Q65">
        <f>'TEA Revised Non EYZ'!Q65</f>
        <v>0.10969051996097</v>
      </c>
      <c r="R65">
        <f>'TEA Revised Non EYZ'!R65</f>
        <v>98.566938318892298</v>
      </c>
      <c r="S65">
        <f>'TEA Revised Non EYZ'!S65</f>
        <v>500</v>
      </c>
      <c r="T65">
        <f>'TEA Revised Non EYZ'!T65</f>
        <v>95</v>
      </c>
      <c r="U65">
        <f>'TEA Revised Non EYZ'!U65</f>
        <v>1</v>
      </c>
      <c r="V65">
        <f>'TEA Revised Non EYZ'!V65</f>
        <v>0.1</v>
      </c>
      <c r="W65">
        <f>'TEA Revised Non EYZ'!W65</f>
        <v>91.165581160141301</v>
      </c>
      <c r="X65" t="str">
        <f>'TEA Revised Non EYZ'!X65</f>
        <v>ddFc</v>
      </c>
      <c r="Y65">
        <f>'TEA Revised Non EYZ'!Y65</f>
        <v>1</v>
      </c>
      <c r="Z65">
        <f>'TEA Revised Non EYZ'!Z65</f>
        <v>0.28318429382522198</v>
      </c>
      <c r="AA65">
        <f>'TEA Revised Non EYZ'!AA65</f>
        <v>0.56945642916197003</v>
      </c>
      <c r="AB65">
        <f>'TEA Revised Non EYZ'!AB65</f>
        <v>3.7698628972227502E-3</v>
      </c>
      <c r="AC65">
        <f>'TEA Revised Non EYZ'!AC65</f>
        <v>1822.2107908876901</v>
      </c>
      <c r="AD65">
        <f>'TEA Revised Non EYZ'!AD65</f>
        <v>2662.6059073104898</v>
      </c>
      <c r="AE65">
        <f>'TEA Revised Non EYZ'!AE65</f>
        <v>2401.5030938442701</v>
      </c>
      <c r="AF65">
        <f>'TEA Revised Non EYZ'!AF65</f>
        <v>7</v>
      </c>
      <c r="AG65">
        <f>'TEA Revised Non EYZ'!AG65</f>
        <v>1.6497485970141401E-3</v>
      </c>
      <c r="AH65">
        <f>'TEA Revised Non EYZ'!AH65</f>
        <v>1.6689858606617799E-3</v>
      </c>
      <c r="AI65">
        <f>'TEA Revised Non EYZ'!AI65</f>
        <v>5.3150268046377499E-6</v>
      </c>
      <c r="AJ65">
        <f>'TEA Revised Non EYZ'!AJ65</f>
        <v>0</v>
      </c>
      <c r="AK65">
        <f>'TEA Revised Non EYZ'!AK65</f>
        <v>0</v>
      </c>
      <c r="AL65">
        <f>'TEA Revised Non EYZ'!AL65</f>
        <v>0</v>
      </c>
      <c r="AM65">
        <f>'TEA Revised Non EYZ'!AM65</f>
        <v>1.6126074648206801E-3</v>
      </c>
      <c r="AN65">
        <f>'TEA Revised Non EYZ'!AN65</f>
        <v>7.9594180322832604E-5</v>
      </c>
      <c r="AO65">
        <f>'TEA Revised Non EYZ'!AO65</f>
        <v>5.2798967729928503E-6</v>
      </c>
      <c r="AP65">
        <f>'TEA Revised Non EYZ'!AP65</f>
        <v>1.73979110112154E-3</v>
      </c>
      <c r="AQ65">
        <f>'TEA Revised Non EYZ'!AQ65</f>
        <v>7.4451405715099297E-2</v>
      </c>
      <c r="AR65">
        <f>'TEA Revised Non EYZ'!AR65</f>
        <v>1.64558571126931E-6</v>
      </c>
      <c r="AS65">
        <f>'TEA Revised Non EYZ'!AS65</f>
        <v>-4.4791102250807402E-18</v>
      </c>
      <c r="AT65">
        <f>'TEA Revised Non EYZ'!AT65</f>
        <v>-1.7100036664441299E-15</v>
      </c>
      <c r="AU65">
        <f>'TEA Revised Non EYZ'!AU65</f>
        <v>-4.5064799771888903E-21</v>
      </c>
      <c r="AV65">
        <f>'TEA Revised Non EYZ'!AV65</f>
        <v>0.19716526171033899</v>
      </c>
      <c r="AW65">
        <f>'TEA Revised Non EYZ'!AW65</f>
        <v>99.339043189504693</v>
      </c>
      <c r="AX65">
        <f>'TEA Revised Non EYZ'!AX65</f>
        <v>500</v>
      </c>
      <c r="AY65">
        <f>'TEA Revised Non EYZ'!AY65</f>
        <v>95</v>
      </c>
      <c r="AZ65">
        <f>'TEA Revised Non EYZ'!AZ65</f>
        <v>0.92357542033771201</v>
      </c>
      <c r="BA65">
        <f>'TEA Revised Non EYZ'!BA65</f>
        <v>0.1</v>
      </c>
      <c r="BB65">
        <f>'TEA Revised Non EYZ'!BB65</f>
        <v>46.842705065081802</v>
      </c>
      <c r="BC65" t="str">
        <f>'TEA Revised Non EYZ'!BC65</f>
        <v>coeFc</v>
      </c>
      <c r="BD65">
        <f>'TEA Revised Non EYZ'!BD65</f>
        <v>1</v>
      </c>
      <c r="BE65">
        <f>'TEA Revised Non EYZ'!BE65</f>
        <v>1.8775014999999999E-2</v>
      </c>
      <c r="BF65">
        <f>'TEA Revised Non EYZ'!BF65</f>
        <v>0.10492961100000001</v>
      </c>
      <c r="BG65">
        <f>'TEA Revised Non EYZ'!BG65</f>
        <v>1.814625E-3</v>
      </c>
      <c r="BH65">
        <f>'TEA Revised Non EYZ'!BH65</f>
        <v>285.1951444</v>
      </c>
      <c r="BI65">
        <f>'TEA Revised Non EYZ'!BI65</f>
        <v>2169.8944889999998</v>
      </c>
      <c r="BJ65">
        <f>'TEA Revised Non EYZ'!BJ65</f>
        <v>866.49409060000005</v>
      </c>
      <c r="BK65">
        <f>'TEA Revised Non EYZ'!BK65</f>
        <v>100</v>
      </c>
      <c r="BL65">
        <f>'TEA Revised Non EYZ'!BL65</f>
        <v>10.969051996096999</v>
      </c>
      <c r="BM65">
        <f>'TEA Revised Non EYZ'!BM65</f>
        <v>92.357542033771196</v>
      </c>
      <c r="BN65">
        <f>'TEA Revised Non EYZ'!BN65</f>
        <v>19.716526171033898</v>
      </c>
      <c r="BO65">
        <f>'TEA Revised Non EYZ'!BO65</f>
        <v>241.31914391413397</v>
      </c>
      <c r="BP65">
        <f>'TEA Revised Non EYZ'!BP65</f>
        <v>354.89747107861018</v>
      </c>
      <c r="BQ65">
        <f>'TEA Revised Non EYZ'!BQ65</f>
        <v>24.1319143914134</v>
      </c>
      <c r="BR65">
        <f>'TEA Revised Non EYZ'!BR65</f>
        <v>35.489747107861021</v>
      </c>
      <c r="BS65">
        <f>'eLLE Bals'!CF65</f>
        <v>6.5814311976581994</v>
      </c>
      <c r="BT65">
        <f>'eLLE Bals'!CG65</f>
        <v>11.829915702620339</v>
      </c>
      <c r="BU65">
        <f>BM65</f>
        <v>92.357542033771196</v>
      </c>
      <c r="BV65">
        <f>BU65*(AM65*2+AN65*2+AO65*3)</f>
        <v>0.31403808400635447</v>
      </c>
      <c r="BW65">
        <f>BN65*BA65*(AP65*2+AQ65*2+AR65*3)</f>
        <v>0.30045487877600546</v>
      </c>
      <c r="BX65">
        <f>BV65/(2*V65*BL65+BV65)</f>
        <v>0.12522211214387988</v>
      </c>
      <c r="BY65">
        <f>BU65*BX65</f>
        <v>11.565206485885996</v>
      </c>
      <c r="BZ65">
        <f>BW65/(2*BN65*BA65+BW65)</f>
        <v>7.0799213616442286E-2</v>
      </c>
      <c r="CA65">
        <f>2*BN65*BA65/0.04</f>
        <v>98.582630855169498</v>
      </c>
      <c r="CB65">
        <f>(BS65+BL65)*2</f>
        <v>35.100966387510397</v>
      </c>
      <c r="CC65">
        <f>(BU65+BL65)*2</f>
        <v>206.65318805973638</v>
      </c>
      <c r="CD65">
        <f>(BT65+BN65)*2</f>
        <v>63.092883747308477</v>
      </c>
      <c r="CE65">
        <f>(CA65+BN65)*2</f>
        <v>236.59831405240681</v>
      </c>
      <c r="CF65">
        <f>'TEA Revised Non EYZ'!CB65</f>
        <v>3185.4126996665682</v>
      </c>
      <c r="CG65">
        <f>'TEA Revised Non EYZ'!CC65</f>
        <v>4684.6466182376553</v>
      </c>
      <c r="CH65">
        <f>'TEA Revised Non EYZ'!CD65</f>
        <v>3848.5686313477631</v>
      </c>
      <c r="CI65">
        <f>'TEA Revised Non EYZ'!CE65</f>
        <v>36133.095729900335</v>
      </c>
      <c r="CJ65">
        <f>BL65*V65</f>
        <v>1.0969051996096999</v>
      </c>
      <c r="CK65">
        <f>CJ65/2*1.2</f>
        <v>0.65814311976581996</v>
      </c>
      <c r="CL65">
        <f>'eLLE Bals'!CB65*'Oxidant Feed Composition'!$N$20</f>
        <v>3.656350665365668E-2</v>
      </c>
      <c r="CM65">
        <f>'eLLE Bals'!CB65*'Oxidant Feed Composition'!$N$21</f>
        <v>1.8281753326828334</v>
      </c>
      <c r="CN65">
        <f>'eLLE Bals'!CB65*'Oxidant Feed Composition'!$N$22</f>
        <v>0.54845259980484995</v>
      </c>
      <c r="CO65">
        <f>CN65/CK65</f>
        <v>0.83333333333333326</v>
      </c>
      <c r="CP65">
        <f>CO65</f>
        <v>0.83333333333333326</v>
      </c>
      <c r="CQ65">
        <f>CL65/CO65</f>
        <v>4.3876207984388023E-2</v>
      </c>
      <c r="CR65">
        <f>CM65/CO65</f>
        <v>2.1938103992194002</v>
      </c>
      <c r="CS65">
        <f>BN65*BA65</f>
        <v>1.9716526171033899</v>
      </c>
      <c r="CT65">
        <f>CS65/2*1.2</f>
        <v>1.1829915702620339</v>
      </c>
      <c r="CU65">
        <f>'eLLE Bals'!CC65*'Oxidant Feed Composition'!$N$20</f>
        <v>6.5721753903446353E-2</v>
      </c>
      <c r="CV65">
        <f>'eLLE Bals'!CC65*'Oxidant Feed Composition'!$N$21</f>
        <v>3.2860876951723168</v>
      </c>
      <c r="CW65">
        <f>'eLLE Bals'!CC65*'Oxidant Feed Composition'!$N$22</f>
        <v>0.98582630855169495</v>
      </c>
      <c r="CX65">
        <f>CU65/CP65</f>
        <v>7.8866104684135629E-2</v>
      </c>
      <c r="CY65">
        <f>CV65/CP65</f>
        <v>3.9433052342067807</v>
      </c>
      <c r="CZ65">
        <f>CJ65</f>
        <v>1.0969051996096999</v>
      </c>
      <c r="DA65">
        <f>'eLLE Bals'!BQ65</f>
        <v>2.1938103992193998</v>
      </c>
      <c r="DB65">
        <f>'eLLE Bals'!BU65</f>
        <v>5.4689609537406412</v>
      </c>
      <c r="DC65">
        <f>CS65</f>
        <v>1.9716526171033899</v>
      </c>
      <c r="DD65">
        <f>'eLLE Bals'!BX65</f>
        <v>3.9433052342067798</v>
      </c>
      <c r="DE65">
        <f>'eLLE Bals'!CA65</f>
        <v>21.933552271766914</v>
      </c>
      <c r="DF65">
        <f>2*2*(CJ65*'Reagent cost'!$C$36*122.44/1000+CK65*'Oxidant Feed Composition'!$N$26+CQ65*'Reagent cost'!$C$34+CR65*'Reagent cost'!$C$35)</f>
        <v>92.653072140924976</v>
      </c>
      <c r="DG65">
        <f>2*2*(CS65*'Reagent cost'!$C$36*122.44/1000+CT65*'Oxidant Feed Composition'!$N$26+CX65*'Reagent cost'!$C$34+CY65*'Reagent cost'!$C$35)</f>
        <v>166.54098479460657</v>
      </c>
      <c r="DH65">
        <f>(AF65+3)*2*(CZ65*'Reagent cost'!$C$38+DA65*'Reagent cost'!$C$39+DB65*'Reagent cost'!$C$36*122.44/1000)</f>
        <v>1043.5633022700317</v>
      </c>
      <c r="DI65">
        <f>3*2*(DC65*'Reagent cost'!$C$38+DD65*'Reagent cost'!$C$39+DE65*'Reagent cost'!$C$36*122.44/1000)</f>
        <v>1190.652505097479</v>
      </c>
      <c r="DJ65">
        <f>7963.6*(CB65/1000)^0.6*1.7*('CAPEX+OPEX'!$G$116/'CAPEX+OPEX'!$G$115)</f>
        <v>2140.0916471558648</v>
      </c>
      <c r="DK65">
        <f>7963.6*(CC65/1000)^0.6*1.7*('CAPEX+OPEX'!$G$116/'CAPEX+OPEX'!$G$115)</f>
        <v>6199.9215410229135</v>
      </c>
      <c r="DL65">
        <f>7963.6*(CD65/1000)^0.6*1.7*('CAPEX+OPEX'!$G$116/'CAPEX+OPEX'!$G$115)</f>
        <v>3042.489965836156</v>
      </c>
      <c r="DM65">
        <f>7963.6*(CE65/1000)^0.6*1.7*('CAPEX+OPEX'!$G$116/'CAPEX+OPEX'!$G$115)</f>
        <v>6724.3129174798914</v>
      </c>
      <c r="DN65">
        <f>'TEA Revised Non EYZ'!CM65</f>
        <v>39625.826528698344</v>
      </c>
      <c r="DO65">
        <f>'TEA Revised Non EYZ'!CN65</f>
        <v>4586243.4239371875</v>
      </c>
      <c r="DP65">
        <f>'TEA Revised Non EYZ'!CO65</f>
        <v>11794834.586807497</v>
      </c>
      <c r="DQ65">
        <f>'TEA Revised Non EYZ'!CP65</f>
        <v>2275209.1661185985</v>
      </c>
      <c r="DR65">
        <f>'TEA Revised Non EYZ'!CQ65</f>
        <v>14083914.336508472</v>
      </c>
      <c r="DS65">
        <f>'TEA Revised Non EYZ'!CR65</f>
        <v>1662824.8986326549</v>
      </c>
      <c r="DT65">
        <f>'TEA Revised Non EYZ'!CS65</f>
        <v>800322.53402245743</v>
      </c>
      <c r="DU65">
        <f>'TEA Revised Non EYZ'!CT65</f>
        <v>2058257.9318883498</v>
      </c>
      <c r="DV65">
        <f>'TEA Revised Non EYZ'!CU65</f>
        <v>397035.437708179</v>
      </c>
      <c r="DW65">
        <f>'TEA Revised Non EYZ'!CV65</f>
        <v>2457713.856163613</v>
      </c>
      <c r="DX65">
        <f>'TEA Revised Non EYZ'!CW65</f>
        <v>290171.30437591631</v>
      </c>
      <c r="DY65">
        <f>'TEA Revised Non EYZ'!CX65</f>
        <v>6003501.064158516</v>
      </c>
      <c r="DZ65">
        <f>'TEA Revised Non EYZ'!CY65</f>
        <v>661087.79766298935</v>
      </c>
      <c r="EA65">
        <f>'TEA Revised Non EYZ'!CZ65</f>
        <v>1700176.0482434032</v>
      </c>
      <c r="EB65">
        <f>'TEA Revised Non EYZ'!DA65</f>
        <v>327961.88030524191</v>
      </c>
      <c r="EC65">
        <f>'TEA Revised Non EYZ'!DB65</f>
        <v>2030137.3151282831</v>
      </c>
      <c r="ED65">
        <f>'TEA Revised Non EYZ'!DC65</f>
        <v>239689.25077085066</v>
      </c>
      <c r="EE65">
        <f>'TEA Revised Non EYZ'!DD65</f>
        <v>4959052.2921107681</v>
      </c>
      <c r="EF65">
        <v>0.7</v>
      </c>
      <c r="EG65">
        <v>100</v>
      </c>
      <c r="EH65">
        <f>96485*BL65*V65/EF65/EG65/60</f>
        <v>25.198785281986165</v>
      </c>
      <c r="EI65">
        <f>96485*BN65*BA65/EF65/EG65/60</f>
        <v>45.294024466957282</v>
      </c>
      <c r="EJ65">
        <f>EH65*('CAPEX+OPEX'!$O$25+'CAPEX+OPEX'!$O$26)</f>
        <v>803135.68450746301</v>
      </c>
      <c r="EK65">
        <f>EI65*('CAPEX+OPEX'!$O$25+'CAPEX+OPEX'!$O$26)</f>
        <v>1443611.1478108624</v>
      </c>
      <c r="EL65">
        <f>EJ65*1.12/0.6*'CAPEX+OPEX'!$G$116/'CAPEX+OPEX'!$G$115</f>
        <v>1768228.0006537526</v>
      </c>
      <c r="EM65">
        <f>EK65*1.12/0.6*'CAPEX+OPEX'!$G$116/'CAPEX+OPEX'!$G$115</f>
        <v>3178334.2501840368</v>
      </c>
      <c r="EN65">
        <f>EL65+EM65+DY65+EE65+1.15*(SUM(DF65:DM65)+SUM(CF65:CI65))</f>
        <v>15987835.349164266</v>
      </c>
      <c r="EO65">
        <f>EN65/15</f>
        <v>1065855.6899442845</v>
      </c>
      <c r="EP65">
        <f>('eLLE Bals'!CB65+'eLLE Bals'!CC65)*'Oxidant Feed Composition'!$N$25*60*7200</f>
        <v>12356364.295193886</v>
      </c>
      <c r="EQ65" s="83">
        <f>('eLLE Bals'!BR65+'eLLE Bals'!BY65)*'Reagent cost'!$C$38*60*7200</f>
        <v>505354.32318087376</v>
      </c>
      <c r="ER65">
        <f>'TEA Revised Non EYZ'!DI65</f>
        <v>504921.59999999998</v>
      </c>
      <c r="ES65">
        <f>'TEA Revised Non EYZ'!DJ65</f>
        <v>78.70059317904223</v>
      </c>
      <c r="ET65">
        <f>'TEA Revised Non EYZ'!DK65</f>
        <v>799.63328722496203</v>
      </c>
      <c r="EU65">
        <f>1.2*SUM(EP65:ET65)</f>
        <v>16041022.262706194</v>
      </c>
      <c r="EV65">
        <f>'TEA Revised Non EYZ'!DM65</f>
        <v>0.70639694042110623</v>
      </c>
      <c r="EW65">
        <f>(BS65*CO65+BT65*CP65)/1000*('Oxidant Feed Composition'!$B$11*'Oxidant Feed Composition'!$O$20+'Oxidant Feed Composition'!$D$11*'Oxidant Feed Composition'!$O$21+'Oxidant Feed Composition'!$F$11*'Oxidant Feed Composition'!$O$27-'Oxidant Feed Composition'!$J$15*18.015)</f>
        <v>1.7918005654412117</v>
      </c>
      <c r="EX65">
        <f>(CZ65*BX65+DC65*BZ65)*368.34/1000</f>
        <v>0.10201111499139105</v>
      </c>
      <c r="EY65">
        <f>'TEA Revised Non EYZ'!DP65</f>
        <v>4.999938342565946E-2</v>
      </c>
      <c r="EZ65">
        <f>SUM(EV65:EX65)-EY65</f>
        <v>2.5502092374280498</v>
      </c>
      <c r="FA65">
        <f>EZ65*0.33*60*7200</f>
        <v>363557.82888774277</v>
      </c>
      <c r="FB65">
        <f>'TEA Revised Non EYZ'!DS65</f>
        <v>1.2</v>
      </c>
      <c r="FC65">
        <v>0.5</v>
      </c>
      <c r="FD65">
        <f>'TEA Revised Non EYZ'!DT65</f>
        <v>1405.7198464932956</v>
      </c>
      <c r="FE65">
        <f>'TEA Revised Non EYZ'!DU65</f>
        <v>705.98397525229223</v>
      </c>
      <c r="FF65">
        <f>'TEA Revised Non EYZ'!DV65</f>
        <v>0.7</v>
      </c>
      <c r="FG65">
        <f>'TEA Revised Non EYZ'!DW65</f>
        <v>44032.441905260595</v>
      </c>
      <c r="FH65">
        <f>'TEA Revised Non EYZ'!DX65</f>
        <v>41526.098972294596</v>
      </c>
      <c r="FI65">
        <f>'TEA Revised Non EYZ'!DY65</f>
        <v>17581.614484237631</v>
      </c>
      <c r="FJ65">
        <f>'TEA Revised Non EYZ'!DZ65</f>
        <v>9313.4716969742931</v>
      </c>
      <c r="FK65">
        <f>'TEA Revised Non EYZ'!EA65</f>
        <v>9376.8610582600722</v>
      </c>
      <c r="FL65">
        <f>'TEA Revised Non EYZ'!EB65</f>
        <v>850.17936315914517</v>
      </c>
      <c r="FM65">
        <f>'TEA Revised Non EYZ'!EC65</f>
        <v>35999.313968649723</v>
      </c>
      <c r="FN65">
        <f>'TEA Revised Non EYZ'!ED65</f>
        <v>31035.265656599127</v>
      </c>
      <c r="FO65">
        <f>'TEA Revised Non EYZ'!EE65</f>
        <v>13139.93102396334</v>
      </c>
      <c r="FP65">
        <f>'TEA Revised Non EYZ'!EF65</f>
        <v>6964.46283324246</v>
      </c>
      <c r="FQ65">
        <f>'TEA Revised Non EYZ'!EG65</f>
        <v>7007.963212780448</v>
      </c>
      <c r="FR65">
        <f>'TEA Revised Non EYZ'!EH65</f>
        <v>426.97910823258638</v>
      </c>
      <c r="FS65">
        <f>'TEA Revised Non EYZ'!EI65</f>
        <v>217254.58328365404</v>
      </c>
      <c r="FT65">
        <f>EG65*EH65</f>
        <v>2519.8785281986166</v>
      </c>
      <c r="FU65">
        <f>EG65*EI65</f>
        <v>4529.402446695728</v>
      </c>
      <c r="FV65">
        <f>FC65*(FT65+FU65)/(3.6*10^6)*3600*7200*0.07</f>
        <v>1776.4188056733749</v>
      </c>
      <c r="FW65">
        <f>('CAPEX+OPEX'!$C$39/7/100+0.03)*EL65</f>
        <v>90937.440033621562</v>
      </c>
      <c r="FX65">
        <f>('CAPEX+OPEX'!$C$39/7/100+0.03)*EM65</f>
        <v>163457.19000946474</v>
      </c>
      <c r="FY65">
        <f>SUM(FV65:FX65)</f>
        <v>256171.04884875967</v>
      </c>
      <c r="FZ65">
        <f>FY65+FA65+FS65+EU65</f>
        <v>16878005.723726351</v>
      </c>
      <c r="GA65">
        <f>FZ65+EO65</f>
        <v>17943861.413670637</v>
      </c>
      <c r="GB65">
        <f>GA65/(BK65*60*7200)</f>
        <v>0.41536716235348697</v>
      </c>
      <c r="GC65">
        <f>'TEA Revised Non EYZ'!EM65/'TEA Revised Non EYZ'!EK65*GA65</f>
        <v>1389.7637011159998</v>
      </c>
      <c r="GD65">
        <f>'TEA Revised Non EYZ'!EN65/'TEA Revised Non EYZ'!EK65*GA65</f>
        <v>2549.6474011915157</v>
      </c>
    </row>
    <row r="66" spans="1:186">
      <c r="A66">
        <f>'TEA Revised Non EYZ'!A66</f>
        <v>9</v>
      </c>
      <c r="B66">
        <f>'TEA Revised Non EYZ'!B66</f>
        <v>1.54143585092054E-3</v>
      </c>
      <c r="C66">
        <f>'TEA Revised Non EYZ'!C66</f>
        <v>1.54143585092054E-3</v>
      </c>
      <c r="D66">
        <f>'TEA Revised Non EYZ'!D66</f>
        <v>3.4254130020456501E-4</v>
      </c>
      <c r="E66">
        <f>'TEA Revised Non EYZ'!E66</f>
        <v>0</v>
      </c>
      <c r="F66">
        <f>'TEA Revised Non EYZ'!F66</f>
        <v>0</v>
      </c>
      <c r="G66">
        <f>'TEA Revised Non EYZ'!G66</f>
        <v>0</v>
      </c>
      <c r="H66">
        <f>'TEA Revised Non EYZ'!H66</f>
        <v>1.7768596981705501E-5</v>
      </c>
      <c r="I66">
        <f>'TEA Revised Non EYZ'!I66</f>
        <v>1.5331283704498101E-9</v>
      </c>
      <c r="J66">
        <f>'TEA Revised Non EYZ'!J66</f>
        <v>3.3763247208936601E-4</v>
      </c>
      <c r="K66">
        <f>'TEA Revised Non EYZ'!K66</f>
        <v>0.13890601070001499</v>
      </c>
      <c r="L66">
        <f>'TEA Revised Non EYZ'!L66</f>
        <v>0.14052575540227799</v>
      </c>
      <c r="M66">
        <f>'TEA Revised Non EYZ'!M66</f>
        <v>4.4751616793740602E-4</v>
      </c>
      <c r="N66">
        <f>'TEA Revised Non EYZ'!N66</f>
        <v>-5.0090140368830299E-17</v>
      </c>
      <c r="O66">
        <f>'TEA Revised Non EYZ'!O66</f>
        <v>-6.2343793322261397E-15</v>
      </c>
      <c r="P66">
        <f>'TEA Revised Non EYZ'!P66</f>
        <v>1.7787691892340301E-20</v>
      </c>
      <c r="Q66">
        <f>'TEA Revised Non EYZ'!Q66</f>
        <v>0.10969051996097</v>
      </c>
      <c r="R66">
        <f>'TEA Revised Non EYZ'!R66</f>
        <v>98.566938318892298</v>
      </c>
      <c r="S66">
        <f>'TEA Revised Non EYZ'!S66</f>
        <v>500</v>
      </c>
      <c r="T66">
        <f>'TEA Revised Non EYZ'!T66</f>
        <v>95</v>
      </c>
      <c r="U66">
        <f>'TEA Revised Non EYZ'!U66</f>
        <v>1</v>
      </c>
      <c r="V66">
        <f>'TEA Revised Non EYZ'!V66</f>
        <v>0.1</v>
      </c>
      <c r="W66">
        <f>'TEA Revised Non EYZ'!W66</f>
        <v>91.165581160141301</v>
      </c>
      <c r="X66" t="str">
        <f>'TEA Revised Non EYZ'!X66</f>
        <v>ddFc</v>
      </c>
      <c r="Y66">
        <f>'TEA Revised Non EYZ'!Y66</f>
        <v>1</v>
      </c>
      <c r="Z66">
        <f>'TEA Revised Non EYZ'!Z66</f>
        <v>0.28318429382522198</v>
      </c>
      <c r="AA66">
        <f>'TEA Revised Non EYZ'!AA66</f>
        <v>0.56945642916197003</v>
      </c>
      <c r="AB66">
        <f>'TEA Revised Non EYZ'!AB66</f>
        <v>3.7698628972227502E-3</v>
      </c>
      <c r="AC66">
        <f>'TEA Revised Non EYZ'!AC66</f>
        <v>1822.2107908876901</v>
      </c>
      <c r="AD66">
        <f>'TEA Revised Non EYZ'!AD66</f>
        <v>2662.6059073104898</v>
      </c>
      <c r="AE66">
        <f>'TEA Revised Non EYZ'!AE66</f>
        <v>2401.5030938442701</v>
      </c>
      <c r="AF66">
        <f>'TEA Revised Non EYZ'!AF66</f>
        <v>8</v>
      </c>
      <c r="AG66">
        <f>'TEA Revised Non EYZ'!AG66</f>
        <v>1.6497485970141401E-3</v>
      </c>
      <c r="AH66">
        <f>'TEA Revised Non EYZ'!AH66</f>
        <v>1.6689858606617799E-3</v>
      </c>
      <c r="AI66">
        <f>'TEA Revised Non EYZ'!AI66</f>
        <v>5.3150268046377499E-6</v>
      </c>
      <c r="AJ66">
        <f>'TEA Revised Non EYZ'!AJ66</f>
        <v>0</v>
      </c>
      <c r="AK66">
        <f>'TEA Revised Non EYZ'!AK66</f>
        <v>0</v>
      </c>
      <c r="AL66">
        <f>'TEA Revised Non EYZ'!AL66</f>
        <v>0</v>
      </c>
      <c r="AM66">
        <f>'TEA Revised Non EYZ'!AM66</f>
        <v>1.6127468294673999E-3</v>
      </c>
      <c r="AN66">
        <f>'TEA Revised Non EYZ'!AN66</f>
        <v>7.9601388937146201E-5</v>
      </c>
      <c r="AO66">
        <f>'TEA Revised Non EYZ'!AO66</f>
        <v>5.2800231400846897E-6</v>
      </c>
      <c r="AP66">
        <f>'TEA Revised Non EYZ'!AP66</f>
        <v>1.73508600246416E-3</v>
      </c>
      <c r="AQ66">
        <f>'TEA Revised Non EYZ'!AQ66</f>
        <v>7.4529378862327897E-2</v>
      </c>
      <c r="AR66">
        <f>'TEA Revised Non EYZ'!AR66</f>
        <v>1.6413910047206701E-6</v>
      </c>
      <c r="AS66">
        <f>'TEA Revised Non EYZ'!AS66</f>
        <v>5.1001480057440096E-15</v>
      </c>
      <c r="AT66">
        <f>'TEA Revised Non EYZ'!AT66</f>
        <v>-1.1878935335385401E-12</v>
      </c>
      <c r="AU66">
        <f>'TEA Revised Non EYZ'!AU66</f>
        <v>2.3339728163796199E-20</v>
      </c>
      <c r="AV66">
        <f>'TEA Revised Non EYZ'!AV66</f>
        <v>0.19695809292209099</v>
      </c>
      <c r="AW66">
        <f>'TEA Revised Non EYZ'!AW66</f>
        <v>99.341420733334502</v>
      </c>
      <c r="AX66">
        <f>'TEA Revised Non EYZ'!AX66</f>
        <v>500</v>
      </c>
      <c r="AY66">
        <f>'TEA Revised Non EYZ'!AY66</f>
        <v>95</v>
      </c>
      <c r="AZ66">
        <f>'TEA Revised Non EYZ'!AZ66</f>
        <v>0.92357542033771201</v>
      </c>
      <c r="BA66">
        <f>'TEA Revised Non EYZ'!BA66</f>
        <v>0.1</v>
      </c>
      <c r="BB66">
        <f>'TEA Revised Non EYZ'!BB66</f>
        <v>46.891976188205703</v>
      </c>
      <c r="BC66" t="str">
        <f>'TEA Revised Non EYZ'!BC66</f>
        <v>coeFc</v>
      </c>
      <c r="BD66">
        <f>'TEA Revised Non EYZ'!BD66</f>
        <v>1</v>
      </c>
      <c r="BE66">
        <f>'TEA Revised Non EYZ'!BE66</f>
        <v>1.8775014999999999E-2</v>
      </c>
      <c r="BF66">
        <f>'TEA Revised Non EYZ'!BF66</f>
        <v>0.10492961100000001</v>
      </c>
      <c r="BG66">
        <f>'TEA Revised Non EYZ'!BG66</f>
        <v>1.814625E-3</v>
      </c>
      <c r="BH66">
        <f>'TEA Revised Non EYZ'!BH66</f>
        <v>285.1951444</v>
      </c>
      <c r="BI66">
        <f>'TEA Revised Non EYZ'!BI66</f>
        <v>2169.8944889999998</v>
      </c>
      <c r="BJ66">
        <f>'TEA Revised Non EYZ'!BJ66</f>
        <v>866.49409060000005</v>
      </c>
      <c r="BK66">
        <f>'TEA Revised Non EYZ'!BK66</f>
        <v>100</v>
      </c>
      <c r="BL66">
        <f>'TEA Revised Non EYZ'!BL66</f>
        <v>10.969051996096999</v>
      </c>
      <c r="BM66">
        <f>'TEA Revised Non EYZ'!BM66</f>
        <v>92.357542033771196</v>
      </c>
      <c r="BN66">
        <f>'TEA Revised Non EYZ'!BN66</f>
        <v>19.695809292209098</v>
      </c>
      <c r="BO66">
        <f>'TEA Revised Non EYZ'!BO66</f>
        <v>241.31914391413397</v>
      </c>
      <c r="BP66">
        <f>'TEA Revised Non EYZ'!BP66</f>
        <v>393.916185844182</v>
      </c>
      <c r="BQ66">
        <f>'TEA Revised Non EYZ'!BQ66</f>
        <v>24.1319143914134</v>
      </c>
      <c r="BR66">
        <f>'TEA Revised Non EYZ'!BR66</f>
        <v>39.391618584418204</v>
      </c>
      <c r="BS66">
        <f>'eLLE Bals'!CF66</f>
        <v>6.5814311976581994</v>
      </c>
      <c r="BT66">
        <f>'eLLE Bals'!CG66</f>
        <v>11.817485575325458</v>
      </c>
      <c r="BU66">
        <f>BM66</f>
        <v>92.357542033771196</v>
      </c>
      <c r="BV66">
        <f>BU66*(AM66*2+AN66*2+AO66*3)</f>
        <v>0.31406519331145027</v>
      </c>
      <c r="BW66">
        <f>BN66*BA66*(AP66*2+AQ66*2+AR66*3)</f>
        <v>0.30042776970712609</v>
      </c>
      <c r="BX66">
        <f>BV66/(2*V66*BL66+BV66)</f>
        <v>0.12523156820331266</v>
      </c>
      <c r="BY66">
        <f>BU66*BX66</f>
        <v>11.566079824292533</v>
      </c>
      <c r="BZ66">
        <f>BW66/(2*BN66*BA66+BW66)</f>
        <v>7.0862464544309292E-2</v>
      </c>
      <c r="CA66">
        <f>2*BN66*BA66/0.04</f>
        <v>98.479046461045499</v>
      </c>
      <c r="CB66">
        <f>(BS66+BL66)*2</f>
        <v>35.100966387510397</v>
      </c>
      <c r="CC66">
        <f>(BU66+BL66)*2</f>
        <v>206.65318805973638</v>
      </c>
      <c r="CD66">
        <f>(BT66+BN66)*2</f>
        <v>63.026589735069109</v>
      </c>
      <c r="CE66">
        <f>(CA66+BN66)*2</f>
        <v>236.34971150650921</v>
      </c>
      <c r="CF66">
        <f>'TEA Revised Non EYZ'!CB66</f>
        <v>3185.4126996665682</v>
      </c>
      <c r="CG66">
        <f>'TEA Revised Non EYZ'!CC66</f>
        <v>5199.6936531432029</v>
      </c>
      <c r="CH66">
        <f>'TEA Revised Non EYZ'!CD66</f>
        <v>3848.5686313477631</v>
      </c>
      <c r="CI66">
        <f>'TEA Revised Non EYZ'!CE66</f>
        <v>40105.699286632342</v>
      </c>
      <c r="CJ66">
        <f>BL66*V66</f>
        <v>1.0969051996096999</v>
      </c>
      <c r="CK66">
        <f>CJ66/2*1.2</f>
        <v>0.65814311976581996</v>
      </c>
      <c r="CL66">
        <f>'eLLE Bals'!CB66*'Oxidant Feed Composition'!$N$20</f>
        <v>3.656350665365668E-2</v>
      </c>
      <c r="CM66">
        <f>'eLLE Bals'!CB66*'Oxidant Feed Composition'!$N$21</f>
        <v>1.8281753326828334</v>
      </c>
      <c r="CN66">
        <f>'eLLE Bals'!CB66*'Oxidant Feed Composition'!$N$22</f>
        <v>0.54845259980484995</v>
      </c>
      <c r="CO66">
        <f>CN66/CK66</f>
        <v>0.83333333333333326</v>
      </c>
      <c r="CP66">
        <f>CO66</f>
        <v>0.83333333333333326</v>
      </c>
      <c r="CQ66">
        <f>CL66/CO66</f>
        <v>4.3876207984388023E-2</v>
      </c>
      <c r="CR66">
        <f>CM66/CO66</f>
        <v>2.1938103992194002</v>
      </c>
      <c r="CS66">
        <f>BN66*BA66</f>
        <v>1.9695809292209099</v>
      </c>
      <c r="CT66">
        <f>CS66/2*1.2</f>
        <v>1.1817485575325459</v>
      </c>
      <c r="CU66">
        <f>'eLLE Bals'!CC66*'Oxidant Feed Composition'!$N$20</f>
        <v>6.5652697640697019E-2</v>
      </c>
      <c r="CV66">
        <f>'eLLE Bals'!CC66*'Oxidant Feed Composition'!$N$21</f>
        <v>3.2826348820348499</v>
      </c>
      <c r="CW66">
        <f>'eLLE Bals'!CC66*'Oxidant Feed Composition'!$N$22</f>
        <v>0.98479046461045494</v>
      </c>
      <c r="CX66">
        <f>CU66/CP66</f>
        <v>7.8783237168836437E-2</v>
      </c>
      <c r="CY66">
        <f>CV66/CP66</f>
        <v>3.9391618584418202</v>
      </c>
      <c r="CZ66">
        <f>CJ66</f>
        <v>1.0969051996096999</v>
      </c>
      <c r="DA66">
        <f>'eLLE Bals'!BQ66</f>
        <v>2.1938103992193998</v>
      </c>
      <c r="DB66">
        <f>'eLLE Bals'!BU66</f>
        <v>5.4682995245447401</v>
      </c>
      <c r="DC66">
        <f>CS66</f>
        <v>1.9695809292209099</v>
      </c>
      <c r="DD66">
        <f>'eLLE Bals'!BX66</f>
        <v>3.9391618584418198</v>
      </c>
      <c r="DE66">
        <f>'eLLE Bals'!CA66</f>
        <v>21.885674777215488</v>
      </c>
      <c r="DF66">
        <f>2*2*(CJ66*'Reagent cost'!$C$36*122.44/1000+CK66*'Oxidant Feed Composition'!$N$26+CQ66*'Reagent cost'!$C$34+CR66*'Reagent cost'!$C$35)</f>
        <v>92.653072140924976</v>
      </c>
      <c r="DG66">
        <f>2*2*(CS66*'Reagent cost'!$C$36*122.44/1000+CT66*'Oxidant Feed Composition'!$N$26+CX66*'Reagent cost'!$C$34+CY66*'Reagent cost'!$C$35)</f>
        <v>166.36599405985831</v>
      </c>
      <c r="DH66">
        <f>(AF66+3)*2*(CZ66*'Reagent cost'!$C$38+DA66*'Reagent cost'!$C$39+DB66*'Reagent cost'!$C$36*122.44/1000)</f>
        <v>1147.7938103545559</v>
      </c>
      <c r="DI66">
        <f>3*2*(DC66*'Reagent cost'!$C$38+DD66*'Reagent cost'!$C$39+DE66*'Reagent cost'!$C$36*122.44/1000)</f>
        <v>1188.1131981464232</v>
      </c>
      <c r="DJ66">
        <f>7963.6*(CB66/1000)^0.6*1.7*('CAPEX+OPEX'!$G$116/'CAPEX+OPEX'!$G$115)</f>
        <v>2140.0916471558648</v>
      </c>
      <c r="DK66">
        <f>7963.6*(CC66/1000)^0.6*1.7*('CAPEX+OPEX'!$G$116/'CAPEX+OPEX'!$G$115)</f>
        <v>6199.9215410229135</v>
      </c>
      <c r="DL66">
        <f>7963.6*(CD66/1000)^0.6*1.7*('CAPEX+OPEX'!$G$116/'CAPEX+OPEX'!$G$115)</f>
        <v>3040.5714489227012</v>
      </c>
      <c r="DM66">
        <f>7963.6*(CE66/1000)^0.6*1.7*('CAPEX+OPEX'!$G$116/'CAPEX+OPEX'!$G$115)</f>
        <v>6720.0727365069333</v>
      </c>
      <c r="DN66">
        <f>'TEA Revised Non EYZ'!CM66</f>
        <v>39625.826528698344</v>
      </c>
      <c r="DO66">
        <f>'TEA Revised Non EYZ'!CN66</f>
        <v>4586243.4239371875</v>
      </c>
      <c r="DP66">
        <f>'TEA Revised Non EYZ'!CO66</f>
        <v>11794834.586807497</v>
      </c>
      <c r="DQ66">
        <f>'TEA Revised Non EYZ'!CP66</f>
        <v>2275209.1661185985</v>
      </c>
      <c r="DR66">
        <f>'TEA Revised Non EYZ'!CQ66</f>
        <v>14083914.336508472</v>
      </c>
      <c r="DS66">
        <f>'TEA Revised Non EYZ'!CR66</f>
        <v>1662824.8986326549</v>
      </c>
      <c r="DT66">
        <f>'TEA Revised Non EYZ'!CS66</f>
        <v>800322.53402245743</v>
      </c>
      <c r="DU66">
        <f>'TEA Revised Non EYZ'!CT66</f>
        <v>2058257.9318883498</v>
      </c>
      <c r="DV66">
        <f>'TEA Revised Non EYZ'!CU66</f>
        <v>397035.437708179</v>
      </c>
      <c r="DW66">
        <f>'TEA Revised Non EYZ'!CV66</f>
        <v>2457713.856163613</v>
      </c>
      <c r="DX66">
        <f>'TEA Revised Non EYZ'!CW66</f>
        <v>290171.30437591631</v>
      </c>
      <c r="DY66">
        <f>'TEA Revised Non EYZ'!CX66</f>
        <v>6003501.064158516</v>
      </c>
      <c r="DZ66">
        <f>'TEA Revised Non EYZ'!CY66</f>
        <v>709497.14876377874</v>
      </c>
      <c r="EA66">
        <f>'TEA Revised Non EYZ'!CZ66</f>
        <v>1824674.5181040205</v>
      </c>
      <c r="EB66">
        <f>'TEA Revised Non EYZ'!DA66</f>
        <v>351977.48287345789</v>
      </c>
      <c r="EC66">
        <f>'TEA Revised Non EYZ'!DB66</f>
        <v>2178797.7962599574</v>
      </c>
      <c r="ED66">
        <f>'TEA Revised Non EYZ'!DC66</f>
        <v>257240.93019477848</v>
      </c>
      <c r="EE66">
        <f>'TEA Revised Non EYZ'!DD66</f>
        <v>5322187.8761959933</v>
      </c>
      <c r="EF66">
        <v>0.7</v>
      </c>
      <c r="EG66">
        <v>100</v>
      </c>
      <c r="EH66">
        <f>96485*BL66*V66/EF66/EG66/60</f>
        <v>25.198785281986165</v>
      </c>
      <c r="EI66">
        <f>96485*BN66*BA66/EF66/EG66/60</f>
        <v>45.246432370447501</v>
      </c>
      <c r="EJ66">
        <f>EH66*('CAPEX+OPEX'!$O$25+'CAPEX+OPEX'!$O$26)</f>
        <v>803135.68450746301</v>
      </c>
      <c r="EK66">
        <f>EI66*('CAPEX+OPEX'!$O$25+'CAPEX+OPEX'!$O$26)</f>
        <v>1442094.2925109027</v>
      </c>
      <c r="EL66">
        <f>EJ66*1.12/0.6*'CAPEX+OPEX'!$G$116/'CAPEX+OPEX'!$G$115</f>
        <v>1768228.0006537526</v>
      </c>
      <c r="EM66">
        <f>EK66*1.12/0.6*'CAPEX+OPEX'!$G$116/'CAPEX+OPEX'!$G$115</f>
        <v>3174994.6575522218</v>
      </c>
      <c r="EN66">
        <f>EL66+EM66+DY66+EE66+1.15*(SUM(DF66:DM66)+SUM(CF66:CI66))</f>
        <v>16352901.799937449</v>
      </c>
      <c r="EO66">
        <f>EN66/15</f>
        <v>1090193.4533291634</v>
      </c>
      <c r="EP66">
        <f>('eLLE Bals'!CB66+'eLLE Bals'!CC66)*'Oxidant Feed Composition'!$N$25*60*7200</f>
        <v>12348022.092859475</v>
      </c>
      <c r="EQ66" s="83">
        <f>('eLLE Bals'!BR66+'eLLE Bals'!BY66)*'Reagent cost'!$C$38*60*7200</f>
        <v>505332.93074433669</v>
      </c>
      <c r="ER66">
        <f>'TEA Revised Non EYZ'!DI66</f>
        <v>504921.59999999998</v>
      </c>
      <c r="ES66">
        <f>'TEA Revised Non EYZ'!DJ66</f>
        <v>83.851063528097711</v>
      </c>
      <c r="ET66">
        <f>'TEA Revised Non EYZ'!DK66</f>
        <v>879.08535835960208</v>
      </c>
      <c r="EU66">
        <f>1.2*SUM(EP66:ET66)</f>
        <v>16031087.472030839</v>
      </c>
      <c r="EV66">
        <f>'TEA Revised Non EYZ'!DM66</f>
        <v>0.70639694042110623</v>
      </c>
      <c r="EW66">
        <f>(BS66*CO66+BT66*CP66)/1000*('Oxidant Feed Composition'!$B$11*'Oxidant Feed Composition'!$O$20+'Oxidant Feed Composition'!$D$11*'Oxidant Feed Composition'!$O$21+'Oxidant Feed Composition'!$F$11*'Oxidant Feed Composition'!$O$27-'Oxidant Feed Composition'!$J$15*18.015)</f>
        <v>1.7905908598593168</v>
      </c>
      <c r="EX66">
        <f>(CZ66*BX66+DC66*BZ66)*368.34/1000</f>
        <v>0.1020067967018199</v>
      </c>
      <c r="EY66">
        <f>'TEA Revised Non EYZ'!DP66</f>
        <v>4.999938342565946E-2</v>
      </c>
      <c r="EZ66">
        <f>SUM(EV66:EX66)-EY66</f>
        <v>2.5489952135565836</v>
      </c>
      <c r="FA66">
        <f>EZ66*0.33*60*7200</f>
        <v>363384.7576446266</v>
      </c>
      <c r="FB66">
        <f>'TEA Revised Non EYZ'!DS66</f>
        <v>1.2</v>
      </c>
      <c r="FC66">
        <v>0.5</v>
      </c>
      <c r="FD66">
        <f>'TEA Revised Non EYZ'!DT66</f>
        <v>1405.8412615116492</v>
      </c>
      <c r="FE66">
        <f>'TEA Revised Non EYZ'!DU66</f>
        <v>705.86256077424412</v>
      </c>
      <c r="FF66">
        <f>'TEA Revised Non EYZ'!DV66</f>
        <v>0.7</v>
      </c>
      <c r="FG66">
        <f>'TEA Revised Non EYZ'!DW66</f>
        <v>44032.441905260595</v>
      </c>
      <c r="FH66">
        <f>'TEA Revised Non EYZ'!DX66</f>
        <v>41526.098972294596</v>
      </c>
      <c r="FI66">
        <f>'TEA Revised Non EYZ'!DY66</f>
        <v>17581.614484237631</v>
      </c>
      <c r="FJ66">
        <f>'TEA Revised Non EYZ'!DZ66</f>
        <v>9313.4716969742931</v>
      </c>
      <c r="FK66">
        <f>'TEA Revised Non EYZ'!EA66</f>
        <v>9376.8610582600722</v>
      </c>
      <c r="FL66">
        <f>'TEA Revised Non EYZ'!EB66</f>
        <v>850.25279496224562</v>
      </c>
      <c r="FM66">
        <f>'TEA Revised Non EYZ'!EC66</f>
        <v>38570.693537838983</v>
      </c>
      <c r="FN66">
        <f>'TEA Revised Non EYZ'!ED66</f>
        <v>34914.673863674019</v>
      </c>
      <c r="FO66">
        <f>'TEA Revised Non EYZ'!EE66</f>
        <v>14782.422401958756</v>
      </c>
      <c r="FP66">
        <f>'TEA Revised Non EYZ'!EF66</f>
        <v>7835.0206873977668</v>
      </c>
      <c r="FQ66">
        <f>'TEA Revised Non EYZ'!EG66</f>
        <v>7883.9586143780034</v>
      </c>
      <c r="FR66">
        <f>'TEA Revised Non EYZ'!EH66</f>
        <v>426.90567675626289</v>
      </c>
      <c r="FS66">
        <f>'TEA Revised Non EYZ'!EI66</f>
        <v>227094.41569399321</v>
      </c>
      <c r="FT66">
        <f>EG66*EH66</f>
        <v>2519.8785281986166</v>
      </c>
      <c r="FU66">
        <f>EG66*EI66</f>
        <v>4524.6432370447501</v>
      </c>
      <c r="FV66">
        <f>FC66*(FT66+FU66)/(3.6*10^6)*3600*7200*0.07</f>
        <v>1775.2194848413285</v>
      </c>
      <c r="FW66">
        <f>('CAPEX+OPEX'!$C$39/7/100+0.03)*EL66</f>
        <v>90937.440033621562</v>
      </c>
      <c r="FX66">
        <f>('CAPEX+OPEX'!$C$39/7/100+0.03)*EM66</f>
        <v>163285.43953125711</v>
      </c>
      <c r="FY66">
        <f>SUM(FV66:FX66)</f>
        <v>255998.09904972001</v>
      </c>
      <c r="FZ66">
        <f>FY66+FA66+FS66+EU66</f>
        <v>16877564.74441918</v>
      </c>
      <c r="GA66">
        <f>FZ66+EO66</f>
        <v>17967758.197748344</v>
      </c>
      <c r="GB66">
        <f>GA66/(BK66*60*7200)</f>
        <v>0.41592032865158207</v>
      </c>
      <c r="GC66">
        <f>'TEA Revised Non EYZ'!EM66/'TEA Revised Non EYZ'!EK66*GA66</f>
        <v>1391.4942619417377</v>
      </c>
      <c r="GD66">
        <f>'TEA Revised Non EYZ'!EN66/'TEA Revised Non EYZ'!EK66*GA66</f>
        <v>2553.4477617629354</v>
      </c>
    </row>
    <row r="67" spans="1:186">
      <c r="A67">
        <f>'TEA Revised Non EYZ'!A67</f>
        <v>9</v>
      </c>
      <c r="B67">
        <f>'TEA Revised Non EYZ'!B67</f>
        <v>1.54143585092054E-3</v>
      </c>
      <c r="C67">
        <f>'TEA Revised Non EYZ'!C67</f>
        <v>1.54143585092054E-3</v>
      </c>
      <c r="D67">
        <f>'TEA Revised Non EYZ'!D67</f>
        <v>3.4254130020456501E-4</v>
      </c>
      <c r="E67">
        <f>'TEA Revised Non EYZ'!E67</f>
        <v>0</v>
      </c>
      <c r="F67">
        <f>'TEA Revised Non EYZ'!F67</f>
        <v>0</v>
      </c>
      <c r="G67">
        <f>'TEA Revised Non EYZ'!G67</f>
        <v>0</v>
      </c>
      <c r="H67">
        <f>'TEA Revised Non EYZ'!H67</f>
        <v>1.7768596981705501E-5</v>
      </c>
      <c r="I67">
        <f>'TEA Revised Non EYZ'!I67</f>
        <v>1.5331283704498101E-9</v>
      </c>
      <c r="J67">
        <f>'TEA Revised Non EYZ'!J67</f>
        <v>3.3763247208936601E-4</v>
      </c>
      <c r="K67">
        <f>'TEA Revised Non EYZ'!K67</f>
        <v>0.13890601070001499</v>
      </c>
      <c r="L67">
        <f>'TEA Revised Non EYZ'!L67</f>
        <v>0.14052575540227799</v>
      </c>
      <c r="M67">
        <f>'TEA Revised Non EYZ'!M67</f>
        <v>4.4751616793740602E-4</v>
      </c>
      <c r="N67">
        <f>'TEA Revised Non EYZ'!N67</f>
        <v>-5.0090140368830299E-17</v>
      </c>
      <c r="O67">
        <f>'TEA Revised Non EYZ'!O67</f>
        <v>-6.2343793322261397E-15</v>
      </c>
      <c r="P67">
        <f>'TEA Revised Non EYZ'!P67</f>
        <v>1.7787691892340301E-20</v>
      </c>
      <c r="Q67">
        <f>'TEA Revised Non EYZ'!Q67</f>
        <v>0.10969051996097</v>
      </c>
      <c r="R67">
        <f>'TEA Revised Non EYZ'!R67</f>
        <v>98.566938318892298</v>
      </c>
      <c r="S67">
        <f>'TEA Revised Non EYZ'!S67</f>
        <v>500</v>
      </c>
      <c r="T67">
        <f>'TEA Revised Non EYZ'!T67</f>
        <v>95</v>
      </c>
      <c r="U67">
        <f>'TEA Revised Non EYZ'!U67</f>
        <v>1</v>
      </c>
      <c r="V67">
        <f>'TEA Revised Non EYZ'!V67</f>
        <v>0.1</v>
      </c>
      <c r="W67">
        <f>'TEA Revised Non EYZ'!W67</f>
        <v>91.165581160141301</v>
      </c>
      <c r="X67" t="str">
        <f>'TEA Revised Non EYZ'!X67</f>
        <v>ddFc</v>
      </c>
      <c r="Y67">
        <f>'TEA Revised Non EYZ'!Y67</f>
        <v>1</v>
      </c>
      <c r="Z67">
        <f>'TEA Revised Non EYZ'!Z67</f>
        <v>0.28318429382522198</v>
      </c>
      <c r="AA67">
        <f>'TEA Revised Non EYZ'!AA67</f>
        <v>0.56945642916197003</v>
      </c>
      <c r="AB67">
        <f>'TEA Revised Non EYZ'!AB67</f>
        <v>3.7698628972227502E-3</v>
      </c>
      <c r="AC67">
        <f>'TEA Revised Non EYZ'!AC67</f>
        <v>1822.2107908876901</v>
      </c>
      <c r="AD67">
        <f>'TEA Revised Non EYZ'!AD67</f>
        <v>2662.6059073104898</v>
      </c>
      <c r="AE67">
        <f>'TEA Revised Non EYZ'!AE67</f>
        <v>2401.5030938442701</v>
      </c>
      <c r="AF67">
        <f>'TEA Revised Non EYZ'!AF67</f>
        <v>9</v>
      </c>
      <c r="AG67">
        <f>'TEA Revised Non EYZ'!AG67</f>
        <v>1.6497485970141401E-3</v>
      </c>
      <c r="AH67">
        <f>'TEA Revised Non EYZ'!AH67</f>
        <v>1.6689858606617799E-3</v>
      </c>
      <c r="AI67">
        <f>'TEA Revised Non EYZ'!AI67</f>
        <v>5.3150268046377499E-6</v>
      </c>
      <c r="AJ67">
        <f>'TEA Revised Non EYZ'!AJ67</f>
        <v>0</v>
      </c>
      <c r="AK67">
        <f>'TEA Revised Non EYZ'!AK67</f>
        <v>0</v>
      </c>
      <c r="AL67">
        <f>'TEA Revised Non EYZ'!AL67</f>
        <v>0</v>
      </c>
      <c r="AM67">
        <f>'TEA Revised Non EYZ'!AM67</f>
        <v>1.6127861938138701E-3</v>
      </c>
      <c r="AN67">
        <f>'TEA Revised Non EYZ'!AN67</f>
        <v>7.9603425019377403E-5</v>
      </c>
      <c r="AO67">
        <f>'TEA Revised Non EYZ'!AO67</f>
        <v>5.2800588331914901E-6</v>
      </c>
      <c r="AP67">
        <f>'TEA Revised Non EYZ'!AP67</f>
        <v>1.7337552285219199E-3</v>
      </c>
      <c r="AQ67">
        <f>'TEA Revised Non EYZ'!AQ67</f>
        <v>7.4551432519081903E-2</v>
      </c>
      <c r="AR67">
        <f>'TEA Revised Non EYZ'!AR67</f>
        <v>1.64020458835788E-6</v>
      </c>
      <c r="AS67">
        <f>'TEA Revised Non EYZ'!AS67</f>
        <v>3.7486290113686297E-17</v>
      </c>
      <c r="AT67">
        <f>'TEA Revised Non EYZ'!AT67</f>
        <v>-4.9181578948287397E-15</v>
      </c>
      <c r="AU67">
        <f>'TEA Revised Non EYZ'!AU67</f>
        <v>-2.56756862136459E-21</v>
      </c>
      <c r="AV67">
        <f>'TEA Revised Non EYZ'!AV67</f>
        <v>0.19689957677272099</v>
      </c>
      <c r="AW67">
        <f>'TEA Revised Non EYZ'!AW67</f>
        <v>99.342092284167904</v>
      </c>
      <c r="AX67">
        <f>'TEA Revised Non EYZ'!AX67</f>
        <v>500</v>
      </c>
      <c r="AY67">
        <f>'TEA Revised Non EYZ'!AY67</f>
        <v>95</v>
      </c>
      <c r="AZ67">
        <f>'TEA Revised Non EYZ'!AZ67</f>
        <v>0.92357542033771201</v>
      </c>
      <c r="BA67">
        <f>'TEA Revised Non EYZ'!BA67</f>
        <v>0.1</v>
      </c>
      <c r="BB67">
        <f>'TEA Revised Non EYZ'!BB67</f>
        <v>46.905911910810303</v>
      </c>
      <c r="BC67" t="str">
        <f>'TEA Revised Non EYZ'!BC67</f>
        <v>coeFc</v>
      </c>
      <c r="BD67">
        <f>'TEA Revised Non EYZ'!BD67</f>
        <v>1</v>
      </c>
      <c r="BE67">
        <f>'TEA Revised Non EYZ'!BE67</f>
        <v>1.8775014999999999E-2</v>
      </c>
      <c r="BF67">
        <f>'TEA Revised Non EYZ'!BF67</f>
        <v>0.10492961100000001</v>
      </c>
      <c r="BG67">
        <f>'TEA Revised Non EYZ'!BG67</f>
        <v>1.814625E-3</v>
      </c>
      <c r="BH67">
        <f>'TEA Revised Non EYZ'!BH67</f>
        <v>285.1951444</v>
      </c>
      <c r="BI67">
        <f>'TEA Revised Non EYZ'!BI67</f>
        <v>2169.8944889999998</v>
      </c>
      <c r="BJ67">
        <f>'TEA Revised Non EYZ'!BJ67</f>
        <v>866.49409060000005</v>
      </c>
      <c r="BK67">
        <f>'TEA Revised Non EYZ'!BK67</f>
        <v>100</v>
      </c>
      <c r="BL67">
        <f>'TEA Revised Non EYZ'!BL67</f>
        <v>10.969051996096999</v>
      </c>
      <c r="BM67">
        <f>'TEA Revised Non EYZ'!BM67</f>
        <v>92.357542033771196</v>
      </c>
      <c r="BN67">
        <f>'TEA Revised Non EYZ'!BN67</f>
        <v>19.689957677272098</v>
      </c>
      <c r="BO67">
        <f>'TEA Revised Non EYZ'!BO67</f>
        <v>241.31914391413397</v>
      </c>
      <c r="BP67">
        <f>'TEA Revised Non EYZ'!BP67</f>
        <v>433.17906889998613</v>
      </c>
      <c r="BQ67">
        <f>'TEA Revised Non EYZ'!BQ67</f>
        <v>24.1319143914134</v>
      </c>
      <c r="BR67">
        <f>'TEA Revised Non EYZ'!BR67</f>
        <v>43.317906889998618</v>
      </c>
      <c r="BS67">
        <f>'eLLE Bals'!CF67</f>
        <v>6.5814311976581994</v>
      </c>
      <c r="BT67">
        <f>'eLLE Bals'!CG67</f>
        <v>11.813974606363258</v>
      </c>
      <c r="BU67">
        <f>BM67</f>
        <v>92.357542033771196</v>
      </c>
      <c r="BV67">
        <f>BU67*(AM67*2+AN67*2+AO67*3)</f>
        <v>0.31407285048470118</v>
      </c>
      <c r="BW67">
        <f>BN67*BA67*(AP67*2+AQ67*2+AR67*3)</f>
        <v>0.30042011229829313</v>
      </c>
      <c r="BX67">
        <f>BV67/(2*V67*BL67+BV67)</f>
        <v>0.12523423908260398</v>
      </c>
      <c r="BY67">
        <f>BU67*BX67</f>
        <v>11.566326500138949</v>
      </c>
      <c r="BZ67">
        <f>BW67/(2*BN67*BA67+BW67)</f>
        <v>7.0880352657010467E-2</v>
      </c>
      <c r="CA67">
        <f>2*BN67*BA67/0.04</f>
        <v>98.449788386360495</v>
      </c>
      <c r="CB67">
        <f>(BS67+BL67)*2</f>
        <v>35.100966387510397</v>
      </c>
      <c r="CC67">
        <f>(BU67+BL67)*2</f>
        <v>206.65318805973638</v>
      </c>
      <c r="CD67">
        <f>(BT67+BN67)*2</f>
        <v>63.007864567270715</v>
      </c>
      <c r="CE67">
        <f>(CA67+BN67)*2</f>
        <v>236.2794921272652</v>
      </c>
      <c r="CF67">
        <f>'TEA Revised Non EYZ'!CB67</f>
        <v>3185.4126996665682</v>
      </c>
      <c r="CG67">
        <f>'TEA Revised Non EYZ'!CC67</f>
        <v>5717.9637094798172</v>
      </c>
      <c r="CH67">
        <f>'TEA Revised Non EYZ'!CD67</f>
        <v>3848.5686313477631</v>
      </c>
      <c r="CI67">
        <f>'TEA Revised Non EYZ'!CE67</f>
        <v>44103.16229411884</v>
      </c>
      <c r="CJ67">
        <f>BL67*V67</f>
        <v>1.0969051996096999</v>
      </c>
      <c r="CK67">
        <f>CJ67/2*1.2</f>
        <v>0.65814311976581996</v>
      </c>
      <c r="CL67">
        <f>'eLLE Bals'!CB67*'Oxidant Feed Composition'!$N$20</f>
        <v>3.656350665365668E-2</v>
      </c>
      <c r="CM67">
        <f>'eLLE Bals'!CB67*'Oxidant Feed Composition'!$N$21</f>
        <v>1.8281753326828334</v>
      </c>
      <c r="CN67">
        <f>'eLLE Bals'!CB67*'Oxidant Feed Composition'!$N$22</f>
        <v>0.54845259980484995</v>
      </c>
      <c r="CO67">
        <f>CN67/CK67</f>
        <v>0.83333333333333326</v>
      </c>
      <c r="CP67">
        <f>CO67</f>
        <v>0.83333333333333326</v>
      </c>
      <c r="CQ67">
        <f>CL67/CO67</f>
        <v>4.3876207984388023E-2</v>
      </c>
      <c r="CR67">
        <f>CM67/CO67</f>
        <v>2.1938103992194002</v>
      </c>
      <c r="CS67">
        <f>BN67*BA67</f>
        <v>1.9689957677272099</v>
      </c>
      <c r="CT67">
        <f>CS67/2*1.2</f>
        <v>1.1813974606363258</v>
      </c>
      <c r="CU67">
        <f>'eLLE Bals'!CC67*'Oxidant Feed Composition'!$N$20</f>
        <v>6.5633192257573691E-2</v>
      </c>
      <c r="CV67">
        <f>'eLLE Bals'!CC67*'Oxidant Feed Composition'!$N$21</f>
        <v>3.2816596128786832</v>
      </c>
      <c r="CW67">
        <f>'eLLE Bals'!CC67*'Oxidant Feed Composition'!$N$22</f>
        <v>0.98449788386360493</v>
      </c>
      <c r="CX67">
        <f>CU67/CP67</f>
        <v>7.8759830709088444E-2</v>
      </c>
      <c r="CY67">
        <f>CV67/CP67</f>
        <v>3.9379915354544202</v>
      </c>
      <c r="CZ67">
        <f>CJ67</f>
        <v>1.0969051996096999</v>
      </c>
      <c r="DA67">
        <f>'eLLE Bals'!BQ67</f>
        <v>2.1938103992193998</v>
      </c>
      <c r="DB67">
        <f>'eLLE Bals'!BU67</f>
        <v>5.4681127187769514</v>
      </c>
      <c r="DC67">
        <f>CS67</f>
        <v>1.9689957677272099</v>
      </c>
      <c r="DD67">
        <f>'eLLE Bals'!BX67</f>
        <v>3.9379915354544197</v>
      </c>
      <c r="DE67">
        <f>'eLLE Bals'!CA67</f>
        <v>21.872160146255688</v>
      </c>
      <c r="DF67">
        <f>2*2*(CJ67*'Reagent cost'!$C$36*122.44/1000+CK67*'Oxidant Feed Composition'!$N$26+CQ67*'Reagent cost'!$C$34+CR67*'Reagent cost'!$C$35)</f>
        <v>92.653072140924976</v>
      </c>
      <c r="DG67">
        <f>2*2*(CS67*'Reagent cost'!$C$36*122.44/1000+CT67*'Oxidant Feed Composition'!$N$26+CX67*'Reagent cost'!$C$34+CY67*'Reagent cost'!$C$35)</f>
        <v>166.31656680752224</v>
      </c>
      <c r="DH67">
        <f>(AF67+3)*2*(CZ67*'Reagent cost'!$C$38+DA67*'Reagent cost'!$C$39+DB67*'Reagent cost'!$C$36*122.44/1000)</f>
        <v>1252.0999360652077</v>
      </c>
      <c r="DI67">
        <f>3*2*(DC67*'Reagent cost'!$C$38+DD67*'Reagent cost'!$C$39+DE67*'Reagent cost'!$C$36*122.44/1000)</f>
        <v>1187.3964046454751</v>
      </c>
      <c r="DJ67">
        <f>7963.6*(CB67/1000)^0.6*1.7*('CAPEX+OPEX'!$G$116/'CAPEX+OPEX'!$G$115)</f>
        <v>2140.0916471558648</v>
      </c>
      <c r="DK67">
        <f>7963.6*(CC67/1000)^0.6*1.7*('CAPEX+OPEX'!$G$116/'CAPEX+OPEX'!$G$115)</f>
        <v>6199.9215410229135</v>
      </c>
      <c r="DL67">
        <f>7963.6*(CD67/1000)^0.6*1.7*('CAPEX+OPEX'!$G$116/'CAPEX+OPEX'!$G$115)</f>
        <v>3040.029405372095</v>
      </c>
      <c r="DM67">
        <f>7963.6*(CE67/1000)^0.6*1.7*('CAPEX+OPEX'!$G$116/'CAPEX+OPEX'!$G$115)</f>
        <v>6718.8747471987981</v>
      </c>
      <c r="DN67">
        <f>'TEA Revised Non EYZ'!CM67</f>
        <v>39625.826528698344</v>
      </c>
      <c r="DO67">
        <f>'TEA Revised Non EYZ'!CN67</f>
        <v>4586243.4239371875</v>
      </c>
      <c r="DP67">
        <f>'TEA Revised Non EYZ'!CO67</f>
        <v>11794834.586807497</v>
      </c>
      <c r="DQ67">
        <f>'TEA Revised Non EYZ'!CP67</f>
        <v>2275209.1661185985</v>
      </c>
      <c r="DR67">
        <f>'TEA Revised Non EYZ'!CQ67</f>
        <v>14083914.336508472</v>
      </c>
      <c r="DS67">
        <f>'TEA Revised Non EYZ'!CR67</f>
        <v>1662824.8986326549</v>
      </c>
      <c r="DT67">
        <f>'TEA Revised Non EYZ'!CS67</f>
        <v>800322.53402245743</v>
      </c>
      <c r="DU67">
        <f>'TEA Revised Non EYZ'!CT67</f>
        <v>2058257.9318883498</v>
      </c>
      <c r="DV67">
        <f>'TEA Revised Non EYZ'!CU67</f>
        <v>397035.437708179</v>
      </c>
      <c r="DW67">
        <f>'TEA Revised Non EYZ'!CV67</f>
        <v>2457713.856163613</v>
      </c>
      <c r="DX67">
        <f>'TEA Revised Non EYZ'!CW67</f>
        <v>290171.30437591631</v>
      </c>
      <c r="DY67">
        <f>'TEA Revised Non EYZ'!CX67</f>
        <v>6003501.064158516</v>
      </c>
      <c r="DZ67">
        <f>'TEA Revised Non EYZ'!CY67</f>
        <v>755796.97409698786</v>
      </c>
      <c r="EA67">
        <f>'TEA Revised Non EYZ'!CZ67</f>
        <v>1943747.740068865</v>
      </c>
      <c r="EB67">
        <f>'TEA Revised Non EYZ'!DA67</f>
        <v>374946.56175793061</v>
      </c>
      <c r="EC67">
        <f>'TEA Revised Non EYZ'!DB67</f>
        <v>2320980.125785856</v>
      </c>
      <c r="ED67">
        <f>'TEA Revised Non EYZ'!DC67</f>
        <v>274027.76317546447</v>
      </c>
      <c r="EE67">
        <f>'TEA Revised Non EYZ'!DD67</f>
        <v>5669499.1648851037</v>
      </c>
      <c r="EF67">
        <v>0.7</v>
      </c>
      <c r="EG67">
        <v>100</v>
      </c>
      <c r="EH67">
        <f>96485*BL67*V67/EF67/EG67/60</f>
        <v>25.198785281986165</v>
      </c>
      <c r="EI67">
        <f>96485*BN67*BA67/EF67/EG67/60</f>
        <v>45.232989678371396</v>
      </c>
      <c r="EJ67">
        <f>EH67*('CAPEX+OPEX'!$O$25+'CAPEX+OPEX'!$O$26)</f>
        <v>803135.68450746301</v>
      </c>
      <c r="EK67">
        <f>EI67*('CAPEX+OPEX'!$O$25+'CAPEX+OPEX'!$O$26)</f>
        <v>1441665.8470290531</v>
      </c>
      <c r="EL67">
        <f>EJ67*1.12/0.6*'CAPEX+OPEX'!$G$116/'CAPEX+OPEX'!$G$115</f>
        <v>1768228.0006537526</v>
      </c>
      <c r="EM67">
        <f>EK67*1.12/0.6*'CAPEX+OPEX'!$G$116/'CAPEX+OPEX'!$G$115</f>
        <v>3174051.3682520767</v>
      </c>
      <c r="EN67">
        <f>EL67+EM67+DY67+EE67+1.15*(SUM(DF67:DM67)+SUM(CF67:CI67))</f>
        <v>16704579.962202724</v>
      </c>
      <c r="EO67">
        <f>EN67/15</f>
        <v>1113638.6641468483</v>
      </c>
      <c r="EP67">
        <f>('eLLE Bals'!CB67+'eLLE Bals'!CC67)*'Oxidant Feed Composition'!$N$25*60*7200</f>
        <v>12345665.784450263</v>
      </c>
      <c r="EQ67" s="83">
        <f>('eLLE Bals'!BR67+'eLLE Bals'!BY67)*'Reagent cost'!$C$38*60*7200</f>
        <v>505326.88239105255</v>
      </c>
      <c r="ER67">
        <f>'TEA Revised Non EYZ'!DI67</f>
        <v>504921.59999999998</v>
      </c>
      <c r="ES67">
        <f>'TEA Revised Non EYZ'!DJ67</f>
        <v>89.033764091463851</v>
      </c>
      <c r="ET67">
        <f>'TEA Revised Non EYZ'!DK67</f>
        <v>959.03461850933206</v>
      </c>
      <c r="EU67">
        <f>1.2*SUM(EP67:ET67)</f>
        <v>16028354.802268699</v>
      </c>
      <c r="EV67">
        <f>'TEA Revised Non EYZ'!DM67</f>
        <v>0.70639694042110623</v>
      </c>
      <c r="EW67">
        <f>(BS67*CO67+BT67*CP67)/1000*('Oxidant Feed Composition'!$B$11*'Oxidant Feed Composition'!$O$20+'Oxidant Feed Composition'!$D$11*'Oxidant Feed Composition'!$O$21+'Oxidant Feed Composition'!$F$11*'Oxidant Feed Composition'!$O$27-'Oxidant Feed Composition'!$J$15*18.015)</f>
        <v>1.7902491707799795</v>
      </c>
      <c r="EX67">
        <f>(CZ67*BX67+DC67*BZ67)*368.34/1000</f>
        <v>0.10200557577773937</v>
      </c>
      <c r="EY67">
        <f>'TEA Revised Non EYZ'!DP67</f>
        <v>4.999938342565946E-2</v>
      </c>
      <c r="EZ67">
        <f>SUM(EV67:EX67)-EY67</f>
        <v>2.5486523035531659</v>
      </c>
      <c r="FA67">
        <f>EZ67*0.33*60*7200</f>
        <v>363335.8723945393</v>
      </c>
      <c r="FB67">
        <f>'TEA Revised Non EYZ'!DS67</f>
        <v>1.2</v>
      </c>
      <c r="FC67">
        <v>0.5</v>
      </c>
      <c r="FD67">
        <f>'TEA Revised Non EYZ'!DT67</f>
        <v>1405.875555868555</v>
      </c>
      <c r="FE67">
        <f>'TEA Revised Non EYZ'!DU67</f>
        <v>705.82826587847319</v>
      </c>
      <c r="FF67">
        <f>'TEA Revised Non EYZ'!DV67</f>
        <v>0.7</v>
      </c>
      <c r="FG67">
        <f>'TEA Revised Non EYZ'!DW67</f>
        <v>44032.441905260595</v>
      </c>
      <c r="FH67">
        <f>'TEA Revised Non EYZ'!DX67</f>
        <v>41526.098972294596</v>
      </c>
      <c r="FI67">
        <f>'TEA Revised Non EYZ'!DY67</f>
        <v>17581.614484237631</v>
      </c>
      <c r="FJ67">
        <f>'TEA Revised Non EYZ'!DZ67</f>
        <v>9313.4716969742931</v>
      </c>
      <c r="FK67">
        <f>'TEA Revised Non EYZ'!EA67</f>
        <v>9376.8610582600722</v>
      </c>
      <c r="FL67">
        <f>'TEA Revised Non EYZ'!EB67</f>
        <v>850.27353618930215</v>
      </c>
      <c r="FM67">
        <f>'TEA Revised Non EYZ'!EC67</f>
        <v>41142.073107028249</v>
      </c>
      <c r="FN67">
        <f>'TEA Revised Non EYZ'!ED67</f>
        <v>38794.082070748911</v>
      </c>
      <c r="FO67">
        <f>'TEA Revised Non EYZ'!EE67</f>
        <v>16424.913779954175</v>
      </c>
      <c r="FP67">
        <f>'TEA Revised Non EYZ'!EF67</f>
        <v>8705.5785415530754</v>
      </c>
      <c r="FQ67">
        <f>'TEA Revised Non EYZ'!EG67</f>
        <v>8759.9540159755597</v>
      </c>
      <c r="FR67">
        <f>'TEA Revised Non EYZ'!EH67</f>
        <v>426.88493520330059</v>
      </c>
      <c r="FS67">
        <f>'TEA Revised Non EYZ'!EI67</f>
        <v>236934.24810367974</v>
      </c>
      <c r="FT67">
        <f>EG67*EH67</f>
        <v>2519.8785281986166</v>
      </c>
      <c r="FU67">
        <f>EG67*EI67</f>
        <v>4523.2989678371396</v>
      </c>
      <c r="FV67">
        <f>FC67*(FT67+FU67)/(3.6*10^6)*3600*7200*0.07</f>
        <v>1774.8807290010106</v>
      </c>
      <c r="FW67">
        <f>('CAPEX+OPEX'!$C$39/7/100+0.03)*EL67</f>
        <v>90937.440033621562</v>
      </c>
      <c r="FX67">
        <f>('CAPEX+OPEX'!$C$39/7/100+0.03)*EM67</f>
        <v>163236.92751010679</v>
      </c>
      <c r="FY67">
        <f>SUM(FV67:FX67)</f>
        <v>255949.24827272937</v>
      </c>
      <c r="FZ67">
        <f>FY67+FA67+FS67+EU67</f>
        <v>16884574.171039648</v>
      </c>
      <c r="GA67">
        <f>FZ67+EO67</f>
        <v>17998212.835186496</v>
      </c>
      <c r="GB67">
        <f>GA67/(BK67*60*7200)</f>
        <v>0.41662529711079854</v>
      </c>
      <c r="GC67">
        <f>'TEA Revised Non EYZ'!EM67/'TEA Revised Non EYZ'!EK67*GA67</f>
        <v>1393.8187674344288</v>
      </c>
      <c r="GD67">
        <f>'TEA Revised Non EYZ'!EN67/'TEA Revised Non EYZ'!EK67*GA67</f>
        <v>2557.8903293506055</v>
      </c>
    </row>
    <row r="68" spans="1:186">
      <c r="A68">
        <f>'TEA Revised Non EYZ'!A68</f>
        <v>9</v>
      </c>
      <c r="B68">
        <f>'TEA Revised Non EYZ'!B68</f>
        <v>1.54143585092054E-3</v>
      </c>
      <c r="C68">
        <f>'TEA Revised Non EYZ'!C68</f>
        <v>1.54143585092054E-3</v>
      </c>
      <c r="D68">
        <f>'TEA Revised Non EYZ'!D68</f>
        <v>3.4254130020456501E-4</v>
      </c>
      <c r="E68">
        <f>'TEA Revised Non EYZ'!E68</f>
        <v>0</v>
      </c>
      <c r="F68">
        <f>'TEA Revised Non EYZ'!F68</f>
        <v>0</v>
      </c>
      <c r="G68">
        <f>'TEA Revised Non EYZ'!G68</f>
        <v>0</v>
      </c>
      <c r="H68">
        <f>'TEA Revised Non EYZ'!H68</f>
        <v>1.7768596981705501E-5</v>
      </c>
      <c r="I68">
        <f>'TEA Revised Non EYZ'!I68</f>
        <v>1.5331283704498101E-9</v>
      </c>
      <c r="J68">
        <f>'TEA Revised Non EYZ'!J68</f>
        <v>3.3763247208936601E-4</v>
      </c>
      <c r="K68">
        <f>'TEA Revised Non EYZ'!K68</f>
        <v>0.13890601070001499</v>
      </c>
      <c r="L68">
        <f>'TEA Revised Non EYZ'!L68</f>
        <v>0.14052575540227799</v>
      </c>
      <c r="M68">
        <f>'TEA Revised Non EYZ'!M68</f>
        <v>4.4751616793740602E-4</v>
      </c>
      <c r="N68">
        <f>'TEA Revised Non EYZ'!N68</f>
        <v>-5.0090140368830299E-17</v>
      </c>
      <c r="O68">
        <f>'TEA Revised Non EYZ'!O68</f>
        <v>-6.2343793322261397E-15</v>
      </c>
      <c r="P68">
        <f>'TEA Revised Non EYZ'!P68</f>
        <v>1.7787691892340301E-20</v>
      </c>
      <c r="Q68">
        <f>'TEA Revised Non EYZ'!Q68</f>
        <v>0.10969051996097</v>
      </c>
      <c r="R68">
        <f>'TEA Revised Non EYZ'!R68</f>
        <v>98.566938318892298</v>
      </c>
      <c r="S68">
        <f>'TEA Revised Non EYZ'!S68</f>
        <v>500</v>
      </c>
      <c r="T68">
        <f>'TEA Revised Non EYZ'!T68</f>
        <v>95</v>
      </c>
      <c r="U68">
        <f>'TEA Revised Non EYZ'!U68</f>
        <v>1</v>
      </c>
      <c r="V68">
        <f>'TEA Revised Non EYZ'!V68</f>
        <v>0.1</v>
      </c>
      <c r="W68">
        <f>'TEA Revised Non EYZ'!W68</f>
        <v>91.165581160141301</v>
      </c>
      <c r="X68" t="str">
        <f>'TEA Revised Non EYZ'!X68</f>
        <v>ddFc</v>
      </c>
      <c r="Y68">
        <f>'TEA Revised Non EYZ'!Y68</f>
        <v>1</v>
      </c>
      <c r="Z68">
        <f>'TEA Revised Non EYZ'!Z68</f>
        <v>0.28318429382522198</v>
      </c>
      <c r="AA68">
        <f>'TEA Revised Non EYZ'!AA68</f>
        <v>0.56945642916197003</v>
      </c>
      <c r="AB68">
        <f>'TEA Revised Non EYZ'!AB68</f>
        <v>3.7698628972227502E-3</v>
      </c>
      <c r="AC68">
        <f>'TEA Revised Non EYZ'!AC68</f>
        <v>1822.2107908876901</v>
      </c>
      <c r="AD68">
        <f>'TEA Revised Non EYZ'!AD68</f>
        <v>2662.6059073104898</v>
      </c>
      <c r="AE68">
        <f>'TEA Revised Non EYZ'!AE68</f>
        <v>2401.5030938442701</v>
      </c>
      <c r="AF68">
        <f>'TEA Revised Non EYZ'!AF68</f>
        <v>10</v>
      </c>
      <c r="AG68">
        <f>'TEA Revised Non EYZ'!AG68</f>
        <v>1.6497485970141401E-3</v>
      </c>
      <c r="AH68">
        <f>'TEA Revised Non EYZ'!AH68</f>
        <v>1.6689858606617799E-3</v>
      </c>
      <c r="AI68">
        <f>'TEA Revised Non EYZ'!AI68</f>
        <v>5.3150268046377499E-6</v>
      </c>
      <c r="AJ68">
        <f>'TEA Revised Non EYZ'!AJ68</f>
        <v>0</v>
      </c>
      <c r="AK68">
        <f>'TEA Revised Non EYZ'!AK68</f>
        <v>0</v>
      </c>
      <c r="AL68">
        <f>'TEA Revised Non EYZ'!AL68</f>
        <v>0</v>
      </c>
      <c r="AM68">
        <f>'TEA Revised Non EYZ'!AM68</f>
        <v>1.61279727507717E-3</v>
      </c>
      <c r="AN68">
        <f>'TEA Revised Non EYZ'!AN68</f>
        <v>7.9603998227522496E-5</v>
      </c>
      <c r="AO68">
        <f>'TEA Revised Non EYZ'!AO68</f>
        <v>5.28006888098894E-6</v>
      </c>
      <c r="AP68">
        <f>'TEA Revised Non EYZ'!AP68</f>
        <v>1.7333804651433E-3</v>
      </c>
      <c r="AQ68">
        <f>'TEA Revised Non EYZ'!AQ68</f>
        <v>7.4557643117945299E-2</v>
      </c>
      <c r="AR68">
        <f>'TEA Revised Non EYZ'!AR68</f>
        <v>1.6398704779534299E-6</v>
      </c>
      <c r="AS68">
        <f>'TEA Revised Non EYZ'!AS68</f>
        <v>6.2399223158329797E-15</v>
      </c>
      <c r="AT68">
        <f>'TEA Revised Non EYZ'!AT68</f>
        <v>-6.4600451724072805E-13</v>
      </c>
      <c r="AU68">
        <f>'TEA Revised Non EYZ'!AU68</f>
        <v>5.9854789124336998E-20</v>
      </c>
      <c r="AV68">
        <f>'TEA Revised Non EYZ'!AV68</f>
        <v>0.19688310425783201</v>
      </c>
      <c r="AW68">
        <f>'TEA Revised Non EYZ'!AW68</f>
        <v>99.342281329262306</v>
      </c>
      <c r="AX68">
        <f>'TEA Revised Non EYZ'!AX68</f>
        <v>500</v>
      </c>
      <c r="AY68">
        <f>'TEA Revised Non EYZ'!AY68</f>
        <v>95</v>
      </c>
      <c r="AZ68">
        <f>'TEA Revised Non EYZ'!AZ68</f>
        <v>0.92357542033771201</v>
      </c>
      <c r="BA68">
        <f>'TEA Revised Non EYZ'!BA68</f>
        <v>0.1</v>
      </c>
      <c r="BB68">
        <f>'TEA Revised Non EYZ'!BB68</f>
        <v>46.909836363013902</v>
      </c>
      <c r="BC68" t="str">
        <f>'TEA Revised Non EYZ'!BC68</f>
        <v>coeFc</v>
      </c>
      <c r="BD68">
        <f>'TEA Revised Non EYZ'!BD68</f>
        <v>1</v>
      </c>
      <c r="BE68">
        <f>'TEA Revised Non EYZ'!BE68</f>
        <v>1.8775014999999999E-2</v>
      </c>
      <c r="BF68">
        <f>'TEA Revised Non EYZ'!BF68</f>
        <v>0.10492961100000001</v>
      </c>
      <c r="BG68">
        <f>'TEA Revised Non EYZ'!BG68</f>
        <v>1.814625E-3</v>
      </c>
      <c r="BH68">
        <f>'TEA Revised Non EYZ'!BH68</f>
        <v>285.1951444</v>
      </c>
      <c r="BI68">
        <f>'TEA Revised Non EYZ'!BI68</f>
        <v>2169.8944889999998</v>
      </c>
      <c r="BJ68">
        <f>'TEA Revised Non EYZ'!BJ68</f>
        <v>866.49409060000005</v>
      </c>
      <c r="BK68">
        <f>'TEA Revised Non EYZ'!BK68</f>
        <v>100</v>
      </c>
      <c r="BL68">
        <f>'TEA Revised Non EYZ'!BL68</f>
        <v>10.969051996096999</v>
      </c>
      <c r="BM68">
        <f>'TEA Revised Non EYZ'!BM68</f>
        <v>92.357542033771196</v>
      </c>
      <c r="BN68">
        <f>'TEA Revised Non EYZ'!BN68</f>
        <v>19.6883104257832</v>
      </c>
      <c r="BO68">
        <f>'TEA Revised Non EYZ'!BO68</f>
        <v>241.31914391413397</v>
      </c>
      <c r="BP68">
        <f>'TEA Revised Non EYZ'!BP68</f>
        <v>472.51945021879681</v>
      </c>
      <c r="BQ68">
        <f>'TEA Revised Non EYZ'!BQ68</f>
        <v>24.1319143914134</v>
      </c>
      <c r="BR68">
        <f>'TEA Revised Non EYZ'!BR68</f>
        <v>47.251945021879685</v>
      </c>
      <c r="BS68">
        <f>'eLLE Bals'!CF68</f>
        <v>6.5814311976581994</v>
      </c>
      <c r="BT68">
        <f>'eLLE Bals'!CG68</f>
        <v>11.812986255469919</v>
      </c>
      <c r="BU68">
        <f>BM68</f>
        <v>92.357542033771196</v>
      </c>
      <c r="BV68">
        <f>BU68*(AM68*2+AN68*2+AO68*3)</f>
        <v>0.31407500602534349</v>
      </c>
      <c r="BW68">
        <f>BN68*BA68*(AP68*2+AQ68*2+AR68*3)</f>
        <v>0.30041795688462752</v>
      </c>
      <c r="BX68">
        <f>BV68/(2*V68*BL68+BV68)</f>
        <v>0.12523499094835758</v>
      </c>
      <c r="BY68">
        <f>BU68*BX68</f>
        <v>11.566395940611891</v>
      </c>
      <c r="BZ68">
        <f>BW68/(2*BN68*BA68+BW68)</f>
        <v>7.0885390059771361E-2</v>
      </c>
      <c r="CA68">
        <f>2*BN68*BA68/0.04</f>
        <v>98.441552128916001</v>
      </c>
      <c r="CB68">
        <f>(BS68+BL68)*2</f>
        <v>35.100966387510397</v>
      </c>
      <c r="CC68">
        <f>(BU68+BL68)*2</f>
        <v>206.65318805973638</v>
      </c>
      <c r="CD68">
        <f>(BT68+BN68)*2</f>
        <v>63.002593362506239</v>
      </c>
      <c r="CE68">
        <f>(CA68+BN68)*2</f>
        <v>236.2597251093984</v>
      </c>
      <c r="CF68">
        <f>'TEA Revised Non EYZ'!CB68</f>
        <v>3185.4126996665682</v>
      </c>
      <c r="CG68">
        <f>'TEA Revised Non EYZ'!CC68</f>
        <v>6237.2567428881175</v>
      </c>
      <c r="CH68">
        <f>'TEA Revised Non EYZ'!CD68</f>
        <v>3848.5686313477631</v>
      </c>
      <c r="CI68">
        <f>'TEA Revised Non EYZ'!CE68</f>
        <v>48108.515614679709</v>
      </c>
      <c r="CJ68">
        <f>BL68*V68</f>
        <v>1.0969051996096999</v>
      </c>
      <c r="CK68">
        <f>CJ68/2*1.2</f>
        <v>0.65814311976581996</v>
      </c>
      <c r="CL68">
        <f>'eLLE Bals'!CB68*'Oxidant Feed Composition'!$N$20</f>
        <v>3.656350665365668E-2</v>
      </c>
      <c r="CM68">
        <f>'eLLE Bals'!CB68*'Oxidant Feed Composition'!$N$21</f>
        <v>1.8281753326828334</v>
      </c>
      <c r="CN68">
        <f>'eLLE Bals'!CB68*'Oxidant Feed Composition'!$N$22</f>
        <v>0.54845259980484995</v>
      </c>
      <c r="CO68">
        <f>CN68/CK68</f>
        <v>0.83333333333333326</v>
      </c>
      <c r="CP68">
        <f>CO68</f>
        <v>0.83333333333333326</v>
      </c>
      <c r="CQ68">
        <f>CL68/CO68</f>
        <v>4.3876207984388023E-2</v>
      </c>
      <c r="CR68">
        <f>CM68/CO68</f>
        <v>2.1938103992194002</v>
      </c>
      <c r="CS68">
        <f>BN68*BA68</f>
        <v>1.9688310425783202</v>
      </c>
      <c r="CT68">
        <f>CS68/2*1.2</f>
        <v>1.1812986255469922</v>
      </c>
      <c r="CU68">
        <f>'eLLE Bals'!CC68*'Oxidant Feed Composition'!$N$20</f>
        <v>6.5627701419277359E-2</v>
      </c>
      <c r="CV68">
        <f>'eLLE Bals'!CC68*'Oxidant Feed Composition'!$N$21</f>
        <v>3.281385070963867</v>
      </c>
      <c r="CW68">
        <f>'eLLE Bals'!CC68*'Oxidant Feed Composition'!$N$22</f>
        <v>0.9844155212891601</v>
      </c>
      <c r="CX68">
        <f>CU68/CP68</f>
        <v>7.8753241703132845E-2</v>
      </c>
      <c r="CY68">
        <f>CV68/CP68</f>
        <v>3.9376620851566408</v>
      </c>
      <c r="CZ68">
        <f>CJ68</f>
        <v>1.0969051996096999</v>
      </c>
      <c r="DA68">
        <f>'eLLE Bals'!BQ68</f>
        <v>2.1938103992193998</v>
      </c>
      <c r="DB68">
        <f>'eLLE Bals'!BU68</f>
        <v>5.4680601348151612</v>
      </c>
      <c r="DC68">
        <f>CS68</f>
        <v>1.9688310425783202</v>
      </c>
      <c r="DD68">
        <f>'eLLE Bals'!BX68</f>
        <v>3.9376620851566404</v>
      </c>
      <c r="DE68">
        <f>'eLLE Bals'!CA68</f>
        <v>21.868356399342197</v>
      </c>
      <c r="DF68">
        <f>2*2*(CJ68*'Reagent cost'!$C$36*122.44/1000+CK68*'Oxidant Feed Composition'!$N$26+CQ68*'Reagent cost'!$C$34+CR68*'Reagent cost'!$C$35)</f>
        <v>92.653072140924976</v>
      </c>
      <c r="DG68">
        <f>2*2*(CS68*'Reagent cost'!$C$36*122.44/1000+CT68*'Oxidant Feed Composition'!$N$26+CX68*'Reagent cost'!$C$34+CY68*'Reagent cost'!$C$35)</f>
        <v>166.30265285113938</v>
      </c>
      <c r="DH68">
        <f>(AF68+3)*2*(CZ68*'Reagent cost'!$C$38+DA68*'Reagent cost'!$C$39+DB68*'Reagent cost'!$C$36*122.44/1000)</f>
        <v>1356.4297757651723</v>
      </c>
      <c r="DI68">
        <f>3*2*(DC68*'Reagent cost'!$C$38+DD68*'Reagent cost'!$C$39+DE68*'Reagent cost'!$C$36*122.44/1000)</f>
        <v>1187.1946594704827</v>
      </c>
      <c r="DJ68">
        <f>7963.6*(CB68/1000)^0.6*1.7*('CAPEX+OPEX'!$G$116/'CAPEX+OPEX'!$G$115)</f>
        <v>2140.0916471558648</v>
      </c>
      <c r="DK68">
        <f>7963.6*(CC68/1000)^0.6*1.7*('CAPEX+OPEX'!$G$116/'CAPEX+OPEX'!$G$115)</f>
        <v>6199.9215410229135</v>
      </c>
      <c r="DL68">
        <f>7963.6*(CD68/1000)^0.6*1.7*('CAPEX+OPEX'!$G$116/'CAPEX+OPEX'!$G$115)</f>
        <v>3039.8768064634182</v>
      </c>
      <c r="DM68">
        <f>7963.6*(CE68/1000)^0.6*1.7*('CAPEX+OPEX'!$G$116/'CAPEX+OPEX'!$G$115)</f>
        <v>6718.5374830420278</v>
      </c>
      <c r="DN68">
        <f>'TEA Revised Non EYZ'!CM68</f>
        <v>39625.826528698344</v>
      </c>
      <c r="DO68">
        <f>'TEA Revised Non EYZ'!CN68</f>
        <v>4586243.4239371875</v>
      </c>
      <c r="DP68">
        <f>'TEA Revised Non EYZ'!CO68</f>
        <v>11794834.586807497</v>
      </c>
      <c r="DQ68">
        <f>'TEA Revised Non EYZ'!CP68</f>
        <v>2275209.1661185985</v>
      </c>
      <c r="DR68">
        <f>'TEA Revised Non EYZ'!CQ68</f>
        <v>14083914.336508472</v>
      </c>
      <c r="DS68">
        <f>'TEA Revised Non EYZ'!CR68</f>
        <v>1662824.8986326549</v>
      </c>
      <c r="DT68">
        <f>'TEA Revised Non EYZ'!CS68</f>
        <v>800322.53402245743</v>
      </c>
      <c r="DU68">
        <f>'TEA Revised Non EYZ'!CT68</f>
        <v>2058257.9318883498</v>
      </c>
      <c r="DV68">
        <f>'TEA Revised Non EYZ'!CU68</f>
        <v>397035.437708179</v>
      </c>
      <c r="DW68">
        <f>'TEA Revised Non EYZ'!CV68</f>
        <v>2457713.856163613</v>
      </c>
      <c r="DX68">
        <f>'TEA Revised Non EYZ'!CW68</f>
        <v>290171.30437591631</v>
      </c>
      <c r="DY68">
        <f>'TEA Revised Non EYZ'!CX68</f>
        <v>6003501.064158516</v>
      </c>
      <c r="DZ68">
        <f>'TEA Revised Non EYZ'!CY68</f>
        <v>800277.78225224779</v>
      </c>
      <c r="EA68">
        <f>'TEA Revised Non EYZ'!CZ68</f>
        <v>2058142.8399321893</v>
      </c>
      <c r="EB68">
        <f>'TEA Revised Non EYZ'!DA68</f>
        <v>397013.23661059892</v>
      </c>
      <c r="EC68">
        <f>'TEA Revised Non EYZ'!DB68</f>
        <v>2457576.4277631165</v>
      </c>
      <c r="ED68">
        <f>'TEA Revised Non EYZ'!DC68</f>
        <v>290155.07881811575</v>
      </c>
      <c r="EE68">
        <f>'TEA Revised Non EYZ'!DD68</f>
        <v>6003165.3653762685</v>
      </c>
      <c r="EF68">
        <v>0.7</v>
      </c>
      <c r="EG68">
        <v>100</v>
      </c>
      <c r="EH68">
        <f>96485*BL68*V68/EF68/EG68/60</f>
        <v>25.198785281986165</v>
      </c>
      <c r="EI68">
        <f>96485*BN68*BA68/EF68/EG68/60</f>
        <v>45.229205510278383</v>
      </c>
      <c r="EJ68">
        <f>EH68*('CAPEX+OPEX'!$O$25+'CAPEX+OPEX'!$O$26)</f>
        <v>803135.68450746301</v>
      </c>
      <c r="EK68">
        <f>EI68*('CAPEX+OPEX'!$O$25+'CAPEX+OPEX'!$O$26)</f>
        <v>1441545.2380235926</v>
      </c>
      <c r="EL68">
        <f>EJ68*1.12/0.6*'CAPEX+OPEX'!$G$116/'CAPEX+OPEX'!$G$115</f>
        <v>1768228.0006537526</v>
      </c>
      <c r="EM68">
        <f>EK68*1.12/0.6*'CAPEX+OPEX'!$G$116/'CAPEX+OPEX'!$G$115</f>
        <v>3173785.8287863303</v>
      </c>
      <c r="EN68">
        <f>EL68+EM68+DY68+EE68+1.15*(SUM(DF68:DM68)+SUM(CF68:CI68))</f>
        <v>17043303.134500336</v>
      </c>
      <c r="EO68">
        <f>EN68/15</f>
        <v>1136220.208966689</v>
      </c>
      <c r="EP68">
        <f>('eLLE Bals'!CB68+'eLLE Bals'!CC68)*'Oxidant Feed Composition'!$N$25*60*7200</f>
        <v>12345002.474820841</v>
      </c>
      <c r="EQ68" s="83">
        <f>('eLLE Bals'!BR68+'eLLE Bals'!BY68)*'Reagent cost'!$C$38*60*7200</f>
        <v>505325.17945520894</v>
      </c>
      <c r="ER68">
        <f>'TEA Revised Non EYZ'!DI68</f>
        <v>504921.59999999998</v>
      </c>
      <c r="ES68">
        <f>'TEA Revised Non EYZ'!DJ68</f>
        <v>94.226694425546853</v>
      </c>
      <c r="ET68">
        <f>'TEA Revised Non EYZ'!DK68</f>
        <v>1039.1416849205496</v>
      </c>
      <c r="EU68">
        <f>1.2*SUM(EP68:ET68)</f>
        <v>16027659.147186477</v>
      </c>
      <c r="EV68">
        <f>'TEA Revised Non EYZ'!DM68</f>
        <v>0.70639694042110623</v>
      </c>
      <c r="EW68">
        <f>(BS68*CO68+BT68*CP68)/1000*('Oxidant Feed Composition'!$B$11*'Oxidant Feed Composition'!$O$20+'Oxidant Feed Composition'!$D$11*'Oxidant Feed Composition'!$O$21+'Oxidant Feed Composition'!$F$11*'Oxidant Feed Composition'!$O$27-'Oxidant Feed Composition'!$J$15*18.015)</f>
        <v>1.790152984026282</v>
      </c>
      <c r="EX68">
        <f>(CZ68*BX68+DC68*BZ68)*368.34/1000</f>
        <v>0.10200523202212834</v>
      </c>
      <c r="EY68">
        <f>'TEA Revised Non EYZ'!DP68</f>
        <v>4.999938342565946E-2</v>
      </c>
      <c r="EZ68">
        <f>SUM(EV68:EX68)-EY68</f>
        <v>2.5485557730438573</v>
      </c>
      <c r="FA68">
        <f>EZ68*0.33*60*7200</f>
        <v>363322.11100513232</v>
      </c>
      <c r="FB68">
        <f>'TEA Revised Non EYZ'!DS68</f>
        <v>1.2</v>
      </c>
      <c r="FC68">
        <v>0.5</v>
      </c>
      <c r="FD68">
        <f>'TEA Revised Non EYZ'!DT68</f>
        <v>1405.8852099213232</v>
      </c>
      <c r="FE68">
        <f>'TEA Revised Non EYZ'!DU68</f>
        <v>705.81861211455293</v>
      </c>
      <c r="FF68">
        <f>'TEA Revised Non EYZ'!DV68</f>
        <v>0.7</v>
      </c>
      <c r="FG68">
        <f>'TEA Revised Non EYZ'!DW68</f>
        <v>44032.441905260595</v>
      </c>
      <c r="FH68">
        <f>'TEA Revised Non EYZ'!DX68</f>
        <v>41526.098972294596</v>
      </c>
      <c r="FI68">
        <f>'TEA Revised Non EYZ'!DY68</f>
        <v>17581.614484237631</v>
      </c>
      <c r="FJ68">
        <f>'TEA Revised Non EYZ'!DZ68</f>
        <v>9313.4716969742931</v>
      </c>
      <c r="FK68">
        <f>'TEA Revised Non EYZ'!EA68</f>
        <v>9376.8610582600722</v>
      </c>
      <c r="FL68">
        <f>'TEA Revised Non EYZ'!EB68</f>
        <v>850.27937496041636</v>
      </c>
      <c r="FM68">
        <f>'TEA Revised Non EYZ'!EC68</f>
        <v>43713.452676217516</v>
      </c>
      <c r="FN68">
        <f>'TEA Revised Non EYZ'!ED68</f>
        <v>42673.490277823796</v>
      </c>
      <c r="FO68">
        <f>'TEA Revised Non EYZ'!EE68</f>
        <v>18067.40515794959</v>
      </c>
      <c r="FP68">
        <f>'TEA Revised Non EYZ'!EF68</f>
        <v>9576.1363957083813</v>
      </c>
      <c r="FQ68">
        <f>'TEA Revised Non EYZ'!EG68</f>
        <v>9635.9494175731143</v>
      </c>
      <c r="FR68">
        <f>'TEA Revised Non EYZ'!EH68</f>
        <v>426.87909660688166</v>
      </c>
      <c r="FS68">
        <f>'TEA Revised Non EYZ'!EI68</f>
        <v>246774.08051386688</v>
      </c>
      <c r="FT68">
        <f>EG68*EH68</f>
        <v>2519.8785281986166</v>
      </c>
      <c r="FU68">
        <f>EG68*EI68</f>
        <v>4522.920551027838</v>
      </c>
      <c r="FV68">
        <f>FC68*(FT68+FU68)/(3.6*10^6)*3600*7200*0.07</f>
        <v>1774.7853679650668</v>
      </c>
      <c r="FW68">
        <f>('CAPEX+OPEX'!$C$39/7/100+0.03)*EL68</f>
        <v>90937.440033621562</v>
      </c>
      <c r="FX68">
        <f>('CAPEX+OPEX'!$C$39/7/100+0.03)*EM68</f>
        <v>163223.27119472556</v>
      </c>
      <c r="FY68">
        <f>SUM(FV68:FX68)</f>
        <v>255935.49659631221</v>
      </c>
      <c r="FZ68">
        <f>FY68+FA68+FS68+EU68</f>
        <v>16893690.835301787</v>
      </c>
      <c r="GA68">
        <f>FZ68+EO68</f>
        <v>18029911.044268474</v>
      </c>
      <c r="GB68">
        <f>GA68/(BK68*60*7200)</f>
        <v>0.41735905195065914</v>
      </c>
      <c r="GC68">
        <f>'TEA Revised Non EYZ'!EM68/'TEA Revised Non EYZ'!EK68*GA68</f>
        <v>1396.2639482249431</v>
      </c>
      <c r="GD68">
        <f>'TEA Revised Non EYZ'!EN68/'TEA Revised Non EYZ'!EK68*GA68</f>
        <v>2562.4275617469489</v>
      </c>
    </row>
    <row r="69" spans="1:186">
      <c r="A69">
        <f>'TEA Revised Non EYZ'!A69</f>
        <v>9</v>
      </c>
      <c r="B69">
        <f>'TEA Revised Non EYZ'!B69</f>
        <v>1.54143585092054E-3</v>
      </c>
      <c r="C69">
        <f>'TEA Revised Non EYZ'!C69</f>
        <v>1.54143585092054E-3</v>
      </c>
      <c r="D69">
        <f>'TEA Revised Non EYZ'!D69</f>
        <v>3.4254130020456501E-4</v>
      </c>
      <c r="E69">
        <f>'TEA Revised Non EYZ'!E69</f>
        <v>0</v>
      </c>
      <c r="F69">
        <f>'TEA Revised Non EYZ'!F69</f>
        <v>0</v>
      </c>
      <c r="G69">
        <f>'TEA Revised Non EYZ'!G69</f>
        <v>0</v>
      </c>
      <c r="H69">
        <f>'TEA Revised Non EYZ'!H69</f>
        <v>1.7768596981705501E-5</v>
      </c>
      <c r="I69">
        <f>'TEA Revised Non EYZ'!I69</f>
        <v>1.5331283704498101E-9</v>
      </c>
      <c r="J69">
        <f>'TEA Revised Non EYZ'!J69</f>
        <v>3.3763247208936601E-4</v>
      </c>
      <c r="K69">
        <f>'TEA Revised Non EYZ'!K69</f>
        <v>0.13890601070001499</v>
      </c>
      <c r="L69">
        <f>'TEA Revised Non EYZ'!L69</f>
        <v>0.14052575540227799</v>
      </c>
      <c r="M69">
        <f>'TEA Revised Non EYZ'!M69</f>
        <v>4.4751616793740602E-4</v>
      </c>
      <c r="N69">
        <f>'TEA Revised Non EYZ'!N69</f>
        <v>-5.0090140368830299E-17</v>
      </c>
      <c r="O69">
        <f>'TEA Revised Non EYZ'!O69</f>
        <v>-6.2343793322261397E-15</v>
      </c>
      <c r="P69">
        <f>'TEA Revised Non EYZ'!P69</f>
        <v>1.7787691892340301E-20</v>
      </c>
      <c r="Q69">
        <f>'TEA Revised Non EYZ'!Q69</f>
        <v>0.10969051996097</v>
      </c>
      <c r="R69">
        <f>'TEA Revised Non EYZ'!R69</f>
        <v>98.566938318892298</v>
      </c>
      <c r="S69">
        <f>'TEA Revised Non EYZ'!S69</f>
        <v>500</v>
      </c>
      <c r="T69">
        <f>'TEA Revised Non EYZ'!T69</f>
        <v>95</v>
      </c>
      <c r="U69">
        <f>'TEA Revised Non EYZ'!U69</f>
        <v>1</v>
      </c>
      <c r="V69">
        <f>'TEA Revised Non EYZ'!V69</f>
        <v>0.1</v>
      </c>
      <c r="W69">
        <f>'TEA Revised Non EYZ'!W69</f>
        <v>91.165581160141301</v>
      </c>
      <c r="X69" t="str">
        <f>'TEA Revised Non EYZ'!X69</f>
        <v>ddFc</v>
      </c>
      <c r="Y69">
        <f>'TEA Revised Non EYZ'!Y69</f>
        <v>1</v>
      </c>
      <c r="Z69">
        <f>'TEA Revised Non EYZ'!Z69</f>
        <v>0.28318429382522198</v>
      </c>
      <c r="AA69">
        <f>'TEA Revised Non EYZ'!AA69</f>
        <v>0.56945642916197003</v>
      </c>
      <c r="AB69">
        <f>'TEA Revised Non EYZ'!AB69</f>
        <v>3.7698628972227502E-3</v>
      </c>
      <c r="AC69">
        <f>'TEA Revised Non EYZ'!AC69</f>
        <v>1822.2107908876901</v>
      </c>
      <c r="AD69">
        <f>'TEA Revised Non EYZ'!AD69</f>
        <v>2662.6059073104898</v>
      </c>
      <c r="AE69">
        <f>'TEA Revised Non EYZ'!AE69</f>
        <v>2401.5030938442701</v>
      </c>
      <c r="AF69">
        <f>'TEA Revised Non EYZ'!AF69</f>
        <v>11</v>
      </c>
      <c r="AG69">
        <f>'TEA Revised Non EYZ'!AG69</f>
        <v>1.6497485970141401E-3</v>
      </c>
      <c r="AH69">
        <f>'TEA Revised Non EYZ'!AH69</f>
        <v>1.6689858606617799E-3</v>
      </c>
      <c r="AI69">
        <f>'TEA Revised Non EYZ'!AI69</f>
        <v>5.3150268046377499E-6</v>
      </c>
      <c r="AJ69">
        <f>'TEA Revised Non EYZ'!AJ69</f>
        <v>0</v>
      </c>
      <c r="AK69">
        <f>'TEA Revised Non EYZ'!AK69</f>
        <v>0</v>
      </c>
      <c r="AL69">
        <f>'TEA Revised Non EYZ'!AL69</f>
        <v>0</v>
      </c>
      <c r="AM69">
        <f>'TEA Revised Non EYZ'!AM69</f>
        <v>1.6128003908315799E-3</v>
      </c>
      <c r="AN69">
        <f>'TEA Revised Non EYZ'!AN69</f>
        <v>7.9604159390225403E-5</v>
      </c>
      <c r="AO69">
        <f>'TEA Revised Non EYZ'!AO69</f>
        <v>5.2800717061551003E-6</v>
      </c>
      <c r="AP69">
        <f>'TEA Revised Non EYZ'!AP69</f>
        <v>1.7332750811688499E-3</v>
      </c>
      <c r="AQ69">
        <f>'TEA Revised Non EYZ'!AQ69</f>
        <v>7.4559389546738394E-2</v>
      </c>
      <c r="AR69">
        <f>'TEA Revised Non EYZ'!AR69</f>
        <v>1.63977652565795E-6</v>
      </c>
      <c r="AS69">
        <f>'TEA Revised Non EYZ'!AS69</f>
        <v>2.01441375516017E-15</v>
      </c>
      <c r="AT69">
        <f>'TEA Revised Non EYZ'!AT69</f>
        <v>-2.0058065451633499E-13</v>
      </c>
      <c r="AU69">
        <f>'TEA Revised Non EYZ'!AU69</f>
        <v>1.2288595180087699E-20</v>
      </c>
      <c r="AV69">
        <f>'TEA Revised Non EYZ'!AV69</f>
        <v>0.196878472577803</v>
      </c>
      <c r="AW69">
        <f>'TEA Revised Non EYZ'!AW69</f>
        <v>99.342334483578696</v>
      </c>
      <c r="AX69">
        <f>'TEA Revised Non EYZ'!AX69</f>
        <v>500</v>
      </c>
      <c r="AY69">
        <f>'TEA Revised Non EYZ'!AY69</f>
        <v>95</v>
      </c>
      <c r="AZ69">
        <f>'TEA Revised Non EYZ'!AZ69</f>
        <v>0.92357542033771201</v>
      </c>
      <c r="BA69">
        <f>'TEA Revised Non EYZ'!BA69</f>
        <v>0.1</v>
      </c>
      <c r="BB69">
        <f>'TEA Revised Non EYZ'!BB69</f>
        <v>46.9109399440677</v>
      </c>
      <c r="BC69" t="str">
        <f>'TEA Revised Non EYZ'!BC69</f>
        <v>coeFc</v>
      </c>
      <c r="BD69">
        <f>'TEA Revised Non EYZ'!BD69</f>
        <v>1</v>
      </c>
      <c r="BE69">
        <f>'TEA Revised Non EYZ'!BE69</f>
        <v>1.8775014999999999E-2</v>
      </c>
      <c r="BF69">
        <f>'TEA Revised Non EYZ'!BF69</f>
        <v>0.10492961100000001</v>
      </c>
      <c r="BG69">
        <f>'TEA Revised Non EYZ'!BG69</f>
        <v>1.814625E-3</v>
      </c>
      <c r="BH69">
        <f>'TEA Revised Non EYZ'!BH69</f>
        <v>285.1951444</v>
      </c>
      <c r="BI69">
        <f>'TEA Revised Non EYZ'!BI69</f>
        <v>2169.8944889999998</v>
      </c>
      <c r="BJ69">
        <f>'TEA Revised Non EYZ'!BJ69</f>
        <v>866.49409060000005</v>
      </c>
      <c r="BK69">
        <f>'TEA Revised Non EYZ'!BK69</f>
        <v>100</v>
      </c>
      <c r="BL69">
        <f>'TEA Revised Non EYZ'!BL69</f>
        <v>10.969051996096999</v>
      </c>
      <c r="BM69">
        <f>'TEA Revised Non EYZ'!BM69</f>
        <v>92.357542033771196</v>
      </c>
      <c r="BN69">
        <f>'TEA Revised Non EYZ'!BN69</f>
        <v>19.687847257780298</v>
      </c>
      <c r="BO69">
        <f>'TEA Revised Non EYZ'!BO69</f>
        <v>241.31914391413397</v>
      </c>
      <c r="BP69">
        <f>'TEA Revised Non EYZ'!BP69</f>
        <v>511.88402870228776</v>
      </c>
      <c r="BQ69">
        <f>'TEA Revised Non EYZ'!BQ69</f>
        <v>24.1319143914134</v>
      </c>
      <c r="BR69">
        <f>'TEA Revised Non EYZ'!BR69</f>
        <v>51.188402870228778</v>
      </c>
      <c r="BS69">
        <f>'eLLE Bals'!CF69</f>
        <v>6.5814311976581994</v>
      </c>
      <c r="BT69">
        <f>'eLLE Bals'!CG69</f>
        <v>11.812708354668178</v>
      </c>
      <c r="BU69">
        <f>BM69</f>
        <v>92.357542033771196</v>
      </c>
      <c r="BV69">
        <f>BU69*(AM69*2+AN69*2+AO69*3)</f>
        <v>0.3140756121041397</v>
      </c>
      <c r="BW69">
        <f>BN69*BA69*(AP69*2+AQ69*2+AR69*3)</f>
        <v>0.30041735071759135</v>
      </c>
      <c r="BX69">
        <f>BV69/(2*V69*BL69+BV69)</f>
        <v>0.12523520235211408</v>
      </c>
      <c r="BY69">
        <f>BU69*BX69</f>
        <v>11.566415465343217</v>
      </c>
      <c r="BZ69">
        <f>BW69/(2*BN69*BA69+BW69)</f>
        <v>7.0886806574390337E-2</v>
      </c>
      <c r="CA69">
        <f>2*BN69*BA69/0.04</f>
        <v>98.439236288901498</v>
      </c>
      <c r="CB69">
        <f>(BS69+BL69)*2</f>
        <v>35.100966387510397</v>
      </c>
      <c r="CC69">
        <f>(BU69+BL69)*2</f>
        <v>206.65318805973638</v>
      </c>
      <c r="CD69">
        <f>(BT69+BN69)*2</f>
        <v>63.001111224896952</v>
      </c>
      <c r="CE69">
        <f>(CA69+BN69)*2</f>
        <v>236.25416709336361</v>
      </c>
      <c r="CF69">
        <f>'TEA Revised Non EYZ'!CB69</f>
        <v>3185.4126996665682</v>
      </c>
      <c r="CG69">
        <f>'TEA Revised Non EYZ'!CC69</f>
        <v>6756.8691788701981</v>
      </c>
      <c r="CH69">
        <f>'TEA Revised Non EYZ'!CD69</f>
        <v>3848.5686313477631</v>
      </c>
      <c r="CI69">
        <f>'TEA Revised Non EYZ'!CE69</f>
        <v>52116.332515680107</v>
      </c>
      <c r="CJ69">
        <f>BL69*V69</f>
        <v>1.0969051996096999</v>
      </c>
      <c r="CK69">
        <f>CJ69/2*1.2</f>
        <v>0.65814311976581996</v>
      </c>
      <c r="CL69">
        <f>'eLLE Bals'!CB69*'Oxidant Feed Composition'!$N$20</f>
        <v>3.656350665365668E-2</v>
      </c>
      <c r="CM69">
        <f>'eLLE Bals'!CB69*'Oxidant Feed Composition'!$N$21</f>
        <v>1.8281753326828334</v>
      </c>
      <c r="CN69">
        <f>'eLLE Bals'!CB69*'Oxidant Feed Composition'!$N$22</f>
        <v>0.54845259980484995</v>
      </c>
      <c r="CO69">
        <f>CN69/CK69</f>
        <v>0.83333333333333326</v>
      </c>
      <c r="CP69">
        <f>CO69</f>
        <v>0.83333333333333326</v>
      </c>
      <c r="CQ69">
        <f>CL69/CO69</f>
        <v>4.3876207984388023E-2</v>
      </c>
      <c r="CR69">
        <f>CM69/CO69</f>
        <v>2.1938103992194002</v>
      </c>
      <c r="CS69">
        <f>BN69*BA69</f>
        <v>1.96878472577803</v>
      </c>
      <c r="CT69">
        <f>CS69/2*1.2</f>
        <v>1.181270835466818</v>
      </c>
      <c r="CU69">
        <f>'eLLE Bals'!CC69*'Oxidant Feed Composition'!$N$20</f>
        <v>6.5626157525934356E-2</v>
      </c>
      <c r="CV69">
        <f>'eLLE Bals'!CC69*'Oxidant Feed Composition'!$N$21</f>
        <v>3.2813078762967165</v>
      </c>
      <c r="CW69">
        <f>'eLLE Bals'!CC69*'Oxidant Feed Composition'!$N$22</f>
        <v>0.98439236288901499</v>
      </c>
      <c r="CX69">
        <f>CU69/CP69</f>
        <v>7.8751389031121236E-2</v>
      </c>
      <c r="CY69">
        <f>CV69/CP69</f>
        <v>3.93756945155606</v>
      </c>
      <c r="CZ69">
        <f>CJ69</f>
        <v>1.0969051996096999</v>
      </c>
      <c r="DA69">
        <f>'eLLE Bals'!BQ69</f>
        <v>2.1938103992193998</v>
      </c>
      <c r="DB69">
        <f>'eLLE Bals'!BU69</f>
        <v>5.4680453489143357</v>
      </c>
      <c r="DC69">
        <f>CS69</f>
        <v>1.96878472577803</v>
      </c>
      <c r="DD69">
        <f>'eLLE Bals'!BX69</f>
        <v>3.93756945155606</v>
      </c>
      <c r="DE69">
        <f>'eLLE Bals'!CA69</f>
        <v>21.867286940381373</v>
      </c>
      <c r="DF69">
        <f>2*2*(CJ69*'Reagent cost'!$C$36*122.44/1000+CK69*'Oxidant Feed Composition'!$N$26+CQ69*'Reagent cost'!$C$34+CR69*'Reagent cost'!$C$35)</f>
        <v>92.653072140924976</v>
      </c>
      <c r="DG69">
        <f>2*2*(CS69*'Reagent cost'!$C$36*122.44/1000+CT69*'Oxidant Feed Composition'!$N$26+CX69*'Reagent cost'!$C$34+CY69*'Reagent cost'!$C$35)</f>
        <v>166.2987405770065</v>
      </c>
      <c r="DH69">
        <f>(AF69+3)*2*(CZ69*'Reagent cost'!$C$38+DA69*'Reagent cost'!$C$39+DB69*'Reagent cost'!$C$36*122.44/1000)</f>
        <v>1460.7669479628464</v>
      </c>
      <c r="DI69">
        <f>3*2*(DC69*'Reagent cost'!$C$38+DD69*'Reagent cost'!$C$39+DE69*'Reagent cost'!$C$36*122.44/1000)</f>
        <v>1187.1379368562809</v>
      </c>
      <c r="DJ69">
        <f>7963.6*(CB69/1000)^0.6*1.7*('CAPEX+OPEX'!$G$116/'CAPEX+OPEX'!$G$115)</f>
        <v>2140.0916471558648</v>
      </c>
      <c r="DK69">
        <f>7963.6*(CC69/1000)^0.6*1.7*('CAPEX+OPEX'!$G$116/'CAPEX+OPEX'!$G$115)</f>
        <v>6199.9215410229135</v>
      </c>
      <c r="DL69">
        <f>7963.6*(CD69/1000)^0.6*1.7*('CAPEX+OPEX'!$G$116/'CAPEX+OPEX'!$G$115)</f>
        <v>3039.833898354078</v>
      </c>
      <c r="DM69">
        <f>7963.6*(CE69/1000)^0.6*1.7*('CAPEX+OPEX'!$G$116/'CAPEX+OPEX'!$G$115)</f>
        <v>6718.4426503368622</v>
      </c>
      <c r="DN69">
        <f>'TEA Revised Non EYZ'!CM69</f>
        <v>39625.826528698344</v>
      </c>
      <c r="DO69">
        <f>'TEA Revised Non EYZ'!CN69</f>
        <v>4586243.4239371875</v>
      </c>
      <c r="DP69">
        <f>'TEA Revised Non EYZ'!CO69</f>
        <v>11794834.586807497</v>
      </c>
      <c r="DQ69">
        <f>'TEA Revised Non EYZ'!CP69</f>
        <v>2275209.1661185985</v>
      </c>
      <c r="DR69">
        <f>'TEA Revised Non EYZ'!CQ69</f>
        <v>14083914.336508472</v>
      </c>
      <c r="DS69">
        <f>'TEA Revised Non EYZ'!CR69</f>
        <v>1662824.8986326549</v>
      </c>
      <c r="DT69">
        <f>'TEA Revised Non EYZ'!CS69</f>
        <v>800322.53402245743</v>
      </c>
      <c r="DU69">
        <f>'TEA Revised Non EYZ'!CT69</f>
        <v>2058257.9318883498</v>
      </c>
      <c r="DV69">
        <f>'TEA Revised Non EYZ'!CU69</f>
        <v>397035.437708179</v>
      </c>
      <c r="DW69">
        <f>'TEA Revised Non EYZ'!CV69</f>
        <v>2457713.856163613</v>
      </c>
      <c r="DX69">
        <f>'TEA Revised Non EYZ'!CW69</f>
        <v>290171.30437591631</v>
      </c>
      <c r="DY69">
        <f>'TEA Revised Non EYZ'!CX69</f>
        <v>6003501.064158516</v>
      </c>
      <c r="DZ69">
        <f>'TEA Revised Non EYZ'!CY69</f>
        <v>843167.57420412218</v>
      </c>
      <c r="EA69">
        <f>'TEA Revised Non EYZ'!CZ69</f>
        <v>2168446.1873067734</v>
      </c>
      <c r="EB69">
        <f>'TEA Revised Non EYZ'!DA69</f>
        <v>418290.61741260858</v>
      </c>
      <c r="EC69">
        <f>'TEA Revised Non EYZ'!DB69</f>
        <v>2589286.8713492746</v>
      </c>
      <c r="ED69">
        <f>'TEA Revised Non EYZ'!DC69</f>
        <v>305705.5429697822</v>
      </c>
      <c r="EE69">
        <f>'TEA Revised Non EYZ'!DD69</f>
        <v>6324896.7932425607</v>
      </c>
      <c r="EF69">
        <v>0.7</v>
      </c>
      <c r="EG69">
        <v>100</v>
      </c>
      <c r="EH69">
        <f>96485*BL69*V69/EF69/EG69/60</f>
        <v>25.198785281986165</v>
      </c>
      <c r="EI69">
        <f>96485*BN69*BA69/EF69/EG69/60</f>
        <v>45.22814149206981</v>
      </c>
      <c r="EJ69">
        <f>EH69*('CAPEX+OPEX'!$O$25+'CAPEX+OPEX'!$O$26)</f>
        <v>803135.68450746301</v>
      </c>
      <c r="EK69">
        <f>EI69*('CAPEX+OPEX'!$O$25+'CAPEX+OPEX'!$O$26)</f>
        <v>1441511.325635249</v>
      </c>
      <c r="EL69">
        <f>EJ69*1.12/0.6*'CAPEX+OPEX'!$G$116/'CAPEX+OPEX'!$G$115</f>
        <v>1768228.0006537526</v>
      </c>
      <c r="EM69">
        <f>EK69*1.12/0.6*'CAPEX+OPEX'!$G$116/'CAPEX+OPEX'!$G$115</f>
        <v>3173711.1653940855</v>
      </c>
      <c r="EN69">
        <f>EL69+EM69+DY69+EE69+1.15*(SUM(DF69:DM69)+SUM(CF69:CI69))</f>
        <v>17370286.202327881</v>
      </c>
      <c r="EO69">
        <f>EN69/15</f>
        <v>1158019.0801551922</v>
      </c>
      <c r="EP69">
        <f>('eLLE Bals'!CB69+'eLLE Bals'!CC69)*'Oxidant Feed Composition'!$N$25*60*7200</f>
        <v>12344815.967904054</v>
      </c>
      <c r="EQ69" s="83">
        <f>('eLLE Bals'!BR69+'eLLE Bals'!BY69)*'Reagent cost'!$C$38*60*7200</f>
        <v>505324.70049737539</v>
      </c>
      <c r="ER69">
        <f>'TEA Revised Non EYZ'!DI69</f>
        <v>504921.59999999998</v>
      </c>
      <c r="ES69">
        <f>'TEA Revised Non EYZ'!DJ69</f>
        <v>99.422818785367667</v>
      </c>
      <c r="ET69">
        <f>'TEA Revised Non EYZ'!DK69</f>
        <v>1119.2980229405575</v>
      </c>
      <c r="EU69">
        <f>1.2*SUM(EP69:ET69)</f>
        <v>16027537.187091786</v>
      </c>
      <c r="EV69">
        <f>'TEA Revised Non EYZ'!DM69</f>
        <v>0.70639694042110623</v>
      </c>
      <c r="EW69">
        <f>(BS69*CO69+BT69*CP69)/1000*('Oxidant Feed Composition'!$B$11*'Oxidant Feed Composition'!$O$20+'Oxidant Feed Composition'!$D$11*'Oxidant Feed Composition'!$O$21+'Oxidant Feed Composition'!$F$11*'Oxidant Feed Composition'!$O$27-'Oxidant Feed Composition'!$J$15*18.015)</f>
        <v>1.7901259385952011</v>
      </c>
      <c r="EX69">
        <f>(CZ69*BX69+DC69*BZ69)*368.34/1000</f>
        <v>0.10200513533942393</v>
      </c>
      <c r="EY69">
        <f>'TEA Revised Non EYZ'!DP69</f>
        <v>4.999938342565946E-2</v>
      </c>
      <c r="EZ69">
        <f>SUM(EV69:EX69)-EY69</f>
        <v>2.5485286309300719</v>
      </c>
      <c r="FA69">
        <f>EZ69*0.33*60*7200</f>
        <v>363318.24162539106</v>
      </c>
      <c r="FB69">
        <f>'TEA Revised Non EYZ'!DS69</f>
        <v>1.2</v>
      </c>
      <c r="FC69">
        <v>0.5</v>
      </c>
      <c r="FD69">
        <f>'TEA Revised Non EYZ'!DT69</f>
        <v>1405.8879243789322</v>
      </c>
      <c r="FE69">
        <f>'TEA Revised Non EYZ'!DU69</f>
        <v>705.81589745617578</v>
      </c>
      <c r="FF69">
        <f>'TEA Revised Non EYZ'!DV69</f>
        <v>0.7</v>
      </c>
      <c r="FG69">
        <f>'TEA Revised Non EYZ'!DW69</f>
        <v>44032.441905260595</v>
      </c>
      <c r="FH69">
        <f>'TEA Revised Non EYZ'!DX69</f>
        <v>41526.098972294596</v>
      </c>
      <c r="FI69">
        <f>'TEA Revised Non EYZ'!DY69</f>
        <v>17581.614484237631</v>
      </c>
      <c r="FJ69">
        <f>'TEA Revised Non EYZ'!DZ69</f>
        <v>9313.4716969742931</v>
      </c>
      <c r="FK69">
        <f>'TEA Revised Non EYZ'!EA69</f>
        <v>9376.8610582600722</v>
      </c>
      <c r="FL69">
        <f>'TEA Revised Non EYZ'!EB69</f>
        <v>850.28101666437828</v>
      </c>
      <c r="FM69">
        <f>'TEA Revised Non EYZ'!EC69</f>
        <v>46284.832245406782</v>
      </c>
      <c r="FN69">
        <f>'TEA Revised Non EYZ'!ED69</f>
        <v>46552.898484898687</v>
      </c>
      <c r="FO69">
        <f>'TEA Revised Non EYZ'!EE69</f>
        <v>19709.896535945009</v>
      </c>
      <c r="FP69">
        <f>'TEA Revised Non EYZ'!EF69</f>
        <v>10446.694249863689</v>
      </c>
      <c r="FQ69">
        <f>'TEA Revised Non EYZ'!EG69</f>
        <v>10511.944819170671</v>
      </c>
      <c r="FR69">
        <f>'TEA Revised Non EYZ'!EH69</f>
        <v>426.8774547814952</v>
      </c>
      <c r="FS69">
        <f>'TEA Revised Non EYZ'!EI69</f>
        <v>256613.91292375789</v>
      </c>
      <c r="FT69">
        <f>EG69*EH69</f>
        <v>2519.8785281986166</v>
      </c>
      <c r="FU69">
        <f>EG69*EI69</f>
        <v>4522.8141492069808</v>
      </c>
      <c r="FV69">
        <f>FC69*(FT69+FU69)/(3.6*10^6)*3600*7200*0.07</f>
        <v>1774.7585547062108</v>
      </c>
      <c r="FW69">
        <f>('CAPEX+OPEX'!$C$39/7/100+0.03)*EL69</f>
        <v>90937.440033621562</v>
      </c>
      <c r="FX69">
        <f>('CAPEX+OPEX'!$C$39/7/100+0.03)*EM69</f>
        <v>163219.4313631244</v>
      </c>
      <c r="FY69">
        <f>SUM(FV69:FX69)</f>
        <v>255931.62995145217</v>
      </c>
      <c r="FZ69">
        <f>FY69+FA69+FS69+EU69</f>
        <v>16903400.971592389</v>
      </c>
      <c r="GA69">
        <f>FZ69+EO69</f>
        <v>18061420.051747583</v>
      </c>
      <c r="GB69">
        <f>GA69/(BK69*60*7200)</f>
        <v>0.41808842712378663</v>
      </c>
      <c r="GC69">
        <f>'TEA Revised Non EYZ'!EM69/'TEA Revised Non EYZ'!EK69*GA69</f>
        <v>1398.7013518065157</v>
      </c>
      <c r="GD69">
        <f>'TEA Revised Non EYZ'!EN69/'TEA Revised Non EYZ'!EK69*GA69</f>
        <v>2566.9147528063145</v>
      </c>
    </row>
    <row r="70" spans="1:186">
      <c r="A70">
        <f>'TEA Revised Non EYZ'!A70</f>
        <v>9</v>
      </c>
      <c r="B70">
        <f>'TEA Revised Non EYZ'!B70</f>
        <v>1.54143585092054E-3</v>
      </c>
      <c r="C70">
        <f>'TEA Revised Non EYZ'!C70</f>
        <v>1.54143585092054E-3</v>
      </c>
      <c r="D70">
        <f>'TEA Revised Non EYZ'!D70</f>
        <v>3.4254130020456501E-4</v>
      </c>
      <c r="E70">
        <f>'TEA Revised Non EYZ'!E70</f>
        <v>0</v>
      </c>
      <c r="F70">
        <f>'TEA Revised Non EYZ'!F70</f>
        <v>0</v>
      </c>
      <c r="G70">
        <f>'TEA Revised Non EYZ'!G70</f>
        <v>0</v>
      </c>
      <c r="H70">
        <f>'TEA Revised Non EYZ'!H70</f>
        <v>1.7768596981705501E-5</v>
      </c>
      <c r="I70">
        <f>'TEA Revised Non EYZ'!I70</f>
        <v>1.5331283704498101E-9</v>
      </c>
      <c r="J70">
        <f>'TEA Revised Non EYZ'!J70</f>
        <v>3.3763247208936601E-4</v>
      </c>
      <c r="K70">
        <f>'TEA Revised Non EYZ'!K70</f>
        <v>0.13890601070001499</v>
      </c>
      <c r="L70">
        <f>'TEA Revised Non EYZ'!L70</f>
        <v>0.14052575540227799</v>
      </c>
      <c r="M70">
        <f>'TEA Revised Non EYZ'!M70</f>
        <v>4.4751616793740602E-4</v>
      </c>
      <c r="N70">
        <f>'TEA Revised Non EYZ'!N70</f>
        <v>-5.0090140368830299E-17</v>
      </c>
      <c r="O70">
        <f>'TEA Revised Non EYZ'!O70</f>
        <v>-6.2343793322261397E-15</v>
      </c>
      <c r="P70">
        <f>'TEA Revised Non EYZ'!P70</f>
        <v>1.7787691892340301E-20</v>
      </c>
      <c r="Q70">
        <f>'TEA Revised Non EYZ'!Q70</f>
        <v>0.10969051996097</v>
      </c>
      <c r="R70">
        <f>'TEA Revised Non EYZ'!R70</f>
        <v>98.566938318892298</v>
      </c>
      <c r="S70">
        <f>'TEA Revised Non EYZ'!S70</f>
        <v>500</v>
      </c>
      <c r="T70">
        <f>'TEA Revised Non EYZ'!T70</f>
        <v>95</v>
      </c>
      <c r="U70">
        <f>'TEA Revised Non EYZ'!U70</f>
        <v>1</v>
      </c>
      <c r="V70">
        <f>'TEA Revised Non EYZ'!V70</f>
        <v>0.1</v>
      </c>
      <c r="W70">
        <f>'TEA Revised Non EYZ'!W70</f>
        <v>91.165581160141301</v>
      </c>
      <c r="X70" t="str">
        <f>'TEA Revised Non EYZ'!X70</f>
        <v>ddFc</v>
      </c>
      <c r="Y70">
        <f>'TEA Revised Non EYZ'!Y70</f>
        <v>1</v>
      </c>
      <c r="Z70">
        <f>'TEA Revised Non EYZ'!Z70</f>
        <v>0.28318429382522198</v>
      </c>
      <c r="AA70">
        <f>'TEA Revised Non EYZ'!AA70</f>
        <v>0.56945642916197003</v>
      </c>
      <c r="AB70">
        <f>'TEA Revised Non EYZ'!AB70</f>
        <v>3.7698628972227502E-3</v>
      </c>
      <c r="AC70">
        <f>'TEA Revised Non EYZ'!AC70</f>
        <v>1822.2107908876901</v>
      </c>
      <c r="AD70">
        <f>'TEA Revised Non EYZ'!AD70</f>
        <v>2662.6059073104898</v>
      </c>
      <c r="AE70">
        <f>'TEA Revised Non EYZ'!AE70</f>
        <v>2401.5030938442701</v>
      </c>
      <c r="AF70">
        <f>'TEA Revised Non EYZ'!AF70</f>
        <v>12</v>
      </c>
      <c r="AG70">
        <f>'TEA Revised Non EYZ'!AG70</f>
        <v>1.6497485970141401E-3</v>
      </c>
      <c r="AH70">
        <f>'TEA Revised Non EYZ'!AH70</f>
        <v>1.6689858606617799E-3</v>
      </c>
      <c r="AI70">
        <f>'TEA Revised Non EYZ'!AI70</f>
        <v>5.3150268046377499E-6</v>
      </c>
      <c r="AJ70">
        <f>'TEA Revised Non EYZ'!AJ70</f>
        <v>0</v>
      </c>
      <c r="AK70">
        <f>'TEA Revised Non EYZ'!AK70</f>
        <v>0</v>
      </c>
      <c r="AL70">
        <f>'TEA Revised Non EYZ'!AL70</f>
        <v>0</v>
      </c>
      <c r="AM70">
        <f>'TEA Revised Non EYZ'!AM70</f>
        <v>1.61280126654258E-3</v>
      </c>
      <c r="AN70">
        <f>'TEA Revised Non EYZ'!AN70</f>
        <v>7.9604204686258806E-5</v>
      </c>
      <c r="AO70">
        <f>'TEA Revised Non EYZ'!AO70</f>
        <v>5.2800725001932601E-6</v>
      </c>
      <c r="AP70">
        <f>'TEA Revised Non EYZ'!AP70</f>
        <v>1.7332454612020299E-3</v>
      </c>
      <c r="AQ70">
        <f>'TEA Revised Non EYZ'!AQ70</f>
        <v>7.4559880410390605E-2</v>
      </c>
      <c r="AR70">
        <f>'TEA Revised Non EYZ'!AR70</f>
        <v>1.63975011876007E-6</v>
      </c>
      <c r="AS70">
        <f>'TEA Revised Non EYZ'!AS70</f>
        <v>3.97766672030619E-16</v>
      </c>
      <c r="AT70">
        <f>'TEA Revised Non EYZ'!AT70</f>
        <v>-3.8874068894467698E-14</v>
      </c>
      <c r="AU70">
        <f>'TEA Revised Non EYZ'!AU70</f>
        <v>-3.3087224502121099E-21</v>
      </c>
      <c r="AV70">
        <f>'TEA Revised Non EYZ'!AV70</f>
        <v>0.196877170799345</v>
      </c>
      <c r="AW70">
        <f>'TEA Revised Non EYZ'!AW70</f>
        <v>99.3423494230736</v>
      </c>
      <c r="AX70">
        <f>'TEA Revised Non EYZ'!AX70</f>
        <v>500</v>
      </c>
      <c r="AY70">
        <f>'TEA Revised Non EYZ'!AY70</f>
        <v>95</v>
      </c>
      <c r="AZ70">
        <f>'TEA Revised Non EYZ'!AZ70</f>
        <v>0.92357542033771201</v>
      </c>
      <c r="BA70">
        <f>'TEA Revised Non EYZ'!BA70</f>
        <v>0.1</v>
      </c>
      <c r="BB70">
        <f>'TEA Revised Non EYZ'!BB70</f>
        <v>46.911250125541898</v>
      </c>
      <c r="BC70" t="str">
        <f>'TEA Revised Non EYZ'!BC70</f>
        <v>coeFc</v>
      </c>
      <c r="BD70">
        <f>'TEA Revised Non EYZ'!BD70</f>
        <v>1</v>
      </c>
      <c r="BE70">
        <f>'TEA Revised Non EYZ'!BE70</f>
        <v>1.8775014999999999E-2</v>
      </c>
      <c r="BF70">
        <f>'TEA Revised Non EYZ'!BF70</f>
        <v>0.10492961100000001</v>
      </c>
      <c r="BG70">
        <f>'TEA Revised Non EYZ'!BG70</f>
        <v>1.814625E-3</v>
      </c>
      <c r="BH70">
        <f>'TEA Revised Non EYZ'!BH70</f>
        <v>285.1951444</v>
      </c>
      <c r="BI70">
        <f>'TEA Revised Non EYZ'!BI70</f>
        <v>2169.8944889999998</v>
      </c>
      <c r="BJ70">
        <f>'TEA Revised Non EYZ'!BJ70</f>
        <v>866.49409060000005</v>
      </c>
      <c r="BK70">
        <f>'TEA Revised Non EYZ'!BK70</f>
        <v>100</v>
      </c>
      <c r="BL70">
        <f>'TEA Revised Non EYZ'!BL70</f>
        <v>10.969051996096999</v>
      </c>
      <c r="BM70">
        <f>'TEA Revised Non EYZ'!BM70</f>
        <v>92.357542033771196</v>
      </c>
      <c r="BN70">
        <f>'TEA Revised Non EYZ'!BN70</f>
        <v>19.687717079934501</v>
      </c>
      <c r="BO70">
        <f>'TEA Revised Non EYZ'!BO70</f>
        <v>241.31914391413397</v>
      </c>
      <c r="BP70">
        <f>'TEA Revised Non EYZ'!BP70</f>
        <v>551.25607823816608</v>
      </c>
      <c r="BQ70">
        <f>'TEA Revised Non EYZ'!BQ70</f>
        <v>24.1319143914134</v>
      </c>
      <c r="BR70">
        <f>'TEA Revised Non EYZ'!BR70</f>
        <v>55.125607823816608</v>
      </c>
      <c r="BS70">
        <f>'eLLE Bals'!CF70</f>
        <v>6.5814311976581994</v>
      </c>
      <c r="BT70">
        <f>'eLLE Bals'!CG70</f>
        <v>11.812630247960699</v>
      </c>
      <c r="BU70">
        <f>BM70</f>
        <v>92.357542033771196</v>
      </c>
      <c r="BV70">
        <f>BU70*(AM70*2+AN70*2+AO70*3)</f>
        <v>0.31407578244803752</v>
      </c>
      <c r="BW70">
        <f>BN70*BA70*(AP70*2+AQ70*2+AR70*3)</f>
        <v>0.30041718034167542</v>
      </c>
      <c r="BX70">
        <f>BV70/(2*V70*BL70+BV70)</f>
        <v>0.12523526176902319</v>
      </c>
      <c r="BY70">
        <f>BU70*BX70</f>
        <v>11.566420952942899</v>
      </c>
      <c r="BZ70">
        <f>BW70/(2*BN70*BA70+BW70)</f>
        <v>7.0887204709249155E-2</v>
      </c>
      <c r="CA70">
        <f>2*BN70*BA70/0.04</f>
        <v>98.438585399672505</v>
      </c>
      <c r="CB70">
        <f>(BS70+BL70)*2</f>
        <v>35.100966387510397</v>
      </c>
      <c r="CC70">
        <f>(BU70+BL70)*2</f>
        <v>206.65318805973638</v>
      </c>
      <c r="CD70">
        <f>(BT70+BN70)*2</f>
        <v>63.000694655790397</v>
      </c>
      <c r="CE70">
        <f>(CA70+BN70)*2</f>
        <v>236.25260495921401</v>
      </c>
      <c r="CF70">
        <f>'TEA Revised Non EYZ'!CB70</f>
        <v>3185.4126996665682</v>
      </c>
      <c r="CG70">
        <f>'TEA Revised Non EYZ'!CC70</f>
        <v>7276.5802327437923</v>
      </c>
      <c r="CH70">
        <f>'TEA Revised Non EYZ'!CD70</f>
        <v>3848.5686313477631</v>
      </c>
      <c r="CI70">
        <f>'TEA Revised Non EYZ'!CE70</f>
        <v>56124.910065242737</v>
      </c>
      <c r="CJ70">
        <f>BL70*V70</f>
        <v>1.0969051996096999</v>
      </c>
      <c r="CK70">
        <f>CJ70/2*1.2</f>
        <v>0.65814311976581996</v>
      </c>
      <c r="CL70">
        <f>'eLLE Bals'!CB70*'Oxidant Feed Composition'!$N$20</f>
        <v>3.656350665365668E-2</v>
      </c>
      <c r="CM70">
        <f>'eLLE Bals'!CB70*'Oxidant Feed Composition'!$N$21</f>
        <v>1.8281753326828334</v>
      </c>
      <c r="CN70">
        <f>'eLLE Bals'!CB70*'Oxidant Feed Composition'!$N$22</f>
        <v>0.54845259980484995</v>
      </c>
      <c r="CO70">
        <f>CN70/CK70</f>
        <v>0.83333333333333326</v>
      </c>
      <c r="CP70">
        <f>CO70</f>
        <v>0.83333333333333326</v>
      </c>
      <c r="CQ70">
        <f>CL70/CO70</f>
        <v>4.3876207984388023E-2</v>
      </c>
      <c r="CR70">
        <f>CM70/CO70</f>
        <v>2.1938103992194002</v>
      </c>
      <c r="CS70">
        <f>BN70*BA70</f>
        <v>1.9687717079934501</v>
      </c>
      <c r="CT70">
        <f>CS70/2*1.2</f>
        <v>1.18126302479607</v>
      </c>
      <c r="CU70">
        <f>'eLLE Bals'!CC70*'Oxidant Feed Composition'!$N$20</f>
        <v>6.5625723599781693E-2</v>
      </c>
      <c r="CV70">
        <f>'eLLE Bals'!CC70*'Oxidant Feed Composition'!$N$21</f>
        <v>3.2812861799890838</v>
      </c>
      <c r="CW70">
        <f>'eLLE Bals'!CC70*'Oxidant Feed Composition'!$N$22</f>
        <v>0.98438585399672507</v>
      </c>
      <c r="CX70">
        <f>CU70/CP70</f>
        <v>7.8750868319738043E-2</v>
      </c>
      <c r="CY70">
        <f>CV70/CP70</f>
        <v>3.9375434159869007</v>
      </c>
      <c r="CZ70">
        <f>CJ70</f>
        <v>1.0969051996096999</v>
      </c>
      <c r="DA70">
        <f>'eLLE Bals'!BQ70</f>
        <v>2.1938103992193998</v>
      </c>
      <c r="DB70">
        <f>'eLLE Bals'!BU70</f>
        <v>5.46804119316376</v>
      </c>
      <c r="DC70">
        <f>CS70</f>
        <v>1.9687717079934501</v>
      </c>
      <c r="DD70">
        <f>'eLLE Bals'!BX70</f>
        <v>3.9375434159869003</v>
      </c>
      <c r="DE70">
        <f>'eLLE Bals'!CA70</f>
        <v>21.86698636348217</v>
      </c>
      <c r="DF70">
        <f>2*2*(CJ70*'Reagent cost'!$C$36*122.44/1000+CK70*'Oxidant Feed Composition'!$N$26+CQ70*'Reagent cost'!$C$34+CR70*'Reagent cost'!$C$35)</f>
        <v>92.653072140924976</v>
      </c>
      <c r="DG70">
        <f>2*2*(CS70*'Reagent cost'!$C$36*122.44/1000+CT70*'Oxidant Feed Composition'!$N$26+CX70*'Reagent cost'!$C$34+CY70*'Reagent cost'!$C$35)</f>
        <v>166.29764099453189</v>
      </c>
      <c r="DH70">
        <f>(AF70+3)*2*(CZ70*'Reagent cost'!$C$38+DA70*'Reagent cost'!$C$39+DB70*'Reagent cost'!$C$36*122.44/1000)</f>
        <v>1565.1063662384558</v>
      </c>
      <c r="DI70">
        <f>3*2*(DC70*'Reagent cost'!$C$38+DD70*'Reagent cost'!$C$39+DE70*'Reagent cost'!$C$36*122.44/1000)</f>
        <v>1187.121994670405</v>
      </c>
      <c r="DJ70">
        <f>7963.6*(CB70/1000)^0.6*1.7*('CAPEX+OPEX'!$G$116/'CAPEX+OPEX'!$G$115)</f>
        <v>2140.0916471558648</v>
      </c>
      <c r="DK70">
        <f>7963.6*(CC70/1000)^0.6*1.7*('CAPEX+OPEX'!$G$116/'CAPEX+OPEX'!$G$115)</f>
        <v>6199.9215410229135</v>
      </c>
      <c r="DL70">
        <f>7963.6*(CD70/1000)^0.6*1.7*('CAPEX+OPEX'!$G$116/'CAPEX+OPEX'!$G$115)</f>
        <v>3039.8218385423597</v>
      </c>
      <c r="DM70">
        <f>7963.6*(CE70/1000)^0.6*1.7*('CAPEX+OPEX'!$G$116/'CAPEX+OPEX'!$G$115)</f>
        <v>6718.4159965274393</v>
      </c>
      <c r="DN70">
        <f>'TEA Revised Non EYZ'!CM70</f>
        <v>39625.826528698344</v>
      </c>
      <c r="DO70">
        <f>'TEA Revised Non EYZ'!CN70</f>
        <v>4586243.4239371875</v>
      </c>
      <c r="DP70">
        <f>'TEA Revised Non EYZ'!CO70</f>
        <v>11794834.586807497</v>
      </c>
      <c r="DQ70">
        <f>'TEA Revised Non EYZ'!CP70</f>
        <v>2275209.1661185985</v>
      </c>
      <c r="DR70">
        <f>'TEA Revised Non EYZ'!CQ70</f>
        <v>14083914.336508472</v>
      </c>
      <c r="DS70">
        <f>'TEA Revised Non EYZ'!CR70</f>
        <v>1662824.8986326549</v>
      </c>
      <c r="DT70">
        <f>'TEA Revised Non EYZ'!CS70</f>
        <v>800322.53402245743</v>
      </c>
      <c r="DU70">
        <f>'TEA Revised Non EYZ'!CT70</f>
        <v>2058257.9318883498</v>
      </c>
      <c r="DV70">
        <f>'TEA Revised Non EYZ'!CU70</f>
        <v>397035.437708179</v>
      </c>
      <c r="DW70">
        <f>'TEA Revised Non EYZ'!CV70</f>
        <v>2457713.856163613</v>
      </c>
      <c r="DX70">
        <f>'TEA Revised Non EYZ'!CW70</f>
        <v>290171.30437591631</v>
      </c>
      <c r="DY70">
        <f>'TEA Revised Non EYZ'!CX70</f>
        <v>6003501.064158516</v>
      </c>
      <c r="DZ70">
        <f>'TEA Revised Non EYZ'!CY70</f>
        <v>884649.34487489494</v>
      </c>
      <c r="EA70">
        <f>'TEA Revised Non EYZ'!CZ70</f>
        <v>2275128.4058902822</v>
      </c>
      <c r="EB70">
        <f>'TEA Revised Non EYZ'!DA70</f>
        <v>438869.48689964274</v>
      </c>
      <c r="EC70">
        <f>'TEA Revised Non EYZ'!DB70</f>
        <v>2716673.4164254861</v>
      </c>
      <c r="ED70">
        <f>'TEA Revised Non EYZ'!DC70</f>
        <v>320745.50372518308</v>
      </c>
      <c r="EE70">
        <f>'TEA Revised Non EYZ'!DD70</f>
        <v>6636066.157815489</v>
      </c>
      <c r="EF70">
        <v>0.7</v>
      </c>
      <c r="EG70">
        <v>100</v>
      </c>
      <c r="EH70">
        <f>96485*BL70*V70/EF70/EG70/60</f>
        <v>25.198785281986165</v>
      </c>
      <c r="EI70">
        <f>96485*BN70*BA70/EF70/EG70/60</f>
        <v>45.227842439463828</v>
      </c>
      <c r="EJ70">
        <f>EH70*('CAPEX+OPEX'!$O$25+'CAPEX+OPEX'!$O$26)</f>
        <v>803135.68450746301</v>
      </c>
      <c r="EK70">
        <f>EI70*('CAPEX+OPEX'!$O$25+'CAPEX+OPEX'!$O$26)</f>
        <v>1441501.794230591</v>
      </c>
      <c r="EL70">
        <f>EJ70*1.12/0.6*'CAPEX+OPEX'!$G$116/'CAPEX+OPEX'!$G$115</f>
        <v>1768228.0006537526</v>
      </c>
      <c r="EM70">
        <f>EK70*1.12/0.6*'CAPEX+OPEX'!$G$116/'CAPEX+OPEX'!$G$115</f>
        <v>3173690.1805257415</v>
      </c>
      <c r="EN70">
        <f>EL70+EM70+DY70+EE70+1.15*(SUM(DF70:DM70)+SUM(CF70:CI70))</f>
        <v>17686762.040138736</v>
      </c>
      <c r="EO70">
        <f>EN70/15</f>
        <v>1179117.4693425824</v>
      </c>
      <c r="EP70">
        <f>('eLLE Bals'!CB70+'eLLE Bals'!CC70)*'Oxidant Feed Composition'!$N$25*60*7200</f>
        <v>12344763.548331674</v>
      </c>
      <c r="EQ70" s="83">
        <f>('eLLE Bals'!BR70+'eLLE Bals'!BY70)*'Reagent cost'!$C$38*60*7200</f>
        <v>505324.56587316666</v>
      </c>
      <c r="ER70">
        <f>'TEA Revised Non EYZ'!DI70</f>
        <v>504921.59999999998</v>
      </c>
      <c r="ES70">
        <f>'TEA Revised Non EYZ'!DJ70</f>
        <v>104.61992932410362</v>
      </c>
      <c r="ET70">
        <f>'TEA Revised Non EYZ'!DK70</f>
        <v>1199.4695739318101</v>
      </c>
      <c r="EU70">
        <f>1.2*SUM(EP70:ET70)</f>
        <v>16027576.564449716</v>
      </c>
      <c r="EV70">
        <f>'TEA Revised Non EYZ'!DM70</f>
        <v>0.70639694042110623</v>
      </c>
      <c r="EW70">
        <f>(BS70*CO70+BT70*CP70)/1000*('Oxidant Feed Composition'!$B$11*'Oxidant Feed Composition'!$O$20+'Oxidant Feed Composition'!$D$11*'Oxidant Feed Composition'!$O$21+'Oxidant Feed Composition'!$F$11*'Oxidant Feed Composition'!$O$27-'Oxidant Feed Composition'!$J$15*18.015)</f>
        <v>1.7901183372152811</v>
      </c>
      <c r="EX70">
        <f>(CZ70*BX70+DC70*BZ70)*368.34/1000</f>
        <v>0.10200510816410356</v>
      </c>
      <c r="EY70">
        <f>'TEA Revised Non EYZ'!DP70</f>
        <v>4.999938342565946E-2</v>
      </c>
      <c r="EZ70">
        <f>SUM(EV70:EX70)-EY70</f>
        <v>2.5485210023748315</v>
      </c>
      <c r="FA70">
        <f>EZ70*0.33*60*7200</f>
        <v>363317.15409855603</v>
      </c>
      <c r="FB70">
        <f>'TEA Revised Non EYZ'!DS70</f>
        <v>1.2</v>
      </c>
      <c r="FC70">
        <v>0.5</v>
      </c>
      <c r="FD70">
        <f>'TEA Revised Non EYZ'!DT70</f>
        <v>1405.8886873017445</v>
      </c>
      <c r="FE70">
        <f>'TEA Revised Non EYZ'!DU70</f>
        <v>705.8151344605501</v>
      </c>
      <c r="FF70">
        <f>'TEA Revised Non EYZ'!DV70</f>
        <v>0.7</v>
      </c>
      <c r="FG70">
        <f>'TEA Revised Non EYZ'!DW70</f>
        <v>44032.441905260595</v>
      </c>
      <c r="FH70">
        <f>'TEA Revised Non EYZ'!DX70</f>
        <v>41526.098972294596</v>
      </c>
      <c r="FI70">
        <f>'TEA Revised Non EYZ'!DY70</f>
        <v>17581.614484237631</v>
      </c>
      <c r="FJ70">
        <f>'TEA Revised Non EYZ'!DZ70</f>
        <v>9313.4716969742931</v>
      </c>
      <c r="FK70">
        <f>'TEA Revised Non EYZ'!EA70</f>
        <v>9376.8610582600722</v>
      </c>
      <c r="FL70">
        <f>'TEA Revised Non EYZ'!EB70</f>
        <v>850.28147808009521</v>
      </c>
      <c r="FM70">
        <f>'TEA Revised Non EYZ'!EC70</f>
        <v>48856.211814596048</v>
      </c>
      <c r="FN70">
        <f>'TEA Revised Non EYZ'!ED70</f>
        <v>50432.306691973587</v>
      </c>
      <c r="FO70">
        <f>'TEA Revised Non EYZ'!EE70</f>
        <v>21352.387913940427</v>
      </c>
      <c r="FP70">
        <f>'TEA Revised Non EYZ'!EF70</f>
        <v>11317.252104018999</v>
      </c>
      <c r="FQ70">
        <f>'TEA Revised Non EYZ'!EG70</f>
        <v>11387.940220768229</v>
      </c>
      <c r="FR70">
        <f>'TEA Revised Non EYZ'!EH70</f>
        <v>426.87699332174071</v>
      </c>
      <c r="FS70">
        <f>'TEA Revised Non EYZ'!EI70</f>
        <v>266453.74533372629</v>
      </c>
      <c r="FT70">
        <f>EG70*EH70</f>
        <v>2519.8785281986166</v>
      </c>
      <c r="FU70">
        <f>EG70*EI70</f>
        <v>4522.784243946383</v>
      </c>
      <c r="FV70">
        <f>FC70*(FT70+FU70)/(3.6*10^6)*3600*7200*0.07</f>
        <v>1774.7510185805399</v>
      </c>
      <c r="FW70">
        <f>('CAPEX+OPEX'!$C$39/7/100+0.03)*EL70</f>
        <v>90937.440033621562</v>
      </c>
      <c r="FX70">
        <f>('CAPEX+OPEX'!$C$39/7/100+0.03)*EM70</f>
        <v>163218.35214132385</v>
      </c>
      <c r="FY70">
        <f>SUM(FV70:FX70)</f>
        <v>255930.54319352595</v>
      </c>
      <c r="FZ70">
        <f>FY70+FA70+FS70+EU70</f>
        <v>16913278.007075526</v>
      </c>
      <c r="GA70">
        <f>FZ70+EO70</f>
        <v>18092395.476418108</v>
      </c>
      <c r="GB70">
        <f>GA70/(BK70*60*7200)</f>
        <v>0.41880545084301174</v>
      </c>
      <c r="GC70">
        <f>'TEA Revised Non EYZ'!EM70/'TEA Revised Non EYZ'!EK70*GA70</f>
        <v>1401.099370744924</v>
      </c>
      <c r="GD70">
        <f>'TEA Revised Non EYZ'!EN70/'TEA Revised Non EYZ'!EK70*GA70</f>
        <v>2571.3195869260571</v>
      </c>
    </row>
    <row r="71" spans="1:186">
      <c r="A71">
        <f>'TEA Revised Non EYZ'!A71</f>
        <v>9</v>
      </c>
      <c r="B71">
        <f>'TEA Revised Non EYZ'!B71</f>
        <v>1.54143585092054E-3</v>
      </c>
      <c r="C71">
        <f>'TEA Revised Non EYZ'!C71</f>
        <v>1.54143585092054E-3</v>
      </c>
      <c r="D71">
        <f>'TEA Revised Non EYZ'!D71</f>
        <v>3.4254130020456501E-4</v>
      </c>
      <c r="E71">
        <f>'TEA Revised Non EYZ'!E71</f>
        <v>0</v>
      </c>
      <c r="F71">
        <f>'TEA Revised Non EYZ'!F71</f>
        <v>0</v>
      </c>
      <c r="G71">
        <f>'TEA Revised Non EYZ'!G71</f>
        <v>0</v>
      </c>
      <c r="H71">
        <f>'TEA Revised Non EYZ'!H71</f>
        <v>1.7768596981705501E-5</v>
      </c>
      <c r="I71">
        <f>'TEA Revised Non EYZ'!I71</f>
        <v>1.5331283704498101E-9</v>
      </c>
      <c r="J71">
        <f>'TEA Revised Non EYZ'!J71</f>
        <v>3.3763247208936601E-4</v>
      </c>
      <c r="K71">
        <f>'TEA Revised Non EYZ'!K71</f>
        <v>0.13890601070001499</v>
      </c>
      <c r="L71">
        <f>'TEA Revised Non EYZ'!L71</f>
        <v>0.14052575540227799</v>
      </c>
      <c r="M71">
        <f>'TEA Revised Non EYZ'!M71</f>
        <v>4.4751616793740602E-4</v>
      </c>
      <c r="N71">
        <f>'TEA Revised Non EYZ'!N71</f>
        <v>-5.0090140368830299E-17</v>
      </c>
      <c r="O71">
        <f>'TEA Revised Non EYZ'!O71</f>
        <v>-6.2343793322261397E-15</v>
      </c>
      <c r="P71">
        <f>'TEA Revised Non EYZ'!P71</f>
        <v>1.7787691892340301E-20</v>
      </c>
      <c r="Q71">
        <f>'TEA Revised Non EYZ'!Q71</f>
        <v>0.10969051996097</v>
      </c>
      <c r="R71">
        <f>'TEA Revised Non EYZ'!R71</f>
        <v>98.566938318892298</v>
      </c>
      <c r="S71">
        <f>'TEA Revised Non EYZ'!S71</f>
        <v>500</v>
      </c>
      <c r="T71">
        <f>'TEA Revised Non EYZ'!T71</f>
        <v>95</v>
      </c>
      <c r="U71">
        <f>'TEA Revised Non EYZ'!U71</f>
        <v>1</v>
      </c>
      <c r="V71">
        <f>'TEA Revised Non EYZ'!V71</f>
        <v>0.1</v>
      </c>
      <c r="W71">
        <f>'TEA Revised Non EYZ'!W71</f>
        <v>91.165581160141301</v>
      </c>
      <c r="X71" t="str">
        <f>'TEA Revised Non EYZ'!X71</f>
        <v>ddFc</v>
      </c>
      <c r="Y71">
        <f>'TEA Revised Non EYZ'!Y71</f>
        <v>1</v>
      </c>
      <c r="Z71">
        <f>'TEA Revised Non EYZ'!Z71</f>
        <v>0.28318429382522198</v>
      </c>
      <c r="AA71">
        <f>'TEA Revised Non EYZ'!AA71</f>
        <v>0.56945642916197003</v>
      </c>
      <c r="AB71">
        <f>'TEA Revised Non EYZ'!AB71</f>
        <v>3.7698628972227502E-3</v>
      </c>
      <c r="AC71">
        <f>'TEA Revised Non EYZ'!AC71</f>
        <v>1822.2107908876901</v>
      </c>
      <c r="AD71">
        <f>'TEA Revised Non EYZ'!AD71</f>
        <v>2662.6059073104898</v>
      </c>
      <c r="AE71">
        <f>'TEA Revised Non EYZ'!AE71</f>
        <v>2401.5030938442701</v>
      </c>
      <c r="AF71">
        <f>'TEA Revised Non EYZ'!AF71</f>
        <v>13</v>
      </c>
      <c r="AG71">
        <f>'TEA Revised Non EYZ'!AG71</f>
        <v>1.6497485970141401E-3</v>
      </c>
      <c r="AH71">
        <f>'TEA Revised Non EYZ'!AH71</f>
        <v>1.6689858606617799E-3</v>
      </c>
      <c r="AI71">
        <f>'TEA Revised Non EYZ'!AI71</f>
        <v>5.3150268046377499E-6</v>
      </c>
      <c r="AJ71">
        <f>'TEA Revised Non EYZ'!AJ71</f>
        <v>0</v>
      </c>
      <c r="AK71">
        <f>'TEA Revised Non EYZ'!AK71</f>
        <v>0</v>
      </c>
      <c r="AL71">
        <f>'TEA Revised Non EYZ'!AL71</f>
        <v>0</v>
      </c>
      <c r="AM71">
        <f>'TEA Revised Non EYZ'!AM71</f>
        <v>1.6128015126361699E-3</v>
      </c>
      <c r="AN71">
        <f>'TEA Revised Non EYZ'!AN71</f>
        <v>7.9604217415409805E-5</v>
      </c>
      <c r="AO71">
        <f>'TEA Revised Non EYZ'!AO71</f>
        <v>5.2800727233350599E-6</v>
      </c>
      <c r="AP71">
        <f>'TEA Revised Non EYZ'!AP71</f>
        <v>1.7332371372774599E-3</v>
      </c>
      <c r="AQ71">
        <f>'TEA Revised Non EYZ'!AQ71</f>
        <v>7.4560018354909094E-2</v>
      </c>
      <c r="AR71">
        <f>'TEA Revised Non EYZ'!AR71</f>
        <v>1.6397426977852001E-6</v>
      </c>
      <c r="AS71">
        <f>'TEA Revised Non EYZ'!AS71</f>
        <v>2.84603070277444E-19</v>
      </c>
      <c r="AT71">
        <f>'TEA Revised Non EYZ'!AT71</f>
        <v>-1.2576745200831801E-17</v>
      </c>
      <c r="AU71">
        <f>'TEA Revised Non EYZ'!AU71</f>
        <v>8.8673761665684492E-22</v>
      </c>
      <c r="AV71">
        <f>'TEA Revised Non EYZ'!AV71</f>
        <v>0.196876804972202</v>
      </c>
      <c r="AW71">
        <f>'TEA Revised Non EYZ'!AW71</f>
        <v>99.342353621393102</v>
      </c>
      <c r="AX71">
        <f>'TEA Revised Non EYZ'!AX71</f>
        <v>500</v>
      </c>
      <c r="AY71">
        <f>'TEA Revised Non EYZ'!AY71</f>
        <v>95</v>
      </c>
      <c r="AZ71">
        <f>'TEA Revised Non EYZ'!AZ71</f>
        <v>0.92357542033771201</v>
      </c>
      <c r="BA71">
        <f>'TEA Revised Non EYZ'!BA71</f>
        <v>0.1</v>
      </c>
      <c r="BB71">
        <f>'TEA Revised Non EYZ'!BB71</f>
        <v>46.911337293802198</v>
      </c>
      <c r="BC71" t="str">
        <f>'TEA Revised Non EYZ'!BC71</f>
        <v>coeFc</v>
      </c>
      <c r="BD71">
        <f>'TEA Revised Non EYZ'!BD71</f>
        <v>1</v>
      </c>
      <c r="BE71">
        <f>'TEA Revised Non EYZ'!BE71</f>
        <v>1.8775014999999999E-2</v>
      </c>
      <c r="BF71">
        <f>'TEA Revised Non EYZ'!BF71</f>
        <v>0.10492961100000001</v>
      </c>
      <c r="BG71">
        <f>'TEA Revised Non EYZ'!BG71</f>
        <v>1.814625E-3</v>
      </c>
      <c r="BH71">
        <f>'TEA Revised Non EYZ'!BH71</f>
        <v>285.1951444</v>
      </c>
      <c r="BI71">
        <f>'TEA Revised Non EYZ'!BI71</f>
        <v>2169.8944889999998</v>
      </c>
      <c r="BJ71">
        <f>'TEA Revised Non EYZ'!BJ71</f>
        <v>866.49409060000005</v>
      </c>
      <c r="BK71">
        <f>'TEA Revised Non EYZ'!BK71</f>
        <v>100</v>
      </c>
      <c r="BL71">
        <f>'TEA Revised Non EYZ'!BL71</f>
        <v>10.969051996096999</v>
      </c>
      <c r="BM71">
        <f>'TEA Revised Non EYZ'!BM71</f>
        <v>92.357542033771196</v>
      </c>
      <c r="BN71">
        <f>'TEA Revised Non EYZ'!BN71</f>
        <v>19.6876804972202</v>
      </c>
      <c r="BO71">
        <f>'TEA Revised Non EYZ'!BO71</f>
        <v>241.31914391413397</v>
      </c>
      <c r="BP71">
        <f>'TEA Revised Non EYZ'!BP71</f>
        <v>590.63041491660601</v>
      </c>
      <c r="BQ71">
        <f>'TEA Revised Non EYZ'!BQ71</f>
        <v>24.1319143914134</v>
      </c>
      <c r="BR71">
        <f>'TEA Revised Non EYZ'!BR71</f>
        <v>59.063041491660606</v>
      </c>
      <c r="BS71">
        <f>'eLLE Bals'!CF71</f>
        <v>6.5814311976581994</v>
      </c>
      <c r="BT71">
        <f>'eLLE Bals'!CG71</f>
        <v>11.812608298332119</v>
      </c>
      <c r="BU71">
        <f>BM71</f>
        <v>92.357542033771196</v>
      </c>
      <c r="BV71">
        <f>BU71*(AM71*2+AN71*2+AO71*3)</f>
        <v>0.31407583031832836</v>
      </c>
      <c r="BW71">
        <f>BN71*BA71*(AP71*2+AQ71*2+AR71*3)</f>
        <v>0.30041713246369134</v>
      </c>
      <c r="BX71">
        <f>BV71/(2*V71*BL71+BV71)</f>
        <v>0.12523527846644827</v>
      </c>
      <c r="BY71">
        <f>BU71*BX71</f>
        <v>11.566422495076036</v>
      </c>
      <c r="BZ71">
        <f>BW71/(2*BN71*BA71+BW71)</f>
        <v>7.0887316594680158E-2</v>
      </c>
      <c r="CA71">
        <f>2*BN71*BA71/0.04</f>
        <v>98.438402486100998</v>
      </c>
      <c r="CB71">
        <f>(BS71+BL71)*2</f>
        <v>35.100966387510397</v>
      </c>
      <c r="CC71">
        <f>(BU71+BL71)*2</f>
        <v>206.65318805973638</v>
      </c>
      <c r="CD71">
        <f>(BT71+BN71)*2</f>
        <v>63.000577591104637</v>
      </c>
      <c r="CE71">
        <f>(CA71+BN71)*2</f>
        <v>236.25216596664239</v>
      </c>
      <c r="CF71">
        <f>'TEA Revised Non EYZ'!CB71</f>
        <v>3185.4126996665682</v>
      </c>
      <c r="CG71">
        <f>'TEA Revised Non EYZ'!CC71</f>
        <v>7796.3214768992002</v>
      </c>
      <c r="CH71">
        <f>'TEA Revised Non EYZ'!CD71</f>
        <v>3848.5686313477631</v>
      </c>
      <c r="CI71">
        <f>'TEA Revised Non EYZ'!CE71</f>
        <v>60133.720475132257</v>
      </c>
      <c r="CJ71">
        <f>BL71*V71</f>
        <v>1.0969051996096999</v>
      </c>
      <c r="CK71">
        <f>CJ71/2*1.2</f>
        <v>0.65814311976581996</v>
      </c>
      <c r="CL71">
        <f>'eLLE Bals'!CB71*'Oxidant Feed Composition'!$N$20</f>
        <v>3.656350665365668E-2</v>
      </c>
      <c r="CM71">
        <f>'eLLE Bals'!CB71*'Oxidant Feed Composition'!$N$21</f>
        <v>1.8281753326828334</v>
      </c>
      <c r="CN71">
        <f>'eLLE Bals'!CB71*'Oxidant Feed Composition'!$N$22</f>
        <v>0.54845259980484995</v>
      </c>
      <c r="CO71">
        <f>CN71/CK71</f>
        <v>0.83333333333333326</v>
      </c>
      <c r="CP71">
        <f>CO71</f>
        <v>0.83333333333333326</v>
      </c>
      <c r="CQ71">
        <f>CL71/CO71</f>
        <v>4.3876207984388023E-2</v>
      </c>
      <c r="CR71">
        <f>CM71/CO71</f>
        <v>2.1938103992194002</v>
      </c>
      <c r="CS71">
        <f>BN71*BA71</f>
        <v>1.9687680497220201</v>
      </c>
      <c r="CT71">
        <f>CS71/2*1.2</f>
        <v>1.1812608298332121</v>
      </c>
      <c r="CU71">
        <f>'eLLE Bals'!CC71*'Oxidant Feed Composition'!$N$20</f>
        <v>6.5625601657400695E-2</v>
      </c>
      <c r="CV71">
        <f>'eLLE Bals'!CC71*'Oxidant Feed Composition'!$N$21</f>
        <v>3.2812800828700337</v>
      </c>
      <c r="CW71">
        <f>'eLLE Bals'!CC71*'Oxidant Feed Composition'!$N$22</f>
        <v>0.98438402486101007</v>
      </c>
      <c r="CX71">
        <f>CU71/CP71</f>
        <v>7.8750721988880848E-2</v>
      </c>
      <c r="CY71">
        <f>CV71/CP71</f>
        <v>3.9375360994440407</v>
      </c>
      <c r="CZ71">
        <f>CJ71</f>
        <v>1.0969051996096999</v>
      </c>
      <c r="DA71">
        <f>'eLLE Bals'!BQ71</f>
        <v>2.1938103992193998</v>
      </c>
      <c r="DB71">
        <f>'eLLE Bals'!BU71</f>
        <v>5.4680400253185892</v>
      </c>
      <c r="DC71">
        <f>CS71</f>
        <v>1.9687680497220201</v>
      </c>
      <c r="DD71">
        <f>'eLLE Bals'!BX71</f>
        <v>3.9375360994440403</v>
      </c>
      <c r="DE71">
        <f>'eLLE Bals'!CA71</f>
        <v>21.866901895281231</v>
      </c>
      <c r="DF71">
        <f>2*2*(CJ71*'Reagent cost'!$C$36*122.44/1000+CK71*'Oxidant Feed Composition'!$N$26+CQ71*'Reagent cost'!$C$34+CR71*'Reagent cost'!$C$35)</f>
        <v>92.653072140924976</v>
      </c>
      <c r="DG71">
        <f>2*2*(CS71*'Reagent cost'!$C$36*122.44/1000+CT71*'Oxidant Feed Composition'!$N$26+CX71*'Reagent cost'!$C$34+CY71*'Reagent cost'!$C$35)</f>
        <v>166.29733198871554</v>
      </c>
      <c r="DH71">
        <f>(AF71+3)*2*(CZ71*'Reagent cost'!$C$38+DA71*'Reagent cost'!$C$39+DB71*'Reagent cost'!$C$36*122.44/1000)</f>
        <v>1669.4464675176557</v>
      </c>
      <c r="DI71">
        <f>3*2*(DC71*'Reagent cost'!$C$38+DD71*'Reagent cost'!$C$39+DE71*'Reagent cost'!$C$36*122.44/1000)</f>
        <v>1187.1175145927782</v>
      </c>
      <c r="DJ71">
        <f>7963.6*(CB71/1000)^0.6*1.7*('CAPEX+OPEX'!$G$116/'CAPEX+OPEX'!$G$115)</f>
        <v>2140.0916471558648</v>
      </c>
      <c r="DK71">
        <f>7963.6*(CC71/1000)^0.6*1.7*('CAPEX+OPEX'!$G$116/'CAPEX+OPEX'!$G$115)</f>
        <v>6199.9215410229135</v>
      </c>
      <c r="DL71">
        <f>7963.6*(CD71/1000)^0.6*1.7*('CAPEX+OPEX'!$G$116/'CAPEX+OPEX'!$G$115)</f>
        <v>3039.8184494757229</v>
      </c>
      <c r="DM71">
        <f>7963.6*(CE71/1000)^0.6*1.7*('CAPEX+OPEX'!$G$116/'CAPEX+OPEX'!$G$115)</f>
        <v>6718.4085062333661</v>
      </c>
      <c r="DN71">
        <f>'TEA Revised Non EYZ'!CM71</f>
        <v>39625.826528698344</v>
      </c>
      <c r="DO71">
        <f>'TEA Revised Non EYZ'!CN71</f>
        <v>4586243.4239371875</v>
      </c>
      <c r="DP71">
        <f>'TEA Revised Non EYZ'!CO71</f>
        <v>11794834.586807497</v>
      </c>
      <c r="DQ71">
        <f>'TEA Revised Non EYZ'!CP71</f>
        <v>2275209.1661185985</v>
      </c>
      <c r="DR71">
        <f>'TEA Revised Non EYZ'!CQ71</f>
        <v>14083914.336508472</v>
      </c>
      <c r="DS71">
        <f>'TEA Revised Non EYZ'!CR71</f>
        <v>1662824.8986326549</v>
      </c>
      <c r="DT71">
        <f>'TEA Revised Non EYZ'!CS71</f>
        <v>800322.53402245743</v>
      </c>
      <c r="DU71">
        <f>'TEA Revised Non EYZ'!CT71</f>
        <v>2058257.9318883498</v>
      </c>
      <c r="DV71">
        <f>'TEA Revised Non EYZ'!CU71</f>
        <v>397035.437708179</v>
      </c>
      <c r="DW71">
        <f>'TEA Revised Non EYZ'!CV71</f>
        <v>2457713.856163613</v>
      </c>
      <c r="DX71">
        <f>'TEA Revised Non EYZ'!CW71</f>
        <v>290171.30437591631</v>
      </c>
      <c r="DY71">
        <f>'TEA Revised Non EYZ'!CX71</f>
        <v>6003501.064158516</v>
      </c>
      <c r="DZ71">
        <f>'TEA Revised Non EYZ'!CY71</f>
        <v>924872.72116447624</v>
      </c>
      <c r="EA71">
        <f>'TEA Revised Non EYZ'!CZ71</f>
        <v>2378574.3039824599</v>
      </c>
      <c r="EB71">
        <f>'TEA Revised Non EYZ'!DA71</f>
        <v>458824.07412208192</v>
      </c>
      <c r="EC71">
        <f>'TEA Revised Non EYZ'!DB71</f>
        <v>2840195.5528718065</v>
      </c>
      <c r="ED71">
        <f>'TEA Revised Non EYZ'!DC71</f>
        <v>335329.21100340848</v>
      </c>
      <c r="EE71">
        <f>'TEA Revised Non EYZ'!DD71</f>
        <v>6937795.8631442329</v>
      </c>
      <c r="EF71">
        <v>0.7</v>
      </c>
      <c r="EG71">
        <v>100</v>
      </c>
      <c r="EH71">
        <f>96485*BL71*V71/EF71/EG71/60</f>
        <v>25.198785281986165</v>
      </c>
      <c r="EI71">
        <f>96485*BN71*BA71/EF71/EG71/60</f>
        <v>45.227758399387888</v>
      </c>
      <c r="EJ71">
        <f>EH71*('CAPEX+OPEX'!$O$25+'CAPEX+OPEX'!$O$26)</f>
        <v>803135.68450746301</v>
      </c>
      <c r="EK71">
        <f>EI71*('CAPEX+OPEX'!$O$25+'CAPEX+OPEX'!$O$26)</f>
        <v>1441499.1157052908</v>
      </c>
      <c r="EL71">
        <f>EJ71*1.12/0.6*'CAPEX+OPEX'!$G$116/'CAPEX+OPEX'!$G$115</f>
        <v>1768228.0006537526</v>
      </c>
      <c r="EM71">
        <f>EK71*1.12/0.6*'CAPEX+OPEX'!$G$116/'CAPEX+OPEX'!$G$115</f>
        <v>3173684.2833361039</v>
      </c>
      <c r="EN71">
        <f>EL71+EM71+DY71+EE71+1.15*(SUM(DF71:DM71)+SUM(CF71:CI71))</f>
        <v>17993813.655777756</v>
      </c>
      <c r="EO71">
        <f>EN71/15</f>
        <v>1199587.5770518505</v>
      </c>
      <c r="EP71">
        <f>('eLLE Bals'!CB71+'eLLE Bals'!CC71)*'Oxidant Feed Composition'!$N$25*60*7200</f>
        <v>12344748.817328649</v>
      </c>
      <c r="EQ71" s="83">
        <f>('eLLE Bals'!BR71+'eLLE Bals'!BY71)*'Reagent cost'!$C$38*60*7200</f>
        <v>505324.52804172848</v>
      </c>
      <c r="ER71">
        <f>'TEA Revised Non EYZ'!DI71</f>
        <v>504921.59999999998</v>
      </c>
      <c r="ES71">
        <f>'TEA Revised Non EYZ'!DJ71</f>
        <v>109.8173417656577</v>
      </c>
      <c r="ET71">
        <f>'TEA Revised Non EYZ'!DK71</f>
        <v>1279.6457821296005</v>
      </c>
      <c r="EU71">
        <f>1.2*SUM(EP71:ET71)</f>
        <v>16027661.290193126</v>
      </c>
      <c r="EV71">
        <f>'TEA Revised Non EYZ'!DM71</f>
        <v>0.70639694042110623</v>
      </c>
      <c r="EW71">
        <f>(BS71*CO71+BT71*CP71)/1000*('Oxidant Feed Composition'!$B$11*'Oxidant Feed Composition'!$O$20+'Oxidant Feed Composition'!$D$11*'Oxidant Feed Composition'!$O$21+'Oxidant Feed Composition'!$F$11*'Oxidant Feed Composition'!$O$27-'Oxidant Feed Composition'!$J$15*18.015)</f>
        <v>1.7901162010675504</v>
      </c>
      <c r="EX71">
        <f>(CZ71*BX71+DC71*BZ71)*368.34/1000</f>
        <v>0.10200510052742763</v>
      </c>
      <c r="EY71">
        <f>'TEA Revised Non EYZ'!DP71</f>
        <v>4.999938342565946E-2</v>
      </c>
      <c r="EZ71">
        <f>SUM(EV71:EX71)-EY71</f>
        <v>2.548518858590425</v>
      </c>
      <c r="FA71">
        <f>EZ71*0.33*60*7200</f>
        <v>363316.84848065104</v>
      </c>
      <c r="FB71">
        <f>'TEA Revised Non EYZ'!DS71</f>
        <v>1.2</v>
      </c>
      <c r="FC71">
        <v>0.5</v>
      </c>
      <c r="FD71">
        <f>'TEA Revised Non EYZ'!DT71</f>
        <v>1405.8889016994299</v>
      </c>
      <c r="FE71">
        <f>'TEA Revised Non EYZ'!DU71</f>
        <v>705.8149200453754</v>
      </c>
      <c r="FF71">
        <f>'TEA Revised Non EYZ'!DV71</f>
        <v>0.7</v>
      </c>
      <c r="FG71">
        <f>'TEA Revised Non EYZ'!DW71</f>
        <v>44032.441905260595</v>
      </c>
      <c r="FH71">
        <f>'TEA Revised Non EYZ'!DX71</f>
        <v>41526.098972294596</v>
      </c>
      <c r="FI71">
        <f>'TEA Revised Non EYZ'!DY71</f>
        <v>17581.614484237631</v>
      </c>
      <c r="FJ71">
        <f>'TEA Revised Non EYZ'!DZ71</f>
        <v>9313.4716969742931</v>
      </c>
      <c r="FK71">
        <f>'TEA Revised Non EYZ'!EA71</f>
        <v>9376.8610582600722</v>
      </c>
      <c r="FL71">
        <f>'TEA Revised Non EYZ'!EB71</f>
        <v>850.28160774781531</v>
      </c>
      <c r="FM71">
        <f>'TEA Revised Non EYZ'!EC71</f>
        <v>51427.591383785315</v>
      </c>
      <c r="FN71">
        <f>'TEA Revised Non EYZ'!ED71</f>
        <v>54311.714899048464</v>
      </c>
      <c r="FO71">
        <f>'TEA Revised Non EYZ'!EE71</f>
        <v>22994.879291935842</v>
      </c>
      <c r="FP71">
        <f>'TEA Revised Non EYZ'!EF71</f>
        <v>12187.809958174303</v>
      </c>
      <c r="FQ71">
        <f>'TEA Revised Non EYZ'!EG71</f>
        <v>12263.935622365781</v>
      </c>
      <c r="FR71">
        <f>'TEA Revised Non EYZ'!EH71</f>
        <v>426.87686364344307</v>
      </c>
      <c r="FS71">
        <f>'TEA Revised Non EYZ'!EI71</f>
        <v>276293.57774372824</v>
      </c>
      <c r="FT71">
        <f>EG71*EH71</f>
        <v>2519.8785281986166</v>
      </c>
      <c r="FU71">
        <f>EG71*EI71</f>
        <v>4522.7758399387885</v>
      </c>
      <c r="FV71">
        <f>FC71*(FT71+FU71)/(3.6*10^6)*3600*7200*0.07</f>
        <v>1774.7489007706261</v>
      </c>
      <c r="FW71">
        <f>('CAPEX+OPEX'!$C$39/7/100+0.03)*EL71</f>
        <v>90937.440033621562</v>
      </c>
      <c r="FX71">
        <f>('CAPEX+OPEX'!$C$39/7/100+0.03)*EM71</f>
        <v>163218.04885728535</v>
      </c>
      <c r="FY71">
        <f>SUM(FV71:FX71)</f>
        <v>255930.23779167753</v>
      </c>
      <c r="FZ71">
        <f>FY71+FA71+FS71+EU71</f>
        <v>16923201.954209182</v>
      </c>
      <c r="GA71">
        <f>FZ71+EO71</f>
        <v>18122789.531261034</v>
      </c>
      <c r="GB71">
        <f>GA71/(BK71*60*7200)</f>
        <v>0.41950901692733877</v>
      </c>
      <c r="GC71">
        <f>'TEA Revised Non EYZ'!EM71/'TEA Revised Non EYZ'!EK71*GA71</f>
        <v>1403.4529129572027</v>
      </c>
      <c r="GD71">
        <f>'TEA Revised Non EYZ'!EN71/'TEA Revised Non EYZ'!EK71*GA71</f>
        <v>2575.639958966568</v>
      </c>
    </row>
    <row r="72" spans="1:186">
      <c r="A72">
        <f>'TEA Revised Non EYZ'!A72</f>
        <v>10</v>
      </c>
      <c r="B72">
        <f>'TEA Revised Non EYZ'!B72</f>
        <v>1.54143585092054E-3</v>
      </c>
      <c r="C72">
        <f>'TEA Revised Non EYZ'!C72</f>
        <v>1.54143585092054E-3</v>
      </c>
      <c r="D72">
        <f>'TEA Revised Non EYZ'!D72</f>
        <v>3.4254130020456501E-4</v>
      </c>
      <c r="E72">
        <f>'TEA Revised Non EYZ'!E72</f>
        <v>0</v>
      </c>
      <c r="F72">
        <f>'TEA Revised Non EYZ'!F72</f>
        <v>0</v>
      </c>
      <c r="G72">
        <f>'TEA Revised Non EYZ'!G72</f>
        <v>0</v>
      </c>
      <c r="H72">
        <f>'TEA Revised Non EYZ'!H72</f>
        <v>1.7770671970930099E-5</v>
      </c>
      <c r="I72">
        <f>'TEA Revised Non EYZ'!I72</f>
        <v>5.2649488631162003E-10</v>
      </c>
      <c r="J72">
        <f>'TEA Revised Non EYZ'!J72</f>
        <v>3.3765279177869602E-4</v>
      </c>
      <c r="K72">
        <f>'TEA Revised Non EYZ'!K72</f>
        <v>0.139053960209192</v>
      </c>
      <c r="L72">
        <f>'TEA Revised Non EYZ'!L72</f>
        <v>0.14067571356050099</v>
      </c>
      <c r="M72">
        <f>'TEA Revised Non EYZ'!M72</f>
        <v>4.4613899794023002E-4</v>
      </c>
      <c r="N72">
        <f>'TEA Revised Non EYZ'!N72</f>
        <v>-1.6046192152785399E-16</v>
      </c>
      <c r="O72">
        <f>'TEA Revised Non EYZ'!O72</f>
        <v>-5.9831913729046996E-14</v>
      </c>
      <c r="P72">
        <f>'TEA Revised Non EYZ'!P72</f>
        <v>-6.6915602833089703E-20</v>
      </c>
      <c r="Q72">
        <f>'TEA Revised Non EYZ'!Q72</f>
        <v>0.10957366310586</v>
      </c>
      <c r="R72">
        <f>'TEA Revised Non EYZ'!R72</f>
        <v>98.572870359588904</v>
      </c>
      <c r="S72">
        <f>'TEA Revised Non EYZ'!S72</f>
        <v>500</v>
      </c>
      <c r="T72">
        <f>'TEA Revised Non EYZ'!T72</f>
        <v>95</v>
      </c>
      <c r="U72">
        <f>'TEA Revised Non EYZ'!U72</f>
        <v>1</v>
      </c>
      <c r="V72">
        <f>'TEA Revised Non EYZ'!V72</f>
        <v>0.1</v>
      </c>
      <c r="W72">
        <f>'TEA Revised Non EYZ'!W72</f>
        <v>91.262806376555005</v>
      </c>
      <c r="X72" t="str">
        <f>'TEA Revised Non EYZ'!X72</f>
        <v>ddFc</v>
      </c>
      <c r="Y72">
        <f>'TEA Revised Non EYZ'!Y72</f>
        <v>1</v>
      </c>
      <c r="Z72">
        <f>'TEA Revised Non EYZ'!Z72</f>
        <v>0.28318429382522198</v>
      </c>
      <c r="AA72">
        <f>'TEA Revised Non EYZ'!AA72</f>
        <v>0.56945642916197003</v>
      </c>
      <c r="AB72">
        <f>'TEA Revised Non EYZ'!AB72</f>
        <v>3.7698628972227502E-3</v>
      </c>
      <c r="AC72">
        <f>'TEA Revised Non EYZ'!AC72</f>
        <v>1822.2107908876901</v>
      </c>
      <c r="AD72">
        <f>'TEA Revised Non EYZ'!AD72</f>
        <v>2662.6059073104898</v>
      </c>
      <c r="AE72">
        <f>'TEA Revised Non EYZ'!AE72</f>
        <v>2401.5030938442701</v>
      </c>
      <c r="AF72">
        <f>'TEA Revised Non EYZ'!AF72</f>
        <v>4</v>
      </c>
      <c r="AG72">
        <f>'TEA Revised Non EYZ'!AG72</f>
        <v>1.6497548842793E-3</v>
      </c>
      <c r="AH72">
        <f>'TEA Revised Non EYZ'!AH72</f>
        <v>1.66899558413707E-3</v>
      </c>
      <c r="AI72">
        <f>'TEA Revised Non EYZ'!AI72</f>
        <v>5.2930530695573503E-6</v>
      </c>
      <c r="AJ72">
        <f>'TEA Revised Non EYZ'!AJ72</f>
        <v>0</v>
      </c>
      <c r="AK72">
        <f>'TEA Revised Non EYZ'!AK72</f>
        <v>0</v>
      </c>
      <c r="AL72">
        <f>'TEA Revised Non EYZ'!AL72</f>
        <v>0</v>
      </c>
      <c r="AM72">
        <f>'TEA Revised Non EYZ'!AM72</f>
        <v>1.6048413033404E-3</v>
      </c>
      <c r="AN72">
        <f>'TEA Revised Non EYZ'!AN72</f>
        <v>7.9214281912587002E-5</v>
      </c>
      <c r="AO72">
        <f>'TEA Revised Non EYZ'!AO72</f>
        <v>5.2510498442721197E-6</v>
      </c>
      <c r="AP72">
        <f>'TEA Revised Non EYZ'!AP72</f>
        <v>1.9874301532163399E-3</v>
      </c>
      <c r="AQ72">
        <f>'TEA Revised Non EYZ'!AQ72</f>
        <v>7.0347971160411499E-2</v>
      </c>
      <c r="AR72">
        <f>'TEA Revised Non EYZ'!AR72</f>
        <v>1.8586466433211301E-6</v>
      </c>
      <c r="AS72">
        <f>'TEA Revised Non EYZ'!AS72</f>
        <v>-9.4990475988515606E-15</v>
      </c>
      <c r="AT72">
        <f>'TEA Revised Non EYZ'!AT72</f>
        <v>-1.2249511301132201E-13</v>
      </c>
      <c r="AU72">
        <f>'TEA Revised Non EYZ'!AU72</f>
        <v>-3.0412916494512601E-18</v>
      </c>
      <c r="AV72">
        <f>'TEA Revised Non EYZ'!AV72</f>
        <v>0.20871608876883399</v>
      </c>
      <c r="AW72">
        <f>'TEA Revised Non EYZ'!AW72</f>
        <v>99.206446171363694</v>
      </c>
      <c r="AX72">
        <f>'TEA Revised Non EYZ'!AX72</f>
        <v>500</v>
      </c>
      <c r="AY72">
        <f>'TEA Revised Non EYZ'!AY72</f>
        <v>95</v>
      </c>
      <c r="AZ72">
        <f>'TEA Revised Non EYZ'!AZ72</f>
        <v>0.92357064280818002</v>
      </c>
      <c r="BA72">
        <f>'TEA Revised Non EYZ'!BA72</f>
        <v>0.1</v>
      </c>
      <c r="BB72">
        <f>'TEA Revised Non EYZ'!BB72</f>
        <v>44.250093428642501</v>
      </c>
      <c r="BC72" t="str">
        <f>'TEA Revised Non EYZ'!BC72</f>
        <v>coeFc</v>
      </c>
      <c r="BD72">
        <f>'TEA Revised Non EYZ'!BD72</f>
        <v>1</v>
      </c>
      <c r="BE72">
        <f>'TEA Revised Non EYZ'!BE72</f>
        <v>1.8775014999999999E-2</v>
      </c>
      <c r="BF72">
        <f>'TEA Revised Non EYZ'!BF72</f>
        <v>0.10492961100000001</v>
      </c>
      <c r="BG72">
        <f>'TEA Revised Non EYZ'!BG72</f>
        <v>1.814625E-3</v>
      </c>
      <c r="BH72">
        <f>'TEA Revised Non EYZ'!BH72</f>
        <v>285.1951444</v>
      </c>
      <c r="BI72">
        <f>'TEA Revised Non EYZ'!BI72</f>
        <v>2169.8944889999998</v>
      </c>
      <c r="BJ72">
        <f>'TEA Revised Non EYZ'!BJ72</f>
        <v>866.49409060000005</v>
      </c>
      <c r="BK72">
        <f>'TEA Revised Non EYZ'!BK72</f>
        <v>100</v>
      </c>
      <c r="BL72">
        <f>'TEA Revised Non EYZ'!BL72</f>
        <v>10.957366310586</v>
      </c>
      <c r="BM72">
        <f>'TEA Revised Non EYZ'!BM72</f>
        <v>92.357064280818008</v>
      </c>
      <c r="BN72">
        <f>'TEA Revised Non EYZ'!BN72</f>
        <v>20.8716088768834</v>
      </c>
      <c r="BO72">
        <f>'TEA Revised Non EYZ'!BO72</f>
        <v>262.97679145406403</v>
      </c>
      <c r="BP72">
        <f>'TEA Revised Non EYZ'!BP72</f>
        <v>250.4593065226008</v>
      </c>
      <c r="BQ72">
        <f>'TEA Revised Non EYZ'!BQ72</f>
        <v>26.297679145406406</v>
      </c>
      <c r="BR72">
        <f>'TEA Revised Non EYZ'!BR72</f>
        <v>25.045930652260083</v>
      </c>
      <c r="BS72">
        <f>'eLLE Bals'!CF72</f>
        <v>6.5744197863515996</v>
      </c>
      <c r="BT72">
        <f>'eLLE Bals'!CG72</f>
        <v>12.52296532613004</v>
      </c>
      <c r="BU72">
        <f>BM72</f>
        <v>92.357064280818008</v>
      </c>
      <c r="BV72">
        <f>BU72*(AM72*2+AN72*2+AO72*3)</f>
        <v>0.31252377452338909</v>
      </c>
      <c r="BW72">
        <f>BN72*BA72*(AP72*2+AQ72*2+AR72*3)</f>
        <v>0.30196287871782157</v>
      </c>
      <c r="BX72">
        <f>BV72/(2*V72*BL72+BV72)</f>
        <v>0.12480996181316453</v>
      </c>
      <c r="BY72">
        <f>BU72*BX72</f>
        <v>11.527081666064877</v>
      </c>
      <c r="BZ72">
        <f>BW72/(2*BN72*BA72+BW72)</f>
        <v>6.7458372747053325E-2</v>
      </c>
      <c r="CA72">
        <f>2*BN72*BA72/0.04</f>
        <v>104.358044384417</v>
      </c>
      <c r="CB72">
        <f>(BS72+BL72)*2</f>
        <v>35.063572193875203</v>
      </c>
      <c r="CC72">
        <f>(BU72+BL72)*2</f>
        <v>206.62886118280801</v>
      </c>
      <c r="CD72">
        <f>(BT72+BN72)*2</f>
        <v>66.789148406026882</v>
      </c>
      <c r="CE72">
        <f>(CA72+BN72)*2</f>
        <v>250.4593065226008</v>
      </c>
      <c r="CF72">
        <f>'TEA Revised Non EYZ'!CB72</f>
        <v>3471.2936471936455</v>
      </c>
      <c r="CG72">
        <f>'TEA Revised Non EYZ'!CC72</f>
        <v>3306.0628460983307</v>
      </c>
      <c r="CH72">
        <f>'TEA Revised Non EYZ'!CD72</f>
        <v>4193.9657747282263</v>
      </c>
      <c r="CI72">
        <f>'TEA Revised Non EYZ'!CE72</f>
        <v>25499.956569205955</v>
      </c>
      <c r="CJ72">
        <f>BL72*V72</f>
        <v>1.0957366310586001</v>
      </c>
      <c r="CK72">
        <f>CJ72/2*1.2</f>
        <v>0.65744197863516007</v>
      </c>
      <c r="CL72">
        <f>'eLLE Bals'!CB72*'Oxidant Feed Composition'!$N$20</f>
        <v>3.6524554368620017E-2</v>
      </c>
      <c r="CM72">
        <f>'eLLE Bals'!CB72*'Oxidant Feed Composition'!$N$21</f>
        <v>1.8262277184310003</v>
      </c>
      <c r="CN72">
        <f>'eLLE Bals'!CB72*'Oxidant Feed Composition'!$N$22</f>
        <v>0.54786831552930004</v>
      </c>
      <c r="CO72">
        <f>CN72/CK72</f>
        <v>0.83333333333333326</v>
      </c>
      <c r="CP72">
        <f>CO72</f>
        <v>0.83333333333333326</v>
      </c>
      <c r="CQ72">
        <f>CL72/CO72</f>
        <v>4.3829465242344025E-2</v>
      </c>
      <c r="CR72">
        <f>CM72/CO72</f>
        <v>2.1914732621172006</v>
      </c>
      <c r="CS72">
        <f>BN72*BA72</f>
        <v>2.0871608876883401</v>
      </c>
      <c r="CT72">
        <f>CS72/2*1.2</f>
        <v>1.252296532613004</v>
      </c>
      <c r="CU72">
        <f>'eLLE Bals'!CC72*'Oxidant Feed Composition'!$N$20</f>
        <v>6.9572029589611367E-2</v>
      </c>
      <c r="CV72">
        <f>'eLLE Bals'!CC72*'Oxidant Feed Composition'!$N$21</f>
        <v>3.4786014794805671</v>
      </c>
      <c r="CW72">
        <f>'eLLE Bals'!CC72*'Oxidant Feed Composition'!$N$22</f>
        <v>1.04358044384417</v>
      </c>
      <c r="CX72">
        <f>CU72/CP72</f>
        <v>8.3486435507533652E-2</v>
      </c>
      <c r="CY72">
        <f>CV72/CP72</f>
        <v>4.174321775376681</v>
      </c>
      <c r="CZ72">
        <f>CJ72</f>
        <v>1.0957366310586001</v>
      </c>
      <c r="DA72">
        <f>'eLLE Bals'!BQ72</f>
        <v>2.1914732621172002</v>
      </c>
      <c r="DB72">
        <f>'eLLE Bals'!BU72</f>
        <v>5.4920302825561587</v>
      </c>
      <c r="DC72">
        <f>CS72</f>
        <v>2.0871608876883401</v>
      </c>
      <c r="DD72">
        <f>'eLLE Bals'!BX72</f>
        <v>4.1743217753766801</v>
      </c>
      <c r="DE72">
        <f>'eLLE Bals'!CA72</f>
        <v>24.678500065461598</v>
      </c>
      <c r="DF72">
        <f>2*2*(CJ72*'Reagent cost'!$C$36*122.44/1000+CK72*'Oxidant Feed Composition'!$N$26+CQ72*'Reagent cost'!$C$34+CR72*'Reagent cost'!$C$35)</f>
        <v>92.554365829472374</v>
      </c>
      <c r="DG72">
        <f>2*2*(CS72*'Reagent cost'!$C$36*122.44/1000+CT72*'Oxidant Feed Composition'!$N$26+CX72*'Reagent cost'!$C$34+CY72*'Reagent cost'!$C$35)</f>
        <v>176.29770409103159</v>
      </c>
      <c r="DH72">
        <f>(AF72+3)*2*(CZ72*'Reagent cost'!$C$38+DA72*'Reagent cost'!$C$39+DB72*'Reagent cost'!$C$36*122.44/1000)</f>
        <v>733.21401850158884</v>
      </c>
      <c r="DI72">
        <f>3*2*(DC72*'Reagent cost'!$C$38+DD72*'Reagent cost'!$C$39+DE72*'Reagent cost'!$C$36*122.44/1000)</f>
        <v>1336.1505360206427</v>
      </c>
      <c r="DJ72">
        <f>7963.6*(CB72/1000)^0.6*1.7*('CAPEX+OPEX'!$G$116/'CAPEX+OPEX'!$G$115)</f>
        <v>2138.7234102796551</v>
      </c>
      <c r="DK72">
        <f>7963.6*(CC72/1000)^0.6*1.7*('CAPEX+OPEX'!$G$116/'CAPEX+OPEX'!$G$115)</f>
        <v>6199.4836239091055</v>
      </c>
      <c r="DL72">
        <f>7963.6*(CD72/1000)^0.6*1.7*('CAPEX+OPEX'!$G$116/'CAPEX+OPEX'!$G$115)</f>
        <v>3148.2156354245658</v>
      </c>
      <c r="DM72">
        <f>7963.6*(CE72/1000)^0.6*1.7*('CAPEX+OPEX'!$G$116/'CAPEX+OPEX'!$G$115)</f>
        <v>6957.9808978859182</v>
      </c>
      <c r="DN72">
        <f>'TEA Revised Non EYZ'!CM72</f>
        <v>39625.826528698344</v>
      </c>
      <c r="DO72">
        <f>'TEA Revised Non EYZ'!CN72</f>
        <v>4586243.4239371875</v>
      </c>
      <c r="DP72">
        <f>'TEA Revised Non EYZ'!CO72</f>
        <v>11794834.586807497</v>
      </c>
      <c r="DQ72">
        <f>'TEA Revised Non EYZ'!CP72</f>
        <v>2275209.1661185985</v>
      </c>
      <c r="DR72">
        <f>'TEA Revised Non EYZ'!CQ72</f>
        <v>14083914.336508472</v>
      </c>
      <c r="DS72">
        <f>'TEA Revised Non EYZ'!CR72</f>
        <v>1662824.8986326549</v>
      </c>
      <c r="DT72">
        <f>'TEA Revised Non EYZ'!CS72</f>
        <v>847423.79840727116</v>
      </c>
      <c r="DU72">
        <f>'TEA Revised Non EYZ'!CT72</f>
        <v>2179392.2832288719</v>
      </c>
      <c r="DV72">
        <f>'TEA Revised Non EYZ'!CU72</f>
        <v>420402.1059283549</v>
      </c>
      <c r="DW72">
        <f>'TEA Revised Non EYZ'!CV72</f>
        <v>2602357.3282642425</v>
      </c>
      <c r="DX72">
        <f>'TEA Revised Non EYZ'!CW72</f>
        <v>307248.71347447456</v>
      </c>
      <c r="DY72">
        <f>'TEA Revised Non EYZ'!CX72</f>
        <v>6356824.2293032147</v>
      </c>
      <c r="DZ72">
        <f>'TEA Revised Non EYZ'!CY72</f>
        <v>498638.18596251757</v>
      </c>
      <c r="EA72">
        <f>'TEA Revised Non EYZ'!CZ72</f>
        <v>1282390.483548437</v>
      </c>
      <c r="EB72">
        <f>'TEA Revised Non EYZ'!DA72</f>
        <v>247371.55584836402</v>
      </c>
      <c r="EC72">
        <f>'TEA Revised Non EYZ'!DB72</f>
        <v>1531270.1151783131</v>
      </c>
      <c r="ED72">
        <f>'TEA Revised Non EYZ'!DC72</f>
        <v>180790.22729144391</v>
      </c>
      <c r="EE72">
        <f>'TEA Revised Non EYZ'!DD72</f>
        <v>3740460.5678290757</v>
      </c>
      <c r="EF72">
        <v>0.7</v>
      </c>
      <c r="EG72">
        <v>100</v>
      </c>
      <c r="EH72">
        <f>96485*BL72*V72/EF72/EG72/60</f>
        <v>25.171940201830719</v>
      </c>
      <c r="EI72">
        <f>96485*BN72*BA72/EF72/EG72/60</f>
        <v>47.947551963954638</v>
      </c>
      <c r="EJ72">
        <f>EH72*('CAPEX+OPEX'!$O$25+'CAPEX+OPEX'!$O$26)</f>
        <v>802280.07811274868</v>
      </c>
      <c r="EK72">
        <f>EI72*('CAPEX+OPEX'!$O$25+'CAPEX+OPEX'!$O$26)</f>
        <v>1528184.3761951623</v>
      </c>
      <c r="EL72">
        <f>EJ72*1.12/0.6*'CAPEX+OPEX'!$G$116/'CAPEX+OPEX'!$G$115</f>
        <v>1766344.2502316802</v>
      </c>
      <c r="EM72">
        <f>EK72*1.12/0.6*'CAPEX+OPEX'!$G$116/'CAPEX+OPEX'!$G$115</f>
        <v>3364535.3534590267</v>
      </c>
      <c r="EN72">
        <f>EL72+EM72+DY72+EE72+1.15*(SUM(DF72:DM72)+SUM(CF72:CI72))</f>
        <v>15294006.38470654</v>
      </c>
      <c r="EO72">
        <f>EN72/15</f>
        <v>1019600.4256471026</v>
      </c>
      <c r="EP72">
        <f>('eLLE Bals'!CB72+'eLLE Bals'!CC72)*'Oxidant Feed Composition'!$N$25*60*7200</f>
        <v>12816783.520159813</v>
      </c>
      <c r="EQ72" s="83">
        <f>('eLLE Bals'!BR72+'eLLE Bals'!BY72)*'Reagent cost'!$C$38*60*7200</f>
        <v>506462.08348441322</v>
      </c>
      <c r="ER72">
        <f>'TEA Revised Non EYZ'!DI72</f>
        <v>504921.59999999998</v>
      </c>
      <c r="ES72">
        <f>'TEA Revised Non EYZ'!DJ72</f>
        <v>67.773564932919768</v>
      </c>
      <c r="ET72">
        <f>'TEA Revised Non EYZ'!DK72</f>
        <v>593.87844687868358</v>
      </c>
      <c r="EU72">
        <f>1.2*SUM(EP72:ET72)</f>
        <v>16594594.626787243</v>
      </c>
      <c r="EV72">
        <f>'TEA Revised Non EYZ'!DM72</f>
        <v>0.70639694042110623</v>
      </c>
      <c r="EW72">
        <f>(BS72*CO72+BT72*CP72)/1000*('Oxidant Feed Composition'!$B$11*'Oxidant Feed Composition'!$O$20+'Oxidant Feed Composition'!$D$11*'Oxidant Feed Composition'!$O$21+'Oxidant Feed Composition'!$F$11*'Oxidant Feed Composition'!$O$27-'Oxidant Feed Composition'!$J$15*18.015)</f>
        <v>1.8585661129700133</v>
      </c>
      <c r="EX72">
        <f>(CZ72*BX72+DC72*BZ72)*368.34/1000</f>
        <v>0.10223472812483765</v>
      </c>
      <c r="EY72">
        <f>'TEA Revised Non EYZ'!DP72</f>
        <v>4.999938342565946E-2</v>
      </c>
      <c r="EZ72">
        <f>SUM(EV72:EX72)-EY72</f>
        <v>2.6171983980902978</v>
      </c>
      <c r="FA72">
        <f>EZ72*0.33*60*7200</f>
        <v>373107.80363175285</v>
      </c>
      <c r="FB72">
        <f>'TEA Revised Non EYZ'!DS72</f>
        <v>1.2</v>
      </c>
      <c r="FC72">
        <v>0.5</v>
      </c>
      <c r="FD72">
        <f>'TEA Revised Non EYZ'!DT72</f>
        <v>1398.9420736828372</v>
      </c>
      <c r="FE72">
        <f>'TEA Revised Non EYZ'!DU72</f>
        <v>712.74630003990501</v>
      </c>
      <c r="FF72">
        <f>'TEA Revised Non EYZ'!DV72</f>
        <v>0.7</v>
      </c>
      <c r="FG72">
        <f>'TEA Revised Non EYZ'!DW72</f>
        <v>46784.46952433938</v>
      </c>
      <c r="FH72">
        <f>'TEA Revised Non EYZ'!DX72</f>
        <v>45678.708869524045</v>
      </c>
      <c r="FI72">
        <f>'TEA Revised Non EYZ'!DY72</f>
        <v>19339.775932661389</v>
      </c>
      <c r="FJ72">
        <f>'TEA Revised Non EYZ'!DZ72</f>
        <v>10244.818866671721</v>
      </c>
      <c r="FK72">
        <f>'TEA Revised Non EYZ'!EA72</f>
        <v>10314.547164086078</v>
      </c>
      <c r="FL72">
        <f>'TEA Revised Non EYZ'!EB72</f>
        <v>846.08016616337989</v>
      </c>
      <c r="FM72">
        <f>'TEA Revised Non EYZ'!EC72</f>
        <v>28285.050307726531</v>
      </c>
      <c r="FN72">
        <f>'TEA Revised Non EYZ'!ED72</f>
        <v>19396.955145805132</v>
      </c>
      <c r="FO72">
        <f>'TEA Revised Non EYZ'!EE72</f>
        <v>8212.4205254416884</v>
      </c>
      <c r="FP72">
        <f>'TEA Revised Non EYZ'!EF72</f>
        <v>4352.7701543586227</v>
      </c>
      <c r="FQ72">
        <f>'TEA Revised Non EYZ'!EG72</f>
        <v>4379.9576135689013</v>
      </c>
      <c r="FR72">
        <f>'TEA Revised Non EYZ'!EH72</f>
        <v>431.06896226413448</v>
      </c>
      <c r="FS72">
        <f>'TEA Revised Non EYZ'!EI72</f>
        <v>198266.62323261102</v>
      </c>
      <c r="FT72">
        <f>EG72*EH72</f>
        <v>2517.1940201830716</v>
      </c>
      <c r="FU72">
        <f>EG72*EI72</f>
        <v>4794.7551963954638</v>
      </c>
      <c r="FV72">
        <f>FC72*(FT72+FU72)/(3.6*10^6)*3600*7200*0.07</f>
        <v>1842.6112025777911</v>
      </c>
      <c r="FW72">
        <f>('CAPEX+OPEX'!$C$39/7/100+0.03)*EL72</f>
        <v>90840.561440486417</v>
      </c>
      <c r="FX72">
        <f>('CAPEX+OPEX'!$C$39/7/100+0.03)*EM72</f>
        <v>173033.24674932138</v>
      </c>
      <c r="FY72">
        <f>SUM(FV72:FX72)</f>
        <v>265716.41939238558</v>
      </c>
      <c r="FZ72">
        <f>FY72+FA72+FS72+EU72</f>
        <v>17431685.473043993</v>
      </c>
      <c r="GA72">
        <f>FZ72+EO72</f>
        <v>18451285.898691095</v>
      </c>
      <c r="GB72">
        <f>GA72/(BK72*60*7200)</f>
        <v>0.42711309950673831</v>
      </c>
      <c r="GC72">
        <f>'TEA Revised Non EYZ'!EM72/'TEA Revised Non EYZ'!EK72*GA72</f>
        <v>1435.9869699066167</v>
      </c>
      <c r="GD72">
        <f>'TEA Revised Non EYZ'!EN72/'TEA Revised Non EYZ'!EK72*GA72</f>
        <v>2598.800254205873</v>
      </c>
    </row>
    <row r="73" spans="1:186">
      <c r="A73">
        <f>'TEA Revised Non EYZ'!A73</f>
        <v>10</v>
      </c>
      <c r="B73">
        <f>'TEA Revised Non EYZ'!B73</f>
        <v>1.54143585092054E-3</v>
      </c>
      <c r="C73">
        <f>'TEA Revised Non EYZ'!C73</f>
        <v>1.54143585092054E-3</v>
      </c>
      <c r="D73">
        <f>'TEA Revised Non EYZ'!D73</f>
        <v>3.4254130020456501E-4</v>
      </c>
      <c r="E73">
        <f>'TEA Revised Non EYZ'!E73</f>
        <v>0</v>
      </c>
      <c r="F73">
        <f>'TEA Revised Non EYZ'!F73</f>
        <v>0</v>
      </c>
      <c r="G73">
        <f>'TEA Revised Non EYZ'!G73</f>
        <v>0</v>
      </c>
      <c r="H73">
        <f>'TEA Revised Non EYZ'!H73</f>
        <v>1.7770671970930099E-5</v>
      </c>
      <c r="I73">
        <f>'TEA Revised Non EYZ'!I73</f>
        <v>5.2649488631162003E-10</v>
      </c>
      <c r="J73">
        <f>'TEA Revised Non EYZ'!J73</f>
        <v>3.3765279177869602E-4</v>
      </c>
      <c r="K73">
        <f>'TEA Revised Non EYZ'!K73</f>
        <v>0.139053960209192</v>
      </c>
      <c r="L73">
        <f>'TEA Revised Non EYZ'!L73</f>
        <v>0.14067571356050099</v>
      </c>
      <c r="M73">
        <f>'TEA Revised Non EYZ'!M73</f>
        <v>4.4613899794023002E-4</v>
      </c>
      <c r="N73">
        <f>'TEA Revised Non EYZ'!N73</f>
        <v>-1.6046192152785399E-16</v>
      </c>
      <c r="O73">
        <f>'TEA Revised Non EYZ'!O73</f>
        <v>-5.9831913729046996E-14</v>
      </c>
      <c r="P73">
        <f>'TEA Revised Non EYZ'!P73</f>
        <v>-6.6915602833089703E-20</v>
      </c>
      <c r="Q73">
        <f>'TEA Revised Non EYZ'!Q73</f>
        <v>0.10957366310586</v>
      </c>
      <c r="R73">
        <f>'TEA Revised Non EYZ'!R73</f>
        <v>98.572870359588904</v>
      </c>
      <c r="S73">
        <f>'TEA Revised Non EYZ'!S73</f>
        <v>500</v>
      </c>
      <c r="T73">
        <f>'TEA Revised Non EYZ'!T73</f>
        <v>95</v>
      </c>
      <c r="U73">
        <f>'TEA Revised Non EYZ'!U73</f>
        <v>1</v>
      </c>
      <c r="V73">
        <f>'TEA Revised Non EYZ'!V73</f>
        <v>0.1</v>
      </c>
      <c r="W73">
        <f>'TEA Revised Non EYZ'!W73</f>
        <v>91.262806376555005</v>
      </c>
      <c r="X73" t="str">
        <f>'TEA Revised Non EYZ'!X73</f>
        <v>ddFc</v>
      </c>
      <c r="Y73">
        <f>'TEA Revised Non EYZ'!Y73</f>
        <v>1</v>
      </c>
      <c r="Z73">
        <f>'TEA Revised Non EYZ'!Z73</f>
        <v>0.28318429382522198</v>
      </c>
      <c r="AA73">
        <f>'TEA Revised Non EYZ'!AA73</f>
        <v>0.56945642916197003</v>
      </c>
      <c r="AB73">
        <f>'TEA Revised Non EYZ'!AB73</f>
        <v>3.7698628972227502E-3</v>
      </c>
      <c r="AC73">
        <f>'TEA Revised Non EYZ'!AC73</f>
        <v>1822.2107908876901</v>
      </c>
      <c r="AD73">
        <f>'TEA Revised Non EYZ'!AD73</f>
        <v>2662.6059073104898</v>
      </c>
      <c r="AE73">
        <f>'TEA Revised Non EYZ'!AE73</f>
        <v>2401.5030938442701</v>
      </c>
      <c r="AF73">
        <f>'TEA Revised Non EYZ'!AF73</f>
        <v>5</v>
      </c>
      <c r="AG73">
        <f>'TEA Revised Non EYZ'!AG73</f>
        <v>1.6497548842793E-3</v>
      </c>
      <c r="AH73">
        <f>'TEA Revised Non EYZ'!AH73</f>
        <v>1.66899558413707E-3</v>
      </c>
      <c r="AI73">
        <f>'TEA Revised Non EYZ'!AI73</f>
        <v>5.2930530695573503E-6</v>
      </c>
      <c r="AJ73">
        <f>'TEA Revised Non EYZ'!AJ73</f>
        <v>0</v>
      </c>
      <c r="AK73">
        <f>'TEA Revised Non EYZ'!AK73</f>
        <v>0</v>
      </c>
      <c r="AL73">
        <f>'TEA Revised Non EYZ'!AL73</f>
        <v>0</v>
      </c>
      <c r="AM73">
        <f>'TEA Revised Non EYZ'!AM73</f>
        <v>1.6104435974931999E-3</v>
      </c>
      <c r="AN73">
        <f>'TEA Revised Non EYZ'!AN73</f>
        <v>7.9504080567360702E-5</v>
      </c>
      <c r="AO73">
        <f>'TEA Revised Non EYZ'!AO73</f>
        <v>5.2561088045772501E-6</v>
      </c>
      <c r="AP73">
        <f>'TEA Revised Non EYZ'!AP73</f>
        <v>1.81182114984423E-3</v>
      </c>
      <c r="AQ73">
        <f>'TEA Revised Non EYZ'!AQ73</f>
        <v>7.3258205444439506E-2</v>
      </c>
      <c r="AR73">
        <f>'TEA Revised Non EYZ'!AR73</f>
        <v>1.7027272859467399E-6</v>
      </c>
      <c r="AS73">
        <f>'TEA Revised Non EYZ'!AS73</f>
        <v>-4.4743668405761099E-17</v>
      </c>
      <c r="AT73">
        <f>'TEA Revised Non EYZ'!AT73</f>
        <v>1.8843433757798001E-16</v>
      </c>
      <c r="AU73">
        <f>'TEA Revised Non EYZ'!AU73</f>
        <v>-3.54364174417717E-20</v>
      </c>
      <c r="AV73">
        <f>'TEA Revised Non EYZ'!AV73</f>
        <v>0.200388158675712</v>
      </c>
      <c r="AW73">
        <f>'TEA Revised Non EYZ'!AW73</f>
        <v>99.302023529811606</v>
      </c>
      <c r="AX73">
        <f>'TEA Revised Non EYZ'!AX73</f>
        <v>500</v>
      </c>
      <c r="AY73">
        <f>'TEA Revised Non EYZ'!AY73</f>
        <v>95</v>
      </c>
      <c r="AZ73">
        <f>'TEA Revised Non EYZ'!AZ73</f>
        <v>0.92357064280818002</v>
      </c>
      <c r="BA73">
        <f>'TEA Revised Non EYZ'!BA73</f>
        <v>0.1</v>
      </c>
      <c r="BB73">
        <f>'TEA Revised Non EYZ'!BB73</f>
        <v>46.089082753776403</v>
      </c>
      <c r="BC73" t="str">
        <f>'TEA Revised Non EYZ'!BC73</f>
        <v>coeFc</v>
      </c>
      <c r="BD73">
        <f>'TEA Revised Non EYZ'!BD73</f>
        <v>1</v>
      </c>
      <c r="BE73">
        <f>'TEA Revised Non EYZ'!BE73</f>
        <v>1.8775014999999999E-2</v>
      </c>
      <c r="BF73">
        <f>'TEA Revised Non EYZ'!BF73</f>
        <v>0.10492961100000001</v>
      </c>
      <c r="BG73">
        <f>'TEA Revised Non EYZ'!BG73</f>
        <v>1.814625E-3</v>
      </c>
      <c r="BH73">
        <f>'TEA Revised Non EYZ'!BH73</f>
        <v>285.1951444</v>
      </c>
      <c r="BI73">
        <f>'TEA Revised Non EYZ'!BI73</f>
        <v>2169.8944889999998</v>
      </c>
      <c r="BJ73">
        <f>'TEA Revised Non EYZ'!BJ73</f>
        <v>866.49409060000005</v>
      </c>
      <c r="BK73">
        <f>'TEA Revised Non EYZ'!BK73</f>
        <v>100</v>
      </c>
      <c r="BL73">
        <f>'TEA Revised Non EYZ'!BL73</f>
        <v>10.957366310586</v>
      </c>
      <c r="BM73">
        <f>'TEA Revised Non EYZ'!BM73</f>
        <v>92.357064280818008</v>
      </c>
      <c r="BN73">
        <f>'TEA Revised Non EYZ'!BN73</f>
        <v>20.038815867571198</v>
      </c>
      <c r="BO73">
        <f>'TEA Revised Non EYZ'!BO73</f>
        <v>262.97679145406403</v>
      </c>
      <c r="BP73">
        <f>'TEA Revised Non EYZ'!BP73</f>
        <v>280.54342214599677</v>
      </c>
      <c r="BQ73">
        <f>'TEA Revised Non EYZ'!BQ73</f>
        <v>26.297679145406406</v>
      </c>
      <c r="BR73">
        <f>'TEA Revised Non EYZ'!BR73</f>
        <v>28.054342214599679</v>
      </c>
      <c r="BS73">
        <f>'eLLE Bals'!CF73</f>
        <v>6.5744197863515996</v>
      </c>
      <c r="BT73">
        <f>'eLLE Bals'!CG73</f>
        <v>12.023289520542718</v>
      </c>
      <c r="BU73">
        <f>BM73</f>
        <v>92.357064280818008</v>
      </c>
      <c r="BV73">
        <f>BU73*(AM73*2+AN73*2+AO73*3)</f>
        <v>0.3136135290039106</v>
      </c>
      <c r="BW73">
        <f>BN73*BA73*(AP73*2+AQ73*2+AR73*3)</f>
        <v>0.3008731242108717</v>
      </c>
      <c r="BX73">
        <f>BV73/(2*V73*BL73+BV73)</f>
        <v>0.1251906840575204</v>
      </c>
      <c r="BY73">
        <f>BU73*BX73</f>
        <v>11.56224405485999</v>
      </c>
      <c r="BZ73">
        <f>BW73/(2*BN73*BA73+BW73)</f>
        <v>6.9830244054186627E-2</v>
      </c>
      <c r="CA73">
        <f>2*BN73*BA73/0.04</f>
        <v>100.194079337856</v>
      </c>
      <c r="CB73">
        <f>(BS73+BL73)*2</f>
        <v>35.063572193875203</v>
      </c>
      <c r="CC73">
        <f>(BU73+BL73)*2</f>
        <v>206.62886118280801</v>
      </c>
      <c r="CD73">
        <f>(BT73+BN73)*2</f>
        <v>64.124210776227841</v>
      </c>
      <c r="CE73">
        <f>(CA73+BN73)*2</f>
        <v>240.4657904108544</v>
      </c>
      <c r="CF73">
        <f>'TEA Revised Non EYZ'!CB73</f>
        <v>3471.2936471936455</v>
      </c>
      <c r="CG73">
        <f>'TEA Revised Non EYZ'!CC73</f>
        <v>3703.1731723271578</v>
      </c>
      <c r="CH73">
        <f>'TEA Revised Non EYZ'!CD73</f>
        <v>4193.9657747282263</v>
      </c>
      <c r="CI73">
        <f>'TEA Revised Non EYZ'!CE73</f>
        <v>28562.90380990009</v>
      </c>
      <c r="CJ73">
        <f>BL73*V73</f>
        <v>1.0957366310586001</v>
      </c>
      <c r="CK73">
        <f>CJ73/2*1.2</f>
        <v>0.65744197863516007</v>
      </c>
      <c r="CL73">
        <f>'eLLE Bals'!CB73*'Oxidant Feed Composition'!$N$20</f>
        <v>3.6524554368620017E-2</v>
      </c>
      <c r="CM73">
        <f>'eLLE Bals'!CB73*'Oxidant Feed Composition'!$N$21</f>
        <v>1.8262277184310003</v>
      </c>
      <c r="CN73">
        <f>'eLLE Bals'!CB73*'Oxidant Feed Composition'!$N$22</f>
        <v>0.54786831552930004</v>
      </c>
      <c r="CO73">
        <f>CN73/CK73</f>
        <v>0.83333333333333326</v>
      </c>
      <c r="CP73">
        <f>CO73</f>
        <v>0.83333333333333326</v>
      </c>
      <c r="CQ73">
        <f>CL73/CO73</f>
        <v>4.3829465242344025E-2</v>
      </c>
      <c r="CR73">
        <f>CM73/CO73</f>
        <v>2.1914732621172006</v>
      </c>
      <c r="CS73">
        <f>BN73*BA73</f>
        <v>2.00388158675712</v>
      </c>
      <c r="CT73">
        <f>CS73/2*1.2</f>
        <v>1.2023289520542719</v>
      </c>
      <c r="CU73">
        <f>'eLLE Bals'!CC73*'Oxidant Feed Composition'!$N$20</f>
        <v>6.6796052891904031E-2</v>
      </c>
      <c r="CV73">
        <f>'eLLE Bals'!CC73*'Oxidant Feed Composition'!$N$21</f>
        <v>3.3398026445952</v>
      </c>
      <c r="CW73">
        <f>'eLLE Bals'!CC73*'Oxidant Feed Composition'!$N$22</f>
        <v>1.00194079337856</v>
      </c>
      <c r="CX73">
        <f>CU73/CP73</f>
        <v>8.0155263470284843E-2</v>
      </c>
      <c r="CY73">
        <f>CV73/CP73</f>
        <v>4.0077631735142401</v>
      </c>
      <c r="CZ73">
        <f>CJ73</f>
        <v>1.0957366310586001</v>
      </c>
      <c r="DA73">
        <f>'eLLE Bals'!BQ73</f>
        <v>2.1914732621172002</v>
      </c>
      <c r="DB73">
        <f>'eLLE Bals'!BU73</f>
        <v>5.4653313946018605</v>
      </c>
      <c r="DC73">
        <f>CS73</f>
        <v>2.00388158675712</v>
      </c>
      <c r="DD73">
        <f>'eLLE Bals'!BX73</f>
        <v>4.0077631735142401</v>
      </c>
      <c r="DE73">
        <f>'eLLE Bals'!CA73</f>
        <v>22.684826430666405</v>
      </c>
      <c r="DF73">
        <f>2*2*(CJ73*'Reagent cost'!$C$36*122.44/1000+CK73*'Oxidant Feed Composition'!$N$26+CQ73*'Reagent cost'!$C$34+CR73*'Reagent cost'!$C$35)</f>
        <v>92.554365829472374</v>
      </c>
      <c r="DG73">
        <f>2*2*(CS73*'Reagent cost'!$C$36*122.44/1000+CT73*'Oxidant Feed Composition'!$N$26+CX73*'Reagent cost'!$C$34+CY73*'Reagent cost'!$C$35)</f>
        <v>169.26329211106133</v>
      </c>
      <c r="DH73">
        <f>(AF73+3)*2*(CZ73*'Reagent cost'!$C$38+DA73*'Reagent cost'!$C$39+DB73*'Reagent cost'!$C$36*122.44/1000)</f>
        <v>834.265156428007</v>
      </c>
      <c r="DI73">
        <f>3*2*(DC73*'Reagent cost'!$C$38+DD73*'Reagent cost'!$C$39+DE73*'Reagent cost'!$C$36*122.44/1000)</f>
        <v>1230.4908111470718</v>
      </c>
      <c r="DJ73">
        <f>7963.6*(CB73/1000)^0.6*1.7*('CAPEX+OPEX'!$G$116/'CAPEX+OPEX'!$G$115)</f>
        <v>2138.7234102796551</v>
      </c>
      <c r="DK73">
        <f>7963.6*(CC73/1000)^0.6*1.7*('CAPEX+OPEX'!$G$116/'CAPEX+OPEX'!$G$115)</f>
        <v>6199.4836239091055</v>
      </c>
      <c r="DL73">
        <f>7963.6*(CD73/1000)^0.6*1.7*('CAPEX+OPEX'!$G$116/'CAPEX+OPEX'!$G$115)</f>
        <v>3072.2329850260039</v>
      </c>
      <c r="DM73">
        <f>7963.6*(CE73/1000)^0.6*1.7*('CAPEX+OPEX'!$G$116/'CAPEX+OPEX'!$G$115)</f>
        <v>6790.048998909554</v>
      </c>
      <c r="DN73">
        <f>'TEA Revised Non EYZ'!CM73</f>
        <v>39625.826528698344</v>
      </c>
      <c r="DO73">
        <f>'TEA Revised Non EYZ'!CN73</f>
        <v>4586243.4239371875</v>
      </c>
      <c r="DP73">
        <f>'TEA Revised Non EYZ'!CO73</f>
        <v>11794834.586807497</v>
      </c>
      <c r="DQ73">
        <f>'TEA Revised Non EYZ'!CP73</f>
        <v>2275209.1661185985</v>
      </c>
      <c r="DR73">
        <f>'TEA Revised Non EYZ'!CQ73</f>
        <v>14083914.336508472</v>
      </c>
      <c r="DS73">
        <f>'TEA Revised Non EYZ'!CR73</f>
        <v>1662824.8986326549</v>
      </c>
      <c r="DT73">
        <f>'TEA Revised Non EYZ'!CS73</f>
        <v>847423.79840727116</v>
      </c>
      <c r="DU73">
        <f>'TEA Revised Non EYZ'!CT73</f>
        <v>2179392.2832288719</v>
      </c>
      <c r="DV73">
        <f>'TEA Revised Non EYZ'!CU73</f>
        <v>420402.1059283549</v>
      </c>
      <c r="DW73">
        <f>'TEA Revised Non EYZ'!CV73</f>
        <v>2602357.3282642425</v>
      </c>
      <c r="DX73">
        <f>'TEA Revised Non EYZ'!CW73</f>
        <v>307248.71347447456</v>
      </c>
      <c r="DY73">
        <f>'TEA Revised Non EYZ'!CX73</f>
        <v>6356824.2293032147</v>
      </c>
      <c r="DZ73">
        <f>'TEA Revised Non EYZ'!CY73</f>
        <v>556281.07027801778</v>
      </c>
      <c r="EA73">
        <f>'TEA Revised Non EYZ'!CZ73</f>
        <v>1430635.6207470505</v>
      </c>
      <c r="EB73">
        <f>'TEA Revised Non EYZ'!DA73</f>
        <v>275967.86150270962</v>
      </c>
      <c r="EC73">
        <f>'TEA Revised Non EYZ'!DB73</f>
        <v>1708285.8925292303</v>
      </c>
      <c r="ED73">
        <f>'TEA Revised Non EYZ'!DC73</f>
        <v>201689.68996901164</v>
      </c>
      <c r="EE73">
        <f>'TEA Revised Non EYZ'!DD73</f>
        <v>4172860.13502602</v>
      </c>
      <c r="EF73">
        <v>0.7</v>
      </c>
      <c r="EG73">
        <v>100</v>
      </c>
      <c r="EH73">
        <f>96485*BL73*V73/EF73/EG73/60</f>
        <v>25.171940201830719</v>
      </c>
      <c r="EI73">
        <f>96485*BN73*BA73/EF73/EG73/60</f>
        <v>46.034408309109693</v>
      </c>
      <c r="EJ73">
        <f>EH73*('CAPEX+OPEX'!$O$25+'CAPEX+OPEX'!$O$26)</f>
        <v>802280.07811274868</v>
      </c>
      <c r="EK73">
        <f>EI73*('CAPEX+OPEX'!$O$25+'CAPEX+OPEX'!$O$26)</f>
        <v>1467208.6616279441</v>
      </c>
      <c r="EL73">
        <f>EJ73*1.12/0.6*'CAPEX+OPEX'!$G$116/'CAPEX+OPEX'!$G$115</f>
        <v>1766344.2502316802</v>
      </c>
      <c r="EM73">
        <f>EK73*1.12/0.6*'CAPEX+OPEX'!$G$116/'CAPEX+OPEX'!$G$115</f>
        <v>3230287.8434336833</v>
      </c>
      <c r="EN73">
        <f>EL73+EM73+DY73+EE73+1.15*(SUM(DF73:DM73)+SUM(CF73:CI73))</f>
        <v>15595843.616899556</v>
      </c>
      <c r="EO73">
        <f>EN73/15</f>
        <v>1039722.9077933037</v>
      </c>
      <c r="EP73">
        <f>('eLLE Bals'!CB73+'eLLE Bals'!CC73)*'Oxidant Feed Composition'!$N$25*60*7200</f>
        <v>12481437.262399714</v>
      </c>
      <c r="EQ73" s="83">
        <f>('eLLE Bals'!BR73+'eLLE Bals'!BY73)*'Reagent cost'!$C$38*60*7200</f>
        <v>505645.03453255031</v>
      </c>
      <c r="ER73">
        <f>'TEA Revised Non EYZ'!DI73</f>
        <v>504921.59999999998</v>
      </c>
      <c r="ES73">
        <f>'TEA Revised Non EYZ'!DJ73</f>
        <v>71.744668195208035</v>
      </c>
      <c r="ET73">
        <f>'TEA Revised Non EYZ'!DK73</f>
        <v>655.13739169256633</v>
      </c>
      <c r="EU73">
        <f>1.2*SUM(EP73:ET73)</f>
        <v>16191276.934790581</v>
      </c>
      <c r="EV73">
        <f>'TEA Revised Non EYZ'!DM73</f>
        <v>0.70639694042110623</v>
      </c>
      <c r="EW73">
        <f>(BS73*CO73+BT73*CP73)/1000*('Oxidant Feed Composition'!$B$11*'Oxidant Feed Composition'!$O$20+'Oxidant Feed Composition'!$D$11*'Oxidant Feed Composition'!$O$21+'Oxidant Feed Composition'!$F$11*'Oxidant Feed Composition'!$O$27-'Oxidant Feed Composition'!$J$15*18.015)</f>
        <v>1.8099374387161424</v>
      </c>
      <c r="EX73">
        <f>(CZ73*BX73+DC73*BZ73)*368.34/1000</f>
        <v>0.10206979815242254</v>
      </c>
      <c r="EY73">
        <f>'TEA Revised Non EYZ'!DP73</f>
        <v>4.999938342565946E-2</v>
      </c>
      <c r="EZ73">
        <f>SUM(EV73:EX73)-EY73</f>
        <v>2.568404793864012</v>
      </c>
      <c r="FA73">
        <f>EZ73*0.33*60*7200</f>
        <v>366151.78741325357</v>
      </c>
      <c r="FB73">
        <f>'TEA Revised Non EYZ'!DS73</f>
        <v>1.2</v>
      </c>
      <c r="FC73">
        <v>0.5</v>
      </c>
      <c r="FD73">
        <f>'TEA Revised Non EYZ'!DT73</f>
        <v>1403.8227843223513</v>
      </c>
      <c r="FE73">
        <f>'TEA Revised Non EYZ'!DU73</f>
        <v>707.86558933533445</v>
      </c>
      <c r="FF73">
        <f>'TEA Revised Non EYZ'!DV73</f>
        <v>0.7</v>
      </c>
      <c r="FG73">
        <f>'TEA Revised Non EYZ'!DW73</f>
        <v>46784.46952433938</v>
      </c>
      <c r="FH73">
        <f>'TEA Revised Non EYZ'!DX73</f>
        <v>45678.708869524045</v>
      </c>
      <c r="FI73">
        <f>'TEA Revised Non EYZ'!DY73</f>
        <v>19339.775932661389</v>
      </c>
      <c r="FJ73">
        <f>'TEA Revised Non EYZ'!DZ73</f>
        <v>10244.818866671721</v>
      </c>
      <c r="FK73">
        <f>'TEA Revised Non EYZ'!EA73</f>
        <v>10314.547164086078</v>
      </c>
      <c r="FL73">
        <f>'TEA Revised Non EYZ'!EB73</f>
        <v>849.03201995815812</v>
      </c>
      <c r="FM73">
        <f>'TEA Revised Non EYZ'!EC73</f>
        <v>30856.418517519851</v>
      </c>
      <c r="FN73">
        <f>'TEA Revised Non EYZ'!ED73</f>
        <v>23276.346174966162</v>
      </c>
      <c r="FO73">
        <f>'TEA Revised Non EYZ'!EE73</f>
        <v>9854.9046305300271</v>
      </c>
      <c r="FP73">
        <f>'TEA Revised Non EYZ'!EF73</f>
        <v>5223.3241852303481</v>
      </c>
      <c r="FQ73">
        <f>'TEA Revised Non EYZ'!EG73</f>
        <v>5255.949136282682</v>
      </c>
      <c r="FR73">
        <f>'TEA Revised Non EYZ'!EH73</f>
        <v>428.11710843001032</v>
      </c>
      <c r="FS73">
        <f>'TEA Revised Non EYZ'!EI73</f>
        <v>208106.41213019987</v>
      </c>
      <c r="FT73">
        <f>EG73*EH73</f>
        <v>2517.1940201830716</v>
      </c>
      <c r="FU73">
        <f>EG73*EI73</f>
        <v>4603.4408309109695</v>
      </c>
      <c r="FV73">
        <f>FC73*(FT73+FU73)/(3.6*10^6)*3600*7200*0.07</f>
        <v>1794.3999824756982</v>
      </c>
      <c r="FW73">
        <f>('CAPEX+OPEX'!$C$39/7/100+0.03)*EL73</f>
        <v>90840.561440486417</v>
      </c>
      <c r="FX73">
        <f>('CAPEX+OPEX'!$C$39/7/100+0.03)*EM73</f>
        <v>166129.08909087515</v>
      </c>
      <c r="FY73">
        <f>SUM(FV73:FX73)</f>
        <v>258764.05051383725</v>
      </c>
      <c r="FZ73">
        <f>FY73+FA73+FS73+EU73</f>
        <v>17024299.184847873</v>
      </c>
      <c r="GA73">
        <f>FZ73+EO73</f>
        <v>18064022.092641175</v>
      </c>
      <c r="GB73">
        <f>GA73/(BK73*60*7200)</f>
        <v>0.41814865955187902</v>
      </c>
      <c r="GC73">
        <f>'TEA Revised Non EYZ'!EM73/'TEA Revised Non EYZ'!EK73*GA73</f>
        <v>1400.9570726575309</v>
      </c>
      <c r="GD73">
        <f>'TEA Revised Non EYZ'!EN73/'TEA Revised Non EYZ'!EK73*GA73</f>
        <v>2560.4320855334527</v>
      </c>
    </row>
    <row r="74" spans="1:186">
      <c r="A74">
        <f>'TEA Revised Non EYZ'!A74</f>
        <v>10</v>
      </c>
      <c r="B74">
        <f>'TEA Revised Non EYZ'!B74</f>
        <v>1.54143585092054E-3</v>
      </c>
      <c r="C74">
        <f>'TEA Revised Non EYZ'!C74</f>
        <v>1.54143585092054E-3</v>
      </c>
      <c r="D74">
        <f>'TEA Revised Non EYZ'!D74</f>
        <v>3.4254130020456501E-4</v>
      </c>
      <c r="E74">
        <f>'TEA Revised Non EYZ'!E74</f>
        <v>0</v>
      </c>
      <c r="F74">
        <f>'TEA Revised Non EYZ'!F74</f>
        <v>0</v>
      </c>
      <c r="G74">
        <f>'TEA Revised Non EYZ'!G74</f>
        <v>0</v>
      </c>
      <c r="H74">
        <f>'TEA Revised Non EYZ'!H74</f>
        <v>1.7770671970930099E-5</v>
      </c>
      <c r="I74">
        <f>'TEA Revised Non EYZ'!I74</f>
        <v>5.2649488631162003E-10</v>
      </c>
      <c r="J74">
        <f>'TEA Revised Non EYZ'!J74</f>
        <v>3.3765279177869602E-4</v>
      </c>
      <c r="K74">
        <f>'TEA Revised Non EYZ'!K74</f>
        <v>0.139053960209192</v>
      </c>
      <c r="L74">
        <f>'TEA Revised Non EYZ'!L74</f>
        <v>0.14067571356050099</v>
      </c>
      <c r="M74">
        <f>'TEA Revised Non EYZ'!M74</f>
        <v>4.4613899794023002E-4</v>
      </c>
      <c r="N74">
        <f>'TEA Revised Non EYZ'!N74</f>
        <v>-1.6046192152785399E-16</v>
      </c>
      <c r="O74">
        <f>'TEA Revised Non EYZ'!O74</f>
        <v>-5.9831913729046996E-14</v>
      </c>
      <c r="P74">
        <f>'TEA Revised Non EYZ'!P74</f>
        <v>-6.6915602833089703E-20</v>
      </c>
      <c r="Q74">
        <f>'TEA Revised Non EYZ'!Q74</f>
        <v>0.10957366310586</v>
      </c>
      <c r="R74">
        <f>'TEA Revised Non EYZ'!R74</f>
        <v>98.572870359588904</v>
      </c>
      <c r="S74">
        <f>'TEA Revised Non EYZ'!S74</f>
        <v>500</v>
      </c>
      <c r="T74">
        <f>'TEA Revised Non EYZ'!T74</f>
        <v>95</v>
      </c>
      <c r="U74">
        <f>'TEA Revised Non EYZ'!U74</f>
        <v>1</v>
      </c>
      <c r="V74">
        <f>'TEA Revised Non EYZ'!V74</f>
        <v>0.1</v>
      </c>
      <c r="W74">
        <f>'TEA Revised Non EYZ'!W74</f>
        <v>91.262806376555005</v>
      </c>
      <c r="X74" t="str">
        <f>'TEA Revised Non EYZ'!X74</f>
        <v>ddFc</v>
      </c>
      <c r="Y74">
        <f>'TEA Revised Non EYZ'!Y74</f>
        <v>1</v>
      </c>
      <c r="Z74">
        <f>'TEA Revised Non EYZ'!Z74</f>
        <v>0.28318429382522198</v>
      </c>
      <c r="AA74">
        <f>'TEA Revised Non EYZ'!AA74</f>
        <v>0.56945642916197003</v>
      </c>
      <c r="AB74">
        <f>'TEA Revised Non EYZ'!AB74</f>
        <v>3.7698628972227502E-3</v>
      </c>
      <c r="AC74">
        <f>'TEA Revised Non EYZ'!AC74</f>
        <v>1822.2107908876901</v>
      </c>
      <c r="AD74">
        <f>'TEA Revised Non EYZ'!AD74</f>
        <v>2662.6059073104898</v>
      </c>
      <c r="AE74">
        <f>'TEA Revised Non EYZ'!AE74</f>
        <v>2401.5030938442701</v>
      </c>
      <c r="AF74">
        <f>'TEA Revised Non EYZ'!AF74</f>
        <v>6</v>
      </c>
      <c r="AG74">
        <f>'TEA Revised Non EYZ'!AG74</f>
        <v>1.6497548842793E-3</v>
      </c>
      <c r="AH74">
        <f>'TEA Revised Non EYZ'!AH74</f>
        <v>1.66899558413707E-3</v>
      </c>
      <c r="AI74">
        <f>'TEA Revised Non EYZ'!AI74</f>
        <v>5.2930530695573503E-6</v>
      </c>
      <c r="AJ74">
        <f>'TEA Revised Non EYZ'!AJ74</f>
        <v>0</v>
      </c>
      <c r="AK74">
        <f>'TEA Revised Non EYZ'!AK74</f>
        <v>0</v>
      </c>
      <c r="AL74">
        <f>'TEA Revised Non EYZ'!AL74</f>
        <v>0</v>
      </c>
      <c r="AM74">
        <f>'TEA Revised Non EYZ'!AM74</f>
        <v>1.6121253228941501E-3</v>
      </c>
      <c r="AN74">
        <f>'TEA Revised Non EYZ'!AN74</f>
        <v>7.9591074029532495E-5</v>
      </c>
      <c r="AO74">
        <f>'TEA Revised Non EYZ'!AO74</f>
        <v>5.2576273786285902E-6</v>
      </c>
      <c r="AP74">
        <f>'TEA Revised Non EYZ'!AP74</f>
        <v>1.75622111317691E-3</v>
      </c>
      <c r="AQ74">
        <f>'TEA Revised Non EYZ'!AQ74</f>
        <v>7.4179598573032607E-2</v>
      </c>
      <c r="AR74">
        <f>'TEA Revised Non EYZ'!AR74</f>
        <v>1.65336358086057E-6</v>
      </c>
      <c r="AS74">
        <f>'TEA Revised Non EYZ'!AS74</f>
        <v>-1.84991995680339E-18</v>
      </c>
      <c r="AT74">
        <f>'TEA Revised Non EYZ'!AT74</f>
        <v>-1.4875253806501101E-16</v>
      </c>
      <c r="AU74">
        <f>'TEA Revised Non EYZ'!AU74</f>
        <v>-2.54771628666332E-21</v>
      </c>
      <c r="AV74">
        <f>'TEA Revised Non EYZ'!AV74</f>
        <v>0.19788828374922501</v>
      </c>
      <c r="AW74">
        <f>'TEA Revised Non EYZ'!AW74</f>
        <v>99.330713475508006</v>
      </c>
      <c r="AX74">
        <f>'TEA Revised Non EYZ'!AX74</f>
        <v>500</v>
      </c>
      <c r="AY74">
        <f>'TEA Revised Non EYZ'!AY74</f>
        <v>95</v>
      </c>
      <c r="AZ74">
        <f>'TEA Revised Non EYZ'!AZ74</f>
        <v>0.92357064280818002</v>
      </c>
      <c r="BA74">
        <f>'TEA Revised Non EYZ'!BA74</f>
        <v>0.1</v>
      </c>
      <c r="BB74">
        <f>'TEA Revised Non EYZ'!BB74</f>
        <v>46.671315012190298</v>
      </c>
      <c r="BC74" t="str">
        <f>'TEA Revised Non EYZ'!BC74</f>
        <v>coeFc</v>
      </c>
      <c r="BD74">
        <f>'TEA Revised Non EYZ'!BD74</f>
        <v>1</v>
      </c>
      <c r="BE74">
        <f>'TEA Revised Non EYZ'!BE74</f>
        <v>1.8775014999999999E-2</v>
      </c>
      <c r="BF74">
        <f>'TEA Revised Non EYZ'!BF74</f>
        <v>0.10492961100000001</v>
      </c>
      <c r="BG74">
        <f>'TEA Revised Non EYZ'!BG74</f>
        <v>1.814625E-3</v>
      </c>
      <c r="BH74">
        <f>'TEA Revised Non EYZ'!BH74</f>
        <v>285.1951444</v>
      </c>
      <c r="BI74">
        <f>'TEA Revised Non EYZ'!BI74</f>
        <v>2169.8944889999998</v>
      </c>
      <c r="BJ74">
        <f>'TEA Revised Non EYZ'!BJ74</f>
        <v>866.49409060000005</v>
      </c>
      <c r="BK74">
        <f>'TEA Revised Non EYZ'!BK74</f>
        <v>100</v>
      </c>
      <c r="BL74">
        <f>'TEA Revised Non EYZ'!BL74</f>
        <v>10.957366310586</v>
      </c>
      <c r="BM74">
        <f>'TEA Revised Non EYZ'!BM74</f>
        <v>92.357064280818008</v>
      </c>
      <c r="BN74">
        <f>'TEA Revised Non EYZ'!BN74</f>
        <v>19.788828374922502</v>
      </c>
      <c r="BO74">
        <f>'TEA Revised Non EYZ'!BO74</f>
        <v>262.97679145406403</v>
      </c>
      <c r="BP74">
        <f>'TEA Revised Non EYZ'!BP74</f>
        <v>316.62125399876004</v>
      </c>
      <c r="BQ74">
        <f>'TEA Revised Non EYZ'!BQ74</f>
        <v>26.297679145406406</v>
      </c>
      <c r="BR74">
        <f>'TEA Revised Non EYZ'!BR74</f>
        <v>31.662125399876004</v>
      </c>
      <c r="BS74">
        <f>'eLLE Bals'!CF74</f>
        <v>6.5744197863515996</v>
      </c>
      <c r="BT74">
        <f>'eLLE Bals'!CG74</f>
        <v>11.873297024953501</v>
      </c>
      <c r="BU74">
        <f>BM74</f>
        <v>92.357064280818008</v>
      </c>
      <c r="BV74">
        <f>BU74*(AM74*2+AN74*2+AO74*3)</f>
        <v>0.31394065712050656</v>
      </c>
      <c r="BW74">
        <f>BN74*BA74*(AP74*2+AQ74*2+AR74*3)</f>
        <v>0.30054599609433524</v>
      </c>
      <c r="BX74">
        <f>BV74/(2*V74*BL74+BV74)</f>
        <v>0.12530490659045498</v>
      </c>
      <c r="BY74">
        <f>BU74*BX74</f>
        <v>11.572793312676547</v>
      </c>
      <c r="BZ74">
        <f>BW74/(2*BN74*BA74+BW74)</f>
        <v>7.0578675143849301E-2</v>
      </c>
      <c r="CA74">
        <f>2*BN74*BA74/0.04</f>
        <v>98.944141874612512</v>
      </c>
      <c r="CB74">
        <f>(BS74+BL74)*2</f>
        <v>35.063572193875203</v>
      </c>
      <c r="CC74">
        <f>(BU74+BL74)*2</f>
        <v>206.62886118280801</v>
      </c>
      <c r="CD74">
        <f>(BT74+BN74)*2</f>
        <v>63.324250799752008</v>
      </c>
      <c r="CE74">
        <f>(CA74+BN74)*2</f>
        <v>237.46594049907003</v>
      </c>
      <c r="CF74">
        <f>'TEA Revised Non EYZ'!CB74</f>
        <v>3471.2936471936455</v>
      </c>
      <c r="CG74">
        <f>'TEA Revised Non EYZ'!CC74</f>
        <v>4179.4005527836325</v>
      </c>
      <c r="CH74">
        <f>'TEA Revised Non EYZ'!CD74</f>
        <v>4193.9657747282263</v>
      </c>
      <c r="CI74">
        <f>'TEA Revised Non EYZ'!CE74</f>
        <v>32236.087921641458</v>
      </c>
      <c r="CJ74">
        <f>BL74*V74</f>
        <v>1.0957366310586001</v>
      </c>
      <c r="CK74">
        <f>CJ74/2*1.2</f>
        <v>0.65744197863516007</v>
      </c>
      <c r="CL74">
        <f>'eLLE Bals'!CB74*'Oxidant Feed Composition'!$N$20</f>
        <v>3.6524554368620017E-2</v>
      </c>
      <c r="CM74">
        <f>'eLLE Bals'!CB74*'Oxidant Feed Composition'!$N$21</f>
        <v>1.8262277184310003</v>
      </c>
      <c r="CN74">
        <f>'eLLE Bals'!CB74*'Oxidant Feed Composition'!$N$22</f>
        <v>0.54786831552930004</v>
      </c>
      <c r="CO74">
        <f>CN74/CK74</f>
        <v>0.83333333333333326</v>
      </c>
      <c r="CP74">
        <f>CO74</f>
        <v>0.83333333333333326</v>
      </c>
      <c r="CQ74">
        <f>CL74/CO74</f>
        <v>4.3829465242344025E-2</v>
      </c>
      <c r="CR74">
        <f>CM74/CO74</f>
        <v>2.1914732621172006</v>
      </c>
      <c r="CS74">
        <f>BN74*BA74</f>
        <v>1.9788828374922502</v>
      </c>
      <c r="CT74">
        <f>CS74/2*1.2</f>
        <v>1.1873297024953502</v>
      </c>
      <c r="CU74">
        <f>'eLLE Bals'!CC74*'Oxidant Feed Composition'!$N$20</f>
        <v>6.5962761249741708E-2</v>
      </c>
      <c r="CV74">
        <f>'eLLE Bals'!CC74*'Oxidant Feed Composition'!$N$21</f>
        <v>3.2981380624870842</v>
      </c>
      <c r="CW74">
        <f>'eLLE Bals'!CC74*'Oxidant Feed Composition'!$N$22</f>
        <v>0.98944141874612512</v>
      </c>
      <c r="CX74">
        <f>CU74/CP74</f>
        <v>7.9155313499690058E-2</v>
      </c>
      <c r="CY74">
        <f>CV74/CP74</f>
        <v>3.9577656749845014</v>
      </c>
      <c r="CZ74">
        <f>CJ74</f>
        <v>1.0957366310586001</v>
      </c>
      <c r="DA74">
        <f>'eLLE Bals'!BQ74</f>
        <v>2.1914732621172002</v>
      </c>
      <c r="DB74">
        <f>'eLLE Bals'!BU74</f>
        <v>5.4573529565450052</v>
      </c>
      <c r="DC74">
        <f>CS74</f>
        <v>1.9788828374922502</v>
      </c>
      <c r="DD74">
        <f>'eLLE Bals'!BX74</f>
        <v>3.9577656749845005</v>
      </c>
      <c r="DE74">
        <f>'eLLE Bals'!CA74</f>
        <v>22.101322354205113</v>
      </c>
      <c r="DF74">
        <f>2*2*(CJ74*'Reagent cost'!$C$36*122.44/1000+CK74*'Oxidant Feed Composition'!$N$26+CQ74*'Reagent cost'!$C$34+CR74*'Reagent cost'!$C$35)</f>
        <v>92.554365829472374</v>
      </c>
      <c r="DG74">
        <f>2*2*(CS74*'Reagent cost'!$C$36*122.44/1000+CT74*'Oxidant Feed Composition'!$N$26+CX74*'Reagent cost'!$C$34+CY74*'Reagent cost'!$C$35)</f>
        <v>167.15170496579574</v>
      </c>
      <c r="DH74">
        <f>(AF74+3)*2*(CZ74*'Reagent cost'!$C$38+DA74*'Reagent cost'!$C$39+DB74*'Reagent cost'!$C$36*122.44/1000)</f>
        <v>937.30653025704396</v>
      </c>
      <c r="DI74">
        <f>3*2*(DC74*'Reagent cost'!$C$38+DD74*'Reagent cost'!$C$39+DE74*'Reagent cost'!$C$36*122.44/1000)</f>
        <v>1199.5498425984431</v>
      </c>
      <c r="DJ74">
        <f>7963.6*(CB74/1000)^0.6*1.7*('CAPEX+OPEX'!$G$116/'CAPEX+OPEX'!$G$115)</f>
        <v>2138.7234102796551</v>
      </c>
      <c r="DK74">
        <f>7963.6*(CC74/1000)^0.6*1.7*('CAPEX+OPEX'!$G$116/'CAPEX+OPEX'!$G$115)</f>
        <v>6199.4836239091055</v>
      </c>
      <c r="DL74">
        <f>7963.6*(CD74/1000)^0.6*1.7*('CAPEX+OPEX'!$G$116/'CAPEX+OPEX'!$G$115)</f>
        <v>3049.1793085902286</v>
      </c>
      <c r="DM74">
        <f>7963.6*(CE74/1000)^0.6*1.7*('CAPEX+OPEX'!$G$116/'CAPEX+OPEX'!$G$115)</f>
        <v>6739.097266613574</v>
      </c>
      <c r="DN74">
        <f>'TEA Revised Non EYZ'!CM74</f>
        <v>39625.826528698344</v>
      </c>
      <c r="DO74">
        <f>'TEA Revised Non EYZ'!CN74</f>
        <v>4586243.4239371875</v>
      </c>
      <c r="DP74">
        <f>'TEA Revised Non EYZ'!CO74</f>
        <v>11794834.586807497</v>
      </c>
      <c r="DQ74">
        <f>'TEA Revised Non EYZ'!CP74</f>
        <v>2275209.1661185985</v>
      </c>
      <c r="DR74">
        <f>'TEA Revised Non EYZ'!CQ74</f>
        <v>14083914.336508472</v>
      </c>
      <c r="DS74">
        <f>'TEA Revised Non EYZ'!CR74</f>
        <v>1662824.8986326549</v>
      </c>
      <c r="DT74">
        <f>'TEA Revised Non EYZ'!CS74</f>
        <v>847423.79840727116</v>
      </c>
      <c r="DU74">
        <f>'TEA Revised Non EYZ'!CT74</f>
        <v>2179392.2832288719</v>
      </c>
      <c r="DV74">
        <f>'TEA Revised Non EYZ'!CU74</f>
        <v>420402.1059283549</v>
      </c>
      <c r="DW74">
        <f>'TEA Revised Non EYZ'!CV74</f>
        <v>2602357.3282642425</v>
      </c>
      <c r="DX74">
        <f>'TEA Revised Non EYZ'!CW74</f>
        <v>307248.71347447456</v>
      </c>
      <c r="DY74">
        <f>'TEA Revised Non EYZ'!CX74</f>
        <v>6356824.2293032147</v>
      </c>
      <c r="DZ74">
        <f>'TEA Revised Non EYZ'!CY74</f>
        <v>610186.16339219559</v>
      </c>
      <c r="EA74">
        <f>'TEA Revised Non EYZ'!CZ74</f>
        <v>1569267.9605286056</v>
      </c>
      <c r="EB74">
        <f>'TEA Revised Non EYZ'!DA74</f>
        <v>302709.87029223994</v>
      </c>
      <c r="EC74">
        <f>'TEA Revised Non EYZ'!DB74</f>
        <v>1873823.2710641536</v>
      </c>
      <c r="ED74">
        <f>'TEA Revised Non EYZ'!DC74</f>
        <v>221233.94933508278</v>
      </c>
      <c r="EE74">
        <f>'TEA Revised Non EYZ'!DD74</f>
        <v>4577221.2146122772</v>
      </c>
      <c r="EF74">
        <v>0.7</v>
      </c>
      <c r="EG74">
        <v>100</v>
      </c>
      <c r="EH74">
        <f>96485*BL74*V74/EF74/EG74/60</f>
        <v>25.171940201830719</v>
      </c>
      <c r="EI74">
        <f>96485*BN74*BA74/EF74/EG74/60</f>
        <v>45.460121565580906</v>
      </c>
      <c r="EJ74">
        <f>EH74*('CAPEX+OPEX'!$O$25+'CAPEX+OPEX'!$O$26)</f>
        <v>802280.07811274868</v>
      </c>
      <c r="EK74">
        <f>EI74*('CAPEX+OPEX'!$O$25+'CAPEX+OPEX'!$O$26)</f>
        <v>1448904.9945381947</v>
      </c>
      <c r="EL74">
        <f>EJ74*1.12/0.6*'CAPEX+OPEX'!$G$116/'CAPEX+OPEX'!$G$115</f>
        <v>1766344.2502316802</v>
      </c>
      <c r="EM74">
        <f>EK74*1.12/0.6*'CAPEX+OPEX'!$G$116/'CAPEX+OPEX'!$G$115</f>
        <v>3189989.4763120827</v>
      </c>
      <c r="EN74">
        <f>EL74+EM74+DY74+EE74+1.15*(SUM(DF74:DM74)+SUM(CF74:CI74))</f>
        <v>15964673.533501053</v>
      </c>
      <c r="EO74">
        <f>EN74/15</f>
        <v>1064311.5689000702</v>
      </c>
      <c r="EP74">
        <f>('eLLE Bals'!CB74+'eLLE Bals'!CC74)*'Oxidant Feed Composition'!$N$25*60*7200</f>
        <v>12380773.148737416</v>
      </c>
      <c r="EQ74" s="83">
        <f>('eLLE Bals'!BR74+'eLLE Bals'!BY74)*'Reagent cost'!$C$38*60*7200</f>
        <v>505390.57025366259</v>
      </c>
      <c r="ER74">
        <f>'TEA Revised Non EYZ'!DI74</f>
        <v>504921.59999999998</v>
      </c>
      <c r="ES74">
        <f>'TEA Revised Non EYZ'!DJ74</f>
        <v>76.506941999772778</v>
      </c>
      <c r="ET74">
        <f>'TEA Revised Non EYZ'!DK74</f>
        <v>728.60107392739371</v>
      </c>
      <c r="EU74">
        <f>1.2*SUM(EP74:ET74)</f>
        <v>16070268.512408407</v>
      </c>
      <c r="EV74">
        <f>'TEA Revised Non EYZ'!DM74</f>
        <v>0.70639694042110623</v>
      </c>
      <c r="EW74">
        <f>(BS74*CO74+BT74*CP74)/1000*('Oxidant Feed Composition'!$B$11*'Oxidant Feed Composition'!$O$20+'Oxidant Feed Composition'!$D$11*'Oxidant Feed Composition'!$O$21+'Oxidant Feed Composition'!$F$11*'Oxidant Feed Composition'!$O$27-'Oxidant Feed Composition'!$J$15*18.015)</f>
        <v>1.7953401015487769</v>
      </c>
      <c r="EX74">
        <f>(CZ74*BX74+DC74*BZ74)*368.34/1000</f>
        <v>0.10201843184639904</v>
      </c>
      <c r="EY74">
        <f>'TEA Revised Non EYZ'!DP74</f>
        <v>4.999938342565946E-2</v>
      </c>
      <c r="EZ74">
        <f>SUM(EV74:EX74)-EY74</f>
        <v>2.5537560903906229</v>
      </c>
      <c r="FA74">
        <f>EZ74*0.33*60*7200</f>
        <v>364063.4682460872</v>
      </c>
      <c r="FB74">
        <f>'TEA Revised Non EYZ'!DS74</f>
        <v>1.2</v>
      </c>
      <c r="FC74">
        <v>0.5</v>
      </c>
      <c r="FD74">
        <f>'TEA Revised Non EYZ'!DT74</f>
        <v>1405.2879011413529</v>
      </c>
      <c r="FE74">
        <f>'TEA Revised Non EYZ'!DU74</f>
        <v>706.40047251644887</v>
      </c>
      <c r="FF74">
        <f>'TEA Revised Non EYZ'!DV74</f>
        <v>0.7</v>
      </c>
      <c r="FG74">
        <f>'TEA Revised Non EYZ'!DW74</f>
        <v>46784.46952433938</v>
      </c>
      <c r="FH74">
        <f>'TEA Revised Non EYZ'!DX74</f>
        <v>45678.708869524045</v>
      </c>
      <c r="FI74">
        <f>'TEA Revised Non EYZ'!DY74</f>
        <v>19339.775932661389</v>
      </c>
      <c r="FJ74">
        <f>'TEA Revised Non EYZ'!DZ74</f>
        <v>10244.818866671721</v>
      </c>
      <c r="FK74">
        <f>'TEA Revised Non EYZ'!EA74</f>
        <v>10314.547164086078</v>
      </c>
      <c r="FL74">
        <f>'TEA Revised Non EYZ'!EB74</f>
        <v>849.91812261029031</v>
      </c>
      <c r="FM74">
        <f>'TEA Revised Non EYZ'!EC74</f>
        <v>33427.786727313171</v>
      </c>
      <c r="FN74">
        <f>'TEA Revised Non EYZ'!ED74</f>
        <v>27155.737204127185</v>
      </c>
      <c r="FO74">
        <f>'TEA Revised Non EYZ'!EE74</f>
        <v>11497.388735618364</v>
      </c>
      <c r="FP74">
        <f>'TEA Revised Non EYZ'!EF74</f>
        <v>6093.8782161020717</v>
      </c>
      <c r="FQ74">
        <f>'TEA Revised Non EYZ'!EG74</f>
        <v>6131.9406589964619</v>
      </c>
      <c r="FR74">
        <f>'TEA Revised Non EYZ'!EH74</f>
        <v>427.23100577794827</v>
      </c>
      <c r="FS74">
        <f>'TEA Revised Non EYZ'!EI74</f>
        <v>217946.20102782812</v>
      </c>
      <c r="FT74">
        <f>EG74*EH74</f>
        <v>2517.1940201830716</v>
      </c>
      <c r="FU74">
        <f>EG74*EI74</f>
        <v>4546.0121565580903</v>
      </c>
      <c r="FV74">
        <f>FC74*(FT74+FU74)/(3.6*10^6)*3600*7200*0.07</f>
        <v>1779.9279565387728</v>
      </c>
      <c r="FW74">
        <f>('CAPEX+OPEX'!$C$39/7/100+0.03)*EL74</f>
        <v>90840.561440486417</v>
      </c>
      <c r="FX74">
        <f>('CAPEX+OPEX'!$C$39/7/100+0.03)*EM74</f>
        <v>164056.6016389071</v>
      </c>
      <c r="FY74">
        <f>SUM(FV74:FX74)</f>
        <v>256677.0910359323</v>
      </c>
      <c r="FZ74">
        <f>FY74+FA74+FS74+EU74</f>
        <v>16908955.272718254</v>
      </c>
      <c r="GA74">
        <f>FZ74+EO74</f>
        <v>17973266.841618326</v>
      </c>
      <c r="GB74">
        <f>GA74/(BK74*60*7200)</f>
        <v>0.41604784355597973</v>
      </c>
      <c r="GC74">
        <f>'TEA Revised Non EYZ'!EM74/'TEA Revised Non EYZ'!EK74*GA74</f>
        <v>1392.4643818760828</v>
      </c>
      <c r="GD74">
        <f>'TEA Revised Non EYZ'!EN74/'TEA Revised Non EYZ'!EK74*GA74</f>
        <v>2552.4398456124432</v>
      </c>
    </row>
    <row r="75" spans="1:186">
      <c r="A75">
        <f>'TEA Revised Non EYZ'!A75</f>
        <v>10</v>
      </c>
      <c r="B75">
        <f>'TEA Revised Non EYZ'!B75</f>
        <v>1.54143585092054E-3</v>
      </c>
      <c r="C75">
        <f>'TEA Revised Non EYZ'!C75</f>
        <v>1.54143585092054E-3</v>
      </c>
      <c r="D75">
        <f>'TEA Revised Non EYZ'!D75</f>
        <v>3.4254130020456501E-4</v>
      </c>
      <c r="E75">
        <f>'TEA Revised Non EYZ'!E75</f>
        <v>0</v>
      </c>
      <c r="F75">
        <f>'TEA Revised Non EYZ'!F75</f>
        <v>0</v>
      </c>
      <c r="G75">
        <f>'TEA Revised Non EYZ'!G75</f>
        <v>0</v>
      </c>
      <c r="H75">
        <f>'TEA Revised Non EYZ'!H75</f>
        <v>1.7770671970930099E-5</v>
      </c>
      <c r="I75">
        <f>'TEA Revised Non EYZ'!I75</f>
        <v>5.2649488631162003E-10</v>
      </c>
      <c r="J75">
        <f>'TEA Revised Non EYZ'!J75</f>
        <v>3.3765279177869602E-4</v>
      </c>
      <c r="K75">
        <f>'TEA Revised Non EYZ'!K75</f>
        <v>0.139053960209192</v>
      </c>
      <c r="L75">
        <f>'TEA Revised Non EYZ'!L75</f>
        <v>0.14067571356050099</v>
      </c>
      <c r="M75">
        <f>'TEA Revised Non EYZ'!M75</f>
        <v>4.4613899794023002E-4</v>
      </c>
      <c r="N75">
        <f>'TEA Revised Non EYZ'!N75</f>
        <v>-1.6046192152785399E-16</v>
      </c>
      <c r="O75">
        <f>'TEA Revised Non EYZ'!O75</f>
        <v>-5.9831913729046996E-14</v>
      </c>
      <c r="P75">
        <f>'TEA Revised Non EYZ'!P75</f>
        <v>-6.6915602833089703E-20</v>
      </c>
      <c r="Q75">
        <f>'TEA Revised Non EYZ'!Q75</f>
        <v>0.10957366310586</v>
      </c>
      <c r="R75">
        <f>'TEA Revised Non EYZ'!R75</f>
        <v>98.572870359588904</v>
      </c>
      <c r="S75">
        <f>'TEA Revised Non EYZ'!S75</f>
        <v>500</v>
      </c>
      <c r="T75">
        <f>'TEA Revised Non EYZ'!T75</f>
        <v>95</v>
      </c>
      <c r="U75">
        <f>'TEA Revised Non EYZ'!U75</f>
        <v>1</v>
      </c>
      <c r="V75">
        <f>'TEA Revised Non EYZ'!V75</f>
        <v>0.1</v>
      </c>
      <c r="W75">
        <f>'TEA Revised Non EYZ'!W75</f>
        <v>91.262806376555005</v>
      </c>
      <c r="X75" t="str">
        <f>'TEA Revised Non EYZ'!X75</f>
        <v>ddFc</v>
      </c>
      <c r="Y75">
        <f>'TEA Revised Non EYZ'!Y75</f>
        <v>1</v>
      </c>
      <c r="Z75">
        <f>'TEA Revised Non EYZ'!Z75</f>
        <v>0.28318429382522198</v>
      </c>
      <c r="AA75">
        <f>'TEA Revised Non EYZ'!AA75</f>
        <v>0.56945642916197003</v>
      </c>
      <c r="AB75">
        <f>'TEA Revised Non EYZ'!AB75</f>
        <v>3.7698628972227502E-3</v>
      </c>
      <c r="AC75">
        <f>'TEA Revised Non EYZ'!AC75</f>
        <v>1822.2107908876901</v>
      </c>
      <c r="AD75">
        <f>'TEA Revised Non EYZ'!AD75</f>
        <v>2662.6059073104898</v>
      </c>
      <c r="AE75">
        <f>'TEA Revised Non EYZ'!AE75</f>
        <v>2401.5030938442701</v>
      </c>
      <c r="AF75">
        <f>'TEA Revised Non EYZ'!AF75</f>
        <v>7</v>
      </c>
      <c r="AG75">
        <f>'TEA Revised Non EYZ'!AG75</f>
        <v>1.6497548842793E-3</v>
      </c>
      <c r="AH75">
        <f>'TEA Revised Non EYZ'!AH75</f>
        <v>1.66899558413707E-3</v>
      </c>
      <c r="AI75">
        <f>'TEA Revised Non EYZ'!AI75</f>
        <v>5.2930530695573503E-6</v>
      </c>
      <c r="AJ75">
        <f>'TEA Revised Non EYZ'!AJ75</f>
        <v>0</v>
      </c>
      <c r="AK75">
        <f>'TEA Revised Non EYZ'!AK75</f>
        <v>0</v>
      </c>
      <c r="AL75">
        <f>'TEA Revised Non EYZ'!AL75</f>
        <v>0</v>
      </c>
      <c r="AM75">
        <f>'TEA Revised Non EYZ'!AM75</f>
        <v>1.6126141989109301E-3</v>
      </c>
      <c r="AN75">
        <f>'TEA Revised Non EYZ'!AN75</f>
        <v>7.9616362695628595E-5</v>
      </c>
      <c r="AO75">
        <f>'TEA Revised Non EYZ'!AO75</f>
        <v>5.2580688259994502E-6</v>
      </c>
      <c r="AP75">
        <f>'TEA Revised Non EYZ'!AP75</f>
        <v>1.7397937197708099E-3</v>
      </c>
      <c r="AQ75">
        <f>'TEA Revised Non EYZ'!AQ75</f>
        <v>7.4451829856534701E-2</v>
      </c>
      <c r="AR75">
        <f>'TEA Revised Non EYZ'!AR75</f>
        <v>1.63877878475564E-6</v>
      </c>
      <c r="AS75">
        <f>'TEA Revised Non EYZ'!AS75</f>
        <v>-4.3300324263639803E-18</v>
      </c>
      <c r="AT75">
        <f>'TEA Revised Non EYZ'!AT75</f>
        <v>-1.6727071117106299E-15</v>
      </c>
      <c r="AU75">
        <f>'TEA Revised Non EYZ'!AU75</f>
        <v>-5.3336605897419202E-21</v>
      </c>
      <c r="AV75">
        <f>'TEA Revised Non EYZ'!AV75</f>
        <v>0.197161573065819</v>
      </c>
      <c r="AW75">
        <f>'TEA Revised Non EYZ'!AW75</f>
        <v>99.339053602936502</v>
      </c>
      <c r="AX75">
        <f>'TEA Revised Non EYZ'!AX75</f>
        <v>500</v>
      </c>
      <c r="AY75">
        <f>'TEA Revised Non EYZ'!AY75</f>
        <v>95</v>
      </c>
      <c r="AZ75">
        <f>'TEA Revised Non EYZ'!AZ75</f>
        <v>0.92357064280818002</v>
      </c>
      <c r="BA75">
        <f>'TEA Revised Non EYZ'!BA75</f>
        <v>0.1</v>
      </c>
      <c r="BB75">
        <f>'TEA Revised Non EYZ'!BB75</f>
        <v>46.843339117600799</v>
      </c>
      <c r="BC75" t="str">
        <f>'TEA Revised Non EYZ'!BC75</f>
        <v>coeFc</v>
      </c>
      <c r="BD75">
        <f>'TEA Revised Non EYZ'!BD75</f>
        <v>1</v>
      </c>
      <c r="BE75">
        <f>'TEA Revised Non EYZ'!BE75</f>
        <v>1.8775014999999999E-2</v>
      </c>
      <c r="BF75">
        <f>'TEA Revised Non EYZ'!BF75</f>
        <v>0.10492961100000001</v>
      </c>
      <c r="BG75">
        <f>'TEA Revised Non EYZ'!BG75</f>
        <v>1.814625E-3</v>
      </c>
      <c r="BH75">
        <f>'TEA Revised Non EYZ'!BH75</f>
        <v>285.1951444</v>
      </c>
      <c r="BI75">
        <f>'TEA Revised Non EYZ'!BI75</f>
        <v>2169.8944889999998</v>
      </c>
      <c r="BJ75">
        <f>'TEA Revised Non EYZ'!BJ75</f>
        <v>866.49409060000005</v>
      </c>
      <c r="BK75">
        <f>'TEA Revised Non EYZ'!BK75</f>
        <v>100</v>
      </c>
      <c r="BL75">
        <f>'TEA Revised Non EYZ'!BL75</f>
        <v>10.957366310586</v>
      </c>
      <c r="BM75">
        <f>'TEA Revised Non EYZ'!BM75</f>
        <v>92.357064280818008</v>
      </c>
      <c r="BN75">
        <f>'TEA Revised Non EYZ'!BN75</f>
        <v>19.716157306581898</v>
      </c>
      <c r="BO75">
        <f>'TEA Revised Non EYZ'!BO75</f>
        <v>262.97679145406403</v>
      </c>
      <c r="BP75">
        <f>'TEA Revised Non EYZ'!BP75</f>
        <v>354.89083151847416</v>
      </c>
      <c r="BQ75">
        <f>'TEA Revised Non EYZ'!BQ75</f>
        <v>26.297679145406406</v>
      </c>
      <c r="BR75">
        <f>'TEA Revised Non EYZ'!BR75</f>
        <v>35.489083151847417</v>
      </c>
      <c r="BS75">
        <f>'eLLE Bals'!CF75</f>
        <v>6.5744197863515996</v>
      </c>
      <c r="BT75">
        <f>'eLLE Bals'!CG75</f>
        <v>11.829694383949139</v>
      </c>
      <c r="BU75">
        <f>BM75</f>
        <v>92.357064280818008</v>
      </c>
      <c r="BV75">
        <f>BU75*(AM75*2+AN75*2+AO75*3)</f>
        <v>0.31403575291419078</v>
      </c>
      <c r="BW75">
        <f>BN75*BA75*(AP75*2+AQ75*2+AR75*3)</f>
        <v>0.300450900300956</v>
      </c>
      <c r="BX75">
        <f>BV75/(2*V75*BL75+BV75)</f>
        <v>0.12533810536309578</v>
      </c>
      <c r="BY75">
        <f>BU75*BX75</f>
        <v>11.575859453855378</v>
      </c>
      <c r="BZ75">
        <f>BW75/(2*BN75*BA75+BW75)</f>
        <v>7.0799573271183594E-2</v>
      </c>
      <c r="CA75">
        <f>2*BN75*BA75/0.04</f>
        <v>98.580786532909485</v>
      </c>
      <c r="CB75">
        <f>(BS75+BL75)*2</f>
        <v>35.063572193875203</v>
      </c>
      <c r="CC75">
        <f>(BU75+BL75)*2</f>
        <v>206.62886118280801</v>
      </c>
      <c r="CD75">
        <f>(BT75+BN75)*2</f>
        <v>63.091703381062075</v>
      </c>
      <c r="CE75">
        <f>(CA75+BN75)*2</f>
        <v>236.59388767898275</v>
      </c>
      <c r="CF75">
        <f>'TEA Revised Non EYZ'!CB75</f>
        <v>3471.2936471936455</v>
      </c>
      <c r="CG75">
        <f>'TEA Revised Non EYZ'!CC75</f>
        <v>4684.5589760438597</v>
      </c>
      <c r="CH75">
        <f>'TEA Revised Non EYZ'!CD75</f>
        <v>4193.9657747282263</v>
      </c>
      <c r="CI75">
        <f>'TEA Revised Non EYZ'!CE75</f>
        <v>36132.419737870092</v>
      </c>
      <c r="CJ75">
        <f>BL75*V75</f>
        <v>1.0957366310586001</v>
      </c>
      <c r="CK75">
        <f>CJ75/2*1.2</f>
        <v>0.65744197863516007</v>
      </c>
      <c r="CL75">
        <f>'eLLE Bals'!CB75*'Oxidant Feed Composition'!$N$20</f>
        <v>3.6524554368620017E-2</v>
      </c>
      <c r="CM75">
        <f>'eLLE Bals'!CB75*'Oxidant Feed Composition'!$N$21</f>
        <v>1.8262277184310003</v>
      </c>
      <c r="CN75">
        <f>'eLLE Bals'!CB75*'Oxidant Feed Composition'!$N$22</f>
        <v>0.54786831552930004</v>
      </c>
      <c r="CO75">
        <f>CN75/CK75</f>
        <v>0.83333333333333326</v>
      </c>
      <c r="CP75">
        <f>CO75</f>
        <v>0.83333333333333326</v>
      </c>
      <c r="CQ75">
        <f>CL75/CO75</f>
        <v>4.3829465242344025E-2</v>
      </c>
      <c r="CR75">
        <f>CM75/CO75</f>
        <v>2.1914732621172006</v>
      </c>
      <c r="CS75">
        <f>BN75*BA75</f>
        <v>1.9716157306581898</v>
      </c>
      <c r="CT75">
        <f>CS75/2*1.2</f>
        <v>1.1829694383949139</v>
      </c>
      <c r="CU75">
        <f>'eLLE Bals'!CC75*'Oxidant Feed Composition'!$N$20</f>
        <v>6.5720524355273022E-2</v>
      </c>
      <c r="CV75">
        <f>'eLLE Bals'!CC75*'Oxidant Feed Composition'!$N$21</f>
        <v>3.2860262177636499</v>
      </c>
      <c r="CW75">
        <f>'eLLE Bals'!CC75*'Oxidant Feed Composition'!$N$22</f>
        <v>0.98580786532909492</v>
      </c>
      <c r="CX75">
        <f>CU75/CP75</f>
        <v>7.8864629226327629E-2</v>
      </c>
      <c r="CY75">
        <f>CV75/CP75</f>
        <v>3.9432314613163801</v>
      </c>
      <c r="CZ75">
        <f>CJ75</f>
        <v>1.0957366310586001</v>
      </c>
      <c r="DA75">
        <f>'eLLE Bals'!BQ75</f>
        <v>2.1914732621172002</v>
      </c>
      <c r="DB75">
        <f>'eLLE Bals'!BU75</f>
        <v>5.4550367514868254</v>
      </c>
      <c r="DC75">
        <f>CS75</f>
        <v>1.9716157306581898</v>
      </c>
      <c r="DD75">
        <f>'eLLE Bals'!BX75</f>
        <v>3.9432314613163797</v>
      </c>
      <c r="DE75">
        <f>'eLLE Bals'!CA75</f>
        <v>21.933000465331368</v>
      </c>
      <c r="DF75">
        <f>2*2*(CJ75*'Reagent cost'!$C$36*122.44/1000+CK75*'Oxidant Feed Composition'!$N$26+CQ75*'Reagent cost'!$C$34+CR75*'Reagent cost'!$C$35)</f>
        <v>92.554365829472374</v>
      </c>
      <c r="DG75">
        <f>2*2*(CS75*'Reagent cost'!$C$36*122.44/1000+CT75*'Oxidant Feed Composition'!$N$26+CX75*'Reagent cost'!$C$34+CY75*'Reagent cost'!$C$35)</f>
        <v>166.53786908098854</v>
      </c>
      <c r="DH75">
        <f>(AF75+3)*2*(CZ75*'Reagent cost'!$C$38+DA75*'Reagent cost'!$C$39+DB75*'Reagent cost'!$C$36*122.44/1000)</f>
        <v>1041.0511490871247</v>
      </c>
      <c r="DI75">
        <f>3*2*(DC75*'Reagent cost'!$C$38+DD75*'Reagent cost'!$C$39+DE75*'Reagent cost'!$C$36*122.44/1000)</f>
        <v>1190.6228906634749</v>
      </c>
      <c r="DJ75">
        <f>7963.6*(CB75/1000)^0.6*1.7*('CAPEX+OPEX'!$G$116/'CAPEX+OPEX'!$G$115)</f>
        <v>2138.7234102796551</v>
      </c>
      <c r="DK75">
        <f>7963.6*(CC75/1000)^0.6*1.7*('CAPEX+OPEX'!$G$116/'CAPEX+OPEX'!$G$115)</f>
        <v>6199.4836239091055</v>
      </c>
      <c r="DL75">
        <f>7963.6*(CD75/1000)^0.6*1.7*('CAPEX+OPEX'!$G$116/'CAPEX+OPEX'!$G$115)</f>
        <v>3042.4558136558958</v>
      </c>
      <c r="DM75">
        <f>7963.6*(CE75/1000)^0.6*1.7*('CAPEX+OPEX'!$G$116/'CAPEX+OPEX'!$G$115)</f>
        <v>6724.2374365581909</v>
      </c>
      <c r="DN75">
        <f>'TEA Revised Non EYZ'!CM75</f>
        <v>39625.826528698344</v>
      </c>
      <c r="DO75">
        <f>'TEA Revised Non EYZ'!CN75</f>
        <v>4586243.4239371875</v>
      </c>
      <c r="DP75">
        <f>'TEA Revised Non EYZ'!CO75</f>
        <v>11794834.586807497</v>
      </c>
      <c r="DQ75">
        <f>'TEA Revised Non EYZ'!CP75</f>
        <v>2275209.1661185985</v>
      </c>
      <c r="DR75">
        <f>'TEA Revised Non EYZ'!CQ75</f>
        <v>14083914.336508472</v>
      </c>
      <c r="DS75">
        <f>'TEA Revised Non EYZ'!CR75</f>
        <v>1662824.8986326549</v>
      </c>
      <c r="DT75">
        <f>'TEA Revised Non EYZ'!CS75</f>
        <v>847423.79840727116</v>
      </c>
      <c r="DU75">
        <f>'TEA Revised Non EYZ'!CT75</f>
        <v>2179392.2832288719</v>
      </c>
      <c r="DV75">
        <f>'TEA Revised Non EYZ'!CU75</f>
        <v>420402.1059283549</v>
      </c>
      <c r="DW75">
        <f>'TEA Revised Non EYZ'!CV75</f>
        <v>2602357.3282642425</v>
      </c>
      <c r="DX75">
        <f>'TEA Revised Non EYZ'!CW75</f>
        <v>307248.71347447456</v>
      </c>
      <c r="DY75">
        <f>'TEA Revised Non EYZ'!CX75</f>
        <v>6356824.2293032147</v>
      </c>
      <c r="DZ75">
        <f>'TEA Revised Non EYZ'!CY75</f>
        <v>661085.33546503587</v>
      </c>
      <c r="EA75">
        <f>'TEA Revised Non EYZ'!CZ75</f>
        <v>1700169.715998274</v>
      </c>
      <c r="EB75">
        <f>'TEA Revised Non EYZ'!DA75</f>
        <v>327960.6588229012</v>
      </c>
      <c r="EC75">
        <f>'TEA Revised Non EYZ'!DB75</f>
        <v>2030129.7539541693</v>
      </c>
      <c r="ED75">
        <f>'TEA Revised Non EYZ'!DC75</f>
        <v>239688.35805677422</v>
      </c>
      <c r="EE75">
        <f>'TEA Revised Non EYZ'!DD75</f>
        <v>4959033.822297154</v>
      </c>
      <c r="EF75">
        <v>0.7</v>
      </c>
      <c r="EG75">
        <v>100</v>
      </c>
      <c r="EH75">
        <f>96485*BL75*V75/EF75/EG75/60</f>
        <v>25.171940201830719</v>
      </c>
      <c r="EI75">
        <f>96485*BN75*BA75/EF75/EG75/60</f>
        <v>45.293177088703693</v>
      </c>
      <c r="EJ75">
        <f>EH75*('CAPEX+OPEX'!$O$25+'CAPEX+OPEX'!$O$26)</f>
        <v>802280.07811274868</v>
      </c>
      <c r="EK75">
        <f>EI75*('CAPEX+OPEX'!$O$25+'CAPEX+OPEX'!$O$26)</f>
        <v>1443584.1401711642</v>
      </c>
      <c r="EL75">
        <f>EJ75*1.12/0.6*'CAPEX+OPEX'!$G$116/'CAPEX+OPEX'!$G$115</f>
        <v>1766344.2502316802</v>
      </c>
      <c r="EM75">
        <f>EK75*1.12/0.6*'CAPEX+OPEX'!$G$116/'CAPEX+OPEX'!$G$115</f>
        <v>3178274.7886687941</v>
      </c>
      <c r="EN75">
        <f>EL75+EM75+DY75+EE75+1.15*(SUM(DF75:DM75)+SUM(CF75:CI75))</f>
        <v>16339916.680899978</v>
      </c>
      <c r="EO75">
        <f>EN75/15</f>
        <v>1089327.7787266651</v>
      </c>
      <c r="EP75">
        <f>('eLLE Bals'!CB75+'eLLE Bals'!CC75)*'Oxidant Feed Composition'!$N$25*60*7200</f>
        <v>12351510.209996399</v>
      </c>
      <c r="EQ75" s="83">
        <f>('eLLE Bals'!BR75+'eLLE Bals'!BY75)*'Reagent cost'!$C$38*60*7200</f>
        <v>505315.7575615134</v>
      </c>
      <c r="ER75">
        <f>'TEA Revised Non EYZ'!DI75</f>
        <v>504921.59999999998</v>
      </c>
      <c r="ES75">
        <f>'TEA Revised Non EYZ'!DJ75</f>
        <v>81.558526232375058</v>
      </c>
      <c r="ET75">
        <f>'TEA Revised Non EYZ'!DK75</f>
        <v>806.52771025196637</v>
      </c>
      <c r="EU75">
        <f>1.2*SUM(EP75:ET75)</f>
        <v>16035162.784553275</v>
      </c>
      <c r="EV75">
        <f>'TEA Revised Non EYZ'!DM75</f>
        <v>0.70639694042110623</v>
      </c>
      <c r="EW75">
        <f>(BS75*CO75+BT75*CP75)/1000*('Oxidant Feed Composition'!$B$11*'Oxidant Feed Composition'!$O$20+'Oxidant Feed Composition'!$D$11*'Oxidant Feed Composition'!$O$21+'Oxidant Feed Composition'!$F$11*'Oxidant Feed Composition'!$O$27-'Oxidant Feed Composition'!$J$15*18.015)</f>
        <v>1.7910966729050439</v>
      </c>
      <c r="EX75">
        <f>(CZ75*BX75+DC75*BZ75)*368.34/1000</f>
        <v>0.10200333011323562</v>
      </c>
      <c r="EY75">
        <f>'TEA Revised Non EYZ'!DP75</f>
        <v>4.999938342565946E-2</v>
      </c>
      <c r="EZ75">
        <f>SUM(EV75:EX75)-EY75</f>
        <v>2.5494975600137266</v>
      </c>
      <c r="FA75">
        <f>EZ75*0.33*60*7200</f>
        <v>363456.37215555692</v>
      </c>
      <c r="FB75">
        <f>'TEA Revised Non EYZ'!DS75</f>
        <v>1.2</v>
      </c>
      <c r="FC75">
        <v>0.5</v>
      </c>
      <c r="FD75">
        <f>'TEA Revised Non EYZ'!DT75</f>
        <v>1405.7138091362219</v>
      </c>
      <c r="FE75">
        <f>'TEA Revised Non EYZ'!DU75</f>
        <v>705.97456452228209</v>
      </c>
      <c r="FF75">
        <f>'TEA Revised Non EYZ'!DV75</f>
        <v>0.7</v>
      </c>
      <c r="FG75">
        <f>'TEA Revised Non EYZ'!DW75</f>
        <v>46784.46952433938</v>
      </c>
      <c r="FH75">
        <f>'TEA Revised Non EYZ'!DX75</f>
        <v>45678.708869524045</v>
      </c>
      <c r="FI75">
        <f>'TEA Revised Non EYZ'!DY75</f>
        <v>19339.775932661389</v>
      </c>
      <c r="FJ75">
        <f>'TEA Revised Non EYZ'!DZ75</f>
        <v>10244.818866671721</v>
      </c>
      <c r="FK75">
        <f>'TEA Revised Non EYZ'!EA75</f>
        <v>10314.547164086078</v>
      </c>
      <c r="FL75">
        <f>'TEA Revised Non EYZ'!EB75</f>
        <v>850.17571176558715</v>
      </c>
      <c r="FM75">
        <f>'TEA Revised Non EYZ'!EC75</f>
        <v>35999.15493710649</v>
      </c>
      <c r="FN75">
        <f>'TEA Revised Non EYZ'!ED75</f>
        <v>31035.128233288218</v>
      </c>
      <c r="FO75">
        <f>'TEA Revised Non EYZ'!EE75</f>
        <v>13139.872840706705</v>
      </c>
      <c r="FP75">
        <f>'TEA Revised Non EYZ'!EF75</f>
        <v>6964.4322469737981</v>
      </c>
      <c r="FQ75">
        <f>'TEA Revised Non EYZ'!EG75</f>
        <v>7007.9321817102436</v>
      </c>
      <c r="FR75">
        <f>'TEA Revised Non EYZ'!EH75</f>
        <v>426.97341662307616</v>
      </c>
      <c r="FS75">
        <f>'TEA Revised Non EYZ'!EI75</f>
        <v>227785.98992545673</v>
      </c>
      <c r="FT75">
        <f>EG75*EH75</f>
        <v>2517.1940201830716</v>
      </c>
      <c r="FU75">
        <f>EG75*EI75</f>
        <v>4529.3177088703696</v>
      </c>
      <c r="FV75">
        <f>FC75*(FT75+FU75)/(3.6*10^6)*3600*7200*0.07</f>
        <v>1775.7209557214674</v>
      </c>
      <c r="FW75">
        <f>('CAPEX+OPEX'!$C$39/7/100+0.03)*EL75</f>
        <v>90840.561440486417</v>
      </c>
      <c r="FX75">
        <f>('CAPEX+OPEX'!$C$39/7/100+0.03)*EM75</f>
        <v>163454.13198868083</v>
      </c>
      <c r="FY75">
        <f>SUM(FV75:FX75)</f>
        <v>256070.41438488872</v>
      </c>
      <c r="FZ75">
        <f>FY75+FA75+FS75+EU75</f>
        <v>16882475.561019178</v>
      </c>
      <c r="GA75">
        <f>FZ75+EO75</f>
        <v>17971803.339745842</v>
      </c>
      <c r="GB75">
        <f>GA75/(BK75*60*7200)</f>
        <v>0.41601396619782044</v>
      </c>
      <c r="GC75">
        <f>'TEA Revised Non EYZ'!EM75/'TEA Revised Non EYZ'!EK75*GA75</f>
        <v>1391.9288793528785</v>
      </c>
      <c r="GD75">
        <f>'TEA Revised Non EYZ'!EN75/'TEA Revised Non EYZ'!EK75*GA75</f>
        <v>2553.6515594924285</v>
      </c>
    </row>
    <row r="76" spans="1:186">
      <c r="A76">
        <f>'TEA Revised Non EYZ'!A76</f>
        <v>10</v>
      </c>
      <c r="B76">
        <f>'TEA Revised Non EYZ'!B76</f>
        <v>1.54143585092054E-3</v>
      </c>
      <c r="C76">
        <f>'TEA Revised Non EYZ'!C76</f>
        <v>1.54143585092054E-3</v>
      </c>
      <c r="D76">
        <f>'TEA Revised Non EYZ'!D76</f>
        <v>3.4254130020456501E-4</v>
      </c>
      <c r="E76">
        <f>'TEA Revised Non EYZ'!E76</f>
        <v>0</v>
      </c>
      <c r="F76">
        <f>'TEA Revised Non EYZ'!F76</f>
        <v>0</v>
      </c>
      <c r="G76">
        <f>'TEA Revised Non EYZ'!G76</f>
        <v>0</v>
      </c>
      <c r="H76">
        <f>'TEA Revised Non EYZ'!H76</f>
        <v>1.7770671970930099E-5</v>
      </c>
      <c r="I76">
        <f>'TEA Revised Non EYZ'!I76</f>
        <v>5.2649488631162003E-10</v>
      </c>
      <c r="J76">
        <f>'TEA Revised Non EYZ'!J76</f>
        <v>3.3765279177869602E-4</v>
      </c>
      <c r="K76">
        <f>'TEA Revised Non EYZ'!K76</f>
        <v>0.139053960209192</v>
      </c>
      <c r="L76">
        <f>'TEA Revised Non EYZ'!L76</f>
        <v>0.14067571356050099</v>
      </c>
      <c r="M76">
        <f>'TEA Revised Non EYZ'!M76</f>
        <v>4.4613899794023002E-4</v>
      </c>
      <c r="N76">
        <f>'TEA Revised Non EYZ'!N76</f>
        <v>-1.6046192152785399E-16</v>
      </c>
      <c r="O76">
        <f>'TEA Revised Non EYZ'!O76</f>
        <v>-5.9831913729046996E-14</v>
      </c>
      <c r="P76">
        <f>'TEA Revised Non EYZ'!P76</f>
        <v>-6.6915602833089703E-20</v>
      </c>
      <c r="Q76">
        <f>'TEA Revised Non EYZ'!Q76</f>
        <v>0.10957366310586</v>
      </c>
      <c r="R76">
        <f>'TEA Revised Non EYZ'!R76</f>
        <v>98.572870359588904</v>
      </c>
      <c r="S76">
        <f>'TEA Revised Non EYZ'!S76</f>
        <v>500</v>
      </c>
      <c r="T76">
        <f>'TEA Revised Non EYZ'!T76</f>
        <v>95</v>
      </c>
      <c r="U76">
        <f>'TEA Revised Non EYZ'!U76</f>
        <v>1</v>
      </c>
      <c r="V76">
        <f>'TEA Revised Non EYZ'!V76</f>
        <v>0.1</v>
      </c>
      <c r="W76">
        <f>'TEA Revised Non EYZ'!W76</f>
        <v>91.262806376555005</v>
      </c>
      <c r="X76" t="str">
        <f>'TEA Revised Non EYZ'!X76</f>
        <v>ddFc</v>
      </c>
      <c r="Y76">
        <f>'TEA Revised Non EYZ'!Y76</f>
        <v>1</v>
      </c>
      <c r="Z76">
        <f>'TEA Revised Non EYZ'!Z76</f>
        <v>0.28318429382522198</v>
      </c>
      <c r="AA76">
        <f>'TEA Revised Non EYZ'!AA76</f>
        <v>0.56945642916197003</v>
      </c>
      <c r="AB76">
        <f>'TEA Revised Non EYZ'!AB76</f>
        <v>3.7698628972227502E-3</v>
      </c>
      <c r="AC76">
        <f>'TEA Revised Non EYZ'!AC76</f>
        <v>1822.2107908876901</v>
      </c>
      <c r="AD76">
        <f>'TEA Revised Non EYZ'!AD76</f>
        <v>2662.6059073104898</v>
      </c>
      <c r="AE76">
        <f>'TEA Revised Non EYZ'!AE76</f>
        <v>2401.5030938442701</v>
      </c>
      <c r="AF76">
        <f>'TEA Revised Non EYZ'!AF76</f>
        <v>8</v>
      </c>
      <c r="AG76">
        <f>'TEA Revised Non EYZ'!AG76</f>
        <v>1.6497548842793E-3</v>
      </c>
      <c r="AH76">
        <f>'TEA Revised Non EYZ'!AH76</f>
        <v>1.66899558413707E-3</v>
      </c>
      <c r="AI76">
        <f>'TEA Revised Non EYZ'!AI76</f>
        <v>5.2930530695573503E-6</v>
      </c>
      <c r="AJ76">
        <f>'TEA Revised Non EYZ'!AJ76</f>
        <v>0</v>
      </c>
      <c r="AK76">
        <f>'TEA Revised Non EYZ'!AK76</f>
        <v>0</v>
      </c>
      <c r="AL76">
        <f>'TEA Revised Non EYZ'!AL76</f>
        <v>0</v>
      </c>
      <c r="AM76">
        <f>'TEA Revised Non EYZ'!AM76</f>
        <v>1.61275350560018E-3</v>
      </c>
      <c r="AN76">
        <f>'TEA Revised Non EYZ'!AN76</f>
        <v>7.9623568834895101E-5</v>
      </c>
      <c r="AO76">
        <f>'TEA Revised Non EYZ'!AO76</f>
        <v>5.2581946177476304E-6</v>
      </c>
      <c r="AP76">
        <f>'TEA Revised Non EYZ'!AP76</f>
        <v>1.7350904900191701E-3</v>
      </c>
      <c r="AQ76">
        <f>'TEA Revised Non EYZ'!AQ76</f>
        <v>7.4529770779203794E-2</v>
      </c>
      <c r="AR76">
        <f>'TEA Revised Non EYZ'!AR76</f>
        <v>1.63460309858261E-6</v>
      </c>
      <c r="AS76">
        <f>'TEA Revised Non EYZ'!AS76</f>
        <v>5.0504644411898598E-15</v>
      </c>
      <c r="AT76">
        <f>'TEA Revised Non EYZ'!AT76</f>
        <v>-1.17550023534529E-12</v>
      </c>
      <c r="AU76">
        <f>'TEA Revised Non EYZ'!AU76</f>
        <v>2.20162391837113E-20</v>
      </c>
      <c r="AV76">
        <f>'TEA Revised Non EYZ'!AV76</f>
        <v>0.19695449478278201</v>
      </c>
      <c r="AW76">
        <f>'TEA Revised Non EYZ'!AW76</f>
        <v>99.341430147182905</v>
      </c>
      <c r="AX76">
        <f>'TEA Revised Non EYZ'!AX76</f>
        <v>500</v>
      </c>
      <c r="AY76">
        <f>'TEA Revised Non EYZ'!AY76</f>
        <v>95</v>
      </c>
      <c r="AZ76">
        <f>'TEA Revised Non EYZ'!AZ76</f>
        <v>0.92357064280818002</v>
      </c>
      <c r="BA76">
        <f>'TEA Revised Non EYZ'!BA76</f>
        <v>0.1</v>
      </c>
      <c r="BB76">
        <f>'TEA Revised Non EYZ'!BB76</f>
        <v>46.8925902821751</v>
      </c>
      <c r="BC76" t="str">
        <f>'TEA Revised Non EYZ'!BC76</f>
        <v>coeFc</v>
      </c>
      <c r="BD76">
        <f>'TEA Revised Non EYZ'!BD76</f>
        <v>1</v>
      </c>
      <c r="BE76">
        <f>'TEA Revised Non EYZ'!BE76</f>
        <v>1.8775014999999999E-2</v>
      </c>
      <c r="BF76">
        <f>'TEA Revised Non EYZ'!BF76</f>
        <v>0.10492961100000001</v>
      </c>
      <c r="BG76">
        <f>'TEA Revised Non EYZ'!BG76</f>
        <v>1.814625E-3</v>
      </c>
      <c r="BH76">
        <f>'TEA Revised Non EYZ'!BH76</f>
        <v>285.1951444</v>
      </c>
      <c r="BI76">
        <f>'TEA Revised Non EYZ'!BI76</f>
        <v>2169.8944889999998</v>
      </c>
      <c r="BJ76">
        <f>'TEA Revised Non EYZ'!BJ76</f>
        <v>866.49409060000005</v>
      </c>
      <c r="BK76">
        <f>'TEA Revised Non EYZ'!BK76</f>
        <v>100</v>
      </c>
      <c r="BL76">
        <f>'TEA Revised Non EYZ'!BL76</f>
        <v>10.957366310586</v>
      </c>
      <c r="BM76">
        <f>'TEA Revised Non EYZ'!BM76</f>
        <v>92.357064280818008</v>
      </c>
      <c r="BN76">
        <f>'TEA Revised Non EYZ'!BN76</f>
        <v>19.695449478278203</v>
      </c>
      <c r="BO76">
        <f>'TEA Revised Non EYZ'!BO76</f>
        <v>262.97679145406403</v>
      </c>
      <c r="BP76">
        <f>'TEA Revised Non EYZ'!BP76</f>
        <v>393.90898956556407</v>
      </c>
      <c r="BQ76">
        <f>'TEA Revised Non EYZ'!BQ76</f>
        <v>26.297679145406406</v>
      </c>
      <c r="BR76">
        <f>'TEA Revised Non EYZ'!BR76</f>
        <v>39.390898956556413</v>
      </c>
      <c r="BS76">
        <f>'eLLE Bals'!CF76</f>
        <v>6.5744197863515996</v>
      </c>
      <c r="BT76">
        <f>'eLLE Bals'!CG76</f>
        <v>11.817269686966922</v>
      </c>
      <c r="BU76">
        <f>BM76</f>
        <v>92.357064280818008</v>
      </c>
      <c r="BV76">
        <f>BU76*(AM76*2+AN76*2+AO76*3)</f>
        <v>0.31406285075690299</v>
      </c>
      <c r="BW76">
        <f>BN76*BA76*(AP76*2+AQ76*2+AR76*3)</f>
        <v>0.30042380269199898</v>
      </c>
      <c r="BX76">
        <f>BV76/(2*V76*BL76+BV76)</f>
        <v>0.1253475649954377</v>
      </c>
      <c r="BY76">
        <f>BU76*BX76</f>
        <v>11.576733117727652</v>
      </c>
      <c r="BZ76">
        <f>BW76/(2*BN76*BA76+BW76)</f>
        <v>7.0862797968807095E-2</v>
      </c>
      <c r="CA76">
        <f>2*BN76*BA76/0.04</f>
        <v>98.477247391391018</v>
      </c>
      <c r="CB76">
        <f>(BS76+BL76)*2</f>
        <v>35.063572193875203</v>
      </c>
      <c r="CC76">
        <f>(BU76+BL76)*2</f>
        <v>206.62886118280801</v>
      </c>
      <c r="CD76">
        <f>(BT76+BN76)*2</f>
        <v>63.025438330490246</v>
      </c>
      <c r="CE76">
        <f>(CA76+BN76)*2</f>
        <v>236.34539373933845</v>
      </c>
      <c r="CF76">
        <f>'TEA Revised Non EYZ'!CB76</f>
        <v>3471.2936471936455</v>
      </c>
      <c r="CG76">
        <f>'TEA Revised Non EYZ'!CC76</f>
        <v>5199.5986622654455</v>
      </c>
      <c r="CH76">
        <f>'TEA Revised Non EYZ'!CD76</f>
        <v>4193.9657747282263</v>
      </c>
      <c r="CI76">
        <f>'TEA Revised Non EYZ'!CE76</f>
        <v>40104.966613549579</v>
      </c>
      <c r="CJ76">
        <f>BL76*V76</f>
        <v>1.0957366310586001</v>
      </c>
      <c r="CK76">
        <f>CJ76/2*1.2</f>
        <v>0.65744197863516007</v>
      </c>
      <c r="CL76">
        <f>'eLLE Bals'!CB76*'Oxidant Feed Composition'!$N$20</f>
        <v>3.6524554368620017E-2</v>
      </c>
      <c r="CM76">
        <f>'eLLE Bals'!CB76*'Oxidant Feed Composition'!$N$21</f>
        <v>1.8262277184310003</v>
      </c>
      <c r="CN76">
        <f>'eLLE Bals'!CB76*'Oxidant Feed Composition'!$N$22</f>
        <v>0.54786831552930004</v>
      </c>
      <c r="CO76">
        <f>CN76/CK76</f>
        <v>0.83333333333333326</v>
      </c>
      <c r="CP76">
        <f>CO76</f>
        <v>0.83333333333333326</v>
      </c>
      <c r="CQ76">
        <f>CL76/CO76</f>
        <v>4.3829465242344025E-2</v>
      </c>
      <c r="CR76">
        <f>CM76/CO76</f>
        <v>2.1914732621172006</v>
      </c>
      <c r="CS76">
        <f>BN76*BA76</f>
        <v>1.9695449478278204</v>
      </c>
      <c r="CT76">
        <f>CS76/2*1.2</f>
        <v>1.1817269686966922</v>
      </c>
      <c r="CU76">
        <f>'eLLE Bals'!CC76*'Oxidant Feed Composition'!$N$20</f>
        <v>6.5651498260927366E-2</v>
      </c>
      <c r="CV76">
        <f>'eLLE Bals'!CC76*'Oxidant Feed Composition'!$N$21</f>
        <v>3.2825749130463673</v>
      </c>
      <c r="CW76">
        <f>'eLLE Bals'!CC76*'Oxidant Feed Composition'!$N$22</f>
        <v>0.98477247391391021</v>
      </c>
      <c r="CX76">
        <f>CU76/CP76</f>
        <v>7.878179791311285E-2</v>
      </c>
      <c r="CY76">
        <f>CV76/CP76</f>
        <v>3.9390898956556413</v>
      </c>
      <c r="CZ76">
        <f>CJ76</f>
        <v>1.0957366310586001</v>
      </c>
      <c r="DA76">
        <f>'eLLE Bals'!BQ76</f>
        <v>2.1914732621172002</v>
      </c>
      <c r="DB76">
        <f>'eLLE Bals'!BU76</f>
        <v>5.4543770000616636</v>
      </c>
      <c r="DC76">
        <f>CS76</f>
        <v>1.9695449478278204</v>
      </c>
      <c r="DD76">
        <f>'eLLE Bals'!BX76</f>
        <v>3.9390898956556408</v>
      </c>
      <c r="DE76">
        <f>'eLLE Bals'!CA76</f>
        <v>21.885144181369458</v>
      </c>
      <c r="DF76">
        <f>2*2*(CJ76*'Reagent cost'!$C$36*122.44/1000+CK76*'Oxidant Feed Composition'!$N$26+CQ76*'Reagent cost'!$C$34+CR76*'Reagent cost'!$C$35)</f>
        <v>92.554365829472374</v>
      </c>
      <c r="DG76">
        <f>2*2*(CS76*'Reagent cost'!$C$36*122.44/1000+CT76*'Oxidant Feed Composition'!$N$26+CX76*'Reagent cost'!$C$34+CY76*'Reagent cost'!$C$35)</f>
        <v>166.36295479392098</v>
      </c>
      <c r="DH76">
        <f>(AF76+3)*2*(CZ76*'Reagent cost'!$C$38+DA76*'Reagent cost'!$C$39+DB76*'Reagent cost'!$C$36*122.44/1000)</f>
        <v>1145.0307610117964</v>
      </c>
      <c r="DI76">
        <f>3*2*(DC76*'Reagent cost'!$C$38+DD76*'Reagent cost'!$C$39+DE76*'Reagent cost'!$C$36*122.44/1000)</f>
        <v>1188.0847083301621</v>
      </c>
      <c r="DJ76">
        <f>7963.6*(CB76/1000)^0.6*1.7*('CAPEX+OPEX'!$G$116/'CAPEX+OPEX'!$G$115)</f>
        <v>2138.7234102796551</v>
      </c>
      <c r="DK76">
        <f>7963.6*(CC76/1000)^0.6*1.7*('CAPEX+OPEX'!$G$116/'CAPEX+OPEX'!$G$115)</f>
        <v>6199.4836239091055</v>
      </c>
      <c r="DL76">
        <f>7963.6*(CD76/1000)^0.6*1.7*('CAPEX+OPEX'!$G$116/'CAPEX+OPEX'!$G$115)</f>
        <v>3040.5381206969964</v>
      </c>
      <c r="DM76">
        <f>7963.6*(CE76/1000)^0.6*1.7*('CAPEX+OPEX'!$G$116/'CAPEX+OPEX'!$G$115)</f>
        <v>6719.9990766358605</v>
      </c>
      <c r="DN76">
        <f>'TEA Revised Non EYZ'!CM76</f>
        <v>39625.826528698344</v>
      </c>
      <c r="DO76">
        <f>'TEA Revised Non EYZ'!CN76</f>
        <v>4586243.4239371875</v>
      </c>
      <c r="DP76">
        <f>'TEA Revised Non EYZ'!CO76</f>
        <v>11794834.586807497</v>
      </c>
      <c r="DQ76">
        <f>'TEA Revised Non EYZ'!CP76</f>
        <v>2275209.1661185985</v>
      </c>
      <c r="DR76">
        <f>'TEA Revised Non EYZ'!CQ76</f>
        <v>14083914.336508472</v>
      </c>
      <c r="DS76">
        <f>'TEA Revised Non EYZ'!CR76</f>
        <v>1662824.8986326549</v>
      </c>
      <c r="DT76">
        <f>'TEA Revised Non EYZ'!CS76</f>
        <v>847423.79840727116</v>
      </c>
      <c r="DU76">
        <f>'TEA Revised Non EYZ'!CT76</f>
        <v>2179392.2832288719</v>
      </c>
      <c r="DV76">
        <f>'TEA Revised Non EYZ'!CU76</f>
        <v>420402.1059283549</v>
      </c>
      <c r="DW76">
        <f>'TEA Revised Non EYZ'!CV76</f>
        <v>2602357.3282642425</v>
      </c>
      <c r="DX76">
        <f>'TEA Revised Non EYZ'!CW76</f>
        <v>307248.71347447456</v>
      </c>
      <c r="DY76">
        <f>'TEA Revised Non EYZ'!CX76</f>
        <v>6356824.2293032147</v>
      </c>
      <c r="DZ76">
        <f>'TEA Revised Non EYZ'!CY76</f>
        <v>709494.50626692141</v>
      </c>
      <c r="EA76">
        <f>'TEA Revised Non EYZ'!CZ76</f>
        <v>1824667.7221687753</v>
      </c>
      <c r="EB76">
        <f>'TEA Revised Non EYZ'!DA76</f>
        <v>351976.17194586084</v>
      </c>
      <c r="EC76">
        <f>'TEA Revised Non EYZ'!DB76</f>
        <v>2178789.6814051773</v>
      </c>
      <c r="ED76">
        <f>'TEA Revised Non EYZ'!DC76</f>
        <v>257239.97211009727</v>
      </c>
      <c r="EE76">
        <f>'TEA Revised Non EYZ'!DD76</f>
        <v>5322168.0538968323</v>
      </c>
      <c r="EF76">
        <v>0.7</v>
      </c>
      <c r="EG76">
        <v>100</v>
      </c>
      <c r="EH76">
        <f>96485*BL76*V76/EF76/EG76/60</f>
        <v>25.171940201830719</v>
      </c>
      <c r="EI76">
        <f>96485*BN76*BA76/EF76/EG76/60</f>
        <v>45.245605783611254</v>
      </c>
      <c r="EJ76">
        <f>EH76*('CAPEX+OPEX'!$O$25+'CAPEX+OPEX'!$O$26)</f>
        <v>802280.07811274868</v>
      </c>
      <c r="EK76">
        <f>EI76*('CAPEX+OPEX'!$O$25+'CAPEX+OPEX'!$O$26)</f>
        <v>1442067.9475352578</v>
      </c>
      <c r="EL76">
        <f>EJ76*1.12/0.6*'CAPEX+OPEX'!$G$116/'CAPEX+OPEX'!$G$115</f>
        <v>1766344.2502316802</v>
      </c>
      <c r="EM76">
        <f>EK76*1.12/0.6*'CAPEX+OPEX'!$G$116/'CAPEX+OPEX'!$G$115</f>
        <v>3174936.6549948575</v>
      </c>
      <c r="EN76">
        <f>EL76+EM76+DY76+EE76+1.15*(SUM(DF76:DM76)+SUM(CF76:CI76))</f>
        <v>16704982.880403692</v>
      </c>
      <c r="EO76">
        <f>EN76/15</f>
        <v>1113665.5253602462</v>
      </c>
      <c r="EP76">
        <f>('eLLE Bals'!CB76+'eLLE Bals'!CC76)*'Oxidant Feed Composition'!$N$25*60*7200</f>
        <v>12343171.652095055</v>
      </c>
      <c r="EQ76" s="83">
        <f>('eLLE Bals'!BR76+'eLLE Bals'!BY76)*'Reagent cost'!$C$38*60*7200</f>
        <v>505294.3692481693</v>
      </c>
      <c r="ER76">
        <f>'TEA Revised Non EYZ'!DI76</f>
        <v>504921.59999999998</v>
      </c>
      <c r="ES76">
        <f>'TEA Revised Non EYZ'!DJ76</f>
        <v>86.708923094590901</v>
      </c>
      <c r="ET76">
        <f>'TEA Revised Non EYZ'!DK76</f>
        <v>885.97864776555616</v>
      </c>
      <c r="EU76">
        <f>1.2*SUM(EP76:ET76)</f>
        <v>16025232.370696899</v>
      </c>
      <c r="EV76">
        <f>'TEA Revised Non EYZ'!DM76</f>
        <v>0.70639694042110623</v>
      </c>
      <c r="EW76">
        <f>(BS76*CO76+BT76*CP76)/1000*('Oxidant Feed Composition'!$B$11*'Oxidant Feed Composition'!$O$20+'Oxidant Feed Composition'!$D$11*'Oxidant Feed Composition'!$O$21+'Oxidant Feed Composition'!$F$11*'Oxidant Feed Composition'!$O$27-'Oxidant Feed Composition'!$J$15*18.015)</f>
        <v>1.7898874958036213</v>
      </c>
      <c r="EX76">
        <f>(CZ76*BX76+DC76*BZ76)*368.34/1000</f>
        <v>0.10199901265597461</v>
      </c>
      <c r="EY76">
        <f>'TEA Revised Non EYZ'!DP76</f>
        <v>4.999938342565946E-2</v>
      </c>
      <c r="EZ76">
        <f>SUM(EV76:EX76)-EY76</f>
        <v>2.5482840654550429</v>
      </c>
      <c r="FA76">
        <f>EZ76*0.33*60*7200</f>
        <v>363283.37637127092</v>
      </c>
      <c r="FB76">
        <f>'TEA Revised Non EYZ'!DS76</f>
        <v>1.2</v>
      </c>
      <c r="FC76">
        <v>0.5</v>
      </c>
      <c r="FD76">
        <f>'TEA Revised Non EYZ'!DT76</f>
        <v>1405.8351729230828</v>
      </c>
      <c r="FE76">
        <f>'TEA Revised Non EYZ'!DU76</f>
        <v>705.85320127009629</v>
      </c>
      <c r="FF76">
        <f>'TEA Revised Non EYZ'!DV76</f>
        <v>0.7</v>
      </c>
      <c r="FG76">
        <f>'TEA Revised Non EYZ'!DW76</f>
        <v>46784.46952433938</v>
      </c>
      <c r="FH76">
        <f>'TEA Revised Non EYZ'!DX76</f>
        <v>45678.708869524045</v>
      </c>
      <c r="FI76">
        <f>'TEA Revised Non EYZ'!DY76</f>
        <v>19339.775932661389</v>
      </c>
      <c r="FJ76">
        <f>'TEA Revised Non EYZ'!DZ76</f>
        <v>10244.818866671721</v>
      </c>
      <c r="FK76">
        <f>'TEA Revised Non EYZ'!EA76</f>
        <v>10314.547164086078</v>
      </c>
      <c r="FL76">
        <f>'TEA Revised Non EYZ'!EB76</f>
        <v>850.24911258388056</v>
      </c>
      <c r="FM76">
        <f>'TEA Revised Non EYZ'!EC76</f>
        <v>38570.52314689981</v>
      </c>
      <c r="FN76">
        <f>'TEA Revised Non EYZ'!ED76</f>
        <v>34914.519262449241</v>
      </c>
      <c r="FO76">
        <f>'TEA Revised Non EYZ'!EE76</f>
        <v>14782.35694579504</v>
      </c>
      <c r="FP76">
        <f>'TEA Revised Non EYZ'!EF76</f>
        <v>7834.9862778455226</v>
      </c>
      <c r="FQ76">
        <f>'TEA Revised Non EYZ'!EG76</f>
        <v>7883.9237044240235</v>
      </c>
      <c r="FR76">
        <f>'TEA Revised Non EYZ'!EH76</f>
        <v>426.90001612815422</v>
      </c>
      <c r="FS76">
        <f>'TEA Revised Non EYZ'!EI76</f>
        <v>237625.77882340824</v>
      </c>
      <c r="FT76">
        <f>EG76*EH76</f>
        <v>2517.1940201830716</v>
      </c>
      <c r="FU76">
        <f>EG76*EI76</f>
        <v>4524.5605783611254</v>
      </c>
      <c r="FV76">
        <f>FC76*(FT76+FU76)/(3.6*10^6)*3600*7200*0.07</f>
        <v>1774.5221588331378</v>
      </c>
      <c r="FW76">
        <f>('CAPEX+OPEX'!$C$39/7/100+0.03)*EL76</f>
        <v>90840.561440486417</v>
      </c>
      <c r="FX76">
        <f>('CAPEX+OPEX'!$C$39/7/100+0.03)*EM76</f>
        <v>163282.45654259267</v>
      </c>
      <c r="FY76">
        <f>SUM(FV76:FX76)</f>
        <v>255897.54014191224</v>
      </c>
      <c r="FZ76">
        <f>FY76+FA76+FS76+EU76</f>
        <v>16882039.06603349</v>
      </c>
      <c r="GA76">
        <f>FZ76+EO76</f>
        <v>17995704.591393735</v>
      </c>
      <c r="GB76">
        <f>GA76/(BK76*60*7200)</f>
        <v>0.41656723591189204</v>
      </c>
      <c r="GC76">
        <f>'TEA Revised Non EYZ'!EM76/'TEA Revised Non EYZ'!EK76*GA76</f>
        <v>1393.6596510708673</v>
      </c>
      <c r="GD76">
        <f>'TEA Revised Non EYZ'!EN76/'TEA Revised Non EYZ'!EK76*GA76</f>
        <v>2557.4530696793609</v>
      </c>
    </row>
    <row r="77" spans="1:186">
      <c r="A77">
        <f>'TEA Revised Non EYZ'!A77</f>
        <v>10</v>
      </c>
      <c r="B77">
        <f>'TEA Revised Non EYZ'!B77</f>
        <v>1.54143585092054E-3</v>
      </c>
      <c r="C77">
        <f>'TEA Revised Non EYZ'!C77</f>
        <v>1.54143585092054E-3</v>
      </c>
      <c r="D77">
        <f>'TEA Revised Non EYZ'!D77</f>
        <v>3.4254130020456501E-4</v>
      </c>
      <c r="E77">
        <f>'TEA Revised Non EYZ'!E77</f>
        <v>0</v>
      </c>
      <c r="F77">
        <f>'TEA Revised Non EYZ'!F77</f>
        <v>0</v>
      </c>
      <c r="G77">
        <f>'TEA Revised Non EYZ'!G77</f>
        <v>0</v>
      </c>
      <c r="H77">
        <f>'TEA Revised Non EYZ'!H77</f>
        <v>1.7770671970930099E-5</v>
      </c>
      <c r="I77">
        <f>'TEA Revised Non EYZ'!I77</f>
        <v>5.2649488631162003E-10</v>
      </c>
      <c r="J77">
        <f>'TEA Revised Non EYZ'!J77</f>
        <v>3.3765279177869602E-4</v>
      </c>
      <c r="K77">
        <f>'TEA Revised Non EYZ'!K77</f>
        <v>0.139053960209192</v>
      </c>
      <c r="L77">
        <f>'TEA Revised Non EYZ'!L77</f>
        <v>0.14067571356050099</v>
      </c>
      <c r="M77">
        <f>'TEA Revised Non EYZ'!M77</f>
        <v>4.4613899794023002E-4</v>
      </c>
      <c r="N77">
        <f>'TEA Revised Non EYZ'!N77</f>
        <v>-1.6046192152785399E-16</v>
      </c>
      <c r="O77">
        <f>'TEA Revised Non EYZ'!O77</f>
        <v>-5.9831913729046996E-14</v>
      </c>
      <c r="P77">
        <f>'TEA Revised Non EYZ'!P77</f>
        <v>-6.6915602833089703E-20</v>
      </c>
      <c r="Q77">
        <f>'TEA Revised Non EYZ'!Q77</f>
        <v>0.10957366310586</v>
      </c>
      <c r="R77">
        <f>'TEA Revised Non EYZ'!R77</f>
        <v>98.572870359588904</v>
      </c>
      <c r="S77">
        <f>'TEA Revised Non EYZ'!S77</f>
        <v>500</v>
      </c>
      <c r="T77">
        <f>'TEA Revised Non EYZ'!T77</f>
        <v>95</v>
      </c>
      <c r="U77">
        <f>'TEA Revised Non EYZ'!U77</f>
        <v>1</v>
      </c>
      <c r="V77">
        <f>'TEA Revised Non EYZ'!V77</f>
        <v>0.1</v>
      </c>
      <c r="W77">
        <f>'TEA Revised Non EYZ'!W77</f>
        <v>91.262806376555005</v>
      </c>
      <c r="X77" t="str">
        <f>'TEA Revised Non EYZ'!X77</f>
        <v>ddFc</v>
      </c>
      <c r="Y77">
        <f>'TEA Revised Non EYZ'!Y77</f>
        <v>1</v>
      </c>
      <c r="Z77">
        <f>'TEA Revised Non EYZ'!Z77</f>
        <v>0.28318429382522198</v>
      </c>
      <c r="AA77">
        <f>'TEA Revised Non EYZ'!AA77</f>
        <v>0.56945642916197003</v>
      </c>
      <c r="AB77">
        <f>'TEA Revised Non EYZ'!AB77</f>
        <v>3.7698628972227502E-3</v>
      </c>
      <c r="AC77">
        <f>'TEA Revised Non EYZ'!AC77</f>
        <v>1822.2107908876901</v>
      </c>
      <c r="AD77">
        <f>'TEA Revised Non EYZ'!AD77</f>
        <v>2662.6059073104898</v>
      </c>
      <c r="AE77">
        <f>'TEA Revised Non EYZ'!AE77</f>
        <v>2401.5030938442701</v>
      </c>
      <c r="AF77">
        <f>'TEA Revised Non EYZ'!AF77</f>
        <v>9</v>
      </c>
      <c r="AG77">
        <f>'TEA Revised Non EYZ'!AG77</f>
        <v>1.6497548842793E-3</v>
      </c>
      <c r="AH77">
        <f>'TEA Revised Non EYZ'!AH77</f>
        <v>1.66899558413707E-3</v>
      </c>
      <c r="AI77">
        <f>'TEA Revised Non EYZ'!AI77</f>
        <v>5.2930530695573503E-6</v>
      </c>
      <c r="AJ77">
        <f>'TEA Revised Non EYZ'!AJ77</f>
        <v>0</v>
      </c>
      <c r="AK77">
        <f>'TEA Revised Non EYZ'!AK77</f>
        <v>0</v>
      </c>
      <c r="AL77">
        <f>'TEA Revised Non EYZ'!AL77</f>
        <v>0</v>
      </c>
      <c r="AM77">
        <f>'TEA Revised Non EYZ'!AM77</f>
        <v>1.6127928524710801E-3</v>
      </c>
      <c r="AN77">
        <f>'TEA Revised Non EYZ'!AN77</f>
        <v>7.9625604160899597E-5</v>
      </c>
      <c r="AO77">
        <f>'TEA Revised Non EYZ'!AO77</f>
        <v>5.2582301473474496E-6</v>
      </c>
      <c r="AP77">
        <f>'TEA Revised Non EYZ'!AP77</f>
        <v>1.73376028278021E-3</v>
      </c>
      <c r="AQ77">
        <f>'TEA Revised Non EYZ'!AQ77</f>
        <v>7.4551814690152901E-2</v>
      </c>
      <c r="AR77">
        <f>'TEA Revised Non EYZ'!AR77</f>
        <v>1.6334220957110999E-6</v>
      </c>
      <c r="AS77">
        <f>'TEA Revised Non EYZ'!AS77</f>
        <v>3.7072938035426199E-17</v>
      </c>
      <c r="AT77">
        <f>'TEA Revised Non EYZ'!AT77</f>
        <v>-4.8554910092590799E-15</v>
      </c>
      <c r="AU77">
        <f>'TEA Revised Non EYZ'!AU77</f>
        <v>-3.3748968992163501E-22</v>
      </c>
      <c r="AV77">
        <f>'TEA Revised Non EYZ'!AV77</f>
        <v>0.19689600584133801</v>
      </c>
      <c r="AW77">
        <f>'TEA Revised Non EYZ'!AW77</f>
        <v>99.342101396825598</v>
      </c>
      <c r="AX77">
        <f>'TEA Revised Non EYZ'!AX77</f>
        <v>500</v>
      </c>
      <c r="AY77">
        <f>'TEA Revised Non EYZ'!AY77</f>
        <v>95</v>
      </c>
      <c r="AZ77">
        <f>'TEA Revised Non EYZ'!AZ77</f>
        <v>0.92357064280818002</v>
      </c>
      <c r="BA77">
        <f>'TEA Revised Non EYZ'!BA77</f>
        <v>0.1</v>
      </c>
      <c r="BB77">
        <f>'TEA Revised Non EYZ'!BB77</f>
        <v>46.906519960207</v>
      </c>
      <c r="BC77" t="str">
        <f>'TEA Revised Non EYZ'!BC77</f>
        <v>coeFc</v>
      </c>
      <c r="BD77">
        <f>'TEA Revised Non EYZ'!BD77</f>
        <v>1</v>
      </c>
      <c r="BE77">
        <f>'TEA Revised Non EYZ'!BE77</f>
        <v>1.8775014999999999E-2</v>
      </c>
      <c r="BF77">
        <f>'TEA Revised Non EYZ'!BF77</f>
        <v>0.10492961100000001</v>
      </c>
      <c r="BG77">
        <f>'TEA Revised Non EYZ'!BG77</f>
        <v>1.814625E-3</v>
      </c>
      <c r="BH77">
        <f>'TEA Revised Non EYZ'!BH77</f>
        <v>285.1951444</v>
      </c>
      <c r="BI77">
        <f>'TEA Revised Non EYZ'!BI77</f>
        <v>2169.8944889999998</v>
      </c>
      <c r="BJ77">
        <f>'TEA Revised Non EYZ'!BJ77</f>
        <v>866.49409060000005</v>
      </c>
      <c r="BK77">
        <f>'TEA Revised Non EYZ'!BK77</f>
        <v>100</v>
      </c>
      <c r="BL77">
        <f>'TEA Revised Non EYZ'!BL77</f>
        <v>10.957366310586</v>
      </c>
      <c r="BM77">
        <f>'TEA Revised Non EYZ'!BM77</f>
        <v>92.357064280818008</v>
      </c>
      <c r="BN77">
        <f>'TEA Revised Non EYZ'!BN77</f>
        <v>19.6896005841338</v>
      </c>
      <c r="BO77">
        <f>'TEA Revised Non EYZ'!BO77</f>
        <v>262.97679145406403</v>
      </c>
      <c r="BP77">
        <f>'TEA Revised Non EYZ'!BP77</f>
        <v>433.17121285094356</v>
      </c>
      <c r="BQ77">
        <f>'TEA Revised Non EYZ'!BQ77</f>
        <v>26.297679145406406</v>
      </c>
      <c r="BR77">
        <f>'TEA Revised Non EYZ'!BR77</f>
        <v>43.317121285094359</v>
      </c>
      <c r="BS77">
        <f>'eLLE Bals'!CF77</f>
        <v>6.5744197863515996</v>
      </c>
      <c r="BT77">
        <f>'eLLE Bals'!CG77</f>
        <v>11.81376035048028</v>
      </c>
      <c r="BU77">
        <f>BM77</f>
        <v>92.357064280818008</v>
      </c>
      <c r="BV77">
        <f>BU77*(AM77*2+AN77*2+AO77*3)</f>
        <v>0.31407050447757079</v>
      </c>
      <c r="BW77">
        <f>BN77*BA77*(AP77*2+AQ77*2+AR77*3)</f>
        <v>0.30041614873820427</v>
      </c>
      <c r="BX77">
        <f>BV77/(2*V77*BL77+BV77)</f>
        <v>0.1253502368088413</v>
      </c>
      <c r="BY77">
        <f>BU77*BX77</f>
        <v>11.576979878569915</v>
      </c>
      <c r="BZ77">
        <f>BW77/(2*BN77*BA77+BW77)</f>
        <v>7.0880678151703763E-2</v>
      </c>
      <c r="CA77">
        <f>2*BN77*BA77/0.04</f>
        <v>98.448002920668998</v>
      </c>
      <c r="CB77">
        <f>(BS77+BL77)*2</f>
        <v>35.063572193875203</v>
      </c>
      <c r="CC77">
        <f>(BU77+BL77)*2</f>
        <v>206.62886118280801</v>
      </c>
      <c r="CD77">
        <f>(BT77+BN77)*2</f>
        <v>63.006721869228159</v>
      </c>
      <c r="CE77">
        <f>(CA77+BN77)*2</f>
        <v>236.27520700960559</v>
      </c>
      <c r="CF77">
        <f>'TEA Revised Non EYZ'!CB77</f>
        <v>3471.2936471936455</v>
      </c>
      <c r="CG77">
        <f>'TEA Revised Non EYZ'!CC77</f>
        <v>5717.8600096324553</v>
      </c>
      <c r="CH77">
        <f>'TEA Revised Non EYZ'!CD77</f>
        <v>4193.9657747282263</v>
      </c>
      <c r="CI77">
        <f>'TEA Revised Non EYZ'!CE77</f>
        <v>44102.36244797946</v>
      </c>
      <c r="CJ77">
        <f>BL77*V77</f>
        <v>1.0957366310586001</v>
      </c>
      <c r="CK77">
        <f>CJ77/2*1.2</f>
        <v>0.65744197863516007</v>
      </c>
      <c r="CL77">
        <f>'eLLE Bals'!CB77*'Oxidant Feed Composition'!$N$20</f>
        <v>3.6524554368620017E-2</v>
      </c>
      <c r="CM77">
        <f>'eLLE Bals'!CB77*'Oxidant Feed Composition'!$N$21</f>
        <v>1.8262277184310003</v>
      </c>
      <c r="CN77">
        <f>'eLLE Bals'!CB77*'Oxidant Feed Composition'!$N$22</f>
        <v>0.54786831552930004</v>
      </c>
      <c r="CO77">
        <f>CN77/CK77</f>
        <v>0.83333333333333326</v>
      </c>
      <c r="CP77">
        <f>CO77</f>
        <v>0.83333333333333326</v>
      </c>
      <c r="CQ77">
        <f>CL77/CO77</f>
        <v>4.3829465242344025E-2</v>
      </c>
      <c r="CR77">
        <f>CM77/CO77</f>
        <v>2.1914732621172006</v>
      </c>
      <c r="CS77">
        <f>BN77*BA77</f>
        <v>1.96896005841338</v>
      </c>
      <c r="CT77">
        <f>CS77/2*1.2</f>
        <v>1.181376035048028</v>
      </c>
      <c r="CU77">
        <f>'eLLE Bals'!CC77*'Oxidant Feed Composition'!$N$20</f>
        <v>6.5632001947112689E-2</v>
      </c>
      <c r="CV77">
        <f>'eLLE Bals'!CC77*'Oxidant Feed Composition'!$N$21</f>
        <v>3.2816000973556334</v>
      </c>
      <c r="CW77">
        <f>'eLLE Bals'!CC77*'Oxidant Feed Composition'!$N$22</f>
        <v>0.98448002920668998</v>
      </c>
      <c r="CX77">
        <f>CU77/CP77</f>
        <v>7.8758402336535235E-2</v>
      </c>
      <c r="CY77">
        <f>CV77/CP77</f>
        <v>3.9379201168267604</v>
      </c>
      <c r="CZ77">
        <f>CJ77</f>
        <v>1.0957366310586001</v>
      </c>
      <c r="DA77">
        <f>'eLLE Bals'!BQ77</f>
        <v>2.1914732621172002</v>
      </c>
      <c r="DB77">
        <f>'eLLE Bals'!BU77</f>
        <v>5.4541906733858641</v>
      </c>
      <c r="DC77">
        <f>CS77</f>
        <v>1.96896005841338</v>
      </c>
      <c r="DD77">
        <f>'eLLE Bals'!BX77</f>
        <v>3.9379201168267599</v>
      </c>
      <c r="DE77">
        <f>'eLLE Bals'!CA77</f>
        <v>21.871635913436023</v>
      </c>
      <c r="DF77">
        <f>2*2*(CJ77*'Reagent cost'!$C$36*122.44/1000+CK77*'Oxidant Feed Composition'!$N$26+CQ77*'Reagent cost'!$C$34+CR77*'Reagent cost'!$C$35)</f>
        <v>92.554365829472374</v>
      </c>
      <c r="DG77">
        <f>2*2*(CS77*'Reagent cost'!$C$36*122.44/1000+CT77*'Oxidant Feed Composition'!$N$26+CX77*'Reagent cost'!$C$34+CY77*'Reagent cost'!$C$35)</f>
        <v>166.31355052349736</v>
      </c>
      <c r="DH77">
        <f>(AF77+3)*2*(CZ77*'Reagent cost'!$C$38+DA77*'Reagent cost'!$C$39+DB77*'Reagent cost'!$C$36*122.44/1000)</f>
        <v>1249.0857998402605</v>
      </c>
      <c r="DI77">
        <f>3*2*(DC77*'Reagent cost'!$C$38+DD77*'Reagent cost'!$C$39+DE77*'Reagent cost'!$C$36*122.44/1000)</f>
        <v>1187.3682522218037</v>
      </c>
      <c r="DJ77">
        <f>7963.6*(CB77/1000)^0.6*1.7*('CAPEX+OPEX'!$G$116/'CAPEX+OPEX'!$G$115)</f>
        <v>2138.7234102796551</v>
      </c>
      <c r="DK77">
        <f>7963.6*(CC77/1000)^0.6*1.7*('CAPEX+OPEX'!$G$116/'CAPEX+OPEX'!$G$115)</f>
        <v>6199.4836239091055</v>
      </c>
      <c r="DL77">
        <f>7963.6*(CD77/1000)^0.6*1.7*('CAPEX+OPEX'!$G$116/'CAPEX+OPEX'!$G$115)</f>
        <v>3039.9963252325761</v>
      </c>
      <c r="DM77">
        <f>7963.6*(CE77/1000)^0.6*1.7*('CAPEX+OPEX'!$G$116/'CAPEX+OPEX'!$G$115)</f>
        <v>6718.8016356316366</v>
      </c>
      <c r="DN77">
        <f>'TEA Revised Non EYZ'!CM77</f>
        <v>39625.826528698344</v>
      </c>
      <c r="DO77">
        <f>'TEA Revised Non EYZ'!CN77</f>
        <v>4586243.4239371875</v>
      </c>
      <c r="DP77">
        <f>'TEA Revised Non EYZ'!CO77</f>
        <v>11794834.586807497</v>
      </c>
      <c r="DQ77">
        <f>'TEA Revised Non EYZ'!CP77</f>
        <v>2275209.1661185985</v>
      </c>
      <c r="DR77">
        <f>'TEA Revised Non EYZ'!CQ77</f>
        <v>14083914.336508472</v>
      </c>
      <c r="DS77">
        <f>'TEA Revised Non EYZ'!CR77</f>
        <v>1662824.8986326549</v>
      </c>
      <c r="DT77">
        <f>'TEA Revised Non EYZ'!CS77</f>
        <v>847423.79840727116</v>
      </c>
      <c r="DU77">
        <f>'TEA Revised Non EYZ'!CT77</f>
        <v>2179392.2832288719</v>
      </c>
      <c r="DV77">
        <f>'TEA Revised Non EYZ'!CU77</f>
        <v>420402.1059283549</v>
      </c>
      <c r="DW77">
        <f>'TEA Revised Non EYZ'!CV77</f>
        <v>2602357.3282642425</v>
      </c>
      <c r="DX77">
        <f>'TEA Revised Non EYZ'!CW77</f>
        <v>307248.71347447456</v>
      </c>
      <c r="DY77">
        <f>'TEA Revised Non EYZ'!CX77</f>
        <v>6356824.2293032147</v>
      </c>
      <c r="DZ77">
        <f>'TEA Revised Non EYZ'!CY77</f>
        <v>755794.15915808035</v>
      </c>
      <c r="EA77">
        <f>'TEA Revised Non EYZ'!CZ77</f>
        <v>1943740.5006496462</v>
      </c>
      <c r="EB77">
        <f>'TEA Revised Non EYZ'!DA77</f>
        <v>374945.16528281744</v>
      </c>
      <c r="EC77">
        <f>'TEA Revised Non EYZ'!DB77</f>
        <v>2320971.4813780542</v>
      </c>
      <c r="ED77">
        <f>'TEA Revised Non EYZ'!DC77</f>
        <v>274026.74256882182</v>
      </c>
      <c r="EE77">
        <f>'TEA Revised Non EYZ'!DD77</f>
        <v>5669478.0490374202</v>
      </c>
      <c r="EF77">
        <v>0.7</v>
      </c>
      <c r="EG77">
        <v>100</v>
      </c>
      <c r="EH77">
        <f>96485*BL77*V77/EF77/EG77/60</f>
        <v>25.171940201830719</v>
      </c>
      <c r="EI77">
        <f>96485*BN77*BA77/EF77/EG77/60</f>
        <v>45.232169341908325</v>
      </c>
      <c r="EJ77">
        <f>EH77*('CAPEX+OPEX'!$O$25+'CAPEX+OPEX'!$O$26)</f>
        <v>802280.07811274868</v>
      </c>
      <c r="EK77">
        <f>EI77*('CAPEX+OPEX'!$O$25+'CAPEX+OPEX'!$O$26)</f>
        <v>1441639.701265302</v>
      </c>
      <c r="EL77">
        <f>EJ77*1.12/0.6*'CAPEX+OPEX'!$G$116/'CAPEX+OPEX'!$G$115</f>
        <v>1766344.2502316802</v>
      </c>
      <c r="EM77">
        <f>EK77*1.12/0.6*'CAPEX+OPEX'!$G$116/'CAPEX+OPEX'!$G$115</f>
        <v>3173993.8042906509</v>
      </c>
      <c r="EN77">
        <f>EL77+EM77+DY77+EE77+1.15*(SUM(DF77:DM77)+SUM(CF77:CI77))</f>
        <v>17056659.813032418</v>
      </c>
      <c r="EO77">
        <f>EN77/15</f>
        <v>1137110.6542021611</v>
      </c>
      <c r="EP77">
        <f>('eLLE Bals'!CB77+'eLLE Bals'!CC77)*'Oxidant Feed Composition'!$N$25*60*7200</f>
        <v>12340816.439285357</v>
      </c>
      <c r="EQ77" s="83">
        <f>('eLLE Bals'!BR77+'eLLE Bals'!BY77)*'Reagent cost'!$C$38*60*7200</f>
        <v>505288.3222367611</v>
      </c>
      <c r="ER77">
        <f>'TEA Revised Non EYZ'!DI77</f>
        <v>504921.59999999998</v>
      </c>
      <c r="ES77">
        <f>'TEA Revised Non EYZ'!DJ77</f>
        <v>91.891536568261003</v>
      </c>
      <c r="ET77">
        <f>'TEA Revised Non EYZ'!DK77</f>
        <v>965.92656445415378</v>
      </c>
      <c r="EU77">
        <f>1.2*SUM(EP77:ET77)</f>
        <v>16022501.015547767</v>
      </c>
      <c r="EV77">
        <f>'TEA Revised Non EYZ'!DM77</f>
        <v>0.70639694042110623</v>
      </c>
      <c r="EW77">
        <f>(BS77*CO77+BT77*CP77)/1000*('Oxidant Feed Composition'!$B$11*'Oxidant Feed Composition'!$O$20+'Oxidant Feed Composition'!$D$11*'Oxidant Feed Composition'!$O$21+'Oxidant Feed Composition'!$F$11*'Oxidant Feed Composition'!$O$27-'Oxidant Feed Composition'!$J$15*18.015)</f>
        <v>1.7895459655975396</v>
      </c>
      <c r="EX77">
        <f>(CZ77*BX77+DC77*BZ77)*368.34/1000</f>
        <v>0.10199779200276589</v>
      </c>
      <c r="EY77">
        <f>'TEA Revised Non EYZ'!DP77</f>
        <v>4.999938342565946E-2</v>
      </c>
      <c r="EZ77">
        <f>SUM(EV77:EX77)-EY77</f>
        <v>2.5479413145957523</v>
      </c>
      <c r="FA77">
        <f>EZ77*0.33*60*7200</f>
        <v>363234.51380877045</v>
      </c>
      <c r="FB77">
        <f>'TEA Revised Non EYZ'!DS77</f>
        <v>1.2</v>
      </c>
      <c r="FC77">
        <v>0.5</v>
      </c>
      <c r="FD77">
        <f>'TEA Revised Non EYZ'!DT77</f>
        <v>1405.8694518465684</v>
      </c>
      <c r="FE77">
        <f>'TEA Revised Non EYZ'!DU77</f>
        <v>705.8189218133607</v>
      </c>
      <c r="FF77">
        <f>'TEA Revised Non EYZ'!DV77</f>
        <v>0.7</v>
      </c>
      <c r="FG77">
        <f>'TEA Revised Non EYZ'!DW77</f>
        <v>46784.46952433938</v>
      </c>
      <c r="FH77">
        <f>'TEA Revised Non EYZ'!DX77</f>
        <v>45678.708869524045</v>
      </c>
      <c r="FI77">
        <f>'TEA Revised Non EYZ'!DY77</f>
        <v>19339.775932661389</v>
      </c>
      <c r="FJ77">
        <f>'TEA Revised Non EYZ'!DZ77</f>
        <v>10244.818866671721</v>
      </c>
      <c r="FK77">
        <f>'TEA Revised Non EYZ'!EA77</f>
        <v>10314.547164086078</v>
      </c>
      <c r="FL77">
        <f>'TEA Revised Non EYZ'!EB77</f>
        <v>850.26984447680456</v>
      </c>
      <c r="FM77">
        <f>'TEA Revised Non EYZ'!EC77</f>
        <v>41141.89135669313</v>
      </c>
      <c r="FN77">
        <f>'TEA Revised Non EYZ'!ED77</f>
        <v>38793.910291610271</v>
      </c>
      <c r="FO77">
        <f>'TEA Revised Non EYZ'!EE77</f>
        <v>16424.84105088338</v>
      </c>
      <c r="FP77">
        <f>'TEA Revised Non EYZ'!EF77</f>
        <v>8705.5403087172472</v>
      </c>
      <c r="FQ77">
        <f>'TEA Revised Non EYZ'!EG77</f>
        <v>8759.9152271378043</v>
      </c>
      <c r="FR77">
        <f>'TEA Revised Non EYZ'!EH77</f>
        <v>426.87928391272061</v>
      </c>
      <c r="FS77">
        <f>'TEA Revised Non EYZ'!EI77</f>
        <v>247465.56772071397</v>
      </c>
      <c r="FT77">
        <f>EG77*EH77</f>
        <v>2517.1940201830716</v>
      </c>
      <c r="FU77">
        <f>EG77*EI77</f>
        <v>4523.216934190832</v>
      </c>
      <c r="FV77">
        <f>FC77*(FT77+FU77)/(3.6*10^6)*3600*7200*0.07</f>
        <v>1774.1835605022241</v>
      </c>
      <c r="FW77">
        <f>('CAPEX+OPEX'!$C$39/7/100+0.03)*EL77</f>
        <v>90840.561440486417</v>
      </c>
      <c r="FX77">
        <f>('CAPEX+OPEX'!$C$39/7/100+0.03)*EM77</f>
        <v>163233.9670778049</v>
      </c>
      <c r="FY77">
        <f>SUM(FV77:FX77)</f>
        <v>255848.71207879356</v>
      </c>
      <c r="FZ77">
        <f>FY77+FA77+FS77+EU77</f>
        <v>16889049.809156045</v>
      </c>
      <c r="GA77">
        <f>FZ77+EO77</f>
        <v>18026160.463358205</v>
      </c>
      <c r="GB77">
        <f>GA77/(BK77*60*7200)</f>
        <v>0.41727223294810661</v>
      </c>
      <c r="GC77">
        <f>'TEA Revised Non EYZ'!EM77/'TEA Revised Non EYZ'!EK77*GA77</f>
        <v>1395.9842164656779</v>
      </c>
      <c r="GD77">
        <f>'TEA Revised Non EYZ'!EN77/'TEA Revised Non EYZ'!EK77*GA77</f>
        <v>2561.8959992486107</v>
      </c>
    </row>
    <row r="78" spans="1:186">
      <c r="A78">
        <f>'TEA Revised Non EYZ'!A78</f>
        <v>10</v>
      </c>
      <c r="B78">
        <f>'TEA Revised Non EYZ'!B78</f>
        <v>1.54143585092054E-3</v>
      </c>
      <c r="C78">
        <f>'TEA Revised Non EYZ'!C78</f>
        <v>1.54143585092054E-3</v>
      </c>
      <c r="D78">
        <f>'TEA Revised Non EYZ'!D78</f>
        <v>3.4254130020456501E-4</v>
      </c>
      <c r="E78">
        <f>'TEA Revised Non EYZ'!E78</f>
        <v>0</v>
      </c>
      <c r="F78">
        <f>'TEA Revised Non EYZ'!F78</f>
        <v>0</v>
      </c>
      <c r="G78">
        <f>'TEA Revised Non EYZ'!G78</f>
        <v>0</v>
      </c>
      <c r="H78">
        <f>'TEA Revised Non EYZ'!H78</f>
        <v>1.7770671970930099E-5</v>
      </c>
      <c r="I78">
        <f>'TEA Revised Non EYZ'!I78</f>
        <v>5.2649488631162003E-10</v>
      </c>
      <c r="J78">
        <f>'TEA Revised Non EYZ'!J78</f>
        <v>3.3765279177869602E-4</v>
      </c>
      <c r="K78">
        <f>'TEA Revised Non EYZ'!K78</f>
        <v>0.139053960209192</v>
      </c>
      <c r="L78">
        <f>'TEA Revised Non EYZ'!L78</f>
        <v>0.14067571356050099</v>
      </c>
      <c r="M78">
        <f>'TEA Revised Non EYZ'!M78</f>
        <v>4.4613899794023002E-4</v>
      </c>
      <c r="N78">
        <f>'TEA Revised Non EYZ'!N78</f>
        <v>-1.6046192152785399E-16</v>
      </c>
      <c r="O78">
        <f>'TEA Revised Non EYZ'!O78</f>
        <v>-5.9831913729046996E-14</v>
      </c>
      <c r="P78">
        <f>'TEA Revised Non EYZ'!P78</f>
        <v>-6.6915602833089703E-20</v>
      </c>
      <c r="Q78">
        <f>'TEA Revised Non EYZ'!Q78</f>
        <v>0.10957366310586</v>
      </c>
      <c r="R78">
        <f>'TEA Revised Non EYZ'!R78</f>
        <v>98.572870359588904</v>
      </c>
      <c r="S78">
        <f>'TEA Revised Non EYZ'!S78</f>
        <v>500</v>
      </c>
      <c r="T78">
        <f>'TEA Revised Non EYZ'!T78</f>
        <v>95</v>
      </c>
      <c r="U78">
        <f>'TEA Revised Non EYZ'!U78</f>
        <v>1</v>
      </c>
      <c r="V78">
        <f>'TEA Revised Non EYZ'!V78</f>
        <v>0.1</v>
      </c>
      <c r="W78">
        <f>'TEA Revised Non EYZ'!W78</f>
        <v>91.262806376555005</v>
      </c>
      <c r="X78" t="str">
        <f>'TEA Revised Non EYZ'!X78</f>
        <v>ddFc</v>
      </c>
      <c r="Y78">
        <f>'TEA Revised Non EYZ'!Y78</f>
        <v>1</v>
      </c>
      <c r="Z78">
        <f>'TEA Revised Non EYZ'!Z78</f>
        <v>0.28318429382522198</v>
      </c>
      <c r="AA78">
        <f>'TEA Revised Non EYZ'!AA78</f>
        <v>0.56945642916197003</v>
      </c>
      <c r="AB78">
        <f>'TEA Revised Non EYZ'!AB78</f>
        <v>3.7698628972227502E-3</v>
      </c>
      <c r="AC78">
        <f>'TEA Revised Non EYZ'!AC78</f>
        <v>1822.2107908876901</v>
      </c>
      <c r="AD78">
        <f>'TEA Revised Non EYZ'!AD78</f>
        <v>2662.6059073104898</v>
      </c>
      <c r="AE78">
        <f>'TEA Revised Non EYZ'!AE78</f>
        <v>2401.5030938442701</v>
      </c>
      <c r="AF78">
        <f>'TEA Revised Non EYZ'!AF78</f>
        <v>10</v>
      </c>
      <c r="AG78">
        <f>'TEA Revised Non EYZ'!AG78</f>
        <v>1.6497548842793E-3</v>
      </c>
      <c r="AH78">
        <f>'TEA Revised Non EYZ'!AH78</f>
        <v>1.66899558413707E-3</v>
      </c>
      <c r="AI78">
        <f>'TEA Revised Non EYZ'!AI78</f>
        <v>5.2930530695573503E-6</v>
      </c>
      <c r="AJ78">
        <f>'TEA Revised Non EYZ'!AJ78</f>
        <v>0</v>
      </c>
      <c r="AK78">
        <f>'TEA Revised Non EYZ'!AK78</f>
        <v>0</v>
      </c>
      <c r="AL78">
        <f>'TEA Revised Non EYZ'!AL78</f>
        <v>0</v>
      </c>
      <c r="AM78">
        <f>'TEA Revised Non EYZ'!AM78</f>
        <v>1.612803928521E-3</v>
      </c>
      <c r="AN78">
        <f>'TEA Revised Non EYZ'!AN78</f>
        <v>7.96261771409158E-5</v>
      </c>
      <c r="AO78">
        <f>'TEA Revised Non EYZ'!AO78</f>
        <v>5.2582401488513497E-6</v>
      </c>
      <c r="AP78">
        <f>'TEA Revised Non EYZ'!AP78</f>
        <v>1.7333856890078599E-3</v>
      </c>
      <c r="AQ78">
        <f>'TEA Revised Non EYZ'!AQ78</f>
        <v>7.4558022378498803E-2</v>
      </c>
      <c r="AR78">
        <f>'TEA Revised Non EYZ'!AR78</f>
        <v>1.6330895187087101E-6</v>
      </c>
      <c r="AS78">
        <f>'TEA Revised Non EYZ'!AS78</f>
        <v>6.1817751980698602E-15</v>
      </c>
      <c r="AT78">
        <f>'TEA Revised Non EYZ'!AT78</f>
        <v>-6.4017497899970799E-13</v>
      </c>
      <c r="AU78">
        <f>'TEA Revised Non EYZ'!AU78</f>
        <v>5.9603326218120902E-20</v>
      </c>
      <c r="AV78">
        <f>'TEA Revised Non EYZ'!AV78</f>
        <v>0.196879541421767</v>
      </c>
      <c r="AW78">
        <f>'TEA Revised Non EYZ'!AW78</f>
        <v>99.342290352117899</v>
      </c>
      <c r="AX78">
        <f>'TEA Revised Non EYZ'!AX78</f>
        <v>500</v>
      </c>
      <c r="AY78">
        <f>'TEA Revised Non EYZ'!AY78</f>
        <v>95</v>
      </c>
      <c r="AZ78">
        <f>'TEA Revised Non EYZ'!AZ78</f>
        <v>0.92357064280818002</v>
      </c>
      <c r="BA78">
        <f>'TEA Revised Non EYZ'!BA78</f>
        <v>0.1</v>
      </c>
      <c r="BB78">
        <f>'TEA Revised Non EYZ'!BB78</f>
        <v>46.910442605595598</v>
      </c>
      <c r="BC78" t="str">
        <f>'TEA Revised Non EYZ'!BC78</f>
        <v>coeFc</v>
      </c>
      <c r="BD78">
        <f>'TEA Revised Non EYZ'!BD78</f>
        <v>1</v>
      </c>
      <c r="BE78">
        <f>'TEA Revised Non EYZ'!BE78</f>
        <v>1.8775014999999999E-2</v>
      </c>
      <c r="BF78">
        <f>'TEA Revised Non EYZ'!BF78</f>
        <v>0.10492961100000001</v>
      </c>
      <c r="BG78">
        <f>'TEA Revised Non EYZ'!BG78</f>
        <v>1.814625E-3</v>
      </c>
      <c r="BH78">
        <f>'TEA Revised Non EYZ'!BH78</f>
        <v>285.1951444</v>
      </c>
      <c r="BI78">
        <f>'TEA Revised Non EYZ'!BI78</f>
        <v>2169.8944889999998</v>
      </c>
      <c r="BJ78">
        <f>'TEA Revised Non EYZ'!BJ78</f>
        <v>866.49409060000005</v>
      </c>
      <c r="BK78">
        <f>'TEA Revised Non EYZ'!BK78</f>
        <v>100</v>
      </c>
      <c r="BL78">
        <f>'TEA Revised Non EYZ'!BL78</f>
        <v>10.957366310586</v>
      </c>
      <c r="BM78">
        <f>'TEA Revised Non EYZ'!BM78</f>
        <v>92.357064280818008</v>
      </c>
      <c r="BN78">
        <f>'TEA Revised Non EYZ'!BN78</f>
        <v>19.6879541421767</v>
      </c>
      <c r="BO78">
        <f>'TEA Revised Non EYZ'!BO78</f>
        <v>262.97679145406403</v>
      </c>
      <c r="BP78">
        <f>'TEA Revised Non EYZ'!BP78</f>
        <v>472.5108994122408</v>
      </c>
      <c r="BQ78">
        <f>'TEA Revised Non EYZ'!BQ78</f>
        <v>26.297679145406406</v>
      </c>
      <c r="BR78">
        <f>'TEA Revised Non EYZ'!BR78</f>
        <v>47.25108994122408</v>
      </c>
      <c r="BS78">
        <f>'eLLE Bals'!CF78</f>
        <v>6.5744197863515996</v>
      </c>
      <c r="BT78">
        <f>'eLLE Bals'!CG78</f>
        <v>11.81277248530602</v>
      </c>
      <c r="BU78">
        <f>BM78</f>
        <v>92.357064280818008</v>
      </c>
      <c r="BV78">
        <f>BU78*(AM78*2+AN78*2+AO78*3)</f>
        <v>0.31407265898911269</v>
      </c>
      <c r="BW78">
        <f>BN78*BA78*(AP78*2+AQ78*2+AR78*3)</f>
        <v>0.30041399435249844</v>
      </c>
      <c r="BX78">
        <f>BV78/(2*V78*BL78+BV78)</f>
        <v>0.12535098891759097</v>
      </c>
      <c r="BY78">
        <f>BU78*BX78</f>
        <v>11.577049341126056</v>
      </c>
      <c r="BZ78">
        <f>BW78/(2*BN78*BA78+BW78)</f>
        <v>7.0885713186819951E-2</v>
      </c>
      <c r="CA78">
        <f>2*BN78*BA78/0.04</f>
        <v>98.439770710883494</v>
      </c>
      <c r="CB78">
        <f>(BS78+BL78)*2</f>
        <v>35.063572193875203</v>
      </c>
      <c r="CC78">
        <f>(BU78+BL78)*2</f>
        <v>206.62886118280801</v>
      </c>
      <c r="CD78">
        <f>(BT78+BN78)*2</f>
        <v>63.00145325496544</v>
      </c>
      <c r="CE78">
        <f>(CA78+BN78)*2</f>
        <v>236.25544970612037</v>
      </c>
      <c r="CF78">
        <f>'TEA Revised Non EYZ'!CB78</f>
        <v>3471.2936471936455</v>
      </c>
      <c r="CG78">
        <f>'TEA Revised Non EYZ'!CC78</f>
        <v>6237.1438722415787</v>
      </c>
      <c r="CH78">
        <f>'TEA Revised Non EYZ'!CD78</f>
        <v>4193.9657747282263</v>
      </c>
      <c r="CI78">
        <f>'TEA Revised Non EYZ'!CE78</f>
        <v>48107.645033351197</v>
      </c>
      <c r="CJ78">
        <f>BL78*V78</f>
        <v>1.0957366310586001</v>
      </c>
      <c r="CK78">
        <f>CJ78/2*1.2</f>
        <v>0.65744197863516007</v>
      </c>
      <c r="CL78">
        <f>'eLLE Bals'!CB78*'Oxidant Feed Composition'!$N$20</f>
        <v>3.6524554368620017E-2</v>
      </c>
      <c r="CM78">
        <f>'eLLE Bals'!CB78*'Oxidant Feed Composition'!$N$21</f>
        <v>1.8262277184310003</v>
      </c>
      <c r="CN78">
        <f>'eLLE Bals'!CB78*'Oxidant Feed Composition'!$N$22</f>
        <v>0.54786831552930004</v>
      </c>
      <c r="CO78">
        <f>CN78/CK78</f>
        <v>0.83333333333333326</v>
      </c>
      <c r="CP78">
        <f>CO78</f>
        <v>0.83333333333333326</v>
      </c>
      <c r="CQ78">
        <f>CL78/CO78</f>
        <v>4.3829465242344025E-2</v>
      </c>
      <c r="CR78">
        <f>CM78/CO78</f>
        <v>2.1914732621172006</v>
      </c>
      <c r="CS78">
        <f>BN78*BA78</f>
        <v>1.96879541421767</v>
      </c>
      <c r="CT78">
        <f>CS78/2*1.2</f>
        <v>1.181277248530602</v>
      </c>
      <c r="CU78">
        <f>'eLLE Bals'!CC78*'Oxidant Feed Composition'!$N$20</f>
        <v>6.562651380725569E-2</v>
      </c>
      <c r="CV78">
        <f>'eLLE Bals'!CC78*'Oxidant Feed Composition'!$N$21</f>
        <v>3.2813256903627837</v>
      </c>
      <c r="CW78">
        <f>'eLLE Bals'!CC78*'Oxidant Feed Composition'!$N$22</f>
        <v>0.98439770710883501</v>
      </c>
      <c r="CX78">
        <f>CU78/CP78</f>
        <v>7.8751816568706834E-2</v>
      </c>
      <c r="CY78">
        <f>CV78/CP78</f>
        <v>3.9375908284353409</v>
      </c>
      <c r="CZ78">
        <f>CJ78</f>
        <v>1.0957366310586001</v>
      </c>
      <c r="DA78">
        <f>'eLLE Bals'!BQ78</f>
        <v>2.1914732621172002</v>
      </c>
      <c r="DB78">
        <f>'eLLE Bals'!BU78</f>
        <v>5.4541382256641127</v>
      </c>
      <c r="DC78">
        <f>CS78</f>
        <v>1.96879541421767</v>
      </c>
      <c r="DD78">
        <f>'eLLE Bals'!BX78</f>
        <v>3.93759082843534</v>
      </c>
      <c r="DE78">
        <f>'eLLE Bals'!CA78</f>
        <v>21.867834057972193</v>
      </c>
      <c r="DF78">
        <f>2*2*(CJ78*'Reagent cost'!$C$36*122.44/1000+CK78*'Oxidant Feed Composition'!$N$26+CQ78*'Reagent cost'!$C$34+CR78*'Reagent cost'!$C$35)</f>
        <v>92.554365829472374</v>
      </c>
      <c r="DG78">
        <f>2*2*(CS78*'Reagent cost'!$C$36*122.44/1000+CT78*'Oxidant Feed Composition'!$N$26+CX78*'Reagent cost'!$C$34+CY78*'Reagent cost'!$C$35)</f>
        <v>166.29964340504432</v>
      </c>
      <c r="DH78">
        <f>(AF78+3)*2*(CZ78*'Reagent cost'!$C$38+DA78*'Reagent cost'!$C$39+DB78*'Reagent cost'!$C$36*122.44/1000)</f>
        <v>1353.16449215022</v>
      </c>
      <c r="DI78">
        <f>3*2*(DC78*'Reagent cost'!$C$38+DD78*'Reagent cost'!$C$39+DE78*'Reagent cost'!$C$36*122.44/1000)</f>
        <v>1187.1666073409137</v>
      </c>
      <c r="DJ78">
        <f>7963.6*(CB78/1000)^0.6*1.7*('CAPEX+OPEX'!$G$116/'CAPEX+OPEX'!$G$115)</f>
        <v>2138.7234102796551</v>
      </c>
      <c r="DK78">
        <f>7963.6*(CC78/1000)^0.6*1.7*('CAPEX+OPEX'!$G$116/'CAPEX+OPEX'!$G$115)</f>
        <v>6199.4836239091055</v>
      </c>
      <c r="DL78">
        <f>7963.6*(CD78/1000)^0.6*1.7*('CAPEX+OPEX'!$G$116/'CAPEX+OPEX'!$G$115)</f>
        <v>3039.8438002124476</v>
      </c>
      <c r="DM78">
        <f>7963.6*(CE78/1000)^0.6*1.7*('CAPEX+OPEX'!$G$116/'CAPEX+OPEX'!$G$115)</f>
        <v>6718.4645347785172</v>
      </c>
      <c r="DN78">
        <f>'TEA Revised Non EYZ'!CM78</f>
        <v>39625.826528698344</v>
      </c>
      <c r="DO78">
        <f>'TEA Revised Non EYZ'!CN78</f>
        <v>4586243.4239371875</v>
      </c>
      <c r="DP78">
        <f>'TEA Revised Non EYZ'!CO78</f>
        <v>11794834.586807497</v>
      </c>
      <c r="DQ78">
        <f>'TEA Revised Non EYZ'!CP78</f>
        <v>2275209.1661185985</v>
      </c>
      <c r="DR78">
        <f>'TEA Revised Non EYZ'!CQ78</f>
        <v>14083914.336508472</v>
      </c>
      <c r="DS78">
        <f>'TEA Revised Non EYZ'!CR78</f>
        <v>1662824.8986326549</v>
      </c>
      <c r="DT78">
        <f>'TEA Revised Non EYZ'!CS78</f>
        <v>847423.79840727116</v>
      </c>
      <c r="DU78">
        <f>'TEA Revised Non EYZ'!CT78</f>
        <v>2179392.2832288719</v>
      </c>
      <c r="DV78">
        <f>'TEA Revised Non EYZ'!CU78</f>
        <v>420402.1059283549</v>
      </c>
      <c r="DW78">
        <f>'TEA Revised Non EYZ'!CV78</f>
        <v>2602357.3282642425</v>
      </c>
      <c r="DX78">
        <f>'TEA Revised Non EYZ'!CW78</f>
        <v>307248.71347447456</v>
      </c>
      <c r="DY78">
        <f>'TEA Revised Non EYZ'!CX78</f>
        <v>6356824.2293032147</v>
      </c>
      <c r="DZ78">
        <f>'TEA Revised Non EYZ'!CY78</f>
        <v>800274.80164615484</v>
      </c>
      <c r="EA78">
        <f>'TEA Revised Non EYZ'!CZ78</f>
        <v>2058135.1744524958</v>
      </c>
      <c r="EB78">
        <f>'TEA Revised Non EYZ'!DA78</f>
        <v>397011.75794894132</v>
      </c>
      <c r="EC78">
        <f>'TEA Revised Non EYZ'!DB78</f>
        <v>2457567.2746072533</v>
      </c>
      <c r="ED78">
        <f>'TEA Revised Non EYZ'!DC78</f>
        <v>290153.99814586045</v>
      </c>
      <c r="EE78">
        <f>'TEA Revised Non EYZ'!DD78</f>
        <v>6003143.0068007056</v>
      </c>
      <c r="EF78">
        <v>0.7</v>
      </c>
      <c r="EG78">
        <v>100</v>
      </c>
      <c r="EH78">
        <f>96485*BL78*V78/EF78/EG78/60</f>
        <v>25.171940201830719</v>
      </c>
      <c r="EI78">
        <f>96485*BN78*BA78/EF78/EG78/60</f>
        <v>45.228387033521891</v>
      </c>
      <c r="EJ78">
        <f>EH78*('CAPEX+OPEX'!$O$25+'CAPEX+OPEX'!$O$26)</f>
        <v>802280.07811274868</v>
      </c>
      <c r="EK78">
        <f>EI78*('CAPEX+OPEX'!$O$25+'CAPEX+OPEX'!$O$26)</f>
        <v>1441519.1515324097</v>
      </c>
      <c r="EL78">
        <f>EJ78*1.12/0.6*'CAPEX+OPEX'!$G$116/'CAPEX+OPEX'!$G$115</f>
        <v>1766344.2502316802</v>
      </c>
      <c r="EM78">
        <f>EK78*1.12/0.6*'CAPEX+OPEX'!$G$116/'CAPEX+OPEX'!$G$115</f>
        <v>3173728.3953226726</v>
      </c>
      <c r="EN78">
        <f>EL78+EM78+DY78+EE78+1.15*(SUM(DF78:DM78)+SUM(CF78:CI78))</f>
        <v>17395381.492784504</v>
      </c>
      <c r="EO78">
        <f>EN78/15</f>
        <v>1159692.0995189669</v>
      </c>
      <c r="EP78">
        <f>('eLLE Bals'!CB78+'eLLE Bals'!CC78)*'Oxidant Feed Composition'!$N$25*60*7200</f>
        <v>12340153.455635447</v>
      </c>
      <c r="EQ78" s="83">
        <f>('eLLE Bals'!BR78+'eLLE Bals'!BY78)*'Reagent cost'!$C$38*60*7200</f>
        <v>505286.61972273863</v>
      </c>
      <c r="ER78">
        <f>'TEA Revised Non EYZ'!DI78</f>
        <v>504921.59999999998</v>
      </c>
      <c r="ES78">
        <f>'TEA Revised Non EYZ'!DJ78</f>
        <v>97.084375194352248</v>
      </c>
      <c r="ET78">
        <f>'TEA Revised Non EYZ'!DK78</f>
        <v>1046.0322161615884</v>
      </c>
      <c r="EU78">
        <f>1.2*SUM(EP78:ET78)</f>
        <v>16021805.75033945</v>
      </c>
      <c r="EV78">
        <f>'TEA Revised Non EYZ'!DM78</f>
        <v>0.70639694042110623</v>
      </c>
      <c r="EW78">
        <f>(BS78*CO78+BT78*CP78)/1000*('Oxidant Feed Composition'!$B$11*'Oxidant Feed Composition'!$O$20+'Oxidant Feed Composition'!$D$11*'Oxidant Feed Composition'!$O$21+'Oxidant Feed Composition'!$F$11*'Oxidant Feed Composition'!$O$27-'Oxidant Feed Composition'!$J$15*18.015)</f>
        <v>1.7894498261142413</v>
      </c>
      <c r="EX78">
        <f>(CZ78*BX78+DC78*BZ78)*368.34/1000</f>
        <v>0.10199744833230388</v>
      </c>
      <c r="EY78">
        <f>'TEA Revised Non EYZ'!DP78</f>
        <v>4.999938342565946E-2</v>
      </c>
      <c r="EZ78">
        <f>SUM(EV78:EX78)-EY78</f>
        <v>2.5478448314419921</v>
      </c>
      <c r="FA78">
        <f>EZ78*0.33*60*7200</f>
        <v>363220.75917037041</v>
      </c>
      <c r="FB78">
        <f>'TEA Revised Non EYZ'!DS78</f>
        <v>1.2</v>
      </c>
      <c r="FC78">
        <v>0.5</v>
      </c>
      <c r="FD78">
        <f>'TEA Revised Non EYZ'!DT78</f>
        <v>1405.8791012986701</v>
      </c>
      <c r="FE78">
        <f>'TEA Revised Non EYZ'!DU78</f>
        <v>705.80927264751585</v>
      </c>
      <c r="FF78">
        <f>'TEA Revised Non EYZ'!DV78</f>
        <v>0.7</v>
      </c>
      <c r="FG78">
        <f>'TEA Revised Non EYZ'!DW78</f>
        <v>46784.46952433938</v>
      </c>
      <c r="FH78">
        <f>'TEA Revised Non EYZ'!DX78</f>
        <v>45678.708869524045</v>
      </c>
      <c r="FI78">
        <f>'TEA Revised Non EYZ'!DY78</f>
        <v>19339.775932661389</v>
      </c>
      <c r="FJ78">
        <f>'TEA Revised Non EYZ'!DZ78</f>
        <v>10244.818866671721</v>
      </c>
      <c r="FK78">
        <f>'TEA Revised Non EYZ'!EA78</f>
        <v>10314.547164086078</v>
      </c>
      <c r="FL78">
        <f>'TEA Revised Non EYZ'!EB78</f>
        <v>850.2756804654357</v>
      </c>
      <c r="FM78">
        <f>'TEA Revised Non EYZ'!EC78</f>
        <v>43713.259566486457</v>
      </c>
      <c r="FN78">
        <f>'TEA Revised Non EYZ'!ED78</f>
        <v>42673.301320771294</v>
      </c>
      <c r="FO78">
        <f>'TEA Revised Non EYZ'!EE78</f>
        <v>18067.325155971717</v>
      </c>
      <c r="FP78">
        <f>'TEA Revised Non EYZ'!EF78</f>
        <v>9576.0943395889717</v>
      </c>
      <c r="FQ78">
        <f>'TEA Revised Non EYZ'!EG78</f>
        <v>9635.9067498515833</v>
      </c>
      <c r="FR78">
        <f>'TEA Revised Non EYZ'!EH78</f>
        <v>426.87344809721759</v>
      </c>
      <c r="FS78">
        <f>'TEA Revised Non EYZ'!EI78</f>
        <v>257305.35661851533</v>
      </c>
      <c r="FT78">
        <f>EG78*EH78</f>
        <v>2517.1940201830716</v>
      </c>
      <c r="FU78">
        <f>EG78*EI78</f>
        <v>4522.8387033521894</v>
      </c>
      <c r="FV78">
        <f>FC78*(FT78+FU78)/(3.6*10^6)*3600*7200*0.07</f>
        <v>1774.0882463308858</v>
      </c>
      <c r="FW78">
        <f>('CAPEX+OPEX'!$C$39/7/100+0.03)*EL78</f>
        <v>90840.561440486417</v>
      </c>
      <c r="FX78">
        <f>('CAPEX+OPEX'!$C$39/7/100+0.03)*EM78</f>
        <v>163220.31747373744</v>
      </c>
      <c r="FY78">
        <f>SUM(FV78:FX78)</f>
        <v>255834.96716055472</v>
      </c>
      <c r="FZ78">
        <f>FY78+FA78+FS78+EU78</f>
        <v>16898166.833288889</v>
      </c>
      <c r="GA78">
        <f>FZ78+EO78</f>
        <v>18057858.932807855</v>
      </c>
      <c r="GB78">
        <f>GA78/(BK78*60*7200)</f>
        <v>0.41800599381499665</v>
      </c>
      <c r="GC78">
        <f>'TEA Revised Non EYZ'!EM78/'TEA Revised Non EYZ'!EK78*GA78</f>
        <v>1398.4294090840926</v>
      </c>
      <c r="GD78">
        <f>'TEA Revised Non EYZ'!EN78/'TEA Revised Non EYZ'!EK78*GA78</f>
        <v>2566.4333636005267</v>
      </c>
    </row>
    <row r="79" spans="1:186">
      <c r="A79">
        <f>'TEA Revised Non EYZ'!A79</f>
        <v>10</v>
      </c>
      <c r="B79">
        <f>'TEA Revised Non EYZ'!B79</f>
        <v>1.54143585092054E-3</v>
      </c>
      <c r="C79">
        <f>'TEA Revised Non EYZ'!C79</f>
        <v>1.54143585092054E-3</v>
      </c>
      <c r="D79">
        <f>'TEA Revised Non EYZ'!D79</f>
        <v>3.4254130020456501E-4</v>
      </c>
      <c r="E79">
        <f>'TEA Revised Non EYZ'!E79</f>
        <v>0</v>
      </c>
      <c r="F79">
        <f>'TEA Revised Non EYZ'!F79</f>
        <v>0</v>
      </c>
      <c r="G79">
        <f>'TEA Revised Non EYZ'!G79</f>
        <v>0</v>
      </c>
      <c r="H79">
        <f>'TEA Revised Non EYZ'!H79</f>
        <v>1.7770671970930099E-5</v>
      </c>
      <c r="I79">
        <f>'TEA Revised Non EYZ'!I79</f>
        <v>5.2649488631162003E-10</v>
      </c>
      <c r="J79">
        <f>'TEA Revised Non EYZ'!J79</f>
        <v>3.3765279177869602E-4</v>
      </c>
      <c r="K79">
        <f>'TEA Revised Non EYZ'!K79</f>
        <v>0.139053960209192</v>
      </c>
      <c r="L79">
        <f>'TEA Revised Non EYZ'!L79</f>
        <v>0.14067571356050099</v>
      </c>
      <c r="M79">
        <f>'TEA Revised Non EYZ'!M79</f>
        <v>4.4613899794023002E-4</v>
      </c>
      <c r="N79">
        <f>'TEA Revised Non EYZ'!N79</f>
        <v>-1.6046192152785399E-16</v>
      </c>
      <c r="O79">
        <f>'TEA Revised Non EYZ'!O79</f>
        <v>-5.9831913729046996E-14</v>
      </c>
      <c r="P79">
        <f>'TEA Revised Non EYZ'!P79</f>
        <v>-6.6915602833089703E-20</v>
      </c>
      <c r="Q79">
        <f>'TEA Revised Non EYZ'!Q79</f>
        <v>0.10957366310586</v>
      </c>
      <c r="R79">
        <f>'TEA Revised Non EYZ'!R79</f>
        <v>98.572870359588904</v>
      </c>
      <c r="S79">
        <f>'TEA Revised Non EYZ'!S79</f>
        <v>500</v>
      </c>
      <c r="T79">
        <f>'TEA Revised Non EYZ'!T79</f>
        <v>95</v>
      </c>
      <c r="U79">
        <f>'TEA Revised Non EYZ'!U79</f>
        <v>1</v>
      </c>
      <c r="V79">
        <f>'TEA Revised Non EYZ'!V79</f>
        <v>0.1</v>
      </c>
      <c r="W79">
        <f>'TEA Revised Non EYZ'!W79</f>
        <v>91.262806376555005</v>
      </c>
      <c r="X79" t="str">
        <f>'TEA Revised Non EYZ'!X79</f>
        <v>ddFc</v>
      </c>
      <c r="Y79">
        <f>'TEA Revised Non EYZ'!Y79</f>
        <v>1</v>
      </c>
      <c r="Z79">
        <f>'TEA Revised Non EYZ'!Z79</f>
        <v>0.28318429382522198</v>
      </c>
      <c r="AA79">
        <f>'TEA Revised Non EYZ'!AA79</f>
        <v>0.56945642916197003</v>
      </c>
      <c r="AB79">
        <f>'TEA Revised Non EYZ'!AB79</f>
        <v>3.7698628972227502E-3</v>
      </c>
      <c r="AC79">
        <f>'TEA Revised Non EYZ'!AC79</f>
        <v>1822.2107908876901</v>
      </c>
      <c r="AD79">
        <f>'TEA Revised Non EYZ'!AD79</f>
        <v>2662.6059073104898</v>
      </c>
      <c r="AE79">
        <f>'TEA Revised Non EYZ'!AE79</f>
        <v>2401.5030938442701</v>
      </c>
      <c r="AF79">
        <f>'TEA Revised Non EYZ'!AF79</f>
        <v>11</v>
      </c>
      <c r="AG79">
        <f>'TEA Revised Non EYZ'!AG79</f>
        <v>1.6497548842793E-3</v>
      </c>
      <c r="AH79">
        <f>'TEA Revised Non EYZ'!AH79</f>
        <v>1.66899558413707E-3</v>
      </c>
      <c r="AI79">
        <f>'TEA Revised Non EYZ'!AI79</f>
        <v>5.2930530695573503E-6</v>
      </c>
      <c r="AJ79">
        <f>'TEA Revised Non EYZ'!AJ79</f>
        <v>0</v>
      </c>
      <c r="AK79">
        <f>'TEA Revised Non EYZ'!AK79</f>
        <v>0</v>
      </c>
      <c r="AL79">
        <f>'TEA Revised Non EYZ'!AL79</f>
        <v>0</v>
      </c>
      <c r="AM79">
        <f>'TEA Revised Non EYZ'!AM79</f>
        <v>1.6128070427284199E-3</v>
      </c>
      <c r="AN79">
        <f>'TEA Revised Non EYZ'!AN79</f>
        <v>7.9626338235286499E-5</v>
      </c>
      <c r="AO79">
        <f>'TEA Revised Non EYZ'!AO79</f>
        <v>5.2582429609278296E-6</v>
      </c>
      <c r="AP79">
        <f>'TEA Revised Non EYZ'!AP79</f>
        <v>1.73328035546949E-3</v>
      </c>
      <c r="AQ79">
        <f>'TEA Revised Non EYZ'!AQ79</f>
        <v>7.4559767943401897E-2</v>
      </c>
      <c r="AR79">
        <f>'TEA Revised Non EYZ'!AR79</f>
        <v>1.6329960000428399E-6</v>
      </c>
      <c r="AS79">
        <f>'TEA Revised Non EYZ'!AS79</f>
        <v>1.9974730962150899E-15</v>
      </c>
      <c r="AT79">
        <f>'TEA Revised Non EYZ'!AT79</f>
        <v>-1.98872819254236E-13</v>
      </c>
      <c r="AU79">
        <f>'TEA Revised Non EYZ'!AU79</f>
        <v>1.25797627557064E-20</v>
      </c>
      <c r="AV79">
        <f>'TEA Revised Non EYZ'!AV79</f>
        <v>0.19687491213897099</v>
      </c>
      <c r="AW79">
        <f>'TEA Revised Non EYZ'!AW79</f>
        <v>99.342343479801301</v>
      </c>
      <c r="AX79">
        <f>'TEA Revised Non EYZ'!AX79</f>
        <v>500</v>
      </c>
      <c r="AY79">
        <f>'TEA Revised Non EYZ'!AY79</f>
        <v>95</v>
      </c>
      <c r="AZ79">
        <f>'TEA Revised Non EYZ'!AZ79</f>
        <v>0.92357064280818002</v>
      </c>
      <c r="BA79">
        <f>'TEA Revised Non EYZ'!BA79</f>
        <v>0.1</v>
      </c>
      <c r="BB79">
        <f>'TEA Revised Non EYZ'!BB79</f>
        <v>46.911545649668199</v>
      </c>
      <c r="BC79" t="str">
        <f>'TEA Revised Non EYZ'!BC79</f>
        <v>coeFc</v>
      </c>
      <c r="BD79">
        <f>'TEA Revised Non EYZ'!BD79</f>
        <v>1</v>
      </c>
      <c r="BE79">
        <f>'TEA Revised Non EYZ'!BE79</f>
        <v>1.8775014999999999E-2</v>
      </c>
      <c r="BF79">
        <f>'TEA Revised Non EYZ'!BF79</f>
        <v>0.10492961100000001</v>
      </c>
      <c r="BG79">
        <f>'TEA Revised Non EYZ'!BG79</f>
        <v>1.814625E-3</v>
      </c>
      <c r="BH79">
        <f>'TEA Revised Non EYZ'!BH79</f>
        <v>285.1951444</v>
      </c>
      <c r="BI79">
        <f>'TEA Revised Non EYZ'!BI79</f>
        <v>2169.8944889999998</v>
      </c>
      <c r="BJ79">
        <f>'TEA Revised Non EYZ'!BJ79</f>
        <v>866.49409060000005</v>
      </c>
      <c r="BK79">
        <f>'TEA Revised Non EYZ'!BK79</f>
        <v>100</v>
      </c>
      <c r="BL79">
        <f>'TEA Revised Non EYZ'!BL79</f>
        <v>10.957366310586</v>
      </c>
      <c r="BM79">
        <f>'TEA Revised Non EYZ'!BM79</f>
        <v>92.357064280818008</v>
      </c>
      <c r="BN79">
        <f>'TEA Revised Non EYZ'!BN79</f>
        <v>19.687491213897097</v>
      </c>
      <c r="BO79">
        <f>'TEA Revised Non EYZ'!BO79</f>
        <v>262.97679145406403</v>
      </c>
      <c r="BP79">
        <f>'TEA Revised Non EYZ'!BP79</f>
        <v>511.87477156132451</v>
      </c>
      <c r="BQ79">
        <f>'TEA Revised Non EYZ'!BQ79</f>
        <v>26.297679145406406</v>
      </c>
      <c r="BR79">
        <f>'TEA Revised Non EYZ'!BR79</f>
        <v>51.187477156132452</v>
      </c>
      <c r="BS79">
        <f>'eLLE Bals'!CF79</f>
        <v>6.5744197863515996</v>
      </c>
      <c r="BT79">
        <f>'eLLE Bals'!CG79</f>
        <v>11.812494728338258</v>
      </c>
      <c r="BU79">
        <f>BM79</f>
        <v>92.357064280818008</v>
      </c>
      <c r="BV79">
        <f>BU79*(AM79*2+AN79*2+AO79*3)</f>
        <v>0.31407326476277408</v>
      </c>
      <c r="BW79">
        <f>BN79*BA79*(AP79*2+AQ79*2+AR79*3)</f>
        <v>0.30041338849141241</v>
      </c>
      <c r="BX79">
        <f>BV79/(2*V79*BL79+BV79)</f>
        <v>0.12535120038416253</v>
      </c>
      <c r="BY79">
        <f>BU79*BX79</f>
        <v>11.577068871557797</v>
      </c>
      <c r="BZ79">
        <f>BW79/(2*BN79*BA79+BW79)</f>
        <v>7.088712899880048E-2</v>
      </c>
      <c r="CA79">
        <f>2*BN79*BA79/0.04</f>
        <v>98.437456069485478</v>
      </c>
      <c r="CB79">
        <f>(BS79+BL79)*2</f>
        <v>35.063572193875203</v>
      </c>
      <c r="CC79">
        <f>(BU79+BL79)*2</f>
        <v>206.62886118280801</v>
      </c>
      <c r="CD79">
        <f>(BT79+BN79)*2</f>
        <v>62.99997188447071</v>
      </c>
      <c r="CE79">
        <f>(CA79+BN79)*2</f>
        <v>236.24989456676514</v>
      </c>
      <c r="CF79">
        <f>'TEA Revised Non EYZ'!CB79</f>
        <v>3471.2936471936455</v>
      </c>
      <c r="CG79">
        <f>'TEA Revised Non EYZ'!CC79</f>
        <v>6756.7469846094846</v>
      </c>
      <c r="CH79">
        <f>'TEA Revised Non EYZ'!CD79</f>
        <v>4193.9657747282263</v>
      </c>
      <c r="CI79">
        <f>'TEA Revised Non EYZ'!CE79</f>
        <v>52115.390020486797</v>
      </c>
      <c r="CJ79">
        <f>BL79*V79</f>
        <v>1.0957366310586001</v>
      </c>
      <c r="CK79">
        <f>CJ79/2*1.2</f>
        <v>0.65744197863516007</v>
      </c>
      <c r="CL79">
        <f>'eLLE Bals'!CB79*'Oxidant Feed Composition'!$N$20</f>
        <v>3.6524554368620017E-2</v>
      </c>
      <c r="CM79">
        <f>'eLLE Bals'!CB79*'Oxidant Feed Composition'!$N$21</f>
        <v>1.8262277184310003</v>
      </c>
      <c r="CN79">
        <f>'eLLE Bals'!CB79*'Oxidant Feed Composition'!$N$22</f>
        <v>0.54786831552930004</v>
      </c>
      <c r="CO79">
        <f>CN79/CK79</f>
        <v>0.83333333333333326</v>
      </c>
      <c r="CP79">
        <f>CO79</f>
        <v>0.83333333333333326</v>
      </c>
      <c r="CQ79">
        <f>CL79/CO79</f>
        <v>4.3829465242344025E-2</v>
      </c>
      <c r="CR79">
        <f>CM79/CO79</f>
        <v>2.1914732621172006</v>
      </c>
      <c r="CS79">
        <f>BN79*BA79</f>
        <v>1.9687491213897097</v>
      </c>
      <c r="CT79">
        <f>CS79/2*1.2</f>
        <v>1.1812494728338259</v>
      </c>
      <c r="CU79">
        <f>'eLLE Bals'!CC79*'Oxidant Feed Composition'!$N$20</f>
        <v>6.5624970712990352E-2</v>
      </c>
      <c r="CV79">
        <f>'eLLE Bals'!CC79*'Oxidant Feed Composition'!$N$21</f>
        <v>3.2812485356495165</v>
      </c>
      <c r="CW79">
        <f>'eLLE Bals'!CC79*'Oxidant Feed Composition'!$N$22</f>
        <v>0.98437456069485485</v>
      </c>
      <c r="CX79">
        <f>CU79/CP79</f>
        <v>7.8749964855588425E-2</v>
      </c>
      <c r="CY79">
        <f>CV79/CP79</f>
        <v>3.9374982427794203</v>
      </c>
      <c r="CZ79">
        <f>CJ79</f>
        <v>1.0957366310586001</v>
      </c>
      <c r="DA79">
        <f>'eLLE Bals'!BQ79</f>
        <v>2.1914732621172002</v>
      </c>
      <c r="DB79">
        <f>'eLLE Bals'!BU79</f>
        <v>5.4541234784628276</v>
      </c>
      <c r="DC79">
        <f>CS79</f>
        <v>1.9687491213897097</v>
      </c>
      <c r="DD79">
        <f>'eLLE Bals'!BX79</f>
        <v>3.9374982427794194</v>
      </c>
      <c r="DE79">
        <f>'eLLE Bals'!CA79</f>
        <v>21.866765158640536</v>
      </c>
      <c r="DF79">
        <f>2*2*(CJ79*'Reagent cost'!$C$36*122.44/1000+CK79*'Oxidant Feed Composition'!$N$26+CQ79*'Reagent cost'!$C$34+CR79*'Reagent cost'!$C$35)</f>
        <v>92.554365829472374</v>
      </c>
      <c r="DG79">
        <f>2*2*(CS79*'Reagent cost'!$C$36*122.44/1000+CT79*'Oxidant Feed Composition'!$N$26+CX79*'Reagent cost'!$C$34+CY79*'Reagent cost'!$C$35)</f>
        <v>166.29573315579933</v>
      </c>
      <c r="DH79">
        <f>(AF79+3)*2*(CZ79*'Reagent cost'!$C$38+DA79*'Reagent cost'!$C$39+DB79*'Reagent cost'!$C$36*122.44/1000)</f>
        <v>1457.2504980546728</v>
      </c>
      <c r="DI79">
        <f>3*2*(DC79*'Reagent cost'!$C$38+DD79*'Reagent cost'!$C$39+DE79*'Reagent cost'!$C$36*122.44/1000)</f>
        <v>1187.1099144015911</v>
      </c>
      <c r="DJ79">
        <f>7963.6*(CB79/1000)^0.6*1.7*('CAPEX+OPEX'!$G$116/'CAPEX+OPEX'!$G$115)</f>
        <v>2138.7234102796551</v>
      </c>
      <c r="DK79">
        <f>7963.6*(CC79/1000)^0.6*1.7*('CAPEX+OPEX'!$G$116/'CAPEX+OPEX'!$G$115)</f>
        <v>6199.4836239091055</v>
      </c>
      <c r="DL79">
        <f>7963.6*(CD79/1000)^0.6*1.7*('CAPEX+OPEX'!$G$116/'CAPEX+OPEX'!$G$115)</f>
        <v>3039.8009140008598</v>
      </c>
      <c r="DM79">
        <f>7963.6*(CE79/1000)^0.6*1.7*('CAPEX+OPEX'!$G$116/'CAPEX+OPEX'!$G$115)</f>
        <v>6718.3697504703332</v>
      </c>
      <c r="DN79">
        <f>'TEA Revised Non EYZ'!CM79</f>
        <v>39625.826528698344</v>
      </c>
      <c r="DO79">
        <f>'TEA Revised Non EYZ'!CN79</f>
        <v>4586243.4239371875</v>
      </c>
      <c r="DP79">
        <f>'TEA Revised Non EYZ'!CO79</f>
        <v>11794834.586807497</v>
      </c>
      <c r="DQ79">
        <f>'TEA Revised Non EYZ'!CP79</f>
        <v>2275209.1661185985</v>
      </c>
      <c r="DR79">
        <f>'TEA Revised Non EYZ'!CQ79</f>
        <v>14083914.336508472</v>
      </c>
      <c r="DS79">
        <f>'TEA Revised Non EYZ'!CR79</f>
        <v>1662824.8986326549</v>
      </c>
      <c r="DT79">
        <f>'TEA Revised Non EYZ'!CS79</f>
        <v>847423.79840727116</v>
      </c>
      <c r="DU79">
        <f>'TEA Revised Non EYZ'!CT79</f>
        <v>2179392.2832288719</v>
      </c>
      <c r="DV79">
        <f>'TEA Revised Non EYZ'!CU79</f>
        <v>420402.1059283549</v>
      </c>
      <c r="DW79">
        <f>'TEA Revised Non EYZ'!CV79</f>
        <v>2602357.3282642425</v>
      </c>
      <c r="DX79">
        <f>'TEA Revised Non EYZ'!CW79</f>
        <v>307248.71347447456</v>
      </c>
      <c r="DY79">
        <f>'TEA Revised Non EYZ'!CX79</f>
        <v>6356824.2293032147</v>
      </c>
      <c r="DZ79">
        <f>'TEA Revised Non EYZ'!CY79</f>
        <v>843164.43385652674</v>
      </c>
      <c r="EA79">
        <f>'TEA Revised Non EYZ'!CZ79</f>
        <v>2168438.1110061919</v>
      </c>
      <c r="EB79">
        <f>'TEA Revised Non EYZ'!DA79</f>
        <v>418289.05950410414</v>
      </c>
      <c r="EC79">
        <f>'TEA Revised Non EYZ'!DB79</f>
        <v>2589277.2276425567</v>
      </c>
      <c r="ED79">
        <f>'TEA Revised Non EYZ'!DC79</f>
        <v>305704.40438037703</v>
      </c>
      <c r="EE79">
        <f>'TEA Revised Non EYZ'!DD79</f>
        <v>6324873.2363897571</v>
      </c>
      <c r="EF79">
        <v>0.7</v>
      </c>
      <c r="EG79">
        <v>100</v>
      </c>
      <c r="EH79">
        <f>96485*BL79*V79/EF79/EG79/60</f>
        <v>25.171940201830719</v>
      </c>
      <c r="EI79">
        <f>96485*BN79*BA79/EF79/EG79/60</f>
        <v>45.227323566020509</v>
      </c>
      <c r="EJ79">
        <f>EH79*('CAPEX+OPEX'!$O$25+'CAPEX+OPEX'!$O$26)</f>
        <v>802280.07811274868</v>
      </c>
      <c r="EK79">
        <f>EI79*('CAPEX+OPEX'!$O$25+'CAPEX+OPEX'!$O$26)</f>
        <v>1441485.2566962056</v>
      </c>
      <c r="EL79">
        <f>EJ79*1.12/0.6*'CAPEX+OPEX'!$G$116/'CAPEX+OPEX'!$G$115</f>
        <v>1766344.2502316802</v>
      </c>
      <c r="EM79">
        <f>EK79*1.12/0.6*'CAPEX+OPEX'!$G$116/'CAPEX+OPEX'!$G$115</f>
        <v>3173653.7705741897</v>
      </c>
      <c r="EN79">
        <f>EL79+EM79+DY79+EE79+1.15*(SUM(DF79:DM79)+SUM(CF79:CI79))</f>
        <v>17722363.018831529</v>
      </c>
      <c r="EO79">
        <f>EN79/15</f>
        <v>1181490.8679221019</v>
      </c>
      <c r="EP79">
        <f>('eLLE Bals'!CB79+'eLLE Bals'!CC79)*'Oxidant Feed Composition'!$N$25*60*7200</f>
        <v>12339967.045249626</v>
      </c>
      <c r="EQ79" s="83">
        <f>('eLLE Bals'!BR79+'eLLE Bals'!BY79)*'Reagent cost'!$C$38*60*7200</f>
        <v>505286.14089695213</v>
      </c>
      <c r="ER79">
        <f>'TEA Revised Non EYZ'!DI79</f>
        <v>504921.59999999998</v>
      </c>
      <c r="ES79">
        <f>'TEA Revised Non EYZ'!DJ79</f>
        <v>102.28040631803131</v>
      </c>
      <c r="ET79">
        <f>'TEA Revised Non EYZ'!DK79</f>
        <v>1126.1871159043005</v>
      </c>
      <c r="EU79">
        <f>1.2*SUM(EP79:ET79)</f>
        <v>16021683.90440256</v>
      </c>
      <c r="EV79">
        <f>'TEA Revised Non EYZ'!DM79</f>
        <v>0.70639694042110623</v>
      </c>
      <c r="EW79">
        <f>(BS79*CO79+BT79*CP79)/1000*('Oxidant Feed Composition'!$B$11*'Oxidant Feed Composition'!$O$20+'Oxidant Feed Composition'!$D$11*'Oxidant Feed Composition'!$O$21+'Oxidant Feed Composition'!$F$11*'Oxidant Feed Composition'!$O$27-'Oxidant Feed Composition'!$J$15*18.015)</f>
        <v>1.7894227946811481</v>
      </c>
      <c r="EX79">
        <f>(CZ79*BX79+DC79*BZ79)*368.34/1000</f>
        <v>0.10199735167625458</v>
      </c>
      <c r="EY79">
        <f>'TEA Revised Non EYZ'!DP79</f>
        <v>4.999938342565946E-2</v>
      </c>
      <c r="EZ79">
        <f>SUM(EV79:EX79)-EY79</f>
        <v>2.5478177033528495</v>
      </c>
      <c r="FA79">
        <f>EZ79*0.33*60*7200</f>
        <v>363216.89178998227</v>
      </c>
      <c r="FB79">
        <f>'TEA Revised Non EYZ'!DS79</f>
        <v>1.2</v>
      </c>
      <c r="FC79">
        <v>0.5</v>
      </c>
      <c r="FD79">
        <f>'TEA Revised Non EYZ'!DT79</f>
        <v>1405.8818143920212</v>
      </c>
      <c r="FE79">
        <f>'TEA Revised Non EYZ'!DU79</f>
        <v>705.80655935524931</v>
      </c>
      <c r="FF79">
        <f>'TEA Revised Non EYZ'!DV79</f>
        <v>0.7</v>
      </c>
      <c r="FG79">
        <f>'TEA Revised Non EYZ'!DW79</f>
        <v>46784.46952433938</v>
      </c>
      <c r="FH79">
        <f>'TEA Revised Non EYZ'!DX79</f>
        <v>45678.708869524045</v>
      </c>
      <c r="FI79">
        <f>'TEA Revised Non EYZ'!DY79</f>
        <v>19339.775932661389</v>
      </c>
      <c r="FJ79">
        <f>'TEA Revised Non EYZ'!DZ79</f>
        <v>10244.818866671721</v>
      </c>
      <c r="FK79">
        <f>'TEA Revised Non EYZ'!EA79</f>
        <v>10314.547164086078</v>
      </c>
      <c r="FL79">
        <f>'TEA Revised Non EYZ'!EB79</f>
        <v>850.27732134429448</v>
      </c>
      <c r="FM79">
        <f>'TEA Revised Non EYZ'!EC79</f>
        <v>46284.627776279776</v>
      </c>
      <c r="FN79">
        <f>'TEA Revised Non EYZ'!ED79</f>
        <v>46552.692349932324</v>
      </c>
      <c r="FO79">
        <f>'TEA Revised Non EYZ'!EE79</f>
        <v>19709.809261060054</v>
      </c>
      <c r="FP79">
        <f>'TEA Revised Non EYZ'!EF79</f>
        <v>10446.648370460696</v>
      </c>
      <c r="FQ79">
        <f>'TEA Revised Non EYZ'!EG79</f>
        <v>10511.898272565364</v>
      </c>
      <c r="FR79">
        <f>'TEA Revised Non EYZ'!EH79</f>
        <v>426.87180709805483</v>
      </c>
      <c r="FS79">
        <f>'TEA Revised Non EYZ'!EI79</f>
        <v>267145.14551602321</v>
      </c>
      <c r="FT79">
        <f>EG79*EH79</f>
        <v>2517.1940201830716</v>
      </c>
      <c r="FU79">
        <f>EG79*EI79</f>
        <v>4522.7323566020505</v>
      </c>
      <c r="FV79">
        <f>FC79*(FT79+FU79)/(3.6*10^6)*3600*7200*0.07</f>
        <v>1774.0614469498507</v>
      </c>
      <c r="FW79">
        <f>('CAPEX+OPEX'!$C$39/7/100+0.03)*EL79</f>
        <v>90840.561440486417</v>
      </c>
      <c r="FX79">
        <f>('CAPEX+OPEX'!$C$39/7/100+0.03)*EM79</f>
        <v>163216.47962952976</v>
      </c>
      <c r="FY79">
        <f>SUM(FV79:FX79)</f>
        <v>255831.10251696603</v>
      </c>
      <c r="FZ79">
        <f>FY79+FA79+FS79+EU79</f>
        <v>16907877.044225533</v>
      </c>
      <c r="GA79">
        <f>FZ79+EO79</f>
        <v>18089367.912147634</v>
      </c>
      <c r="GB79">
        <f>GA79/(BK79*60*7200)</f>
        <v>0.41873536833675079</v>
      </c>
      <c r="GC79">
        <f>'TEA Revised Non EYZ'!EM79/'TEA Revised Non EYZ'!EK79*GA79</f>
        <v>1400.866809636176</v>
      </c>
      <c r="GD79">
        <f>'TEA Revised Non EYZ'!EN79/'TEA Revised Non EYZ'!EK79*GA79</f>
        <v>2570.9206194218596</v>
      </c>
    </row>
    <row r="80" spans="1:186">
      <c r="A80">
        <f>'TEA Revised Non EYZ'!A80</f>
        <v>10</v>
      </c>
      <c r="B80">
        <f>'TEA Revised Non EYZ'!B80</f>
        <v>1.54143585092054E-3</v>
      </c>
      <c r="C80">
        <f>'TEA Revised Non EYZ'!C80</f>
        <v>1.54143585092054E-3</v>
      </c>
      <c r="D80">
        <f>'TEA Revised Non EYZ'!D80</f>
        <v>3.4254130020456501E-4</v>
      </c>
      <c r="E80">
        <f>'TEA Revised Non EYZ'!E80</f>
        <v>0</v>
      </c>
      <c r="F80">
        <f>'TEA Revised Non EYZ'!F80</f>
        <v>0</v>
      </c>
      <c r="G80">
        <f>'TEA Revised Non EYZ'!G80</f>
        <v>0</v>
      </c>
      <c r="H80">
        <f>'TEA Revised Non EYZ'!H80</f>
        <v>1.7770671970930099E-5</v>
      </c>
      <c r="I80">
        <f>'TEA Revised Non EYZ'!I80</f>
        <v>5.2649488631162003E-10</v>
      </c>
      <c r="J80">
        <f>'TEA Revised Non EYZ'!J80</f>
        <v>3.3765279177869602E-4</v>
      </c>
      <c r="K80">
        <f>'TEA Revised Non EYZ'!K80</f>
        <v>0.139053960209192</v>
      </c>
      <c r="L80">
        <f>'TEA Revised Non EYZ'!L80</f>
        <v>0.14067571356050099</v>
      </c>
      <c r="M80">
        <f>'TEA Revised Non EYZ'!M80</f>
        <v>4.4613899794023002E-4</v>
      </c>
      <c r="N80">
        <f>'TEA Revised Non EYZ'!N80</f>
        <v>-1.6046192152785399E-16</v>
      </c>
      <c r="O80">
        <f>'TEA Revised Non EYZ'!O80</f>
        <v>-5.9831913729046996E-14</v>
      </c>
      <c r="P80">
        <f>'TEA Revised Non EYZ'!P80</f>
        <v>-6.6915602833089703E-20</v>
      </c>
      <c r="Q80">
        <f>'TEA Revised Non EYZ'!Q80</f>
        <v>0.10957366310586</v>
      </c>
      <c r="R80">
        <f>'TEA Revised Non EYZ'!R80</f>
        <v>98.572870359588904</v>
      </c>
      <c r="S80">
        <f>'TEA Revised Non EYZ'!S80</f>
        <v>500</v>
      </c>
      <c r="T80">
        <f>'TEA Revised Non EYZ'!T80</f>
        <v>95</v>
      </c>
      <c r="U80">
        <f>'TEA Revised Non EYZ'!U80</f>
        <v>1</v>
      </c>
      <c r="V80">
        <f>'TEA Revised Non EYZ'!V80</f>
        <v>0.1</v>
      </c>
      <c r="W80">
        <f>'TEA Revised Non EYZ'!W80</f>
        <v>91.262806376555005</v>
      </c>
      <c r="X80" t="str">
        <f>'TEA Revised Non EYZ'!X80</f>
        <v>ddFc</v>
      </c>
      <c r="Y80">
        <f>'TEA Revised Non EYZ'!Y80</f>
        <v>1</v>
      </c>
      <c r="Z80">
        <f>'TEA Revised Non EYZ'!Z80</f>
        <v>0.28318429382522198</v>
      </c>
      <c r="AA80">
        <f>'TEA Revised Non EYZ'!AA80</f>
        <v>0.56945642916197003</v>
      </c>
      <c r="AB80">
        <f>'TEA Revised Non EYZ'!AB80</f>
        <v>3.7698628972227502E-3</v>
      </c>
      <c r="AC80">
        <f>'TEA Revised Non EYZ'!AC80</f>
        <v>1822.2107908876901</v>
      </c>
      <c r="AD80">
        <f>'TEA Revised Non EYZ'!AD80</f>
        <v>2662.6059073104898</v>
      </c>
      <c r="AE80">
        <f>'TEA Revised Non EYZ'!AE80</f>
        <v>2401.5030938442701</v>
      </c>
      <c r="AF80">
        <f>'TEA Revised Non EYZ'!AF80</f>
        <v>12</v>
      </c>
      <c r="AG80">
        <f>'TEA Revised Non EYZ'!AG80</f>
        <v>1.6497548842793E-3</v>
      </c>
      <c r="AH80">
        <f>'TEA Revised Non EYZ'!AH80</f>
        <v>1.66899558413707E-3</v>
      </c>
      <c r="AI80">
        <f>'TEA Revised Non EYZ'!AI80</f>
        <v>5.2930530695573503E-6</v>
      </c>
      <c r="AJ80">
        <f>'TEA Revised Non EYZ'!AJ80</f>
        <v>0</v>
      </c>
      <c r="AK80">
        <f>'TEA Revised Non EYZ'!AK80</f>
        <v>0</v>
      </c>
      <c r="AL80">
        <f>'TEA Revised Non EYZ'!AL80</f>
        <v>0</v>
      </c>
      <c r="AM80">
        <f>'TEA Revised Non EYZ'!AM80</f>
        <v>1.6128079179820701E-3</v>
      </c>
      <c r="AN80">
        <f>'TEA Revised Non EYZ'!AN80</f>
        <v>7.9626383510946294E-5</v>
      </c>
      <c r="AO80">
        <f>'TEA Revised Non EYZ'!AO80</f>
        <v>5.2582437512666399E-6</v>
      </c>
      <c r="AP80">
        <f>'TEA Revised Non EYZ'!AP80</f>
        <v>1.7332507504425E-3</v>
      </c>
      <c r="AQ80">
        <f>'TEA Revised Non EYZ'!AQ80</f>
        <v>7.4560258551583894E-2</v>
      </c>
      <c r="AR80">
        <f>'TEA Revised Non EYZ'!AR80</f>
        <v>1.6329697157021899E-6</v>
      </c>
      <c r="AS80">
        <f>'TEA Revised Non EYZ'!AS80</f>
        <v>3.9110560493341098E-16</v>
      </c>
      <c r="AT80">
        <f>'TEA Revised Non EYZ'!AT80</f>
        <v>-3.8191238366236302E-14</v>
      </c>
      <c r="AU80">
        <f>'TEA Revised Non EYZ'!AU80</f>
        <v>-3.3021050053116801E-21</v>
      </c>
      <c r="AV80">
        <f>'TEA Revised Non EYZ'!AV80</f>
        <v>0.19687361106780901</v>
      </c>
      <c r="AW80">
        <f>'TEA Revised Non EYZ'!AW80</f>
        <v>99.342358411425806</v>
      </c>
      <c r="AX80">
        <f>'TEA Revised Non EYZ'!AX80</f>
        <v>500</v>
      </c>
      <c r="AY80">
        <f>'TEA Revised Non EYZ'!AY80</f>
        <v>95</v>
      </c>
      <c r="AZ80">
        <f>'TEA Revised Non EYZ'!AZ80</f>
        <v>0.92357064280818002</v>
      </c>
      <c r="BA80">
        <f>'TEA Revised Non EYZ'!BA80</f>
        <v>0.1</v>
      </c>
      <c r="BB80">
        <f>'TEA Revised Non EYZ'!BB80</f>
        <v>46.911855672219602</v>
      </c>
      <c r="BC80" t="str">
        <f>'TEA Revised Non EYZ'!BC80</f>
        <v>coeFc</v>
      </c>
      <c r="BD80">
        <f>'TEA Revised Non EYZ'!BD80</f>
        <v>1</v>
      </c>
      <c r="BE80">
        <f>'TEA Revised Non EYZ'!BE80</f>
        <v>1.8775014999999999E-2</v>
      </c>
      <c r="BF80">
        <f>'TEA Revised Non EYZ'!BF80</f>
        <v>0.10492961100000001</v>
      </c>
      <c r="BG80">
        <f>'TEA Revised Non EYZ'!BG80</f>
        <v>1.814625E-3</v>
      </c>
      <c r="BH80">
        <f>'TEA Revised Non EYZ'!BH80</f>
        <v>285.1951444</v>
      </c>
      <c r="BI80">
        <f>'TEA Revised Non EYZ'!BI80</f>
        <v>2169.8944889999998</v>
      </c>
      <c r="BJ80">
        <f>'TEA Revised Non EYZ'!BJ80</f>
        <v>866.49409060000005</v>
      </c>
      <c r="BK80">
        <f>'TEA Revised Non EYZ'!BK80</f>
        <v>100</v>
      </c>
      <c r="BL80">
        <f>'TEA Revised Non EYZ'!BL80</f>
        <v>10.957366310586</v>
      </c>
      <c r="BM80">
        <f>'TEA Revised Non EYZ'!BM80</f>
        <v>92.357064280818008</v>
      </c>
      <c r="BN80">
        <f>'TEA Revised Non EYZ'!BN80</f>
        <v>19.687361106780902</v>
      </c>
      <c r="BO80">
        <f>'TEA Revised Non EYZ'!BO80</f>
        <v>262.97679145406403</v>
      </c>
      <c r="BP80">
        <f>'TEA Revised Non EYZ'!BP80</f>
        <v>551.2461109898652</v>
      </c>
      <c r="BQ80">
        <f>'TEA Revised Non EYZ'!BQ80</f>
        <v>26.297679145406406</v>
      </c>
      <c r="BR80">
        <f>'TEA Revised Non EYZ'!BR80</f>
        <v>55.12461109898652</v>
      </c>
      <c r="BS80">
        <f>'eLLE Bals'!CF80</f>
        <v>6.5744197863515996</v>
      </c>
      <c r="BT80">
        <f>'eLLE Bals'!CG80</f>
        <v>11.812416664068541</v>
      </c>
      <c r="BU80">
        <f>BM80</f>
        <v>92.357064280818008</v>
      </c>
      <c r="BV80">
        <f>BU80*(AM80*2+AN80*2+AO80*3)</f>
        <v>0.31407343501652346</v>
      </c>
      <c r="BW80">
        <f>BN80*BA80*(AP80*2+AQ80*2+AR80*3)</f>
        <v>0.30041321820584915</v>
      </c>
      <c r="BX80">
        <f>BV80/(2*V80*BL80+BV80)</f>
        <v>0.12535125981719472</v>
      </c>
      <c r="BY80">
        <f>BU80*BX80</f>
        <v>11.577074360618171</v>
      </c>
      <c r="BZ80">
        <f>BW80/(2*BN80*BA80+BW80)</f>
        <v>7.0887526925903818E-2</v>
      </c>
      <c r="CA80">
        <f>2*BN80*BA80/0.04</f>
        <v>98.436805533904518</v>
      </c>
      <c r="CB80">
        <f>(BS80+BL80)*2</f>
        <v>35.063572193875203</v>
      </c>
      <c r="CC80">
        <f>(BU80+BL80)*2</f>
        <v>206.62886118280801</v>
      </c>
      <c r="CD80">
        <f>(BT80+BN80)*2</f>
        <v>62.999555541698882</v>
      </c>
      <c r="CE80">
        <f>(CA80+BN80)*2</f>
        <v>236.24833328137083</v>
      </c>
      <c r="CF80">
        <f>'TEA Revised Non EYZ'!CB80</f>
        <v>3471.2936471936455</v>
      </c>
      <c r="CG80">
        <f>'TEA Revised Non EYZ'!CC80</f>
        <v>7276.4486650662202</v>
      </c>
      <c r="CH80">
        <f>'TEA Revised Non EYZ'!CD80</f>
        <v>4193.9657747282263</v>
      </c>
      <c r="CI80">
        <f>'TEA Revised Non EYZ'!CE80</f>
        <v>56123.895272052112</v>
      </c>
      <c r="CJ80">
        <f>BL80*V80</f>
        <v>1.0957366310586001</v>
      </c>
      <c r="CK80">
        <f>CJ80/2*1.2</f>
        <v>0.65744197863516007</v>
      </c>
      <c r="CL80">
        <f>'eLLE Bals'!CB80*'Oxidant Feed Composition'!$N$20</f>
        <v>3.6524554368620017E-2</v>
      </c>
      <c r="CM80">
        <f>'eLLE Bals'!CB80*'Oxidant Feed Composition'!$N$21</f>
        <v>1.8262277184310003</v>
      </c>
      <c r="CN80">
        <f>'eLLE Bals'!CB80*'Oxidant Feed Composition'!$N$22</f>
        <v>0.54786831552930004</v>
      </c>
      <c r="CO80">
        <f>CN80/CK80</f>
        <v>0.83333333333333326</v>
      </c>
      <c r="CP80">
        <f>CO80</f>
        <v>0.83333333333333326</v>
      </c>
      <c r="CQ80">
        <f>CL80/CO80</f>
        <v>4.3829465242344025E-2</v>
      </c>
      <c r="CR80">
        <f>CM80/CO80</f>
        <v>2.1914732621172006</v>
      </c>
      <c r="CS80">
        <f>BN80*BA80</f>
        <v>1.9687361106780903</v>
      </c>
      <c r="CT80">
        <f>CS80/2*1.2</f>
        <v>1.1812416664068541</v>
      </c>
      <c r="CU80">
        <f>'eLLE Bals'!CC80*'Oxidant Feed Composition'!$N$20</f>
        <v>6.5624537022603041E-2</v>
      </c>
      <c r="CV80">
        <f>'eLLE Bals'!CC80*'Oxidant Feed Composition'!$N$21</f>
        <v>3.2812268511301506</v>
      </c>
      <c r="CW80">
        <f>'eLLE Bals'!CC80*'Oxidant Feed Composition'!$N$22</f>
        <v>0.98436805533904514</v>
      </c>
      <c r="CX80">
        <f>CU80/CP80</f>
        <v>7.8749444427123658E-2</v>
      </c>
      <c r="CY80">
        <f>CV80/CP80</f>
        <v>3.937472221356181</v>
      </c>
      <c r="CZ80">
        <f>CJ80</f>
        <v>1.0957366310586001</v>
      </c>
      <c r="DA80">
        <f>'eLLE Bals'!BQ80</f>
        <v>2.1914732621172002</v>
      </c>
      <c r="DB80">
        <f>'eLLE Bals'!BU80</f>
        <v>5.454119333695763</v>
      </c>
      <c r="DC80">
        <f>CS80</f>
        <v>1.9687361106780903</v>
      </c>
      <c r="DD80">
        <f>'eLLE Bals'!BX80</f>
        <v>3.9374722213561806</v>
      </c>
      <c r="DE80">
        <f>'eLLE Bals'!CA80</f>
        <v>21.866464746770401</v>
      </c>
      <c r="DF80">
        <f>2*2*(CJ80*'Reagent cost'!$C$36*122.44/1000+CK80*'Oxidant Feed Composition'!$N$26+CQ80*'Reagent cost'!$C$34+CR80*'Reagent cost'!$C$35)</f>
        <v>92.554365829472374</v>
      </c>
      <c r="DG80">
        <f>2*2*(CS80*'Reagent cost'!$C$36*122.44/1000+CT80*'Oxidant Feed Composition'!$N$26+CX80*'Reagent cost'!$C$34+CY80*'Reagent cost'!$C$35)</f>
        <v>166.2946341707615</v>
      </c>
      <c r="DH80">
        <f>(AF80+3)*2*(CZ80*'Reagent cost'!$C$38+DA80*'Reagent cost'!$C$39+DB80*'Reagent cost'!$C$36*122.44/1000)</f>
        <v>1561.3387441859793</v>
      </c>
      <c r="DI80">
        <f>3*2*(DC80*'Reagent cost'!$C$38+DD80*'Reagent cost'!$C$39+DE80*'Reagent cost'!$C$36*122.44/1000)</f>
        <v>1187.0939809666422</v>
      </c>
      <c r="DJ80">
        <f>7963.6*(CB80/1000)^0.6*1.7*('CAPEX+OPEX'!$G$116/'CAPEX+OPEX'!$G$115)</f>
        <v>2138.7234102796551</v>
      </c>
      <c r="DK80">
        <f>7963.6*(CC80/1000)^0.6*1.7*('CAPEX+OPEX'!$G$116/'CAPEX+OPEX'!$G$115)</f>
        <v>6199.4836239091055</v>
      </c>
      <c r="DL80">
        <f>7963.6*(CD80/1000)^0.6*1.7*('CAPEX+OPEX'!$G$116/'CAPEX+OPEX'!$G$115)</f>
        <v>3039.7888606544216</v>
      </c>
      <c r="DM80">
        <f>7963.6*(CE80/1000)^0.6*1.7*('CAPEX+OPEX'!$G$116/'CAPEX+OPEX'!$G$115)</f>
        <v>6718.3431109500534</v>
      </c>
      <c r="DN80">
        <f>'TEA Revised Non EYZ'!CM80</f>
        <v>39625.826528698344</v>
      </c>
      <c r="DO80">
        <f>'TEA Revised Non EYZ'!CN80</f>
        <v>4586243.4239371875</v>
      </c>
      <c r="DP80">
        <f>'TEA Revised Non EYZ'!CO80</f>
        <v>11794834.586807497</v>
      </c>
      <c r="DQ80">
        <f>'TEA Revised Non EYZ'!CP80</f>
        <v>2275209.1661185985</v>
      </c>
      <c r="DR80">
        <f>'TEA Revised Non EYZ'!CQ80</f>
        <v>14083914.336508472</v>
      </c>
      <c r="DS80">
        <f>'TEA Revised Non EYZ'!CR80</f>
        <v>1662824.8986326549</v>
      </c>
      <c r="DT80">
        <f>'TEA Revised Non EYZ'!CS80</f>
        <v>847423.79840727116</v>
      </c>
      <c r="DU80">
        <f>'TEA Revised Non EYZ'!CT80</f>
        <v>2179392.2832288719</v>
      </c>
      <c r="DV80">
        <f>'TEA Revised Non EYZ'!CU80</f>
        <v>420402.1059283549</v>
      </c>
      <c r="DW80">
        <f>'TEA Revised Non EYZ'!CV80</f>
        <v>2602357.3282642425</v>
      </c>
      <c r="DX80">
        <f>'TEA Revised Non EYZ'!CW80</f>
        <v>307248.71347447456</v>
      </c>
      <c r="DY80">
        <f>'TEA Revised Non EYZ'!CX80</f>
        <v>6356824.2293032147</v>
      </c>
      <c r="DZ80">
        <f>'TEA Revised Non EYZ'!CY80</f>
        <v>884646.05002992239</v>
      </c>
      <c r="EA80">
        <f>'TEA Revised Non EYZ'!CZ80</f>
        <v>2275119.9322555778</v>
      </c>
      <c r="EB80">
        <f>'TEA Revised Non EYZ'!DA80</f>
        <v>438867.85234587191</v>
      </c>
      <c r="EC80">
        <f>'TEA Revised Non EYZ'!DB80</f>
        <v>2716663.2982721184</v>
      </c>
      <c r="ED80">
        <f>'TEA Revised Non EYZ'!DC80</f>
        <v>320744.30911997985</v>
      </c>
      <c r="EE80">
        <f>'TEA Revised Non EYZ'!DD80</f>
        <v>6636041.4420234701</v>
      </c>
      <c r="EF80">
        <v>0.7</v>
      </c>
      <c r="EG80">
        <v>100</v>
      </c>
      <c r="EH80">
        <f>96485*BL80*V80/EF80/EG80/60</f>
        <v>25.171940201830719</v>
      </c>
      <c r="EI80">
        <f>96485*BN80*BA80/EF80/EG80/60</f>
        <v>45.227024675898946</v>
      </c>
      <c r="EJ80">
        <f>EH80*('CAPEX+OPEX'!$O$25+'CAPEX+OPEX'!$O$26)</f>
        <v>802280.07811274868</v>
      </c>
      <c r="EK80">
        <f>EI80*('CAPEX+OPEX'!$O$25+'CAPEX+OPEX'!$O$26)</f>
        <v>1441475.7304702513</v>
      </c>
      <c r="EL80">
        <f>EJ80*1.12/0.6*'CAPEX+OPEX'!$G$116/'CAPEX+OPEX'!$G$115</f>
        <v>1766344.2502316802</v>
      </c>
      <c r="EM80">
        <f>EK80*1.12/0.6*'CAPEX+OPEX'!$G$116/'CAPEX+OPEX'!$G$115</f>
        <v>3173632.7971075671</v>
      </c>
      <c r="EN80">
        <f>EL80+EM80+DY80+EE80+1.15*(SUM(DF80:DM80)+SUM(CF80:CI80))</f>
        <v>18038837.326369416</v>
      </c>
      <c r="EO80">
        <f>EN80/15</f>
        <v>1202589.1550912943</v>
      </c>
      <c r="EP80">
        <f>('eLLE Bals'!CB80+'eLLE Bals'!CC80)*'Oxidant Feed Composition'!$N$25*60*7200</f>
        <v>12339914.654158399</v>
      </c>
      <c r="EQ80" s="83">
        <f>('eLLE Bals'!BR80+'eLLE Bals'!BY80)*'Reagent cost'!$C$38*60*7200</f>
        <v>505286.0063133075</v>
      </c>
      <c r="ER80">
        <f>'TEA Revised Non EYZ'!DI80</f>
        <v>504921.59999999998</v>
      </c>
      <c r="ES80">
        <f>'TEA Revised Non EYZ'!DJ80</f>
        <v>107.47742312259867</v>
      </c>
      <c r="ET80">
        <f>'TEA Revised Non EYZ'!DK80</f>
        <v>1206.3572209356068</v>
      </c>
      <c r="EU80">
        <f>1.2*SUM(EP80:ET80)</f>
        <v>16021723.314138914</v>
      </c>
      <c r="EV80">
        <f>'TEA Revised Non EYZ'!DM80</f>
        <v>0.70639694042110623</v>
      </c>
      <c r="EW80">
        <f>(BS80*CO80+BT80*CP80)/1000*('Oxidant Feed Composition'!$B$11*'Oxidant Feed Composition'!$O$20+'Oxidant Feed Composition'!$D$11*'Oxidant Feed Composition'!$O$21+'Oxidant Feed Composition'!$F$11*'Oxidant Feed Composition'!$O$27-'Oxidant Feed Composition'!$J$15*18.015)</f>
        <v>1.7894151974312904</v>
      </c>
      <c r="EX80">
        <f>(CZ80*BX80+DC80*BZ80)*368.34/1000</f>
        <v>0.10199732450912252</v>
      </c>
      <c r="EY80">
        <f>'TEA Revised Non EYZ'!DP80</f>
        <v>4.999938342565946E-2</v>
      </c>
      <c r="EZ80">
        <f>SUM(EV80:EX80)-EY80</f>
        <v>2.5478100789358598</v>
      </c>
      <c r="FA80">
        <f>EZ80*0.33*60*7200</f>
        <v>363215.8048530962</v>
      </c>
      <c r="FB80">
        <f>'TEA Revised Non EYZ'!DS80</f>
        <v>1.2</v>
      </c>
      <c r="FC80">
        <v>0.5</v>
      </c>
      <c r="FD80">
        <f>'TEA Revised Non EYZ'!DT80</f>
        <v>1405.8825769117466</v>
      </c>
      <c r="FE80">
        <f>'TEA Revised Non EYZ'!DU80</f>
        <v>705.80579676317939</v>
      </c>
      <c r="FF80">
        <f>'TEA Revised Non EYZ'!DV80</f>
        <v>0.7</v>
      </c>
      <c r="FG80">
        <f>'TEA Revised Non EYZ'!DW80</f>
        <v>46784.46952433938</v>
      </c>
      <c r="FH80">
        <f>'TEA Revised Non EYZ'!DX80</f>
        <v>45678.708869524045</v>
      </c>
      <c r="FI80">
        <f>'TEA Revised Non EYZ'!DY80</f>
        <v>19339.775932661389</v>
      </c>
      <c r="FJ80">
        <f>'TEA Revised Non EYZ'!DZ80</f>
        <v>10244.818866671721</v>
      </c>
      <c r="FK80">
        <f>'TEA Revised Non EYZ'!EA80</f>
        <v>10314.547164086078</v>
      </c>
      <c r="FL80">
        <f>'TEA Revised Non EYZ'!EB80</f>
        <v>850.27778251622431</v>
      </c>
      <c r="FM80">
        <f>'TEA Revised Non EYZ'!EC80</f>
        <v>48855.995986073096</v>
      </c>
      <c r="FN80">
        <f>'TEA Revised Non EYZ'!ED80</f>
        <v>50432.083379093361</v>
      </c>
      <c r="FO80">
        <f>'TEA Revised Non EYZ'!EE80</f>
        <v>21352.293366148395</v>
      </c>
      <c r="FP80">
        <f>'TEA Revised Non EYZ'!EF80</f>
        <v>11317.202401332423</v>
      </c>
      <c r="FQ80">
        <f>'TEA Revised Non EYZ'!EG80</f>
        <v>11387.889795279147</v>
      </c>
      <c r="FR80">
        <f>'TEA Revised Non EYZ'!EH80</f>
        <v>426.87134588237086</v>
      </c>
      <c r="FS80">
        <f>'TEA Revised Non EYZ'!EI80</f>
        <v>276984.93441360764</v>
      </c>
      <c r="FT80">
        <f>EG80*EH80</f>
        <v>2517.1940201830716</v>
      </c>
      <c r="FU80">
        <f>EG80*EI80</f>
        <v>4522.7024675898947</v>
      </c>
      <c r="FV80">
        <f>FC80*(FT80+FU80)/(3.6*10^6)*3600*7200*0.07</f>
        <v>1774.053914918788</v>
      </c>
      <c r="FW80">
        <f>('CAPEX+OPEX'!$C$39/7/100+0.03)*EL80</f>
        <v>90840.561440486417</v>
      </c>
      <c r="FX80">
        <f>('CAPEX+OPEX'!$C$39/7/100+0.03)*EM80</f>
        <v>163215.40099410346</v>
      </c>
      <c r="FY80">
        <f>SUM(FV80:FX80)</f>
        <v>255830.01634950866</v>
      </c>
      <c r="FZ80">
        <f>FY80+FA80+FS80+EU80</f>
        <v>16917754.069755126</v>
      </c>
      <c r="GA80">
        <f>FZ80+EO80</f>
        <v>18120343.224846419</v>
      </c>
      <c r="GB80">
        <f>GA80/(BK80*60*7200)</f>
        <v>0.41945238946403746</v>
      </c>
      <c r="GC80">
        <f>'TEA Revised Non EYZ'!EM80/'TEA Revised Non EYZ'!EK80*GA80</f>
        <v>1403.2648210754273</v>
      </c>
      <c r="GD80">
        <f>'TEA Revised Non EYZ'!EN80/'TEA Revised Non EYZ'!EK80*GA80</f>
        <v>2575.3254983081006</v>
      </c>
    </row>
    <row r="81" spans="1:186">
      <c r="A81">
        <f>'TEA Revised Non EYZ'!A81</f>
        <v>10</v>
      </c>
      <c r="B81">
        <f>'TEA Revised Non EYZ'!B81</f>
        <v>1.54143585092054E-3</v>
      </c>
      <c r="C81">
        <f>'TEA Revised Non EYZ'!C81</f>
        <v>1.54143585092054E-3</v>
      </c>
      <c r="D81">
        <f>'TEA Revised Non EYZ'!D81</f>
        <v>3.4254130020456501E-4</v>
      </c>
      <c r="E81">
        <f>'TEA Revised Non EYZ'!E81</f>
        <v>0</v>
      </c>
      <c r="F81">
        <f>'TEA Revised Non EYZ'!F81</f>
        <v>0</v>
      </c>
      <c r="G81">
        <f>'TEA Revised Non EYZ'!G81</f>
        <v>0</v>
      </c>
      <c r="H81">
        <f>'TEA Revised Non EYZ'!H81</f>
        <v>1.7770671970930099E-5</v>
      </c>
      <c r="I81">
        <f>'TEA Revised Non EYZ'!I81</f>
        <v>5.2649488631162003E-10</v>
      </c>
      <c r="J81">
        <f>'TEA Revised Non EYZ'!J81</f>
        <v>3.3765279177869602E-4</v>
      </c>
      <c r="K81">
        <f>'TEA Revised Non EYZ'!K81</f>
        <v>0.139053960209192</v>
      </c>
      <c r="L81">
        <f>'TEA Revised Non EYZ'!L81</f>
        <v>0.14067571356050099</v>
      </c>
      <c r="M81">
        <f>'TEA Revised Non EYZ'!M81</f>
        <v>4.4613899794023002E-4</v>
      </c>
      <c r="N81">
        <f>'TEA Revised Non EYZ'!N81</f>
        <v>-1.6046192152785399E-16</v>
      </c>
      <c r="O81">
        <f>'TEA Revised Non EYZ'!O81</f>
        <v>-5.9831913729046996E-14</v>
      </c>
      <c r="P81">
        <f>'TEA Revised Non EYZ'!P81</f>
        <v>-6.6915602833089703E-20</v>
      </c>
      <c r="Q81">
        <f>'TEA Revised Non EYZ'!Q81</f>
        <v>0.10957366310586</v>
      </c>
      <c r="R81">
        <f>'TEA Revised Non EYZ'!R81</f>
        <v>98.572870359588904</v>
      </c>
      <c r="S81">
        <f>'TEA Revised Non EYZ'!S81</f>
        <v>500</v>
      </c>
      <c r="T81">
        <f>'TEA Revised Non EYZ'!T81</f>
        <v>95</v>
      </c>
      <c r="U81">
        <f>'TEA Revised Non EYZ'!U81</f>
        <v>1</v>
      </c>
      <c r="V81">
        <f>'TEA Revised Non EYZ'!V81</f>
        <v>0.1</v>
      </c>
      <c r="W81">
        <f>'TEA Revised Non EYZ'!W81</f>
        <v>91.262806376555005</v>
      </c>
      <c r="X81" t="str">
        <f>'TEA Revised Non EYZ'!X81</f>
        <v>ddFc</v>
      </c>
      <c r="Y81">
        <f>'TEA Revised Non EYZ'!Y81</f>
        <v>1</v>
      </c>
      <c r="Z81">
        <f>'TEA Revised Non EYZ'!Z81</f>
        <v>0.28318429382522198</v>
      </c>
      <c r="AA81">
        <f>'TEA Revised Non EYZ'!AA81</f>
        <v>0.56945642916197003</v>
      </c>
      <c r="AB81">
        <f>'TEA Revised Non EYZ'!AB81</f>
        <v>3.7698628972227502E-3</v>
      </c>
      <c r="AC81">
        <f>'TEA Revised Non EYZ'!AC81</f>
        <v>1822.2107908876901</v>
      </c>
      <c r="AD81">
        <f>'TEA Revised Non EYZ'!AD81</f>
        <v>2662.6059073104898</v>
      </c>
      <c r="AE81">
        <f>'TEA Revised Non EYZ'!AE81</f>
        <v>2401.5030938442701</v>
      </c>
      <c r="AF81">
        <f>'TEA Revised Non EYZ'!AF81</f>
        <v>13</v>
      </c>
      <c r="AG81">
        <f>'TEA Revised Non EYZ'!AG81</f>
        <v>1.6497548842793E-3</v>
      </c>
      <c r="AH81">
        <f>'TEA Revised Non EYZ'!AH81</f>
        <v>1.66899558413707E-3</v>
      </c>
      <c r="AI81">
        <f>'TEA Revised Non EYZ'!AI81</f>
        <v>5.2930530695573503E-6</v>
      </c>
      <c r="AJ81">
        <f>'TEA Revised Non EYZ'!AJ81</f>
        <v>0</v>
      </c>
      <c r="AK81">
        <f>'TEA Revised Non EYZ'!AK81</f>
        <v>0</v>
      </c>
      <c r="AL81">
        <f>'TEA Revised Non EYZ'!AL81</f>
        <v>0</v>
      </c>
      <c r="AM81">
        <f>'TEA Revised Non EYZ'!AM81</f>
        <v>1.6128081639407901E-3</v>
      </c>
      <c r="AN81">
        <f>'TEA Revised Non EYZ'!AN81</f>
        <v>7.96263962340472E-5</v>
      </c>
      <c r="AO81">
        <f>'TEA Revised Non EYZ'!AO81</f>
        <v>5.2582439733631299E-6</v>
      </c>
      <c r="AP81">
        <f>'TEA Revised Non EYZ'!AP81</f>
        <v>1.7332424309303299E-3</v>
      </c>
      <c r="AQ81">
        <f>'TEA Revised Non EYZ'!AQ81</f>
        <v>7.4560396420763494E-2</v>
      </c>
      <c r="AR81">
        <f>'TEA Revised Non EYZ'!AR81</f>
        <v>1.63296232935881E-6</v>
      </c>
      <c r="AS81">
        <f>'TEA Revised Non EYZ'!AS81</f>
        <v>5.2177229550864901E-19</v>
      </c>
      <c r="AT81">
        <f>'TEA Revised Non EYZ'!AT81</f>
        <v>-1.32272665043231E-17</v>
      </c>
      <c r="AU81">
        <f>'TEA Revised Non EYZ'!AU81</f>
        <v>8.0732827785175501E-22</v>
      </c>
      <c r="AV81">
        <f>'TEA Revised Non EYZ'!AV81</f>
        <v>0.19687324544888599</v>
      </c>
      <c r="AW81">
        <f>'TEA Revised Non EYZ'!AW81</f>
        <v>99.3423626074255</v>
      </c>
      <c r="AX81">
        <f>'TEA Revised Non EYZ'!AX81</f>
        <v>500</v>
      </c>
      <c r="AY81">
        <f>'TEA Revised Non EYZ'!AY81</f>
        <v>95</v>
      </c>
      <c r="AZ81">
        <f>'TEA Revised Non EYZ'!AZ81</f>
        <v>0.92357064280818002</v>
      </c>
      <c r="BA81">
        <f>'TEA Revised Non EYZ'!BA81</f>
        <v>0.1</v>
      </c>
      <c r="BB81">
        <f>'TEA Revised Non EYZ'!BB81</f>
        <v>46.9119427935657</v>
      </c>
      <c r="BC81" t="str">
        <f>'TEA Revised Non EYZ'!BC81</f>
        <v>coeFc</v>
      </c>
      <c r="BD81">
        <f>'TEA Revised Non EYZ'!BD81</f>
        <v>1</v>
      </c>
      <c r="BE81">
        <f>'TEA Revised Non EYZ'!BE81</f>
        <v>1.8775014999999999E-2</v>
      </c>
      <c r="BF81">
        <f>'TEA Revised Non EYZ'!BF81</f>
        <v>0.10492961100000001</v>
      </c>
      <c r="BG81">
        <f>'TEA Revised Non EYZ'!BG81</f>
        <v>1.814625E-3</v>
      </c>
      <c r="BH81">
        <f>'TEA Revised Non EYZ'!BH81</f>
        <v>285.1951444</v>
      </c>
      <c r="BI81">
        <f>'TEA Revised Non EYZ'!BI81</f>
        <v>2169.8944889999998</v>
      </c>
      <c r="BJ81">
        <f>'TEA Revised Non EYZ'!BJ81</f>
        <v>866.49409060000005</v>
      </c>
      <c r="BK81">
        <f>'TEA Revised Non EYZ'!BK81</f>
        <v>100</v>
      </c>
      <c r="BL81">
        <f>'TEA Revised Non EYZ'!BL81</f>
        <v>10.957366310586</v>
      </c>
      <c r="BM81">
        <f>'TEA Revised Non EYZ'!BM81</f>
        <v>92.357064280818008</v>
      </c>
      <c r="BN81">
        <f>'TEA Revised Non EYZ'!BN81</f>
        <v>19.6873245448886</v>
      </c>
      <c r="BO81">
        <f>'TEA Revised Non EYZ'!BO81</f>
        <v>262.97679145406403</v>
      </c>
      <c r="BP81">
        <f>'TEA Revised Non EYZ'!BP81</f>
        <v>590.61973634665799</v>
      </c>
      <c r="BQ81">
        <f>'TEA Revised Non EYZ'!BQ81</f>
        <v>26.297679145406406</v>
      </c>
      <c r="BR81">
        <f>'TEA Revised Non EYZ'!BR81</f>
        <v>59.061973634665804</v>
      </c>
      <c r="BS81">
        <f>'eLLE Bals'!CF81</f>
        <v>6.5744197863515996</v>
      </c>
      <c r="BT81">
        <f>'eLLE Bals'!CG81</f>
        <v>11.81239472693316</v>
      </c>
      <c r="BU81">
        <f>BM81</f>
        <v>92.357064280818008</v>
      </c>
      <c r="BV81">
        <f>BU81*(AM81*2+AN81*2+AO81*3)</f>
        <v>0.31407348286024717</v>
      </c>
      <c r="BW81">
        <f>BN81*BA81*(AP81*2+AQ81*2+AR81*3)</f>
        <v>0.30041317035456794</v>
      </c>
      <c r="BX81">
        <f>BV81/(2*V81*BL81+BV81)</f>
        <v>0.12535127651872013</v>
      </c>
      <c r="BY81">
        <f>BU81*BX81</f>
        <v>11.577075903122028</v>
      </c>
      <c r="BZ81">
        <f>BW81/(2*BN81*BA81+BW81)</f>
        <v>7.0887638750074769E-2</v>
      </c>
      <c r="CA81">
        <f>2*BN81*BA81/0.04</f>
        <v>98.436622724442998</v>
      </c>
      <c r="CB81">
        <f>(BS81+BL81)*2</f>
        <v>35.063572193875203</v>
      </c>
      <c r="CC81">
        <f>(BU81+BL81)*2</f>
        <v>206.62886118280801</v>
      </c>
      <c r="CD81">
        <f>(BT81+BN81)*2</f>
        <v>62.999438543643521</v>
      </c>
      <c r="CE81">
        <f>(CA81+BN81)*2</f>
        <v>236.24789453866319</v>
      </c>
      <c r="CF81">
        <f>'TEA Revised Non EYZ'!CB81</f>
        <v>3471.2936471936455</v>
      </c>
      <c r="CG81">
        <f>'TEA Revised Non EYZ'!CC81</f>
        <v>7796.1805197758858</v>
      </c>
      <c r="CH81">
        <f>'TEA Revised Non EYZ'!CD81</f>
        <v>4193.9657747282263</v>
      </c>
      <c r="CI81">
        <f>'TEA Revised Non EYZ'!CE81</f>
        <v>60132.633260312105</v>
      </c>
      <c r="CJ81">
        <f>BL81*V81</f>
        <v>1.0957366310586001</v>
      </c>
      <c r="CK81">
        <f>CJ81/2*1.2</f>
        <v>0.65744197863516007</v>
      </c>
      <c r="CL81">
        <f>'eLLE Bals'!CB81*'Oxidant Feed Composition'!$N$20</f>
        <v>3.6524554368620017E-2</v>
      </c>
      <c r="CM81">
        <f>'eLLE Bals'!CB81*'Oxidant Feed Composition'!$N$21</f>
        <v>1.8262277184310003</v>
      </c>
      <c r="CN81">
        <f>'eLLE Bals'!CB81*'Oxidant Feed Composition'!$N$22</f>
        <v>0.54786831552930004</v>
      </c>
      <c r="CO81">
        <f>CN81/CK81</f>
        <v>0.83333333333333326</v>
      </c>
      <c r="CP81">
        <f>CO81</f>
        <v>0.83333333333333326</v>
      </c>
      <c r="CQ81">
        <f>CL81/CO81</f>
        <v>4.3829465242344025E-2</v>
      </c>
      <c r="CR81">
        <f>CM81/CO81</f>
        <v>2.1914732621172006</v>
      </c>
      <c r="CS81">
        <f>BN81*BA81</f>
        <v>1.96873245448886</v>
      </c>
      <c r="CT81">
        <f>CS81/2*1.2</f>
        <v>1.181239472693316</v>
      </c>
      <c r="CU81">
        <f>'eLLE Bals'!CC81*'Oxidant Feed Composition'!$N$20</f>
        <v>6.5624415149628704E-2</v>
      </c>
      <c r="CV81">
        <f>'eLLE Bals'!CC81*'Oxidant Feed Composition'!$N$21</f>
        <v>3.2812207574814338</v>
      </c>
      <c r="CW81">
        <f>'eLLE Bals'!CC81*'Oxidant Feed Composition'!$N$22</f>
        <v>0.98436622724443001</v>
      </c>
      <c r="CX81">
        <f>CU81/CP81</f>
        <v>7.874929817955445E-2</v>
      </c>
      <c r="CY81">
        <f>CV81/CP81</f>
        <v>3.9374649089777209</v>
      </c>
      <c r="CZ81">
        <f>CJ81</f>
        <v>1.0957366310586001</v>
      </c>
      <c r="DA81">
        <f>'eLLE Bals'!BQ81</f>
        <v>2.1914732621172002</v>
      </c>
      <c r="DB81">
        <f>'eLLE Bals'!BU81</f>
        <v>5.4541181689677547</v>
      </c>
      <c r="DC81">
        <f>CS81</f>
        <v>1.96873245448886</v>
      </c>
      <c r="DD81">
        <f>'eLLE Bals'!BX81</f>
        <v>3.9374649089777201</v>
      </c>
      <c r="DE81">
        <f>'eLLE Bals'!CA81</f>
        <v>21.866380327122432</v>
      </c>
      <c r="DF81">
        <f>2*2*(CJ81*'Reagent cost'!$C$36*122.44/1000+CK81*'Oxidant Feed Composition'!$N$26+CQ81*'Reagent cost'!$C$34+CR81*'Reagent cost'!$C$35)</f>
        <v>92.554365829472374</v>
      </c>
      <c r="DG81">
        <f>2*2*(CS81*'Reagent cost'!$C$36*122.44/1000+CT81*'Oxidant Feed Composition'!$N$26+CX81*'Reagent cost'!$C$34+CY81*'Reagent cost'!$C$35)</f>
        <v>166.29432534082378</v>
      </c>
      <c r="DH81">
        <f>(AF81+3)*2*(CZ81*'Reagent cost'!$C$38+DA81*'Reagent cost'!$C$39+DB81*'Reagent cost'!$C$36*122.44/1000)</f>
        <v>1665.4276715241833</v>
      </c>
      <c r="DI81">
        <f>3*2*(DC81*'Reagent cost'!$C$38+DD81*'Reagent cost'!$C$39+DE81*'Reagent cost'!$C$36*122.44/1000)</f>
        <v>1187.0895034636474</v>
      </c>
      <c r="DJ81">
        <f>7963.6*(CB81/1000)^0.6*1.7*('CAPEX+OPEX'!$G$116/'CAPEX+OPEX'!$G$115)</f>
        <v>2138.7234102796551</v>
      </c>
      <c r="DK81">
        <f>7963.6*(CC81/1000)^0.6*1.7*('CAPEX+OPEX'!$G$116/'CAPEX+OPEX'!$G$115)</f>
        <v>6199.4836239091055</v>
      </c>
      <c r="DL81">
        <f>7963.6*(CD81/1000)^0.6*1.7*('CAPEX+OPEX'!$G$116/'CAPEX+OPEX'!$G$115)</f>
        <v>3039.7854734922639</v>
      </c>
      <c r="DM81">
        <f>7963.6*(CE81/1000)^0.6*1.7*('CAPEX+OPEX'!$G$116/'CAPEX+OPEX'!$G$115)</f>
        <v>6718.3356248651335</v>
      </c>
      <c r="DN81">
        <f>'TEA Revised Non EYZ'!CM81</f>
        <v>39625.826528698344</v>
      </c>
      <c r="DO81">
        <f>'TEA Revised Non EYZ'!CN81</f>
        <v>4586243.4239371875</v>
      </c>
      <c r="DP81">
        <f>'TEA Revised Non EYZ'!CO81</f>
        <v>11794834.586807497</v>
      </c>
      <c r="DQ81">
        <f>'TEA Revised Non EYZ'!CP81</f>
        <v>2275209.1661185985</v>
      </c>
      <c r="DR81">
        <f>'TEA Revised Non EYZ'!CQ81</f>
        <v>14083914.336508472</v>
      </c>
      <c r="DS81">
        <f>'TEA Revised Non EYZ'!CR81</f>
        <v>1662824.8986326549</v>
      </c>
      <c r="DT81">
        <f>'TEA Revised Non EYZ'!CS81</f>
        <v>847423.79840727116</v>
      </c>
      <c r="DU81">
        <f>'TEA Revised Non EYZ'!CT81</f>
        <v>2179392.2832288719</v>
      </c>
      <c r="DV81">
        <f>'TEA Revised Non EYZ'!CU81</f>
        <v>420402.1059283549</v>
      </c>
      <c r="DW81">
        <f>'TEA Revised Non EYZ'!CV81</f>
        <v>2602357.3282642425</v>
      </c>
      <c r="DX81">
        <f>'TEA Revised Non EYZ'!CW81</f>
        <v>307248.71347447456</v>
      </c>
      <c r="DY81">
        <f>'TEA Revised Non EYZ'!CX81</f>
        <v>6356824.2293032147</v>
      </c>
      <c r="DZ81">
        <f>'TEA Revised Non EYZ'!CY81</f>
        <v>924869.27650897147</v>
      </c>
      <c r="EA81">
        <f>'TEA Revised Non EYZ'!CZ81</f>
        <v>2378565.4450671924</v>
      </c>
      <c r="EB81">
        <f>'TEA Revised Non EYZ'!DA81</f>
        <v>458822.36524816178</v>
      </c>
      <c r="EC81">
        <f>'TEA Revised Non EYZ'!DB81</f>
        <v>2840184.9746646415</v>
      </c>
      <c r="ED81">
        <f>'TEA Revised Non EYZ'!DC81</f>
        <v>335327.96208170697</v>
      </c>
      <c r="EE81">
        <f>'TEA Revised Non EYZ'!DD81</f>
        <v>6937770.0235706745</v>
      </c>
      <c r="EF81">
        <v>0.7</v>
      </c>
      <c r="EG81">
        <v>100</v>
      </c>
      <c r="EH81">
        <f>96485*BL81*V81/EF81/EG81/60</f>
        <v>25.171940201830719</v>
      </c>
      <c r="EI81">
        <f>96485*BN81*BA81/EF81/EG81/60</f>
        <v>45.226940683656593</v>
      </c>
      <c r="EJ81">
        <f>EH81*('CAPEX+OPEX'!$O$25+'CAPEX+OPEX'!$O$26)</f>
        <v>802280.07811274868</v>
      </c>
      <c r="EK81">
        <f>EI81*('CAPEX+OPEX'!$O$25+'CAPEX+OPEX'!$O$26)</f>
        <v>1441473.0534695028</v>
      </c>
      <c r="EL81">
        <f>EJ81*1.12/0.6*'CAPEX+OPEX'!$G$116/'CAPEX+OPEX'!$G$115</f>
        <v>1766344.2502316802</v>
      </c>
      <c r="EM81">
        <f>EK81*1.12/0.6*'CAPEX+OPEX'!$G$116/'CAPEX+OPEX'!$G$115</f>
        <v>3173626.9032744672</v>
      </c>
      <c r="EN81">
        <f>EL81+EM81+DY81+EE81+1.15*(SUM(DF81:DM81)+SUM(CF81:CI81))</f>
        <v>18345887.43866086</v>
      </c>
      <c r="EO81">
        <f>EN81/15</f>
        <v>1223059.1625773907</v>
      </c>
      <c r="EP81">
        <f>('eLLE Bals'!CB81+'eLLE Bals'!CC81)*'Oxidant Feed Composition'!$N$25*60*7200</f>
        <v>12339899.931539904</v>
      </c>
      <c r="EQ81" s="83">
        <f>('eLLE Bals'!BR81+'eLLE Bals'!BY81)*'Reagent cost'!$C$38*60*7200</f>
        <v>505285.96849430801</v>
      </c>
      <c r="ER81">
        <f>'TEA Revised Non EYZ'!DI81</f>
        <v>504921.59999999998</v>
      </c>
      <c r="ES81">
        <f>'TEA Revised Non EYZ'!DJ81</f>
        <v>112.67474166969532</v>
      </c>
      <c r="ET81">
        <f>'TEA Revised Non EYZ'!DK81</f>
        <v>1286.5319807008066</v>
      </c>
      <c r="EU81">
        <f>1.2*SUM(EP81:ET81)</f>
        <v>16021808.048107898</v>
      </c>
      <c r="EV81">
        <f>'TEA Revised Non EYZ'!DM81</f>
        <v>0.70639694042110623</v>
      </c>
      <c r="EW81">
        <f>(BS81*CO81+BT81*CP81)/1000*('Oxidant Feed Composition'!$B$11*'Oxidant Feed Composition'!$O$20+'Oxidant Feed Composition'!$D$11*'Oxidant Feed Composition'!$O$21+'Oxidant Feed Composition'!$F$11*'Oxidant Feed Composition'!$O$27-'Oxidant Feed Composition'!$J$15*18.015)</f>
        <v>1.7894130624994036</v>
      </c>
      <c r="EX81">
        <f>(CZ81*BX81+DC81*BZ81)*368.34/1000</f>
        <v>0.10199731687495749</v>
      </c>
      <c r="EY81">
        <f>'TEA Revised Non EYZ'!DP81</f>
        <v>4.999938342565946E-2</v>
      </c>
      <c r="EZ81">
        <f>SUM(EV81:EX81)-EY81</f>
        <v>2.5478079363698076</v>
      </c>
      <c r="FA81">
        <f>EZ81*0.33*60*7200</f>
        <v>363215.49940887978</v>
      </c>
      <c r="FB81">
        <f>'TEA Revised Non EYZ'!DS81</f>
        <v>1.2</v>
      </c>
      <c r="FC81">
        <v>0.5</v>
      </c>
      <c r="FD81">
        <f>'TEA Revised Non EYZ'!DT81</f>
        <v>1405.8827911906292</v>
      </c>
      <c r="FE81">
        <f>'TEA Revised Non EYZ'!DU81</f>
        <v>705.80558246711394</v>
      </c>
      <c r="FF81">
        <f>'TEA Revised Non EYZ'!DV81</f>
        <v>0.7</v>
      </c>
      <c r="FG81">
        <f>'TEA Revised Non EYZ'!DW81</f>
        <v>46784.46952433938</v>
      </c>
      <c r="FH81">
        <f>'TEA Revised Non EYZ'!DX81</f>
        <v>45678.708869524045</v>
      </c>
      <c r="FI81">
        <f>'TEA Revised Non EYZ'!DY81</f>
        <v>19339.775932661389</v>
      </c>
      <c r="FJ81">
        <f>'TEA Revised Non EYZ'!DZ81</f>
        <v>10244.818866671721</v>
      </c>
      <c r="FK81">
        <f>'TEA Revised Non EYZ'!EA81</f>
        <v>10314.547164086078</v>
      </c>
      <c r="FL81">
        <f>'TEA Revised Non EYZ'!EB81</f>
        <v>850.27791211209262</v>
      </c>
      <c r="FM81">
        <f>'TEA Revised Non EYZ'!EC81</f>
        <v>51427.364195866423</v>
      </c>
      <c r="FN81">
        <f>'TEA Revised Non EYZ'!ED81</f>
        <v>54311.474408254369</v>
      </c>
      <c r="FO81">
        <f>'TEA Revised Non EYZ'!EE81</f>
        <v>22994.777471236728</v>
      </c>
      <c r="FP81">
        <f>'TEA Revised Non EYZ'!EF81</f>
        <v>12187.756432204143</v>
      </c>
      <c r="FQ81">
        <f>'TEA Revised Non EYZ'!EG81</f>
        <v>12263.881317992924</v>
      </c>
      <c r="FR81">
        <f>'TEA Revised Non EYZ'!EH81</f>
        <v>426.87121627611049</v>
      </c>
      <c r="FS81">
        <f>'TEA Revised Non EYZ'!EI81</f>
        <v>286824.72331122548</v>
      </c>
      <c r="FT81">
        <f>EG81*EH81</f>
        <v>2517.1940201830716</v>
      </c>
      <c r="FU81">
        <f>EG81*EI81</f>
        <v>4522.6940683656594</v>
      </c>
      <c r="FV81">
        <f>FC81*(FT81+FU81)/(3.6*10^6)*3600*7200*0.07</f>
        <v>1774.0517983142804</v>
      </c>
      <c r="FW81">
        <f>('CAPEX+OPEX'!$C$39/7/100+0.03)*EL81</f>
        <v>90840.561440486417</v>
      </c>
      <c r="FX81">
        <f>('CAPEX+OPEX'!$C$39/7/100+0.03)*EM81</f>
        <v>163215.09788268688</v>
      </c>
      <c r="FY81">
        <f>SUM(FV81:FX81)</f>
        <v>255829.71112148758</v>
      </c>
      <c r="FZ81">
        <f>FY81+FA81+FS81+EU81</f>
        <v>16927677.98194949</v>
      </c>
      <c r="GA81">
        <f>FZ81+EO81</f>
        <v>18150737.14452688</v>
      </c>
      <c r="GB81">
        <f>GA81/(BK81*60*7200)</f>
        <v>0.42015595241960368</v>
      </c>
      <c r="GC81">
        <f>'TEA Revised Non EYZ'!EM81/'TEA Revised Non EYZ'!EK81*GA81</f>
        <v>1405.6183545194162</v>
      </c>
      <c r="GD81">
        <f>'TEA Revised Non EYZ'!EN81/'TEA Revised Non EYZ'!EK81*GA81</f>
        <v>2579.6459087879084</v>
      </c>
    </row>
    <row r="82" spans="1:186">
      <c r="A82">
        <f>'TEA Revised Non EYZ'!A82</f>
        <v>11</v>
      </c>
      <c r="B82">
        <f>'TEA Revised Non EYZ'!B82</f>
        <v>1.54143585092054E-3</v>
      </c>
      <c r="C82">
        <f>'TEA Revised Non EYZ'!C82</f>
        <v>1.54143585092054E-3</v>
      </c>
      <c r="D82">
        <f>'TEA Revised Non EYZ'!D82</f>
        <v>3.4254130020456501E-4</v>
      </c>
      <c r="E82">
        <f>'TEA Revised Non EYZ'!E82</f>
        <v>0</v>
      </c>
      <c r="F82">
        <f>'TEA Revised Non EYZ'!F82</f>
        <v>0</v>
      </c>
      <c r="G82">
        <f>'TEA Revised Non EYZ'!G82</f>
        <v>0</v>
      </c>
      <c r="H82">
        <f>'TEA Revised Non EYZ'!H82</f>
        <v>1.7771367359861701E-5</v>
      </c>
      <c r="I82">
        <f>'TEA Revised Non EYZ'!I82</f>
        <v>1.8081057367328801E-10</v>
      </c>
      <c r="J82">
        <f>'TEA Revised Non EYZ'!J82</f>
        <v>3.3765941525589702E-4</v>
      </c>
      <c r="K82">
        <f>'TEA Revised Non EYZ'!K82</f>
        <v>0.139102253285185</v>
      </c>
      <c r="L82">
        <f>'TEA Revised Non EYZ'!L82</f>
        <v>0.14072466572308701</v>
      </c>
      <c r="M82">
        <f>'TEA Revised Non EYZ'!M82</f>
        <v>4.4568945720355099E-4</v>
      </c>
      <c r="N82">
        <f>'TEA Revised Non EYZ'!N82</f>
        <v>-8.03393809811758E-16</v>
      </c>
      <c r="O82">
        <f>'TEA Revised Non EYZ'!O82</f>
        <v>-8.4019770307808202E-13</v>
      </c>
      <c r="P82">
        <f>'TEA Revised Non EYZ'!P82</f>
        <v>-2.26157796916898E-19</v>
      </c>
      <c r="Q82">
        <f>'TEA Revised Non EYZ'!Q82</f>
        <v>0.10953557168033</v>
      </c>
      <c r="R82">
        <f>'TEA Revised Non EYZ'!R82</f>
        <v>98.5748039883795</v>
      </c>
      <c r="S82">
        <f>'TEA Revised Non EYZ'!S82</f>
        <v>500</v>
      </c>
      <c r="T82">
        <f>'TEA Revised Non EYZ'!T82</f>
        <v>95</v>
      </c>
      <c r="U82">
        <f>'TEA Revised Non EYZ'!U82</f>
        <v>1</v>
      </c>
      <c r="V82">
        <f>'TEA Revised Non EYZ'!V82</f>
        <v>0.1</v>
      </c>
      <c r="W82">
        <f>'TEA Revised Non EYZ'!W82</f>
        <v>91.294543376138293</v>
      </c>
      <c r="X82" t="str">
        <f>'TEA Revised Non EYZ'!X82</f>
        <v>ddFc</v>
      </c>
      <c r="Y82">
        <f>'TEA Revised Non EYZ'!Y82</f>
        <v>1</v>
      </c>
      <c r="Z82">
        <f>'TEA Revised Non EYZ'!Z82</f>
        <v>0.28318429382522198</v>
      </c>
      <c r="AA82">
        <f>'TEA Revised Non EYZ'!AA82</f>
        <v>0.56945642916197003</v>
      </c>
      <c r="AB82">
        <f>'TEA Revised Non EYZ'!AB82</f>
        <v>3.7698628972227502E-3</v>
      </c>
      <c r="AC82">
        <f>'TEA Revised Non EYZ'!AC82</f>
        <v>1822.2107908876901</v>
      </c>
      <c r="AD82">
        <f>'TEA Revised Non EYZ'!AD82</f>
        <v>2662.6059073104898</v>
      </c>
      <c r="AE82">
        <f>'TEA Revised Non EYZ'!AE82</f>
        <v>2401.5030938442701</v>
      </c>
      <c r="AF82">
        <f>'TEA Revised Non EYZ'!AF82</f>
        <v>4</v>
      </c>
      <c r="AG82">
        <f>'TEA Revised Non EYZ'!AG82</f>
        <v>1.6497569194096201E-3</v>
      </c>
      <c r="AH82">
        <f>'TEA Revised Non EYZ'!AH82</f>
        <v>1.6689987798565299E-3</v>
      </c>
      <c r="AI82">
        <f>'TEA Revised Non EYZ'!AI82</f>
        <v>5.28589040482341E-6</v>
      </c>
      <c r="AJ82">
        <f>'TEA Revised Non EYZ'!AJ82</f>
        <v>0</v>
      </c>
      <c r="AK82">
        <f>'TEA Revised Non EYZ'!AK82</f>
        <v>0</v>
      </c>
      <c r="AL82">
        <f>'TEA Revised Non EYZ'!AL82</f>
        <v>0</v>
      </c>
      <c r="AM82">
        <f>'TEA Revised Non EYZ'!AM82</f>
        <v>1.6048442786411501E-3</v>
      </c>
      <c r="AN82">
        <f>'TEA Revised Non EYZ'!AN82</f>
        <v>7.9221543426505204E-5</v>
      </c>
      <c r="AO82">
        <f>'TEA Revised Non EYZ'!AO82</f>
        <v>5.2439449251215197E-6</v>
      </c>
      <c r="AP82">
        <f>'TEA Revised Non EYZ'!AP82</f>
        <v>1.9874086219128402E-3</v>
      </c>
      <c r="AQ82">
        <f>'TEA Revised Non EYZ'!AQ82</f>
        <v>7.0348501715363707E-2</v>
      </c>
      <c r="AR82">
        <f>'TEA Revised Non EYZ'!AR82</f>
        <v>1.8561101411739801E-6</v>
      </c>
      <c r="AS82">
        <f>'TEA Revised Non EYZ'!AS82</f>
        <v>-9.4923594267000406E-15</v>
      </c>
      <c r="AT82">
        <f>'TEA Revised Non EYZ'!AT82</f>
        <v>-1.2240620843317799E-13</v>
      </c>
      <c r="AU82">
        <f>'TEA Revised Non EYZ'!AU82</f>
        <v>-3.0355146200531901E-18</v>
      </c>
      <c r="AV82">
        <f>'TEA Revised Non EYZ'!AV82</f>
        <v>0.20871362817040201</v>
      </c>
      <c r="AW82">
        <f>'TEA Revised Non EYZ'!AW82</f>
        <v>99.206463311013493</v>
      </c>
      <c r="AX82">
        <f>'TEA Revised Non EYZ'!AX82</f>
        <v>500</v>
      </c>
      <c r="AY82">
        <f>'TEA Revised Non EYZ'!AY82</f>
        <v>95</v>
      </c>
      <c r="AZ82">
        <f>'TEA Revised Non EYZ'!AZ82</f>
        <v>0.92356908198738696</v>
      </c>
      <c r="BA82">
        <f>'TEA Revised Non EYZ'!BA82</f>
        <v>0.1</v>
      </c>
      <c r="BB82">
        <f>'TEA Revised Non EYZ'!BB82</f>
        <v>44.250540325682302</v>
      </c>
      <c r="BC82" t="str">
        <f>'TEA Revised Non EYZ'!BC82</f>
        <v>coeFc</v>
      </c>
      <c r="BD82">
        <f>'TEA Revised Non EYZ'!BD82</f>
        <v>1</v>
      </c>
      <c r="BE82">
        <f>'TEA Revised Non EYZ'!BE82</f>
        <v>1.8775014999999999E-2</v>
      </c>
      <c r="BF82">
        <f>'TEA Revised Non EYZ'!BF82</f>
        <v>0.10492961100000001</v>
      </c>
      <c r="BG82">
        <f>'TEA Revised Non EYZ'!BG82</f>
        <v>1.814625E-3</v>
      </c>
      <c r="BH82">
        <f>'TEA Revised Non EYZ'!BH82</f>
        <v>285.1951444</v>
      </c>
      <c r="BI82">
        <f>'TEA Revised Non EYZ'!BI82</f>
        <v>2169.8944889999998</v>
      </c>
      <c r="BJ82">
        <f>'TEA Revised Non EYZ'!BJ82</f>
        <v>866.49409060000005</v>
      </c>
      <c r="BK82">
        <f>'TEA Revised Non EYZ'!BK82</f>
        <v>100</v>
      </c>
      <c r="BL82">
        <f>'TEA Revised Non EYZ'!BL82</f>
        <v>10.953557168032999</v>
      </c>
      <c r="BM82">
        <f>'TEA Revised Non EYZ'!BM82</f>
        <v>92.356908198738694</v>
      </c>
      <c r="BN82">
        <f>'TEA Revised Non EYZ'!BN82</f>
        <v>20.8713628170402</v>
      </c>
      <c r="BO82">
        <f>'TEA Revised Non EYZ'!BO82</f>
        <v>284.79248636885796</v>
      </c>
      <c r="BP82">
        <f>'TEA Revised Non EYZ'!BP82</f>
        <v>250.4563538044824</v>
      </c>
      <c r="BQ82">
        <f>'TEA Revised Non EYZ'!BQ82</f>
        <v>28.479248636885799</v>
      </c>
      <c r="BR82">
        <f>'TEA Revised Non EYZ'!BR82</f>
        <v>25.045635380448243</v>
      </c>
      <c r="BS82">
        <f>'eLLE Bals'!CF82</f>
        <v>6.5721343008197994</v>
      </c>
      <c r="BT82">
        <f>'eLLE Bals'!CG82</f>
        <v>12.52281769022412</v>
      </c>
      <c r="BU82">
        <f>BM82</f>
        <v>92.356908198738694</v>
      </c>
      <c r="BV82">
        <f>BU82*(AM82*2+AN82*2+AO82*3)</f>
        <v>0.31252316867881774</v>
      </c>
      <c r="BW82">
        <f>BN82*BA82*(AP82*2+AQ82*2+AR82*3)</f>
        <v>0.30196142773449303</v>
      </c>
      <c r="BX82">
        <f>BV82/(2*V82*BL82+BV82)</f>
        <v>0.12484773436476491</v>
      </c>
      <c r="BY82">
        <f>BU82*BX82</f>
        <v>11.530550741547108</v>
      </c>
      <c r="BZ82">
        <f>BW82/(2*BN82*BA82+BW82)</f>
        <v>6.745881210231798E-2</v>
      </c>
      <c r="CA82">
        <f>2*BN82*BA82/0.04</f>
        <v>104.35681408520101</v>
      </c>
      <c r="CB82">
        <f>(BS82+BL82)*2</f>
        <v>35.051382937705597</v>
      </c>
      <c r="CC82">
        <f>(BU82+BL82)*2</f>
        <v>206.62093073354339</v>
      </c>
      <c r="CD82">
        <f>(BT82+BN82)*2</f>
        <v>66.788361014528647</v>
      </c>
      <c r="CE82">
        <f>(CA82+BN82)*2</f>
        <v>250.45635380448243</v>
      </c>
      <c r="CF82">
        <f>'TEA Revised Non EYZ'!CB82</f>
        <v>3759.2608200689256</v>
      </c>
      <c r="CG82">
        <f>'TEA Revised Non EYZ'!CC82</f>
        <v>3306.0238702191682</v>
      </c>
      <c r="CH82">
        <f>'TEA Revised Non EYZ'!CD82</f>
        <v>4541.8834647976191</v>
      </c>
      <c r="CI82">
        <f>'TEA Revised Non EYZ'!CE82</f>
        <v>25499.65594478586</v>
      </c>
      <c r="CJ82">
        <f>BL82*V82</f>
        <v>1.0953557168032999</v>
      </c>
      <c r="CK82">
        <f>CJ82/2*1.2</f>
        <v>0.65721343008197997</v>
      </c>
      <c r="CL82">
        <f>'eLLE Bals'!CB82*'Oxidant Feed Composition'!$N$20</f>
        <v>3.6511857226776682E-2</v>
      </c>
      <c r="CM82">
        <f>'eLLE Bals'!CB82*'Oxidant Feed Composition'!$N$21</f>
        <v>1.8255928613388335</v>
      </c>
      <c r="CN82">
        <f>'eLLE Bals'!CB82*'Oxidant Feed Composition'!$N$22</f>
        <v>0.54767785840164995</v>
      </c>
      <c r="CO82">
        <f>CN82/CK82</f>
        <v>0.83333333333333326</v>
      </c>
      <c r="CP82">
        <f>CO82</f>
        <v>0.83333333333333326</v>
      </c>
      <c r="CQ82">
        <f>CL82/CO82</f>
        <v>4.381422867213202E-2</v>
      </c>
      <c r="CR82">
        <f>CM82/CO82</f>
        <v>2.1907114336066003</v>
      </c>
      <c r="CS82">
        <f>BN82*BA82</f>
        <v>2.0871362817040202</v>
      </c>
      <c r="CT82">
        <f>CS82/2*1.2</f>
        <v>1.2522817690224122</v>
      </c>
      <c r="CU82">
        <f>'eLLE Bals'!CC82*'Oxidant Feed Composition'!$N$20</f>
        <v>6.9571209390134031E-2</v>
      </c>
      <c r="CV82">
        <f>'eLLE Bals'!CC82*'Oxidant Feed Composition'!$N$21</f>
        <v>3.4785604695067005</v>
      </c>
      <c r="CW82">
        <f>'eLLE Bals'!CC82*'Oxidant Feed Composition'!$N$22</f>
        <v>1.0435681408520101</v>
      </c>
      <c r="CX82">
        <f>CU82/CP82</f>
        <v>8.3485451268160843E-2</v>
      </c>
      <c r="CY82">
        <f>CV82/CP82</f>
        <v>4.1742725634080413</v>
      </c>
      <c r="CZ82">
        <f>CJ82</f>
        <v>1.0953557168032999</v>
      </c>
      <c r="DA82">
        <f>'eLLE Bals'!BQ82</f>
        <v>2.1907114336065998</v>
      </c>
      <c r="DB82">
        <f>'eLLE Bals'!BU82</f>
        <v>5.4874658447993694</v>
      </c>
      <c r="DC82">
        <f>CS82</f>
        <v>2.0871362817040202</v>
      </c>
      <c r="DD82">
        <f>'eLLE Bals'!BX82</f>
        <v>4.1742725634080404</v>
      </c>
      <c r="DE82">
        <f>'eLLE Bals'!CA82</f>
        <v>24.678007617460118</v>
      </c>
      <c r="DF82">
        <f>2*2*(CJ82*'Reagent cost'!$C$36*122.44/1000+CK82*'Oxidant Feed Composition'!$N$26+CQ82*'Reagent cost'!$C$34+CR82*'Reagent cost'!$C$35)</f>
        <v>92.522190873980861</v>
      </c>
      <c r="DG82">
        <f>2*2*(CS82*'Reagent cost'!$C$36*122.44/1000+CT82*'Oxidant Feed Composition'!$N$26+CX82*'Reagent cost'!$C$34+CY82*'Reagent cost'!$C$35)</f>
        <v>176.29562567984246</v>
      </c>
      <c r="DH82">
        <f>(AF82+3)*2*(CZ82*'Reagent cost'!$C$38+DA82*'Reagent cost'!$C$39+DB82*'Reagent cost'!$C$36*122.44/1000)</f>
        <v>732.63770334096887</v>
      </c>
      <c r="DI82">
        <f>3*2*(DC82*'Reagent cost'!$C$38+DD82*'Reagent cost'!$C$39+DE82*'Reagent cost'!$C$36*122.44/1000)</f>
        <v>1336.1243295713439</v>
      </c>
      <c r="DJ82">
        <f>7963.6*(CB82/1000)^0.6*1.7*('CAPEX+OPEX'!$G$116/'CAPEX+OPEX'!$G$115)</f>
        <v>2138.2772847076108</v>
      </c>
      <c r="DK82">
        <f>7963.6*(CC82/1000)^0.6*1.7*('CAPEX+OPEX'!$G$116/'CAPEX+OPEX'!$G$115)</f>
        <v>6199.3408604999822</v>
      </c>
      <c r="DL82">
        <f>7963.6*(CD82/1000)^0.6*1.7*('CAPEX+OPEX'!$G$116/'CAPEX+OPEX'!$G$115)</f>
        <v>3148.193366381196</v>
      </c>
      <c r="DM82">
        <f>7963.6*(CE82/1000)^0.6*1.7*('CAPEX+OPEX'!$G$116/'CAPEX+OPEX'!$G$115)</f>
        <v>6957.9316802984595</v>
      </c>
      <c r="DN82">
        <f>'TEA Revised Non EYZ'!CM82</f>
        <v>39625.826528698344</v>
      </c>
      <c r="DO82">
        <f>'TEA Revised Non EYZ'!CN82</f>
        <v>4586243.4239371875</v>
      </c>
      <c r="DP82">
        <f>'TEA Revised Non EYZ'!CO82</f>
        <v>11794834.586807497</v>
      </c>
      <c r="DQ82">
        <f>'TEA Revised Non EYZ'!CP82</f>
        <v>2275209.1661185985</v>
      </c>
      <c r="DR82">
        <f>'TEA Revised Non EYZ'!CQ82</f>
        <v>14083914.336508472</v>
      </c>
      <c r="DS82">
        <f>'TEA Revised Non EYZ'!CR82</f>
        <v>1662824.8986326549</v>
      </c>
      <c r="DT82">
        <f>'TEA Revised Non EYZ'!CS82</f>
        <v>892840.31653984461</v>
      </c>
      <c r="DU82">
        <f>'TEA Revised Non EYZ'!CT82</f>
        <v>2296193.8284949926</v>
      </c>
      <c r="DV82">
        <f>'TEA Revised Non EYZ'!CU82</f>
        <v>442932.9811560188</v>
      </c>
      <c r="DW82">
        <f>'TEA Revised Non EYZ'!CV82</f>
        <v>2741827.1059701391</v>
      </c>
      <c r="DX82">
        <f>'TEA Revised Non EYZ'!CW82</f>
        <v>323715.28756992728</v>
      </c>
      <c r="DY82">
        <f>'TEA Revised Non EYZ'!CX82</f>
        <v>6697509.5197309218</v>
      </c>
      <c r="DZ82">
        <f>'TEA Revised Non EYZ'!CY82</f>
        <v>498637.57922471326</v>
      </c>
      <c r="EA82">
        <f>'TEA Revised Non EYZ'!CZ82</f>
        <v>1282388.9231489168</v>
      </c>
      <c r="EB82">
        <f>'TEA Revised Non EYZ'!DA82</f>
        <v>247371.254849205</v>
      </c>
      <c r="EC82">
        <f>'TEA Revised Non EYZ'!DB82</f>
        <v>1531268.2519446225</v>
      </c>
      <c r="ED82">
        <f>'TEA Revised Non EYZ'!DC82</f>
        <v>180790.00730775911</v>
      </c>
      <c r="EE82">
        <f>'TEA Revised Non EYZ'!DD82</f>
        <v>3740456.016475217</v>
      </c>
      <c r="EF82">
        <v>0.7</v>
      </c>
      <c r="EG82">
        <v>100</v>
      </c>
      <c r="EH82">
        <f>96485*BL82*V82/EF82/EG82/60</f>
        <v>25.163189603753906</v>
      </c>
      <c r="EI82">
        <f>96485*BN82*BA82/EF82/EG82/60</f>
        <v>47.946986700050573</v>
      </c>
      <c r="EJ82">
        <f>EH82*('CAPEX+OPEX'!$O$25+'CAPEX+OPEX'!$O$26)</f>
        <v>802001.17905084451</v>
      </c>
      <c r="EK82">
        <f>EI82*('CAPEX+OPEX'!$O$25+'CAPEX+OPEX'!$O$26)</f>
        <v>1528166.3601040118</v>
      </c>
      <c r="EL82">
        <f>EJ82*1.12/0.6*'CAPEX+OPEX'!$G$116/'CAPEX+OPEX'!$G$115</f>
        <v>1765730.2106115664</v>
      </c>
      <c r="EM82">
        <f>EK82*1.12/0.6*'CAPEX+OPEX'!$G$116/'CAPEX+OPEX'!$G$115</f>
        <v>3364495.6882350184</v>
      </c>
      <c r="EN82">
        <f>EL82+EM82+DY82+EE82+1.15*(SUM(DF82:DM82)+SUM(CF82:CI82))</f>
        <v>15634762.804265134</v>
      </c>
      <c r="EO82">
        <f>EN82/15</f>
        <v>1042317.5202843422</v>
      </c>
      <c r="EP82">
        <f>('eLLE Bals'!CB82+'eLLE Bals'!CC82)*'Oxidant Feed Composition'!$N$25*60*7200</f>
        <v>12815150.585045302</v>
      </c>
      <c r="EQ82" s="83">
        <f>('eLLE Bals'!BR82+'eLLE Bals'!BY82)*'Reagent cost'!$C$38*60*7200</f>
        <v>506449.47390857682</v>
      </c>
      <c r="ER82">
        <f>'TEA Revised Non EYZ'!DI82</f>
        <v>504921.59999999998</v>
      </c>
      <c r="ES82">
        <f>'TEA Revised Non EYZ'!DJ82</f>
        <v>70.652846902880938</v>
      </c>
      <c r="ET82">
        <f>'TEA Revised Non EYZ'!DK82</f>
        <v>600.83078819166963</v>
      </c>
      <c r="EU82">
        <f>1.2*SUM(EP82:ET82)</f>
        <v>16592631.771106767</v>
      </c>
      <c r="EV82">
        <f>'TEA Revised Non EYZ'!DM82</f>
        <v>0.70639694042110623</v>
      </c>
      <c r="EW82">
        <f>(BS82*CO82+BT82*CP82)/1000*('Oxidant Feed Composition'!$B$11*'Oxidant Feed Composition'!$O$20+'Oxidant Feed Composition'!$D$11*'Oxidant Feed Composition'!$O$21+'Oxidant Feed Composition'!$F$11*'Oxidant Feed Composition'!$O$27-'Oxidant Feed Composition'!$J$15*18.015)</f>
        <v>1.8583293204967897</v>
      </c>
      <c r="EX82">
        <f>(CZ82*BX82+DC82*BZ82)*368.34/1000</f>
        <v>0.10223218274859043</v>
      </c>
      <c r="EY82">
        <f>'TEA Revised Non EYZ'!DP82</f>
        <v>4.999938342565946E-2</v>
      </c>
      <c r="EZ82">
        <f>SUM(EV82:EX82)-EY82</f>
        <v>2.616959060240827</v>
      </c>
      <c r="FA82">
        <f>EZ82*0.33*60*7200</f>
        <v>373073.68362793227</v>
      </c>
      <c r="FB82">
        <f>'TEA Revised Non EYZ'!DS82</f>
        <v>1.2</v>
      </c>
      <c r="FC82">
        <v>0.5</v>
      </c>
      <c r="FD82">
        <f>'TEA Revised Non EYZ'!DT82</f>
        <v>1398.9407935581069</v>
      </c>
      <c r="FE82">
        <f>'TEA Revised Non EYZ'!DU82</f>
        <v>712.74253559444992</v>
      </c>
      <c r="FF82">
        <f>'TEA Revised Non EYZ'!DV82</f>
        <v>0.7</v>
      </c>
      <c r="FG82">
        <f>'TEA Revised Non EYZ'!DW82</f>
        <v>49536.497143418172</v>
      </c>
      <c r="FH82">
        <f>'TEA Revised Non EYZ'!DX82</f>
        <v>49831.318766753509</v>
      </c>
      <c r="FI82">
        <f>'TEA Revised Non EYZ'!DY82</f>
        <v>21097.937381085154</v>
      </c>
      <c r="FJ82">
        <f>'TEA Revised Non EYZ'!DZ82</f>
        <v>11176.166036369152</v>
      </c>
      <c r="FK82">
        <f>'TEA Revised Non EYZ'!EA82</f>
        <v>11252.233269912085</v>
      </c>
      <c r="FL82">
        <f>'TEA Revised Non EYZ'!EB82</f>
        <v>846.07939194394294</v>
      </c>
      <c r="FM82">
        <f>'TEA Revised Non EYZ'!EC82</f>
        <v>28285.00948539532</v>
      </c>
      <c r="FN82">
        <f>'TEA Revised Non EYZ'!ED82</f>
        <v>19396.927085634903</v>
      </c>
      <c r="FO82">
        <f>'TEA Revised Non EYZ'!EE82</f>
        <v>8212.4086451276798</v>
      </c>
      <c r="FP82">
        <f>'TEA Revised Non EYZ'!EF82</f>
        <v>4352.763909014071</v>
      </c>
      <c r="FQ82">
        <f>'TEA Revised Non EYZ'!EG82</f>
        <v>4379.9512774014302</v>
      </c>
      <c r="FR82">
        <f>'TEA Revised Non EYZ'!EH82</f>
        <v>431.06668552752325</v>
      </c>
      <c r="FS82">
        <f>'TEA Revised Non EYZ'!EI82</f>
        <v>208798.35907758295</v>
      </c>
      <c r="FT82">
        <f>EG82*EH82</f>
        <v>2516.3189603753908</v>
      </c>
      <c r="FU82">
        <f>EG82*EI82</f>
        <v>4794.6986700050575</v>
      </c>
      <c r="FV82">
        <f>FC82*(FT82+FU82)/(3.6*10^6)*3600*7200*0.07</f>
        <v>1842.3764428558732</v>
      </c>
      <c r="FW82">
        <f>('CAPEX+OPEX'!$C$39/7/100+0.03)*EL82</f>
        <v>90808.982260023418</v>
      </c>
      <c r="FX82">
        <f>('CAPEX+OPEX'!$C$39/7/100+0.03)*EM82</f>
        <v>173031.20682351524</v>
      </c>
      <c r="FY82">
        <f>SUM(FV82:FX82)</f>
        <v>265682.56552639452</v>
      </c>
      <c r="FZ82">
        <f>FY82+FA82+FS82+EU82</f>
        <v>17440186.379338678</v>
      </c>
      <c r="GA82">
        <f>FZ82+EO82</f>
        <v>18482503.899623021</v>
      </c>
      <c r="GB82">
        <f>GA82/(BK82*60*7200)</f>
        <v>0.42783573841719957</v>
      </c>
      <c r="GC82">
        <f>'TEA Revised Non EYZ'!EM82/'TEA Revised Non EYZ'!EK82*GA82</f>
        <v>1438.4161899430842</v>
      </c>
      <c r="GD82">
        <f>'TEA Revised Non EYZ'!EN82/'TEA Revised Non EYZ'!EK82*GA82</f>
        <v>2603.210701468437</v>
      </c>
    </row>
    <row r="83" spans="1:186">
      <c r="A83">
        <f>'TEA Revised Non EYZ'!A83</f>
        <v>11</v>
      </c>
      <c r="B83">
        <f>'TEA Revised Non EYZ'!B83</f>
        <v>1.54143585092054E-3</v>
      </c>
      <c r="C83">
        <f>'TEA Revised Non EYZ'!C83</f>
        <v>1.54143585092054E-3</v>
      </c>
      <c r="D83">
        <f>'TEA Revised Non EYZ'!D83</f>
        <v>3.4254130020456501E-4</v>
      </c>
      <c r="E83">
        <f>'TEA Revised Non EYZ'!E83</f>
        <v>0</v>
      </c>
      <c r="F83">
        <f>'TEA Revised Non EYZ'!F83</f>
        <v>0</v>
      </c>
      <c r="G83">
        <f>'TEA Revised Non EYZ'!G83</f>
        <v>0</v>
      </c>
      <c r="H83">
        <f>'TEA Revised Non EYZ'!H83</f>
        <v>1.7771367359861701E-5</v>
      </c>
      <c r="I83">
        <f>'TEA Revised Non EYZ'!I83</f>
        <v>1.8081057367328801E-10</v>
      </c>
      <c r="J83">
        <f>'TEA Revised Non EYZ'!J83</f>
        <v>3.3765941525589702E-4</v>
      </c>
      <c r="K83">
        <f>'TEA Revised Non EYZ'!K83</f>
        <v>0.139102253285185</v>
      </c>
      <c r="L83">
        <f>'TEA Revised Non EYZ'!L83</f>
        <v>0.14072466572308701</v>
      </c>
      <c r="M83">
        <f>'TEA Revised Non EYZ'!M83</f>
        <v>4.4568945720355099E-4</v>
      </c>
      <c r="N83">
        <f>'TEA Revised Non EYZ'!N83</f>
        <v>-8.03393809811758E-16</v>
      </c>
      <c r="O83">
        <f>'TEA Revised Non EYZ'!O83</f>
        <v>-8.4019770307808202E-13</v>
      </c>
      <c r="P83">
        <f>'TEA Revised Non EYZ'!P83</f>
        <v>-2.26157796916898E-19</v>
      </c>
      <c r="Q83">
        <f>'TEA Revised Non EYZ'!Q83</f>
        <v>0.10953557168033</v>
      </c>
      <c r="R83">
        <f>'TEA Revised Non EYZ'!R83</f>
        <v>98.5748039883795</v>
      </c>
      <c r="S83">
        <f>'TEA Revised Non EYZ'!S83</f>
        <v>500</v>
      </c>
      <c r="T83">
        <f>'TEA Revised Non EYZ'!T83</f>
        <v>95</v>
      </c>
      <c r="U83">
        <f>'TEA Revised Non EYZ'!U83</f>
        <v>1</v>
      </c>
      <c r="V83">
        <f>'TEA Revised Non EYZ'!V83</f>
        <v>0.1</v>
      </c>
      <c r="W83">
        <f>'TEA Revised Non EYZ'!W83</f>
        <v>91.294543376138293</v>
      </c>
      <c r="X83" t="str">
        <f>'TEA Revised Non EYZ'!X83</f>
        <v>ddFc</v>
      </c>
      <c r="Y83">
        <f>'TEA Revised Non EYZ'!Y83</f>
        <v>1</v>
      </c>
      <c r="Z83">
        <f>'TEA Revised Non EYZ'!Z83</f>
        <v>0.28318429382522198</v>
      </c>
      <c r="AA83">
        <f>'TEA Revised Non EYZ'!AA83</f>
        <v>0.56945642916197003</v>
      </c>
      <c r="AB83">
        <f>'TEA Revised Non EYZ'!AB83</f>
        <v>3.7698628972227502E-3</v>
      </c>
      <c r="AC83">
        <f>'TEA Revised Non EYZ'!AC83</f>
        <v>1822.2107908876901</v>
      </c>
      <c r="AD83">
        <f>'TEA Revised Non EYZ'!AD83</f>
        <v>2662.6059073104898</v>
      </c>
      <c r="AE83">
        <f>'TEA Revised Non EYZ'!AE83</f>
        <v>2401.5030938442701</v>
      </c>
      <c r="AF83">
        <f>'TEA Revised Non EYZ'!AF83</f>
        <v>5</v>
      </c>
      <c r="AG83">
        <f>'TEA Revised Non EYZ'!AG83</f>
        <v>1.6497569194096201E-3</v>
      </c>
      <c r="AH83">
        <f>'TEA Revised Non EYZ'!AH83</f>
        <v>1.6689987798565299E-3</v>
      </c>
      <c r="AI83">
        <f>'TEA Revised Non EYZ'!AI83</f>
        <v>5.28589040482341E-6</v>
      </c>
      <c r="AJ83">
        <f>'TEA Revised Non EYZ'!AJ83</f>
        <v>0</v>
      </c>
      <c r="AK83">
        <f>'TEA Revised Non EYZ'!AK83</f>
        <v>0</v>
      </c>
      <c r="AL83">
        <f>'TEA Revised Non EYZ'!AL83</f>
        <v>0</v>
      </c>
      <c r="AM83">
        <f>'TEA Revised Non EYZ'!AM83</f>
        <v>1.6104460290619601E-3</v>
      </c>
      <c r="AN83">
        <f>'TEA Revised Non EYZ'!AN83</f>
        <v>7.9511320807382698E-5</v>
      </c>
      <c r="AO83">
        <f>'TEA Revised Non EYZ'!AO83</f>
        <v>5.2489965417355999E-6</v>
      </c>
      <c r="AP83">
        <f>'TEA Revised Non EYZ'!AP83</f>
        <v>1.8118142403982199E-3</v>
      </c>
      <c r="AQ83">
        <f>'TEA Revised Non EYZ'!AQ83</f>
        <v>7.3258478446211001E-2</v>
      </c>
      <c r="AR83">
        <f>'TEA Revised Non EYZ'!AR83</f>
        <v>1.7004149724062101E-6</v>
      </c>
      <c r="AS83">
        <f>'TEA Revised Non EYZ'!AS83</f>
        <v>-4.4892746204477899E-17</v>
      </c>
      <c r="AT83">
        <f>'TEA Revised Non EYZ'!AT83</f>
        <v>1.89301699315969E-16</v>
      </c>
      <c r="AU83">
        <f>'TEA Revised Non EYZ'!AU83</f>
        <v>-3.52775987641615E-20</v>
      </c>
      <c r="AV83">
        <f>'TEA Revised Non EYZ'!AV83</f>
        <v>0.200386563373979</v>
      </c>
      <c r="AW83">
        <f>'TEA Revised Non EYZ'!AW83</f>
        <v>99.302031251836993</v>
      </c>
      <c r="AX83">
        <f>'TEA Revised Non EYZ'!AX83</f>
        <v>500</v>
      </c>
      <c r="AY83">
        <f>'TEA Revised Non EYZ'!AY83</f>
        <v>95</v>
      </c>
      <c r="AZ83">
        <f>'TEA Revised Non EYZ'!AZ83</f>
        <v>0.92356908198738696</v>
      </c>
      <c r="BA83">
        <f>'TEA Revised Non EYZ'!BA83</f>
        <v>0.1</v>
      </c>
      <c r="BB83">
        <f>'TEA Revised Non EYZ'!BB83</f>
        <v>46.089371784062003</v>
      </c>
      <c r="BC83" t="str">
        <f>'TEA Revised Non EYZ'!BC83</f>
        <v>coeFc</v>
      </c>
      <c r="BD83">
        <f>'TEA Revised Non EYZ'!BD83</f>
        <v>1</v>
      </c>
      <c r="BE83">
        <f>'TEA Revised Non EYZ'!BE83</f>
        <v>1.8775014999999999E-2</v>
      </c>
      <c r="BF83">
        <f>'TEA Revised Non EYZ'!BF83</f>
        <v>0.10492961100000001</v>
      </c>
      <c r="BG83">
        <f>'TEA Revised Non EYZ'!BG83</f>
        <v>1.814625E-3</v>
      </c>
      <c r="BH83">
        <f>'TEA Revised Non EYZ'!BH83</f>
        <v>285.1951444</v>
      </c>
      <c r="BI83">
        <f>'TEA Revised Non EYZ'!BI83</f>
        <v>2169.8944889999998</v>
      </c>
      <c r="BJ83">
        <f>'TEA Revised Non EYZ'!BJ83</f>
        <v>866.49409060000005</v>
      </c>
      <c r="BK83">
        <f>'TEA Revised Non EYZ'!BK83</f>
        <v>100</v>
      </c>
      <c r="BL83">
        <f>'TEA Revised Non EYZ'!BL83</f>
        <v>10.953557168032999</v>
      </c>
      <c r="BM83">
        <f>'TEA Revised Non EYZ'!BM83</f>
        <v>92.356908198738694</v>
      </c>
      <c r="BN83">
        <f>'TEA Revised Non EYZ'!BN83</f>
        <v>20.038656337397899</v>
      </c>
      <c r="BO83">
        <f>'TEA Revised Non EYZ'!BO83</f>
        <v>284.79248636885796</v>
      </c>
      <c r="BP83">
        <f>'TEA Revised Non EYZ'!BP83</f>
        <v>280.5411887235706</v>
      </c>
      <c r="BQ83">
        <f>'TEA Revised Non EYZ'!BQ83</f>
        <v>28.479248636885799</v>
      </c>
      <c r="BR83">
        <f>'TEA Revised Non EYZ'!BR83</f>
        <v>28.054118872357062</v>
      </c>
      <c r="BS83">
        <f>'eLLE Bals'!CF83</f>
        <v>6.5721343008197994</v>
      </c>
      <c r="BT83">
        <f>'eLLE Bals'!CG83</f>
        <v>12.023193802438739</v>
      </c>
      <c r="BU83">
        <f>BM83</f>
        <v>92.356908198738694</v>
      </c>
      <c r="BV83">
        <f>BU83*(AM83*2+AN83*2+AO83*3)</f>
        <v>0.31361281491855497</v>
      </c>
      <c r="BW83">
        <f>BN83*BA83*(AP83*2+AQ83*2+AR83*3)</f>
        <v>0.30087178146834637</v>
      </c>
      <c r="BX83">
        <f>BV83/(2*V83*BL83+BV83)</f>
        <v>0.12522851827324183</v>
      </c>
      <c r="BY83">
        <f>BU83*BX83</f>
        <v>11.565718766025867</v>
      </c>
      <c r="BZ83">
        <f>BW83/(2*BN83*BA83+BW83)</f>
        <v>6.9830471280433501E-2</v>
      </c>
      <c r="CA83">
        <f>2*BN83*BA83/0.04</f>
        <v>100.19328168698951</v>
      </c>
      <c r="CB83">
        <f>(BS83+BL83)*2</f>
        <v>35.051382937705597</v>
      </c>
      <c r="CC83">
        <f>(BU83+BL83)*2</f>
        <v>206.62093073354339</v>
      </c>
      <c r="CD83">
        <f>(BT83+BN83)*2</f>
        <v>64.123700279673272</v>
      </c>
      <c r="CE83">
        <f>(CA83+BN83)*2</f>
        <v>240.46387604877481</v>
      </c>
      <c r="CF83">
        <f>'TEA Revised Non EYZ'!CB83</f>
        <v>3759.2608200689256</v>
      </c>
      <c r="CG83">
        <f>'TEA Revised Non EYZ'!CC83</f>
        <v>3703.1436911511319</v>
      </c>
      <c r="CH83">
        <f>'TEA Revised Non EYZ'!CD83</f>
        <v>4541.8834647976191</v>
      </c>
      <c r="CI83">
        <f>'TEA Revised Non EYZ'!CE83</f>
        <v>28562.676418969168</v>
      </c>
      <c r="CJ83">
        <f>BL83*V83</f>
        <v>1.0953557168032999</v>
      </c>
      <c r="CK83">
        <f>CJ83/2*1.2</f>
        <v>0.65721343008197997</v>
      </c>
      <c r="CL83">
        <f>'eLLE Bals'!CB83*'Oxidant Feed Composition'!$N$20</f>
        <v>3.6511857226776682E-2</v>
      </c>
      <c r="CM83">
        <f>'eLLE Bals'!CB83*'Oxidant Feed Composition'!$N$21</f>
        <v>1.8255928613388335</v>
      </c>
      <c r="CN83">
        <f>'eLLE Bals'!CB83*'Oxidant Feed Composition'!$N$22</f>
        <v>0.54767785840164995</v>
      </c>
      <c r="CO83">
        <f>CN83/CK83</f>
        <v>0.83333333333333326</v>
      </c>
      <c r="CP83">
        <f>CO83</f>
        <v>0.83333333333333326</v>
      </c>
      <c r="CQ83">
        <f>CL83/CO83</f>
        <v>4.381422867213202E-2</v>
      </c>
      <c r="CR83">
        <f>CM83/CO83</f>
        <v>2.1907114336066003</v>
      </c>
      <c r="CS83">
        <f>BN83*BA83</f>
        <v>2.0038656337397902</v>
      </c>
      <c r="CT83">
        <f>CS83/2*1.2</f>
        <v>1.2023193802438741</v>
      </c>
      <c r="CU83">
        <f>'eLLE Bals'!CC83*'Oxidant Feed Composition'!$N$20</f>
        <v>6.6795521124659696E-2</v>
      </c>
      <c r="CV83">
        <f>'eLLE Bals'!CC83*'Oxidant Feed Composition'!$N$21</f>
        <v>3.3397760562329837</v>
      </c>
      <c r="CW83">
        <f>'eLLE Bals'!CC83*'Oxidant Feed Composition'!$N$22</f>
        <v>1.0019328168698951</v>
      </c>
      <c r="CX83">
        <f>CU83/CP83</f>
        <v>8.0154625349591641E-2</v>
      </c>
      <c r="CY83">
        <f>CV83/CP83</f>
        <v>4.0077312674795804</v>
      </c>
      <c r="CZ83">
        <f>CJ83</f>
        <v>1.0953557168032999</v>
      </c>
      <c r="DA83">
        <f>'eLLE Bals'!BQ83</f>
        <v>2.1907114336065998</v>
      </c>
      <c r="DB83">
        <f>'eLLE Bals'!BU83</f>
        <v>5.4607880540353682</v>
      </c>
      <c r="DC83">
        <f>CS83</f>
        <v>2.0038656337397902</v>
      </c>
      <c r="DD83">
        <f>'eLLE Bals'!BX83</f>
        <v>4.0077312674795804</v>
      </c>
      <c r="DE83">
        <f>'eLLE Bals'!CA83</f>
        <v>22.684552458741681</v>
      </c>
      <c r="DF83">
        <f>2*2*(CJ83*'Reagent cost'!$C$36*122.44/1000+CK83*'Oxidant Feed Composition'!$N$26+CQ83*'Reagent cost'!$C$34+CR83*'Reagent cost'!$C$35)</f>
        <v>92.522190873980861</v>
      </c>
      <c r="DG83">
        <f>2*2*(CS83*'Reagent cost'!$C$36*122.44/1000+CT83*'Oxidant Feed Composition'!$N$26+CX83*'Reagent cost'!$C$34+CY83*'Reagent cost'!$C$35)</f>
        <v>169.26194459619308</v>
      </c>
      <c r="DH83">
        <f>(AF83+3)*2*(CZ83*'Reagent cost'!$C$38+DA83*'Reagent cost'!$C$39+DB83*'Reagent cost'!$C$36*122.44/1000)</f>
        <v>833.60942927168173</v>
      </c>
      <c r="DI83">
        <f>3*2*(DC83*'Reagent cost'!$C$38+DD83*'Reagent cost'!$C$39+DE83*'Reagent cost'!$C$36*122.44/1000)</f>
        <v>1230.4761707290181</v>
      </c>
      <c r="DJ83">
        <f>7963.6*(CB83/1000)^0.6*1.7*('CAPEX+OPEX'!$G$116/'CAPEX+OPEX'!$G$115)</f>
        <v>2138.2772847076108</v>
      </c>
      <c r="DK83">
        <f>7963.6*(CC83/1000)^0.6*1.7*('CAPEX+OPEX'!$G$116/'CAPEX+OPEX'!$G$115)</f>
        <v>6199.3408604999822</v>
      </c>
      <c r="DL83">
        <f>7963.6*(CD83/1000)^0.6*1.7*('CAPEX+OPEX'!$G$116/'CAPEX+OPEX'!$G$115)</f>
        <v>3072.218310067838</v>
      </c>
      <c r="DM83">
        <f>7963.6*(CE83/1000)^0.6*1.7*('CAPEX+OPEX'!$G$116/'CAPEX+OPEX'!$G$115)</f>
        <v>6790.0165652739934</v>
      </c>
      <c r="DN83">
        <f>'TEA Revised Non EYZ'!CM83</f>
        <v>39625.826528698344</v>
      </c>
      <c r="DO83">
        <f>'TEA Revised Non EYZ'!CN83</f>
        <v>4586243.4239371875</v>
      </c>
      <c r="DP83">
        <f>'TEA Revised Non EYZ'!CO83</f>
        <v>11794834.586807497</v>
      </c>
      <c r="DQ83">
        <f>'TEA Revised Non EYZ'!CP83</f>
        <v>2275209.1661185985</v>
      </c>
      <c r="DR83">
        <f>'TEA Revised Non EYZ'!CQ83</f>
        <v>14083914.336508472</v>
      </c>
      <c r="DS83">
        <f>'TEA Revised Non EYZ'!CR83</f>
        <v>1662824.8986326549</v>
      </c>
      <c r="DT83">
        <f>'TEA Revised Non EYZ'!CS83</f>
        <v>892840.31653984461</v>
      </c>
      <c r="DU83">
        <f>'TEA Revised Non EYZ'!CT83</f>
        <v>2296193.8284949926</v>
      </c>
      <c r="DV83">
        <f>'TEA Revised Non EYZ'!CU83</f>
        <v>442932.9811560188</v>
      </c>
      <c r="DW83">
        <f>'TEA Revised Non EYZ'!CV83</f>
        <v>2741827.1059701391</v>
      </c>
      <c r="DX83">
        <f>'TEA Revised Non EYZ'!CW83</f>
        <v>323715.28756992728</v>
      </c>
      <c r="DY83">
        <f>'TEA Revised Non EYZ'!CX83</f>
        <v>6697509.5197309218</v>
      </c>
      <c r="DZ83">
        <f>'TEA Revised Non EYZ'!CY83</f>
        <v>556280.39340094617</v>
      </c>
      <c r="EA83">
        <f>'TEA Revised Non EYZ'!CZ83</f>
        <v>1430633.8799643754</v>
      </c>
      <c r="EB83">
        <f>'TEA Revised Non EYZ'!DA83</f>
        <v>275967.52570786065</v>
      </c>
      <c r="EC83">
        <f>'TEA Revised Non EYZ'!DB83</f>
        <v>1708283.8139045672</v>
      </c>
      <c r="ED83">
        <f>'TEA Revised Non EYZ'!DC83</f>
        <v>201689.4445550761</v>
      </c>
      <c r="EE83">
        <f>'TEA Revised Non EYZ'!DD83</f>
        <v>4172855.0575328255</v>
      </c>
      <c r="EF83">
        <v>0.7</v>
      </c>
      <c r="EG83">
        <v>100</v>
      </c>
      <c r="EH83">
        <f>96485*BL83*V83/EF83/EG83/60</f>
        <v>25.163189603753906</v>
      </c>
      <c r="EI83">
        <f>96485*BN83*BA83/EF83/EG83/60</f>
        <v>46.034041826519918</v>
      </c>
      <c r="EJ83">
        <f>EH83*('CAPEX+OPEX'!$O$25+'CAPEX+OPEX'!$O$26)</f>
        <v>802001.17905084451</v>
      </c>
      <c r="EK83">
        <f>EI83*('CAPEX+OPEX'!$O$25+'CAPEX+OPEX'!$O$26)</f>
        <v>1467196.9810948428</v>
      </c>
      <c r="EL83">
        <f>EJ83*1.12/0.6*'CAPEX+OPEX'!$G$116/'CAPEX+OPEX'!$G$115</f>
        <v>1765730.2106115664</v>
      </c>
      <c r="EM83">
        <f>EK83*1.12/0.6*'CAPEX+OPEX'!$G$116/'CAPEX+OPEX'!$G$115</f>
        <v>3230262.1269251397</v>
      </c>
      <c r="EN83">
        <f>EL83+EM83+DY83+EE83+1.15*(SUM(DF83:DM83)+SUM(CF83:CI83))</f>
        <v>15936613.505024113</v>
      </c>
      <c r="EO83">
        <f>EN83/15</f>
        <v>1062440.9003349408</v>
      </c>
      <c r="EP83">
        <f>('eLLE Bals'!CB83+'eLLE Bals'!CC83)*'Oxidant Feed Composition'!$N$25*60*7200</f>
        <v>12479839.170758504</v>
      </c>
      <c r="EQ83" s="83">
        <f>('eLLE Bals'!BR83+'eLLE Bals'!BY83)*'Reagent cost'!$C$38*60*7200</f>
        <v>505632.43724576017</v>
      </c>
      <c r="ER83">
        <f>'TEA Revised Non EYZ'!DI83</f>
        <v>504921.59999999998</v>
      </c>
      <c r="ES83">
        <f>'TEA Revised Non EYZ'!DJ83</f>
        <v>74.624045112200577</v>
      </c>
      <c r="ET83">
        <f>'TEA Revised Non EYZ'!DK83</f>
        <v>662.09119767533571</v>
      </c>
      <c r="EU83">
        <f>1.2*SUM(EP83:ET83)</f>
        <v>16189355.907896463</v>
      </c>
      <c r="EV83">
        <f>'TEA Revised Non EYZ'!DM83</f>
        <v>0.70639694042110623</v>
      </c>
      <c r="EW83">
        <f>(BS83*CO83+BT83*CP83)/1000*('Oxidant Feed Composition'!$B$11*'Oxidant Feed Composition'!$O$20+'Oxidant Feed Composition'!$D$11*'Oxidant Feed Composition'!$O$21+'Oxidant Feed Composition'!$F$11*'Oxidant Feed Composition'!$O$27-'Oxidant Feed Composition'!$J$15*18.015)</f>
        <v>1.8097056989067668</v>
      </c>
      <c r="EX83">
        <f>(CZ83*BX83+DC83*BZ83)*368.34/1000</f>
        <v>0.1020672552568493</v>
      </c>
      <c r="EY83">
        <f>'TEA Revised Non EYZ'!DP83</f>
        <v>4.999938342565946E-2</v>
      </c>
      <c r="EZ83">
        <f>SUM(EV83:EX83)-EY83</f>
        <v>2.5681705111590629</v>
      </c>
      <c r="FA83">
        <f>EZ83*0.33*60*7200</f>
        <v>366118.38807083602</v>
      </c>
      <c r="FB83">
        <f>'TEA Revised Non EYZ'!DS83</f>
        <v>1.2</v>
      </c>
      <c r="FC83">
        <v>0.5</v>
      </c>
      <c r="FD83">
        <f>'TEA Revised Non EYZ'!DT83</f>
        <v>1403.8210207975924</v>
      </c>
      <c r="FE83">
        <f>'TEA Revised Non EYZ'!DU83</f>
        <v>707.86230828995599</v>
      </c>
      <c r="FF83">
        <f>'TEA Revised Non EYZ'!DV83</f>
        <v>0.7</v>
      </c>
      <c r="FG83">
        <f>'TEA Revised Non EYZ'!DW83</f>
        <v>49536.497143418172</v>
      </c>
      <c r="FH83">
        <f>'TEA Revised Non EYZ'!DX83</f>
        <v>49831.318766753509</v>
      </c>
      <c r="FI83">
        <f>'TEA Revised Non EYZ'!DY83</f>
        <v>21097.937381085154</v>
      </c>
      <c r="FJ83">
        <f>'TEA Revised Non EYZ'!DZ83</f>
        <v>11176.166036369152</v>
      </c>
      <c r="FK83">
        <f>'TEA Revised Non EYZ'!EA83</f>
        <v>11252.233269912085</v>
      </c>
      <c r="FL83">
        <f>'TEA Revised Non EYZ'!EB83</f>
        <v>849.03095337838397</v>
      </c>
      <c r="FM83">
        <f>'TEA Revised Non EYZ'!EC83</f>
        <v>30856.373984067617</v>
      </c>
      <c r="FN83">
        <f>'TEA Revised Non EYZ'!ED83</f>
        <v>23276.312502761884</v>
      </c>
      <c r="FO83">
        <f>'TEA Revised Non EYZ'!EE83</f>
        <v>9854.8903741532158</v>
      </c>
      <c r="FP83">
        <f>'TEA Revised Non EYZ'!EF83</f>
        <v>5223.316690816886</v>
      </c>
      <c r="FQ83">
        <f>'TEA Revised Non EYZ'!EG83</f>
        <v>5255.9415328817167</v>
      </c>
      <c r="FR83">
        <f>'TEA Revised Non EYZ'!EH83</f>
        <v>428.11512405376538</v>
      </c>
      <c r="FS83">
        <f>'TEA Revised Non EYZ'!EI83</f>
        <v>218638.13375965157</v>
      </c>
      <c r="FT83">
        <f>EG83*EH83</f>
        <v>2516.3189603753908</v>
      </c>
      <c r="FU83">
        <f>EG83*EI83</f>
        <v>4603.4041826519915</v>
      </c>
      <c r="FV83">
        <f>FC83*(FT83+FU83)/(3.6*10^6)*3600*7200*0.07</f>
        <v>1794.1702320429004</v>
      </c>
      <c r="FW83">
        <f>('CAPEX+OPEX'!$C$39/7/100+0.03)*EL83</f>
        <v>90808.982260023418</v>
      </c>
      <c r="FX83">
        <f>('CAPEX+OPEX'!$C$39/7/100+0.03)*EM83</f>
        <v>166127.76652757861</v>
      </c>
      <c r="FY83">
        <f>SUM(FV83:FX83)</f>
        <v>258730.91901964493</v>
      </c>
      <c r="FZ83">
        <f>FY83+FA83+FS83+EU83</f>
        <v>17032843.348746594</v>
      </c>
      <c r="GA83">
        <f>FZ83+EO83</f>
        <v>18095284.249081533</v>
      </c>
      <c r="GB83">
        <f>GA83/(BK83*60*7200)</f>
        <v>0.41887232058059104</v>
      </c>
      <c r="GC83">
        <f>'TEA Revised Non EYZ'!EM83/'TEA Revised Non EYZ'!EK83*GA83</f>
        <v>1403.3817566539915</v>
      </c>
      <c r="GD83">
        <f>'TEA Revised Non EYZ'!EN83/'TEA Revised Non EYZ'!EK83*GA83</f>
        <v>2564.8750235036509</v>
      </c>
    </row>
    <row r="84" spans="1:186">
      <c r="A84">
        <f>'TEA Revised Non EYZ'!A84</f>
        <v>11</v>
      </c>
      <c r="B84">
        <f>'TEA Revised Non EYZ'!B84</f>
        <v>1.54143585092054E-3</v>
      </c>
      <c r="C84">
        <f>'TEA Revised Non EYZ'!C84</f>
        <v>1.54143585092054E-3</v>
      </c>
      <c r="D84">
        <f>'TEA Revised Non EYZ'!D84</f>
        <v>3.4254130020456501E-4</v>
      </c>
      <c r="E84">
        <f>'TEA Revised Non EYZ'!E84</f>
        <v>0</v>
      </c>
      <c r="F84">
        <f>'TEA Revised Non EYZ'!F84</f>
        <v>0</v>
      </c>
      <c r="G84">
        <f>'TEA Revised Non EYZ'!G84</f>
        <v>0</v>
      </c>
      <c r="H84">
        <f>'TEA Revised Non EYZ'!H84</f>
        <v>1.7771367359861701E-5</v>
      </c>
      <c r="I84">
        <f>'TEA Revised Non EYZ'!I84</f>
        <v>1.8081057367328801E-10</v>
      </c>
      <c r="J84">
        <f>'TEA Revised Non EYZ'!J84</f>
        <v>3.3765941525589702E-4</v>
      </c>
      <c r="K84">
        <f>'TEA Revised Non EYZ'!K84</f>
        <v>0.139102253285185</v>
      </c>
      <c r="L84">
        <f>'TEA Revised Non EYZ'!L84</f>
        <v>0.14072466572308701</v>
      </c>
      <c r="M84">
        <f>'TEA Revised Non EYZ'!M84</f>
        <v>4.4568945720355099E-4</v>
      </c>
      <c r="N84">
        <f>'TEA Revised Non EYZ'!N84</f>
        <v>-8.03393809811758E-16</v>
      </c>
      <c r="O84">
        <f>'TEA Revised Non EYZ'!O84</f>
        <v>-8.4019770307808202E-13</v>
      </c>
      <c r="P84">
        <f>'TEA Revised Non EYZ'!P84</f>
        <v>-2.26157796916898E-19</v>
      </c>
      <c r="Q84">
        <f>'TEA Revised Non EYZ'!Q84</f>
        <v>0.10953557168033</v>
      </c>
      <c r="R84">
        <f>'TEA Revised Non EYZ'!R84</f>
        <v>98.5748039883795</v>
      </c>
      <c r="S84">
        <f>'TEA Revised Non EYZ'!S84</f>
        <v>500</v>
      </c>
      <c r="T84">
        <f>'TEA Revised Non EYZ'!T84</f>
        <v>95</v>
      </c>
      <c r="U84">
        <f>'TEA Revised Non EYZ'!U84</f>
        <v>1</v>
      </c>
      <c r="V84">
        <f>'TEA Revised Non EYZ'!V84</f>
        <v>0.1</v>
      </c>
      <c r="W84">
        <f>'TEA Revised Non EYZ'!W84</f>
        <v>91.294543376138293</v>
      </c>
      <c r="X84" t="str">
        <f>'TEA Revised Non EYZ'!X84</f>
        <v>ddFc</v>
      </c>
      <c r="Y84">
        <f>'TEA Revised Non EYZ'!Y84</f>
        <v>1</v>
      </c>
      <c r="Z84">
        <f>'TEA Revised Non EYZ'!Z84</f>
        <v>0.28318429382522198</v>
      </c>
      <c r="AA84">
        <f>'TEA Revised Non EYZ'!AA84</f>
        <v>0.56945642916197003</v>
      </c>
      <c r="AB84">
        <f>'TEA Revised Non EYZ'!AB84</f>
        <v>3.7698628972227502E-3</v>
      </c>
      <c r="AC84">
        <f>'TEA Revised Non EYZ'!AC84</f>
        <v>1822.2107908876901</v>
      </c>
      <c r="AD84">
        <f>'TEA Revised Non EYZ'!AD84</f>
        <v>2662.6059073104898</v>
      </c>
      <c r="AE84">
        <f>'TEA Revised Non EYZ'!AE84</f>
        <v>2401.5030938442701</v>
      </c>
      <c r="AF84">
        <f>'TEA Revised Non EYZ'!AF84</f>
        <v>6</v>
      </c>
      <c r="AG84">
        <f>'TEA Revised Non EYZ'!AG84</f>
        <v>1.6497569194096201E-3</v>
      </c>
      <c r="AH84">
        <f>'TEA Revised Non EYZ'!AH84</f>
        <v>1.6689987798565299E-3</v>
      </c>
      <c r="AI84">
        <f>'TEA Revised Non EYZ'!AI84</f>
        <v>5.28589040482341E-6</v>
      </c>
      <c r="AJ84">
        <f>'TEA Revised Non EYZ'!AJ84</f>
        <v>0</v>
      </c>
      <c r="AK84">
        <f>'TEA Revised Non EYZ'!AK84</f>
        <v>0</v>
      </c>
      <c r="AL84">
        <f>'TEA Revised Non EYZ'!AL84</f>
        <v>0</v>
      </c>
      <c r="AM84">
        <f>'TEA Revised Non EYZ'!AM84</f>
        <v>1.61212756517482E-3</v>
      </c>
      <c r="AN84">
        <f>'TEA Revised Non EYZ'!AN84</f>
        <v>7.9598306534484298E-5</v>
      </c>
      <c r="AO84">
        <f>'TEA Revised Non EYZ'!AO84</f>
        <v>5.2505128878875599E-6</v>
      </c>
      <c r="AP84">
        <f>'TEA Revised Non EYZ'!AP84</f>
        <v>1.7562199861538999E-3</v>
      </c>
      <c r="AQ84">
        <f>'TEA Revised Non EYZ'!AQ84</f>
        <v>7.4179770926534203E-2</v>
      </c>
      <c r="AR84">
        <f>'TEA Revised Non EYZ'!AR84</f>
        <v>1.6511232671055801E-6</v>
      </c>
      <c r="AS84">
        <f>'TEA Revised Non EYZ'!AS84</f>
        <v>-1.8702487475374901E-18</v>
      </c>
      <c r="AT84">
        <f>'TEA Revised Non EYZ'!AT84</f>
        <v>-1.4853569763051401E-16</v>
      </c>
      <c r="AU84">
        <f>'TEA Revised Non EYZ'!AU84</f>
        <v>-1.8925892415213202E-21</v>
      </c>
      <c r="AV84">
        <f>'TEA Revised Non EYZ'!AV84</f>
        <v>0.197886986940187</v>
      </c>
      <c r="AW84">
        <f>'TEA Revised Non EYZ'!AW84</f>
        <v>99.330717925903897</v>
      </c>
      <c r="AX84">
        <f>'TEA Revised Non EYZ'!AX84</f>
        <v>500</v>
      </c>
      <c r="AY84">
        <f>'TEA Revised Non EYZ'!AY84</f>
        <v>95</v>
      </c>
      <c r="AZ84">
        <f>'TEA Revised Non EYZ'!AZ84</f>
        <v>0.92356908198738696</v>
      </c>
      <c r="BA84">
        <f>'TEA Revised Non EYZ'!BA84</f>
        <v>0.1</v>
      </c>
      <c r="BB84">
        <f>'TEA Revised Non EYZ'!BB84</f>
        <v>46.671541988081501</v>
      </c>
      <c r="BC84" t="str">
        <f>'TEA Revised Non EYZ'!BC84</f>
        <v>coeFc</v>
      </c>
      <c r="BD84">
        <f>'TEA Revised Non EYZ'!BD84</f>
        <v>1</v>
      </c>
      <c r="BE84">
        <f>'TEA Revised Non EYZ'!BE84</f>
        <v>1.8775014999999999E-2</v>
      </c>
      <c r="BF84">
        <f>'TEA Revised Non EYZ'!BF84</f>
        <v>0.10492961100000001</v>
      </c>
      <c r="BG84">
        <f>'TEA Revised Non EYZ'!BG84</f>
        <v>1.814625E-3</v>
      </c>
      <c r="BH84">
        <f>'TEA Revised Non EYZ'!BH84</f>
        <v>285.1951444</v>
      </c>
      <c r="BI84">
        <f>'TEA Revised Non EYZ'!BI84</f>
        <v>2169.8944889999998</v>
      </c>
      <c r="BJ84">
        <f>'TEA Revised Non EYZ'!BJ84</f>
        <v>866.49409060000005</v>
      </c>
      <c r="BK84">
        <f>'TEA Revised Non EYZ'!BK84</f>
        <v>100</v>
      </c>
      <c r="BL84">
        <f>'TEA Revised Non EYZ'!BL84</f>
        <v>10.953557168032999</v>
      </c>
      <c r="BM84">
        <f>'TEA Revised Non EYZ'!BM84</f>
        <v>92.356908198738694</v>
      </c>
      <c r="BN84">
        <f>'TEA Revised Non EYZ'!BN84</f>
        <v>19.788698694018699</v>
      </c>
      <c r="BO84">
        <f>'TEA Revised Non EYZ'!BO84</f>
        <v>284.79248636885796</v>
      </c>
      <c r="BP84">
        <f>'TEA Revised Non EYZ'!BP84</f>
        <v>316.61917910429918</v>
      </c>
      <c r="BQ84">
        <f>'TEA Revised Non EYZ'!BQ84</f>
        <v>28.479248636885799</v>
      </c>
      <c r="BR84">
        <f>'TEA Revised Non EYZ'!BR84</f>
        <v>31.661917910429921</v>
      </c>
      <c r="BS84">
        <f>'eLLE Bals'!CF84</f>
        <v>6.5721343008197994</v>
      </c>
      <c r="BT84">
        <f>'eLLE Bals'!CG84</f>
        <v>11.873219216411218</v>
      </c>
      <c r="BU84">
        <f>BM84</f>
        <v>92.356908198738694</v>
      </c>
      <c r="BV84">
        <f>BU84*(AM84*2+AN84*2+AO84*3)</f>
        <v>0.31393990547212364</v>
      </c>
      <c r="BW84">
        <f>BN84*BA84*(AP84*2+AQ84*2+AR84*3)</f>
        <v>0.30054469091483726</v>
      </c>
      <c r="BX84">
        <f>BV84/(2*V84*BL84+BV84)</f>
        <v>0.12534275752233004</v>
      </c>
      <c r="BY84">
        <f>BU84*BX84</f>
        <v>11.5762695498666</v>
      </c>
      <c r="BZ84">
        <f>BW84/(2*BN84*BA84+BW84)</f>
        <v>7.0578820150513005E-2</v>
      </c>
      <c r="CA84">
        <f>2*BN84*BA84/0.04</f>
        <v>98.9434934700935</v>
      </c>
      <c r="CB84">
        <f>(BS84+BL84)*2</f>
        <v>35.051382937705597</v>
      </c>
      <c r="CC84">
        <f>(BU84+BL84)*2</f>
        <v>206.62093073354339</v>
      </c>
      <c r="CD84">
        <f>(BT84+BN84)*2</f>
        <v>63.323835820859834</v>
      </c>
      <c r="CE84">
        <f>(CA84+BN84)*2</f>
        <v>237.46438432822441</v>
      </c>
      <c r="CF84">
        <f>'TEA Revised Non EYZ'!CB84</f>
        <v>3759.2608200689256</v>
      </c>
      <c r="CG84">
        <f>'TEA Revised Non EYZ'!CC84</f>
        <v>4179.373164176749</v>
      </c>
      <c r="CH84">
        <f>'TEA Revised Non EYZ'!CD84</f>
        <v>4541.8834647976191</v>
      </c>
      <c r="CI84">
        <f>'TEA Revised Non EYZ'!CE84</f>
        <v>32235.876670882313</v>
      </c>
      <c r="CJ84">
        <f>BL84*V84</f>
        <v>1.0953557168032999</v>
      </c>
      <c r="CK84">
        <f>CJ84/2*1.2</f>
        <v>0.65721343008197997</v>
      </c>
      <c r="CL84">
        <f>'eLLE Bals'!CB84*'Oxidant Feed Composition'!$N$20</f>
        <v>3.6511857226776682E-2</v>
      </c>
      <c r="CM84">
        <f>'eLLE Bals'!CB84*'Oxidant Feed Composition'!$N$21</f>
        <v>1.8255928613388335</v>
      </c>
      <c r="CN84">
        <f>'eLLE Bals'!CB84*'Oxidant Feed Composition'!$N$22</f>
        <v>0.54767785840164995</v>
      </c>
      <c r="CO84">
        <f>CN84/CK84</f>
        <v>0.83333333333333326</v>
      </c>
      <c r="CP84">
        <f>CO84</f>
        <v>0.83333333333333326</v>
      </c>
      <c r="CQ84">
        <f>CL84/CO84</f>
        <v>4.381422867213202E-2</v>
      </c>
      <c r="CR84">
        <f>CM84/CO84</f>
        <v>2.1907114336066003</v>
      </c>
      <c r="CS84">
        <f>BN84*BA84</f>
        <v>1.97886986940187</v>
      </c>
      <c r="CT84">
        <f>CS84/2*1.2</f>
        <v>1.1873219216411219</v>
      </c>
      <c r="CU84">
        <f>'eLLE Bals'!CC84*'Oxidant Feed Composition'!$N$20</f>
        <v>6.5962328980062365E-2</v>
      </c>
      <c r="CV84">
        <f>'eLLE Bals'!CC84*'Oxidant Feed Composition'!$N$21</f>
        <v>3.2981164490031167</v>
      </c>
      <c r="CW84">
        <f>'eLLE Bals'!CC84*'Oxidant Feed Composition'!$N$22</f>
        <v>0.98943493470093502</v>
      </c>
      <c r="CX84">
        <f>CU84/CP84</f>
        <v>7.9154794776074844E-2</v>
      </c>
      <c r="CY84">
        <f>CV84/CP84</f>
        <v>3.9577397388037405</v>
      </c>
      <c r="CZ84">
        <f>CJ84</f>
        <v>1.0953557168032999</v>
      </c>
      <c r="DA84">
        <f>'eLLE Bals'!BQ84</f>
        <v>2.1907114336065998</v>
      </c>
      <c r="DB84">
        <f>'eLLE Bals'!BU84</f>
        <v>5.4528160404133699</v>
      </c>
      <c r="DC84">
        <f>CS84</f>
        <v>1.97886986940187</v>
      </c>
      <c r="DD84">
        <f>'eLLE Bals'!BX84</f>
        <v>3.9577397388037401</v>
      </c>
      <c r="DE84">
        <f>'eLLE Bals'!CA84</f>
        <v>22.101119914359764</v>
      </c>
      <c r="DF84">
        <f>2*2*(CJ84*'Reagent cost'!$C$36*122.44/1000+CK84*'Oxidant Feed Composition'!$N$26+CQ84*'Reagent cost'!$C$34+CR84*'Reagent cost'!$C$35)</f>
        <v>92.522190873980861</v>
      </c>
      <c r="DG84">
        <f>2*2*(CS84*'Reagent cost'!$C$36*122.44/1000+CT84*'Oxidant Feed Composition'!$N$26+CX84*'Reagent cost'!$C$34+CY84*'Reagent cost'!$C$35)</f>
        <v>167.15060958087645</v>
      </c>
      <c r="DH84">
        <f>(AF84+3)*2*(CZ84*'Reagent cost'!$C$38+DA84*'Reagent cost'!$C$39+DB84*'Reagent cost'!$C$36*122.44/1000)</f>
        <v>936.56983711055398</v>
      </c>
      <c r="DI84">
        <f>3*2*(DC84*'Reagent cost'!$C$38+DD84*'Reagent cost'!$C$39+DE84*'Reagent cost'!$C$36*122.44/1000)</f>
        <v>1199.5389931192044</v>
      </c>
      <c r="DJ84">
        <f>7963.6*(CB84/1000)^0.6*1.7*('CAPEX+OPEX'!$G$116/'CAPEX+OPEX'!$G$115)</f>
        <v>2138.2772847076108</v>
      </c>
      <c r="DK84">
        <f>7963.6*(CC84/1000)^0.6*1.7*('CAPEX+OPEX'!$G$116/'CAPEX+OPEX'!$G$115)</f>
        <v>6199.3408604999822</v>
      </c>
      <c r="DL84">
        <f>7963.6*(CD84/1000)^0.6*1.7*('CAPEX+OPEX'!$G$116/'CAPEX+OPEX'!$G$115)</f>
        <v>3049.1673193757256</v>
      </c>
      <c r="DM84">
        <f>7963.6*(CE84/1000)^0.6*1.7*('CAPEX+OPEX'!$G$116/'CAPEX+OPEX'!$G$115)</f>
        <v>6739.0707688335169</v>
      </c>
      <c r="DN84">
        <f>'TEA Revised Non EYZ'!CM84</f>
        <v>39625.826528698344</v>
      </c>
      <c r="DO84">
        <f>'TEA Revised Non EYZ'!CN84</f>
        <v>4586243.4239371875</v>
      </c>
      <c r="DP84">
        <f>'TEA Revised Non EYZ'!CO84</f>
        <v>11794834.586807497</v>
      </c>
      <c r="DQ84">
        <f>'TEA Revised Non EYZ'!CP84</f>
        <v>2275209.1661185985</v>
      </c>
      <c r="DR84">
        <f>'TEA Revised Non EYZ'!CQ84</f>
        <v>14083914.336508472</v>
      </c>
      <c r="DS84">
        <f>'TEA Revised Non EYZ'!CR84</f>
        <v>1662824.8986326549</v>
      </c>
      <c r="DT84">
        <f>'TEA Revised Non EYZ'!CS84</f>
        <v>892840.31653984461</v>
      </c>
      <c r="DU84">
        <f>'TEA Revised Non EYZ'!CT84</f>
        <v>2296193.8284949926</v>
      </c>
      <c r="DV84">
        <f>'TEA Revised Non EYZ'!CU84</f>
        <v>442932.9811560188</v>
      </c>
      <c r="DW84">
        <f>'TEA Revised Non EYZ'!CV84</f>
        <v>2741827.1059701391</v>
      </c>
      <c r="DX84">
        <f>'TEA Revised Non EYZ'!CW84</f>
        <v>323715.28756992728</v>
      </c>
      <c r="DY84">
        <f>'TEA Revised Non EYZ'!CX84</f>
        <v>6697509.5197309218</v>
      </c>
      <c r="DZ84">
        <f>'TEA Revised Non EYZ'!CY84</f>
        <v>610185.42092396237</v>
      </c>
      <c r="EA84">
        <f>'TEA Revised Non EYZ'!CZ84</f>
        <v>1569266.0510595285</v>
      </c>
      <c r="EB84">
        <f>'TEA Revised Non EYZ'!DA84</f>
        <v>302709.50195799035</v>
      </c>
      <c r="EC84">
        <f>'TEA Revised Non EYZ'!DB84</f>
        <v>1873820.9910153144</v>
      </c>
      <c r="ED84">
        <f>'TEA Revised Non EYZ'!DC84</f>
        <v>221233.6801398939</v>
      </c>
      <c r="EE84">
        <f>'TEA Revised Non EYZ'!DD84</f>
        <v>4577215.6450966895</v>
      </c>
      <c r="EF84">
        <v>0.7</v>
      </c>
      <c r="EG84">
        <v>100</v>
      </c>
      <c r="EH84">
        <f>96485*BL84*V84/EF84/EG84/60</f>
        <v>25.163189603753906</v>
      </c>
      <c r="EI84">
        <f>96485*BN84*BA84/EF84/EG84/60</f>
        <v>45.459823654580809</v>
      </c>
      <c r="EJ84">
        <f>EH84*('CAPEX+OPEX'!$O$25+'CAPEX+OPEX'!$O$26)</f>
        <v>802001.17905084451</v>
      </c>
      <c r="EK84">
        <f>EI84*('CAPEX+OPEX'!$O$25+'CAPEX+OPEX'!$O$26)</f>
        <v>1448895.4995187996</v>
      </c>
      <c r="EL84">
        <f>EJ84*1.12/0.6*'CAPEX+OPEX'!$G$116/'CAPEX+OPEX'!$G$115</f>
        <v>1765730.2106115664</v>
      </c>
      <c r="EM84">
        <f>EK84*1.12/0.6*'CAPEX+OPEX'!$G$116/'CAPEX+OPEX'!$G$115</f>
        <v>3189968.5715515488</v>
      </c>
      <c r="EN84">
        <f>EL84+EM84+DY84+EE84+1.15*(SUM(DF84:DM84)+SUM(CF84:CI84))</f>
        <v>16305447.683772357</v>
      </c>
      <c r="EO84">
        <f>EN84/15</f>
        <v>1087029.8455848237</v>
      </c>
      <c r="EP84">
        <f>('eLLE Bals'!CB84+'eLLE Bals'!CC84)*'Oxidant Feed Composition'!$N$25*60*7200</f>
        <v>12379187.07669857</v>
      </c>
      <c r="EQ84" s="83">
        <f>('eLLE Bals'!BR84+'eLLE Bals'!BY84)*'Reagent cost'!$C$38*60*7200</f>
        <v>505377.98236794438</v>
      </c>
      <c r="ER84">
        <f>'TEA Revised Non EYZ'!DI84</f>
        <v>504921.59999999998</v>
      </c>
      <c r="ES84">
        <f>'TEA Revised Non EYZ'!DJ84</f>
        <v>79.386339842456749</v>
      </c>
      <c r="ET84">
        <f>'TEA Revised Non EYZ'!DK84</f>
        <v>735.55520271359876</v>
      </c>
      <c r="EU84">
        <f>1.2*SUM(EP84:ET84)</f>
        <v>16068361.920730883</v>
      </c>
      <c r="EV84">
        <f>'TEA Revised Non EYZ'!DM84</f>
        <v>0.70639694042110623</v>
      </c>
      <c r="EW84">
        <f>(BS84*CO84+BT84*CP84)/1000*('Oxidant Feed Composition'!$B$11*'Oxidant Feed Composition'!$O$20+'Oxidant Feed Composition'!$D$11*'Oxidant Feed Composition'!$O$21+'Oxidant Feed Composition'!$F$11*'Oxidant Feed Composition'!$O$27-'Oxidant Feed Composition'!$J$15*18.015)</f>
        <v>1.795110104706005</v>
      </c>
      <c r="EX84">
        <f>(CZ84*BX84+DC84*BZ84)*368.34/1000</f>
        <v>0.1020158908485316</v>
      </c>
      <c r="EY84">
        <f>'TEA Revised Non EYZ'!DP84</f>
        <v>4.999938342565946E-2</v>
      </c>
      <c r="EZ84">
        <f>SUM(EV84:EX84)-EY84</f>
        <v>2.5535235525499833</v>
      </c>
      <c r="FA84">
        <f>EZ84*0.33*60*7200</f>
        <v>364030.31765152566</v>
      </c>
      <c r="FB84">
        <f>'TEA Revised Non EYZ'!DS84</f>
        <v>1.2</v>
      </c>
      <c r="FC84">
        <v>0.5</v>
      </c>
      <c r="FD84">
        <f>'TEA Revised Non EYZ'!DT84</f>
        <v>1405.2859697967249</v>
      </c>
      <c r="FE84">
        <f>'TEA Revised Non EYZ'!DU84</f>
        <v>706.39735929093831</v>
      </c>
      <c r="FF84">
        <f>'TEA Revised Non EYZ'!DV84</f>
        <v>0.7</v>
      </c>
      <c r="FG84">
        <f>'TEA Revised Non EYZ'!DW84</f>
        <v>49536.497143418172</v>
      </c>
      <c r="FH84">
        <f>'TEA Revised Non EYZ'!DX84</f>
        <v>49831.318766753509</v>
      </c>
      <c r="FI84">
        <f>'TEA Revised Non EYZ'!DY84</f>
        <v>21097.937381085154</v>
      </c>
      <c r="FJ84">
        <f>'TEA Revised Non EYZ'!DZ84</f>
        <v>11176.166036369152</v>
      </c>
      <c r="FK84">
        <f>'TEA Revised Non EYZ'!EA84</f>
        <v>11252.233269912085</v>
      </c>
      <c r="FL84">
        <f>'TEA Revised Non EYZ'!EB84</f>
        <v>849.9169545330592</v>
      </c>
      <c r="FM84">
        <f>'TEA Revised Non EYZ'!EC84</f>
        <v>33427.738482739922</v>
      </c>
      <c r="FN84">
        <f>'TEA Revised Non EYZ'!ED84</f>
        <v>27155.697919888862</v>
      </c>
      <c r="FO84">
        <f>'TEA Revised Non EYZ'!EE84</f>
        <v>11497.37210317875</v>
      </c>
      <c r="FP84">
        <f>'TEA Revised Non EYZ'!EF84</f>
        <v>6093.8694726196991</v>
      </c>
      <c r="FQ84">
        <f>'TEA Revised Non EYZ'!EG84</f>
        <v>6131.9317883620024</v>
      </c>
      <c r="FR84">
        <f>'TEA Revised Non EYZ'!EH84</f>
        <v>427.22912289915951</v>
      </c>
      <c r="FS84">
        <f>'TEA Revised Non EYZ'!EI84</f>
        <v>228477.90844175953</v>
      </c>
      <c r="FT84">
        <f>EG84*EH84</f>
        <v>2516.3189603753908</v>
      </c>
      <c r="FU84">
        <f>EG84*EI84</f>
        <v>4545.9823654580805</v>
      </c>
      <c r="FV84">
        <f>FC84*(FT84+FU84)/(3.6*10^6)*3600*7200*0.07</f>
        <v>1779.6999341100347</v>
      </c>
      <c r="FW84">
        <f>('CAPEX+OPEX'!$C$39/7/100+0.03)*EL84</f>
        <v>90808.982260023418</v>
      </c>
      <c r="FX84">
        <f>('CAPEX+OPEX'!$C$39/7/100+0.03)*EM84</f>
        <v>164055.52653693678</v>
      </c>
      <c r="FY84">
        <f>SUM(FV84:FX84)</f>
        <v>256644.20873107022</v>
      </c>
      <c r="FZ84">
        <f>FY84+FA84+FS84+EU84</f>
        <v>16917514.35555524</v>
      </c>
      <c r="GA84">
        <f>FZ84+EO84</f>
        <v>18004544.201140065</v>
      </c>
      <c r="GB84">
        <f>GA84/(BK84*60*7200)</f>
        <v>0.41677185650787185</v>
      </c>
      <c r="GC84">
        <f>'TEA Revised Non EYZ'!EM84/'TEA Revised Non EYZ'!EK84*GA84</f>
        <v>1394.8878795936246</v>
      </c>
      <c r="GD84">
        <f>'TEA Revised Non EYZ'!EN84/'TEA Revised Non EYZ'!EK84*GA84</f>
        <v>2556.8928434398608</v>
      </c>
    </row>
    <row r="85" spans="1:186">
      <c r="A85">
        <f>'TEA Revised Non EYZ'!A85</f>
        <v>11</v>
      </c>
      <c r="B85">
        <f>'TEA Revised Non EYZ'!B85</f>
        <v>1.54143585092054E-3</v>
      </c>
      <c r="C85">
        <f>'TEA Revised Non EYZ'!C85</f>
        <v>1.54143585092054E-3</v>
      </c>
      <c r="D85">
        <f>'TEA Revised Non EYZ'!D85</f>
        <v>3.4254130020456501E-4</v>
      </c>
      <c r="E85">
        <f>'TEA Revised Non EYZ'!E85</f>
        <v>0</v>
      </c>
      <c r="F85">
        <f>'TEA Revised Non EYZ'!F85</f>
        <v>0</v>
      </c>
      <c r="G85">
        <f>'TEA Revised Non EYZ'!G85</f>
        <v>0</v>
      </c>
      <c r="H85">
        <f>'TEA Revised Non EYZ'!H85</f>
        <v>1.7771367359861701E-5</v>
      </c>
      <c r="I85">
        <f>'TEA Revised Non EYZ'!I85</f>
        <v>1.8081057367328801E-10</v>
      </c>
      <c r="J85">
        <f>'TEA Revised Non EYZ'!J85</f>
        <v>3.3765941525589702E-4</v>
      </c>
      <c r="K85">
        <f>'TEA Revised Non EYZ'!K85</f>
        <v>0.139102253285185</v>
      </c>
      <c r="L85">
        <f>'TEA Revised Non EYZ'!L85</f>
        <v>0.14072466572308701</v>
      </c>
      <c r="M85">
        <f>'TEA Revised Non EYZ'!M85</f>
        <v>4.4568945720355099E-4</v>
      </c>
      <c r="N85">
        <f>'TEA Revised Non EYZ'!N85</f>
        <v>-8.03393809811758E-16</v>
      </c>
      <c r="O85">
        <f>'TEA Revised Non EYZ'!O85</f>
        <v>-8.4019770307808202E-13</v>
      </c>
      <c r="P85">
        <f>'TEA Revised Non EYZ'!P85</f>
        <v>-2.26157796916898E-19</v>
      </c>
      <c r="Q85">
        <f>'TEA Revised Non EYZ'!Q85</f>
        <v>0.10953557168033</v>
      </c>
      <c r="R85">
        <f>'TEA Revised Non EYZ'!R85</f>
        <v>98.5748039883795</v>
      </c>
      <c r="S85">
        <f>'TEA Revised Non EYZ'!S85</f>
        <v>500</v>
      </c>
      <c r="T85">
        <f>'TEA Revised Non EYZ'!T85</f>
        <v>95</v>
      </c>
      <c r="U85">
        <f>'TEA Revised Non EYZ'!U85</f>
        <v>1</v>
      </c>
      <c r="V85">
        <f>'TEA Revised Non EYZ'!V85</f>
        <v>0.1</v>
      </c>
      <c r="W85">
        <f>'TEA Revised Non EYZ'!W85</f>
        <v>91.294543376138293</v>
      </c>
      <c r="X85" t="str">
        <f>'TEA Revised Non EYZ'!X85</f>
        <v>ddFc</v>
      </c>
      <c r="Y85">
        <f>'TEA Revised Non EYZ'!Y85</f>
        <v>1</v>
      </c>
      <c r="Z85">
        <f>'TEA Revised Non EYZ'!Z85</f>
        <v>0.28318429382522198</v>
      </c>
      <c r="AA85">
        <f>'TEA Revised Non EYZ'!AA85</f>
        <v>0.56945642916197003</v>
      </c>
      <c r="AB85">
        <f>'TEA Revised Non EYZ'!AB85</f>
        <v>3.7698628972227502E-3</v>
      </c>
      <c r="AC85">
        <f>'TEA Revised Non EYZ'!AC85</f>
        <v>1822.2107908876901</v>
      </c>
      <c r="AD85">
        <f>'TEA Revised Non EYZ'!AD85</f>
        <v>2662.6059073104898</v>
      </c>
      <c r="AE85">
        <f>'TEA Revised Non EYZ'!AE85</f>
        <v>2401.5030938442701</v>
      </c>
      <c r="AF85">
        <f>'TEA Revised Non EYZ'!AF85</f>
        <v>7</v>
      </c>
      <c r="AG85">
        <f>'TEA Revised Non EYZ'!AG85</f>
        <v>1.6497569194096201E-3</v>
      </c>
      <c r="AH85">
        <f>'TEA Revised Non EYZ'!AH85</f>
        <v>1.6689987798565299E-3</v>
      </c>
      <c r="AI85">
        <f>'TEA Revised Non EYZ'!AI85</f>
        <v>5.28589040482341E-6</v>
      </c>
      <c r="AJ85">
        <f>'TEA Revised Non EYZ'!AJ85</f>
        <v>0</v>
      </c>
      <c r="AK85">
        <f>'TEA Revised Non EYZ'!AK85</f>
        <v>0</v>
      </c>
      <c r="AL85">
        <f>'TEA Revised Non EYZ'!AL85</f>
        <v>0</v>
      </c>
      <c r="AM85">
        <f>'TEA Revised Non EYZ'!AM85</f>
        <v>1.6126163799612099E-3</v>
      </c>
      <c r="AN85">
        <f>'TEA Revised Non EYZ'!AN85</f>
        <v>7.9623592631732702E-5</v>
      </c>
      <c r="AO85">
        <f>'TEA Revised Non EYZ'!AO85</f>
        <v>5.2509536820161704E-6</v>
      </c>
      <c r="AP85">
        <f>'TEA Revised Non EYZ'!AP85</f>
        <v>1.7397945404161699E-3</v>
      </c>
      <c r="AQ85">
        <f>'TEA Revised Non EYZ'!AQ85</f>
        <v>7.4451968508709498E-2</v>
      </c>
      <c r="AR85">
        <f>'TEA Revised Non EYZ'!AR85</f>
        <v>1.63655995585356E-6</v>
      </c>
      <c r="AS85">
        <f>'TEA Revised Non EYZ'!AS85</f>
        <v>-4.4791102250807402E-18</v>
      </c>
      <c r="AT85">
        <f>'TEA Revised Non EYZ'!AT85</f>
        <v>-1.66186508998578E-15</v>
      </c>
      <c r="AU85">
        <f>'TEA Revised Non EYZ'!AU85</f>
        <v>-5.8233515123733103E-21</v>
      </c>
      <c r="AV85">
        <f>'TEA Revised Non EYZ'!AV85</f>
        <v>0.19716037225109501</v>
      </c>
      <c r="AW85">
        <f>'TEA Revised Non EYZ'!AW85</f>
        <v>99.339056996426606</v>
      </c>
      <c r="AX85">
        <f>'TEA Revised Non EYZ'!AX85</f>
        <v>500</v>
      </c>
      <c r="AY85">
        <f>'TEA Revised Non EYZ'!AY85</f>
        <v>95</v>
      </c>
      <c r="AZ85">
        <f>'TEA Revised Non EYZ'!AZ85</f>
        <v>0.92356908198738696</v>
      </c>
      <c r="BA85">
        <f>'TEA Revised Non EYZ'!BA85</f>
        <v>0.1</v>
      </c>
      <c r="BB85">
        <f>'TEA Revised Non EYZ'!BB85</f>
        <v>46.8435452541733</v>
      </c>
      <c r="BC85" t="str">
        <f>'TEA Revised Non EYZ'!BC85</f>
        <v>coeFc</v>
      </c>
      <c r="BD85">
        <f>'TEA Revised Non EYZ'!BD85</f>
        <v>1</v>
      </c>
      <c r="BE85">
        <f>'TEA Revised Non EYZ'!BE85</f>
        <v>1.8775014999999999E-2</v>
      </c>
      <c r="BF85">
        <f>'TEA Revised Non EYZ'!BF85</f>
        <v>0.10492961100000001</v>
      </c>
      <c r="BG85">
        <f>'TEA Revised Non EYZ'!BG85</f>
        <v>1.814625E-3</v>
      </c>
      <c r="BH85">
        <f>'TEA Revised Non EYZ'!BH85</f>
        <v>285.1951444</v>
      </c>
      <c r="BI85">
        <f>'TEA Revised Non EYZ'!BI85</f>
        <v>2169.8944889999998</v>
      </c>
      <c r="BJ85">
        <f>'TEA Revised Non EYZ'!BJ85</f>
        <v>866.49409060000005</v>
      </c>
      <c r="BK85">
        <f>'TEA Revised Non EYZ'!BK85</f>
        <v>100</v>
      </c>
      <c r="BL85">
        <f>'TEA Revised Non EYZ'!BL85</f>
        <v>10.953557168032999</v>
      </c>
      <c r="BM85">
        <f>'TEA Revised Non EYZ'!BM85</f>
        <v>92.356908198738694</v>
      </c>
      <c r="BN85">
        <f>'TEA Revised Non EYZ'!BN85</f>
        <v>19.716037225109499</v>
      </c>
      <c r="BO85">
        <f>'TEA Revised Non EYZ'!BO85</f>
        <v>284.79248636885796</v>
      </c>
      <c r="BP85">
        <f>'TEA Revised Non EYZ'!BP85</f>
        <v>354.88867005197096</v>
      </c>
      <c r="BQ85">
        <f>'TEA Revised Non EYZ'!BQ85</f>
        <v>28.479248636885799</v>
      </c>
      <c r="BR85">
        <f>'TEA Revised Non EYZ'!BR85</f>
        <v>35.4888670051971</v>
      </c>
      <c r="BS85">
        <f>'eLLE Bals'!CF85</f>
        <v>6.5721343008197994</v>
      </c>
      <c r="BT85">
        <f>'eLLE Bals'!CG85</f>
        <v>11.829622335065698</v>
      </c>
      <c r="BU85">
        <f>BM85</f>
        <v>92.356908198738694</v>
      </c>
      <c r="BV85">
        <f>BU85*(AM85*2+AN85*2+AO85*3)</f>
        <v>0.3140349891395024</v>
      </c>
      <c r="BW85">
        <f>BN85*BA85*(AP85*2+AQ85*2+AR85*3)</f>
        <v>0.30044960724776004</v>
      </c>
      <c r="BX85">
        <f>BV85/(2*V85*BL85+BV85)</f>
        <v>0.12537596073106963</v>
      </c>
      <c r="BY85">
        <f>BU85*BX85</f>
        <v>11.579336095568065</v>
      </c>
      <c r="BZ85">
        <f>BW85/(2*BN85*BA85+BW85)</f>
        <v>7.0799690820225178E-2</v>
      </c>
      <c r="CA85">
        <f>2*BN85*BA85/0.04</f>
        <v>98.580186125547499</v>
      </c>
      <c r="CB85">
        <f>(BS85+BL85)*2</f>
        <v>35.051382937705597</v>
      </c>
      <c r="CC85">
        <f>(BU85+BL85)*2</f>
        <v>206.62093073354339</v>
      </c>
      <c r="CD85">
        <f>(BT85+BN85)*2</f>
        <v>63.091319120350391</v>
      </c>
      <c r="CE85">
        <f>(CA85+BN85)*2</f>
        <v>236.592446701314</v>
      </c>
      <c r="CF85">
        <f>'TEA Revised Non EYZ'!CB85</f>
        <v>3759.2608200689256</v>
      </c>
      <c r="CG85">
        <f>'TEA Revised Non EYZ'!CC85</f>
        <v>4684.5304446860173</v>
      </c>
      <c r="CH85">
        <f>'TEA Revised Non EYZ'!CD85</f>
        <v>4541.8834647976191</v>
      </c>
      <c r="CI85">
        <f>'TEA Revised Non EYZ'!CE85</f>
        <v>36132.199672971241</v>
      </c>
      <c r="CJ85">
        <f>BL85*V85</f>
        <v>1.0953557168032999</v>
      </c>
      <c r="CK85">
        <f>CJ85/2*1.2</f>
        <v>0.65721343008197997</v>
      </c>
      <c r="CL85">
        <f>'eLLE Bals'!CB85*'Oxidant Feed Composition'!$N$20</f>
        <v>3.6511857226776682E-2</v>
      </c>
      <c r="CM85">
        <f>'eLLE Bals'!CB85*'Oxidant Feed Composition'!$N$21</f>
        <v>1.8255928613388335</v>
      </c>
      <c r="CN85">
        <f>'eLLE Bals'!CB85*'Oxidant Feed Composition'!$N$22</f>
        <v>0.54767785840164995</v>
      </c>
      <c r="CO85">
        <f>CN85/CK85</f>
        <v>0.83333333333333326</v>
      </c>
      <c r="CP85">
        <f>CO85</f>
        <v>0.83333333333333326</v>
      </c>
      <c r="CQ85">
        <f>CL85/CO85</f>
        <v>4.381422867213202E-2</v>
      </c>
      <c r="CR85">
        <f>CM85/CO85</f>
        <v>2.1907114336066003</v>
      </c>
      <c r="CS85">
        <f>BN85*BA85</f>
        <v>1.97160372251095</v>
      </c>
      <c r="CT85">
        <f>CS85/2*1.2</f>
        <v>1.1829622335065699</v>
      </c>
      <c r="CU85">
        <f>'eLLE Bals'!CC85*'Oxidant Feed Composition'!$N$20</f>
        <v>6.5720124083698359E-2</v>
      </c>
      <c r="CV85">
        <f>'eLLE Bals'!CC85*'Oxidant Feed Composition'!$N$21</f>
        <v>3.286006204184917</v>
      </c>
      <c r="CW85">
        <f>'eLLE Bals'!CC85*'Oxidant Feed Composition'!$N$22</f>
        <v>0.98580186125547498</v>
      </c>
      <c r="CX85">
        <f>CU85/CP85</f>
        <v>7.8864148900438039E-2</v>
      </c>
      <c r="CY85">
        <f>CV85/CP85</f>
        <v>3.9432074450219008</v>
      </c>
      <c r="CZ85">
        <f>CJ85</f>
        <v>1.0953557168032999</v>
      </c>
      <c r="DA85">
        <f>'eLLE Bals'!BQ85</f>
        <v>2.1907114336065998</v>
      </c>
      <c r="DB85">
        <f>'eLLE Bals'!BU85</f>
        <v>5.4505017294339781</v>
      </c>
      <c r="DC85">
        <f>CS85</f>
        <v>1.97160372251095</v>
      </c>
      <c r="DD85">
        <f>'eLLE Bals'!BX85</f>
        <v>3.9432074450218999</v>
      </c>
      <c r="DE85">
        <f>'eLLE Bals'!CA85</f>
        <v>21.932820646527656</v>
      </c>
      <c r="DF85">
        <f>2*2*(CJ85*'Reagent cost'!$C$36*122.44/1000+CK85*'Oxidant Feed Composition'!$N$26+CQ85*'Reagent cost'!$C$34+CR85*'Reagent cost'!$C$35)</f>
        <v>92.522190873980861</v>
      </c>
      <c r="DG85">
        <f>2*2*(CS85*'Reagent cost'!$C$36*122.44/1000+CT85*'Oxidant Feed Composition'!$N$26+CX85*'Reagent cost'!$C$34+CY85*'Reagent cost'!$C$35)</f>
        <v>166.53685478026964</v>
      </c>
      <c r="DH85">
        <f>(AF85+3)*2*(CZ85*'Reagent cost'!$C$38+DA85*'Reagent cost'!$C$39+DB85*'Reagent cost'!$C$36*122.44/1000)</f>
        <v>1040.2329286976865</v>
      </c>
      <c r="DI85">
        <f>3*2*(DC85*'Reagent cost'!$C$38+DD85*'Reagent cost'!$C$39+DE85*'Reagent cost'!$C$36*122.44/1000)</f>
        <v>1190.6132404447389</v>
      </c>
      <c r="DJ85">
        <f>7963.6*(CB85/1000)^0.6*1.7*('CAPEX+OPEX'!$G$116/'CAPEX+OPEX'!$G$115)</f>
        <v>2138.2772847076108</v>
      </c>
      <c r="DK85">
        <f>7963.6*(CC85/1000)^0.6*1.7*('CAPEX+OPEX'!$G$116/'CAPEX+OPEX'!$G$115)</f>
        <v>6199.3408604999822</v>
      </c>
      <c r="DL85">
        <f>7963.6*(CD85/1000)^0.6*1.7*('CAPEX+OPEX'!$G$116/'CAPEX+OPEX'!$G$115)</f>
        <v>3042.4446955760445</v>
      </c>
      <c r="DM85">
        <f>7963.6*(CE85/1000)^0.6*1.7*('CAPEX+OPEX'!$G$116/'CAPEX+OPEX'!$G$115)</f>
        <v>6724.2128641031286</v>
      </c>
      <c r="DN85">
        <f>'TEA Revised Non EYZ'!CM85</f>
        <v>39625.826528698344</v>
      </c>
      <c r="DO85">
        <f>'TEA Revised Non EYZ'!CN85</f>
        <v>4586243.4239371875</v>
      </c>
      <c r="DP85">
        <f>'TEA Revised Non EYZ'!CO85</f>
        <v>11794834.586807497</v>
      </c>
      <c r="DQ85">
        <f>'TEA Revised Non EYZ'!CP85</f>
        <v>2275209.1661185985</v>
      </c>
      <c r="DR85">
        <f>'TEA Revised Non EYZ'!CQ85</f>
        <v>14083914.336508472</v>
      </c>
      <c r="DS85">
        <f>'TEA Revised Non EYZ'!CR85</f>
        <v>1662824.8986326549</v>
      </c>
      <c r="DT85">
        <f>'TEA Revised Non EYZ'!CS85</f>
        <v>892840.31653984461</v>
      </c>
      <c r="DU85">
        <f>'TEA Revised Non EYZ'!CT85</f>
        <v>2296193.8284949926</v>
      </c>
      <c r="DV85">
        <f>'TEA Revised Non EYZ'!CU85</f>
        <v>442932.9811560188</v>
      </c>
      <c r="DW85">
        <f>'TEA Revised Non EYZ'!CV85</f>
        <v>2741827.1059701391</v>
      </c>
      <c r="DX85">
        <f>'TEA Revised Non EYZ'!CW85</f>
        <v>323715.28756992728</v>
      </c>
      <c r="DY85">
        <f>'TEA Revised Non EYZ'!CX85</f>
        <v>6697509.5197309218</v>
      </c>
      <c r="DZ85">
        <f>'TEA Revised Non EYZ'!CY85</f>
        <v>661084.53106321464</v>
      </c>
      <c r="EA85">
        <f>'TEA Revised Non EYZ'!CZ85</f>
        <v>1700167.6472492905</v>
      </c>
      <c r="EB85">
        <f>'TEA Revised Non EYZ'!DA85</f>
        <v>327960.2597637524</v>
      </c>
      <c r="EC85">
        <f>'TEA Revised Non EYZ'!DB85</f>
        <v>2030127.2837132132</v>
      </c>
      <c r="ED85">
        <f>'TEA Revised Non EYZ'!DC85</f>
        <v>239688.06640645108</v>
      </c>
      <c r="EE85">
        <f>'TEA Revised Non EYZ'!DD85</f>
        <v>4959027.788195922</v>
      </c>
      <c r="EF85">
        <v>0.7</v>
      </c>
      <c r="EG85">
        <v>100</v>
      </c>
      <c r="EH85">
        <f>96485*BL85*V85/EF85/EG85/60</f>
        <v>25.163189603753906</v>
      </c>
      <c r="EI85">
        <f>96485*BN85*BA85/EF85/EG85/60</f>
        <v>45.292901230111667</v>
      </c>
      <c r="EJ85">
        <f>EH85*('CAPEX+OPEX'!$O$25+'CAPEX+OPEX'!$O$26)</f>
        <v>802001.17905084451</v>
      </c>
      <c r="EK85">
        <f>EI85*('CAPEX+OPEX'!$O$25+'CAPEX+OPEX'!$O$26)</f>
        <v>1443575.348006119</v>
      </c>
      <c r="EL85">
        <f>EJ85*1.12/0.6*'CAPEX+OPEX'!$G$116/'CAPEX+OPEX'!$G$115</f>
        <v>1765730.2106115664</v>
      </c>
      <c r="EM85">
        <f>EK85*1.12/0.6*'CAPEX+OPEX'!$G$116/'CAPEX+OPEX'!$G$115</f>
        <v>3178255.4313513208</v>
      </c>
      <c r="EN85">
        <f>EL85+EM85+DY85+EE85+1.15*(SUM(DF85:DM85)+SUM(CF85:CI85))</f>
        <v>16680691.813510269</v>
      </c>
      <c r="EO85">
        <f>EN85/15</f>
        <v>1112046.1209006845</v>
      </c>
      <c r="EP85">
        <f>('eLLE Bals'!CB85+'eLLE Bals'!CC85)*'Oxidant Feed Composition'!$N$25*60*7200</f>
        <v>12349928.003423953</v>
      </c>
      <c r="EQ85" s="83">
        <f>('eLLE Bals'!BR85+'eLLE Bals'!BY85)*'Reagent cost'!$C$38*60*7200</f>
        <v>505303.17354962841</v>
      </c>
      <c r="ER85">
        <f>'TEA Revised Non EYZ'!DI85</f>
        <v>504921.59999999998</v>
      </c>
      <c r="ES85">
        <f>'TEA Revised Non EYZ'!DJ85</f>
        <v>84.437912647549425</v>
      </c>
      <c r="ET85">
        <f>'TEA Revised Non EYZ'!DK85</f>
        <v>813.48166275537722</v>
      </c>
      <c r="EU85">
        <f>1.2*SUM(EP85:ET85)</f>
        <v>16033260.835858779</v>
      </c>
      <c r="EV85">
        <f>'TEA Revised Non EYZ'!DM85</f>
        <v>0.70639694042110623</v>
      </c>
      <c r="EW85">
        <f>(BS85*CO85+BT85*CP85)/1000*('Oxidant Feed Composition'!$B$11*'Oxidant Feed Composition'!$O$20+'Oxidant Feed Composition'!$D$11*'Oxidant Feed Composition'!$O$21+'Oxidant Feed Composition'!$F$11*'Oxidant Feed Composition'!$O$27-'Oxidant Feed Composition'!$J$15*18.015)</f>
        <v>1.7908672365948621</v>
      </c>
      <c r="EX85">
        <f>(CZ85*BX85+DC85*BZ85)*368.34/1000</f>
        <v>0.10200078989734243</v>
      </c>
      <c r="EY85">
        <f>'TEA Revised Non EYZ'!DP85</f>
        <v>4.999938342565946E-2</v>
      </c>
      <c r="EZ85">
        <f>SUM(EV85:EX85)-EY85</f>
        <v>2.5492655834876516</v>
      </c>
      <c r="FA85">
        <f>EZ85*0.33*60*7200</f>
        <v>363423.30158199964</v>
      </c>
      <c r="FB85">
        <f>'TEA Revised Non EYZ'!DS85</f>
        <v>1.2</v>
      </c>
      <c r="FC85">
        <v>0.5</v>
      </c>
      <c r="FD85">
        <f>'TEA Revised Non EYZ'!DT85</f>
        <v>1405.7118236014501</v>
      </c>
      <c r="FE85">
        <f>'TEA Revised Non EYZ'!DU85</f>
        <v>705.97150548690695</v>
      </c>
      <c r="FF85">
        <f>'TEA Revised Non EYZ'!DV85</f>
        <v>0.7</v>
      </c>
      <c r="FG85">
        <f>'TEA Revised Non EYZ'!DW85</f>
        <v>49536.497143418172</v>
      </c>
      <c r="FH85">
        <f>'TEA Revised Non EYZ'!DX85</f>
        <v>49831.318766753509</v>
      </c>
      <c r="FI85">
        <f>'TEA Revised Non EYZ'!DY85</f>
        <v>21097.937381085154</v>
      </c>
      <c r="FJ85">
        <f>'TEA Revised Non EYZ'!DZ85</f>
        <v>11176.166036369152</v>
      </c>
      <c r="FK85">
        <f>'TEA Revised Non EYZ'!EA85</f>
        <v>11252.233269912085</v>
      </c>
      <c r="FL85">
        <f>'TEA Revised Non EYZ'!EB85</f>
        <v>850.17451091415705</v>
      </c>
      <c r="FM85">
        <f>'TEA Revised Non EYZ'!EC85</f>
        <v>35999.102981412223</v>
      </c>
      <c r="FN85">
        <f>'TEA Revised Non EYZ'!ED85</f>
        <v>31035.083337015851</v>
      </c>
      <c r="FO85">
        <f>'TEA Revised Non EYZ'!EE85</f>
        <v>13139.85383220429</v>
      </c>
      <c r="FP85">
        <f>'TEA Revised Non EYZ'!EF85</f>
        <v>6964.4222544225158</v>
      </c>
      <c r="FQ85">
        <f>'TEA Revised Non EYZ'!EG85</f>
        <v>7007.9220438422899</v>
      </c>
      <c r="FR85">
        <f>'TEA Revised Non EYZ'!EH85</f>
        <v>426.97156651848138</v>
      </c>
      <c r="FS85">
        <f>'TEA Revised Non EYZ'!EI85</f>
        <v>238317.6831238679</v>
      </c>
      <c r="FT85">
        <f>EG85*EH85</f>
        <v>2516.3189603753908</v>
      </c>
      <c r="FU85">
        <f>EG85*EI85</f>
        <v>4529.2901230111665</v>
      </c>
      <c r="FV85">
        <f>FC85*(FT85+FU85)/(3.6*10^6)*3600*7200*0.07</f>
        <v>1775.4934890134127</v>
      </c>
      <c r="FW85">
        <f>('CAPEX+OPEX'!$C$39/7/100+0.03)*EL85</f>
        <v>90808.982260023418</v>
      </c>
      <c r="FX85">
        <f>('CAPEX+OPEX'!$C$39/7/100+0.03)*EM85</f>
        <v>163453.1364694965</v>
      </c>
      <c r="FY85">
        <f>SUM(FV85:FX85)</f>
        <v>256037.61221853335</v>
      </c>
      <c r="FZ85">
        <f>FY85+FA85+FS85+EU85</f>
        <v>16891039.432783179</v>
      </c>
      <c r="GA85">
        <f>FZ85+EO85</f>
        <v>18003085.553683862</v>
      </c>
      <c r="GB85">
        <f>GA85/(BK85*60*7200)</f>
        <v>0.41673809152045976</v>
      </c>
      <c r="GC85">
        <f>'TEA Revised Non EYZ'!EM85/'TEA Revised Non EYZ'!EK85*GA85</f>
        <v>1394.3520718482805</v>
      </c>
      <c r="GD85">
        <f>'TEA Revised Non EYZ'!EN85/'TEA Revised Non EYZ'!EK85*GA85</f>
        <v>2558.1075485973283</v>
      </c>
    </row>
    <row r="86" spans="1:186">
      <c r="A86">
        <f>'TEA Revised Non EYZ'!A86</f>
        <v>11</v>
      </c>
      <c r="B86">
        <f>'TEA Revised Non EYZ'!B86</f>
        <v>1.54143585092054E-3</v>
      </c>
      <c r="C86">
        <f>'TEA Revised Non EYZ'!C86</f>
        <v>1.54143585092054E-3</v>
      </c>
      <c r="D86">
        <f>'TEA Revised Non EYZ'!D86</f>
        <v>3.4254130020456501E-4</v>
      </c>
      <c r="E86">
        <f>'TEA Revised Non EYZ'!E86</f>
        <v>0</v>
      </c>
      <c r="F86">
        <f>'TEA Revised Non EYZ'!F86</f>
        <v>0</v>
      </c>
      <c r="G86">
        <f>'TEA Revised Non EYZ'!G86</f>
        <v>0</v>
      </c>
      <c r="H86">
        <f>'TEA Revised Non EYZ'!H86</f>
        <v>1.7771367359861701E-5</v>
      </c>
      <c r="I86">
        <f>'TEA Revised Non EYZ'!I86</f>
        <v>1.8081057367328801E-10</v>
      </c>
      <c r="J86">
        <f>'TEA Revised Non EYZ'!J86</f>
        <v>3.3765941525589702E-4</v>
      </c>
      <c r="K86">
        <f>'TEA Revised Non EYZ'!K86</f>
        <v>0.139102253285185</v>
      </c>
      <c r="L86">
        <f>'TEA Revised Non EYZ'!L86</f>
        <v>0.14072466572308701</v>
      </c>
      <c r="M86">
        <f>'TEA Revised Non EYZ'!M86</f>
        <v>4.4568945720355099E-4</v>
      </c>
      <c r="N86">
        <f>'TEA Revised Non EYZ'!N86</f>
        <v>-8.03393809811758E-16</v>
      </c>
      <c r="O86">
        <f>'TEA Revised Non EYZ'!O86</f>
        <v>-8.4019770307808202E-13</v>
      </c>
      <c r="P86">
        <f>'TEA Revised Non EYZ'!P86</f>
        <v>-2.26157796916898E-19</v>
      </c>
      <c r="Q86">
        <f>'TEA Revised Non EYZ'!Q86</f>
        <v>0.10953557168033</v>
      </c>
      <c r="R86">
        <f>'TEA Revised Non EYZ'!R86</f>
        <v>98.5748039883795</v>
      </c>
      <c r="S86">
        <f>'TEA Revised Non EYZ'!S86</f>
        <v>500</v>
      </c>
      <c r="T86">
        <f>'TEA Revised Non EYZ'!T86</f>
        <v>95</v>
      </c>
      <c r="U86">
        <f>'TEA Revised Non EYZ'!U86</f>
        <v>1</v>
      </c>
      <c r="V86">
        <f>'TEA Revised Non EYZ'!V86</f>
        <v>0.1</v>
      </c>
      <c r="W86">
        <f>'TEA Revised Non EYZ'!W86</f>
        <v>91.294543376138293</v>
      </c>
      <c r="X86" t="str">
        <f>'TEA Revised Non EYZ'!X86</f>
        <v>ddFc</v>
      </c>
      <c r="Y86">
        <f>'TEA Revised Non EYZ'!Y86</f>
        <v>1</v>
      </c>
      <c r="Z86">
        <f>'TEA Revised Non EYZ'!Z86</f>
        <v>0.28318429382522198</v>
      </c>
      <c r="AA86">
        <f>'TEA Revised Non EYZ'!AA86</f>
        <v>0.56945642916197003</v>
      </c>
      <c r="AB86">
        <f>'TEA Revised Non EYZ'!AB86</f>
        <v>3.7698628972227502E-3</v>
      </c>
      <c r="AC86">
        <f>'TEA Revised Non EYZ'!AC86</f>
        <v>1822.2107908876901</v>
      </c>
      <c r="AD86">
        <f>'TEA Revised Non EYZ'!AD86</f>
        <v>2662.6059073104898</v>
      </c>
      <c r="AE86">
        <f>'TEA Revised Non EYZ'!AE86</f>
        <v>2401.5030938442701</v>
      </c>
      <c r="AF86">
        <f>'TEA Revised Non EYZ'!AF86</f>
        <v>8</v>
      </c>
      <c r="AG86">
        <f>'TEA Revised Non EYZ'!AG86</f>
        <v>1.6497569194096201E-3</v>
      </c>
      <c r="AH86">
        <f>'TEA Revised Non EYZ'!AH86</f>
        <v>1.6689987798565299E-3</v>
      </c>
      <c r="AI86">
        <f>'TEA Revised Non EYZ'!AI86</f>
        <v>5.28589040482341E-6</v>
      </c>
      <c r="AJ86">
        <f>'TEA Revised Non EYZ'!AJ86</f>
        <v>0</v>
      </c>
      <c r="AK86">
        <f>'TEA Revised Non EYZ'!AK86</f>
        <v>0</v>
      </c>
      <c r="AL86">
        <f>'TEA Revised Non EYZ'!AL86</f>
        <v>0</v>
      </c>
      <c r="AM86">
        <f>'TEA Revised Non EYZ'!AM86</f>
        <v>1.6127556677607399E-3</v>
      </c>
      <c r="AN86">
        <f>'TEA Revised Non EYZ'!AN86</f>
        <v>7.9630797964244996E-5</v>
      </c>
      <c r="AO86">
        <f>'TEA Revised Non EYZ'!AO86</f>
        <v>5.2510792863207299E-6</v>
      </c>
      <c r="AP86">
        <f>'TEA Revised Non EYZ'!AP86</f>
        <v>1.7350919198262601E-3</v>
      </c>
      <c r="AQ86">
        <f>'TEA Revised Non EYZ'!AQ86</f>
        <v>7.4529898928506394E-2</v>
      </c>
      <c r="AR86">
        <f>'TEA Revised Non EYZ'!AR86</f>
        <v>1.6323904665746701E-6</v>
      </c>
      <c r="AS86">
        <f>'TEA Revised Non EYZ'!AS86</f>
        <v>5.0343369338741403E-15</v>
      </c>
      <c r="AT86">
        <f>'TEA Revised Non EYZ'!AT86</f>
        <v>-1.17148695258362E-12</v>
      </c>
      <c r="AU86">
        <f>'TEA Revised Non EYZ'!AU86</f>
        <v>2.5583041985040001E-20</v>
      </c>
      <c r="AV86">
        <f>'TEA Revised Non EYZ'!AV86</f>
        <v>0.19695332346498701</v>
      </c>
      <c r="AW86">
        <f>'TEA Revised Non EYZ'!AW86</f>
        <v>99.341433214905294</v>
      </c>
      <c r="AX86">
        <f>'TEA Revised Non EYZ'!AX86</f>
        <v>500</v>
      </c>
      <c r="AY86">
        <f>'TEA Revised Non EYZ'!AY86</f>
        <v>95</v>
      </c>
      <c r="AZ86">
        <f>'TEA Revised Non EYZ'!AZ86</f>
        <v>0.92356908198738696</v>
      </c>
      <c r="BA86">
        <f>'TEA Revised Non EYZ'!BA86</f>
        <v>0.1</v>
      </c>
      <c r="BB86">
        <f>'TEA Revised Non EYZ'!BB86</f>
        <v>46.892789912812503</v>
      </c>
      <c r="BC86" t="str">
        <f>'TEA Revised Non EYZ'!BC86</f>
        <v>coeFc</v>
      </c>
      <c r="BD86">
        <f>'TEA Revised Non EYZ'!BD86</f>
        <v>1</v>
      </c>
      <c r="BE86">
        <f>'TEA Revised Non EYZ'!BE86</f>
        <v>1.8775014999999999E-2</v>
      </c>
      <c r="BF86">
        <f>'TEA Revised Non EYZ'!BF86</f>
        <v>0.10492961100000001</v>
      </c>
      <c r="BG86">
        <f>'TEA Revised Non EYZ'!BG86</f>
        <v>1.814625E-3</v>
      </c>
      <c r="BH86">
        <f>'TEA Revised Non EYZ'!BH86</f>
        <v>285.1951444</v>
      </c>
      <c r="BI86">
        <f>'TEA Revised Non EYZ'!BI86</f>
        <v>2169.8944889999998</v>
      </c>
      <c r="BJ86">
        <f>'TEA Revised Non EYZ'!BJ86</f>
        <v>866.49409060000005</v>
      </c>
      <c r="BK86">
        <f>'TEA Revised Non EYZ'!BK86</f>
        <v>100</v>
      </c>
      <c r="BL86">
        <f>'TEA Revised Non EYZ'!BL86</f>
        <v>10.953557168032999</v>
      </c>
      <c r="BM86">
        <f>'TEA Revised Non EYZ'!BM86</f>
        <v>92.356908198738694</v>
      </c>
      <c r="BN86">
        <f>'TEA Revised Non EYZ'!BN86</f>
        <v>19.695332346498702</v>
      </c>
      <c r="BO86">
        <f>'TEA Revised Non EYZ'!BO86</f>
        <v>284.79248636885796</v>
      </c>
      <c r="BP86">
        <f>'TEA Revised Non EYZ'!BP86</f>
        <v>393.90664692997404</v>
      </c>
      <c r="BQ86">
        <f>'TEA Revised Non EYZ'!BQ86</f>
        <v>28.479248636885799</v>
      </c>
      <c r="BR86">
        <f>'TEA Revised Non EYZ'!BR86</f>
        <v>39.390664692997404</v>
      </c>
      <c r="BS86">
        <f>'eLLE Bals'!CF86</f>
        <v>6.5721343008197994</v>
      </c>
      <c r="BT86">
        <f>'eLLE Bals'!CG86</f>
        <v>11.817199407899221</v>
      </c>
      <c r="BU86">
        <f>BM86</f>
        <v>92.356908198738694</v>
      </c>
      <c r="BV86">
        <f>BU86*(AM86*2+AN86*2+AO86*3)</f>
        <v>0.3140620832462736</v>
      </c>
      <c r="BW86">
        <f>BN86*BA86*(AP86*2+AQ86*2+AR86*3)</f>
        <v>0.30042251337394632</v>
      </c>
      <c r="BX86">
        <f>BV86/(2*V86*BL86+BV86)</f>
        <v>0.12538542152939935</v>
      </c>
      <c r="BY86">
        <f>BU86*BX86</f>
        <v>11.58020986565089</v>
      </c>
      <c r="BZ86">
        <f>BW86/(2*BN86*BA86+BW86)</f>
        <v>7.0862906968679293E-2</v>
      </c>
      <c r="CA86">
        <f>2*BN86*BA86/0.04</f>
        <v>98.476661732493511</v>
      </c>
      <c r="CB86">
        <f>(BS86+BL86)*2</f>
        <v>35.051382937705597</v>
      </c>
      <c r="CC86">
        <f>(BU86+BL86)*2</f>
        <v>206.62093073354339</v>
      </c>
      <c r="CD86">
        <f>(BT86+BN86)*2</f>
        <v>63.025063508795846</v>
      </c>
      <c r="CE86">
        <f>(CA86+BN86)*2</f>
        <v>236.34398815798443</v>
      </c>
      <c r="CF86">
        <f>'TEA Revised Non EYZ'!CB86</f>
        <v>3759.2608200689256</v>
      </c>
      <c r="CG86">
        <f>'TEA Revised Non EYZ'!CC86</f>
        <v>5199.5677394756585</v>
      </c>
      <c r="CH86">
        <f>'TEA Revised Non EYZ'!CD86</f>
        <v>4541.8834647976191</v>
      </c>
      <c r="CI86">
        <f>'TEA Revised Non EYZ'!CE86</f>
        <v>40104.72810332357</v>
      </c>
      <c r="CJ86">
        <f>BL86*V86</f>
        <v>1.0953557168032999</v>
      </c>
      <c r="CK86">
        <f>CJ86/2*1.2</f>
        <v>0.65721343008197997</v>
      </c>
      <c r="CL86">
        <f>'eLLE Bals'!CB86*'Oxidant Feed Composition'!$N$20</f>
        <v>3.6511857226776682E-2</v>
      </c>
      <c r="CM86">
        <f>'eLLE Bals'!CB86*'Oxidant Feed Composition'!$N$21</f>
        <v>1.8255928613388335</v>
      </c>
      <c r="CN86">
        <f>'eLLE Bals'!CB86*'Oxidant Feed Composition'!$N$22</f>
        <v>0.54767785840164995</v>
      </c>
      <c r="CO86">
        <f>CN86/CK86</f>
        <v>0.83333333333333326</v>
      </c>
      <c r="CP86">
        <f>CO86</f>
        <v>0.83333333333333326</v>
      </c>
      <c r="CQ86">
        <f>CL86/CO86</f>
        <v>4.381422867213202E-2</v>
      </c>
      <c r="CR86">
        <f>CM86/CO86</f>
        <v>2.1907114336066003</v>
      </c>
      <c r="CS86">
        <f>BN86*BA86</f>
        <v>1.9695332346498704</v>
      </c>
      <c r="CT86">
        <f>CS86/2*1.2</f>
        <v>1.1817199407899222</v>
      </c>
      <c r="CU86">
        <f>'eLLE Bals'!CC86*'Oxidant Feed Composition'!$N$20</f>
        <v>6.5651107821662377E-2</v>
      </c>
      <c r="CV86">
        <f>'eLLE Bals'!CC86*'Oxidant Feed Composition'!$N$21</f>
        <v>3.2825553910831173</v>
      </c>
      <c r="CW86">
        <f>'eLLE Bals'!CC86*'Oxidant Feed Composition'!$N$22</f>
        <v>0.9847666173249352</v>
      </c>
      <c r="CX86">
        <f>CU86/CP86</f>
        <v>7.8781329385994858E-2</v>
      </c>
      <c r="CY86">
        <f>CV86/CP86</f>
        <v>3.9390664692997412</v>
      </c>
      <c r="CZ86">
        <f>CJ86</f>
        <v>1.0953557168032999</v>
      </c>
      <c r="DA86">
        <f>'eLLE Bals'!BQ86</f>
        <v>2.1907114336065998</v>
      </c>
      <c r="DB86">
        <f>'eLLE Bals'!BU86</f>
        <v>5.4498425243086137</v>
      </c>
      <c r="DC86">
        <f>CS86</f>
        <v>1.9695332346498704</v>
      </c>
      <c r="DD86">
        <f>'eLLE Bals'!BX86</f>
        <v>3.9390664692997408</v>
      </c>
      <c r="DE86">
        <f>'eLLE Bals'!CA86</f>
        <v>21.884971275581115</v>
      </c>
      <c r="DF86">
        <f>2*2*(CJ86*'Reagent cost'!$C$36*122.44/1000+CK86*'Oxidant Feed Composition'!$N$26+CQ86*'Reagent cost'!$C$34+CR86*'Reagent cost'!$C$35)</f>
        <v>92.522190873980861</v>
      </c>
      <c r="DG86">
        <f>2*2*(CS86*'Reagent cost'!$C$36*122.44/1000+CT86*'Oxidant Feed Composition'!$N$26+CX86*'Reagent cost'!$C$34+CY86*'Reagent cost'!$C$35)</f>
        <v>166.36196540858302</v>
      </c>
      <c r="DH86">
        <f>(AF86+3)*2*(CZ86*'Reagent cost'!$C$38+DA86*'Reagent cost'!$C$39+DB86*'Reagent cost'!$C$36*122.44/1000)</f>
        <v>1144.130822504758</v>
      </c>
      <c r="DI86">
        <f>3*2*(DC86*'Reagent cost'!$C$38+DD86*'Reagent cost'!$C$39+DE86*'Reagent cost'!$C$36*122.44/1000)</f>
        <v>1188.0754246498134</v>
      </c>
      <c r="DJ86">
        <f>7963.6*(CB86/1000)^0.6*1.7*('CAPEX+OPEX'!$G$116/'CAPEX+OPEX'!$G$115)</f>
        <v>2138.2772847076108</v>
      </c>
      <c r="DK86">
        <f>7963.6*(CC86/1000)^0.6*1.7*('CAPEX+OPEX'!$G$116/'CAPEX+OPEX'!$G$115)</f>
        <v>6199.3408604999822</v>
      </c>
      <c r="DL86">
        <f>7963.6*(CD86/1000)^0.6*1.7*('CAPEX+OPEX'!$G$116/'CAPEX+OPEX'!$G$115)</f>
        <v>3040.5272711635121</v>
      </c>
      <c r="DM86">
        <f>7963.6*(CE86/1000)^0.6*1.7*('CAPEX+OPEX'!$G$116/'CAPEX+OPEX'!$G$115)</f>
        <v>6719.9750977044669</v>
      </c>
      <c r="DN86">
        <f>'TEA Revised Non EYZ'!CM86</f>
        <v>39625.826528698344</v>
      </c>
      <c r="DO86">
        <f>'TEA Revised Non EYZ'!CN86</f>
        <v>4586243.4239371875</v>
      </c>
      <c r="DP86">
        <f>'TEA Revised Non EYZ'!CO86</f>
        <v>11794834.586807497</v>
      </c>
      <c r="DQ86">
        <f>'TEA Revised Non EYZ'!CP86</f>
        <v>2275209.1661185985</v>
      </c>
      <c r="DR86">
        <f>'TEA Revised Non EYZ'!CQ86</f>
        <v>14083914.336508472</v>
      </c>
      <c r="DS86">
        <f>'TEA Revised Non EYZ'!CR86</f>
        <v>1662824.8986326549</v>
      </c>
      <c r="DT86">
        <f>'TEA Revised Non EYZ'!CS86</f>
        <v>892840.31653984461</v>
      </c>
      <c r="DU86">
        <f>'TEA Revised Non EYZ'!CT86</f>
        <v>2296193.8284949926</v>
      </c>
      <c r="DV86">
        <f>'TEA Revised Non EYZ'!CU86</f>
        <v>442932.9811560188</v>
      </c>
      <c r="DW86">
        <f>'TEA Revised Non EYZ'!CV86</f>
        <v>2741827.1059701391</v>
      </c>
      <c r="DX86">
        <f>'TEA Revised Non EYZ'!CW86</f>
        <v>323715.28756992728</v>
      </c>
      <c r="DY86">
        <f>'TEA Revised Non EYZ'!CX86</f>
        <v>6697509.5197309218</v>
      </c>
      <c r="DZ86">
        <f>'TEA Revised Non EYZ'!CY86</f>
        <v>709493.64296132035</v>
      </c>
      <c r="EA86">
        <f>'TEA Revised Non EYZ'!CZ86</f>
        <v>1824665.5019319013</v>
      </c>
      <c r="EB86">
        <f>'TEA Revised Non EYZ'!DA86</f>
        <v>351975.74366488325</v>
      </c>
      <c r="EC86">
        <f>'TEA Revised Non EYZ'!DB86</f>
        <v>2178787.0302763539</v>
      </c>
      <c r="ED86">
        <f>'TEA Revised Non EYZ'!DC86</f>
        <v>257239.65910315106</v>
      </c>
      <c r="EE86">
        <f>'TEA Revised Non EYZ'!DD86</f>
        <v>5322161.5779376104</v>
      </c>
      <c r="EF86">
        <v>0.7</v>
      </c>
      <c r="EG86">
        <v>100</v>
      </c>
      <c r="EH86">
        <f>96485*BL86*V86/EF86/EG86/60</f>
        <v>25.163189603753906</v>
      </c>
      <c r="EI86">
        <f>96485*BN86*BA86/EF86/EG86/60</f>
        <v>45.245336701236376</v>
      </c>
      <c r="EJ86">
        <f>EH86*('CAPEX+OPEX'!$O$25+'CAPEX+OPEX'!$O$26)</f>
        <v>802001.17905084451</v>
      </c>
      <c r="EK86">
        <f>EI86*('CAPEX+OPEX'!$O$25+'CAPEX+OPEX'!$O$26)</f>
        <v>1442059.3713418057</v>
      </c>
      <c r="EL86">
        <f>EJ86*1.12/0.6*'CAPEX+OPEX'!$G$116/'CAPEX+OPEX'!$G$115</f>
        <v>1765730.2106115664</v>
      </c>
      <c r="EM86">
        <f>EK86*1.12/0.6*'CAPEX+OPEX'!$G$116/'CAPEX+OPEX'!$G$115</f>
        <v>3174917.7731724037</v>
      </c>
      <c r="EN86">
        <f>EL86+EM86+DY86+EE86+1.15*(SUM(DF86:DM86)+SUM(CF86:CI86))</f>
        <v>17045757.930154458</v>
      </c>
      <c r="EO86">
        <f>EN86/15</f>
        <v>1136383.8620102971</v>
      </c>
      <c r="EP86">
        <f>('eLLE Bals'!CB86+'eLLE Bals'!CC86)*'Oxidant Feed Composition'!$N$25*60*7200</f>
        <v>12341590.633294921</v>
      </c>
      <c r="EQ86" s="83">
        <f>('eLLE Bals'!BR86+'eLLE Bals'!BY86)*'Reagent cost'!$C$38*60*7200</f>
        <v>505281.78657881333</v>
      </c>
      <c r="ER86">
        <f>'TEA Revised Non EYZ'!DI86</f>
        <v>504921.59999999998</v>
      </c>
      <c r="ES86">
        <f>'TEA Revised Non EYZ'!DJ86</f>
        <v>89.588285595445853</v>
      </c>
      <c r="ET86">
        <f>'TEA Revised Non EYZ'!DK86</f>
        <v>892.93223136242375</v>
      </c>
      <c r="EU86">
        <f>1.2*SUM(EP86:ET86)</f>
        <v>16023331.848468831</v>
      </c>
      <c r="EV86">
        <f>'TEA Revised Non EYZ'!DM86</f>
        <v>0.70639694042110623</v>
      </c>
      <c r="EW86">
        <f>(BS86*CO86+BT86*CP86)/1000*('Oxidant Feed Composition'!$B$11*'Oxidant Feed Composition'!$O$20+'Oxidant Feed Composition'!$D$11*'Oxidant Feed Composition'!$O$21+'Oxidant Feed Composition'!$F$11*'Oxidant Feed Composition'!$O$27-'Oxidant Feed Composition'!$J$15*18.015)</f>
        <v>1.7896582317327034</v>
      </c>
      <c r="EX86">
        <f>(CZ86*BX86+DC86*BZ86)*368.34/1000</f>
        <v>0.10199647271108506</v>
      </c>
      <c r="EY86">
        <f>'TEA Revised Non EYZ'!DP86</f>
        <v>4.999938342565946E-2</v>
      </c>
      <c r="EZ86">
        <f>SUM(EV86:EX86)-EY86</f>
        <v>2.5480522614392354</v>
      </c>
      <c r="FA86">
        <f>EZ86*0.33*60*7200</f>
        <v>363250.33039077744</v>
      </c>
      <c r="FB86">
        <f>'TEA Revised Non EYZ'!DS86</f>
        <v>1.2</v>
      </c>
      <c r="FC86">
        <v>0.5</v>
      </c>
      <c r="FD86">
        <f>'TEA Revised Non EYZ'!DT86</f>
        <v>1405.8331706903878</v>
      </c>
      <c r="FE86">
        <f>'TEA Revised Non EYZ'!DU86</f>
        <v>705.85015893081743</v>
      </c>
      <c r="FF86">
        <f>'TEA Revised Non EYZ'!DV86</f>
        <v>0.7</v>
      </c>
      <c r="FG86">
        <f>'TEA Revised Non EYZ'!DW86</f>
        <v>49536.497143418172</v>
      </c>
      <c r="FH86">
        <f>'TEA Revised Non EYZ'!DX86</f>
        <v>49831.318766753509</v>
      </c>
      <c r="FI86">
        <f>'TEA Revised Non EYZ'!DY86</f>
        <v>21097.937381085154</v>
      </c>
      <c r="FJ86">
        <f>'TEA Revised Non EYZ'!DZ86</f>
        <v>11176.166036369152</v>
      </c>
      <c r="FK86">
        <f>'TEA Revised Non EYZ'!EA86</f>
        <v>11252.233269912085</v>
      </c>
      <c r="FL86">
        <f>'TEA Revised Non EYZ'!EB86</f>
        <v>850.24790163354669</v>
      </c>
      <c r="FM86">
        <f>'TEA Revised Non EYZ'!EC86</f>
        <v>38570.467480084517</v>
      </c>
      <c r="FN86">
        <f>'TEA Revised Non EYZ'!ED86</f>
        <v>34914.468754142828</v>
      </c>
      <c r="FO86">
        <f>'TEA Revised Non EYZ'!EE86</f>
        <v>14782.335561229824</v>
      </c>
      <c r="FP86">
        <f>'TEA Revised Non EYZ'!EF86</f>
        <v>7834.9750362253289</v>
      </c>
      <c r="FQ86">
        <f>'TEA Revised Non EYZ'!EG86</f>
        <v>7883.9122993225756</v>
      </c>
      <c r="FR86">
        <f>'TEA Revised Non EYZ'!EH86</f>
        <v>426.8981761213584</v>
      </c>
      <c r="FS86">
        <f>'TEA Revised Non EYZ'!EI86</f>
        <v>248157.45780629804</v>
      </c>
      <c r="FT86">
        <f>EG86*EH86</f>
        <v>2516.3189603753908</v>
      </c>
      <c r="FU86">
        <f>EG86*EI86</f>
        <v>4524.5336701236374</v>
      </c>
      <c r="FV86">
        <f>FC86*(FT86+FU86)/(3.6*10^6)*3600*7200*0.07</f>
        <v>1774.2948628857555</v>
      </c>
      <c r="FW86">
        <f>('CAPEX+OPEX'!$C$39/7/100+0.03)*EL86</f>
        <v>90808.982260023418</v>
      </c>
      <c r="FX86">
        <f>('CAPEX+OPEX'!$C$39/7/100+0.03)*EM86</f>
        <v>163281.48547743791</v>
      </c>
      <c r="FY86">
        <f>SUM(FV86:FX86)</f>
        <v>255864.76260034708</v>
      </c>
      <c r="FZ86">
        <f>FY86+FA86+FS86+EU86</f>
        <v>16890604.399266254</v>
      </c>
      <c r="GA86">
        <f>FZ86+EO86</f>
        <v>18026988.261276551</v>
      </c>
      <c r="GB86">
        <f>GA86/(BK86*60*7200)</f>
        <v>0.41729139493695722</v>
      </c>
      <c r="GC86">
        <f>'TEA Revised Non EYZ'!EM86/'TEA Revised Non EYZ'!EK86*GA86</f>
        <v>1396.0827640051236</v>
      </c>
      <c r="GD86">
        <f>'TEA Revised Non EYZ'!EN86/'TEA Revised Non EYZ'!EK86*GA86</f>
        <v>2561.9099327016493</v>
      </c>
    </row>
    <row r="87" spans="1:186">
      <c r="A87">
        <f>'TEA Revised Non EYZ'!A87</f>
        <v>11</v>
      </c>
      <c r="B87">
        <f>'TEA Revised Non EYZ'!B87</f>
        <v>1.54143585092054E-3</v>
      </c>
      <c r="C87">
        <f>'TEA Revised Non EYZ'!C87</f>
        <v>1.54143585092054E-3</v>
      </c>
      <c r="D87">
        <f>'TEA Revised Non EYZ'!D87</f>
        <v>3.4254130020456501E-4</v>
      </c>
      <c r="E87">
        <f>'TEA Revised Non EYZ'!E87</f>
        <v>0</v>
      </c>
      <c r="F87">
        <f>'TEA Revised Non EYZ'!F87</f>
        <v>0</v>
      </c>
      <c r="G87">
        <f>'TEA Revised Non EYZ'!G87</f>
        <v>0</v>
      </c>
      <c r="H87">
        <f>'TEA Revised Non EYZ'!H87</f>
        <v>1.7771367359861701E-5</v>
      </c>
      <c r="I87">
        <f>'TEA Revised Non EYZ'!I87</f>
        <v>1.8081057367328801E-10</v>
      </c>
      <c r="J87">
        <f>'TEA Revised Non EYZ'!J87</f>
        <v>3.3765941525589702E-4</v>
      </c>
      <c r="K87">
        <f>'TEA Revised Non EYZ'!K87</f>
        <v>0.139102253285185</v>
      </c>
      <c r="L87">
        <f>'TEA Revised Non EYZ'!L87</f>
        <v>0.14072466572308701</v>
      </c>
      <c r="M87">
        <f>'TEA Revised Non EYZ'!M87</f>
        <v>4.4568945720355099E-4</v>
      </c>
      <c r="N87">
        <f>'TEA Revised Non EYZ'!N87</f>
        <v>-8.03393809811758E-16</v>
      </c>
      <c r="O87">
        <f>'TEA Revised Non EYZ'!O87</f>
        <v>-8.4019770307808202E-13</v>
      </c>
      <c r="P87">
        <f>'TEA Revised Non EYZ'!P87</f>
        <v>-2.26157796916898E-19</v>
      </c>
      <c r="Q87">
        <f>'TEA Revised Non EYZ'!Q87</f>
        <v>0.10953557168033</v>
      </c>
      <c r="R87">
        <f>'TEA Revised Non EYZ'!R87</f>
        <v>98.5748039883795</v>
      </c>
      <c r="S87">
        <f>'TEA Revised Non EYZ'!S87</f>
        <v>500</v>
      </c>
      <c r="T87">
        <f>'TEA Revised Non EYZ'!T87</f>
        <v>95</v>
      </c>
      <c r="U87">
        <f>'TEA Revised Non EYZ'!U87</f>
        <v>1</v>
      </c>
      <c r="V87">
        <f>'TEA Revised Non EYZ'!V87</f>
        <v>0.1</v>
      </c>
      <c r="W87">
        <f>'TEA Revised Non EYZ'!W87</f>
        <v>91.294543376138293</v>
      </c>
      <c r="X87" t="str">
        <f>'TEA Revised Non EYZ'!X87</f>
        <v>ddFc</v>
      </c>
      <c r="Y87">
        <f>'TEA Revised Non EYZ'!Y87</f>
        <v>1</v>
      </c>
      <c r="Z87">
        <f>'TEA Revised Non EYZ'!Z87</f>
        <v>0.28318429382522198</v>
      </c>
      <c r="AA87">
        <f>'TEA Revised Non EYZ'!AA87</f>
        <v>0.56945642916197003</v>
      </c>
      <c r="AB87">
        <f>'TEA Revised Non EYZ'!AB87</f>
        <v>3.7698628972227502E-3</v>
      </c>
      <c r="AC87">
        <f>'TEA Revised Non EYZ'!AC87</f>
        <v>1822.2107908876901</v>
      </c>
      <c r="AD87">
        <f>'TEA Revised Non EYZ'!AD87</f>
        <v>2662.6059073104898</v>
      </c>
      <c r="AE87">
        <f>'TEA Revised Non EYZ'!AE87</f>
        <v>2401.5030938442701</v>
      </c>
      <c r="AF87">
        <f>'TEA Revised Non EYZ'!AF87</f>
        <v>9</v>
      </c>
      <c r="AG87">
        <f>'TEA Revised Non EYZ'!AG87</f>
        <v>1.6497569194096201E-3</v>
      </c>
      <c r="AH87">
        <f>'TEA Revised Non EYZ'!AH87</f>
        <v>1.6689987798565299E-3</v>
      </c>
      <c r="AI87">
        <f>'TEA Revised Non EYZ'!AI87</f>
        <v>5.28589040482341E-6</v>
      </c>
      <c r="AJ87">
        <f>'TEA Revised Non EYZ'!AJ87</f>
        <v>0</v>
      </c>
      <c r="AK87">
        <f>'TEA Revised Non EYZ'!AK87</f>
        <v>0</v>
      </c>
      <c r="AL87">
        <f>'TEA Revised Non EYZ'!AL87</f>
        <v>0</v>
      </c>
      <c r="AM87">
        <f>'TEA Revised Non EYZ'!AM87</f>
        <v>1.6127950089356499E-3</v>
      </c>
      <c r="AN87">
        <f>'TEA Revised Non EYZ'!AN87</f>
        <v>7.9632833043740095E-5</v>
      </c>
      <c r="AO87">
        <f>'TEA Revised Non EYZ'!AO87</f>
        <v>5.2511147626523301E-6</v>
      </c>
      <c r="AP87">
        <f>'TEA Revised Non EYZ'!AP87</f>
        <v>1.7337618973110201E-3</v>
      </c>
      <c r="AQ87">
        <f>'TEA Revised Non EYZ'!AQ87</f>
        <v>7.4551939662868896E-2</v>
      </c>
      <c r="AR87">
        <f>'TEA Revised Non EYZ'!AR87</f>
        <v>1.6312112273867399E-6</v>
      </c>
      <c r="AS87">
        <f>'TEA Revised Non EYZ'!AS87</f>
        <v>3.6795111228726801E-17</v>
      </c>
      <c r="AT87">
        <f>'TEA Revised Non EYZ'!AT87</f>
        <v>-4.8355416892853498E-15</v>
      </c>
      <c r="AU87">
        <f>'TEA Revised Non EYZ'!AU87</f>
        <v>-1.38304598418866E-21</v>
      </c>
      <c r="AV87">
        <f>'TEA Revised Non EYZ'!AV87</f>
        <v>0.19689484339142299</v>
      </c>
      <c r="AW87">
        <f>'TEA Revised Non EYZ'!AW87</f>
        <v>99.342104366383694</v>
      </c>
      <c r="AX87">
        <f>'TEA Revised Non EYZ'!AX87</f>
        <v>500</v>
      </c>
      <c r="AY87">
        <f>'TEA Revised Non EYZ'!AY87</f>
        <v>95</v>
      </c>
      <c r="AZ87">
        <f>'TEA Revised Non EYZ'!AZ87</f>
        <v>0.92356908198738696</v>
      </c>
      <c r="BA87">
        <f>'TEA Revised Non EYZ'!BA87</f>
        <v>0.1</v>
      </c>
      <c r="BB87">
        <f>'TEA Revised Non EYZ'!BB87</f>
        <v>46.906717620397401</v>
      </c>
      <c r="BC87" t="str">
        <f>'TEA Revised Non EYZ'!BC87</f>
        <v>coeFc</v>
      </c>
      <c r="BD87">
        <f>'TEA Revised Non EYZ'!BD87</f>
        <v>1</v>
      </c>
      <c r="BE87">
        <f>'TEA Revised Non EYZ'!BE87</f>
        <v>1.8775014999999999E-2</v>
      </c>
      <c r="BF87">
        <f>'TEA Revised Non EYZ'!BF87</f>
        <v>0.10492961100000001</v>
      </c>
      <c r="BG87">
        <f>'TEA Revised Non EYZ'!BG87</f>
        <v>1.814625E-3</v>
      </c>
      <c r="BH87">
        <f>'TEA Revised Non EYZ'!BH87</f>
        <v>285.1951444</v>
      </c>
      <c r="BI87">
        <f>'TEA Revised Non EYZ'!BI87</f>
        <v>2169.8944889999998</v>
      </c>
      <c r="BJ87">
        <f>'TEA Revised Non EYZ'!BJ87</f>
        <v>866.49409060000005</v>
      </c>
      <c r="BK87">
        <f>'TEA Revised Non EYZ'!BK87</f>
        <v>100</v>
      </c>
      <c r="BL87">
        <f>'TEA Revised Non EYZ'!BL87</f>
        <v>10.953557168032999</v>
      </c>
      <c r="BM87">
        <f>'TEA Revised Non EYZ'!BM87</f>
        <v>92.356908198738694</v>
      </c>
      <c r="BN87">
        <f>'TEA Revised Non EYZ'!BN87</f>
        <v>19.6894843391423</v>
      </c>
      <c r="BO87">
        <f>'TEA Revised Non EYZ'!BO87</f>
        <v>284.79248636885796</v>
      </c>
      <c r="BP87">
        <f>'TEA Revised Non EYZ'!BP87</f>
        <v>433.16865546113058</v>
      </c>
      <c r="BQ87">
        <f>'TEA Revised Non EYZ'!BQ87</f>
        <v>28.479248636885799</v>
      </c>
      <c r="BR87">
        <f>'TEA Revised Non EYZ'!BR87</f>
        <v>43.316865546113064</v>
      </c>
      <c r="BS87">
        <f>'eLLE Bals'!CF87</f>
        <v>6.5721343008197994</v>
      </c>
      <c r="BT87">
        <f>'eLLE Bals'!CG87</f>
        <v>11.81369060348538</v>
      </c>
      <c r="BU87">
        <f>BM87</f>
        <v>92.356908198738694</v>
      </c>
      <c r="BV87">
        <f>BU87*(AM87*2+AN87*2+AO87*3)</f>
        <v>0.31406973584158593</v>
      </c>
      <c r="BW87">
        <f>BN87*BA87*(AP87*2+AQ87*2+AR87*3)</f>
        <v>0.30041486054630379</v>
      </c>
      <c r="BX87">
        <f>BV87/(2*V87*BL87+BV87)</f>
        <v>0.12538809364762865</v>
      </c>
      <c r="BY87">
        <f>BU87*BX87</f>
        <v>11.58045665422889</v>
      </c>
      <c r="BZ87">
        <f>BW87/(2*BN87*BA87+BW87)</f>
        <v>7.0880784566901556E-2</v>
      </c>
      <c r="CA87">
        <f>2*BN87*BA87/0.04</f>
        <v>98.447421695711498</v>
      </c>
      <c r="CB87">
        <f>(BS87+BL87)*2</f>
        <v>35.051382937705597</v>
      </c>
      <c r="CC87">
        <f>(BU87+BL87)*2</f>
        <v>206.62093073354339</v>
      </c>
      <c r="CD87">
        <f>(BT87+BN87)*2</f>
        <v>63.006349885255361</v>
      </c>
      <c r="CE87">
        <f>(CA87+BN87)*2</f>
        <v>236.27381206970759</v>
      </c>
      <c r="CF87">
        <f>'TEA Revised Non EYZ'!CB87</f>
        <v>3759.2608200689256</v>
      </c>
      <c r="CG87">
        <f>'TEA Revised Non EYZ'!CC87</f>
        <v>5717.8262520869239</v>
      </c>
      <c r="CH87">
        <f>'TEA Revised Non EYZ'!CD87</f>
        <v>4541.8834647976191</v>
      </c>
      <c r="CI87">
        <f>'TEA Revised Non EYZ'!CE87</f>
        <v>44102.102073030474</v>
      </c>
      <c r="CJ87">
        <f>BL87*V87</f>
        <v>1.0953557168032999</v>
      </c>
      <c r="CK87">
        <f>CJ87/2*1.2</f>
        <v>0.65721343008197997</v>
      </c>
      <c r="CL87">
        <f>'eLLE Bals'!CB87*'Oxidant Feed Composition'!$N$20</f>
        <v>3.6511857226776682E-2</v>
      </c>
      <c r="CM87">
        <f>'eLLE Bals'!CB87*'Oxidant Feed Composition'!$N$21</f>
        <v>1.8255928613388335</v>
      </c>
      <c r="CN87">
        <f>'eLLE Bals'!CB87*'Oxidant Feed Composition'!$N$22</f>
        <v>0.54767785840164995</v>
      </c>
      <c r="CO87">
        <f>CN87/CK87</f>
        <v>0.83333333333333326</v>
      </c>
      <c r="CP87">
        <f>CO87</f>
        <v>0.83333333333333326</v>
      </c>
      <c r="CQ87">
        <f>CL87/CO87</f>
        <v>4.381422867213202E-2</v>
      </c>
      <c r="CR87">
        <f>CM87/CO87</f>
        <v>2.1907114336066003</v>
      </c>
      <c r="CS87">
        <f>BN87*BA87</f>
        <v>1.96894843391423</v>
      </c>
      <c r="CT87">
        <f>CS87/2*1.2</f>
        <v>1.1813690603485381</v>
      </c>
      <c r="CU87">
        <f>'eLLE Bals'!CC87*'Oxidant Feed Composition'!$N$20</f>
        <v>6.5631614463807691E-2</v>
      </c>
      <c r="CV87">
        <f>'eLLE Bals'!CC87*'Oxidant Feed Composition'!$N$21</f>
        <v>3.2815807231903835</v>
      </c>
      <c r="CW87">
        <f>'eLLE Bals'!CC87*'Oxidant Feed Composition'!$N$22</f>
        <v>0.98447421695711501</v>
      </c>
      <c r="CX87">
        <f>CU87/CP87</f>
        <v>7.8757937356569233E-2</v>
      </c>
      <c r="CY87">
        <f>CV87/CP87</f>
        <v>3.9378968678284605</v>
      </c>
      <c r="CZ87">
        <f>CJ87</f>
        <v>1.0953557168032999</v>
      </c>
      <c r="DA87">
        <f>'eLLE Bals'!BQ87</f>
        <v>2.1907114336065998</v>
      </c>
      <c r="DB87">
        <f>'eLLE Bals'!BU87</f>
        <v>5.4496563536283551</v>
      </c>
      <c r="DC87">
        <f>CS87</f>
        <v>1.96894843391423</v>
      </c>
      <c r="DD87">
        <f>'eLLE Bals'!BX87</f>
        <v>3.93789686782846</v>
      </c>
      <c r="DE87">
        <f>'eLLE Bals'!CA87</f>
        <v>21.871465081599887</v>
      </c>
      <c r="DF87">
        <f>2*2*(CJ87*'Reagent cost'!$C$36*122.44/1000+CK87*'Oxidant Feed Composition'!$N$26+CQ87*'Reagent cost'!$C$34+CR87*'Reagent cost'!$C$35)</f>
        <v>92.522190873980861</v>
      </c>
      <c r="DG87">
        <f>2*2*(CS87*'Reagent cost'!$C$36*122.44/1000+CT87*'Oxidant Feed Composition'!$N$26+CX87*'Reagent cost'!$C$34+CY87*'Reagent cost'!$C$35)</f>
        <v>166.31256862865473</v>
      </c>
      <c r="DH87">
        <f>(AF87+3)*2*(CZ87*'Reagent cost'!$C$38+DA87*'Reagent cost'!$C$39+DB87*'Reagent cost'!$C$36*122.44/1000)</f>
        <v>1248.1040811140406</v>
      </c>
      <c r="DI87">
        <f>3*2*(DC87*'Reagent cost'!$C$38+DD87*'Reagent cost'!$C$39+DE87*'Reagent cost'!$C$36*122.44/1000)</f>
        <v>1187.3590785104693</v>
      </c>
      <c r="DJ87">
        <f>7963.6*(CB87/1000)^0.6*1.7*('CAPEX+OPEX'!$G$116/'CAPEX+OPEX'!$G$115)</f>
        <v>2138.2772847076108</v>
      </c>
      <c r="DK87">
        <f>7963.6*(CC87/1000)^0.6*1.7*('CAPEX+OPEX'!$G$116/'CAPEX+OPEX'!$G$115)</f>
        <v>6199.3408604999822</v>
      </c>
      <c r="DL87">
        <f>7963.6*(CD87/1000)^0.6*1.7*('CAPEX+OPEX'!$G$116/'CAPEX+OPEX'!$G$115)</f>
        <v>3039.9855565601665</v>
      </c>
      <c r="DM87">
        <f>7963.6*(CE87/1000)^0.6*1.7*('CAPEX+OPEX'!$G$116/'CAPEX+OPEX'!$G$115)</f>
        <v>6718.7778354141183</v>
      </c>
      <c r="DN87">
        <f>'TEA Revised Non EYZ'!CM87</f>
        <v>39625.826528698344</v>
      </c>
      <c r="DO87">
        <f>'TEA Revised Non EYZ'!CN87</f>
        <v>4586243.4239371875</v>
      </c>
      <c r="DP87">
        <f>'TEA Revised Non EYZ'!CO87</f>
        <v>11794834.586807497</v>
      </c>
      <c r="DQ87">
        <f>'TEA Revised Non EYZ'!CP87</f>
        <v>2275209.1661185985</v>
      </c>
      <c r="DR87">
        <f>'TEA Revised Non EYZ'!CQ87</f>
        <v>14083914.336508472</v>
      </c>
      <c r="DS87">
        <f>'TEA Revised Non EYZ'!CR87</f>
        <v>1662824.8986326549</v>
      </c>
      <c r="DT87">
        <f>'TEA Revised Non EYZ'!CS87</f>
        <v>892840.31653984461</v>
      </c>
      <c r="DU87">
        <f>'TEA Revised Non EYZ'!CT87</f>
        <v>2296193.8284949926</v>
      </c>
      <c r="DV87">
        <f>'TEA Revised Non EYZ'!CU87</f>
        <v>442932.9811560188</v>
      </c>
      <c r="DW87">
        <f>'TEA Revised Non EYZ'!CV87</f>
        <v>2741827.1059701391</v>
      </c>
      <c r="DX87">
        <f>'TEA Revised Non EYZ'!CW87</f>
        <v>323715.28756992728</v>
      </c>
      <c r="DY87">
        <f>'TEA Revised Non EYZ'!CX87</f>
        <v>6697509.5197309218</v>
      </c>
      <c r="DZ87">
        <f>'TEA Revised Non EYZ'!CY87</f>
        <v>755793.23951553891</v>
      </c>
      <c r="EA87">
        <f>'TEA Revised Non EYZ'!CZ87</f>
        <v>1943738.1355262429</v>
      </c>
      <c r="EB87">
        <f>'TEA Revised Non EYZ'!DA87</f>
        <v>374944.70905340556</v>
      </c>
      <c r="EC87">
        <f>'TEA Revised Non EYZ'!DB87</f>
        <v>2320968.6572438823</v>
      </c>
      <c r="ED87">
        <f>'TEA Revised Non EYZ'!DC87</f>
        <v>274026.40913590638</v>
      </c>
      <c r="EE87">
        <f>'TEA Revised Non EYZ'!DD87</f>
        <v>5669471.1504749758</v>
      </c>
      <c r="EF87">
        <v>0.7</v>
      </c>
      <c r="EG87">
        <v>100</v>
      </c>
      <c r="EH87">
        <f>96485*BL87*V87/EF87/EG87/60</f>
        <v>25.163189603753906</v>
      </c>
      <c r="EI87">
        <f>96485*BN87*BA87/EF87/EG87/60</f>
        <v>45.231902296717742</v>
      </c>
      <c r="EJ87">
        <f>EH87*('CAPEX+OPEX'!$O$25+'CAPEX+OPEX'!$O$26)</f>
        <v>802001.17905084451</v>
      </c>
      <c r="EK87">
        <f>EI87*('CAPEX+OPEX'!$O$25+'CAPEX+OPEX'!$O$26)</f>
        <v>1441631.1900009878</v>
      </c>
      <c r="EL87">
        <f>EJ87*1.12/0.6*'CAPEX+OPEX'!$G$116/'CAPEX+OPEX'!$G$115</f>
        <v>1765730.2106115664</v>
      </c>
      <c r="EM87">
        <f>EK87*1.12/0.6*'CAPEX+OPEX'!$G$116/'CAPEX+OPEX'!$G$115</f>
        <v>3173975.0654197824</v>
      </c>
      <c r="EN87">
        <f>EL87+EM87+DY87+EE87+1.15*(SUM(DF87:DM87)+SUM(CF87:CI87))</f>
        <v>17397434.461113483</v>
      </c>
      <c r="EO87">
        <f>EN87/15</f>
        <v>1159828.9640742321</v>
      </c>
      <c r="EP87">
        <f>('eLLE Bals'!CB87+'eLLE Bals'!CC87)*'Oxidant Feed Composition'!$N$25*60*7200</f>
        <v>12339235.777573997</v>
      </c>
      <c r="EQ87" s="83">
        <f>('eLLE Bals'!BR87+'eLLE Bals'!BY87)*'Reagent cost'!$C$38*60*7200</f>
        <v>505275.74000443879</v>
      </c>
      <c r="ER87">
        <f>'TEA Revised Non EYZ'!DI87</f>
        <v>504921.59999999998</v>
      </c>
      <c r="ES87">
        <f>'TEA Revised Non EYZ'!DJ87</f>
        <v>94.770870721558495</v>
      </c>
      <c r="ET87">
        <f>'TEA Revised Non EYZ'!DK87</f>
        <v>972.87971075656185</v>
      </c>
      <c r="EU87">
        <f>1.2*SUM(EP87:ET87)</f>
        <v>16020600.921791894</v>
      </c>
      <c r="EV87">
        <f>'TEA Revised Non EYZ'!DM87</f>
        <v>0.70639694042110623</v>
      </c>
      <c r="EW87">
        <f>(BS87*CO87+BT87*CP87)/1000*('Oxidant Feed Composition'!$B$11*'Oxidant Feed Composition'!$O$20+'Oxidant Feed Composition'!$D$11*'Oxidant Feed Composition'!$O$21+'Oxidant Feed Composition'!$F$11*'Oxidant Feed Composition'!$O$27-'Oxidant Feed Composition'!$J$15*18.015)</f>
        <v>1.7893167533081866</v>
      </c>
      <c r="EX87">
        <f>(CZ87*BX87+DC87*BZ87)*368.34/1000</f>
        <v>0.10199525214609623</v>
      </c>
      <c r="EY87">
        <f>'TEA Revised Non EYZ'!DP87</f>
        <v>4.999938342565946E-2</v>
      </c>
      <c r="EZ87">
        <f>SUM(EV87:EX87)-EY87</f>
        <v>2.5477095624497297</v>
      </c>
      <c r="FA87">
        <f>EZ87*0.33*60*7200</f>
        <v>363201.47522283351</v>
      </c>
      <c r="FB87">
        <f>'TEA Revised Non EYZ'!DS87</f>
        <v>1.2</v>
      </c>
      <c r="FC87">
        <v>0.5</v>
      </c>
      <c r="FD87">
        <f>'TEA Revised Non EYZ'!DT87</f>
        <v>1405.8674445834067</v>
      </c>
      <c r="FE87">
        <f>'TEA Revised Non EYZ'!DU87</f>
        <v>705.81588450637275</v>
      </c>
      <c r="FF87">
        <f>'TEA Revised Non EYZ'!DV87</f>
        <v>0.7</v>
      </c>
      <c r="FG87">
        <f>'TEA Revised Non EYZ'!DW87</f>
        <v>49536.497143418172</v>
      </c>
      <c r="FH87">
        <f>'TEA Revised Non EYZ'!DX87</f>
        <v>49831.318766753509</v>
      </c>
      <c r="FI87">
        <f>'TEA Revised Non EYZ'!DY87</f>
        <v>21097.937381085154</v>
      </c>
      <c r="FJ87">
        <f>'TEA Revised Non EYZ'!DZ87</f>
        <v>11176.166036369152</v>
      </c>
      <c r="FK87">
        <f>'TEA Revised Non EYZ'!EA87</f>
        <v>11252.233269912085</v>
      </c>
      <c r="FL87">
        <f>'TEA Revised Non EYZ'!EB87</f>
        <v>850.26863048404448</v>
      </c>
      <c r="FM87">
        <f>'TEA Revised Non EYZ'!EC87</f>
        <v>41141.831978756825</v>
      </c>
      <c r="FN87">
        <f>'TEA Revised Non EYZ'!ED87</f>
        <v>38793.854171269806</v>
      </c>
      <c r="FO87">
        <f>'TEA Revised Non EYZ'!EE87</f>
        <v>16424.81729025536</v>
      </c>
      <c r="FP87">
        <f>'TEA Revised Non EYZ'!EF87</f>
        <v>8705.5278180281439</v>
      </c>
      <c r="FQ87">
        <f>'TEA Revised Non EYZ'!EG87</f>
        <v>8759.9025548028621</v>
      </c>
      <c r="FR87">
        <f>'TEA Revised Non EYZ'!EH87</f>
        <v>426.87744694945422</v>
      </c>
      <c r="FS87">
        <f>'TEA Revised Non EYZ'!EI87</f>
        <v>257997.23248808456</v>
      </c>
      <c r="FT87">
        <f>EG87*EH87</f>
        <v>2516.3189603753908</v>
      </c>
      <c r="FU87">
        <f>EG87*EI87</f>
        <v>4523.1902296717744</v>
      </c>
      <c r="FV87">
        <f>FC87*(FT87+FU87)/(3.6*10^6)*3600*7200*0.07</f>
        <v>1773.9563158918857</v>
      </c>
      <c r="FW87">
        <f>('CAPEX+OPEX'!$C$39/7/100+0.03)*EL87</f>
        <v>90808.982260023418</v>
      </c>
      <c r="FX87">
        <f>('CAPEX+OPEX'!$C$39/7/100+0.03)*EM87</f>
        <v>163233.00336444596</v>
      </c>
      <c r="FY87">
        <f>SUM(FV87:FX87)</f>
        <v>255815.94194036128</v>
      </c>
      <c r="FZ87">
        <f>FY87+FA87+FS87+EU87</f>
        <v>16897615.571443174</v>
      </c>
      <c r="GA87">
        <f>FZ87+EO87</f>
        <v>18057444.535517406</v>
      </c>
      <c r="GB87">
        <f>GA87/(BK87*60*7200)</f>
        <v>0.41799640128512511</v>
      </c>
      <c r="GC87">
        <f>'TEA Revised Non EYZ'!EM87/'TEA Revised Non EYZ'!EK87*GA87</f>
        <v>1398.4073070630768</v>
      </c>
      <c r="GD87">
        <f>'TEA Revised Non EYZ'!EN87/'TEA Revised Non EYZ'!EK87*GA87</f>
        <v>2566.3531212378552</v>
      </c>
    </row>
    <row r="88" spans="1:186">
      <c r="A88">
        <f>'TEA Revised Non EYZ'!A88</f>
        <v>11</v>
      </c>
      <c r="B88">
        <f>'TEA Revised Non EYZ'!B88</f>
        <v>1.54143585092054E-3</v>
      </c>
      <c r="C88">
        <f>'TEA Revised Non EYZ'!C88</f>
        <v>1.54143585092054E-3</v>
      </c>
      <c r="D88">
        <f>'TEA Revised Non EYZ'!D88</f>
        <v>3.4254130020456501E-4</v>
      </c>
      <c r="E88">
        <f>'TEA Revised Non EYZ'!E88</f>
        <v>0</v>
      </c>
      <c r="F88">
        <f>'TEA Revised Non EYZ'!F88</f>
        <v>0</v>
      </c>
      <c r="G88">
        <f>'TEA Revised Non EYZ'!G88</f>
        <v>0</v>
      </c>
      <c r="H88">
        <f>'TEA Revised Non EYZ'!H88</f>
        <v>1.7771367359861701E-5</v>
      </c>
      <c r="I88">
        <f>'TEA Revised Non EYZ'!I88</f>
        <v>1.8081057367328801E-10</v>
      </c>
      <c r="J88">
        <f>'TEA Revised Non EYZ'!J88</f>
        <v>3.3765941525589702E-4</v>
      </c>
      <c r="K88">
        <f>'TEA Revised Non EYZ'!K88</f>
        <v>0.139102253285185</v>
      </c>
      <c r="L88">
        <f>'TEA Revised Non EYZ'!L88</f>
        <v>0.14072466572308701</v>
      </c>
      <c r="M88">
        <f>'TEA Revised Non EYZ'!M88</f>
        <v>4.4568945720355099E-4</v>
      </c>
      <c r="N88">
        <f>'TEA Revised Non EYZ'!N88</f>
        <v>-8.03393809811758E-16</v>
      </c>
      <c r="O88">
        <f>'TEA Revised Non EYZ'!O88</f>
        <v>-8.4019770307808202E-13</v>
      </c>
      <c r="P88">
        <f>'TEA Revised Non EYZ'!P88</f>
        <v>-2.26157796916898E-19</v>
      </c>
      <c r="Q88">
        <f>'TEA Revised Non EYZ'!Q88</f>
        <v>0.10953557168033</v>
      </c>
      <c r="R88">
        <f>'TEA Revised Non EYZ'!R88</f>
        <v>98.5748039883795</v>
      </c>
      <c r="S88">
        <f>'TEA Revised Non EYZ'!S88</f>
        <v>500</v>
      </c>
      <c r="T88">
        <f>'TEA Revised Non EYZ'!T88</f>
        <v>95</v>
      </c>
      <c r="U88">
        <f>'TEA Revised Non EYZ'!U88</f>
        <v>1</v>
      </c>
      <c r="V88">
        <f>'TEA Revised Non EYZ'!V88</f>
        <v>0.1</v>
      </c>
      <c r="W88">
        <f>'TEA Revised Non EYZ'!W88</f>
        <v>91.294543376138293</v>
      </c>
      <c r="X88" t="str">
        <f>'TEA Revised Non EYZ'!X88</f>
        <v>ddFc</v>
      </c>
      <c r="Y88">
        <f>'TEA Revised Non EYZ'!Y88</f>
        <v>1</v>
      </c>
      <c r="Z88">
        <f>'TEA Revised Non EYZ'!Z88</f>
        <v>0.28318429382522198</v>
      </c>
      <c r="AA88">
        <f>'TEA Revised Non EYZ'!AA88</f>
        <v>0.56945642916197003</v>
      </c>
      <c r="AB88">
        <f>'TEA Revised Non EYZ'!AB88</f>
        <v>3.7698628972227502E-3</v>
      </c>
      <c r="AC88">
        <f>'TEA Revised Non EYZ'!AC88</f>
        <v>1822.2107908876901</v>
      </c>
      <c r="AD88">
        <f>'TEA Revised Non EYZ'!AD88</f>
        <v>2662.6059073104898</v>
      </c>
      <c r="AE88">
        <f>'TEA Revised Non EYZ'!AE88</f>
        <v>2401.5030938442701</v>
      </c>
      <c r="AF88">
        <f>'TEA Revised Non EYZ'!AF88</f>
        <v>10</v>
      </c>
      <c r="AG88">
        <f>'TEA Revised Non EYZ'!AG88</f>
        <v>1.6497569194096201E-3</v>
      </c>
      <c r="AH88">
        <f>'TEA Revised Non EYZ'!AH88</f>
        <v>1.6689987798565299E-3</v>
      </c>
      <c r="AI88">
        <f>'TEA Revised Non EYZ'!AI88</f>
        <v>5.28589040482341E-6</v>
      </c>
      <c r="AJ88">
        <f>'TEA Revised Non EYZ'!AJ88</f>
        <v>0</v>
      </c>
      <c r="AK88">
        <f>'TEA Revised Non EYZ'!AK88</f>
        <v>0</v>
      </c>
      <c r="AL88">
        <f>'TEA Revised Non EYZ'!AL88</f>
        <v>0</v>
      </c>
      <c r="AM88">
        <f>'TEA Revised Non EYZ'!AM88</f>
        <v>1.61280608328623E-3</v>
      </c>
      <c r="AN88">
        <f>'TEA Revised Non EYZ'!AN88</f>
        <v>7.9633405949388404E-5</v>
      </c>
      <c r="AO88">
        <f>'TEA Revised Non EYZ'!AO88</f>
        <v>5.2511247490748196E-6</v>
      </c>
      <c r="AP88">
        <f>'TEA Revised Non EYZ'!AP88</f>
        <v>1.7333873588263201E-3</v>
      </c>
      <c r="AQ88">
        <f>'TEA Revised Non EYZ'!AQ88</f>
        <v>7.4558146402506298E-2</v>
      </c>
      <c r="AR88">
        <f>'TEA Revised Non EYZ'!AR88</f>
        <v>1.63087914994542E-6</v>
      </c>
      <c r="AS88">
        <f>'TEA Revised Non EYZ'!AS88</f>
        <v>6.1625306095082401E-15</v>
      </c>
      <c r="AT88">
        <f>'TEA Revised Non EYZ'!AT88</f>
        <v>-6.3828326304915498E-13</v>
      </c>
      <c r="AU88">
        <f>'TEA Revised Non EYZ'!AU88</f>
        <v>5.8087931335923803E-20</v>
      </c>
      <c r="AV88">
        <f>'TEA Revised Non EYZ'!AV88</f>
        <v>0.19687838161047699</v>
      </c>
      <c r="AW88">
        <f>'TEA Revised Non EYZ'!AW88</f>
        <v>99.342293292406097</v>
      </c>
      <c r="AX88">
        <f>'TEA Revised Non EYZ'!AX88</f>
        <v>500</v>
      </c>
      <c r="AY88">
        <f>'TEA Revised Non EYZ'!AY88</f>
        <v>95</v>
      </c>
      <c r="AZ88">
        <f>'TEA Revised Non EYZ'!AZ88</f>
        <v>0.92356908198738696</v>
      </c>
      <c r="BA88">
        <f>'TEA Revised Non EYZ'!BA88</f>
        <v>0.1</v>
      </c>
      <c r="BB88">
        <f>'TEA Revised Non EYZ'!BB88</f>
        <v>46.910639676765697</v>
      </c>
      <c r="BC88" t="str">
        <f>'TEA Revised Non EYZ'!BC88</f>
        <v>coeFc</v>
      </c>
      <c r="BD88">
        <f>'TEA Revised Non EYZ'!BD88</f>
        <v>1</v>
      </c>
      <c r="BE88">
        <f>'TEA Revised Non EYZ'!BE88</f>
        <v>1.8775014999999999E-2</v>
      </c>
      <c r="BF88">
        <f>'TEA Revised Non EYZ'!BF88</f>
        <v>0.10492961100000001</v>
      </c>
      <c r="BG88">
        <f>'TEA Revised Non EYZ'!BG88</f>
        <v>1.814625E-3</v>
      </c>
      <c r="BH88">
        <f>'TEA Revised Non EYZ'!BH88</f>
        <v>285.1951444</v>
      </c>
      <c r="BI88">
        <f>'TEA Revised Non EYZ'!BI88</f>
        <v>2169.8944889999998</v>
      </c>
      <c r="BJ88">
        <f>'TEA Revised Non EYZ'!BJ88</f>
        <v>866.49409060000005</v>
      </c>
      <c r="BK88">
        <f>'TEA Revised Non EYZ'!BK88</f>
        <v>100</v>
      </c>
      <c r="BL88">
        <f>'TEA Revised Non EYZ'!BL88</f>
        <v>10.953557168032999</v>
      </c>
      <c r="BM88">
        <f>'TEA Revised Non EYZ'!BM88</f>
        <v>92.356908198738694</v>
      </c>
      <c r="BN88">
        <f>'TEA Revised Non EYZ'!BN88</f>
        <v>19.687838161047701</v>
      </c>
      <c r="BO88">
        <f>'TEA Revised Non EYZ'!BO88</f>
        <v>284.79248636885796</v>
      </c>
      <c r="BP88">
        <f>'TEA Revised Non EYZ'!BP88</f>
        <v>472.50811586514482</v>
      </c>
      <c r="BQ88">
        <f>'TEA Revised Non EYZ'!BQ88</f>
        <v>28.479248636885799</v>
      </c>
      <c r="BR88">
        <f>'TEA Revised Non EYZ'!BR88</f>
        <v>47.250811586514487</v>
      </c>
      <c r="BS88">
        <f>'eLLE Bals'!CF88</f>
        <v>6.5721343008197994</v>
      </c>
      <c r="BT88">
        <f>'eLLE Bals'!CG88</f>
        <v>11.81270289662862</v>
      </c>
      <c r="BU88">
        <f>BM88</f>
        <v>92.356908198738694</v>
      </c>
      <c r="BV88">
        <f>BU88*(AM88*2+AN88*2+AO88*3)</f>
        <v>0.31407189001767971</v>
      </c>
      <c r="BW88">
        <f>BN88*BA88*(AP88*2+AQ88*2+AR88*3)</f>
        <v>0.30041270649567403</v>
      </c>
      <c r="BX88">
        <f>BV88/(2*V88*BL88+BV88)</f>
        <v>0.12538884583566912</v>
      </c>
      <c r="BY88">
        <f>BU88*BX88</f>
        <v>11.58052612399069</v>
      </c>
      <c r="BZ88">
        <f>BW88/(2*BN88*BA88+BW88)</f>
        <v>7.0885818830262903E-2</v>
      </c>
      <c r="CA88">
        <f>2*BN88*BA88/0.04</f>
        <v>98.439190805238511</v>
      </c>
      <c r="CB88">
        <f>(BS88+BL88)*2</f>
        <v>35.051382937705597</v>
      </c>
      <c r="CC88">
        <f>(BU88+BL88)*2</f>
        <v>206.62093073354339</v>
      </c>
      <c r="CD88">
        <f>(BT88+BN88)*2</f>
        <v>63.001082115352645</v>
      </c>
      <c r="CE88">
        <f>(CA88+BN88)*2</f>
        <v>236.25405793257244</v>
      </c>
      <c r="CF88">
        <f>'TEA Revised Non EYZ'!CB88</f>
        <v>3759.2608200689256</v>
      </c>
      <c r="CG88">
        <f>'TEA Revised Non EYZ'!CC88</f>
        <v>6237.1071294199119</v>
      </c>
      <c r="CH88">
        <f>'TEA Revised Non EYZ'!CD88</f>
        <v>4541.8834647976191</v>
      </c>
      <c r="CI88">
        <f>'TEA Revised Non EYZ'!CE88</f>
        <v>48107.36163270205</v>
      </c>
      <c r="CJ88">
        <f>BL88*V88</f>
        <v>1.0953557168032999</v>
      </c>
      <c r="CK88">
        <f>CJ88/2*1.2</f>
        <v>0.65721343008197997</v>
      </c>
      <c r="CL88">
        <f>'eLLE Bals'!CB88*'Oxidant Feed Composition'!$N$20</f>
        <v>3.6511857226776682E-2</v>
      </c>
      <c r="CM88">
        <f>'eLLE Bals'!CB88*'Oxidant Feed Composition'!$N$21</f>
        <v>1.8255928613388335</v>
      </c>
      <c r="CN88">
        <f>'eLLE Bals'!CB88*'Oxidant Feed Composition'!$N$22</f>
        <v>0.54767785840164995</v>
      </c>
      <c r="CO88">
        <f>CN88/CK88</f>
        <v>0.83333333333333326</v>
      </c>
      <c r="CP88">
        <f>CO88</f>
        <v>0.83333333333333326</v>
      </c>
      <c r="CQ88">
        <f>CL88/CO88</f>
        <v>4.381422867213202E-2</v>
      </c>
      <c r="CR88">
        <f>CM88/CO88</f>
        <v>2.1907114336066003</v>
      </c>
      <c r="CS88">
        <f>BN88*BA88</f>
        <v>1.9687838161047702</v>
      </c>
      <c r="CT88">
        <f>CS88/2*1.2</f>
        <v>1.181270289662862</v>
      </c>
      <c r="CU88">
        <f>'eLLE Bals'!CC88*'Oxidant Feed Composition'!$N$20</f>
        <v>6.5626127203492368E-2</v>
      </c>
      <c r="CV88">
        <f>'eLLE Bals'!CC88*'Oxidant Feed Composition'!$N$21</f>
        <v>3.2813063601746171</v>
      </c>
      <c r="CW88">
        <f>'eLLE Bals'!CC88*'Oxidant Feed Composition'!$N$22</f>
        <v>0.98439190805238508</v>
      </c>
      <c r="CX88">
        <f>CU88/CP88</f>
        <v>7.875135264419085E-2</v>
      </c>
      <c r="CY88">
        <f>CV88/CP88</f>
        <v>3.9375676322095408</v>
      </c>
      <c r="CZ88">
        <f>CJ88</f>
        <v>1.0953557168032999</v>
      </c>
      <c r="DA88">
        <f>'eLLE Bals'!BQ88</f>
        <v>2.1907114336065998</v>
      </c>
      <c r="DB88">
        <f>'eLLE Bals'!BU88</f>
        <v>5.4496039502668872</v>
      </c>
      <c r="DC88">
        <f>CS88</f>
        <v>1.9687838161047702</v>
      </c>
      <c r="DD88">
        <f>'eLLE Bals'!BX88</f>
        <v>3.9375676322095403</v>
      </c>
      <c r="DE88">
        <f>'eLLE Bals'!CA88</f>
        <v>21.867663842657375</v>
      </c>
      <c r="DF88">
        <f>2*2*(CJ88*'Reagent cost'!$C$36*122.44/1000+CK88*'Oxidant Feed Composition'!$N$26+CQ88*'Reagent cost'!$C$34+CR88*'Reagent cost'!$C$35)</f>
        <v>92.522190873980861</v>
      </c>
      <c r="DG88">
        <f>2*2*(CS88*'Reagent cost'!$C$36*122.44/1000+CT88*'Oxidant Feed Composition'!$N$26+CX88*'Reagent cost'!$C$34+CY88*'Reagent cost'!$C$35)</f>
        <v>166.2986637389879</v>
      </c>
      <c r="DH88">
        <f>(AF88+3)*2*(CZ88*'Reagent cost'!$C$38+DA88*'Reagent cost'!$C$39+DB88*'Reagent cost'!$C$36*122.44/1000)</f>
        <v>1352.1009735029852</v>
      </c>
      <c r="DI88">
        <f>3*2*(DC88*'Reagent cost'!$C$38+DD88*'Reagent cost'!$C$39+DE88*'Reagent cost'!$C$36*122.44/1000)</f>
        <v>1187.1574663206018</v>
      </c>
      <c r="DJ88">
        <f>7963.6*(CB88/1000)^0.6*1.7*('CAPEX+OPEX'!$G$116/'CAPEX+OPEX'!$G$115)</f>
        <v>2138.2772847076108</v>
      </c>
      <c r="DK88">
        <f>7963.6*(CC88/1000)^0.6*1.7*('CAPEX+OPEX'!$G$116/'CAPEX+OPEX'!$G$115)</f>
        <v>6199.3408604999822</v>
      </c>
      <c r="DL88">
        <f>7963.6*(CD88/1000)^0.6*1.7*('CAPEX+OPEX'!$G$116/'CAPEX+OPEX'!$G$115)</f>
        <v>3039.8330556242968</v>
      </c>
      <c r="DM88">
        <f>7963.6*(CE88/1000)^0.6*1.7*('CAPEX+OPEX'!$G$116/'CAPEX+OPEX'!$G$115)</f>
        <v>6718.4407877904569</v>
      </c>
      <c r="DN88">
        <f>'TEA Revised Non EYZ'!CM88</f>
        <v>39625.826528698344</v>
      </c>
      <c r="DO88">
        <f>'TEA Revised Non EYZ'!CN88</f>
        <v>4586243.4239371875</v>
      </c>
      <c r="DP88">
        <f>'TEA Revised Non EYZ'!CO88</f>
        <v>11794834.586807497</v>
      </c>
      <c r="DQ88">
        <f>'TEA Revised Non EYZ'!CP88</f>
        <v>2275209.1661185985</v>
      </c>
      <c r="DR88">
        <f>'TEA Revised Non EYZ'!CQ88</f>
        <v>14083914.336508472</v>
      </c>
      <c r="DS88">
        <f>'TEA Revised Non EYZ'!CR88</f>
        <v>1662824.8986326549</v>
      </c>
      <c r="DT88">
        <f>'TEA Revised Non EYZ'!CS88</f>
        <v>892840.31653984461</v>
      </c>
      <c r="DU88">
        <f>'TEA Revised Non EYZ'!CT88</f>
        <v>2296193.8284949926</v>
      </c>
      <c r="DV88">
        <f>'TEA Revised Non EYZ'!CU88</f>
        <v>442932.9811560188</v>
      </c>
      <c r="DW88">
        <f>'TEA Revised Non EYZ'!CV88</f>
        <v>2741827.1059701391</v>
      </c>
      <c r="DX88">
        <f>'TEA Revised Non EYZ'!CW88</f>
        <v>323715.28756992728</v>
      </c>
      <c r="DY88">
        <f>'TEA Revised Non EYZ'!CX88</f>
        <v>6697509.5197309218</v>
      </c>
      <c r="DZ88">
        <f>'TEA Revised Non EYZ'!CY88</f>
        <v>800273.82788002607</v>
      </c>
      <c r="EA88">
        <f>'TEA Revised Non EYZ'!CZ88</f>
        <v>2058132.6701348326</v>
      </c>
      <c r="EB88">
        <f>'TEA Revised Non EYZ'!DA88</f>
        <v>397011.27486912702</v>
      </c>
      <c r="EC88">
        <f>'TEA Revised Non EYZ'!DB88</f>
        <v>2457564.2842647284</v>
      </c>
      <c r="ED88">
        <f>'TEA Revised Non EYZ'!DC88</f>
        <v>290153.64508946665</v>
      </c>
      <c r="EE88">
        <f>'TEA Revised Non EYZ'!DD88</f>
        <v>6003135.7022381816</v>
      </c>
      <c r="EF88">
        <v>0.7</v>
      </c>
      <c r="EG88">
        <v>100</v>
      </c>
      <c r="EH88">
        <f>96485*BL88*V88/EF88/EG88/60</f>
        <v>25.163189603753906</v>
      </c>
      <c r="EI88">
        <f>96485*BN88*BA88/EF88/EG88/60</f>
        <v>45.228120594492573</v>
      </c>
      <c r="EJ88">
        <f>EH88*('CAPEX+OPEX'!$O$25+'CAPEX+OPEX'!$O$26)</f>
        <v>802001.17905084451</v>
      </c>
      <c r="EK88">
        <f>EI88*('CAPEX+OPEX'!$O$25+'CAPEX+OPEX'!$O$26)</f>
        <v>1441510.6595876673</v>
      </c>
      <c r="EL88">
        <f>EJ88*1.12/0.6*'CAPEX+OPEX'!$G$116/'CAPEX+OPEX'!$G$115</f>
        <v>1765730.2106115664</v>
      </c>
      <c r="EM88">
        <f>EK88*1.12/0.6*'CAPEX+OPEX'!$G$116/'CAPEX+OPEX'!$G$115</f>
        <v>3173709.6989868437</v>
      </c>
      <c r="EN88">
        <f>EL88+EM88+DY88+EE88+1.15*(SUM(DF88:DM88)+SUM(CF88:CI88))</f>
        <v>17736155.653547071</v>
      </c>
      <c r="EO88">
        <f>EN88/15</f>
        <v>1182410.3769031381</v>
      </c>
      <c r="EP88">
        <f>('eLLE Bals'!CB88+'eLLE Bals'!CC88)*'Oxidant Feed Composition'!$N$25*60*7200</f>
        <v>12338572.900175344</v>
      </c>
      <c r="EQ88" s="83">
        <f>('eLLE Bals'!BR88+'eLLE Bals'!BY88)*'Reagent cost'!$C$38*60*7200</f>
        <v>505274.03762782668</v>
      </c>
      <c r="ER88">
        <f>'TEA Revised Non EYZ'!DI88</f>
        <v>504921.59999999998</v>
      </c>
      <c r="ES88">
        <f>'TEA Revised Non EYZ'!DJ88</f>
        <v>99.963679494888382</v>
      </c>
      <c r="ET88">
        <f>'TEA Revised Non EYZ'!DK88</f>
        <v>1052.9849019499934</v>
      </c>
      <c r="EU88">
        <f>1.2*SUM(EP88:ET88)</f>
        <v>16019905.783661537</v>
      </c>
      <c r="EV88">
        <f>'TEA Revised Non EYZ'!DM88</f>
        <v>0.70639694042110623</v>
      </c>
      <c r="EW88">
        <f>(BS88*CO88+BT88*CP88)/1000*('Oxidant Feed Composition'!$B$11*'Oxidant Feed Composition'!$O$20+'Oxidant Feed Composition'!$D$11*'Oxidant Feed Composition'!$O$21+'Oxidant Feed Composition'!$F$11*'Oxidant Feed Composition'!$O$27-'Oxidant Feed Composition'!$J$15*18.015)</f>
        <v>1.7892206292324184</v>
      </c>
      <c r="EX88">
        <f>(CZ88*BX88+DC88*BZ88)*368.34/1000</f>
        <v>0.10199490850337199</v>
      </c>
      <c r="EY88">
        <f>'TEA Revised Non EYZ'!DP88</f>
        <v>4.999938342565946E-2</v>
      </c>
      <c r="EZ88">
        <f>SUM(EV88:EX88)-EY88</f>
        <v>2.5476130947312372</v>
      </c>
      <c r="FA88">
        <f>EZ88*0.33*60*7200</f>
        <v>363187.72278488521</v>
      </c>
      <c r="FB88">
        <f>'TEA Revised Non EYZ'!DS88</f>
        <v>1.2</v>
      </c>
      <c r="FC88">
        <v>0.5</v>
      </c>
      <c r="FD88">
        <f>'TEA Revised Non EYZ'!DT88</f>
        <v>1405.8770925358626</v>
      </c>
      <c r="FE88">
        <f>'TEA Revised Non EYZ'!DU88</f>
        <v>705.80623683932424</v>
      </c>
      <c r="FF88">
        <f>'TEA Revised Non EYZ'!DV88</f>
        <v>0.7</v>
      </c>
      <c r="FG88">
        <f>'TEA Revised Non EYZ'!DW88</f>
        <v>49536.497143418172</v>
      </c>
      <c r="FH88">
        <f>'TEA Revised Non EYZ'!DX88</f>
        <v>49831.318766753509</v>
      </c>
      <c r="FI88">
        <f>'TEA Revised Non EYZ'!DY88</f>
        <v>21097.937381085154</v>
      </c>
      <c r="FJ88">
        <f>'TEA Revised Non EYZ'!DZ88</f>
        <v>11176.166036369152</v>
      </c>
      <c r="FK88">
        <f>'TEA Revised Non EYZ'!EA88</f>
        <v>11252.233269912085</v>
      </c>
      <c r="FL88">
        <f>'TEA Revised Non EYZ'!EB88</f>
        <v>850.27446556568964</v>
      </c>
      <c r="FM88">
        <f>'TEA Revised Non EYZ'!EC88</f>
        <v>43713.196477429126</v>
      </c>
      <c r="FN88">
        <f>'TEA Revised Non EYZ'!ED88</f>
        <v>42673.239588396784</v>
      </c>
      <c r="FO88">
        <f>'TEA Revised Non EYZ'!EE88</f>
        <v>18067.299019280894</v>
      </c>
      <c r="FP88">
        <f>'TEA Revised Non EYZ'!EF88</f>
        <v>9576.080599830957</v>
      </c>
      <c r="FQ88">
        <f>'TEA Revised Non EYZ'!EG88</f>
        <v>9635.8928102831469</v>
      </c>
      <c r="FR88">
        <f>'TEA Revised Non EYZ'!EH88</f>
        <v>426.87161204042332</v>
      </c>
      <c r="FS88">
        <f>'TEA Revised Non EYZ'!EI88</f>
        <v>267837.00717036513</v>
      </c>
      <c r="FT88">
        <f>EG88*EH88</f>
        <v>2516.3189603753908</v>
      </c>
      <c r="FU88">
        <f>EG88*EI88</f>
        <v>4522.8120594492575</v>
      </c>
      <c r="FV88">
        <f>FC88*(FT88+FU88)/(3.6*10^6)*3600*7200*0.07</f>
        <v>1773.8610169958115</v>
      </c>
      <c r="FW88">
        <f>('CAPEX+OPEX'!$C$39/7/100+0.03)*EL88</f>
        <v>90808.982260023418</v>
      </c>
      <c r="FX88">
        <f>('CAPEX+OPEX'!$C$39/7/100+0.03)*EM88</f>
        <v>163219.35594789483</v>
      </c>
      <c r="FY88">
        <f>SUM(FV88:FX88)</f>
        <v>255802.19922491407</v>
      </c>
      <c r="FZ88">
        <f>FY88+FA88+FS88+EU88</f>
        <v>16906732.712841701</v>
      </c>
      <c r="GA88">
        <f>FZ88+EO88</f>
        <v>18089143.08974484</v>
      </c>
      <c r="GB88">
        <f>GA88/(BK88*60*7200)</f>
        <v>0.4187301641144639</v>
      </c>
      <c r="GC88">
        <f>'TEA Revised Non EYZ'!EM88/'TEA Revised Non EYZ'!EK88*GA88</f>
        <v>1400.8524917715354</v>
      </c>
      <c r="GD88">
        <f>'TEA Revised Non EYZ'!EN88/'TEA Revised Non EYZ'!EK88*GA88</f>
        <v>2570.890568238055</v>
      </c>
    </row>
    <row r="89" spans="1:186">
      <c r="A89">
        <f>'TEA Revised Non EYZ'!A89</f>
        <v>11</v>
      </c>
      <c r="B89">
        <f>'TEA Revised Non EYZ'!B89</f>
        <v>1.54143585092054E-3</v>
      </c>
      <c r="C89">
        <f>'TEA Revised Non EYZ'!C89</f>
        <v>1.54143585092054E-3</v>
      </c>
      <c r="D89">
        <f>'TEA Revised Non EYZ'!D89</f>
        <v>3.4254130020456501E-4</v>
      </c>
      <c r="E89">
        <f>'TEA Revised Non EYZ'!E89</f>
        <v>0</v>
      </c>
      <c r="F89">
        <f>'TEA Revised Non EYZ'!F89</f>
        <v>0</v>
      </c>
      <c r="G89">
        <f>'TEA Revised Non EYZ'!G89</f>
        <v>0</v>
      </c>
      <c r="H89">
        <f>'TEA Revised Non EYZ'!H89</f>
        <v>1.7771367359861701E-5</v>
      </c>
      <c r="I89">
        <f>'TEA Revised Non EYZ'!I89</f>
        <v>1.8081057367328801E-10</v>
      </c>
      <c r="J89">
        <f>'TEA Revised Non EYZ'!J89</f>
        <v>3.3765941525589702E-4</v>
      </c>
      <c r="K89">
        <f>'TEA Revised Non EYZ'!K89</f>
        <v>0.139102253285185</v>
      </c>
      <c r="L89">
        <f>'TEA Revised Non EYZ'!L89</f>
        <v>0.14072466572308701</v>
      </c>
      <c r="M89">
        <f>'TEA Revised Non EYZ'!M89</f>
        <v>4.4568945720355099E-4</v>
      </c>
      <c r="N89">
        <f>'TEA Revised Non EYZ'!N89</f>
        <v>-8.03393809811758E-16</v>
      </c>
      <c r="O89">
        <f>'TEA Revised Non EYZ'!O89</f>
        <v>-8.4019770307808202E-13</v>
      </c>
      <c r="P89">
        <f>'TEA Revised Non EYZ'!P89</f>
        <v>-2.26157796916898E-19</v>
      </c>
      <c r="Q89">
        <f>'TEA Revised Non EYZ'!Q89</f>
        <v>0.10953557168033</v>
      </c>
      <c r="R89">
        <f>'TEA Revised Non EYZ'!R89</f>
        <v>98.5748039883795</v>
      </c>
      <c r="S89">
        <f>'TEA Revised Non EYZ'!S89</f>
        <v>500</v>
      </c>
      <c r="T89">
        <f>'TEA Revised Non EYZ'!T89</f>
        <v>95</v>
      </c>
      <c r="U89">
        <f>'TEA Revised Non EYZ'!U89</f>
        <v>1</v>
      </c>
      <c r="V89">
        <f>'TEA Revised Non EYZ'!V89</f>
        <v>0.1</v>
      </c>
      <c r="W89">
        <f>'TEA Revised Non EYZ'!W89</f>
        <v>91.294543376138293</v>
      </c>
      <c r="X89" t="str">
        <f>'TEA Revised Non EYZ'!X89</f>
        <v>ddFc</v>
      </c>
      <c r="Y89">
        <f>'TEA Revised Non EYZ'!Y89</f>
        <v>1</v>
      </c>
      <c r="Z89">
        <f>'TEA Revised Non EYZ'!Z89</f>
        <v>0.28318429382522198</v>
      </c>
      <c r="AA89">
        <f>'TEA Revised Non EYZ'!AA89</f>
        <v>0.56945642916197003</v>
      </c>
      <c r="AB89">
        <f>'TEA Revised Non EYZ'!AB89</f>
        <v>3.7698628972227502E-3</v>
      </c>
      <c r="AC89">
        <f>'TEA Revised Non EYZ'!AC89</f>
        <v>1822.2107908876901</v>
      </c>
      <c r="AD89">
        <f>'TEA Revised Non EYZ'!AD89</f>
        <v>2662.6059073104898</v>
      </c>
      <c r="AE89">
        <f>'TEA Revised Non EYZ'!AE89</f>
        <v>2401.5030938442701</v>
      </c>
      <c r="AF89">
        <f>'TEA Revised Non EYZ'!AF89</f>
        <v>11</v>
      </c>
      <c r="AG89">
        <f>'TEA Revised Non EYZ'!AG89</f>
        <v>1.6497569194096201E-3</v>
      </c>
      <c r="AH89">
        <f>'TEA Revised Non EYZ'!AH89</f>
        <v>1.6689987798565299E-3</v>
      </c>
      <c r="AI89">
        <f>'TEA Revised Non EYZ'!AI89</f>
        <v>5.28589040482341E-6</v>
      </c>
      <c r="AJ89">
        <f>'TEA Revised Non EYZ'!AJ89</f>
        <v>0</v>
      </c>
      <c r="AK89">
        <f>'TEA Revised Non EYZ'!AK89</f>
        <v>0</v>
      </c>
      <c r="AL89">
        <f>'TEA Revised Non EYZ'!AL89</f>
        <v>0</v>
      </c>
      <c r="AM89">
        <f>'TEA Revised Non EYZ'!AM89</f>
        <v>1.6128091969893901E-3</v>
      </c>
      <c r="AN89">
        <f>'TEA Revised Non EYZ'!AN89</f>
        <v>7.9633567021484305E-5</v>
      </c>
      <c r="AO89">
        <f>'TEA Revised Non EYZ'!AO89</f>
        <v>5.2511275568870697E-6</v>
      </c>
      <c r="AP89">
        <f>'TEA Revised Non EYZ'!AP89</f>
        <v>1.7332820417295799E-3</v>
      </c>
      <c r="AQ89">
        <f>'TEA Revised Non EYZ'!AQ89</f>
        <v>7.4559891685805804E-2</v>
      </c>
      <c r="AR89">
        <f>'TEA Revised Non EYZ'!AR89</f>
        <v>1.63078577254671E-6</v>
      </c>
      <c r="AS89">
        <f>'TEA Revised Non EYZ'!AS89</f>
        <v>1.9922621495235798E-15</v>
      </c>
      <c r="AT89">
        <f>'TEA Revised Non EYZ'!AT89</f>
        <v>-1.9831944246540001E-13</v>
      </c>
      <c r="AU89">
        <f>'TEA Revised Non EYZ'!AU89</f>
        <v>1.2917252445628E-20</v>
      </c>
      <c r="AV89">
        <f>'TEA Revised Non EYZ'!AV89</f>
        <v>0.19687375310907501</v>
      </c>
      <c r="AW89">
        <f>'TEA Revised Non EYZ'!AW89</f>
        <v>99.3423464114084</v>
      </c>
      <c r="AX89">
        <f>'TEA Revised Non EYZ'!AX89</f>
        <v>500</v>
      </c>
      <c r="AY89">
        <f>'TEA Revised Non EYZ'!AY89</f>
        <v>95</v>
      </c>
      <c r="AZ89">
        <f>'TEA Revised Non EYZ'!AZ89</f>
        <v>0.92356908198738696</v>
      </c>
      <c r="BA89">
        <f>'TEA Revised Non EYZ'!BA89</f>
        <v>0.1</v>
      </c>
      <c r="BB89">
        <f>'TEA Revised Non EYZ'!BB89</f>
        <v>46.911742545777201</v>
      </c>
      <c r="BC89" t="str">
        <f>'TEA Revised Non EYZ'!BC89</f>
        <v>coeFc</v>
      </c>
      <c r="BD89">
        <f>'TEA Revised Non EYZ'!BD89</f>
        <v>1</v>
      </c>
      <c r="BE89">
        <f>'TEA Revised Non EYZ'!BE89</f>
        <v>1.8775014999999999E-2</v>
      </c>
      <c r="BF89">
        <f>'TEA Revised Non EYZ'!BF89</f>
        <v>0.10492961100000001</v>
      </c>
      <c r="BG89">
        <f>'TEA Revised Non EYZ'!BG89</f>
        <v>1.814625E-3</v>
      </c>
      <c r="BH89">
        <f>'TEA Revised Non EYZ'!BH89</f>
        <v>285.1951444</v>
      </c>
      <c r="BI89">
        <f>'TEA Revised Non EYZ'!BI89</f>
        <v>2169.8944889999998</v>
      </c>
      <c r="BJ89">
        <f>'TEA Revised Non EYZ'!BJ89</f>
        <v>866.49409060000005</v>
      </c>
      <c r="BK89">
        <f>'TEA Revised Non EYZ'!BK89</f>
        <v>100</v>
      </c>
      <c r="BL89">
        <f>'TEA Revised Non EYZ'!BL89</f>
        <v>10.953557168032999</v>
      </c>
      <c r="BM89">
        <f>'TEA Revised Non EYZ'!BM89</f>
        <v>92.356908198738694</v>
      </c>
      <c r="BN89">
        <f>'TEA Revised Non EYZ'!BN89</f>
        <v>19.687375310907502</v>
      </c>
      <c r="BO89">
        <f>'TEA Revised Non EYZ'!BO89</f>
        <v>284.79248636885796</v>
      </c>
      <c r="BP89">
        <f>'TEA Revised Non EYZ'!BP89</f>
        <v>511.87175808359507</v>
      </c>
      <c r="BQ89">
        <f>'TEA Revised Non EYZ'!BQ89</f>
        <v>28.479248636885799</v>
      </c>
      <c r="BR89">
        <f>'TEA Revised Non EYZ'!BR89</f>
        <v>51.187175808359513</v>
      </c>
      <c r="BS89">
        <f>'eLLE Bals'!CF89</f>
        <v>6.5721343008197994</v>
      </c>
      <c r="BT89">
        <f>'eLLE Bals'!CG89</f>
        <v>11.8124251865445</v>
      </c>
      <c r="BU89">
        <f>BM89</f>
        <v>92.356908198738694</v>
      </c>
      <c r="BV89">
        <f>BU89*(AM89*2+AN89*2+AO89*3)</f>
        <v>0.31407249569187762</v>
      </c>
      <c r="BW89">
        <f>BN89*BA89*(AP89*2+AQ89*2+AR89*3)</f>
        <v>0.30041210073431812</v>
      </c>
      <c r="BX89">
        <f>BV89/(2*V89*BL89+BV89)</f>
        <v>0.12538905732273717</v>
      </c>
      <c r="BY89">
        <f>BU89*BX89</f>
        <v>11.580545656282421</v>
      </c>
      <c r="BZ89">
        <f>BW89/(2*BN89*BA89+BW89)</f>
        <v>7.088723441320316E-2</v>
      </c>
      <c r="CA89">
        <f>2*BN89*BA89/0.04</f>
        <v>98.436876554537506</v>
      </c>
      <c r="CB89">
        <f>(BS89+BL89)*2</f>
        <v>35.051382937705597</v>
      </c>
      <c r="CC89">
        <f>(BU89+BL89)*2</f>
        <v>206.62093073354339</v>
      </c>
      <c r="CD89">
        <f>(BT89+BN89)*2</f>
        <v>62.999600994904</v>
      </c>
      <c r="CE89">
        <f>(CA89+BN89)*2</f>
        <v>236.24850373089001</v>
      </c>
      <c r="CF89">
        <f>'TEA Revised Non EYZ'!CB89</f>
        <v>3759.2608200689256</v>
      </c>
      <c r="CG89">
        <f>'TEA Revised Non EYZ'!CC89</f>
        <v>6756.7072067034551</v>
      </c>
      <c r="CH89">
        <f>'TEA Revised Non EYZ'!CD89</f>
        <v>4541.8834647976191</v>
      </c>
      <c r="CI89">
        <f>'TEA Revised Non EYZ'!CE89</f>
        <v>52115.083209962198</v>
      </c>
      <c r="CJ89">
        <f>BL89*V89</f>
        <v>1.0953557168032999</v>
      </c>
      <c r="CK89">
        <f>CJ89/2*1.2</f>
        <v>0.65721343008197997</v>
      </c>
      <c r="CL89">
        <f>'eLLE Bals'!CB89*'Oxidant Feed Composition'!$N$20</f>
        <v>3.6511857226776682E-2</v>
      </c>
      <c r="CM89">
        <f>'eLLE Bals'!CB89*'Oxidant Feed Composition'!$N$21</f>
        <v>1.8255928613388335</v>
      </c>
      <c r="CN89">
        <f>'eLLE Bals'!CB89*'Oxidant Feed Composition'!$N$22</f>
        <v>0.54767785840164995</v>
      </c>
      <c r="CO89">
        <f>CN89/CK89</f>
        <v>0.83333333333333326</v>
      </c>
      <c r="CP89">
        <f>CO89</f>
        <v>0.83333333333333326</v>
      </c>
      <c r="CQ89">
        <f>CL89/CO89</f>
        <v>4.381422867213202E-2</v>
      </c>
      <c r="CR89">
        <f>CM89/CO89</f>
        <v>2.1907114336066003</v>
      </c>
      <c r="CS89">
        <f>BN89*BA89</f>
        <v>1.9687375310907502</v>
      </c>
      <c r="CT89">
        <f>CS89/2*1.2</f>
        <v>1.1812425186544502</v>
      </c>
      <c r="CU89">
        <f>'eLLE Bals'!CC89*'Oxidant Feed Composition'!$N$20</f>
        <v>6.5624584369691707E-2</v>
      </c>
      <c r="CV89">
        <f>'eLLE Bals'!CC89*'Oxidant Feed Composition'!$N$21</f>
        <v>3.2812292184845839</v>
      </c>
      <c r="CW89">
        <f>'eLLE Bals'!CC89*'Oxidant Feed Composition'!$N$22</f>
        <v>0.98436876554537511</v>
      </c>
      <c r="CX89">
        <f>CU89/CP89</f>
        <v>7.874950124363006E-2</v>
      </c>
      <c r="CY89">
        <f>CV89/CP89</f>
        <v>3.9374750621815009</v>
      </c>
      <c r="CZ89">
        <f>CJ89</f>
        <v>1.0953557168032999</v>
      </c>
      <c r="DA89">
        <f>'eLLE Bals'!BQ89</f>
        <v>2.1907114336065998</v>
      </c>
      <c r="DB89">
        <f>'eLLE Bals'!BU89</f>
        <v>5.4495892156661379</v>
      </c>
      <c r="DC89">
        <f>CS89</f>
        <v>1.9687375310907502</v>
      </c>
      <c r="DD89">
        <f>'eLLE Bals'!BX89</f>
        <v>3.9374750621815005</v>
      </c>
      <c r="DE89">
        <f>'eLLE Bals'!CA89</f>
        <v>21.866595125744379</v>
      </c>
      <c r="DF89">
        <f>2*2*(CJ89*'Reagent cost'!$C$36*122.44/1000+CK89*'Oxidant Feed Composition'!$N$26+CQ89*'Reagent cost'!$C$34+CR89*'Reagent cost'!$C$35)</f>
        <v>92.522190873980861</v>
      </c>
      <c r="DG89">
        <f>2*2*(CS89*'Reagent cost'!$C$36*122.44/1000+CT89*'Oxidant Feed Composition'!$N$26+CX89*'Reagent cost'!$C$34+CY89*'Reagent cost'!$C$35)</f>
        <v>166.29475414976855</v>
      </c>
      <c r="DH89">
        <f>(AF89+3)*2*(CZ89*'Reagent cost'!$C$38+DA89*'Reagent cost'!$C$39+DB89*'Reagent cost'!$C$36*122.44/1000)</f>
        <v>1456.1051733314171</v>
      </c>
      <c r="DI89">
        <f>3*2*(DC89*'Reagent cost'!$C$38+DD89*'Reagent cost'!$C$39+DE89*'Reagent cost'!$C$36*122.44/1000)</f>
        <v>1187.1007830542012</v>
      </c>
      <c r="DJ89">
        <f>7963.6*(CB89/1000)^0.6*1.7*('CAPEX+OPEX'!$G$116/'CAPEX+OPEX'!$G$115)</f>
        <v>2138.2772847076108</v>
      </c>
      <c r="DK89">
        <f>7963.6*(CC89/1000)^0.6*1.7*('CAPEX+OPEX'!$G$116/'CAPEX+OPEX'!$G$115)</f>
        <v>6199.3408604999822</v>
      </c>
      <c r="DL89">
        <f>7963.6*(CD89/1000)^0.6*1.7*('CAPEX+OPEX'!$G$116/'CAPEX+OPEX'!$G$115)</f>
        <v>3039.7901765506263</v>
      </c>
      <c r="DM89">
        <f>7963.6*(CE89/1000)^0.6*1.7*('CAPEX+OPEX'!$G$116/'CAPEX+OPEX'!$G$115)</f>
        <v>6718.3460192580314</v>
      </c>
      <c r="DN89">
        <f>'TEA Revised Non EYZ'!CM89</f>
        <v>39625.826528698344</v>
      </c>
      <c r="DO89">
        <f>'TEA Revised Non EYZ'!CN89</f>
        <v>4586243.4239371875</v>
      </c>
      <c r="DP89">
        <f>'TEA Revised Non EYZ'!CO89</f>
        <v>11794834.586807497</v>
      </c>
      <c r="DQ89">
        <f>'TEA Revised Non EYZ'!CP89</f>
        <v>2275209.1661185985</v>
      </c>
      <c r="DR89">
        <f>'TEA Revised Non EYZ'!CQ89</f>
        <v>14083914.336508472</v>
      </c>
      <c r="DS89">
        <f>'TEA Revised Non EYZ'!CR89</f>
        <v>1662824.8986326549</v>
      </c>
      <c r="DT89">
        <f>'TEA Revised Non EYZ'!CS89</f>
        <v>892840.31653984461</v>
      </c>
      <c r="DU89">
        <f>'TEA Revised Non EYZ'!CT89</f>
        <v>2296193.8284949926</v>
      </c>
      <c r="DV89">
        <f>'TEA Revised Non EYZ'!CU89</f>
        <v>442932.9811560188</v>
      </c>
      <c r="DW89">
        <f>'TEA Revised Non EYZ'!CV89</f>
        <v>2741827.1059701391</v>
      </c>
      <c r="DX89">
        <f>'TEA Revised Non EYZ'!CW89</f>
        <v>323715.28756992728</v>
      </c>
      <c r="DY89">
        <f>'TEA Revised Non EYZ'!CX89</f>
        <v>6697509.5197309218</v>
      </c>
      <c r="DZ89">
        <f>'TEA Revised Non EYZ'!CY89</f>
        <v>843163.40790273575</v>
      </c>
      <c r="EA89">
        <f>'TEA Revised Non EYZ'!CZ89</f>
        <v>2168435.4724730523</v>
      </c>
      <c r="EB89">
        <f>'TEA Revised Non EYZ'!DA89</f>
        <v>418288.55053428863</v>
      </c>
      <c r="EC89">
        <f>'TEA Revised Non EYZ'!DB89</f>
        <v>2589274.0770367184</v>
      </c>
      <c r="ED89">
        <f>'TEA Revised Non EYZ'!DC89</f>
        <v>305704.0324024093</v>
      </c>
      <c r="EE89">
        <f>'TEA Revised Non EYZ'!DD89</f>
        <v>6324865.5403492041</v>
      </c>
      <c r="EF89">
        <v>0.7</v>
      </c>
      <c r="EG89">
        <v>100</v>
      </c>
      <c r="EH89">
        <f>96485*BL89*V89/EF89/EG89/60</f>
        <v>25.163189603753906</v>
      </c>
      <c r="EI89">
        <f>96485*BN89*BA89/EF89/EG89/60</f>
        <v>45.227057306497869</v>
      </c>
      <c r="EJ89">
        <f>EH89*('CAPEX+OPEX'!$O$25+'CAPEX+OPEX'!$O$26)</f>
        <v>802001.17905084451</v>
      </c>
      <c r="EK89">
        <f>EI89*('CAPEX+OPEX'!$O$25+'CAPEX+OPEX'!$O$26)</f>
        <v>1441476.7704727</v>
      </c>
      <c r="EL89">
        <f>EJ89*1.12/0.6*'CAPEX+OPEX'!$G$116/'CAPEX+OPEX'!$G$115</f>
        <v>1765730.2106115664</v>
      </c>
      <c r="EM89">
        <f>EK89*1.12/0.6*'CAPEX+OPEX'!$G$116/'CAPEX+OPEX'!$G$115</f>
        <v>3173635.0868345532</v>
      </c>
      <c r="EN89">
        <f>EL89+EM89+DY89+EE89+1.15*(SUM(DF89:DM89)+SUM(CF89:CI89))</f>
        <v>18063136.676261798</v>
      </c>
      <c r="EO89">
        <f>EN89/15</f>
        <v>1204209.1117507864</v>
      </c>
      <c r="EP89">
        <f>('eLLE Bals'!CB89+'eLLE Bals'!CC89)*'Oxidant Feed Composition'!$N$25*60*7200</f>
        <v>12338386.52125443</v>
      </c>
      <c r="EQ89" s="83">
        <f>('eLLE Bals'!BR89+'eLLE Bals'!BY89)*'Reagent cost'!$C$38*60*7200</f>
        <v>505273.55884506286</v>
      </c>
      <c r="ER89">
        <f>'TEA Revised Non EYZ'!DI89</f>
        <v>504921.59999999998</v>
      </c>
      <c r="ES89">
        <f>'TEA Revised Non EYZ'!DJ89</f>
        <v>105.15968026772381</v>
      </c>
      <c r="ET89">
        <f>'TEA Revised Non EYZ'!DK89</f>
        <v>1133.1393334951963</v>
      </c>
      <c r="EU89">
        <f>1.2*SUM(EP89:ET89)</f>
        <v>16019783.974935908</v>
      </c>
      <c r="EV89">
        <f>'TEA Revised Non EYZ'!DM89</f>
        <v>0.70639694042110623</v>
      </c>
      <c r="EW89">
        <f>(BS89*CO89+BT89*CP89)/1000*('Oxidant Feed Composition'!$B$11*'Oxidant Feed Composition'!$O$20+'Oxidant Feed Composition'!$D$11*'Oxidant Feed Composition'!$O$21+'Oxidant Feed Composition'!$F$11*'Oxidant Feed Composition'!$O$27-'Oxidant Feed Composition'!$J$15*18.015)</f>
        <v>1.7891936023620623</v>
      </c>
      <c r="EX89">
        <f>(CZ89*BX89+DC89*BZ89)*368.34/1000</f>
        <v>0.10199481185600721</v>
      </c>
      <c r="EY89">
        <f>'TEA Revised Non EYZ'!DP89</f>
        <v>4.999938342565946E-2</v>
      </c>
      <c r="EZ89">
        <f>SUM(EV89:EX89)-EY89</f>
        <v>2.5475859712135165</v>
      </c>
      <c r="FA89">
        <f>EZ89*0.33*60*7200</f>
        <v>363183.85605619894</v>
      </c>
      <c r="FB89">
        <f>'TEA Revised Non EYZ'!DS89</f>
        <v>1.2</v>
      </c>
      <c r="FC89">
        <v>0.5</v>
      </c>
      <c r="FD89">
        <f>'TEA Revised Non EYZ'!DT89</f>
        <v>1405.879805184511</v>
      </c>
      <c r="FE89">
        <f>'TEA Revised Non EYZ'!DU89</f>
        <v>705.8035239923704</v>
      </c>
      <c r="FF89">
        <f>'TEA Revised Non EYZ'!DV89</f>
        <v>0.7</v>
      </c>
      <c r="FG89">
        <f>'TEA Revised Non EYZ'!DW89</f>
        <v>49536.497143418172</v>
      </c>
      <c r="FH89">
        <f>'TEA Revised Non EYZ'!DX89</f>
        <v>49831.318766753509</v>
      </c>
      <c r="FI89">
        <f>'TEA Revised Non EYZ'!DY89</f>
        <v>21097.937381085154</v>
      </c>
      <c r="FJ89">
        <f>'TEA Revised Non EYZ'!DZ89</f>
        <v>11176.166036369152</v>
      </c>
      <c r="FK89">
        <f>'TEA Revised Non EYZ'!EA89</f>
        <v>11252.233269912085</v>
      </c>
      <c r="FL89">
        <f>'TEA Revised Non EYZ'!EB89</f>
        <v>850.27610617559242</v>
      </c>
      <c r="FM89">
        <f>'TEA Revised Non EYZ'!EC89</f>
        <v>46284.560976101428</v>
      </c>
      <c r="FN89">
        <f>'TEA Revised Non EYZ'!ED89</f>
        <v>46552.625005523769</v>
      </c>
      <c r="FO89">
        <f>'TEA Revised Non EYZ'!EE89</f>
        <v>19709.780748306432</v>
      </c>
      <c r="FP89">
        <f>'TEA Revised Non EYZ'!EF89</f>
        <v>10446.633381633772</v>
      </c>
      <c r="FQ89">
        <f>'TEA Revised Non EYZ'!EG89</f>
        <v>10511.883065763433</v>
      </c>
      <c r="FR89">
        <f>'TEA Revised Non EYZ'!EH89</f>
        <v>426.86997131058564</v>
      </c>
      <c r="FS89">
        <f>'TEA Revised Non EYZ'!EI89</f>
        <v>277676.78185235313</v>
      </c>
      <c r="FT89">
        <f>EG89*EH89</f>
        <v>2516.3189603753908</v>
      </c>
      <c r="FU89">
        <f>EG89*EI89</f>
        <v>4522.7057306497873</v>
      </c>
      <c r="FV89">
        <f>FC89*(FT89+FU89)/(3.6*10^6)*3600*7200*0.07</f>
        <v>1773.8342221383452</v>
      </c>
      <c r="FW89">
        <f>('CAPEX+OPEX'!$C$39/7/100+0.03)*EL89</f>
        <v>90808.982260023418</v>
      </c>
      <c r="FX89">
        <f>('CAPEX+OPEX'!$C$39/7/100+0.03)*EM89</f>
        <v>163215.5187514913</v>
      </c>
      <c r="FY89">
        <f>SUM(FV89:FX89)</f>
        <v>255798.33523365308</v>
      </c>
      <c r="FZ89">
        <f>FY89+FA89+FS89+EU89</f>
        <v>16916442.948078115</v>
      </c>
      <c r="GA89">
        <f>FZ89+EO89</f>
        <v>18120652.0598289</v>
      </c>
      <c r="GB89">
        <f>GA89/(BK89*60*7200)</f>
        <v>0.41945953842196526</v>
      </c>
      <c r="GC89">
        <f>'TEA Revised Non EYZ'!EM89/'TEA Revised Non EYZ'!EK89*GA89</f>
        <v>1403.2898880456491</v>
      </c>
      <c r="GD89">
        <f>'TEA Revised Non EYZ'!EN89/'TEA Revised Non EYZ'!EK89*GA89</f>
        <v>2575.3778562676935</v>
      </c>
    </row>
    <row r="90" spans="1:186">
      <c r="A90">
        <f>'TEA Revised Non EYZ'!A90</f>
        <v>11</v>
      </c>
      <c r="B90">
        <f>'TEA Revised Non EYZ'!B90</f>
        <v>1.54143585092054E-3</v>
      </c>
      <c r="C90">
        <f>'TEA Revised Non EYZ'!C90</f>
        <v>1.54143585092054E-3</v>
      </c>
      <c r="D90">
        <f>'TEA Revised Non EYZ'!D90</f>
        <v>3.4254130020456501E-4</v>
      </c>
      <c r="E90">
        <f>'TEA Revised Non EYZ'!E90</f>
        <v>0</v>
      </c>
      <c r="F90">
        <f>'TEA Revised Non EYZ'!F90</f>
        <v>0</v>
      </c>
      <c r="G90">
        <f>'TEA Revised Non EYZ'!G90</f>
        <v>0</v>
      </c>
      <c r="H90">
        <f>'TEA Revised Non EYZ'!H90</f>
        <v>1.7771367359861701E-5</v>
      </c>
      <c r="I90">
        <f>'TEA Revised Non EYZ'!I90</f>
        <v>1.8081057367328801E-10</v>
      </c>
      <c r="J90">
        <f>'TEA Revised Non EYZ'!J90</f>
        <v>3.3765941525589702E-4</v>
      </c>
      <c r="K90">
        <f>'TEA Revised Non EYZ'!K90</f>
        <v>0.139102253285185</v>
      </c>
      <c r="L90">
        <f>'TEA Revised Non EYZ'!L90</f>
        <v>0.14072466572308701</v>
      </c>
      <c r="M90">
        <f>'TEA Revised Non EYZ'!M90</f>
        <v>4.4568945720355099E-4</v>
      </c>
      <c r="N90">
        <f>'TEA Revised Non EYZ'!N90</f>
        <v>-8.03393809811758E-16</v>
      </c>
      <c r="O90">
        <f>'TEA Revised Non EYZ'!O90</f>
        <v>-8.4019770307808202E-13</v>
      </c>
      <c r="P90">
        <f>'TEA Revised Non EYZ'!P90</f>
        <v>-2.26157796916898E-19</v>
      </c>
      <c r="Q90">
        <f>'TEA Revised Non EYZ'!Q90</f>
        <v>0.10953557168033</v>
      </c>
      <c r="R90">
        <f>'TEA Revised Non EYZ'!R90</f>
        <v>98.5748039883795</v>
      </c>
      <c r="S90">
        <f>'TEA Revised Non EYZ'!S90</f>
        <v>500</v>
      </c>
      <c r="T90">
        <f>'TEA Revised Non EYZ'!T90</f>
        <v>95</v>
      </c>
      <c r="U90">
        <f>'TEA Revised Non EYZ'!U90</f>
        <v>1</v>
      </c>
      <c r="V90">
        <f>'TEA Revised Non EYZ'!V90</f>
        <v>0.1</v>
      </c>
      <c r="W90">
        <f>'TEA Revised Non EYZ'!W90</f>
        <v>91.294543376138293</v>
      </c>
      <c r="X90" t="str">
        <f>'TEA Revised Non EYZ'!X90</f>
        <v>ddFc</v>
      </c>
      <c r="Y90">
        <f>'TEA Revised Non EYZ'!Y90</f>
        <v>1</v>
      </c>
      <c r="Z90">
        <f>'TEA Revised Non EYZ'!Z90</f>
        <v>0.28318429382522198</v>
      </c>
      <c r="AA90">
        <f>'TEA Revised Non EYZ'!AA90</f>
        <v>0.56945642916197003</v>
      </c>
      <c r="AB90">
        <f>'TEA Revised Non EYZ'!AB90</f>
        <v>3.7698628972227502E-3</v>
      </c>
      <c r="AC90">
        <f>'TEA Revised Non EYZ'!AC90</f>
        <v>1822.2107908876901</v>
      </c>
      <c r="AD90">
        <f>'TEA Revised Non EYZ'!AD90</f>
        <v>2662.6059073104898</v>
      </c>
      <c r="AE90">
        <f>'TEA Revised Non EYZ'!AE90</f>
        <v>2401.5030938442701</v>
      </c>
      <c r="AF90">
        <f>'TEA Revised Non EYZ'!AF90</f>
        <v>12</v>
      </c>
      <c r="AG90">
        <f>'TEA Revised Non EYZ'!AG90</f>
        <v>1.6497569194096201E-3</v>
      </c>
      <c r="AH90">
        <f>'TEA Revised Non EYZ'!AH90</f>
        <v>1.6689987798565299E-3</v>
      </c>
      <c r="AI90">
        <f>'TEA Revised Non EYZ'!AI90</f>
        <v>5.28589040482341E-6</v>
      </c>
      <c r="AJ90">
        <f>'TEA Revised Non EYZ'!AJ90</f>
        <v>0</v>
      </c>
      <c r="AK90">
        <f>'TEA Revised Non EYZ'!AK90</f>
        <v>0</v>
      </c>
      <c r="AL90">
        <f>'TEA Revised Non EYZ'!AL90</f>
        <v>0</v>
      </c>
      <c r="AM90">
        <f>'TEA Revised Non EYZ'!AM90</f>
        <v>1.6128100720939401E-3</v>
      </c>
      <c r="AN90">
        <f>'TEA Revised Non EYZ'!AN90</f>
        <v>7.9633612290502494E-5</v>
      </c>
      <c r="AO90">
        <f>'TEA Revised Non EYZ'!AO90</f>
        <v>5.2511283460207698E-6</v>
      </c>
      <c r="AP90">
        <f>'TEA Revised Non EYZ'!AP90</f>
        <v>1.73325244157297E-3</v>
      </c>
      <c r="AQ90">
        <f>'TEA Revised Non EYZ'!AQ90</f>
        <v>7.4560382210708806E-2</v>
      </c>
      <c r="AR90">
        <f>'TEA Revised Non EYZ'!AR90</f>
        <v>1.63075952813163E-6</v>
      </c>
      <c r="AS90">
        <f>'TEA Revised Non EYZ'!AS90</f>
        <v>3.8857128235522602E-16</v>
      </c>
      <c r="AT90">
        <f>'TEA Revised Non EYZ'!AT90</f>
        <v>-3.7970928484787298E-14</v>
      </c>
      <c r="AU90">
        <f>'TEA Revised Non EYZ'!AU90</f>
        <v>-3.6660644748350096E-21</v>
      </c>
      <c r="AV90">
        <f>'TEA Revised Non EYZ'!AV90</f>
        <v>0.196872452268469</v>
      </c>
      <c r="AW90">
        <f>'TEA Revised Non EYZ'!AW90</f>
        <v>99.342361340467505</v>
      </c>
      <c r="AX90">
        <f>'TEA Revised Non EYZ'!AX90</f>
        <v>500</v>
      </c>
      <c r="AY90">
        <f>'TEA Revised Non EYZ'!AY90</f>
        <v>95</v>
      </c>
      <c r="AZ90">
        <f>'TEA Revised Non EYZ'!AZ90</f>
        <v>0.92356908198738696</v>
      </c>
      <c r="BA90">
        <f>'TEA Revised Non EYZ'!BA90</f>
        <v>0.1</v>
      </c>
      <c r="BB90">
        <f>'TEA Revised Non EYZ'!BB90</f>
        <v>46.912052516516702</v>
      </c>
      <c r="BC90" t="str">
        <f>'TEA Revised Non EYZ'!BC90</f>
        <v>coeFc</v>
      </c>
      <c r="BD90">
        <f>'TEA Revised Non EYZ'!BD90</f>
        <v>1</v>
      </c>
      <c r="BE90">
        <f>'TEA Revised Non EYZ'!BE90</f>
        <v>1.8775014999999999E-2</v>
      </c>
      <c r="BF90">
        <f>'TEA Revised Non EYZ'!BF90</f>
        <v>0.10492961100000001</v>
      </c>
      <c r="BG90">
        <f>'TEA Revised Non EYZ'!BG90</f>
        <v>1.814625E-3</v>
      </c>
      <c r="BH90">
        <f>'TEA Revised Non EYZ'!BH90</f>
        <v>285.1951444</v>
      </c>
      <c r="BI90">
        <f>'TEA Revised Non EYZ'!BI90</f>
        <v>2169.8944889999998</v>
      </c>
      <c r="BJ90">
        <f>'TEA Revised Non EYZ'!BJ90</f>
        <v>866.49409060000005</v>
      </c>
      <c r="BK90">
        <f>'TEA Revised Non EYZ'!BK90</f>
        <v>100</v>
      </c>
      <c r="BL90">
        <f>'TEA Revised Non EYZ'!BL90</f>
        <v>10.953557168032999</v>
      </c>
      <c r="BM90">
        <f>'TEA Revised Non EYZ'!BM90</f>
        <v>92.356908198738694</v>
      </c>
      <c r="BN90">
        <f>'TEA Revised Non EYZ'!BN90</f>
        <v>19.687245226846901</v>
      </c>
      <c r="BO90">
        <f>'TEA Revised Non EYZ'!BO90</f>
        <v>284.79248636885796</v>
      </c>
      <c r="BP90">
        <f>'TEA Revised Non EYZ'!BP90</f>
        <v>551.24286635171325</v>
      </c>
      <c r="BQ90">
        <f>'TEA Revised Non EYZ'!BQ90</f>
        <v>28.479248636885799</v>
      </c>
      <c r="BR90">
        <f>'TEA Revised Non EYZ'!BR90</f>
        <v>55.12428663517133</v>
      </c>
      <c r="BS90">
        <f>'eLLE Bals'!CF90</f>
        <v>6.5721343008197994</v>
      </c>
      <c r="BT90">
        <f>'eLLE Bals'!CG90</f>
        <v>11.812347136108141</v>
      </c>
      <c r="BU90">
        <f>BM90</f>
        <v>92.356908198738694</v>
      </c>
      <c r="BV90">
        <f>BU90*(AM90*2+AN90*2+AO90*3)</f>
        <v>0.31407266591623784</v>
      </c>
      <c r="BW90">
        <f>BN90*BA90*(AP90*2+AQ90*2+AR90*3)</f>
        <v>0.30041193047820802</v>
      </c>
      <c r="BX90">
        <f>BV90/(2*V90*BL90+BV90)</f>
        <v>0.12538911676102893</v>
      </c>
      <c r="BY90">
        <f>BU90*BX90</f>
        <v>11.580551145819276</v>
      </c>
      <c r="BZ90">
        <f>BW90/(2*BN90*BA90+BW90)</f>
        <v>7.0887632272581685E-2</v>
      </c>
      <c r="CA90">
        <f>2*BN90*BA90/0.04</f>
        <v>98.436226134234502</v>
      </c>
      <c r="CB90">
        <f>(BS90+BL90)*2</f>
        <v>35.051382937705597</v>
      </c>
      <c r="CC90">
        <f>(BU90+BL90)*2</f>
        <v>206.62093073354339</v>
      </c>
      <c r="CD90">
        <f>(BT90+BN90)*2</f>
        <v>62.999184725910084</v>
      </c>
      <c r="CE90">
        <f>(CA90+BN90)*2</f>
        <v>236.2469427221628</v>
      </c>
      <c r="CF90">
        <f>'TEA Revised Non EYZ'!CB90</f>
        <v>3759.2608200689256</v>
      </c>
      <c r="CG90">
        <f>'TEA Revised Non EYZ'!CC90</f>
        <v>7276.4058358426155</v>
      </c>
      <c r="CH90">
        <f>'TEA Revised Non EYZ'!CD90</f>
        <v>4541.8834647976191</v>
      </c>
      <c r="CI90">
        <f>'TEA Revised Non EYZ'!CE90</f>
        <v>56123.564926443862</v>
      </c>
      <c r="CJ90">
        <f>BL90*V90</f>
        <v>1.0953557168032999</v>
      </c>
      <c r="CK90">
        <f>CJ90/2*1.2</f>
        <v>0.65721343008197997</v>
      </c>
      <c r="CL90">
        <f>'eLLE Bals'!CB90*'Oxidant Feed Composition'!$N$20</f>
        <v>3.6511857226776682E-2</v>
      </c>
      <c r="CM90">
        <f>'eLLE Bals'!CB90*'Oxidant Feed Composition'!$N$21</f>
        <v>1.8255928613388335</v>
      </c>
      <c r="CN90">
        <f>'eLLE Bals'!CB90*'Oxidant Feed Composition'!$N$22</f>
        <v>0.54767785840164995</v>
      </c>
      <c r="CO90">
        <f>CN90/CK90</f>
        <v>0.83333333333333326</v>
      </c>
      <c r="CP90">
        <f>CO90</f>
        <v>0.83333333333333326</v>
      </c>
      <c r="CQ90">
        <f>CL90/CO90</f>
        <v>4.381422867213202E-2</v>
      </c>
      <c r="CR90">
        <f>CM90/CO90</f>
        <v>2.1907114336066003</v>
      </c>
      <c r="CS90">
        <f>BN90*BA90</f>
        <v>1.9687245226846901</v>
      </c>
      <c r="CT90">
        <f>CS90/2*1.2</f>
        <v>1.1812347136108141</v>
      </c>
      <c r="CU90">
        <f>'eLLE Bals'!CC90*'Oxidant Feed Composition'!$N$20</f>
        <v>6.5624150756156366E-2</v>
      </c>
      <c r="CV90">
        <f>'eLLE Bals'!CC90*'Oxidant Feed Composition'!$N$21</f>
        <v>3.2812075378078172</v>
      </c>
      <c r="CW90">
        <f>'eLLE Bals'!CC90*'Oxidant Feed Composition'!$N$22</f>
        <v>0.98436226134234506</v>
      </c>
      <c r="CX90">
        <f>CU90/CP90</f>
        <v>7.8748980907387647E-2</v>
      </c>
      <c r="CY90">
        <f>CV90/CP90</f>
        <v>3.9374490453693811</v>
      </c>
      <c r="CZ90">
        <f>CJ90</f>
        <v>1.0953557168032999</v>
      </c>
      <c r="DA90">
        <f>'eLLE Bals'!BQ90</f>
        <v>2.1907114336065998</v>
      </c>
      <c r="DB90">
        <f>'eLLE Bals'!BU90</f>
        <v>5.4495850744753067</v>
      </c>
      <c r="DC90">
        <f>CS90</f>
        <v>1.9687245226846901</v>
      </c>
      <c r="DD90">
        <f>'eLLE Bals'!BX90</f>
        <v>3.9374490453693802</v>
      </c>
      <c r="DE90">
        <f>'eLLE Bals'!CA90</f>
        <v>21.866294767669483</v>
      </c>
      <c r="DF90">
        <f>2*2*(CJ90*'Reagent cost'!$C$36*122.44/1000+CK90*'Oxidant Feed Composition'!$N$26+CQ90*'Reagent cost'!$C$34+CR90*'Reagent cost'!$C$35)</f>
        <v>92.522190873980861</v>
      </c>
      <c r="DG90">
        <f>2*2*(CS90*'Reagent cost'!$C$36*122.44/1000+CT90*'Oxidant Feed Composition'!$N$26+CX90*'Reagent cost'!$C$34+CY90*'Reagent cost'!$C$35)</f>
        <v>166.29365535947605</v>
      </c>
      <c r="DH90">
        <f>(AF90+3)*2*(CZ90*'Reagent cost'!$C$38+DA90*'Reagent cost'!$C$39+DB90*'Reagent cost'!$C$36*122.44/1000)</f>
        <v>1560.1116114816</v>
      </c>
      <c r="DI90">
        <f>3*2*(DC90*'Reagent cost'!$C$38+DD90*'Reagent cost'!$C$39+DE90*'Reagent cost'!$C$36*122.44/1000)</f>
        <v>1187.0848524718285</v>
      </c>
      <c r="DJ90">
        <f>7963.6*(CB90/1000)^0.6*1.7*('CAPEX+OPEX'!$G$116/'CAPEX+OPEX'!$G$115)</f>
        <v>2138.2772847076108</v>
      </c>
      <c r="DK90">
        <f>7963.6*(CC90/1000)^0.6*1.7*('CAPEX+OPEX'!$G$116/'CAPEX+OPEX'!$G$115)</f>
        <v>6199.3408604999822</v>
      </c>
      <c r="DL90">
        <f>7963.6*(CD90/1000)^0.6*1.7*('CAPEX+OPEX'!$G$116/'CAPEX+OPEX'!$G$115)</f>
        <v>3039.7781253117219</v>
      </c>
      <c r="DM90">
        <f>7963.6*(CE90/1000)^0.6*1.7*('CAPEX+OPEX'!$G$116/'CAPEX+OPEX'!$G$115)</f>
        <v>6718.319384395686</v>
      </c>
      <c r="DN90">
        <f>'TEA Revised Non EYZ'!CM90</f>
        <v>39625.826528698344</v>
      </c>
      <c r="DO90">
        <f>'TEA Revised Non EYZ'!CN90</f>
        <v>4586243.4239371875</v>
      </c>
      <c r="DP90">
        <f>'TEA Revised Non EYZ'!CO90</f>
        <v>11794834.586807497</v>
      </c>
      <c r="DQ90">
        <f>'TEA Revised Non EYZ'!CP90</f>
        <v>2275209.1661185985</v>
      </c>
      <c r="DR90">
        <f>'TEA Revised Non EYZ'!CQ90</f>
        <v>14083914.336508472</v>
      </c>
      <c r="DS90">
        <f>'TEA Revised Non EYZ'!CR90</f>
        <v>1662824.8986326549</v>
      </c>
      <c r="DT90">
        <f>'TEA Revised Non EYZ'!CS90</f>
        <v>892840.31653984461</v>
      </c>
      <c r="DU90">
        <f>'TEA Revised Non EYZ'!CT90</f>
        <v>2296193.8284949926</v>
      </c>
      <c r="DV90">
        <f>'TEA Revised Non EYZ'!CU90</f>
        <v>442932.9811560188</v>
      </c>
      <c r="DW90">
        <f>'TEA Revised Non EYZ'!CV90</f>
        <v>2741827.1059701391</v>
      </c>
      <c r="DX90">
        <f>'TEA Revised Non EYZ'!CW90</f>
        <v>323715.28756992728</v>
      </c>
      <c r="DY90">
        <f>'TEA Revised Non EYZ'!CX90</f>
        <v>6697509.5197309218</v>
      </c>
      <c r="DZ90">
        <f>'TEA Revised Non EYZ'!CY90</f>
        <v>884644.97360172844</v>
      </c>
      <c r="EA90">
        <f>'TEA Revised Non EYZ'!CZ90</f>
        <v>2275117.1639130982</v>
      </c>
      <c r="EB90">
        <f>'TEA Revised Non EYZ'!DA90</f>
        <v>438867.31833599339</v>
      </c>
      <c r="EC90">
        <f>'TEA Revised Non EYZ'!DB90</f>
        <v>2716659.9926642226</v>
      </c>
      <c r="ED90">
        <f>'TEA Revised Non EYZ'!DC90</f>
        <v>320743.91884161107</v>
      </c>
      <c r="EE90">
        <f>'TEA Revised Non EYZ'!DD90</f>
        <v>6636033.3673566533</v>
      </c>
      <c r="EF90">
        <v>0.7</v>
      </c>
      <c r="EG90">
        <v>100</v>
      </c>
      <c r="EH90">
        <f>96485*BL90*V90/EF90/EG90/60</f>
        <v>25.163189603753906</v>
      </c>
      <c r="EI90">
        <f>96485*BN90*BA90/EF90/EG90/60</f>
        <v>45.226758469341029</v>
      </c>
      <c r="EJ90">
        <f>EH90*('CAPEX+OPEX'!$O$25+'CAPEX+OPEX'!$O$26)</f>
        <v>802001.17905084451</v>
      </c>
      <c r="EK90">
        <f>EI90*('CAPEX+OPEX'!$O$25+'CAPEX+OPEX'!$O$26)</f>
        <v>1441467.2459348373</v>
      </c>
      <c r="EL90">
        <f>EJ90*1.12/0.6*'CAPEX+OPEX'!$G$116/'CAPEX+OPEX'!$G$115</f>
        <v>1765730.2106115664</v>
      </c>
      <c r="EM90">
        <f>EK90*1.12/0.6*'CAPEX+OPEX'!$G$116/'CAPEX+OPEX'!$G$115</f>
        <v>3173614.1170845251</v>
      </c>
      <c r="EN90">
        <f>EL90+EM90+DY90+EE90+1.15*(SUM(DF90:DM90)+SUM(CF90:CI90))</f>
        <v>18379610.484247763</v>
      </c>
      <c r="EO90">
        <f>EN90/15</f>
        <v>1225307.3656165176</v>
      </c>
      <c r="EP90">
        <f>('eLLE Bals'!CB90+'eLLE Bals'!CC90)*'Oxidant Feed Composition'!$N$25*60*7200</f>
        <v>12338334.139447151</v>
      </c>
      <c r="EQ90" s="83">
        <f>('eLLE Bals'!BR90+'eLLE Bals'!BY90)*'Reagent cost'!$C$38*60*7200</f>
        <v>505273.42427463434</v>
      </c>
      <c r="ER90">
        <f>'TEA Revised Non EYZ'!DI90</f>
        <v>504921.59999999998</v>
      </c>
      <c r="ES90">
        <f>'TEA Revised Non EYZ'!DJ90</f>
        <v>110.35666655911541</v>
      </c>
      <c r="ET90">
        <f>'TEA Revised Non EYZ'!DK90</f>
        <v>1213.3089678248296</v>
      </c>
      <c r="EU90">
        <f>1.2*SUM(EP90:ET90)</f>
        <v>16019823.395227402</v>
      </c>
      <c r="EV90">
        <f>'TEA Revised Non EYZ'!DM90</f>
        <v>0.70639694042110623</v>
      </c>
      <c r="EW90">
        <f>(BS90*CO90+BT90*CP90)/1000*('Oxidant Feed Composition'!$B$11*'Oxidant Feed Composition'!$O$20+'Oxidant Feed Composition'!$D$11*'Oxidant Feed Composition'!$O$21+'Oxidant Feed Composition'!$F$11*'Oxidant Feed Composition'!$O$27-'Oxidant Feed Composition'!$J$15*18.015)</f>
        <v>1.7891860064584733</v>
      </c>
      <c r="EX90">
        <f>(CZ90*BX90+DC90*BZ90)*368.34/1000</f>
        <v>0.10199478469154295</v>
      </c>
      <c r="EY90">
        <f>'TEA Revised Non EYZ'!DP90</f>
        <v>4.999938342565946E-2</v>
      </c>
      <c r="EZ90">
        <f>SUM(EV90:EX90)-EY90</f>
        <v>2.5475783481454628</v>
      </c>
      <c r="FA90">
        <f>EZ90*0.33*60*7200</f>
        <v>363182.76931161719</v>
      </c>
      <c r="FB90">
        <f>'TEA Revised Non EYZ'!DS90</f>
        <v>1.2</v>
      </c>
      <c r="FC90">
        <v>0.5</v>
      </c>
      <c r="FD90">
        <f>'TEA Revised Non EYZ'!DT90</f>
        <v>1405.8805675728252</v>
      </c>
      <c r="FE90">
        <f>'TEA Revised Non EYZ'!DU90</f>
        <v>705.80276153185252</v>
      </c>
      <c r="FF90">
        <f>'TEA Revised Non EYZ'!DV90</f>
        <v>0.7</v>
      </c>
      <c r="FG90">
        <f>'TEA Revised Non EYZ'!DW90</f>
        <v>49536.497143418172</v>
      </c>
      <c r="FH90">
        <f>'TEA Revised Non EYZ'!DX90</f>
        <v>49831.318766753509</v>
      </c>
      <c r="FI90">
        <f>'TEA Revised Non EYZ'!DY90</f>
        <v>21097.937381085154</v>
      </c>
      <c r="FJ90">
        <f>'TEA Revised Non EYZ'!DZ90</f>
        <v>11176.166036369152</v>
      </c>
      <c r="FK90">
        <f>'TEA Revised Non EYZ'!EA90</f>
        <v>11252.233269912085</v>
      </c>
      <c r="FL90">
        <f>'TEA Revised Non EYZ'!EB90</f>
        <v>850.27656726804469</v>
      </c>
      <c r="FM90">
        <f>'TEA Revised Non EYZ'!EC90</f>
        <v>48855.925474773729</v>
      </c>
      <c r="FN90">
        <f>'TEA Revised Non EYZ'!ED90</f>
        <v>50432.010422650754</v>
      </c>
      <c r="FO90">
        <f>'TEA Revised Non EYZ'!EE90</f>
        <v>21352.262477331969</v>
      </c>
      <c r="FP90">
        <f>'TEA Revised Non EYZ'!EF90</f>
        <v>11317.186163436589</v>
      </c>
      <c r="FQ90">
        <f>'TEA Revised Non EYZ'!EG90</f>
        <v>11387.873321243722</v>
      </c>
      <c r="FR90">
        <f>'TEA Revised Non EYZ'!EH90</f>
        <v>426.86951017446444</v>
      </c>
      <c r="FS90">
        <f>'TEA Revised Non EYZ'!EI90</f>
        <v>287516.55653441726</v>
      </c>
      <c r="FT90">
        <f>EG90*EH90</f>
        <v>2516.3189603753908</v>
      </c>
      <c r="FU90">
        <f>EG90*EI90</f>
        <v>4522.675846934103</v>
      </c>
      <c r="FV90">
        <f>FC90*(FT90+FU90)/(3.6*10^6)*3600*7200*0.07</f>
        <v>1773.8266914419926</v>
      </c>
      <c r="FW90">
        <f>('CAPEX+OPEX'!$C$39/7/100+0.03)*EL90</f>
        <v>90808.982260023418</v>
      </c>
      <c r="FX90">
        <f>('CAPEX+OPEX'!$C$39/7/100+0.03)*EM90</f>
        <v>163214.44030720415</v>
      </c>
      <c r="FY90">
        <f>SUM(FV90:FX90)</f>
        <v>255797.24925866956</v>
      </c>
      <c r="FZ90">
        <f>FY90+FA90+FS90+EU90</f>
        <v>16926319.970332105</v>
      </c>
      <c r="GA90">
        <f>FZ90+EO90</f>
        <v>18151627.335948624</v>
      </c>
      <c r="GB90">
        <f>GA90/(BK90*60*7200)</f>
        <v>0.42017655870251441</v>
      </c>
      <c r="GC90">
        <f>'TEA Revised Non EYZ'!EM90/'TEA Revised Non EYZ'!EK90*GA90</f>
        <v>1405.6878961327193</v>
      </c>
      <c r="GD90">
        <f>'TEA Revised Non EYZ'!EN90/'TEA Revised Non EYZ'!EK90*GA90</f>
        <v>2579.7827528192197</v>
      </c>
    </row>
    <row r="91" spans="1:186">
      <c r="A91">
        <f>'TEA Revised Non EYZ'!A91</f>
        <v>11</v>
      </c>
      <c r="B91">
        <f>'TEA Revised Non EYZ'!B91</f>
        <v>1.54143585092054E-3</v>
      </c>
      <c r="C91">
        <f>'TEA Revised Non EYZ'!C91</f>
        <v>1.54143585092054E-3</v>
      </c>
      <c r="D91">
        <f>'TEA Revised Non EYZ'!D91</f>
        <v>3.4254130020456501E-4</v>
      </c>
      <c r="E91">
        <f>'TEA Revised Non EYZ'!E91</f>
        <v>0</v>
      </c>
      <c r="F91">
        <f>'TEA Revised Non EYZ'!F91</f>
        <v>0</v>
      </c>
      <c r="G91">
        <f>'TEA Revised Non EYZ'!G91</f>
        <v>0</v>
      </c>
      <c r="H91">
        <f>'TEA Revised Non EYZ'!H91</f>
        <v>1.7771367359861701E-5</v>
      </c>
      <c r="I91">
        <f>'TEA Revised Non EYZ'!I91</f>
        <v>1.8081057367328801E-10</v>
      </c>
      <c r="J91">
        <f>'TEA Revised Non EYZ'!J91</f>
        <v>3.3765941525589702E-4</v>
      </c>
      <c r="K91">
        <f>'TEA Revised Non EYZ'!K91</f>
        <v>0.139102253285185</v>
      </c>
      <c r="L91">
        <f>'TEA Revised Non EYZ'!L91</f>
        <v>0.14072466572308701</v>
      </c>
      <c r="M91">
        <f>'TEA Revised Non EYZ'!M91</f>
        <v>4.4568945720355099E-4</v>
      </c>
      <c r="N91">
        <f>'TEA Revised Non EYZ'!N91</f>
        <v>-8.03393809811758E-16</v>
      </c>
      <c r="O91">
        <f>'TEA Revised Non EYZ'!O91</f>
        <v>-8.4019770307808202E-13</v>
      </c>
      <c r="P91">
        <f>'TEA Revised Non EYZ'!P91</f>
        <v>-2.26157796916898E-19</v>
      </c>
      <c r="Q91">
        <f>'TEA Revised Non EYZ'!Q91</f>
        <v>0.10953557168033</v>
      </c>
      <c r="R91">
        <f>'TEA Revised Non EYZ'!R91</f>
        <v>98.5748039883795</v>
      </c>
      <c r="S91">
        <f>'TEA Revised Non EYZ'!S91</f>
        <v>500</v>
      </c>
      <c r="T91">
        <f>'TEA Revised Non EYZ'!T91</f>
        <v>95</v>
      </c>
      <c r="U91">
        <f>'TEA Revised Non EYZ'!U91</f>
        <v>1</v>
      </c>
      <c r="V91">
        <f>'TEA Revised Non EYZ'!V91</f>
        <v>0.1</v>
      </c>
      <c r="W91">
        <f>'TEA Revised Non EYZ'!W91</f>
        <v>91.294543376138293</v>
      </c>
      <c r="X91" t="str">
        <f>'TEA Revised Non EYZ'!X91</f>
        <v>ddFc</v>
      </c>
      <c r="Y91">
        <f>'TEA Revised Non EYZ'!Y91</f>
        <v>1</v>
      </c>
      <c r="Z91">
        <f>'TEA Revised Non EYZ'!Z91</f>
        <v>0.28318429382522198</v>
      </c>
      <c r="AA91">
        <f>'TEA Revised Non EYZ'!AA91</f>
        <v>0.56945642916197003</v>
      </c>
      <c r="AB91">
        <f>'TEA Revised Non EYZ'!AB91</f>
        <v>3.7698628972227502E-3</v>
      </c>
      <c r="AC91">
        <f>'TEA Revised Non EYZ'!AC91</f>
        <v>1822.2107908876901</v>
      </c>
      <c r="AD91">
        <f>'TEA Revised Non EYZ'!AD91</f>
        <v>2662.6059073104898</v>
      </c>
      <c r="AE91">
        <f>'TEA Revised Non EYZ'!AE91</f>
        <v>2401.5030938442701</v>
      </c>
      <c r="AF91">
        <f>'TEA Revised Non EYZ'!AF91</f>
        <v>13</v>
      </c>
      <c r="AG91">
        <f>'TEA Revised Non EYZ'!AG91</f>
        <v>1.6497569194096201E-3</v>
      </c>
      <c r="AH91">
        <f>'TEA Revised Non EYZ'!AH91</f>
        <v>1.6689987798565299E-3</v>
      </c>
      <c r="AI91">
        <f>'TEA Revised Non EYZ'!AI91</f>
        <v>5.28589040482341E-6</v>
      </c>
      <c r="AJ91">
        <f>'TEA Revised Non EYZ'!AJ91</f>
        <v>0</v>
      </c>
      <c r="AK91">
        <f>'TEA Revised Non EYZ'!AK91</f>
        <v>0</v>
      </c>
      <c r="AL91">
        <f>'TEA Revised Non EYZ'!AL91</f>
        <v>0</v>
      </c>
      <c r="AM91">
        <f>'TEA Revised Non EYZ'!AM91</f>
        <v>1.6128103180087E-3</v>
      </c>
      <c r="AN91">
        <f>'TEA Revised Non EYZ'!AN91</f>
        <v>7.9633625011629096E-5</v>
      </c>
      <c r="AO91">
        <f>'TEA Revised Non EYZ'!AO91</f>
        <v>5.2511285677767398E-6</v>
      </c>
      <c r="AP91">
        <f>'TEA Revised Non EYZ'!AP91</f>
        <v>1.7332441234993001E-3</v>
      </c>
      <c r="AQ91">
        <f>'TEA Revised Non EYZ'!AQ91</f>
        <v>7.4560520055328497E-2</v>
      </c>
      <c r="AR91">
        <f>'TEA Revised Non EYZ'!AR91</f>
        <v>1.6307521530699199E-6</v>
      </c>
      <c r="AS91">
        <f>'TEA Revised Non EYZ'!AS91</f>
        <v>4.9466724119651101E-19</v>
      </c>
      <c r="AT91">
        <f>'TEA Revised Non EYZ'!AT91</f>
        <v>-1.2576745200831801E-17</v>
      </c>
      <c r="AU91">
        <f>'TEA Revised Non EYZ'!AU91</f>
        <v>1.39628087398951E-21</v>
      </c>
      <c r="AV91">
        <f>'TEA Revised Non EYZ'!AV91</f>
        <v>0.19687208671741999</v>
      </c>
      <c r="AW91">
        <f>'TEA Revised Non EYZ'!AW91</f>
        <v>99.342365535710996</v>
      </c>
      <c r="AX91">
        <f>'TEA Revised Non EYZ'!AX91</f>
        <v>500</v>
      </c>
      <c r="AY91">
        <f>'TEA Revised Non EYZ'!AY91</f>
        <v>95</v>
      </c>
      <c r="AZ91">
        <f>'TEA Revised Non EYZ'!AZ91</f>
        <v>0.92356908198738696</v>
      </c>
      <c r="BA91">
        <f>'TEA Revised Non EYZ'!BA91</f>
        <v>0.1</v>
      </c>
      <c r="BB91">
        <f>'TEA Revised Non EYZ'!BB91</f>
        <v>46.912139622567501</v>
      </c>
      <c r="BC91" t="str">
        <f>'TEA Revised Non EYZ'!BC91</f>
        <v>coeFc</v>
      </c>
      <c r="BD91">
        <f>'TEA Revised Non EYZ'!BD91</f>
        <v>1</v>
      </c>
      <c r="BE91">
        <f>'TEA Revised Non EYZ'!BE91</f>
        <v>1.8775014999999999E-2</v>
      </c>
      <c r="BF91">
        <f>'TEA Revised Non EYZ'!BF91</f>
        <v>0.10492961100000001</v>
      </c>
      <c r="BG91">
        <f>'TEA Revised Non EYZ'!BG91</f>
        <v>1.814625E-3</v>
      </c>
      <c r="BH91">
        <f>'TEA Revised Non EYZ'!BH91</f>
        <v>285.1951444</v>
      </c>
      <c r="BI91">
        <f>'TEA Revised Non EYZ'!BI91</f>
        <v>2169.8944889999998</v>
      </c>
      <c r="BJ91">
        <f>'TEA Revised Non EYZ'!BJ91</f>
        <v>866.49409060000005</v>
      </c>
      <c r="BK91">
        <f>'TEA Revised Non EYZ'!BK91</f>
        <v>100</v>
      </c>
      <c r="BL91">
        <f>'TEA Revised Non EYZ'!BL91</f>
        <v>10.953557168032999</v>
      </c>
      <c r="BM91">
        <f>'TEA Revised Non EYZ'!BM91</f>
        <v>92.356908198738694</v>
      </c>
      <c r="BN91">
        <f>'TEA Revised Non EYZ'!BN91</f>
        <v>19.687208671741999</v>
      </c>
      <c r="BO91">
        <f>'TEA Revised Non EYZ'!BO91</f>
        <v>284.79248636885796</v>
      </c>
      <c r="BP91">
        <f>'TEA Revised Non EYZ'!BP91</f>
        <v>590.61626015226</v>
      </c>
      <c r="BQ91">
        <f>'TEA Revised Non EYZ'!BQ91</f>
        <v>28.479248636885799</v>
      </c>
      <c r="BR91">
        <f>'TEA Revised Non EYZ'!BR91</f>
        <v>59.061626015226004</v>
      </c>
      <c r="BS91">
        <f>'eLLE Bals'!CF91</f>
        <v>6.5721343008197994</v>
      </c>
      <c r="BT91">
        <f>'eLLE Bals'!CG91</f>
        <v>11.8123252030452</v>
      </c>
      <c r="BU91">
        <f>BM91</f>
        <v>92.356908198738694</v>
      </c>
      <c r="BV91">
        <f>BU91*(AM91*2+AN91*2+AO91*3)</f>
        <v>0.31407271375130152</v>
      </c>
      <c r="BW91">
        <f>BN91*BA91*(AP91*2+AQ91*2+AR91*3)</f>
        <v>0.3004118826356304</v>
      </c>
      <c r="BX91">
        <f>BV91/(2*V91*BL91+BV91)</f>
        <v>0.12538913346389227</v>
      </c>
      <c r="BY91">
        <f>BU91*BX91</f>
        <v>11.580552688444092</v>
      </c>
      <c r="BZ91">
        <f>BW91/(2*BN91*BA91+BW91)</f>
        <v>7.0887744076782361E-2</v>
      </c>
      <c r="CA91">
        <f>2*BN91*BA91/0.04</f>
        <v>98.436043358709995</v>
      </c>
      <c r="CB91">
        <f>(BS91+BL91)*2</f>
        <v>35.051382937705597</v>
      </c>
      <c r="CC91">
        <f>(BU91+BL91)*2</f>
        <v>206.62093073354339</v>
      </c>
      <c r="CD91">
        <f>(BT91+BN91)*2</f>
        <v>62.999067749574394</v>
      </c>
      <c r="CE91">
        <f>(CA91+BN91)*2</f>
        <v>236.24650406090399</v>
      </c>
      <c r="CF91">
        <f>'TEA Revised Non EYZ'!CB91</f>
        <v>3759.2608200689256</v>
      </c>
      <c r="CG91">
        <f>'TEA Revised Non EYZ'!CC91</f>
        <v>7796.1346340098326</v>
      </c>
      <c r="CH91">
        <f>'TEA Revised Non EYZ'!CD91</f>
        <v>4541.8834647976191</v>
      </c>
      <c r="CI91">
        <f>'TEA Revised Non EYZ'!CE91</f>
        <v>60132.279339320281</v>
      </c>
      <c r="CJ91">
        <f>BL91*V91</f>
        <v>1.0953557168032999</v>
      </c>
      <c r="CK91">
        <f>CJ91/2*1.2</f>
        <v>0.65721343008197997</v>
      </c>
      <c r="CL91">
        <f>'eLLE Bals'!CB91*'Oxidant Feed Composition'!$N$20</f>
        <v>3.6511857226776682E-2</v>
      </c>
      <c r="CM91">
        <f>'eLLE Bals'!CB91*'Oxidant Feed Composition'!$N$21</f>
        <v>1.8255928613388335</v>
      </c>
      <c r="CN91">
        <f>'eLLE Bals'!CB91*'Oxidant Feed Composition'!$N$22</f>
        <v>0.54767785840164995</v>
      </c>
      <c r="CO91">
        <f>CN91/CK91</f>
        <v>0.83333333333333326</v>
      </c>
      <c r="CP91">
        <f>CO91</f>
        <v>0.83333333333333326</v>
      </c>
      <c r="CQ91">
        <f>CL91/CO91</f>
        <v>4.381422867213202E-2</v>
      </c>
      <c r="CR91">
        <f>CM91/CO91</f>
        <v>2.1907114336066003</v>
      </c>
      <c r="CS91">
        <f>BN91*BA91</f>
        <v>1.9687208671742</v>
      </c>
      <c r="CT91">
        <f>CS91/2*1.2</f>
        <v>1.18123252030452</v>
      </c>
      <c r="CU91">
        <f>'eLLE Bals'!CC91*'Oxidant Feed Composition'!$N$20</f>
        <v>6.5624028905806694E-2</v>
      </c>
      <c r="CV91">
        <f>'eLLE Bals'!CC91*'Oxidant Feed Composition'!$N$21</f>
        <v>3.2812014452903333</v>
      </c>
      <c r="CW91">
        <f>'eLLE Bals'!CC91*'Oxidant Feed Composition'!$N$22</f>
        <v>0.98436043358710001</v>
      </c>
      <c r="CX91">
        <f>CU91/CP91</f>
        <v>7.8748834686968042E-2</v>
      </c>
      <c r="CY91">
        <f>CV91/CP91</f>
        <v>3.9374417343484005</v>
      </c>
      <c r="CZ91">
        <f>CJ91</f>
        <v>1.0953557168032999</v>
      </c>
      <c r="DA91">
        <f>'eLLE Bals'!BQ91</f>
        <v>2.1907114336065998</v>
      </c>
      <c r="DB91">
        <f>'eLLE Bals'!BU91</f>
        <v>5.4495839107622075</v>
      </c>
      <c r="DC91">
        <f>CS91</f>
        <v>1.9687208671742</v>
      </c>
      <c r="DD91">
        <f>'eLLE Bals'!BX91</f>
        <v>3.9374417343484001</v>
      </c>
      <c r="DE91">
        <f>'eLLE Bals'!CA91</f>
        <v>21.866210363848843</v>
      </c>
      <c r="DF91">
        <f>2*2*(CJ91*'Reagent cost'!$C$36*122.44/1000+CK91*'Oxidant Feed Composition'!$N$26+CQ91*'Reagent cost'!$C$34+CR91*'Reagent cost'!$C$35)</f>
        <v>92.522190873980861</v>
      </c>
      <c r="DG91">
        <f>2*2*(CS91*'Reagent cost'!$C$36*122.44/1000+CT91*'Oxidant Feed Composition'!$N$26+CX91*'Reagent cost'!$C$34+CY91*'Reagent cost'!$C$35)</f>
        <v>166.29334658686989</v>
      </c>
      <c r="DH91">
        <f>(AF91+3)*2*(CZ91*'Reagent cost'!$C$38+DA91*'Reagent cost'!$C$39+DB91*'Reagent cost'!$C$36*122.44/1000)</f>
        <v>1664.118730253665</v>
      </c>
      <c r="DI91">
        <f>3*2*(DC91*'Reagent cost'!$C$38+DD91*'Reagent cost'!$C$39+DE91*'Reagent cost'!$C$36*122.44/1000)</f>
        <v>1187.0803758081133</v>
      </c>
      <c r="DJ91">
        <f>7963.6*(CB91/1000)^0.6*1.7*('CAPEX+OPEX'!$G$116/'CAPEX+OPEX'!$G$115)</f>
        <v>2138.2772847076108</v>
      </c>
      <c r="DK91">
        <f>7963.6*(CC91/1000)^0.6*1.7*('CAPEX+OPEX'!$G$116/'CAPEX+OPEX'!$G$115)</f>
        <v>6199.3408604999822</v>
      </c>
      <c r="DL91">
        <f>7963.6*(CD91/1000)^0.6*1.7*('CAPEX+OPEX'!$G$116/'CAPEX+OPEX'!$G$115)</f>
        <v>3039.7747387703889</v>
      </c>
      <c r="DM91">
        <f>7963.6*(CE91/1000)^0.6*1.7*('CAPEX+OPEX'!$G$116/'CAPEX+OPEX'!$G$115)</f>
        <v>6718.3118996828707</v>
      </c>
      <c r="DN91">
        <f>'TEA Revised Non EYZ'!CM91</f>
        <v>39625.826528698344</v>
      </c>
      <c r="DO91">
        <f>'TEA Revised Non EYZ'!CN91</f>
        <v>4586243.4239371875</v>
      </c>
      <c r="DP91">
        <f>'TEA Revised Non EYZ'!CO91</f>
        <v>11794834.586807497</v>
      </c>
      <c r="DQ91">
        <f>'TEA Revised Non EYZ'!CP91</f>
        <v>2275209.1661185985</v>
      </c>
      <c r="DR91">
        <f>'TEA Revised Non EYZ'!CQ91</f>
        <v>14083914.336508472</v>
      </c>
      <c r="DS91">
        <f>'TEA Revised Non EYZ'!CR91</f>
        <v>1662824.8986326549</v>
      </c>
      <c r="DT91">
        <f>'TEA Revised Non EYZ'!CS91</f>
        <v>892840.31653984461</v>
      </c>
      <c r="DU91">
        <f>'TEA Revised Non EYZ'!CT91</f>
        <v>2296193.8284949926</v>
      </c>
      <c r="DV91">
        <f>'TEA Revised Non EYZ'!CU91</f>
        <v>442932.9811560188</v>
      </c>
      <c r="DW91">
        <f>'TEA Revised Non EYZ'!CV91</f>
        <v>2741827.1059701391</v>
      </c>
      <c r="DX91">
        <f>'TEA Revised Non EYZ'!CW91</f>
        <v>323715.28756992728</v>
      </c>
      <c r="DY91">
        <f>'TEA Revised Non EYZ'!CX91</f>
        <v>6697509.5197309218</v>
      </c>
      <c r="DZ91">
        <f>'TEA Revised Non EYZ'!CY91</f>
        <v>924868.15113757015</v>
      </c>
      <c r="EA91">
        <f>'TEA Revised Non EYZ'!CZ91</f>
        <v>2378562.5508532794</v>
      </c>
      <c r="EB91">
        <f>'TEA Revised Non EYZ'!DA91</f>
        <v>458821.80695783772</v>
      </c>
      <c r="EC91">
        <f>'TEA Revised Non EYZ'!DB91</f>
        <v>2840181.5187568436</v>
      </c>
      <c r="ED91">
        <f>'TEA Revised Non EYZ'!DC91</f>
        <v>335327.55405809957</v>
      </c>
      <c r="EE91">
        <f>'TEA Revised Non EYZ'!DD91</f>
        <v>6937761.5817636298</v>
      </c>
      <c r="EF91">
        <v>0.7</v>
      </c>
      <c r="EG91">
        <v>100</v>
      </c>
      <c r="EH91">
        <f>96485*BL91*V91/EF91/EG91/60</f>
        <v>25.163189603753906</v>
      </c>
      <c r="EI91">
        <f>96485*BN91*BA91/EF91/EG91/60</f>
        <v>45.22667449269111</v>
      </c>
      <c r="EJ91">
        <f>EH91*('CAPEX+OPEX'!$O$25+'CAPEX+OPEX'!$O$26)</f>
        <v>802001.17905084451</v>
      </c>
      <c r="EK91">
        <f>EI91*('CAPEX+OPEX'!$O$25+'CAPEX+OPEX'!$O$26)</f>
        <v>1441464.5694310511</v>
      </c>
      <c r="EL91">
        <f>EJ91*1.12/0.6*'CAPEX+OPEX'!$G$116/'CAPEX+OPEX'!$G$115</f>
        <v>1765730.2106115664</v>
      </c>
      <c r="EM91">
        <f>EK91*1.12/0.6*'CAPEX+OPEX'!$G$116/'CAPEX+OPEX'!$G$115</f>
        <v>3173608.2243455658</v>
      </c>
      <c r="EN91">
        <f>EL91+EM91+DY91+EE91+1.15*(SUM(DF91:DM91)+SUM(CF91:CI91))</f>
        <v>18686660.10578987</v>
      </c>
      <c r="EO91">
        <f>EN91/15</f>
        <v>1245777.3403859914</v>
      </c>
      <c r="EP91">
        <f>('eLLE Bals'!CB91+'eLLE Bals'!CC91)*'Oxidant Feed Composition'!$N$25*60*7200</f>
        <v>12338319.419561787</v>
      </c>
      <c r="EQ91" s="83">
        <f>('eLLE Bals'!BR91+'eLLE Bals'!BY91)*'Reagent cost'!$C$38*60*7200</f>
        <v>505273.38645968767</v>
      </c>
      <c r="ER91">
        <f>'TEA Revised Non EYZ'!DI91</f>
        <v>504921.59999999998</v>
      </c>
      <c r="ES91">
        <f>'TEA Revised Non EYZ'!DJ91</f>
        <v>115.55395454078759</v>
      </c>
      <c r="ET91">
        <f>'TEA Revised Non EYZ'!DK91</f>
        <v>1293.4832560823579</v>
      </c>
      <c r="EU91">
        <f>1.2*SUM(EP91:ET91)</f>
        <v>16019908.131878518</v>
      </c>
      <c r="EV91">
        <f>'TEA Revised Non EYZ'!DM91</f>
        <v>0.70639694042110623</v>
      </c>
      <c r="EW91">
        <f>(BS91*CO91+BT91*CP91)/1000*('Oxidant Feed Composition'!$B$11*'Oxidant Feed Composition'!$O$20+'Oxidant Feed Composition'!$D$11*'Oxidant Feed Composition'!$O$21+'Oxidant Feed Composition'!$F$11*'Oxidant Feed Composition'!$O$27-'Oxidant Feed Composition'!$J$15*18.015)</f>
        <v>1.7891838719229181</v>
      </c>
      <c r="EX91">
        <f>(CZ91*BX91+DC91*BZ91)*368.34/1000</f>
        <v>0.10199477705819605</v>
      </c>
      <c r="EY91">
        <f>'TEA Revised Non EYZ'!DP91</f>
        <v>4.999938342565946E-2</v>
      </c>
      <c r="EZ91">
        <f>SUM(EV91:EX91)-EY91</f>
        <v>2.547576205976561</v>
      </c>
      <c r="FA91">
        <f>EZ91*0.33*60*7200</f>
        <v>363182.46392401849</v>
      </c>
      <c r="FB91">
        <f>'TEA Revised Non EYZ'!DS91</f>
        <v>1.2</v>
      </c>
      <c r="FC91">
        <v>0.5</v>
      </c>
      <c r="FD91">
        <f>'TEA Revised Non EYZ'!DT91</f>
        <v>1405.8807818129837</v>
      </c>
      <c r="FE91">
        <f>'TEA Revised Non EYZ'!DU91</f>
        <v>705.80254727461261</v>
      </c>
      <c r="FF91">
        <f>'TEA Revised Non EYZ'!DV91</f>
        <v>0.7</v>
      </c>
      <c r="FG91">
        <f>'TEA Revised Non EYZ'!DW91</f>
        <v>49536.497143418172</v>
      </c>
      <c r="FH91">
        <f>'TEA Revised Non EYZ'!DX91</f>
        <v>49831.318766753509</v>
      </c>
      <c r="FI91">
        <f>'TEA Revised Non EYZ'!DY91</f>
        <v>21097.937381085154</v>
      </c>
      <c r="FJ91">
        <f>'TEA Revised Non EYZ'!DZ91</f>
        <v>11176.166036369152</v>
      </c>
      <c r="FK91">
        <f>'TEA Revised Non EYZ'!EA91</f>
        <v>11252.233269912085</v>
      </c>
      <c r="FL91">
        <f>'TEA Revised Non EYZ'!EB91</f>
        <v>850.2766968404926</v>
      </c>
      <c r="FM91">
        <f>'TEA Revised Non EYZ'!EC91</f>
        <v>51427.28997344603</v>
      </c>
      <c r="FN91">
        <f>'TEA Revised Non EYZ'!ED91</f>
        <v>54311.395839777724</v>
      </c>
      <c r="FO91">
        <f>'TEA Revised Non EYZ'!EE91</f>
        <v>22994.7442063575</v>
      </c>
      <c r="FP91">
        <f>'TEA Revised Non EYZ'!EF91</f>
        <v>12187.738945239398</v>
      </c>
      <c r="FQ91">
        <f>'TEA Revised Non EYZ'!EG91</f>
        <v>12263.863576724005</v>
      </c>
      <c r="FR91">
        <f>'TEA Revised Non EYZ'!EH91</f>
        <v>426.86938059168574</v>
      </c>
      <c r="FS91">
        <f>'TEA Revised Non EYZ'!EI91</f>
        <v>297356.33121651493</v>
      </c>
      <c r="FT91">
        <f>EG91*EH91</f>
        <v>2516.3189603753908</v>
      </c>
      <c r="FU91">
        <f>EG91*EI91</f>
        <v>4522.6674492691109</v>
      </c>
      <c r="FV91">
        <f>FC91*(FT91+FU91)/(3.6*10^6)*3600*7200*0.07</f>
        <v>1773.8245752304144</v>
      </c>
      <c r="FW91">
        <f>('CAPEX+OPEX'!$C$39/7/100+0.03)*EL91</f>
        <v>90808.982260023418</v>
      </c>
      <c r="FX91">
        <f>('CAPEX+OPEX'!$C$39/7/100+0.03)*EM91</f>
        <v>163214.13725205767</v>
      </c>
      <c r="FY91">
        <f>SUM(FV91:FX91)</f>
        <v>255796.94408731151</v>
      </c>
      <c r="FZ91">
        <f>FY91+FA91+FS91+EU91</f>
        <v>16936243.871106364</v>
      </c>
      <c r="GA91">
        <f>FZ91+EO91</f>
        <v>18182021.211492356</v>
      </c>
      <c r="GB91">
        <f>GA91/(BK91*60*7200)</f>
        <v>0.42088012063639713</v>
      </c>
      <c r="GC91">
        <f>'TEA Revised Non EYZ'!EM91/'TEA Revised Non EYZ'!EK91*GA91</f>
        <v>1408.041426480147</v>
      </c>
      <c r="GD91">
        <f>'TEA Revised Non EYZ'!EN91/'TEA Revised Non EYZ'!EK91*GA91</f>
        <v>2584.1031766470828</v>
      </c>
    </row>
    <row r="92" spans="1:186">
      <c r="A92">
        <f>'TEA Revised Non EYZ'!A92</f>
        <v>12</v>
      </c>
      <c r="B92">
        <f>'TEA Revised Non EYZ'!B92</f>
        <v>1.54143585092054E-3</v>
      </c>
      <c r="C92">
        <f>'TEA Revised Non EYZ'!C92</f>
        <v>1.54143585092054E-3</v>
      </c>
      <c r="D92">
        <f>'TEA Revised Non EYZ'!D92</f>
        <v>3.4254130020456501E-4</v>
      </c>
      <c r="E92">
        <f>'TEA Revised Non EYZ'!E92</f>
        <v>0</v>
      </c>
      <c r="F92">
        <f>'TEA Revised Non EYZ'!F92</f>
        <v>0</v>
      </c>
      <c r="G92">
        <f>'TEA Revised Non EYZ'!G92</f>
        <v>0</v>
      </c>
      <c r="H92">
        <f>'TEA Revised Non EYZ'!H92</f>
        <v>1.7771599281349402E-5</v>
      </c>
      <c r="I92">
        <f>'TEA Revised Non EYZ'!I92</f>
        <v>6.3113732322488897E-11</v>
      </c>
      <c r="J92">
        <f>'TEA Revised Non EYZ'!J92</f>
        <v>3.37661562480901E-4</v>
      </c>
      <c r="K92">
        <f>'TEA Revised Non EYZ'!K92</f>
        <v>0.13911791568267901</v>
      </c>
      <c r="L92">
        <f>'TEA Revised Non EYZ'!L92</f>
        <v>0.140740543921716</v>
      </c>
      <c r="M92">
        <f>'TEA Revised Non EYZ'!M92</f>
        <v>4.45543656000266E-4</v>
      </c>
      <c r="N92">
        <f>'TEA Revised Non EYZ'!N92</f>
        <v>-4.7646348672047899E-15</v>
      </c>
      <c r="O92">
        <f>'TEA Revised Non EYZ'!O92</f>
        <v>-1.1300289697036E-11</v>
      </c>
      <c r="P92">
        <f>'TEA Revised Non EYZ'!P92</f>
        <v>-4.6756218688437302E-19</v>
      </c>
      <c r="Q92">
        <f>'TEA Revised Non EYZ'!Q92</f>
        <v>0.10952322309941399</v>
      </c>
      <c r="R92">
        <f>'TEA Revised Non EYZ'!R92</f>
        <v>98.575430839799395</v>
      </c>
      <c r="S92">
        <f>'TEA Revised Non EYZ'!S92</f>
        <v>500</v>
      </c>
      <c r="T92">
        <f>'TEA Revised Non EYZ'!T92</f>
        <v>95</v>
      </c>
      <c r="U92">
        <f>'TEA Revised Non EYZ'!U92</f>
        <v>1</v>
      </c>
      <c r="V92">
        <f>'TEA Revised Non EYZ'!V92</f>
        <v>0.1</v>
      </c>
      <c r="W92">
        <f>'TEA Revised Non EYZ'!W92</f>
        <v>91.304836700459305</v>
      </c>
      <c r="X92" t="str">
        <f>'TEA Revised Non EYZ'!X92</f>
        <v>ddFc</v>
      </c>
      <c r="Y92">
        <f>'TEA Revised Non EYZ'!Y92</f>
        <v>1</v>
      </c>
      <c r="Z92">
        <f>'TEA Revised Non EYZ'!Z92</f>
        <v>0.28318429382522198</v>
      </c>
      <c r="AA92">
        <f>'TEA Revised Non EYZ'!AA92</f>
        <v>0.56945642916197003</v>
      </c>
      <c r="AB92">
        <f>'TEA Revised Non EYZ'!AB92</f>
        <v>3.7698628972227502E-3</v>
      </c>
      <c r="AC92">
        <f>'TEA Revised Non EYZ'!AC92</f>
        <v>1822.2107908876901</v>
      </c>
      <c r="AD92">
        <f>'TEA Revised Non EYZ'!AD92</f>
        <v>2662.6059073104898</v>
      </c>
      <c r="AE92">
        <f>'TEA Revised Non EYZ'!AE92</f>
        <v>2401.5030938442701</v>
      </c>
      <c r="AF92">
        <f>'TEA Revised Non EYZ'!AF92</f>
        <v>4</v>
      </c>
      <c r="AG92">
        <f>'TEA Revised Non EYZ'!AG92</f>
        <v>1.6497575706444501E-3</v>
      </c>
      <c r="AH92">
        <f>'TEA Revised Non EYZ'!AH92</f>
        <v>1.66899983148883E-3</v>
      </c>
      <c r="AI92">
        <f>'TEA Revised Non EYZ'!AI92</f>
        <v>5.28356837386519E-6</v>
      </c>
      <c r="AJ92">
        <f>'TEA Revised Non EYZ'!AJ92</f>
        <v>0</v>
      </c>
      <c r="AK92">
        <f>'TEA Revised Non EYZ'!AK92</f>
        <v>0</v>
      </c>
      <c r="AL92">
        <f>'TEA Revised Non EYZ'!AL92</f>
        <v>0</v>
      </c>
      <c r="AM92">
        <f>'TEA Revised Non EYZ'!AM92</f>
        <v>1.6048452348297699E-3</v>
      </c>
      <c r="AN92">
        <f>'TEA Revised Non EYZ'!AN92</f>
        <v>7.9223897063492306E-5</v>
      </c>
      <c r="AO92">
        <f>'TEA Revised Non EYZ'!AO92</f>
        <v>5.2416416138490404E-6</v>
      </c>
      <c r="AP92">
        <f>'TEA Revised Non EYZ'!AP92</f>
        <v>1.9874016210830801E-3</v>
      </c>
      <c r="AQ92">
        <f>'TEA Revised Non EYZ'!AQ92</f>
        <v>7.0348673954820695E-2</v>
      </c>
      <c r="AR92">
        <f>'TEA Revised Non EYZ'!AR92</f>
        <v>1.85528784684309E-6</v>
      </c>
      <c r="AS92">
        <f>'TEA Revised Non EYZ'!AS92</f>
        <v>-9.4900622733470806E-15</v>
      </c>
      <c r="AT92">
        <f>'TEA Revised Non EYZ'!AT92</f>
        <v>-1.22378452857563E-13</v>
      </c>
      <c r="AU92">
        <f>'TEA Revised Non EYZ'!AU92</f>
        <v>-3.0328014676440201E-18</v>
      </c>
      <c r="AV92">
        <f>'TEA Revised Non EYZ'!AV92</f>
        <v>0.20871283207273</v>
      </c>
      <c r="AW92">
        <f>'TEA Revised Non EYZ'!AW92</f>
        <v>99.206468866315106</v>
      </c>
      <c r="AX92">
        <f>'TEA Revised Non EYZ'!AX92</f>
        <v>500</v>
      </c>
      <c r="AY92">
        <f>'TEA Revised Non EYZ'!AY92</f>
        <v>95</v>
      </c>
      <c r="AZ92">
        <f>'TEA Revised Non EYZ'!AZ92</f>
        <v>0.92356857683566096</v>
      </c>
      <c r="BA92">
        <f>'TEA Revised Non EYZ'!BA92</f>
        <v>0.1</v>
      </c>
      <c r="BB92">
        <f>'TEA Revised Non EYZ'!BB92</f>
        <v>44.250684908239002</v>
      </c>
      <c r="BC92" t="str">
        <f>'TEA Revised Non EYZ'!BC92</f>
        <v>coeFc</v>
      </c>
      <c r="BD92">
        <f>'TEA Revised Non EYZ'!BD92</f>
        <v>1</v>
      </c>
      <c r="BE92">
        <f>'TEA Revised Non EYZ'!BE92</f>
        <v>1.8775014999999999E-2</v>
      </c>
      <c r="BF92">
        <f>'TEA Revised Non EYZ'!BF92</f>
        <v>0.10492961100000001</v>
      </c>
      <c r="BG92">
        <f>'TEA Revised Non EYZ'!BG92</f>
        <v>1.814625E-3</v>
      </c>
      <c r="BH92">
        <f>'TEA Revised Non EYZ'!BH92</f>
        <v>285.1951444</v>
      </c>
      <c r="BI92">
        <f>'TEA Revised Non EYZ'!BI92</f>
        <v>2169.8944889999998</v>
      </c>
      <c r="BJ92">
        <f>'TEA Revised Non EYZ'!BJ92</f>
        <v>866.49409060000005</v>
      </c>
      <c r="BK92">
        <f>'TEA Revised Non EYZ'!BK92</f>
        <v>100</v>
      </c>
      <c r="BL92">
        <f>'TEA Revised Non EYZ'!BL92</f>
        <v>10.952322309941399</v>
      </c>
      <c r="BM92">
        <f>'TEA Revised Non EYZ'!BM92</f>
        <v>92.356857683566091</v>
      </c>
      <c r="BN92">
        <f>'TEA Revised Non EYZ'!BN92</f>
        <v>20.871283207272999</v>
      </c>
      <c r="BO92">
        <f>'TEA Revised Non EYZ'!BO92</f>
        <v>306.6650246783592</v>
      </c>
      <c r="BP92">
        <f>'TEA Revised Non EYZ'!BP92</f>
        <v>250.455398487276</v>
      </c>
      <c r="BQ92">
        <f>'TEA Revised Non EYZ'!BQ92</f>
        <v>30.666502467835922</v>
      </c>
      <c r="BR92">
        <f>'TEA Revised Non EYZ'!BR92</f>
        <v>25.0455398487276</v>
      </c>
      <c r="BS92">
        <f>'eLLE Bals'!CF92</f>
        <v>6.5713933859648392</v>
      </c>
      <c r="BT92">
        <f>'eLLE Bals'!CG92</f>
        <v>12.522769924363798</v>
      </c>
      <c r="BU92">
        <f>BM92</f>
        <v>92.356857683566091</v>
      </c>
      <c r="BV92">
        <f>BU92*(AM92*2+AN92*2+AO92*3)</f>
        <v>0.31252297093278097</v>
      </c>
      <c r="BW92">
        <f>BN92*BA92*(AP92*2+AQ92*2+AR92*3)</f>
        <v>0.30196096056090294</v>
      </c>
      <c r="BX92">
        <f>BV92/(2*V92*BL92+BV92)</f>
        <v>0.12485998404237186</v>
      </c>
      <c r="BY92">
        <f>BU92*BX92</f>
        <v>11.531675776573671</v>
      </c>
      <c r="BZ92">
        <f>BW92/(2*BN92*BA92+BW92)</f>
        <v>6.7458954726628842E-2</v>
      </c>
      <c r="CA92">
        <f>2*BN92*BA92/0.04</f>
        <v>104.356416036365</v>
      </c>
      <c r="CB92">
        <f>(BS92+BL92)*2</f>
        <v>35.047431391812481</v>
      </c>
      <c r="CC92">
        <f>(BU92+BL92)*2</f>
        <v>206.61835998701497</v>
      </c>
      <c r="CD92">
        <f>(BT92+BN92)*2</f>
        <v>66.78810626327359</v>
      </c>
      <c r="CE92">
        <f>(CA92+BN92)*2</f>
        <v>250.455398487276</v>
      </c>
      <c r="CF92">
        <f>'TEA Revised Non EYZ'!CB92</f>
        <v>4047.9783257543413</v>
      </c>
      <c r="CG92">
        <f>'TEA Revised Non EYZ'!CC92</f>
        <v>3306.0112600320435</v>
      </c>
      <c r="CH92">
        <f>'TEA Revised Non EYZ'!CD92</f>
        <v>4890.707695899031</v>
      </c>
      <c r="CI92">
        <f>'TEA Revised Non EYZ'!CE92</f>
        <v>25499.558681291794</v>
      </c>
      <c r="CJ92">
        <f>BL92*V92</f>
        <v>1.09523223099414</v>
      </c>
      <c r="CK92">
        <f>CJ92/2*1.2</f>
        <v>0.65713933859648399</v>
      </c>
      <c r="CL92">
        <f>'eLLE Bals'!CB92*'Oxidant Feed Composition'!$N$20</f>
        <v>3.6507741033138016E-2</v>
      </c>
      <c r="CM92">
        <f>'eLLE Bals'!CB92*'Oxidant Feed Composition'!$N$21</f>
        <v>1.8253870516569002</v>
      </c>
      <c r="CN92">
        <f>'eLLE Bals'!CB92*'Oxidant Feed Composition'!$N$22</f>
        <v>0.54761611549707001</v>
      </c>
      <c r="CO92">
        <f>CN92/CK92</f>
        <v>0.83333333333333337</v>
      </c>
      <c r="CP92">
        <f>CO92</f>
        <v>0.83333333333333337</v>
      </c>
      <c r="CQ92">
        <f>CL92/CO92</f>
        <v>4.3809289239765618E-2</v>
      </c>
      <c r="CR92">
        <f>CM92/CO92</f>
        <v>2.19046446198828</v>
      </c>
      <c r="CS92">
        <f>BN92*BA92</f>
        <v>2.0871283207273001</v>
      </c>
      <c r="CT92">
        <f>CS92/2*1.2</f>
        <v>1.2522769924363801</v>
      </c>
      <c r="CU92">
        <f>'eLLE Bals'!CC92*'Oxidant Feed Composition'!$N$20</f>
        <v>6.9570944024243367E-2</v>
      </c>
      <c r="CV92">
        <f>'eLLE Bals'!CC92*'Oxidant Feed Composition'!$N$21</f>
        <v>3.4785472012121668</v>
      </c>
      <c r="CW92">
        <f>'eLLE Bals'!CC92*'Oxidant Feed Composition'!$N$22</f>
        <v>1.0435641603636501</v>
      </c>
      <c r="CX92">
        <f>CU92/CP92</f>
        <v>8.3485132829092035E-2</v>
      </c>
      <c r="CY92">
        <f>CV92/CP92</f>
        <v>4.1742566414546003</v>
      </c>
      <c r="CZ92">
        <f>CJ92</f>
        <v>1.09523223099414</v>
      </c>
      <c r="DA92">
        <f>'eLLE Bals'!BQ92</f>
        <v>2.19046446198828</v>
      </c>
      <c r="DB92">
        <f>'eLLE Bals'!BU92</f>
        <v>5.4859865602009936</v>
      </c>
      <c r="DC92">
        <f>CS92</f>
        <v>2.0871283207273001</v>
      </c>
      <c r="DD92">
        <f>'eLLE Bals'!BX92</f>
        <v>4.1742566414546003</v>
      </c>
      <c r="DE92">
        <f>'eLLE Bals'!CA92</f>
        <v>24.677848074932207</v>
      </c>
      <c r="DF92">
        <f>2*2*(CJ92*'Reagent cost'!$C$36*122.44/1000+CK92*'Oxidant Feed Composition'!$N$26+CQ92*'Reagent cost'!$C$34+CR92*'Reagent cost'!$C$35)</f>
        <v>92.511760310256193</v>
      </c>
      <c r="DG92">
        <f>2*2*(CS92*'Reagent cost'!$C$36*122.44/1000+CT92*'Oxidant Feed Composition'!$N$26+CX92*'Reagent cost'!$C$34+CY92*'Reagent cost'!$C$35)</f>
        <v>176.2949532343562</v>
      </c>
      <c r="DH92">
        <f>(AF92+3)*2*(CZ92*'Reagent cost'!$C$38+DA92*'Reagent cost'!$C$39+DB92*'Reagent cost'!$C$36*122.44/1000)</f>
        <v>732.45092364543746</v>
      </c>
      <c r="DI92">
        <f>3*2*(DC92*'Reagent cost'!$C$38+DD92*'Reagent cost'!$C$39+DE92*'Reagent cost'!$C$36*122.44/1000)</f>
        <v>1336.1158395368695</v>
      </c>
      <c r="DJ92">
        <f>7963.6*(CB92/1000)^0.6*1.7*('CAPEX+OPEX'!$G$116/'CAPEX+OPEX'!$G$115)</f>
        <v>2138.1326451989207</v>
      </c>
      <c r="DK92">
        <f>7963.6*(CC92/1000)^0.6*1.7*('CAPEX+OPEX'!$G$116/'CAPEX+OPEX'!$G$115)</f>
        <v>6199.2945816251477</v>
      </c>
      <c r="DL92">
        <f>7963.6*(CD92/1000)^0.6*1.7*('CAPEX+OPEX'!$G$116/'CAPEX+OPEX'!$G$115)</f>
        <v>3148.1861614717395</v>
      </c>
      <c r="DM92">
        <f>7963.6*(CE92/1000)^0.6*1.7*('CAPEX+OPEX'!$G$116/'CAPEX+OPEX'!$G$115)</f>
        <v>6957.9157564774232</v>
      </c>
      <c r="DN92">
        <f>'TEA Revised Non EYZ'!CM92</f>
        <v>39625.826528698344</v>
      </c>
      <c r="DO92">
        <f>'TEA Revised Non EYZ'!CN92</f>
        <v>4586243.4239371875</v>
      </c>
      <c r="DP92">
        <f>'TEA Revised Non EYZ'!CO92</f>
        <v>11794834.586807497</v>
      </c>
      <c r="DQ92">
        <f>'TEA Revised Non EYZ'!CP92</f>
        <v>2275209.1661185985</v>
      </c>
      <c r="DR92">
        <f>'TEA Revised Non EYZ'!CQ92</f>
        <v>14083914.336508472</v>
      </c>
      <c r="DS92">
        <f>'TEA Revised Non EYZ'!CR92</f>
        <v>1662824.8986326549</v>
      </c>
      <c r="DT92">
        <f>'TEA Revised Non EYZ'!CS92</f>
        <v>936765.86395108781</v>
      </c>
      <c r="DU92">
        <f>'TEA Revised Non EYZ'!CT92</f>
        <v>2409160.916797909</v>
      </c>
      <c r="DV92">
        <f>'TEA Revised Non EYZ'!CU92</f>
        <v>464724.19432521454</v>
      </c>
      <c r="DW92">
        <f>'TEA Revised Non EYZ'!CV92</f>
        <v>2876718.2553791031</v>
      </c>
      <c r="DX92">
        <f>'TEA Revised Non EYZ'!CW92</f>
        <v>339641.28346021532</v>
      </c>
      <c r="DY92">
        <f>'TEA Revised Non EYZ'!CX92</f>
        <v>7027010.5139135299</v>
      </c>
      <c r="DZ92">
        <f>'TEA Revised Non EYZ'!CY92</f>
        <v>498637.38285704167</v>
      </c>
      <c r="EA92">
        <f>'TEA Revised Non EYZ'!CZ92</f>
        <v>1282388.4181333755</v>
      </c>
      <c r="EB92">
        <f>'TEA Revised Non EYZ'!DA92</f>
        <v>247371.15743232475</v>
      </c>
      <c r="EC92">
        <f>'TEA Revised Non EYZ'!DB92</f>
        <v>1531267.648918309</v>
      </c>
      <c r="ED92">
        <f>'TEA Revised Non EYZ'!DC92</f>
        <v>180789.93611113401</v>
      </c>
      <c r="EE92">
        <f>'TEA Revised Non EYZ'!DD92</f>
        <v>3740454.5434521851</v>
      </c>
      <c r="EF92">
        <v>0.7</v>
      </c>
      <c r="EG92">
        <v>100</v>
      </c>
      <c r="EH92">
        <f>96485*BL92*V92/EF92/EG92/60</f>
        <v>25.160352811302293</v>
      </c>
      <c r="EI92">
        <f>96485*BN92*BA92/EF92/EG92/60</f>
        <v>47.946803815565126</v>
      </c>
      <c r="EJ92">
        <f>EH92*('CAPEX+OPEX'!$O$25+'CAPEX+OPEX'!$O$26)</f>
        <v>801910.76480182668</v>
      </c>
      <c r="EK92">
        <f>EI92*('CAPEX+OPEX'!$O$25+'CAPEX+OPEX'!$O$26)</f>
        <v>1528160.5312096917</v>
      </c>
      <c r="EL92">
        <f>EJ92*1.12/0.6*'CAPEX+OPEX'!$G$116/'CAPEX+OPEX'!$G$115</f>
        <v>1765531.1495937889</v>
      </c>
      <c r="EM92">
        <f>EK92*1.12/0.6*'CAPEX+OPEX'!$G$116/'CAPEX+OPEX'!$G$115</f>
        <v>3364482.8550184793</v>
      </c>
      <c r="EN92">
        <f>EL92+EM92+DY92+EE92+1.15*(SUM(DF92:DM92)+SUM(CF92:CI92))</f>
        <v>15964782.994350132</v>
      </c>
      <c r="EO92">
        <f>EN92/15</f>
        <v>1064318.8662900089</v>
      </c>
      <c r="EP92">
        <f>('eLLE Bals'!CB92+'eLLE Bals'!CC92)*'Oxidant Feed Composition'!$N$25*60*7200</f>
        <v>12814621.27959669</v>
      </c>
      <c r="EQ92" s="83">
        <f>('eLLE Bals'!BR92+'eLLE Bals'!BY92)*'Reagent cost'!$C$38*60*7200</f>
        <v>506445.38644371548</v>
      </c>
      <c r="ER92">
        <f>'TEA Revised Non EYZ'!DI92</f>
        <v>504921.59999999998</v>
      </c>
      <c r="ES92">
        <f>'TEA Revised Non EYZ'!DJ92</f>
        <v>73.539895857863854</v>
      </c>
      <c r="ET92">
        <f>'TEA Revised Non EYZ'!DK92</f>
        <v>607.80532754381659</v>
      </c>
      <c r="EU92">
        <f>1.2*SUM(EP92:ET92)</f>
        <v>16592003.533516569</v>
      </c>
      <c r="EV92">
        <f>'TEA Revised Non EYZ'!DM92</f>
        <v>0.70639694042110623</v>
      </c>
      <c r="EW92">
        <f>(BS92*CO92+BT92*CP92)/1000*('Oxidant Feed Composition'!$B$11*'Oxidant Feed Composition'!$O$20+'Oxidant Feed Composition'!$D$11*'Oxidant Feed Composition'!$O$21+'Oxidant Feed Composition'!$F$11*'Oxidant Feed Composition'!$O$27-'Oxidant Feed Composition'!$J$15*18.015)</f>
        <v>1.8582525657346722</v>
      </c>
      <c r="EX92">
        <f>(CZ92*BX92+DC92*BZ92)*368.34/1000</f>
        <v>0.10223135765057732</v>
      </c>
      <c r="EY92">
        <f>'TEA Revised Non EYZ'!DP92</f>
        <v>4.999938342565946E-2</v>
      </c>
      <c r="EZ92">
        <f>SUM(EV92:EX92)-EY92</f>
        <v>2.6168814803806963</v>
      </c>
      <c r="FA92">
        <f>EZ92*0.33*60*7200</f>
        <v>373062.6238430721</v>
      </c>
      <c r="FB92">
        <f>'TEA Revised Non EYZ'!DS92</f>
        <v>1.2</v>
      </c>
      <c r="FC92">
        <v>0.5</v>
      </c>
      <c r="FD92">
        <f>'TEA Revised Non EYZ'!DT92</f>
        <v>1398.9403725553298</v>
      </c>
      <c r="FE92">
        <f>'TEA Revised Non EYZ'!DU92</f>
        <v>712.74132254763572</v>
      </c>
      <c r="FF92">
        <f>'TEA Revised Non EYZ'!DV92</f>
        <v>0.7</v>
      </c>
      <c r="FG92">
        <f>'TEA Revised Non EYZ'!DW92</f>
        <v>52288.524762496963</v>
      </c>
      <c r="FH92">
        <f>'TEA Revised Non EYZ'!DX92</f>
        <v>53983.928663982973</v>
      </c>
      <c r="FI92">
        <f>'TEA Revised Non EYZ'!DY92</f>
        <v>22856.098829508919</v>
      </c>
      <c r="FJ92">
        <f>'TEA Revised Non EYZ'!DZ92</f>
        <v>12107.513206066582</v>
      </c>
      <c r="FK92">
        <f>'TEA Revised Non EYZ'!EA92</f>
        <v>12189.919375738094</v>
      </c>
      <c r="FL92">
        <f>'TEA Revised Non EYZ'!EB92</f>
        <v>846.07913732146346</v>
      </c>
      <c r="FM92">
        <f>'TEA Revised Non EYZ'!EC92</f>
        <v>28284.996273452896</v>
      </c>
      <c r="FN92">
        <f>'TEA Revised Non EYZ'!ED92</f>
        <v>19396.918004101793</v>
      </c>
      <c r="FO92">
        <f>'TEA Revised Non EYZ'!EE92</f>
        <v>8212.4048001237406</v>
      </c>
      <c r="FP92">
        <f>'TEA Revised Non EYZ'!EF92</f>
        <v>4352.7618877396708</v>
      </c>
      <c r="FQ92">
        <f>'TEA Revised Non EYZ'!EG92</f>
        <v>4379.9492267326632</v>
      </c>
      <c r="FR92">
        <f>'TEA Revised Non EYZ'!EH92</f>
        <v>431.06595187681012</v>
      </c>
      <c r="FS92">
        <f>'TEA Revised Non EYZ'!EI92</f>
        <v>219330.16011914256</v>
      </c>
      <c r="FT92">
        <f>EG92*EH92</f>
        <v>2516.0352811302291</v>
      </c>
      <c r="FU92">
        <f>EG92*EI92</f>
        <v>4794.6803815565127</v>
      </c>
      <c r="FV92">
        <f>FC92*(FT92+FU92)/(3.6*10^6)*3600*7200*0.07</f>
        <v>1842.300346997059</v>
      </c>
      <c r="FW92">
        <f>('CAPEX+OPEX'!$C$39/7/100+0.03)*EL92</f>
        <v>90798.744836251994</v>
      </c>
      <c r="FX92">
        <f>('CAPEX+OPEX'!$C$39/7/100+0.03)*EM92</f>
        <v>173030.5468295218</v>
      </c>
      <c r="FY92">
        <f>SUM(FV92:FX92)</f>
        <v>265671.59201277082</v>
      </c>
      <c r="FZ92">
        <f>FY92+FA92+FS92+EU92</f>
        <v>17450067.909491554</v>
      </c>
      <c r="GA92">
        <f>FZ92+EO92</f>
        <v>18514386.775781564</v>
      </c>
      <c r="GB92">
        <f>GA92/(BK92*60*7200)</f>
        <v>0.42857376795790658</v>
      </c>
      <c r="GC92">
        <f>'TEA Revised Non EYZ'!EM92/'TEA Revised Non EYZ'!EK92*GA92</f>
        <v>1440.8973946051997</v>
      </c>
      <c r="GD92">
        <f>'TEA Revised Non EYZ'!EN92/'TEA Revised Non EYZ'!EK92*GA92</f>
        <v>2607.7056751658288</v>
      </c>
    </row>
    <row r="93" spans="1:186">
      <c r="A93">
        <f>'TEA Revised Non EYZ'!A93</f>
        <v>12</v>
      </c>
      <c r="B93">
        <f>'TEA Revised Non EYZ'!B93</f>
        <v>1.54143585092054E-3</v>
      </c>
      <c r="C93">
        <f>'TEA Revised Non EYZ'!C93</f>
        <v>1.54143585092054E-3</v>
      </c>
      <c r="D93">
        <f>'TEA Revised Non EYZ'!D93</f>
        <v>3.4254130020456501E-4</v>
      </c>
      <c r="E93">
        <f>'TEA Revised Non EYZ'!E93</f>
        <v>0</v>
      </c>
      <c r="F93">
        <f>'TEA Revised Non EYZ'!F93</f>
        <v>0</v>
      </c>
      <c r="G93">
        <f>'TEA Revised Non EYZ'!G93</f>
        <v>0</v>
      </c>
      <c r="H93">
        <f>'TEA Revised Non EYZ'!H93</f>
        <v>1.7771599281349402E-5</v>
      </c>
      <c r="I93">
        <f>'TEA Revised Non EYZ'!I93</f>
        <v>6.3113732322488897E-11</v>
      </c>
      <c r="J93">
        <f>'TEA Revised Non EYZ'!J93</f>
        <v>3.37661562480901E-4</v>
      </c>
      <c r="K93">
        <f>'TEA Revised Non EYZ'!K93</f>
        <v>0.13911791568267901</v>
      </c>
      <c r="L93">
        <f>'TEA Revised Non EYZ'!L93</f>
        <v>0.140740543921716</v>
      </c>
      <c r="M93">
        <f>'TEA Revised Non EYZ'!M93</f>
        <v>4.45543656000266E-4</v>
      </c>
      <c r="N93">
        <f>'TEA Revised Non EYZ'!N93</f>
        <v>-4.7646348672047899E-15</v>
      </c>
      <c r="O93">
        <f>'TEA Revised Non EYZ'!O93</f>
        <v>-1.1300289697036E-11</v>
      </c>
      <c r="P93">
        <f>'TEA Revised Non EYZ'!P93</f>
        <v>-4.6756218688437302E-19</v>
      </c>
      <c r="Q93">
        <f>'TEA Revised Non EYZ'!Q93</f>
        <v>0.10952322309941399</v>
      </c>
      <c r="R93">
        <f>'TEA Revised Non EYZ'!R93</f>
        <v>98.575430839799395</v>
      </c>
      <c r="S93">
        <f>'TEA Revised Non EYZ'!S93</f>
        <v>500</v>
      </c>
      <c r="T93">
        <f>'TEA Revised Non EYZ'!T93</f>
        <v>95</v>
      </c>
      <c r="U93">
        <f>'TEA Revised Non EYZ'!U93</f>
        <v>1</v>
      </c>
      <c r="V93">
        <f>'TEA Revised Non EYZ'!V93</f>
        <v>0.1</v>
      </c>
      <c r="W93">
        <f>'TEA Revised Non EYZ'!W93</f>
        <v>91.304836700459305</v>
      </c>
      <c r="X93" t="str">
        <f>'TEA Revised Non EYZ'!X93</f>
        <v>ddFc</v>
      </c>
      <c r="Y93">
        <f>'TEA Revised Non EYZ'!Y93</f>
        <v>1</v>
      </c>
      <c r="Z93">
        <f>'TEA Revised Non EYZ'!Z93</f>
        <v>0.28318429382522198</v>
      </c>
      <c r="AA93">
        <f>'TEA Revised Non EYZ'!AA93</f>
        <v>0.56945642916197003</v>
      </c>
      <c r="AB93">
        <f>'TEA Revised Non EYZ'!AB93</f>
        <v>3.7698628972227502E-3</v>
      </c>
      <c r="AC93">
        <f>'TEA Revised Non EYZ'!AC93</f>
        <v>1822.2107908876901</v>
      </c>
      <c r="AD93">
        <f>'TEA Revised Non EYZ'!AD93</f>
        <v>2662.6059073104898</v>
      </c>
      <c r="AE93">
        <f>'TEA Revised Non EYZ'!AE93</f>
        <v>2401.5030938442701</v>
      </c>
      <c r="AF93">
        <f>'TEA Revised Non EYZ'!AF93</f>
        <v>5</v>
      </c>
      <c r="AG93">
        <f>'TEA Revised Non EYZ'!AG93</f>
        <v>1.6497575706444501E-3</v>
      </c>
      <c r="AH93">
        <f>'TEA Revised Non EYZ'!AH93</f>
        <v>1.66899983148883E-3</v>
      </c>
      <c r="AI93">
        <f>'TEA Revised Non EYZ'!AI93</f>
        <v>5.28356837386519E-6</v>
      </c>
      <c r="AJ93">
        <f>'TEA Revised Non EYZ'!AJ93</f>
        <v>0</v>
      </c>
      <c r="AK93">
        <f>'TEA Revised Non EYZ'!AK93</f>
        <v>0</v>
      </c>
      <c r="AL93">
        <f>'TEA Revised Non EYZ'!AL93</f>
        <v>0</v>
      </c>
      <c r="AM93">
        <f>'TEA Revised Non EYZ'!AM93</f>
        <v>1.61044680899333E-3</v>
      </c>
      <c r="AN93">
        <f>'TEA Revised Non EYZ'!AN93</f>
        <v>7.9513667548027593E-5</v>
      </c>
      <c r="AO93">
        <f>'TEA Revised Non EYZ'!AO93</f>
        <v>5.2466908500710802E-6</v>
      </c>
      <c r="AP93">
        <f>'TEA Revised Non EYZ'!AP93</f>
        <v>1.8118119800337601E-3</v>
      </c>
      <c r="AQ93">
        <f>'TEA Revised Non EYZ'!AQ93</f>
        <v>7.3258567195411697E-2</v>
      </c>
      <c r="AR93">
        <f>'TEA Revised Non EYZ'!AR93</f>
        <v>1.6996653485653601E-6</v>
      </c>
      <c r="AS93">
        <f>'TEA Revised Non EYZ'!AS93</f>
        <v>-4.4472617862639699E-17</v>
      </c>
      <c r="AT93">
        <f>'TEA Revised Non EYZ'!AT93</f>
        <v>1.89518539750466E-16</v>
      </c>
      <c r="AU93">
        <f>'TEA Revised Non EYZ'!AU93</f>
        <v>-3.4807760176231399E-20</v>
      </c>
      <c r="AV93">
        <f>'TEA Revised Non EYZ'!AV93</f>
        <v>0.20038604773893701</v>
      </c>
      <c r="AW93">
        <f>'TEA Revised Non EYZ'!AW93</f>
        <v>99.302033754753197</v>
      </c>
      <c r="AX93">
        <f>'TEA Revised Non EYZ'!AX93</f>
        <v>500</v>
      </c>
      <c r="AY93">
        <f>'TEA Revised Non EYZ'!AY93</f>
        <v>95</v>
      </c>
      <c r="AZ93">
        <f>'TEA Revised Non EYZ'!AZ93</f>
        <v>0.92356857683566096</v>
      </c>
      <c r="BA93">
        <f>'TEA Revised Non EYZ'!BA93</f>
        <v>0.1</v>
      </c>
      <c r="BB93">
        <f>'TEA Revised Non EYZ'!BB93</f>
        <v>46.089465172689103</v>
      </c>
      <c r="BC93" t="str">
        <f>'TEA Revised Non EYZ'!BC93</f>
        <v>coeFc</v>
      </c>
      <c r="BD93">
        <f>'TEA Revised Non EYZ'!BD93</f>
        <v>1</v>
      </c>
      <c r="BE93">
        <f>'TEA Revised Non EYZ'!BE93</f>
        <v>1.8775014999999999E-2</v>
      </c>
      <c r="BF93">
        <f>'TEA Revised Non EYZ'!BF93</f>
        <v>0.10492961100000001</v>
      </c>
      <c r="BG93">
        <f>'TEA Revised Non EYZ'!BG93</f>
        <v>1.814625E-3</v>
      </c>
      <c r="BH93">
        <f>'TEA Revised Non EYZ'!BH93</f>
        <v>285.1951444</v>
      </c>
      <c r="BI93">
        <f>'TEA Revised Non EYZ'!BI93</f>
        <v>2169.8944889999998</v>
      </c>
      <c r="BJ93">
        <f>'TEA Revised Non EYZ'!BJ93</f>
        <v>866.49409060000005</v>
      </c>
      <c r="BK93">
        <f>'TEA Revised Non EYZ'!BK93</f>
        <v>100</v>
      </c>
      <c r="BL93">
        <f>'TEA Revised Non EYZ'!BL93</f>
        <v>10.952322309941399</v>
      </c>
      <c r="BM93">
        <f>'TEA Revised Non EYZ'!BM93</f>
        <v>92.356857683566091</v>
      </c>
      <c r="BN93">
        <f>'TEA Revised Non EYZ'!BN93</f>
        <v>20.038604773893702</v>
      </c>
      <c r="BO93">
        <f>'TEA Revised Non EYZ'!BO93</f>
        <v>306.6650246783592</v>
      </c>
      <c r="BP93">
        <f>'TEA Revised Non EYZ'!BP93</f>
        <v>280.54046683451185</v>
      </c>
      <c r="BQ93">
        <f>'TEA Revised Non EYZ'!BQ93</f>
        <v>30.666502467835922</v>
      </c>
      <c r="BR93">
        <f>'TEA Revised Non EYZ'!BR93</f>
        <v>28.054046683451187</v>
      </c>
      <c r="BS93">
        <f>'eLLE Bals'!CF93</f>
        <v>6.5713933859648392</v>
      </c>
      <c r="BT93">
        <f>'eLLE Bals'!CG93</f>
        <v>12.023162864336221</v>
      </c>
      <c r="BU93">
        <f>BM93</f>
        <v>92.356857683566091</v>
      </c>
      <c r="BV93">
        <f>BU93*(AM93*2+AN93*2+AO93*3)</f>
        <v>0.31361258208601245</v>
      </c>
      <c r="BW93">
        <f>BN93*BA93*(AP93*2+AQ93*2+AR93*3)</f>
        <v>0.30087134938126869</v>
      </c>
      <c r="BX93">
        <f>BV93/(2*V93*BL93+BV93)</f>
        <v>0.12524078794945737</v>
      </c>
      <c r="BY93">
        <f>BU93*BX93</f>
        <v>11.566845628825712</v>
      </c>
      <c r="BZ93">
        <f>BW93/(2*BN93*BA93+BW93)</f>
        <v>6.9830545139017444E-2</v>
      </c>
      <c r="CA93">
        <f>2*BN93*BA93/0.04</f>
        <v>100.1930238694685</v>
      </c>
      <c r="CB93">
        <f>(BS93+BL93)*2</f>
        <v>35.047431391812481</v>
      </c>
      <c r="CC93">
        <f>(BU93+BL93)*2</f>
        <v>206.61835998701497</v>
      </c>
      <c r="CD93">
        <f>(BT93+BN93)*2</f>
        <v>64.123535276459847</v>
      </c>
      <c r="CE93">
        <f>(CA93+BN93)*2</f>
        <v>240.4632572867244</v>
      </c>
      <c r="CF93">
        <f>'TEA Revised Non EYZ'!CB93</f>
        <v>4047.9783257543413</v>
      </c>
      <c r="CG93">
        <f>'TEA Revised Non EYZ'!CC93</f>
        <v>3703.1341622155564</v>
      </c>
      <c r="CH93">
        <f>'TEA Revised Non EYZ'!CD93</f>
        <v>4890.707695899031</v>
      </c>
      <c r="CI93">
        <f>'TEA Revised Non EYZ'!CE93</f>
        <v>28562.602921442158</v>
      </c>
      <c r="CJ93">
        <f>BL93*V93</f>
        <v>1.09523223099414</v>
      </c>
      <c r="CK93">
        <f>CJ93/2*1.2</f>
        <v>0.65713933859648399</v>
      </c>
      <c r="CL93">
        <f>'eLLE Bals'!CB93*'Oxidant Feed Composition'!$N$20</f>
        <v>3.6507741033138016E-2</v>
      </c>
      <c r="CM93">
        <f>'eLLE Bals'!CB93*'Oxidant Feed Composition'!$N$21</f>
        <v>1.8253870516569002</v>
      </c>
      <c r="CN93">
        <f>'eLLE Bals'!CB93*'Oxidant Feed Composition'!$N$22</f>
        <v>0.54761611549707001</v>
      </c>
      <c r="CO93">
        <f>CN93/CK93</f>
        <v>0.83333333333333337</v>
      </c>
      <c r="CP93">
        <f>CO93</f>
        <v>0.83333333333333337</v>
      </c>
      <c r="CQ93">
        <f>CL93/CO93</f>
        <v>4.3809289239765618E-2</v>
      </c>
      <c r="CR93">
        <f>CM93/CO93</f>
        <v>2.19046446198828</v>
      </c>
      <c r="CS93">
        <f>BN93*BA93</f>
        <v>2.0038604773893702</v>
      </c>
      <c r="CT93">
        <f>CS93/2*1.2</f>
        <v>1.2023162864336221</v>
      </c>
      <c r="CU93">
        <f>'eLLE Bals'!CC93*'Oxidant Feed Composition'!$N$20</f>
        <v>6.6795349246312377E-2</v>
      </c>
      <c r="CV93">
        <f>'eLLE Bals'!CC93*'Oxidant Feed Composition'!$N$21</f>
        <v>3.3397674623156175</v>
      </c>
      <c r="CW93">
        <f>'eLLE Bals'!CC93*'Oxidant Feed Composition'!$N$22</f>
        <v>1.0019302386946851</v>
      </c>
      <c r="CX93">
        <f>CU93/CP93</f>
        <v>8.0154419095574844E-2</v>
      </c>
      <c r="CY93">
        <f>CV93/CP93</f>
        <v>4.0077209547787405</v>
      </c>
      <c r="CZ93">
        <f>CJ93</f>
        <v>1.09523223099414</v>
      </c>
      <c r="DA93">
        <f>'eLLE Bals'!BQ93</f>
        <v>2.19046446198828</v>
      </c>
      <c r="DB93">
        <f>'eLLE Bals'!BU93</f>
        <v>5.4593156063342487</v>
      </c>
      <c r="DC93">
        <f>CS93</f>
        <v>2.0038604773893702</v>
      </c>
      <c r="DD93">
        <f>'eLLE Bals'!BX93</f>
        <v>4.0077209547787405</v>
      </c>
      <c r="DE93">
        <f>'eLLE Bals'!CA93</f>
        <v>22.684463735460461</v>
      </c>
      <c r="DF93">
        <f>2*2*(CJ93*'Reagent cost'!$C$36*122.44/1000+CK93*'Oxidant Feed Composition'!$N$26+CQ93*'Reagent cost'!$C$34+CR93*'Reagent cost'!$C$35)</f>
        <v>92.511760310256193</v>
      </c>
      <c r="DG93">
        <f>2*2*(CS93*'Reagent cost'!$C$36*122.44/1000+CT93*'Oxidant Feed Composition'!$N$26+CX93*'Reagent cost'!$C$34+CY93*'Reagent cost'!$C$35)</f>
        <v>169.26150905107247</v>
      </c>
      <c r="DH93">
        <f>(AF93+3)*2*(CZ93*'Reagent cost'!$C$38+DA93*'Reagent cost'!$C$39+DB93*'Reagent cost'!$C$36*122.44/1000)</f>
        <v>833.3969126294952</v>
      </c>
      <c r="DI93">
        <f>3*2*(DC93*'Reagent cost'!$C$38+DD93*'Reagent cost'!$C$39+DE93*'Reagent cost'!$C$36*122.44/1000)</f>
        <v>1230.4714298290876</v>
      </c>
      <c r="DJ93">
        <f>7963.6*(CB93/1000)^0.6*1.7*('CAPEX+OPEX'!$G$116/'CAPEX+OPEX'!$G$115)</f>
        <v>2138.1326451989207</v>
      </c>
      <c r="DK93">
        <f>7963.6*(CC93/1000)^0.6*1.7*('CAPEX+OPEX'!$G$116/'CAPEX+OPEX'!$G$115)</f>
        <v>6199.2945816251477</v>
      </c>
      <c r="DL93">
        <f>7963.6*(CD93/1000)^0.6*1.7*('CAPEX+OPEX'!$G$116/'CAPEX+OPEX'!$G$115)</f>
        <v>3072.2135668030037</v>
      </c>
      <c r="DM93">
        <f>7963.6*(CE93/1000)^0.6*1.7*('CAPEX+OPEX'!$G$116/'CAPEX+OPEX'!$G$115)</f>
        <v>6790.0060820193685</v>
      </c>
      <c r="DN93">
        <f>'TEA Revised Non EYZ'!CM93</f>
        <v>39625.826528698344</v>
      </c>
      <c r="DO93">
        <f>'TEA Revised Non EYZ'!CN93</f>
        <v>4586243.4239371875</v>
      </c>
      <c r="DP93">
        <f>'TEA Revised Non EYZ'!CO93</f>
        <v>11794834.586807497</v>
      </c>
      <c r="DQ93">
        <f>'TEA Revised Non EYZ'!CP93</f>
        <v>2275209.1661185985</v>
      </c>
      <c r="DR93">
        <f>'TEA Revised Non EYZ'!CQ93</f>
        <v>14083914.336508472</v>
      </c>
      <c r="DS93">
        <f>'TEA Revised Non EYZ'!CR93</f>
        <v>1662824.8986326549</v>
      </c>
      <c r="DT93">
        <f>'TEA Revised Non EYZ'!CS93</f>
        <v>936765.86395108781</v>
      </c>
      <c r="DU93">
        <f>'TEA Revised Non EYZ'!CT93</f>
        <v>2409160.916797909</v>
      </c>
      <c r="DV93">
        <f>'TEA Revised Non EYZ'!CU93</f>
        <v>464724.19432521454</v>
      </c>
      <c r="DW93">
        <f>'TEA Revised Non EYZ'!CV93</f>
        <v>2876718.2553791031</v>
      </c>
      <c r="DX93">
        <f>'TEA Revised Non EYZ'!CW93</f>
        <v>339641.28346021532</v>
      </c>
      <c r="DY93">
        <f>'TEA Revised Non EYZ'!CX93</f>
        <v>7027010.5139135299</v>
      </c>
      <c r="DZ93">
        <f>'TEA Revised Non EYZ'!CY93</f>
        <v>556280.17433304957</v>
      </c>
      <c r="EA93">
        <f>'TEA Revised Non EYZ'!CZ93</f>
        <v>1430633.3165687236</v>
      </c>
      <c r="EB93">
        <f>'TEA Revised Non EYZ'!DA93</f>
        <v>275967.41702952847</v>
      </c>
      <c r="EC93">
        <f>'TEA Revised Non EYZ'!DB93</f>
        <v>1708283.1411680363</v>
      </c>
      <c r="ED93">
        <f>'TEA Revised Non EYZ'!DC93</f>
        <v>201689.36512807687</v>
      </c>
      <c r="EE93">
        <f>'TEA Revised Non EYZ'!DD93</f>
        <v>4172853.4142274149</v>
      </c>
      <c r="EF93">
        <v>0.7</v>
      </c>
      <c r="EG93">
        <v>100</v>
      </c>
      <c r="EH93">
        <f>96485*BL93*V93/EF93/EG93/60</f>
        <v>25.160352811302293</v>
      </c>
      <c r="EI93">
        <f>96485*BN93*BA93/EF93/EG93/60</f>
        <v>46.033923371646054</v>
      </c>
      <c r="EJ93">
        <f>EH93*('CAPEX+OPEX'!$O$25+'CAPEX+OPEX'!$O$26)</f>
        <v>801910.76480182668</v>
      </c>
      <c r="EK93">
        <f>EI93*('CAPEX+OPEX'!$O$25+'CAPEX+OPEX'!$O$26)</f>
        <v>1467193.205701103</v>
      </c>
      <c r="EL93">
        <f>EJ93*1.12/0.6*'CAPEX+OPEX'!$G$116/'CAPEX+OPEX'!$G$115</f>
        <v>1765531.1495937889</v>
      </c>
      <c r="EM93">
        <f>EK93*1.12/0.6*'CAPEX+OPEX'!$G$116/'CAPEX+OPEX'!$G$115</f>
        <v>3230253.8148092008</v>
      </c>
      <c r="EN93">
        <f>EL93+EM93+DY93+EE93+1.15*(SUM(DF93:DM93)+SUM(CF93:CI93))</f>
        <v>16266638.060875628</v>
      </c>
      <c r="EO93">
        <f>EN93/15</f>
        <v>1084442.5373917085</v>
      </c>
      <c r="EP93">
        <f>('eLLE Bals'!CB93+'eLLE Bals'!CC93)*'Oxidant Feed Composition'!$N$25*60*7200</f>
        <v>12479321.158883732</v>
      </c>
      <c r="EQ93" s="83">
        <f>('eLLE Bals'!BR93+'eLLE Bals'!BY93)*'Reagent cost'!$C$38*60*7200</f>
        <v>505628.35375227244</v>
      </c>
      <c r="ER93">
        <f>'TEA Revised Non EYZ'!DI93</f>
        <v>504921.59999999998</v>
      </c>
      <c r="ES93">
        <f>'TEA Revised Non EYZ'!DJ93</f>
        <v>77.511124879698983</v>
      </c>
      <c r="ET93">
        <f>'TEA Revised Non EYZ'!DK93</f>
        <v>669.0662123468237</v>
      </c>
      <c r="EU93">
        <f>1.2*SUM(EP93:ET93)</f>
        <v>16188741.227967875</v>
      </c>
      <c r="EV93">
        <f>'TEA Revised Non EYZ'!DM93</f>
        <v>0.70639694042110623</v>
      </c>
      <c r="EW93">
        <f>(BS93*CO93+BT93*CP93)/1000*('Oxidant Feed Composition'!$B$11*'Oxidant Feed Composition'!$O$20+'Oxidant Feed Composition'!$D$11*'Oxidant Feed Composition'!$O$21+'Oxidant Feed Composition'!$F$11*'Oxidant Feed Composition'!$O$27-'Oxidant Feed Composition'!$J$15*18.015)</f>
        <v>1.8096305818296117</v>
      </c>
      <c r="EX93">
        <f>(CZ93*BX93+DC93*BZ93)*368.34/1000</f>
        <v>0.10206643096049994</v>
      </c>
      <c r="EY93">
        <f>'TEA Revised Non EYZ'!DP93</f>
        <v>4.999938342565946E-2</v>
      </c>
      <c r="EZ93">
        <f>SUM(EV93:EX93)-EY93</f>
        <v>2.5680945697855586</v>
      </c>
      <c r="FA93">
        <f>EZ93*0.33*60*7200</f>
        <v>366107.5618686293</v>
      </c>
      <c r="FB93">
        <f>'TEA Revised Non EYZ'!DS93</f>
        <v>1.2</v>
      </c>
      <c r="FC93">
        <v>0.5</v>
      </c>
      <c r="FD93">
        <f>'TEA Revised Non EYZ'!DT93</f>
        <v>1403.8204430995365</v>
      </c>
      <c r="FE93">
        <f>'TEA Revised Non EYZ'!DU93</f>
        <v>707.86125193843873</v>
      </c>
      <c r="FF93">
        <f>'TEA Revised Non EYZ'!DV93</f>
        <v>0.7</v>
      </c>
      <c r="FG93">
        <f>'TEA Revised Non EYZ'!DW93</f>
        <v>52288.524762496963</v>
      </c>
      <c r="FH93">
        <f>'TEA Revised Non EYZ'!DX93</f>
        <v>53983.928663982973</v>
      </c>
      <c r="FI93">
        <f>'TEA Revised Non EYZ'!DY93</f>
        <v>22856.098829508919</v>
      </c>
      <c r="FJ93">
        <f>'TEA Revised Non EYZ'!DZ93</f>
        <v>12107.513206066582</v>
      </c>
      <c r="FK93">
        <f>'TEA Revised Non EYZ'!EA93</f>
        <v>12189.919375738094</v>
      </c>
      <c r="FL93">
        <f>'TEA Revised Non EYZ'!EB93</f>
        <v>849.03060398659966</v>
      </c>
      <c r="FM93">
        <f>'TEA Revised Non EYZ'!EC93</f>
        <v>30856.35957103952</v>
      </c>
      <c r="FN93">
        <f>'TEA Revised Non EYZ'!ED93</f>
        <v>23276.301604922155</v>
      </c>
      <c r="FO93">
        <f>'TEA Revised Non EYZ'!EE93</f>
        <v>9854.8857601484906</v>
      </c>
      <c r="FP93">
        <f>'TEA Revised Non EYZ'!EF93</f>
        <v>5223.3142652876058</v>
      </c>
      <c r="FQ93">
        <f>'TEA Revised Non EYZ'!EG93</f>
        <v>5255.9390720791962</v>
      </c>
      <c r="FR93">
        <f>'TEA Revised Non EYZ'!EH93</f>
        <v>428.11448517236784</v>
      </c>
      <c r="FS93">
        <f>'TEA Revised Non EYZ'!EI93</f>
        <v>229169.93020042952</v>
      </c>
      <c r="FT93">
        <f>EG93*EH93</f>
        <v>2516.0352811302291</v>
      </c>
      <c r="FU93">
        <f>EG93*EI93</f>
        <v>4603.3923371646051</v>
      </c>
      <c r="FV93">
        <f>FC93*(FT93+FU93)/(3.6*10^6)*3600*7200*0.07</f>
        <v>1794.0957598102984</v>
      </c>
      <c r="FW93">
        <f>('CAPEX+OPEX'!$C$39/7/100+0.03)*EL93</f>
        <v>90798.744836251994</v>
      </c>
      <c r="FX93">
        <f>('CAPEX+OPEX'!$C$39/7/100+0.03)*EM93</f>
        <v>166127.33904733032</v>
      </c>
      <c r="FY93">
        <f>SUM(FV93:FX93)</f>
        <v>258720.17964339262</v>
      </c>
      <c r="FZ93">
        <f>FY93+FA93+FS93+EU93</f>
        <v>17042738.899680328</v>
      </c>
      <c r="GA93">
        <f>FZ93+EO93</f>
        <v>18127181.437072035</v>
      </c>
      <c r="GB93">
        <f>GA93/(BK93*60*7200)</f>
        <v>0.4196106814137045</v>
      </c>
      <c r="GC93">
        <f>'TEA Revised Non EYZ'!EM93/'TEA Revised Non EYZ'!EK93*GA93</f>
        <v>1405.8555994286899</v>
      </c>
      <c r="GD93">
        <f>'TEA Revised Non EYZ'!EN93/'TEA Revised Non EYZ'!EK93*GA93</f>
        <v>2569.400015361553</v>
      </c>
    </row>
    <row r="94" spans="1:186">
      <c r="A94">
        <f>'TEA Revised Non EYZ'!A94</f>
        <v>12</v>
      </c>
      <c r="B94">
        <f>'TEA Revised Non EYZ'!B94</f>
        <v>1.54143585092054E-3</v>
      </c>
      <c r="C94">
        <f>'TEA Revised Non EYZ'!C94</f>
        <v>1.54143585092054E-3</v>
      </c>
      <c r="D94">
        <f>'TEA Revised Non EYZ'!D94</f>
        <v>3.4254130020456501E-4</v>
      </c>
      <c r="E94">
        <f>'TEA Revised Non EYZ'!E94</f>
        <v>0</v>
      </c>
      <c r="F94">
        <f>'TEA Revised Non EYZ'!F94</f>
        <v>0</v>
      </c>
      <c r="G94">
        <f>'TEA Revised Non EYZ'!G94</f>
        <v>0</v>
      </c>
      <c r="H94">
        <f>'TEA Revised Non EYZ'!H94</f>
        <v>1.7771599281349402E-5</v>
      </c>
      <c r="I94">
        <f>'TEA Revised Non EYZ'!I94</f>
        <v>6.3113732322488897E-11</v>
      </c>
      <c r="J94">
        <f>'TEA Revised Non EYZ'!J94</f>
        <v>3.37661562480901E-4</v>
      </c>
      <c r="K94">
        <f>'TEA Revised Non EYZ'!K94</f>
        <v>0.13911791568267901</v>
      </c>
      <c r="L94">
        <f>'TEA Revised Non EYZ'!L94</f>
        <v>0.140740543921716</v>
      </c>
      <c r="M94">
        <f>'TEA Revised Non EYZ'!M94</f>
        <v>4.45543656000266E-4</v>
      </c>
      <c r="N94">
        <f>'TEA Revised Non EYZ'!N94</f>
        <v>-4.7646348672047899E-15</v>
      </c>
      <c r="O94">
        <f>'TEA Revised Non EYZ'!O94</f>
        <v>-1.1300289697036E-11</v>
      </c>
      <c r="P94">
        <f>'TEA Revised Non EYZ'!P94</f>
        <v>-4.6756218688437302E-19</v>
      </c>
      <c r="Q94">
        <f>'TEA Revised Non EYZ'!Q94</f>
        <v>0.10952322309941399</v>
      </c>
      <c r="R94">
        <f>'TEA Revised Non EYZ'!R94</f>
        <v>98.575430839799395</v>
      </c>
      <c r="S94">
        <f>'TEA Revised Non EYZ'!S94</f>
        <v>500</v>
      </c>
      <c r="T94">
        <f>'TEA Revised Non EYZ'!T94</f>
        <v>95</v>
      </c>
      <c r="U94">
        <f>'TEA Revised Non EYZ'!U94</f>
        <v>1</v>
      </c>
      <c r="V94">
        <f>'TEA Revised Non EYZ'!V94</f>
        <v>0.1</v>
      </c>
      <c r="W94">
        <f>'TEA Revised Non EYZ'!W94</f>
        <v>91.304836700459305</v>
      </c>
      <c r="X94" t="str">
        <f>'TEA Revised Non EYZ'!X94</f>
        <v>ddFc</v>
      </c>
      <c r="Y94">
        <f>'TEA Revised Non EYZ'!Y94</f>
        <v>1</v>
      </c>
      <c r="Z94">
        <f>'TEA Revised Non EYZ'!Z94</f>
        <v>0.28318429382522198</v>
      </c>
      <c r="AA94">
        <f>'TEA Revised Non EYZ'!AA94</f>
        <v>0.56945642916197003</v>
      </c>
      <c r="AB94">
        <f>'TEA Revised Non EYZ'!AB94</f>
        <v>3.7698628972227502E-3</v>
      </c>
      <c r="AC94">
        <f>'TEA Revised Non EYZ'!AC94</f>
        <v>1822.2107908876901</v>
      </c>
      <c r="AD94">
        <f>'TEA Revised Non EYZ'!AD94</f>
        <v>2662.6059073104898</v>
      </c>
      <c r="AE94">
        <f>'TEA Revised Non EYZ'!AE94</f>
        <v>2401.5030938442701</v>
      </c>
      <c r="AF94">
        <f>'TEA Revised Non EYZ'!AF94</f>
        <v>6</v>
      </c>
      <c r="AG94">
        <f>'TEA Revised Non EYZ'!AG94</f>
        <v>1.6497575706444501E-3</v>
      </c>
      <c r="AH94">
        <f>'TEA Revised Non EYZ'!AH94</f>
        <v>1.66899983148883E-3</v>
      </c>
      <c r="AI94">
        <f>'TEA Revised Non EYZ'!AI94</f>
        <v>5.28356837386519E-6</v>
      </c>
      <c r="AJ94">
        <f>'TEA Revised Non EYZ'!AJ94</f>
        <v>0</v>
      </c>
      <c r="AK94">
        <f>'TEA Revised Non EYZ'!AK94</f>
        <v>0</v>
      </c>
      <c r="AL94">
        <f>'TEA Revised Non EYZ'!AL94</f>
        <v>0</v>
      </c>
      <c r="AM94">
        <f>'TEA Revised Non EYZ'!AM94</f>
        <v>1.6121282837362799E-3</v>
      </c>
      <c r="AN94">
        <f>'TEA Revised Non EYZ'!AN94</f>
        <v>7.9600650767137996E-5</v>
      </c>
      <c r="AO94">
        <f>'TEA Revised Non EYZ'!AO94</f>
        <v>5.2482064740735796E-6</v>
      </c>
      <c r="AP94">
        <f>'TEA Revised Non EYZ'!AP94</f>
        <v>1.7562196007610399E-3</v>
      </c>
      <c r="AQ94">
        <f>'TEA Revised Non EYZ'!AQ94</f>
        <v>7.4179827043465804E-2</v>
      </c>
      <c r="AR94">
        <f>'TEA Revised Non EYZ'!AR94</f>
        <v>1.6503969816312101E-6</v>
      </c>
      <c r="AS94">
        <f>'TEA Revised Non EYZ'!AS94</f>
        <v>-1.9447876468958701E-18</v>
      </c>
      <c r="AT94">
        <f>'TEA Revised Non EYZ'!AT94</f>
        <v>-1.4658413372004E-16</v>
      </c>
      <c r="AU94">
        <f>'TEA Revised Non EYZ'!AU94</f>
        <v>-2.85211875208283E-21</v>
      </c>
      <c r="AV94">
        <f>'TEA Revised Non EYZ'!AV94</f>
        <v>0.19788656806963401</v>
      </c>
      <c r="AW94">
        <f>'TEA Revised Non EYZ'!AW94</f>
        <v>99.330719368248694</v>
      </c>
      <c r="AX94">
        <f>'TEA Revised Non EYZ'!AX94</f>
        <v>500</v>
      </c>
      <c r="AY94">
        <f>'TEA Revised Non EYZ'!AY94</f>
        <v>95</v>
      </c>
      <c r="AZ94">
        <f>'TEA Revised Non EYZ'!AZ94</f>
        <v>0.92356857683566096</v>
      </c>
      <c r="BA94">
        <f>'TEA Revised Non EYZ'!BA94</f>
        <v>0.1</v>
      </c>
      <c r="BB94">
        <f>'TEA Revised Non EYZ'!BB94</f>
        <v>46.671615251352797</v>
      </c>
      <c r="BC94" t="str">
        <f>'TEA Revised Non EYZ'!BC94</f>
        <v>coeFc</v>
      </c>
      <c r="BD94">
        <f>'TEA Revised Non EYZ'!BD94</f>
        <v>1</v>
      </c>
      <c r="BE94">
        <f>'TEA Revised Non EYZ'!BE94</f>
        <v>1.8775014999999999E-2</v>
      </c>
      <c r="BF94">
        <f>'TEA Revised Non EYZ'!BF94</f>
        <v>0.10492961100000001</v>
      </c>
      <c r="BG94">
        <f>'TEA Revised Non EYZ'!BG94</f>
        <v>1.814625E-3</v>
      </c>
      <c r="BH94">
        <f>'TEA Revised Non EYZ'!BH94</f>
        <v>285.1951444</v>
      </c>
      <c r="BI94">
        <f>'TEA Revised Non EYZ'!BI94</f>
        <v>2169.8944889999998</v>
      </c>
      <c r="BJ94">
        <f>'TEA Revised Non EYZ'!BJ94</f>
        <v>866.49409060000005</v>
      </c>
      <c r="BK94">
        <f>'TEA Revised Non EYZ'!BK94</f>
        <v>100</v>
      </c>
      <c r="BL94">
        <f>'TEA Revised Non EYZ'!BL94</f>
        <v>10.952322309941399</v>
      </c>
      <c r="BM94">
        <f>'TEA Revised Non EYZ'!BM94</f>
        <v>92.356857683566091</v>
      </c>
      <c r="BN94">
        <f>'TEA Revised Non EYZ'!BN94</f>
        <v>19.788656806963402</v>
      </c>
      <c r="BO94">
        <f>'TEA Revised Non EYZ'!BO94</f>
        <v>306.6650246783592</v>
      </c>
      <c r="BP94">
        <f>'TEA Revised Non EYZ'!BP94</f>
        <v>316.61850891141444</v>
      </c>
      <c r="BQ94">
        <f>'TEA Revised Non EYZ'!BQ94</f>
        <v>30.666502467835922</v>
      </c>
      <c r="BR94">
        <f>'TEA Revised Non EYZ'!BR94</f>
        <v>31.661850891141444</v>
      </c>
      <c r="BS94">
        <f>'eLLE Bals'!CF94</f>
        <v>6.5713933859648392</v>
      </c>
      <c r="BT94">
        <f>'eLLE Bals'!CG94</f>
        <v>11.87319408417804</v>
      </c>
      <c r="BU94">
        <f>BM94</f>
        <v>92.356857683566091</v>
      </c>
      <c r="BV94">
        <f>BU94*(AM94*2+AN94*2+AO94*3)</f>
        <v>0.3139396604614661</v>
      </c>
      <c r="BW94">
        <f>BN94*BA94*(AP94*2+AQ94*2+AR94*3)</f>
        <v>0.30054427100587344</v>
      </c>
      <c r="BX94">
        <f>BV94/(2*V94*BL94+BV94)</f>
        <v>0.1253550326192476</v>
      </c>
      <c r="BY94">
        <f>BU94*BX94</f>
        <v>11.577396907534636</v>
      </c>
      <c r="BZ94">
        <f>BW94/(2*BN94*BA94+BW94)</f>
        <v>7.05788673516623E-2</v>
      </c>
      <c r="CA94">
        <f>2*BN94*BA94/0.04</f>
        <v>98.943284034817012</v>
      </c>
      <c r="CB94">
        <f>(BS94+BL94)*2</f>
        <v>35.047431391812481</v>
      </c>
      <c r="CC94">
        <f>(BU94+BL94)*2</f>
        <v>206.61835998701497</v>
      </c>
      <c r="CD94">
        <f>(BT94+BN94)*2</f>
        <v>63.323701782282882</v>
      </c>
      <c r="CE94">
        <f>(CA94+BN94)*2</f>
        <v>237.46388168356083</v>
      </c>
      <c r="CF94">
        <f>'TEA Revised Non EYZ'!CB94</f>
        <v>4047.9783257543413</v>
      </c>
      <c r="CG94">
        <f>'TEA Revised Non EYZ'!CC94</f>
        <v>4179.3643176306714</v>
      </c>
      <c r="CH94">
        <f>'TEA Revised Non EYZ'!CD94</f>
        <v>4890.707695899031</v>
      </c>
      <c r="CI94">
        <f>'TEA Revised Non EYZ'!CE94</f>
        <v>32235.808436686144</v>
      </c>
      <c r="CJ94">
        <f>BL94*V94</f>
        <v>1.09523223099414</v>
      </c>
      <c r="CK94">
        <f>CJ94/2*1.2</f>
        <v>0.65713933859648399</v>
      </c>
      <c r="CL94">
        <f>'eLLE Bals'!CB94*'Oxidant Feed Composition'!$N$20</f>
        <v>3.6507741033138016E-2</v>
      </c>
      <c r="CM94">
        <f>'eLLE Bals'!CB94*'Oxidant Feed Composition'!$N$21</f>
        <v>1.8253870516569002</v>
      </c>
      <c r="CN94">
        <f>'eLLE Bals'!CB94*'Oxidant Feed Composition'!$N$22</f>
        <v>0.54761611549707001</v>
      </c>
      <c r="CO94">
        <f>CN94/CK94</f>
        <v>0.83333333333333337</v>
      </c>
      <c r="CP94">
        <f>CO94</f>
        <v>0.83333333333333337</v>
      </c>
      <c r="CQ94">
        <f>CL94/CO94</f>
        <v>4.3809289239765618E-2</v>
      </c>
      <c r="CR94">
        <f>CM94/CO94</f>
        <v>2.19046446198828</v>
      </c>
      <c r="CS94">
        <f>BN94*BA94</f>
        <v>1.9788656806963403</v>
      </c>
      <c r="CT94">
        <f>CS94/2*1.2</f>
        <v>1.187319408417804</v>
      </c>
      <c r="CU94">
        <f>'eLLE Bals'!CC94*'Oxidant Feed Composition'!$N$20</f>
        <v>6.5962189356544701E-2</v>
      </c>
      <c r="CV94">
        <f>'eLLE Bals'!CC94*'Oxidant Feed Composition'!$N$21</f>
        <v>3.298109467827234</v>
      </c>
      <c r="CW94">
        <f>'eLLE Bals'!CC94*'Oxidant Feed Composition'!$N$22</f>
        <v>0.98943284034817014</v>
      </c>
      <c r="CX94">
        <f>CU94/CP94</f>
        <v>7.9154627227853644E-2</v>
      </c>
      <c r="CY94">
        <f>CV94/CP94</f>
        <v>3.9577313613926806</v>
      </c>
      <c r="CZ94">
        <f>CJ94</f>
        <v>1.09523223099414</v>
      </c>
      <c r="DA94">
        <f>'eLLE Bals'!BQ94</f>
        <v>2.19046446198828</v>
      </c>
      <c r="DB94">
        <f>'eLLE Bals'!BU94</f>
        <v>5.4513456746807627</v>
      </c>
      <c r="DC94">
        <f>CS94</f>
        <v>1.9788656806963403</v>
      </c>
      <c r="DD94">
        <f>'eLLE Bals'!BX94</f>
        <v>3.9577313613926806</v>
      </c>
      <c r="DE94">
        <f>'eLLE Bals'!CA94</f>
        <v>22.101054381765024</v>
      </c>
      <c r="DF94">
        <f>2*2*(CJ94*'Reagent cost'!$C$36*122.44/1000+CK94*'Oxidant Feed Composition'!$N$26+CQ94*'Reagent cost'!$C$34+CR94*'Reagent cost'!$C$35)</f>
        <v>92.511760310256193</v>
      </c>
      <c r="DG94">
        <f>2*2*(CS94*'Reagent cost'!$C$36*122.44/1000+CT94*'Oxidant Feed Composition'!$N$26+CX94*'Reagent cost'!$C$34+CY94*'Reagent cost'!$C$35)</f>
        <v>167.1502557705054</v>
      </c>
      <c r="DH94">
        <f>(AF94+3)*2*(CZ94*'Reagent cost'!$C$38+DA94*'Reagent cost'!$C$39+DB94*'Reagent cost'!$C$36*122.44/1000)</f>
        <v>936.33107992740224</v>
      </c>
      <c r="DI94">
        <f>3*2*(DC94*'Reagent cost'!$C$38+DD94*'Reagent cost'!$C$39+DE94*'Reagent cost'!$C$36*122.44/1000)</f>
        <v>1199.5354812390995</v>
      </c>
      <c r="DJ94">
        <f>7963.6*(CB94/1000)^0.6*1.7*('CAPEX+OPEX'!$G$116/'CAPEX+OPEX'!$G$115)</f>
        <v>2138.1326451989207</v>
      </c>
      <c r="DK94">
        <f>7963.6*(CC94/1000)^0.6*1.7*('CAPEX+OPEX'!$G$116/'CAPEX+OPEX'!$G$115)</f>
        <v>6199.2945816251477</v>
      </c>
      <c r="DL94">
        <f>7963.6*(CD94/1000)^0.6*1.7*('CAPEX+OPEX'!$G$116/'CAPEX+OPEX'!$G$115)</f>
        <v>3049.1634468413222</v>
      </c>
      <c r="DM94">
        <f>7963.6*(CE94/1000)^0.6*1.7*('CAPEX+OPEX'!$G$116/'CAPEX+OPEX'!$G$115)</f>
        <v>6739.0622100105093</v>
      </c>
      <c r="DN94">
        <f>'TEA Revised Non EYZ'!CM94</f>
        <v>39625.826528698344</v>
      </c>
      <c r="DO94">
        <f>'TEA Revised Non EYZ'!CN94</f>
        <v>4586243.4239371875</v>
      </c>
      <c r="DP94">
        <f>'TEA Revised Non EYZ'!CO94</f>
        <v>11794834.586807497</v>
      </c>
      <c r="DQ94">
        <f>'TEA Revised Non EYZ'!CP94</f>
        <v>2275209.1661185985</v>
      </c>
      <c r="DR94">
        <f>'TEA Revised Non EYZ'!CQ94</f>
        <v>14083914.336508472</v>
      </c>
      <c r="DS94">
        <f>'TEA Revised Non EYZ'!CR94</f>
        <v>1662824.8986326549</v>
      </c>
      <c r="DT94">
        <f>'TEA Revised Non EYZ'!CS94</f>
        <v>936765.86395108781</v>
      </c>
      <c r="DU94">
        <f>'TEA Revised Non EYZ'!CT94</f>
        <v>2409160.916797909</v>
      </c>
      <c r="DV94">
        <f>'TEA Revised Non EYZ'!CU94</f>
        <v>464724.19432521454</v>
      </c>
      <c r="DW94">
        <f>'TEA Revised Non EYZ'!CV94</f>
        <v>2876718.2553791031</v>
      </c>
      <c r="DX94">
        <f>'TEA Revised Non EYZ'!CW94</f>
        <v>339641.28346021532</v>
      </c>
      <c r="DY94">
        <f>'TEA Revised Non EYZ'!CX94</f>
        <v>7027010.5139135299</v>
      </c>
      <c r="DZ94">
        <f>'TEA Revised Non EYZ'!CY94</f>
        <v>610185.18062781263</v>
      </c>
      <c r="EA94">
        <f>'TEA Revised Non EYZ'!CZ94</f>
        <v>1569265.4330693621</v>
      </c>
      <c r="EB94">
        <f>'TEA Revised Non EYZ'!DA94</f>
        <v>302709.38274844305</v>
      </c>
      <c r="EC94">
        <f>'TEA Revised Non EYZ'!DB94</f>
        <v>1873820.2530888517</v>
      </c>
      <c r="ED94">
        <f>'TEA Revised Non EYZ'!DC94</f>
        <v>221233.59301621036</v>
      </c>
      <c r="EE94">
        <f>'TEA Revised Non EYZ'!DD94</f>
        <v>4577213.84255068</v>
      </c>
      <c r="EF94">
        <v>0.7</v>
      </c>
      <c r="EG94">
        <v>100</v>
      </c>
      <c r="EH94">
        <f>96485*BL94*V94/EF94/EG94/60</f>
        <v>25.160352811302293</v>
      </c>
      <c r="EI94">
        <f>96485*BN94*BA94/EF94/EG94/60</f>
        <v>45.459727429044385</v>
      </c>
      <c r="EJ94">
        <f>EH94*('CAPEX+OPEX'!$O$25+'CAPEX+OPEX'!$O$26)</f>
        <v>801910.76480182668</v>
      </c>
      <c r="EK94">
        <f>EI94*('CAPEX+OPEX'!$O$25+'CAPEX+OPEX'!$O$26)</f>
        <v>1448892.4326185025</v>
      </c>
      <c r="EL94">
        <f>EJ94*1.12/0.6*'CAPEX+OPEX'!$G$116/'CAPEX+OPEX'!$G$115</f>
        <v>1765531.1495937889</v>
      </c>
      <c r="EM94">
        <f>EK94*1.12/0.6*'CAPEX+OPEX'!$G$116/'CAPEX+OPEX'!$G$115</f>
        <v>3189961.8192940098</v>
      </c>
      <c r="EN94">
        <f>EL94+EM94+DY94+EE94+1.15*(SUM(DF94:DM94)+SUM(CF94:CI94))</f>
        <v>16635473.621624436</v>
      </c>
      <c r="EO94">
        <f>EN94/15</f>
        <v>1109031.5747749624</v>
      </c>
      <c r="EP94">
        <f>('eLLE Bals'!CB94+'eLLE Bals'!CC94)*'Oxidant Feed Composition'!$N$25*60*7200</f>
        <v>12378672.961303342</v>
      </c>
      <c r="EQ94" s="83">
        <f>('eLLE Bals'!BR94+'eLLE Bals'!BY94)*'Reagent cost'!$C$38*60*7200</f>
        <v>505373.90191978437</v>
      </c>
      <c r="ER94">
        <f>'TEA Revised Non EYZ'!DI94</f>
        <v>504921.59999999998</v>
      </c>
      <c r="ES94">
        <f>'TEA Revised Non EYZ'!DJ94</f>
        <v>82.273426433850133</v>
      </c>
      <c r="ET94">
        <f>'TEA Revised Non EYZ'!DK94</f>
        <v>742.5303226517035</v>
      </c>
      <c r="EU94">
        <f>1.2*SUM(EP94:ET94)</f>
        <v>16067751.920366654</v>
      </c>
      <c r="EV94">
        <f>'TEA Revised Non EYZ'!DM94</f>
        <v>0.70639694042110623</v>
      </c>
      <c r="EW94">
        <f>(BS94*CO94+BT94*CP94)/1000*('Oxidant Feed Composition'!$B$11*'Oxidant Feed Composition'!$O$20+'Oxidant Feed Composition'!$D$11*'Oxidant Feed Composition'!$O$21+'Oxidant Feed Composition'!$F$11*'Oxidant Feed Composition'!$O$27-'Oxidant Feed Composition'!$J$15*18.015)</f>
        <v>1.7950355526586665</v>
      </c>
      <c r="EX94">
        <f>(CZ94*BX94+DC94*BZ94)*368.34/1000</f>
        <v>0.10201506716691383</v>
      </c>
      <c r="EY94">
        <f>'TEA Revised Non EYZ'!DP94</f>
        <v>4.999938342565946E-2</v>
      </c>
      <c r="EZ94">
        <f>SUM(EV94:EX94)-EY94</f>
        <v>2.5534481768210275</v>
      </c>
      <c r="FA94">
        <f>EZ94*0.33*60*7200</f>
        <v>364019.57208760572</v>
      </c>
      <c r="FB94">
        <f>'TEA Revised Non EYZ'!DS94</f>
        <v>1.2</v>
      </c>
      <c r="FC94">
        <v>0.5</v>
      </c>
      <c r="FD94">
        <f>'TEA Revised Non EYZ'!DT94</f>
        <v>1405.285337690628</v>
      </c>
      <c r="FE94">
        <f>'TEA Revised Non EYZ'!DU94</f>
        <v>706.39635734745946</v>
      </c>
      <c r="FF94">
        <f>'TEA Revised Non EYZ'!DV94</f>
        <v>0.7</v>
      </c>
      <c r="FG94">
        <f>'TEA Revised Non EYZ'!DW94</f>
        <v>52288.524762496963</v>
      </c>
      <c r="FH94">
        <f>'TEA Revised Non EYZ'!DX94</f>
        <v>53983.928663982973</v>
      </c>
      <c r="FI94">
        <f>'TEA Revised Non EYZ'!DY94</f>
        <v>22856.098829508919</v>
      </c>
      <c r="FJ94">
        <f>'TEA Revised Non EYZ'!DZ94</f>
        <v>12107.513206066582</v>
      </c>
      <c r="FK94">
        <f>'TEA Revised Non EYZ'!EA94</f>
        <v>12189.919375738094</v>
      </c>
      <c r="FL94">
        <f>'TEA Revised Non EYZ'!EB94</f>
        <v>849.91657223529182</v>
      </c>
      <c r="FM94">
        <f>'TEA Revised Non EYZ'!EC94</f>
        <v>33427.722868626144</v>
      </c>
      <c r="FN94">
        <f>'TEA Revised Non EYZ'!ED94</f>
        <v>27155.685205742509</v>
      </c>
      <c r="FO94">
        <f>'TEA Revised Non EYZ'!EE94</f>
        <v>11497.366720173237</v>
      </c>
      <c r="FP94">
        <f>'TEA Revised Non EYZ'!EF94</f>
        <v>6093.8666428355391</v>
      </c>
      <c r="FQ94">
        <f>'TEA Revised Non EYZ'!EG94</f>
        <v>6131.9289174257283</v>
      </c>
      <c r="FR94">
        <f>'TEA Revised Non EYZ'!EH94</f>
        <v>427.22851692374354</v>
      </c>
      <c r="FS94">
        <f>'TEA Revised Non EYZ'!EI94</f>
        <v>239009.70028175577</v>
      </c>
      <c r="FT94">
        <f>EG94*EH94</f>
        <v>2516.0352811302291</v>
      </c>
      <c r="FU94">
        <f>EG94*EI94</f>
        <v>4545.9727429044387</v>
      </c>
      <c r="FV94">
        <f>FC94*(FT94+FU94)/(3.6*10^6)*3600*7200*0.07</f>
        <v>1779.6260220567365</v>
      </c>
      <c r="FW94">
        <f>('CAPEX+OPEX'!$C$39/7/100+0.03)*EL94</f>
        <v>90798.744836251994</v>
      </c>
      <c r="FX94">
        <f>('CAPEX+OPEX'!$C$39/7/100+0.03)*EM94</f>
        <v>164055.17927797764</v>
      </c>
      <c r="FY94">
        <f>SUM(FV94:FX94)</f>
        <v>256633.55013628636</v>
      </c>
      <c r="FZ94">
        <f>FY94+FA94+FS94+EU94</f>
        <v>16927414.742872301</v>
      </c>
      <c r="GA94">
        <f>FZ94+EO94</f>
        <v>18036446.317647263</v>
      </c>
      <c r="GB94">
        <f>GA94/(BK94*60*7200)</f>
        <v>0.41751033142701999</v>
      </c>
      <c r="GC94">
        <f>'TEA Revised Non EYZ'!EM94/'TEA Revised Non EYZ'!EK94*GA94</f>
        <v>1397.3595774077025</v>
      </c>
      <c r="GD94">
        <f>'TEA Revised Non EYZ'!EN94/'TEA Revised Non EYZ'!EK94*GA94</f>
        <v>2561.4269940056392</v>
      </c>
    </row>
    <row r="95" spans="1:186">
      <c r="A95">
        <f>'TEA Revised Non EYZ'!A95</f>
        <v>12</v>
      </c>
      <c r="B95">
        <f>'TEA Revised Non EYZ'!B95</f>
        <v>1.54143585092054E-3</v>
      </c>
      <c r="C95">
        <f>'TEA Revised Non EYZ'!C95</f>
        <v>1.54143585092054E-3</v>
      </c>
      <c r="D95">
        <f>'TEA Revised Non EYZ'!D95</f>
        <v>3.4254130020456501E-4</v>
      </c>
      <c r="E95">
        <f>'TEA Revised Non EYZ'!E95</f>
        <v>0</v>
      </c>
      <c r="F95">
        <f>'TEA Revised Non EYZ'!F95</f>
        <v>0</v>
      </c>
      <c r="G95">
        <f>'TEA Revised Non EYZ'!G95</f>
        <v>0</v>
      </c>
      <c r="H95">
        <f>'TEA Revised Non EYZ'!H95</f>
        <v>1.7771599281349402E-5</v>
      </c>
      <c r="I95">
        <f>'TEA Revised Non EYZ'!I95</f>
        <v>6.3113732322488897E-11</v>
      </c>
      <c r="J95">
        <f>'TEA Revised Non EYZ'!J95</f>
        <v>3.37661562480901E-4</v>
      </c>
      <c r="K95">
        <f>'TEA Revised Non EYZ'!K95</f>
        <v>0.13911791568267901</v>
      </c>
      <c r="L95">
        <f>'TEA Revised Non EYZ'!L95</f>
        <v>0.140740543921716</v>
      </c>
      <c r="M95">
        <f>'TEA Revised Non EYZ'!M95</f>
        <v>4.45543656000266E-4</v>
      </c>
      <c r="N95">
        <f>'TEA Revised Non EYZ'!N95</f>
        <v>-4.7646348672047899E-15</v>
      </c>
      <c r="O95">
        <f>'TEA Revised Non EYZ'!O95</f>
        <v>-1.1300289697036E-11</v>
      </c>
      <c r="P95">
        <f>'TEA Revised Non EYZ'!P95</f>
        <v>-4.6756218688437302E-19</v>
      </c>
      <c r="Q95">
        <f>'TEA Revised Non EYZ'!Q95</f>
        <v>0.10952322309941399</v>
      </c>
      <c r="R95">
        <f>'TEA Revised Non EYZ'!R95</f>
        <v>98.575430839799395</v>
      </c>
      <c r="S95">
        <f>'TEA Revised Non EYZ'!S95</f>
        <v>500</v>
      </c>
      <c r="T95">
        <f>'TEA Revised Non EYZ'!T95</f>
        <v>95</v>
      </c>
      <c r="U95">
        <f>'TEA Revised Non EYZ'!U95</f>
        <v>1</v>
      </c>
      <c r="V95">
        <f>'TEA Revised Non EYZ'!V95</f>
        <v>0.1</v>
      </c>
      <c r="W95">
        <f>'TEA Revised Non EYZ'!W95</f>
        <v>91.304836700459305</v>
      </c>
      <c r="X95" t="str">
        <f>'TEA Revised Non EYZ'!X95</f>
        <v>ddFc</v>
      </c>
      <c r="Y95">
        <f>'TEA Revised Non EYZ'!Y95</f>
        <v>1</v>
      </c>
      <c r="Z95">
        <f>'TEA Revised Non EYZ'!Z95</f>
        <v>0.28318429382522198</v>
      </c>
      <c r="AA95">
        <f>'TEA Revised Non EYZ'!AA95</f>
        <v>0.56945642916197003</v>
      </c>
      <c r="AB95">
        <f>'TEA Revised Non EYZ'!AB95</f>
        <v>3.7698628972227502E-3</v>
      </c>
      <c r="AC95">
        <f>'TEA Revised Non EYZ'!AC95</f>
        <v>1822.2107908876901</v>
      </c>
      <c r="AD95">
        <f>'TEA Revised Non EYZ'!AD95</f>
        <v>2662.6059073104898</v>
      </c>
      <c r="AE95">
        <f>'TEA Revised Non EYZ'!AE95</f>
        <v>2401.5030938442701</v>
      </c>
      <c r="AF95">
        <f>'TEA Revised Non EYZ'!AF95</f>
        <v>7</v>
      </c>
      <c r="AG95">
        <f>'TEA Revised Non EYZ'!AG95</f>
        <v>1.6497575706444501E-3</v>
      </c>
      <c r="AH95">
        <f>'TEA Revised Non EYZ'!AH95</f>
        <v>1.66899983148883E-3</v>
      </c>
      <c r="AI95">
        <f>'TEA Revised Non EYZ'!AI95</f>
        <v>5.28356837386519E-6</v>
      </c>
      <c r="AJ95">
        <f>'TEA Revised Non EYZ'!AJ95</f>
        <v>0</v>
      </c>
      <c r="AK95">
        <f>'TEA Revised Non EYZ'!AK95</f>
        <v>0</v>
      </c>
      <c r="AL95">
        <f>'TEA Revised Non EYZ'!AL95</f>
        <v>0</v>
      </c>
      <c r="AM95">
        <f>'TEA Revised Non EYZ'!AM95</f>
        <v>1.61261707866804E-3</v>
      </c>
      <c r="AN95">
        <f>'TEA Revised Non EYZ'!AN95</f>
        <v>7.9625936031329294E-5</v>
      </c>
      <c r="AO95">
        <f>'TEA Revised Non EYZ'!AO95</f>
        <v>5.2486470564610397E-6</v>
      </c>
      <c r="AP95">
        <f>'TEA Revised Non EYZ'!AP95</f>
        <v>1.7397947866492501E-3</v>
      </c>
      <c r="AQ95">
        <f>'TEA Revised Non EYZ'!AQ95</f>
        <v>7.4452013697398206E-2</v>
      </c>
      <c r="AR95">
        <f>'TEA Revised Non EYZ'!AR95</f>
        <v>1.6358406345626599E-6</v>
      </c>
      <c r="AS95">
        <f>'TEA Revised Non EYZ'!AS95</f>
        <v>-4.2216122091154298E-18</v>
      </c>
      <c r="AT95">
        <f>'TEA Revised Non EYZ'!AT95</f>
        <v>-1.65666091955785E-15</v>
      </c>
      <c r="AU95">
        <f>'TEA Revised Non EYZ'!AU95</f>
        <v>-4.3344264097778598E-21</v>
      </c>
      <c r="AV95">
        <f>'TEA Revised Non EYZ'!AV95</f>
        <v>0.19715998450427299</v>
      </c>
      <c r="AW95">
        <f>'TEA Revised Non EYZ'!AW95</f>
        <v>99.339058096098597</v>
      </c>
      <c r="AX95">
        <f>'TEA Revised Non EYZ'!AX95</f>
        <v>500</v>
      </c>
      <c r="AY95">
        <f>'TEA Revised Non EYZ'!AY95</f>
        <v>95</v>
      </c>
      <c r="AZ95">
        <f>'TEA Revised Non EYZ'!AZ95</f>
        <v>0.92356857683566096</v>
      </c>
      <c r="BA95">
        <f>'TEA Revised Non EYZ'!BA95</f>
        <v>0.1</v>
      </c>
      <c r="BB95">
        <f>'TEA Revised Non EYZ'!BB95</f>
        <v>46.843611758127501</v>
      </c>
      <c r="BC95" t="str">
        <f>'TEA Revised Non EYZ'!BC95</f>
        <v>coeFc</v>
      </c>
      <c r="BD95">
        <f>'TEA Revised Non EYZ'!BD95</f>
        <v>1</v>
      </c>
      <c r="BE95">
        <f>'TEA Revised Non EYZ'!BE95</f>
        <v>1.8775014999999999E-2</v>
      </c>
      <c r="BF95">
        <f>'TEA Revised Non EYZ'!BF95</f>
        <v>0.10492961100000001</v>
      </c>
      <c r="BG95">
        <f>'TEA Revised Non EYZ'!BG95</f>
        <v>1.814625E-3</v>
      </c>
      <c r="BH95">
        <f>'TEA Revised Non EYZ'!BH95</f>
        <v>285.1951444</v>
      </c>
      <c r="BI95">
        <f>'TEA Revised Non EYZ'!BI95</f>
        <v>2169.8944889999998</v>
      </c>
      <c r="BJ95">
        <f>'TEA Revised Non EYZ'!BJ95</f>
        <v>866.49409060000005</v>
      </c>
      <c r="BK95">
        <f>'TEA Revised Non EYZ'!BK95</f>
        <v>100</v>
      </c>
      <c r="BL95">
        <f>'TEA Revised Non EYZ'!BL95</f>
        <v>10.952322309941399</v>
      </c>
      <c r="BM95">
        <f>'TEA Revised Non EYZ'!BM95</f>
        <v>92.356857683566091</v>
      </c>
      <c r="BN95">
        <f>'TEA Revised Non EYZ'!BN95</f>
        <v>19.7159984504273</v>
      </c>
      <c r="BO95">
        <f>'TEA Revised Non EYZ'!BO95</f>
        <v>306.6650246783592</v>
      </c>
      <c r="BP95">
        <f>'TEA Revised Non EYZ'!BP95</f>
        <v>354.88797210769138</v>
      </c>
      <c r="BQ95">
        <f>'TEA Revised Non EYZ'!BQ95</f>
        <v>30.666502467835922</v>
      </c>
      <c r="BR95">
        <f>'TEA Revised Non EYZ'!BR95</f>
        <v>35.488797210769143</v>
      </c>
      <c r="BS95">
        <f>'eLLE Bals'!CF95</f>
        <v>6.5713933859648392</v>
      </c>
      <c r="BT95">
        <f>'eLLE Bals'!CG95</f>
        <v>11.82959907025638</v>
      </c>
      <c r="BU95">
        <f>BM95</f>
        <v>92.356857683566091</v>
      </c>
      <c r="BV95">
        <f>BU95*(AM95*2+AN95*2+AO95*3)</f>
        <v>0.3140347401968715</v>
      </c>
      <c r="BW95">
        <f>BN95*BA95*(AP95*2+AQ95*2+AR95*3)</f>
        <v>0.30044919127077152</v>
      </c>
      <c r="BX95">
        <f>BV95/(2*V95*BL95+BV95)</f>
        <v>0.12538823726630827</v>
      </c>
      <c r="BY95">
        <f>BU95*BX95</f>
        <v>11.58046358439765</v>
      </c>
      <c r="BZ95">
        <f>BW95/(2*BN95*BA95+BW95)</f>
        <v>7.0799729117728208E-2</v>
      </c>
      <c r="CA95">
        <f>2*BN95*BA95/0.04</f>
        <v>98.579992252136506</v>
      </c>
      <c r="CB95">
        <f>(BS95+BL95)*2</f>
        <v>35.047431391812481</v>
      </c>
      <c r="CC95">
        <f>(BU95+BL95)*2</f>
        <v>206.61835998701497</v>
      </c>
      <c r="CD95">
        <f>(BT95+BN95)*2</f>
        <v>63.091195041367357</v>
      </c>
      <c r="CE95">
        <f>(CA95+BN95)*2</f>
        <v>236.59198140512763</v>
      </c>
      <c r="CF95">
        <f>'TEA Revised Non EYZ'!CB95</f>
        <v>4047.9783257543413</v>
      </c>
      <c r="CG95">
        <f>'TEA Revised Non EYZ'!CC95</f>
        <v>4684.5212318215263</v>
      </c>
      <c r="CH95">
        <f>'TEA Revised Non EYZ'!CD95</f>
        <v>4890.707695899031</v>
      </c>
      <c r="CI95">
        <f>'TEA Revised Non EYZ'!CE95</f>
        <v>36132.128613328605</v>
      </c>
      <c r="CJ95">
        <f>BL95*V95</f>
        <v>1.09523223099414</v>
      </c>
      <c r="CK95">
        <f>CJ95/2*1.2</f>
        <v>0.65713933859648399</v>
      </c>
      <c r="CL95">
        <f>'eLLE Bals'!CB95*'Oxidant Feed Composition'!$N$20</f>
        <v>3.6507741033138016E-2</v>
      </c>
      <c r="CM95">
        <f>'eLLE Bals'!CB95*'Oxidant Feed Composition'!$N$21</f>
        <v>1.8253870516569002</v>
      </c>
      <c r="CN95">
        <f>'eLLE Bals'!CB95*'Oxidant Feed Composition'!$N$22</f>
        <v>0.54761611549707001</v>
      </c>
      <c r="CO95">
        <f>CN95/CK95</f>
        <v>0.83333333333333337</v>
      </c>
      <c r="CP95">
        <f>CO95</f>
        <v>0.83333333333333337</v>
      </c>
      <c r="CQ95">
        <f>CL95/CO95</f>
        <v>4.3809289239765618E-2</v>
      </c>
      <c r="CR95">
        <f>CM95/CO95</f>
        <v>2.19046446198828</v>
      </c>
      <c r="CS95">
        <f>BN95*BA95</f>
        <v>1.9715998450427301</v>
      </c>
      <c r="CT95">
        <f>CS95/2*1.2</f>
        <v>1.182959907025638</v>
      </c>
      <c r="CU95">
        <f>'eLLE Bals'!CC95*'Oxidant Feed Composition'!$N$20</f>
        <v>6.5719994834757697E-2</v>
      </c>
      <c r="CV95">
        <f>'eLLE Bals'!CC95*'Oxidant Feed Composition'!$N$21</f>
        <v>3.2859997417378835</v>
      </c>
      <c r="CW95">
        <f>'eLLE Bals'!CC95*'Oxidant Feed Composition'!$N$22</f>
        <v>0.98579992252136506</v>
      </c>
      <c r="CX95">
        <f>CU95/CP95</f>
        <v>7.8863993801709234E-2</v>
      </c>
      <c r="CY95">
        <f>CV95/CP95</f>
        <v>3.9431996900854598</v>
      </c>
      <c r="CZ95">
        <f>CJ95</f>
        <v>1.09523223099414</v>
      </c>
      <c r="DA95">
        <f>'eLLE Bals'!BQ95</f>
        <v>2.19046446198828</v>
      </c>
      <c r="DB95">
        <f>'eLLE Bals'!BU95</f>
        <v>5.4490319775251752</v>
      </c>
      <c r="DC95">
        <f>CS95</f>
        <v>1.9715998450427301</v>
      </c>
      <c r="DD95">
        <f>'eLLE Bals'!BX95</f>
        <v>3.9431996900854602</v>
      </c>
      <c r="DE95">
        <f>'eLLE Bals'!CA95</f>
        <v>21.932762448679501</v>
      </c>
      <c r="DF95">
        <f>2*2*(CJ95*'Reagent cost'!$C$36*122.44/1000+CK95*'Oxidant Feed Composition'!$N$26+CQ95*'Reagent cost'!$C$34+CR95*'Reagent cost'!$C$35)</f>
        <v>92.511760310256193</v>
      </c>
      <c r="DG95">
        <f>2*2*(CS95*'Reagent cost'!$C$36*122.44/1000+CT95*'Oxidant Feed Composition'!$N$26+CX95*'Reagent cost'!$C$34+CY95*'Reagent cost'!$C$35)</f>
        <v>166.53652725940199</v>
      </c>
      <c r="DH95">
        <f>(AF95+3)*2*(CZ95*'Reagent cost'!$C$38+DA95*'Reagent cost'!$C$39+DB95*'Reagent cost'!$C$36*122.44/1000)</f>
        <v>1039.9677490897918</v>
      </c>
      <c r="DI95">
        <f>3*2*(DC95*'Reagent cost'!$C$38+DD95*'Reagent cost'!$C$39+DE95*'Reagent cost'!$C$36*122.44/1000)</f>
        <v>1190.6101174176574</v>
      </c>
      <c r="DJ95">
        <f>7963.6*(CB95/1000)^0.6*1.7*('CAPEX+OPEX'!$G$116/'CAPEX+OPEX'!$G$115)</f>
        <v>2138.1326451989207</v>
      </c>
      <c r="DK95">
        <f>7963.6*(CC95/1000)^0.6*1.7*('CAPEX+OPEX'!$G$116/'CAPEX+OPEX'!$G$115)</f>
        <v>6199.2945816251477</v>
      </c>
      <c r="DL95">
        <f>7963.6*(CD95/1000)^0.6*1.7*('CAPEX+OPEX'!$G$116/'CAPEX+OPEX'!$G$115)</f>
        <v>3042.441105507577</v>
      </c>
      <c r="DM95">
        <f>7963.6*(CE95/1000)^0.6*1.7*('CAPEX+OPEX'!$G$116/'CAPEX+OPEX'!$G$115)</f>
        <v>6724.2049295679135</v>
      </c>
      <c r="DN95">
        <f>'TEA Revised Non EYZ'!CM95</f>
        <v>39625.826528698344</v>
      </c>
      <c r="DO95">
        <f>'TEA Revised Non EYZ'!CN95</f>
        <v>4586243.4239371875</v>
      </c>
      <c r="DP95">
        <f>'TEA Revised Non EYZ'!CO95</f>
        <v>11794834.586807497</v>
      </c>
      <c r="DQ95">
        <f>'TEA Revised Non EYZ'!CP95</f>
        <v>2275209.1661185985</v>
      </c>
      <c r="DR95">
        <f>'TEA Revised Non EYZ'!CQ95</f>
        <v>14083914.336508472</v>
      </c>
      <c r="DS95">
        <f>'TEA Revised Non EYZ'!CR95</f>
        <v>1662824.8986326549</v>
      </c>
      <c r="DT95">
        <f>'TEA Revised Non EYZ'!CS95</f>
        <v>936765.86395108781</v>
      </c>
      <c r="DU95">
        <f>'TEA Revised Non EYZ'!CT95</f>
        <v>2409160.916797909</v>
      </c>
      <c r="DV95">
        <f>'TEA Revised Non EYZ'!CU95</f>
        <v>464724.19432521454</v>
      </c>
      <c r="DW95">
        <f>'TEA Revised Non EYZ'!CV95</f>
        <v>2876718.2553791031</v>
      </c>
      <c r="DX95">
        <f>'TEA Revised Non EYZ'!CW95</f>
        <v>339641.28346021532</v>
      </c>
      <c r="DY95">
        <f>'TEA Revised Non EYZ'!CX95</f>
        <v>7027010.5139135299</v>
      </c>
      <c r="DZ95">
        <f>'TEA Revised Non EYZ'!CY95</f>
        <v>661084.27072256745</v>
      </c>
      <c r="EA95">
        <f>'TEA Revised Non EYZ'!CZ95</f>
        <v>1700166.9777089746</v>
      </c>
      <c r="EB95">
        <f>'TEA Revised Non EYZ'!DA95</f>
        <v>327960.13061024435</v>
      </c>
      <c r="EC95">
        <f>'TEA Revised Non EYZ'!DB95</f>
        <v>2030126.4842320178</v>
      </c>
      <c r="ED95">
        <f>'TEA Revised Non EYZ'!DC95</f>
        <v>239687.97201527501</v>
      </c>
      <c r="EE95">
        <f>'TEA Revised Non EYZ'!DD95</f>
        <v>4959025.8352890788</v>
      </c>
      <c r="EF95">
        <v>0.7</v>
      </c>
      <c r="EG95">
        <v>100</v>
      </c>
      <c r="EH95">
        <f>96485*BL95*V95/EF95/EG95/60</f>
        <v>25.160352811302293</v>
      </c>
      <c r="EI95">
        <f>96485*BN95*BA95/EF95/EG95/60</f>
        <v>45.292812154511388</v>
      </c>
      <c r="EJ95">
        <f>EH95*('CAPEX+OPEX'!$O$25+'CAPEX+OPEX'!$O$26)</f>
        <v>801910.76480182668</v>
      </c>
      <c r="EK95">
        <f>EI95*('CAPEX+OPEX'!$O$25+'CAPEX+OPEX'!$O$26)</f>
        <v>1443572.508988587</v>
      </c>
      <c r="EL95">
        <f>EJ95*1.12/0.6*'CAPEX+OPEX'!$G$116/'CAPEX+OPEX'!$G$115</f>
        <v>1765531.1495937889</v>
      </c>
      <c r="EM95">
        <f>EK95*1.12/0.6*'CAPEX+OPEX'!$G$116/'CAPEX+OPEX'!$G$115</f>
        <v>3178249.1808130969</v>
      </c>
      <c r="EN95">
        <f>EL95+EM95+DY95+EE95+1.15*(SUM(DF95:DM95)+SUM(CF95:CI95))</f>
        <v>17010718.070184693</v>
      </c>
      <c r="EO95">
        <f>EN95/15</f>
        <v>1134047.8713456462</v>
      </c>
      <c r="EP95">
        <f>('eLLE Bals'!CB95+'eLLE Bals'!CC95)*'Oxidant Feed Composition'!$N$25*60*7200</f>
        <v>12349415.141308546</v>
      </c>
      <c r="EQ95" s="83">
        <f>('eLLE Bals'!BR95+'eLLE Bals'!BY95)*'Reagent cost'!$C$38*60*7200</f>
        <v>505299.09435711673</v>
      </c>
      <c r="ER95">
        <f>'TEA Revised Non EYZ'!DI95</f>
        <v>504921.59999999998</v>
      </c>
      <c r="ES95">
        <f>'TEA Revised Non EYZ'!DJ95</f>
        <v>87.324995575758678</v>
      </c>
      <c r="ET95">
        <f>'TEA Revised Non EYZ'!DK95</f>
        <v>820.45672618455274</v>
      </c>
      <c r="EU95">
        <f>1.2*SUM(EP95:ET95)</f>
        <v>16032652.340864904</v>
      </c>
      <c r="EV95">
        <f>'TEA Revised Non EYZ'!DM95</f>
        <v>0.70639694042110623</v>
      </c>
      <c r="EW95">
        <f>(BS95*CO95+BT95*CP95)/1000*('Oxidant Feed Composition'!$B$11*'Oxidant Feed Composition'!$O$20+'Oxidant Feed Composition'!$D$11*'Oxidant Feed Composition'!$O$21+'Oxidant Feed Composition'!$F$11*'Oxidant Feed Composition'!$O$27-'Oxidant Feed Composition'!$J$15*18.015)</f>
        <v>1.7907928662860542</v>
      </c>
      <c r="EX95">
        <f>(CZ95*BX95+DC95*BZ95)*368.34/1000</f>
        <v>0.10199996646919054</v>
      </c>
      <c r="EY95">
        <f>'TEA Revised Non EYZ'!DP95</f>
        <v>4.999938342565946E-2</v>
      </c>
      <c r="EZ95">
        <f>SUM(EV95:EX95)-EY95</f>
        <v>2.5491903897506916</v>
      </c>
      <c r="FA95">
        <f>EZ95*0.33*60*7200</f>
        <v>363412.58196285862</v>
      </c>
      <c r="FB95">
        <f>'TEA Revised Non EYZ'!DS95</f>
        <v>1.2</v>
      </c>
      <c r="FC95">
        <v>0.5</v>
      </c>
      <c r="FD95">
        <f>'TEA Revised Non EYZ'!DT95</f>
        <v>1405.7111739241</v>
      </c>
      <c r="FE95">
        <f>'TEA Revised Non EYZ'!DU95</f>
        <v>705.9705211146869</v>
      </c>
      <c r="FF95">
        <f>'TEA Revised Non EYZ'!DV95</f>
        <v>0.7</v>
      </c>
      <c r="FG95">
        <f>'TEA Revised Non EYZ'!DW95</f>
        <v>52288.524762496963</v>
      </c>
      <c r="FH95">
        <f>'TEA Revised Non EYZ'!DX95</f>
        <v>53983.928663982973</v>
      </c>
      <c r="FI95">
        <f>'TEA Revised Non EYZ'!DY95</f>
        <v>22856.098829508919</v>
      </c>
      <c r="FJ95">
        <f>'TEA Revised Non EYZ'!DZ95</f>
        <v>12107.513206066582</v>
      </c>
      <c r="FK95">
        <f>'TEA Revised Non EYZ'!EA95</f>
        <v>12189.919375738094</v>
      </c>
      <c r="FL95">
        <f>'TEA Revised Non EYZ'!EB95</f>
        <v>850.17411798929584</v>
      </c>
      <c r="FM95">
        <f>'TEA Revised Non EYZ'!EC95</f>
        <v>35999.086166212779</v>
      </c>
      <c r="FN95">
        <f>'TEA Revised Non EYZ'!ED95</f>
        <v>31035.068806562878</v>
      </c>
      <c r="FO95">
        <f>'TEA Revised Non EYZ'!EE95</f>
        <v>13139.847680197989</v>
      </c>
      <c r="FP95">
        <f>'TEA Revised Non EYZ'!EF95</f>
        <v>6964.4190203834751</v>
      </c>
      <c r="FQ95">
        <f>'TEA Revised Non EYZ'!EG95</f>
        <v>7007.9187627722622</v>
      </c>
      <c r="FR95">
        <f>'TEA Revised Non EYZ'!EH95</f>
        <v>426.97097117016267</v>
      </c>
      <c r="FS95">
        <f>'TEA Revised Non EYZ'!EI95</f>
        <v>248849.47036308239</v>
      </c>
      <c r="FT95">
        <f>EG95*EH95</f>
        <v>2516.0352811302291</v>
      </c>
      <c r="FU95">
        <f>EG95*EI95</f>
        <v>4529.2812154511385</v>
      </c>
      <c r="FV95">
        <f>FC95*(FT95+FU95)/(3.6*10^6)*3600*7200*0.07</f>
        <v>1775.419757138505</v>
      </c>
      <c r="FW95">
        <f>('CAPEX+OPEX'!$C$39/7/100+0.03)*EL95</f>
        <v>90798.744836251994</v>
      </c>
      <c r="FX95">
        <f>('CAPEX+OPEX'!$C$39/7/100+0.03)*EM95</f>
        <v>163452.81501324498</v>
      </c>
      <c r="FY95">
        <f>SUM(FV95:FX95)</f>
        <v>256026.97960663546</v>
      </c>
      <c r="FZ95">
        <f>FY95+FA95+FS95+EU95</f>
        <v>16900941.372797482</v>
      </c>
      <c r="GA95">
        <f>FZ95+EO95</f>
        <v>18034989.244143128</v>
      </c>
      <c r="GB95">
        <f>GA95/(BK95*60*7200)</f>
        <v>0.41747660287368354</v>
      </c>
      <c r="GC95">
        <f>'TEA Revised Non EYZ'!EM95/'TEA Revised Non EYZ'!EK95*GA95</f>
        <v>1396.8231597028382</v>
      </c>
      <c r="GD95">
        <f>'TEA Revised Non EYZ'!EN95/'TEA Revised Non EYZ'!EK95*GA95</f>
        <v>2562.6443874544075</v>
      </c>
    </row>
    <row r="96" spans="1:186">
      <c r="A96">
        <f>'TEA Revised Non EYZ'!A96</f>
        <v>12</v>
      </c>
      <c r="B96">
        <f>'TEA Revised Non EYZ'!B96</f>
        <v>1.54143585092054E-3</v>
      </c>
      <c r="C96">
        <f>'TEA Revised Non EYZ'!C96</f>
        <v>1.54143585092054E-3</v>
      </c>
      <c r="D96">
        <f>'TEA Revised Non EYZ'!D96</f>
        <v>3.4254130020456501E-4</v>
      </c>
      <c r="E96">
        <f>'TEA Revised Non EYZ'!E96</f>
        <v>0</v>
      </c>
      <c r="F96">
        <f>'TEA Revised Non EYZ'!F96</f>
        <v>0</v>
      </c>
      <c r="G96">
        <f>'TEA Revised Non EYZ'!G96</f>
        <v>0</v>
      </c>
      <c r="H96">
        <f>'TEA Revised Non EYZ'!H96</f>
        <v>1.7771599281349402E-5</v>
      </c>
      <c r="I96">
        <f>'TEA Revised Non EYZ'!I96</f>
        <v>6.3113732322488897E-11</v>
      </c>
      <c r="J96">
        <f>'TEA Revised Non EYZ'!J96</f>
        <v>3.37661562480901E-4</v>
      </c>
      <c r="K96">
        <f>'TEA Revised Non EYZ'!K96</f>
        <v>0.13911791568267901</v>
      </c>
      <c r="L96">
        <f>'TEA Revised Non EYZ'!L96</f>
        <v>0.140740543921716</v>
      </c>
      <c r="M96">
        <f>'TEA Revised Non EYZ'!M96</f>
        <v>4.45543656000266E-4</v>
      </c>
      <c r="N96">
        <f>'TEA Revised Non EYZ'!N96</f>
        <v>-4.7646348672047899E-15</v>
      </c>
      <c r="O96">
        <f>'TEA Revised Non EYZ'!O96</f>
        <v>-1.1300289697036E-11</v>
      </c>
      <c r="P96">
        <f>'TEA Revised Non EYZ'!P96</f>
        <v>-4.6756218688437302E-19</v>
      </c>
      <c r="Q96">
        <f>'TEA Revised Non EYZ'!Q96</f>
        <v>0.10952322309941399</v>
      </c>
      <c r="R96">
        <f>'TEA Revised Non EYZ'!R96</f>
        <v>98.575430839799395</v>
      </c>
      <c r="S96">
        <f>'TEA Revised Non EYZ'!S96</f>
        <v>500</v>
      </c>
      <c r="T96">
        <f>'TEA Revised Non EYZ'!T96</f>
        <v>95</v>
      </c>
      <c r="U96">
        <f>'TEA Revised Non EYZ'!U96</f>
        <v>1</v>
      </c>
      <c r="V96">
        <f>'TEA Revised Non EYZ'!V96</f>
        <v>0.1</v>
      </c>
      <c r="W96">
        <f>'TEA Revised Non EYZ'!W96</f>
        <v>91.304836700459305</v>
      </c>
      <c r="X96" t="str">
        <f>'TEA Revised Non EYZ'!X96</f>
        <v>ddFc</v>
      </c>
      <c r="Y96">
        <f>'TEA Revised Non EYZ'!Y96</f>
        <v>1</v>
      </c>
      <c r="Z96">
        <f>'TEA Revised Non EYZ'!Z96</f>
        <v>0.28318429382522198</v>
      </c>
      <c r="AA96">
        <f>'TEA Revised Non EYZ'!AA96</f>
        <v>0.56945642916197003</v>
      </c>
      <c r="AB96">
        <f>'TEA Revised Non EYZ'!AB96</f>
        <v>3.7698628972227502E-3</v>
      </c>
      <c r="AC96">
        <f>'TEA Revised Non EYZ'!AC96</f>
        <v>1822.2107908876901</v>
      </c>
      <c r="AD96">
        <f>'TEA Revised Non EYZ'!AD96</f>
        <v>2662.6059073104898</v>
      </c>
      <c r="AE96">
        <f>'TEA Revised Non EYZ'!AE96</f>
        <v>2401.5030938442701</v>
      </c>
      <c r="AF96">
        <f>'TEA Revised Non EYZ'!AF96</f>
        <v>8</v>
      </c>
      <c r="AG96">
        <f>'TEA Revised Non EYZ'!AG96</f>
        <v>1.6497575706444501E-3</v>
      </c>
      <c r="AH96">
        <f>'TEA Revised Non EYZ'!AH96</f>
        <v>1.66899983148883E-3</v>
      </c>
      <c r="AI96">
        <f>'TEA Revised Non EYZ'!AI96</f>
        <v>5.28356837386519E-6</v>
      </c>
      <c r="AJ96">
        <f>'TEA Revised Non EYZ'!AJ96</f>
        <v>0</v>
      </c>
      <c r="AK96">
        <f>'TEA Revised Non EYZ'!AK96</f>
        <v>0</v>
      </c>
      <c r="AL96">
        <f>'TEA Revised Non EYZ'!AL96</f>
        <v>0</v>
      </c>
      <c r="AM96">
        <f>'TEA Revised Non EYZ'!AM96</f>
        <v>1.6127563603415801E-3</v>
      </c>
      <c r="AN96">
        <f>'TEA Revised Non EYZ'!AN96</f>
        <v>7.96331411021806E-5</v>
      </c>
      <c r="AO96">
        <f>'TEA Revised Non EYZ'!AO96</f>
        <v>5.2487726000077404E-6</v>
      </c>
      <c r="AP96">
        <f>'TEA Revised Non EYZ'!AP96</f>
        <v>1.73509236363433E-3</v>
      </c>
      <c r="AQ96">
        <f>'TEA Revised Non EYZ'!AQ96</f>
        <v>7.4529940711020898E-2</v>
      </c>
      <c r="AR96">
        <f>'TEA Revised Non EYZ'!AR96</f>
        <v>1.63167315397143E-6</v>
      </c>
      <c r="AS96">
        <f>'TEA Revised Non EYZ'!AS96</f>
        <v>5.0297494034318102E-15</v>
      </c>
      <c r="AT96">
        <f>'TEA Revised Non EYZ'!AT96</f>
        <v>-1.17018894574272E-12</v>
      </c>
      <c r="AU96">
        <f>'TEA Revised Non EYZ'!AU96</f>
        <v>2.31875269310864E-20</v>
      </c>
      <c r="AV96">
        <f>'TEA Revised Non EYZ'!AV96</f>
        <v>0.19695294528304</v>
      </c>
      <c r="AW96">
        <f>'TEA Revised Non EYZ'!AW96</f>
        <v>99.341434208941706</v>
      </c>
      <c r="AX96">
        <f>'TEA Revised Non EYZ'!AX96</f>
        <v>500</v>
      </c>
      <c r="AY96">
        <f>'TEA Revised Non EYZ'!AY96</f>
        <v>95</v>
      </c>
      <c r="AZ96">
        <f>'TEA Revised Non EYZ'!AZ96</f>
        <v>0.92356857683566096</v>
      </c>
      <c r="BA96">
        <f>'TEA Revised Non EYZ'!BA96</f>
        <v>0.1</v>
      </c>
      <c r="BB96">
        <f>'TEA Revised Non EYZ'!BB96</f>
        <v>46.892854306311698</v>
      </c>
      <c r="BC96" t="str">
        <f>'TEA Revised Non EYZ'!BC96</f>
        <v>coeFc</v>
      </c>
      <c r="BD96">
        <f>'TEA Revised Non EYZ'!BD96</f>
        <v>1</v>
      </c>
      <c r="BE96">
        <f>'TEA Revised Non EYZ'!BE96</f>
        <v>1.8775014999999999E-2</v>
      </c>
      <c r="BF96">
        <f>'TEA Revised Non EYZ'!BF96</f>
        <v>0.10492961100000001</v>
      </c>
      <c r="BG96">
        <f>'TEA Revised Non EYZ'!BG96</f>
        <v>1.814625E-3</v>
      </c>
      <c r="BH96">
        <f>'TEA Revised Non EYZ'!BH96</f>
        <v>285.1951444</v>
      </c>
      <c r="BI96">
        <f>'TEA Revised Non EYZ'!BI96</f>
        <v>2169.8944889999998</v>
      </c>
      <c r="BJ96">
        <f>'TEA Revised Non EYZ'!BJ96</f>
        <v>866.49409060000005</v>
      </c>
      <c r="BK96">
        <f>'TEA Revised Non EYZ'!BK96</f>
        <v>100</v>
      </c>
      <c r="BL96">
        <f>'TEA Revised Non EYZ'!BL96</f>
        <v>10.952322309941399</v>
      </c>
      <c r="BM96">
        <f>'TEA Revised Non EYZ'!BM96</f>
        <v>92.356857683566091</v>
      </c>
      <c r="BN96">
        <f>'TEA Revised Non EYZ'!BN96</f>
        <v>19.695294528304</v>
      </c>
      <c r="BO96">
        <f>'TEA Revised Non EYZ'!BO96</f>
        <v>306.6650246783592</v>
      </c>
      <c r="BP96">
        <f>'TEA Revised Non EYZ'!BP96</f>
        <v>393.90589056608002</v>
      </c>
      <c r="BQ96">
        <f>'TEA Revised Non EYZ'!BQ96</f>
        <v>30.666502467835922</v>
      </c>
      <c r="BR96">
        <f>'TEA Revised Non EYZ'!BR96</f>
        <v>39.390589056608007</v>
      </c>
      <c r="BS96">
        <f>'eLLE Bals'!CF96</f>
        <v>6.5713933859648392</v>
      </c>
      <c r="BT96">
        <f>'eLLE Bals'!CG96</f>
        <v>11.8171767169824</v>
      </c>
      <c r="BU96">
        <f>BM96</f>
        <v>92.356857683566091</v>
      </c>
      <c r="BV96">
        <f>BU96*(AM96*2+AN96*2+AO96*3)</f>
        <v>0.3140618330921025</v>
      </c>
      <c r="BW96">
        <f>BN96*BA96*(AP96*2+AQ96*2+AR96*3)</f>
        <v>0.30042209860823854</v>
      </c>
      <c r="BX96">
        <f>BV96/(2*V96*BL96+BV96)</f>
        <v>0.12539769844262014</v>
      </c>
      <c r="BY96">
        <f>BU96*BX96</f>
        <v>11.581337388911805</v>
      </c>
      <c r="BZ96">
        <f>BW96/(2*BN96*BA96+BW96)</f>
        <v>7.0862942493602837E-2</v>
      </c>
      <c r="CA96">
        <f>2*BN96*BA96/0.04</f>
        <v>98.476472641520004</v>
      </c>
      <c r="CB96">
        <f>(BS96+BL96)*2</f>
        <v>35.047431391812481</v>
      </c>
      <c r="CC96">
        <f>(BU96+BL96)*2</f>
        <v>206.61835998701497</v>
      </c>
      <c r="CD96">
        <f>(BT96+BN96)*2</f>
        <v>63.024942490572798</v>
      </c>
      <c r="CE96">
        <f>(CA96+BN96)*2</f>
        <v>236.34353433964802</v>
      </c>
      <c r="CF96">
        <f>'TEA Revised Non EYZ'!CB96</f>
        <v>4047.9783257543413</v>
      </c>
      <c r="CG96">
        <f>'TEA Revised Non EYZ'!CC96</f>
        <v>5199.5577554722568</v>
      </c>
      <c r="CH96">
        <f>'TEA Revised Non EYZ'!CD96</f>
        <v>4890.707695899031</v>
      </c>
      <c r="CI96">
        <f>'TEA Revised Non EYZ'!CE96</f>
        <v>40104.651095817979</v>
      </c>
      <c r="CJ96">
        <f>BL96*V96</f>
        <v>1.09523223099414</v>
      </c>
      <c r="CK96">
        <f>CJ96/2*1.2</f>
        <v>0.65713933859648399</v>
      </c>
      <c r="CL96">
        <f>'eLLE Bals'!CB96*'Oxidant Feed Composition'!$N$20</f>
        <v>3.6507741033138016E-2</v>
      </c>
      <c r="CM96">
        <f>'eLLE Bals'!CB96*'Oxidant Feed Composition'!$N$21</f>
        <v>1.8253870516569002</v>
      </c>
      <c r="CN96">
        <f>'eLLE Bals'!CB96*'Oxidant Feed Composition'!$N$22</f>
        <v>0.54761611549707001</v>
      </c>
      <c r="CO96">
        <f>CN96/CK96</f>
        <v>0.83333333333333337</v>
      </c>
      <c r="CP96">
        <f>CO96</f>
        <v>0.83333333333333337</v>
      </c>
      <c r="CQ96">
        <f>CL96/CO96</f>
        <v>4.3809289239765618E-2</v>
      </c>
      <c r="CR96">
        <f>CM96/CO96</f>
        <v>2.19046446198828</v>
      </c>
      <c r="CS96">
        <f>BN96*BA96</f>
        <v>1.9695294528304002</v>
      </c>
      <c r="CT96">
        <f>CS96/2*1.2</f>
        <v>1.18171767169824</v>
      </c>
      <c r="CU96">
        <f>'eLLE Bals'!CC96*'Oxidant Feed Composition'!$N$20</f>
        <v>6.5650981761013361E-2</v>
      </c>
      <c r="CV96">
        <f>'eLLE Bals'!CC96*'Oxidant Feed Composition'!$N$21</f>
        <v>3.2825490880506671</v>
      </c>
      <c r="CW96">
        <f>'eLLE Bals'!CC96*'Oxidant Feed Composition'!$N$22</f>
        <v>0.98476472641520008</v>
      </c>
      <c r="CX96">
        <f>CU96/CP96</f>
        <v>7.8781178113216027E-2</v>
      </c>
      <c r="CY96">
        <f>CV96/CP96</f>
        <v>3.9390589056608003</v>
      </c>
      <c r="CZ96">
        <f>CJ96</f>
        <v>1.09523223099414</v>
      </c>
      <c r="DA96">
        <f>'eLLE Bals'!BQ96</f>
        <v>2.19046446198828</v>
      </c>
      <c r="DB96">
        <f>'eLLE Bals'!BU96</f>
        <v>5.4483729494449484</v>
      </c>
      <c r="DC96">
        <f>CS96</f>
        <v>1.9695294528304002</v>
      </c>
      <c r="DD96">
        <f>'eLLE Bals'!BX96</f>
        <v>3.9390589056608003</v>
      </c>
      <c r="DE96">
        <f>'eLLE Bals'!CA96</f>
        <v>21.884915319516512</v>
      </c>
      <c r="DF96">
        <f>2*2*(CJ96*'Reagent cost'!$C$36*122.44/1000+CK96*'Oxidant Feed Composition'!$N$26+CQ96*'Reagent cost'!$C$34+CR96*'Reagent cost'!$C$35)</f>
        <v>92.511760310256193</v>
      </c>
      <c r="DG96">
        <f>2*2*(CS96*'Reagent cost'!$C$36*122.44/1000+CT96*'Oxidant Feed Composition'!$N$26+CX96*'Reagent cost'!$C$34+CY96*'Reagent cost'!$C$35)</f>
        <v>166.36164596694641</v>
      </c>
      <c r="DH96">
        <f>(AF96+3)*2*(CZ96*'Reagent cost'!$C$38+DA96*'Reagent cost'!$C$39+DB96*'Reagent cost'!$C$36*122.44/1000)</f>
        <v>1143.8391586149598</v>
      </c>
      <c r="DI96">
        <f>3*2*(DC96*'Reagent cost'!$C$38+DD96*'Reagent cost'!$C$39+DE96*'Reagent cost'!$C$36*122.44/1000)</f>
        <v>1188.0724204853009</v>
      </c>
      <c r="DJ96">
        <f>7963.6*(CB96/1000)^0.6*1.7*('CAPEX+OPEX'!$G$116/'CAPEX+OPEX'!$G$115)</f>
        <v>2138.1326451989207</v>
      </c>
      <c r="DK96">
        <f>7963.6*(CC96/1000)^0.6*1.7*('CAPEX+OPEX'!$G$116/'CAPEX+OPEX'!$G$115)</f>
        <v>6199.2945816251477</v>
      </c>
      <c r="DL96">
        <f>7963.6*(CD96/1000)^0.6*1.7*('CAPEX+OPEX'!$G$116/'CAPEX+OPEX'!$G$115)</f>
        <v>3040.5237681823655</v>
      </c>
      <c r="DM96">
        <f>7963.6*(CE96/1000)^0.6*1.7*('CAPEX+OPEX'!$G$116/'CAPEX+OPEX'!$G$115)</f>
        <v>6719.9673556439693</v>
      </c>
      <c r="DN96">
        <f>'TEA Revised Non EYZ'!CM96</f>
        <v>39625.826528698344</v>
      </c>
      <c r="DO96">
        <f>'TEA Revised Non EYZ'!CN96</f>
        <v>4586243.4239371875</v>
      </c>
      <c r="DP96">
        <f>'TEA Revised Non EYZ'!CO96</f>
        <v>11794834.586807497</v>
      </c>
      <c r="DQ96">
        <f>'TEA Revised Non EYZ'!CP96</f>
        <v>2275209.1661185985</v>
      </c>
      <c r="DR96">
        <f>'TEA Revised Non EYZ'!CQ96</f>
        <v>14083914.336508472</v>
      </c>
      <c r="DS96">
        <f>'TEA Revised Non EYZ'!CR96</f>
        <v>1662824.8986326549</v>
      </c>
      <c r="DT96">
        <f>'TEA Revised Non EYZ'!CS96</f>
        <v>936765.86395108781</v>
      </c>
      <c r="DU96">
        <f>'TEA Revised Non EYZ'!CT96</f>
        <v>2409160.916797909</v>
      </c>
      <c r="DV96">
        <f>'TEA Revised Non EYZ'!CU96</f>
        <v>464724.19432521454</v>
      </c>
      <c r="DW96">
        <f>'TEA Revised Non EYZ'!CV96</f>
        <v>2876718.2553791031</v>
      </c>
      <c r="DX96">
        <f>'TEA Revised Non EYZ'!CW96</f>
        <v>339641.28346021532</v>
      </c>
      <c r="DY96">
        <f>'TEA Revised Non EYZ'!CX96</f>
        <v>7027010.5139135299</v>
      </c>
      <c r="DZ96">
        <f>'TEA Revised Non EYZ'!CY96</f>
        <v>709493.36355675769</v>
      </c>
      <c r="EA96">
        <f>'TEA Revised Non EYZ'!CZ96</f>
        <v>1824664.7833632834</v>
      </c>
      <c r="EB96">
        <f>'TEA Revised Non EYZ'!DA96</f>
        <v>351975.60505387571</v>
      </c>
      <c r="EC96">
        <f>'TEA Revised Non EYZ'!DB96</f>
        <v>2178786.1722517004</v>
      </c>
      <c r="ED96">
        <f>'TEA Revised Non EYZ'!DC96</f>
        <v>257239.55780001023</v>
      </c>
      <c r="EE96">
        <f>'TEA Revised Non EYZ'!DD96</f>
        <v>5322159.482025627</v>
      </c>
      <c r="EF96">
        <v>0.7</v>
      </c>
      <c r="EG96">
        <v>100</v>
      </c>
      <c r="EH96">
        <f>96485*BL96*V96/EF96/EG96/60</f>
        <v>25.160352811302293</v>
      </c>
      <c r="EI96">
        <f>96485*BN96*BA96/EF96/EG96/60</f>
        <v>45.245249822938369</v>
      </c>
      <c r="EJ96">
        <f>EH96*('CAPEX+OPEX'!$O$25+'CAPEX+OPEX'!$O$26)</f>
        <v>801910.76480182668</v>
      </c>
      <c r="EK96">
        <f>EI96*('CAPEX+OPEX'!$O$25+'CAPEX+OPEX'!$O$26)</f>
        <v>1442056.6023566916</v>
      </c>
      <c r="EL96">
        <f>EJ96*1.12/0.6*'CAPEX+OPEX'!$G$116/'CAPEX+OPEX'!$G$115</f>
        <v>1765531.1495937889</v>
      </c>
      <c r="EM96">
        <f>EK96*1.12/0.6*'CAPEX+OPEX'!$G$116/'CAPEX+OPEX'!$G$115</f>
        <v>3174911.6768214302</v>
      </c>
      <c r="EN96">
        <f>EL96+EM96+DY96+EE96+1.15*(SUM(DF96:DM96)+SUM(CF96:CI96))</f>
        <v>17375784.160294693</v>
      </c>
      <c r="EO96">
        <f>EN96/15</f>
        <v>1158385.6106863129</v>
      </c>
      <c r="EP96">
        <f>('eLLE Bals'!CB96+'eLLE Bals'!CC96)*'Oxidant Feed Composition'!$N$25*60*7200</f>
        <v>12341078.156334644</v>
      </c>
      <c r="EQ96" s="83">
        <f>('eLLE Bals'!BR96+'eLLE Bals'!BY96)*'Reagent cost'!$C$38*60*7200</f>
        <v>505277.70782161877</v>
      </c>
      <c r="ER96">
        <f>'TEA Revised Non EYZ'!DI96</f>
        <v>504921.59999999998</v>
      </c>
      <c r="ES96">
        <f>'TEA Revised Non EYZ'!DJ96</f>
        <v>92.475360812265976</v>
      </c>
      <c r="ET96">
        <f>'TEA Revised Non EYZ'!DK96</f>
        <v>899.90717583434014</v>
      </c>
      <c r="EU96">
        <f>1.2*SUM(EP96:ET96)</f>
        <v>16022723.816031491</v>
      </c>
      <c r="EV96">
        <f>'TEA Revised Non EYZ'!DM96</f>
        <v>0.70639694042110623</v>
      </c>
      <c r="EW96">
        <f>(BS96*CO96+BT96*CP96)/1000*('Oxidant Feed Composition'!$B$11*'Oxidant Feed Composition'!$O$20+'Oxidant Feed Composition'!$D$11*'Oxidant Feed Composition'!$O$21+'Oxidant Feed Composition'!$F$11*'Oxidant Feed Composition'!$O$27-'Oxidant Feed Composition'!$J$15*18.015)</f>
        <v>1.7895839172753714</v>
      </c>
      <c r="EX96">
        <f>(CZ96*BX96+DC96*BZ96)*368.34/1000</f>
        <v>0.10199564937080653</v>
      </c>
      <c r="EY96">
        <f>'TEA Revised Non EYZ'!DP96</f>
        <v>4.999938342565946E-2</v>
      </c>
      <c r="EZ96">
        <f>SUM(EV96:EX96)-EY96</f>
        <v>2.5479771236416249</v>
      </c>
      <c r="FA96">
        <f>EZ96*0.33*60*7200</f>
        <v>363239.61874635011</v>
      </c>
      <c r="FB96">
        <f>'TEA Revised Non EYZ'!DS96</f>
        <v>1.2</v>
      </c>
      <c r="FC96">
        <v>0.5</v>
      </c>
      <c r="FD96">
        <f>'TEA Revised Non EYZ'!DT96</f>
        <v>1405.8325155980081</v>
      </c>
      <c r="FE96">
        <f>'TEA Revised Non EYZ'!DU96</f>
        <v>705.84917997303262</v>
      </c>
      <c r="FF96">
        <f>'TEA Revised Non EYZ'!DV96</f>
        <v>0.7</v>
      </c>
      <c r="FG96">
        <f>'TEA Revised Non EYZ'!DW96</f>
        <v>52288.524762496963</v>
      </c>
      <c r="FH96">
        <f>'TEA Revised Non EYZ'!DX96</f>
        <v>53983.928663982973</v>
      </c>
      <c r="FI96">
        <f>'TEA Revised Non EYZ'!DY96</f>
        <v>22856.098829508919</v>
      </c>
      <c r="FJ96">
        <f>'TEA Revised Non EYZ'!DZ96</f>
        <v>12107.513206066582</v>
      </c>
      <c r="FK96">
        <f>'TEA Revised Non EYZ'!EA96</f>
        <v>12189.919375738094</v>
      </c>
      <c r="FL96">
        <f>'TEA Revised Non EYZ'!EB96</f>
        <v>850.24750543367531</v>
      </c>
      <c r="FM96">
        <f>'TEA Revised Non EYZ'!EC96</f>
        <v>38570.449463799399</v>
      </c>
      <c r="FN96">
        <f>'TEA Revised Non EYZ'!ED96</f>
        <v>34914.452407383229</v>
      </c>
      <c r="FO96">
        <f>'TEA Revised Non EYZ'!EE96</f>
        <v>14782.328640222735</v>
      </c>
      <c r="FP96">
        <f>'TEA Revised Non EYZ'!EF96</f>
        <v>7834.9713979314092</v>
      </c>
      <c r="FQ96">
        <f>'TEA Revised Non EYZ'!EG96</f>
        <v>7883.9086081187943</v>
      </c>
      <c r="FR96">
        <f>'TEA Revised Non EYZ'!EH96</f>
        <v>426.89758404769015</v>
      </c>
      <c r="FS96">
        <f>'TEA Revised Non EYZ'!EI96</f>
        <v>258689.24044473047</v>
      </c>
      <c r="FT96">
        <f>EG96*EH96</f>
        <v>2516.0352811302291</v>
      </c>
      <c r="FU96">
        <f>EG96*EI96</f>
        <v>4524.5249822938367</v>
      </c>
      <c r="FV96">
        <f>FC96*(FT96+FU96)/(3.6*10^6)*3600*7200*0.07</f>
        <v>1774.221186382865</v>
      </c>
      <c r="FW96">
        <f>('CAPEX+OPEX'!$C$39/7/100+0.03)*EL96</f>
        <v>90798.744836251994</v>
      </c>
      <c r="FX96">
        <f>('CAPEX+OPEX'!$C$39/7/100+0.03)*EM96</f>
        <v>163281.17195081641</v>
      </c>
      <c r="FY96">
        <f>SUM(FV96:FX96)</f>
        <v>255854.13797345129</v>
      </c>
      <c r="FZ96">
        <f>FY96+FA96+FS96+EU96</f>
        <v>16900506.813196022</v>
      </c>
      <c r="GA96">
        <f>FZ96+EO96</f>
        <v>18058892.423882335</v>
      </c>
      <c r="GB96">
        <f>GA96/(BK96*60*7200)</f>
        <v>0.4180299172194985</v>
      </c>
      <c r="GC96">
        <f>'TEA Revised Non EYZ'!EM96/'TEA Revised Non EYZ'!EK96*GA96</f>
        <v>1398.5536805282086</v>
      </c>
      <c r="GD96">
        <f>'TEA Revised Non EYZ'!EN96/'TEA Revised Non EYZ'!EK96*GA96</f>
        <v>2566.4475448913126</v>
      </c>
    </row>
    <row r="97" spans="1:186">
      <c r="A97">
        <f>'TEA Revised Non EYZ'!A97</f>
        <v>12</v>
      </c>
      <c r="B97">
        <f>'TEA Revised Non EYZ'!B97</f>
        <v>1.54143585092054E-3</v>
      </c>
      <c r="C97">
        <f>'TEA Revised Non EYZ'!C97</f>
        <v>1.54143585092054E-3</v>
      </c>
      <c r="D97">
        <f>'TEA Revised Non EYZ'!D97</f>
        <v>3.4254130020456501E-4</v>
      </c>
      <c r="E97">
        <f>'TEA Revised Non EYZ'!E97</f>
        <v>0</v>
      </c>
      <c r="F97">
        <f>'TEA Revised Non EYZ'!F97</f>
        <v>0</v>
      </c>
      <c r="G97">
        <f>'TEA Revised Non EYZ'!G97</f>
        <v>0</v>
      </c>
      <c r="H97">
        <f>'TEA Revised Non EYZ'!H97</f>
        <v>1.7771599281349402E-5</v>
      </c>
      <c r="I97">
        <f>'TEA Revised Non EYZ'!I97</f>
        <v>6.3113732322488897E-11</v>
      </c>
      <c r="J97">
        <f>'TEA Revised Non EYZ'!J97</f>
        <v>3.37661562480901E-4</v>
      </c>
      <c r="K97">
        <f>'TEA Revised Non EYZ'!K97</f>
        <v>0.13911791568267901</v>
      </c>
      <c r="L97">
        <f>'TEA Revised Non EYZ'!L97</f>
        <v>0.140740543921716</v>
      </c>
      <c r="M97">
        <f>'TEA Revised Non EYZ'!M97</f>
        <v>4.45543656000266E-4</v>
      </c>
      <c r="N97">
        <f>'TEA Revised Non EYZ'!N97</f>
        <v>-4.7646348672047899E-15</v>
      </c>
      <c r="O97">
        <f>'TEA Revised Non EYZ'!O97</f>
        <v>-1.1300289697036E-11</v>
      </c>
      <c r="P97">
        <f>'TEA Revised Non EYZ'!P97</f>
        <v>-4.6756218688437302E-19</v>
      </c>
      <c r="Q97">
        <f>'TEA Revised Non EYZ'!Q97</f>
        <v>0.10952322309941399</v>
      </c>
      <c r="R97">
        <f>'TEA Revised Non EYZ'!R97</f>
        <v>98.575430839799395</v>
      </c>
      <c r="S97">
        <f>'TEA Revised Non EYZ'!S97</f>
        <v>500</v>
      </c>
      <c r="T97">
        <f>'TEA Revised Non EYZ'!T97</f>
        <v>95</v>
      </c>
      <c r="U97">
        <f>'TEA Revised Non EYZ'!U97</f>
        <v>1</v>
      </c>
      <c r="V97">
        <f>'TEA Revised Non EYZ'!V97</f>
        <v>0.1</v>
      </c>
      <c r="W97">
        <f>'TEA Revised Non EYZ'!W97</f>
        <v>91.304836700459305</v>
      </c>
      <c r="X97" t="str">
        <f>'TEA Revised Non EYZ'!X97</f>
        <v>ddFc</v>
      </c>
      <c r="Y97">
        <f>'TEA Revised Non EYZ'!Y97</f>
        <v>1</v>
      </c>
      <c r="Z97">
        <f>'TEA Revised Non EYZ'!Z97</f>
        <v>0.28318429382522198</v>
      </c>
      <c r="AA97">
        <f>'TEA Revised Non EYZ'!AA97</f>
        <v>0.56945642916197003</v>
      </c>
      <c r="AB97">
        <f>'TEA Revised Non EYZ'!AB97</f>
        <v>3.7698628972227502E-3</v>
      </c>
      <c r="AC97">
        <f>'TEA Revised Non EYZ'!AC97</f>
        <v>1822.2107908876901</v>
      </c>
      <c r="AD97">
        <f>'TEA Revised Non EYZ'!AD97</f>
        <v>2662.6059073104898</v>
      </c>
      <c r="AE97">
        <f>'TEA Revised Non EYZ'!AE97</f>
        <v>2401.5030938442701</v>
      </c>
      <c r="AF97">
        <f>'TEA Revised Non EYZ'!AF97</f>
        <v>9</v>
      </c>
      <c r="AG97">
        <f>'TEA Revised Non EYZ'!AG97</f>
        <v>1.6497575706444501E-3</v>
      </c>
      <c r="AH97">
        <f>'TEA Revised Non EYZ'!AH97</f>
        <v>1.66899983148883E-3</v>
      </c>
      <c r="AI97">
        <f>'TEA Revised Non EYZ'!AI97</f>
        <v>5.28356837386519E-6</v>
      </c>
      <c r="AJ97">
        <f>'TEA Revised Non EYZ'!AJ97</f>
        <v>0</v>
      </c>
      <c r="AK97">
        <f>'TEA Revised Non EYZ'!AK97</f>
        <v>0</v>
      </c>
      <c r="AL97">
        <f>'TEA Revised Non EYZ'!AL97</f>
        <v>0</v>
      </c>
      <c r="AM97">
        <f>'TEA Revised Non EYZ'!AM97</f>
        <v>1.6127956996690499E-3</v>
      </c>
      <c r="AN97">
        <f>'TEA Revised Non EYZ'!AN97</f>
        <v>7.9635176101710897E-5</v>
      </c>
      <c r="AO97">
        <f>'TEA Revised Non EYZ'!AO97</f>
        <v>5.24880805907295E-6</v>
      </c>
      <c r="AP97">
        <f>'TEA Revised Non EYZ'!AP97</f>
        <v>1.7337624010389399E-3</v>
      </c>
      <c r="AQ97">
        <f>'TEA Revised Non EYZ'!AQ97</f>
        <v>7.4551980415071106E-2</v>
      </c>
      <c r="AR97">
        <f>'TEA Revised Non EYZ'!AR97</f>
        <v>1.6304944864730899E-6</v>
      </c>
      <c r="AS97">
        <f>'TEA Revised Non EYZ'!AS97</f>
        <v>3.6971294081755701E-17</v>
      </c>
      <c r="AT97">
        <f>'TEA Revised Non EYZ'!AT97</f>
        <v>-4.8275185932089499E-15</v>
      </c>
      <c r="AU97">
        <f>'TEA Revised Non EYZ'!AU97</f>
        <v>-1.13158307797254E-21</v>
      </c>
      <c r="AV97">
        <f>'TEA Revised Non EYZ'!AV97</f>
        <v>0.19689446808536701</v>
      </c>
      <c r="AW97">
        <f>'TEA Revised Non EYZ'!AW97</f>
        <v>99.342105328584793</v>
      </c>
      <c r="AX97">
        <f>'TEA Revised Non EYZ'!AX97</f>
        <v>500</v>
      </c>
      <c r="AY97">
        <f>'TEA Revised Non EYZ'!AY97</f>
        <v>95</v>
      </c>
      <c r="AZ97">
        <f>'TEA Revised Non EYZ'!AZ97</f>
        <v>0.92356857683566096</v>
      </c>
      <c r="BA97">
        <f>'TEA Revised Non EYZ'!BA97</f>
        <v>0.1</v>
      </c>
      <c r="BB97">
        <f>'TEA Revised Non EYZ'!BB97</f>
        <v>46.906781374641298</v>
      </c>
      <c r="BC97" t="str">
        <f>'TEA Revised Non EYZ'!BC97</f>
        <v>coeFc</v>
      </c>
      <c r="BD97">
        <f>'TEA Revised Non EYZ'!BD97</f>
        <v>1</v>
      </c>
      <c r="BE97">
        <f>'TEA Revised Non EYZ'!BE97</f>
        <v>1.8775014999999999E-2</v>
      </c>
      <c r="BF97">
        <f>'TEA Revised Non EYZ'!BF97</f>
        <v>0.10492961100000001</v>
      </c>
      <c r="BG97">
        <f>'TEA Revised Non EYZ'!BG97</f>
        <v>1.814625E-3</v>
      </c>
      <c r="BH97">
        <f>'TEA Revised Non EYZ'!BH97</f>
        <v>285.1951444</v>
      </c>
      <c r="BI97">
        <f>'TEA Revised Non EYZ'!BI97</f>
        <v>2169.8944889999998</v>
      </c>
      <c r="BJ97">
        <f>'TEA Revised Non EYZ'!BJ97</f>
        <v>866.49409060000005</v>
      </c>
      <c r="BK97">
        <f>'TEA Revised Non EYZ'!BK97</f>
        <v>100</v>
      </c>
      <c r="BL97">
        <f>'TEA Revised Non EYZ'!BL97</f>
        <v>10.952322309941399</v>
      </c>
      <c r="BM97">
        <f>'TEA Revised Non EYZ'!BM97</f>
        <v>92.356857683566091</v>
      </c>
      <c r="BN97">
        <f>'TEA Revised Non EYZ'!BN97</f>
        <v>19.689446808536701</v>
      </c>
      <c r="BO97">
        <f>'TEA Revised Non EYZ'!BO97</f>
        <v>306.6650246783592</v>
      </c>
      <c r="BP97">
        <f>'TEA Revised Non EYZ'!BP97</f>
        <v>433.16782978780742</v>
      </c>
      <c r="BQ97">
        <f>'TEA Revised Non EYZ'!BQ97</f>
        <v>30.666502467835922</v>
      </c>
      <c r="BR97">
        <f>'TEA Revised Non EYZ'!BR97</f>
        <v>43.316782978780743</v>
      </c>
      <c r="BS97">
        <f>'eLLE Bals'!CF97</f>
        <v>6.5713933859648392</v>
      </c>
      <c r="BT97">
        <f>'eLLE Bals'!CG97</f>
        <v>11.813668085122019</v>
      </c>
      <c r="BU97">
        <f>BM97</f>
        <v>92.356857683566091</v>
      </c>
      <c r="BV97">
        <f>BU97*(AM97*2+AN97*2+AO97*3)</f>
        <v>0.31406948532242701</v>
      </c>
      <c r="BW97">
        <f>BN97*BA97*(AP97*2+AQ97*2+AR97*3)</f>
        <v>0.30041444614584079</v>
      </c>
      <c r="BX97">
        <f>BV97/(2*V97*BL97+BV97)</f>
        <v>0.12540037065964521</v>
      </c>
      <c r="BY97">
        <f>BU97*BX97</f>
        <v>11.58158418647929</v>
      </c>
      <c r="BZ97">
        <f>BW97/(2*BN97*BA97+BW97)</f>
        <v>7.0880819253494973E-2</v>
      </c>
      <c r="CA97">
        <f>2*BN97*BA97/0.04</f>
        <v>98.447234042683505</v>
      </c>
      <c r="CB97">
        <f>(BS97+BL97)*2</f>
        <v>35.047431391812481</v>
      </c>
      <c r="CC97">
        <f>(BU97+BL97)*2</f>
        <v>206.61835998701497</v>
      </c>
      <c r="CD97">
        <f>(BT97+BN97)*2</f>
        <v>63.006229787317437</v>
      </c>
      <c r="CE97">
        <f>(CA97+BN97)*2</f>
        <v>236.27336170244041</v>
      </c>
      <c r="CF97">
        <f>'TEA Revised Non EYZ'!CB97</f>
        <v>4047.9783257543413</v>
      </c>
      <c r="CG97">
        <f>'TEA Revised Non EYZ'!CC97</f>
        <v>5717.8153531990583</v>
      </c>
      <c r="CH97">
        <f>'TEA Revised Non EYZ'!CD97</f>
        <v>4890.707695899031</v>
      </c>
      <c r="CI97">
        <f>'TEA Revised Non EYZ'!CE97</f>
        <v>44102.018008939682</v>
      </c>
      <c r="CJ97">
        <f>BL97*V97</f>
        <v>1.09523223099414</v>
      </c>
      <c r="CK97">
        <f>CJ97/2*1.2</f>
        <v>0.65713933859648399</v>
      </c>
      <c r="CL97">
        <f>'eLLE Bals'!CB97*'Oxidant Feed Composition'!$N$20</f>
        <v>3.6507741033138016E-2</v>
      </c>
      <c r="CM97">
        <f>'eLLE Bals'!CB97*'Oxidant Feed Composition'!$N$21</f>
        <v>1.8253870516569002</v>
      </c>
      <c r="CN97">
        <f>'eLLE Bals'!CB97*'Oxidant Feed Composition'!$N$22</f>
        <v>0.54761611549707001</v>
      </c>
      <c r="CO97">
        <f>CN97/CK97</f>
        <v>0.83333333333333337</v>
      </c>
      <c r="CP97">
        <f>CO97</f>
        <v>0.83333333333333337</v>
      </c>
      <c r="CQ97">
        <f>CL97/CO97</f>
        <v>4.3809289239765618E-2</v>
      </c>
      <c r="CR97">
        <f>CM97/CO97</f>
        <v>2.19046446198828</v>
      </c>
      <c r="CS97">
        <f>BN97*BA97</f>
        <v>1.9689446808536701</v>
      </c>
      <c r="CT97">
        <f>CS97/2*1.2</f>
        <v>1.181366808512202</v>
      </c>
      <c r="CU97">
        <f>'eLLE Bals'!CC97*'Oxidant Feed Composition'!$N$20</f>
        <v>6.563148936178903E-2</v>
      </c>
      <c r="CV97">
        <f>'eLLE Bals'!CC97*'Oxidant Feed Composition'!$N$21</f>
        <v>3.2815744680894503</v>
      </c>
      <c r="CW97">
        <f>'eLLE Bals'!CC97*'Oxidant Feed Composition'!$N$22</f>
        <v>0.98447234042683507</v>
      </c>
      <c r="CX97">
        <f>CU97/CP97</f>
        <v>7.8757787234146837E-2</v>
      </c>
      <c r="CY97">
        <f>CV97/CP97</f>
        <v>3.9378893617073403</v>
      </c>
      <c r="CZ97">
        <f>CJ97</f>
        <v>1.09523223099414</v>
      </c>
      <c r="DA97">
        <f>'eLLE Bals'!BQ97</f>
        <v>2.19046446198828</v>
      </c>
      <c r="DB97">
        <f>'eLLE Bals'!BU97</f>
        <v>5.4481868293206954</v>
      </c>
      <c r="DC97">
        <f>CS97</f>
        <v>1.9689446808536701</v>
      </c>
      <c r="DD97">
        <f>'eLLE Bals'!BX97</f>
        <v>3.9378893617073403</v>
      </c>
      <c r="DE97">
        <f>'eLLE Bals'!CA97</f>
        <v>21.871409798160194</v>
      </c>
      <c r="DF97">
        <f>2*2*(CJ97*'Reagent cost'!$C$36*122.44/1000+CK97*'Oxidant Feed Composition'!$N$26+CQ97*'Reagent cost'!$C$34+CR97*'Reagent cost'!$C$35)</f>
        <v>92.511760310256193</v>
      </c>
      <c r="DG97">
        <f>2*2*(CS97*'Reagent cost'!$C$36*122.44/1000+CT97*'Oxidant Feed Composition'!$N$26+CX97*'Reagent cost'!$C$34+CY97*'Reagent cost'!$C$35)</f>
        <v>166.31225161621742</v>
      </c>
      <c r="DH97">
        <f>(AF97+3)*2*(CZ97*'Reagent cost'!$C$38+DA97*'Reagent cost'!$C$39+DB97*'Reagent cost'!$C$36*122.44/1000)</f>
        <v>1247.7859128166083</v>
      </c>
      <c r="DI97">
        <f>3*2*(DC97*'Reagent cost'!$C$38+DD97*'Reagent cost'!$C$39+DE97*'Reagent cost'!$C$36*122.44/1000)</f>
        <v>1187.3561100111081</v>
      </c>
      <c r="DJ97">
        <f>7963.6*(CB97/1000)^0.6*1.7*('CAPEX+OPEX'!$G$116/'CAPEX+OPEX'!$G$115)</f>
        <v>2138.1326451989207</v>
      </c>
      <c r="DK97">
        <f>7963.6*(CC97/1000)^0.6*1.7*('CAPEX+OPEX'!$G$116/'CAPEX+OPEX'!$G$115)</f>
        <v>6199.2945816251477</v>
      </c>
      <c r="DL97">
        <f>7963.6*(CD97/1000)^0.6*1.7*('CAPEX+OPEX'!$G$116/'CAPEX+OPEX'!$G$115)</f>
        <v>3039.9820798045407</v>
      </c>
      <c r="DM97">
        <f>7963.6*(CE97/1000)^0.6*1.7*('CAPEX+OPEX'!$G$116/'CAPEX+OPEX'!$G$115)</f>
        <v>6718.7701513155544</v>
      </c>
      <c r="DN97">
        <f>'TEA Revised Non EYZ'!CM97</f>
        <v>39625.826528698344</v>
      </c>
      <c r="DO97">
        <f>'TEA Revised Non EYZ'!CN97</f>
        <v>4586243.4239371875</v>
      </c>
      <c r="DP97">
        <f>'TEA Revised Non EYZ'!CO97</f>
        <v>11794834.586807497</v>
      </c>
      <c r="DQ97">
        <f>'TEA Revised Non EYZ'!CP97</f>
        <v>2275209.1661185985</v>
      </c>
      <c r="DR97">
        <f>'TEA Revised Non EYZ'!CQ97</f>
        <v>14083914.336508472</v>
      </c>
      <c r="DS97">
        <f>'TEA Revised Non EYZ'!CR97</f>
        <v>1662824.8986326549</v>
      </c>
      <c r="DT97">
        <f>'TEA Revised Non EYZ'!CS97</f>
        <v>936765.86395108781</v>
      </c>
      <c r="DU97">
        <f>'TEA Revised Non EYZ'!CT97</f>
        <v>2409160.916797909</v>
      </c>
      <c r="DV97">
        <f>'TEA Revised Non EYZ'!CU97</f>
        <v>464724.19432521454</v>
      </c>
      <c r="DW97">
        <f>'TEA Revised Non EYZ'!CV97</f>
        <v>2876718.2553791031</v>
      </c>
      <c r="DX97">
        <f>'TEA Revised Non EYZ'!CW97</f>
        <v>339641.28346021532</v>
      </c>
      <c r="DY97">
        <f>'TEA Revised Non EYZ'!CX97</f>
        <v>7027010.5139135299</v>
      </c>
      <c r="DZ97">
        <f>'TEA Revised Non EYZ'!CY97</f>
        <v>755792.94187780574</v>
      </c>
      <c r="EA97">
        <f>'TEA Revised Non EYZ'!CZ97</f>
        <v>1943737.3700658206</v>
      </c>
      <c r="EB97">
        <f>'TEA Revised Non EYZ'!DA97</f>
        <v>374944.56139702629</v>
      </c>
      <c r="EC97">
        <f>'TEA Revised Non EYZ'!DB97</f>
        <v>2320967.7432269086</v>
      </c>
      <c r="ED97">
        <f>'TEA Revised Non EYZ'!DC97</f>
        <v>274026.30122200225</v>
      </c>
      <c r="EE97">
        <f>'TEA Revised Non EYZ'!DD97</f>
        <v>5669468.9177895635</v>
      </c>
      <c r="EF97">
        <v>0.7</v>
      </c>
      <c r="EG97">
        <v>100</v>
      </c>
      <c r="EH97">
        <f>96485*BL97*V97/EF97/EG97/60</f>
        <v>25.160352811302293</v>
      </c>
      <c r="EI97">
        <f>96485*BN97*BA97/EF97/EG97/60</f>
        <v>45.231816079087238</v>
      </c>
      <c r="EJ97">
        <f>EH97*('CAPEX+OPEX'!$O$25+'CAPEX+OPEX'!$O$26)</f>
        <v>801910.76480182668</v>
      </c>
      <c r="EK97">
        <f>EI97*('CAPEX+OPEX'!$O$25+'CAPEX+OPEX'!$O$26)</f>
        <v>1441628.4420726683</v>
      </c>
      <c r="EL97">
        <f>EJ97*1.12/0.6*'CAPEX+OPEX'!$G$116/'CAPEX+OPEX'!$G$115</f>
        <v>1765531.1495937889</v>
      </c>
      <c r="EM97">
        <f>EK97*1.12/0.6*'CAPEX+OPEX'!$G$116/'CAPEX+OPEX'!$G$115</f>
        <v>3173969.0154286143</v>
      </c>
      <c r="EN97">
        <f>EL97+EM97+DY97+EE97+1.15*(SUM(DF97:DM97)+SUM(CF97:CI97))</f>
        <v>17727460.561333463</v>
      </c>
      <c r="EO97">
        <f>EN97/15</f>
        <v>1181830.7040888974</v>
      </c>
      <c r="EP97">
        <f>('eLLE Bals'!CB97+'eLLE Bals'!CC97)*'Oxidant Feed Composition'!$N$25*60*7200</f>
        <v>12338723.416419124</v>
      </c>
      <c r="EQ97" s="83">
        <f>('eLLE Bals'!BR97+'eLLE Bals'!BY97)*'Reagent cost'!$C$38*60*7200</f>
        <v>505271.66138898936</v>
      </c>
      <c r="ER97">
        <f>'TEA Revised Non EYZ'!DI97</f>
        <v>504921.59999999998</v>
      </c>
      <c r="ES97">
        <f>'TEA Revised Non EYZ'!DJ97</f>
        <v>97.657936789534006</v>
      </c>
      <c r="ET97">
        <f>'TEA Revised Non EYZ'!DK97</f>
        <v>979.85451409677421</v>
      </c>
      <c r="EU97">
        <f>1.2*SUM(EP97:ET97)</f>
        <v>16019993.028310798</v>
      </c>
      <c r="EV97">
        <f>'TEA Revised Non EYZ'!DM97</f>
        <v>0.70639694042110623</v>
      </c>
      <c r="EW97">
        <f>(BS97*CO97+BT97*CP97)/1000*('Oxidant Feed Composition'!$B$11*'Oxidant Feed Composition'!$O$20+'Oxidant Feed Composition'!$D$11*'Oxidant Feed Composition'!$O$21+'Oxidant Feed Composition'!$F$11*'Oxidant Feed Composition'!$O$27-'Oxidant Feed Composition'!$J$15*18.015)</f>
        <v>1.7892424556438349</v>
      </c>
      <c r="EX97">
        <f>(CZ97*BX97+DC97*BZ97)*368.34/1000</f>
        <v>0.10199442883443045</v>
      </c>
      <c r="EY97">
        <f>'TEA Revised Non EYZ'!DP97</f>
        <v>4.999938342565946E-2</v>
      </c>
      <c r="EZ97">
        <f>SUM(EV97:EX97)-EY97</f>
        <v>2.5476344414737122</v>
      </c>
      <c r="FA97">
        <f>EZ97*0.33*60*7200</f>
        <v>363190.76597649243</v>
      </c>
      <c r="FB97">
        <f>'TEA Revised Non EYZ'!DS97</f>
        <v>1.2</v>
      </c>
      <c r="FC97">
        <v>0.5</v>
      </c>
      <c r="FD97">
        <f>'TEA Revised Non EYZ'!DT97</f>
        <v>1405.8667878594886</v>
      </c>
      <c r="FE97">
        <f>'TEA Revised Non EYZ'!DU97</f>
        <v>705.81490718071291</v>
      </c>
      <c r="FF97">
        <f>'TEA Revised Non EYZ'!DV97</f>
        <v>0.7</v>
      </c>
      <c r="FG97">
        <f>'TEA Revised Non EYZ'!DW97</f>
        <v>52288.524762496963</v>
      </c>
      <c r="FH97">
        <f>'TEA Revised Non EYZ'!DX97</f>
        <v>53983.928663982973</v>
      </c>
      <c r="FI97">
        <f>'TEA Revised Non EYZ'!DY97</f>
        <v>22856.098829508919</v>
      </c>
      <c r="FJ97">
        <f>'TEA Revised Non EYZ'!DZ97</f>
        <v>12107.513206066582</v>
      </c>
      <c r="FK97">
        <f>'TEA Revised Non EYZ'!EA97</f>
        <v>12189.919375738094</v>
      </c>
      <c r="FL97">
        <f>'TEA Revised Non EYZ'!EB97</f>
        <v>850.26823329741865</v>
      </c>
      <c r="FM97">
        <f>'TEA Revised Non EYZ'!EC97</f>
        <v>41141.812761386027</v>
      </c>
      <c r="FN97">
        <f>'TEA Revised Non EYZ'!ED97</f>
        <v>38793.836008203594</v>
      </c>
      <c r="FO97">
        <f>'TEA Revised Non EYZ'!EE97</f>
        <v>16424.809600247485</v>
      </c>
      <c r="FP97">
        <f>'TEA Revised Non EYZ'!EF97</f>
        <v>8705.5237754793434</v>
      </c>
      <c r="FQ97">
        <f>'TEA Revised Non EYZ'!EG97</f>
        <v>8759.8984534653282</v>
      </c>
      <c r="FR97">
        <f>'TEA Revised Non EYZ'!EH97</f>
        <v>426.87685586289518</v>
      </c>
      <c r="FS97">
        <f>'TEA Revised Non EYZ'!EI97</f>
        <v>268529.01052573568</v>
      </c>
      <c r="FT97">
        <f>EG97*EH97</f>
        <v>2516.0352811302291</v>
      </c>
      <c r="FU97">
        <f>EG97*EI97</f>
        <v>4523.1816079087239</v>
      </c>
      <c r="FV97">
        <f>FC97*(FT97+FU97)/(3.6*10^6)*3600*7200*0.07</f>
        <v>1773.8826560378163</v>
      </c>
      <c r="FW97">
        <f>('CAPEX+OPEX'!$C$39/7/100+0.03)*EL97</f>
        <v>90798.744836251994</v>
      </c>
      <c r="FX97">
        <f>('CAPEX+OPEX'!$C$39/7/100+0.03)*EM97</f>
        <v>163232.69222204303</v>
      </c>
      <c r="FY97">
        <f>SUM(FV97:FX97)</f>
        <v>255805.31971433284</v>
      </c>
      <c r="FZ97">
        <f>FY97+FA97+FS97+EU97</f>
        <v>16907518.124527358</v>
      </c>
      <c r="GA97">
        <f>FZ97+EO97</f>
        <v>18089348.828616254</v>
      </c>
      <c r="GB97">
        <f>GA97/(BK97*60*7200)</f>
        <v>0.41873492658833922</v>
      </c>
      <c r="GC97">
        <f>'TEA Revised Non EYZ'!EM97/'TEA Revised Non EYZ'!EK97*GA97</f>
        <v>1400.8781752540751</v>
      </c>
      <c r="GD97">
        <f>'TEA Revised Non EYZ'!EN97/'TEA Revised Non EYZ'!EK97*GA97</f>
        <v>2570.8909557844786</v>
      </c>
    </row>
    <row r="98" spans="1:186">
      <c r="A98">
        <f>'TEA Revised Non EYZ'!A98</f>
        <v>12</v>
      </c>
      <c r="B98">
        <f>'TEA Revised Non EYZ'!B98</f>
        <v>1.54143585092054E-3</v>
      </c>
      <c r="C98">
        <f>'TEA Revised Non EYZ'!C98</f>
        <v>1.54143585092054E-3</v>
      </c>
      <c r="D98">
        <f>'TEA Revised Non EYZ'!D98</f>
        <v>3.4254130020456501E-4</v>
      </c>
      <c r="E98">
        <f>'TEA Revised Non EYZ'!E98</f>
        <v>0</v>
      </c>
      <c r="F98">
        <f>'TEA Revised Non EYZ'!F98</f>
        <v>0</v>
      </c>
      <c r="G98">
        <f>'TEA Revised Non EYZ'!G98</f>
        <v>0</v>
      </c>
      <c r="H98">
        <f>'TEA Revised Non EYZ'!H98</f>
        <v>1.7771599281349402E-5</v>
      </c>
      <c r="I98">
        <f>'TEA Revised Non EYZ'!I98</f>
        <v>6.3113732322488897E-11</v>
      </c>
      <c r="J98">
        <f>'TEA Revised Non EYZ'!J98</f>
        <v>3.37661562480901E-4</v>
      </c>
      <c r="K98">
        <f>'TEA Revised Non EYZ'!K98</f>
        <v>0.13911791568267901</v>
      </c>
      <c r="L98">
        <f>'TEA Revised Non EYZ'!L98</f>
        <v>0.140740543921716</v>
      </c>
      <c r="M98">
        <f>'TEA Revised Non EYZ'!M98</f>
        <v>4.45543656000266E-4</v>
      </c>
      <c r="N98">
        <f>'TEA Revised Non EYZ'!N98</f>
        <v>-4.7646348672047899E-15</v>
      </c>
      <c r="O98">
        <f>'TEA Revised Non EYZ'!O98</f>
        <v>-1.1300289697036E-11</v>
      </c>
      <c r="P98">
        <f>'TEA Revised Non EYZ'!P98</f>
        <v>-4.6756218688437302E-19</v>
      </c>
      <c r="Q98">
        <f>'TEA Revised Non EYZ'!Q98</f>
        <v>0.10952322309941399</v>
      </c>
      <c r="R98">
        <f>'TEA Revised Non EYZ'!R98</f>
        <v>98.575430839799395</v>
      </c>
      <c r="S98">
        <f>'TEA Revised Non EYZ'!S98</f>
        <v>500</v>
      </c>
      <c r="T98">
        <f>'TEA Revised Non EYZ'!T98</f>
        <v>95</v>
      </c>
      <c r="U98">
        <f>'TEA Revised Non EYZ'!U98</f>
        <v>1</v>
      </c>
      <c r="V98">
        <f>'TEA Revised Non EYZ'!V98</f>
        <v>0.1</v>
      </c>
      <c r="W98">
        <f>'TEA Revised Non EYZ'!W98</f>
        <v>91.304836700459305</v>
      </c>
      <c r="X98" t="str">
        <f>'TEA Revised Non EYZ'!X98</f>
        <v>ddFc</v>
      </c>
      <c r="Y98">
        <f>'TEA Revised Non EYZ'!Y98</f>
        <v>1</v>
      </c>
      <c r="Z98">
        <f>'TEA Revised Non EYZ'!Z98</f>
        <v>0.28318429382522198</v>
      </c>
      <c r="AA98">
        <f>'TEA Revised Non EYZ'!AA98</f>
        <v>0.56945642916197003</v>
      </c>
      <c r="AB98">
        <f>'TEA Revised Non EYZ'!AB98</f>
        <v>3.7698628972227502E-3</v>
      </c>
      <c r="AC98">
        <f>'TEA Revised Non EYZ'!AC98</f>
        <v>1822.2107908876901</v>
      </c>
      <c r="AD98">
        <f>'TEA Revised Non EYZ'!AD98</f>
        <v>2662.6059073104898</v>
      </c>
      <c r="AE98">
        <f>'TEA Revised Non EYZ'!AE98</f>
        <v>2401.5030938442701</v>
      </c>
      <c r="AF98">
        <f>'TEA Revised Non EYZ'!AF98</f>
        <v>10</v>
      </c>
      <c r="AG98">
        <f>'TEA Revised Non EYZ'!AG98</f>
        <v>1.6497575706444501E-3</v>
      </c>
      <c r="AH98">
        <f>'TEA Revised Non EYZ'!AH98</f>
        <v>1.66899983148883E-3</v>
      </c>
      <c r="AI98">
        <f>'TEA Revised Non EYZ'!AI98</f>
        <v>5.28356837386519E-6</v>
      </c>
      <c r="AJ98">
        <f>'TEA Revised Non EYZ'!AJ98</f>
        <v>0</v>
      </c>
      <c r="AK98">
        <f>'TEA Revised Non EYZ'!AK98</f>
        <v>0</v>
      </c>
      <c r="AL98">
        <f>'TEA Revised Non EYZ'!AL98</f>
        <v>0</v>
      </c>
      <c r="AM98">
        <f>'TEA Revised Non EYZ'!AM98</f>
        <v>1.61280677346842E-3</v>
      </c>
      <c r="AN98">
        <f>'TEA Revised Non EYZ'!AN98</f>
        <v>7.9635748983234095E-5</v>
      </c>
      <c r="AO98">
        <f>'TEA Revised Non EYZ'!AO98</f>
        <v>5.2488180406069303E-6</v>
      </c>
      <c r="AP98">
        <f>'TEA Revised Non EYZ'!AP98</f>
        <v>1.73338788049E-3</v>
      </c>
      <c r="AQ98">
        <f>'TEA Revised Non EYZ'!AQ98</f>
        <v>7.4558186846967897E-2</v>
      </c>
      <c r="AR98">
        <f>'TEA Revised Non EYZ'!AR98</f>
        <v>1.6301625709626699E-6</v>
      </c>
      <c r="AS98">
        <f>'TEA Revised Non EYZ'!AS98</f>
        <v>6.15638453844297E-15</v>
      </c>
      <c r="AT98">
        <f>'TEA Revised Non EYZ'!AT98</f>
        <v>-6.3767177302387295E-13</v>
      </c>
      <c r="AU98">
        <f>'TEA Revised Non EYZ'!AU98</f>
        <v>5.9788614675332804E-20</v>
      </c>
      <c r="AV98">
        <f>'TEA Revised Non EYZ'!AV98</f>
        <v>0.19687800716022599</v>
      </c>
      <c r="AW98">
        <f>'TEA Revised Non EYZ'!AW98</f>
        <v>99.342294245113806</v>
      </c>
      <c r="AX98">
        <f>'TEA Revised Non EYZ'!AX98</f>
        <v>500</v>
      </c>
      <c r="AY98">
        <f>'TEA Revised Non EYZ'!AY98</f>
        <v>95</v>
      </c>
      <c r="AZ98">
        <f>'TEA Revised Non EYZ'!AZ98</f>
        <v>0.92356857683566096</v>
      </c>
      <c r="BA98">
        <f>'TEA Revised Non EYZ'!BA98</f>
        <v>0.1</v>
      </c>
      <c r="BB98">
        <f>'TEA Revised Non EYZ'!BB98</f>
        <v>46.910703239901501</v>
      </c>
      <c r="BC98" t="str">
        <f>'TEA Revised Non EYZ'!BC98</f>
        <v>coeFc</v>
      </c>
      <c r="BD98">
        <f>'TEA Revised Non EYZ'!BD98</f>
        <v>1</v>
      </c>
      <c r="BE98">
        <f>'TEA Revised Non EYZ'!BE98</f>
        <v>1.8775014999999999E-2</v>
      </c>
      <c r="BF98">
        <f>'TEA Revised Non EYZ'!BF98</f>
        <v>0.10492961100000001</v>
      </c>
      <c r="BG98">
        <f>'TEA Revised Non EYZ'!BG98</f>
        <v>1.814625E-3</v>
      </c>
      <c r="BH98">
        <f>'TEA Revised Non EYZ'!BH98</f>
        <v>285.1951444</v>
      </c>
      <c r="BI98">
        <f>'TEA Revised Non EYZ'!BI98</f>
        <v>2169.8944889999998</v>
      </c>
      <c r="BJ98">
        <f>'TEA Revised Non EYZ'!BJ98</f>
        <v>866.49409060000005</v>
      </c>
      <c r="BK98">
        <f>'TEA Revised Non EYZ'!BK98</f>
        <v>100</v>
      </c>
      <c r="BL98">
        <f>'TEA Revised Non EYZ'!BL98</f>
        <v>10.952322309941399</v>
      </c>
      <c r="BM98">
        <f>'TEA Revised Non EYZ'!BM98</f>
        <v>92.356857683566091</v>
      </c>
      <c r="BN98">
        <f>'TEA Revised Non EYZ'!BN98</f>
        <v>19.687800716022601</v>
      </c>
      <c r="BO98">
        <f>'TEA Revised Non EYZ'!BO98</f>
        <v>306.6650246783592</v>
      </c>
      <c r="BP98">
        <f>'TEA Revised Non EYZ'!BP98</f>
        <v>472.50721718454241</v>
      </c>
      <c r="BQ98">
        <f>'TEA Revised Non EYZ'!BQ98</f>
        <v>30.666502467835922</v>
      </c>
      <c r="BR98">
        <f>'TEA Revised Non EYZ'!BR98</f>
        <v>47.250721718454244</v>
      </c>
      <c r="BS98">
        <f>'eLLE Bals'!CF98</f>
        <v>6.5713933859648392</v>
      </c>
      <c r="BT98">
        <f>'eLLE Bals'!CG98</f>
        <v>11.812680429613559</v>
      </c>
      <c r="BU98">
        <f>BM98</f>
        <v>92.356857683566091</v>
      </c>
      <c r="BV98">
        <f>BU98*(AM98*2+AN98*2+AO98*3)</f>
        <v>0.31407163938971588</v>
      </c>
      <c r="BW98">
        <f>BN98*BA98*(AP98*2+AQ98*2+AR98*3)</f>
        <v>0.30041229220389704</v>
      </c>
      <c r="BX98">
        <f>BV98/(2*V98*BL98+BV98)</f>
        <v>0.12540112287337907</v>
      </c>
      <c r="BY98">
        <f>BU98*BX98</f>
        <v>11.581653658576055</v>
      </c>
      <c r="BZ98">
        <f>BW98/(2*BN98*BA98+BW98)</f>
        <v>7.0885853266515184E-2</v>
      </c>
      <c r="CA98">
        <f>2*BN98*BA98/0.04</f>
        <v>98.43900358011301</v>
      </c>
      <c r="CB98">
        <f>(BS98+BL98)*2</f>
        <v>35.047431391812481</v>
      </c>
      <c r="CC98">
        <f>(BU98+BL98)*2</f>
        <v>206.61835998701497</v>
      </c>
      <c r="CD98">
        <f>(BT98+BN98)*2</f>
        <v>63.000962291272316</v>
      </c>
      <c r="CE98">
        <f>(CA98+BN98)*2</f>
        <v>236.25360859227123</v>
      </c>
      <c r="CF98">
        <f>'TEA Revised Non EYZ'!CB98</f>
        <v>4047.9783257543413</v>
      </c>
      <c r="CG98">
        <f>'TEA Revised Non EYZ'!CC98</f>
        <v>6237.0952668359596</v>
      </c>
      <c r="CH98">
        <f>'TEA Revised Non EYZ'!CD98</f>
        <v>4890.707695899031</v>
      </c>
      <c r="CI98">
        <f>'TEA Revised Non EYZ'!CE98</f>
        <v>48107.270135537699</v>
      </c>
      <c r="CJ98">
        <f>BL98*V98</f>
        <v>1.09523223099414</v>
      </c>
      <c r="CK98">
        <f>CJ98/2*1.2</f>
        <v>0.65713933859648399</v>
      </c>
      <c r="CL98">
        <f>'eLLE Bals'!CB98*'Oxidant Feed Composition'!$N$20</f>
        <v>3.6507741033138016E-2</v>
      </c>
      <c r="CM98">
        <f>'eLLE Bals'!CB98*'Oxidant Feed Composition'!$N$21</f>
        <v>1.8253870516569002</v>
      </c>
      <c r="CN98">
        <f>'eLLE Bals'!CB98*'Oxidant Feed Composition'!$N$22</f>
        <v>0.54761611549707001</v>
      </c>
      <c r="CO98">
        <f>CN98/CK98</f>
        <v>0.83333333333333337</v>
      </c>
      <c r="CP98">
        <f>CO98</f>
        <v>0.83333333333333337</v>
      </c>
      <c r="CQ98">
        <f>CL98/CO98</f>
        <v>4.3809289239765618E-2</v>
      </c>
      <c r="CR98">
        <f>CM98/CO98</f>
        <v>2.19046446198828</v>
      </c>
      <c r="CS98">
        <f>BN98*BA98</f>
        <v>1.9687800716022601</v>
      </c>
      <c r="CT98">
        <f>CS98/2*1.2</f>
        <v>1.181268042961356</v>
      </c>
      <c r="CU98">
        <f>'eLLE Bals'!CC98*'Oxidant Feed Composition'!$N$20</f>
        <v>6.562600238674203E-2</v>
      </c>
      <c r="CV98">
        <f>'eLLE Bals'!CC98*'Oxidant Feed Composition'!$N$21</f>
        <v>3.2813001193371005</v>
      </c>
      <c r="CW98">
        <f>'eLLE Bals'!CC98*'Oxidant Feed Composition'!$N$22</f>
        <v>0.98439003580113005</v>
      </c>
      <c r="CX98">
        <f>CU98/CP98</f>
        <v>7.875120286409043E-2</v>
      </c>
      <c r="CY98">
        <f>CV98/CP98</f>
        <v>3.9375601432045206</v>
      </c>
      <c r="CZ98">
        <f>CJ98</f>
        <v>1.09523223099414</v>
      </c>
      <c r="DA98">
        <f>'eLLE Bals'!BQ98</f>
        <v>2.19046446198828</v>
      </c>
      <c r="DB98">
        <f>'eLLE Bals'!BU98</f>
        <v>5.4481344403359842</v>
      </c>
      <c r="DC98">
        <f>CS98</f>
        <v>1.9687800716022601</v>
      </c>
      <c r="DD98">
        <f>'eLLE Bals'!BX98</f>
        <v>3.9375601432045202</v>
      </c>
      <c r="DE98">
        <f>'eLLE Bals'!CA98</f>
        <v>21.867608759187807</v>
      </c>
      <c r="DF98">
        <f>2*2*(CJ98*'Reagent cost'!$C$36*122.44/1000+CK98*'Oxidant Feed Composition'!$N$26+CQ98*'Reagent cost'!$C$34+CR98*'Reagent cost'!$C$35)</f>
        <v>92.511760310256193</v>
      </c>
      <c r="DG98">
        <f>2*2*(CS98*'Reagent cost'!$C$36*122.44/1000+CT98*'Oxidant Feed Composition'!$N$26+CX98*'Reagent cost'!$C$34+CY98*'Reagent cost'!$C$35)</f>
        <v>166.29834744942946</v>
      </c>
      <c r="DH98">
        <f>(AF98+3)*2*(CZ98*'Reagent cost'!$C$38+DA98*'Reagent cost'!$C$39+DB98*'Reagent cost'!$C$36*122.44/1000)</f>
        <v>1351.7562944128708</v>
      </c>
      <c r="DI98">
        <f>3*2*(DC98*'Reagent cost'!$C$38+DD98*'Reagent cost'!$C$39+DE98*'Reagent cost'!$C$36*122.44/1000)</f>
        <v>1187.1545084246391</v>
      </c>
      <c r="DJ98">
        <f>7963.6*(CB98/1000)^0.6*1.7*('CAPEX+OPEX'!$G$116/'CAPEX+OPEX'!$G$115)</f>
        <v>2138.1326451989207</v>
      </c>
      <c r="DK98">
        <f>7963.6*(CC98/1000)^0.6*1.7*('CAPEX+OPEX'!$G$116/'CAPEX+OPEX'!$G$115)</f>
        <v>6199.2945816251477</v>
      </c>
      <c r="DL98">
        <f>7963.6*(CD98/1000)^0.6*1.7*('CAPEX+OPEX'!$G$116/'CAPEX+OPEX'!$G$115)</f>
        <v>3039.8295866806543</v>
      </c>
      <c r="DM98">
        <f>7963.6*(CE98/1000)^0.6*1.7*('CAPEX+OPEX'!$G$116/'CAPEX+OPEX'!$G$115)</f>
        <v>6718.433120957432</v>
      </c>
      <c r="DN98">
        <f>'TEA Revised Non EYZ'!CM98</f>
        <v>39625.826528698344</v>
      </c>
      <c r="DO98">
        <f>'TEA Revised Non EYZ'!CN98</f>
        <v>4586243.4239371875</v>
      </c>
      <c r="DP98">
        <f>'TEA Revised Non EYZ'!CO98</f>
        <v>11794834.586807497</v>
      </c>
      <c r="DQ98">
        <f>'TEA Revised Non EYZ'!CP98</f>
        <v>2275209.1661185985</v>
      </c>
      <c r="DR98">
        <f>'TEA Revised Non EYZ'!CQ98</f>
        <v>14083914.336508472</v>
      </c>
      <c r="DS98">
        <f>'TEA Revised Non EYZ'!CR98</f>
        <v>1662824.8986326549</v>
      </c>
      <c r="DT98">
        <f>'TEA Revised Non EYZ'!CS98</f>
        <v>936765.86395108781</v>
      </c>
      <c r="DU98">
        <f>'TEA Revised Non EYZ'!CT98</f>
        <v>2409160.916797909</v>
      </c>
      <c r="DV98">
        <f>'TEA Revised Non EYZ'!CU98</f>
        <v>464724.19432521454</v>
      </c>
      <c r="DW98">
        <f>'TEA Revised Non EYZ'!CV98</f>
        <v>2876718.2553791031</v>
      </c>
      <c r="DX98">
        <f>'TEA Revised Non EYZ'!CW98</f>
        <v>339641.28346021532</v>
      </c>
      <c r="DY98">
        <f>'TEA Revised Non EYZ'!CX98</f>
        <v>7027010.5139135299</v>
      </c>
      <c r="DZ98">
        <f>'TEA Revised Non EYZ'!CY98</f>
        <v>800273.51272546337</v>
      </c>
      <c r="EA98">
        <f>'TEA Revised Non EYZ'!CZ98</f>
        <v>2058131.8596248808</v>
      </c>
      <c r="EB98">
        <f>'TEA Revised Non EYZ'!DA98</f>
        <v>397011.11852274858</v>
      </c>
      <c r="EC98">
        <f>'TEA Revised Non EYZ'!DB98</f>
        <v>2457563.3164552483</v>
      </c>
      <c r="ED98">
        <f>'TEA Revised Non EYZ'!DC98</f>
        <v>290153.53082452138</v>
      </c>
      <c r="EE98">
        <f>'TEA Revised Non EYZ'!DD98</f>
        <v>6003133.3381528631</v>
      </c>
      <c r="EF98">
        <v>0.7</v>
      </c>
      <c r="EG98">
        <v>100</v>
      </c>
      <c r="EH98">
        <f>96485*BL98*V98/EF98/EG98/60</f>
        <v>25.160352811302293</v>
      </c>
      <c r="EI98">
        <f>96485*BN98*BA98/EF98/EG98/60</f>
        <v>45.228034573462878</v>
      </c>
      <c r="EJ98">
        <f>EH98*('CAPEX+OPEX'!$O$25+'CAPEX+OPEX'!$O$26)</f>
        <v>801910.76480182668</v>
      </c>
      <c r="EK98">
        <f>EI98*('CAPEX+OPEX'!$O$25+'CAPEX+OPEX'!$O$26)</f>
        <v>1441507.9179254088</v>
      </c>
      <c r="EL98">
        <f>EJ98*1.12/0.6*'CAPEX+OPEX'!$G$116/'CAPEX+OPEX'!$G$115</f>
        <v>1765531.1495937889</v>
      </c>
      <c r="EM98">
        <f>EK98*1.12/0.6*'CAPEX+OPEX'!$G$116/'CAPEX+OPEX'!$G$115</f>
        <v>3173703.6627913821</v>
      </c>
      <c r="EN98">
        <f>EL98+EM98+DY98+EE98+1.15*(SUM(DF98:DM98)+SUM(CF98:CI98))</f>
        <v>18066181.59606101</v>
      </c>
      <c r="EO98">
        <f>EN98/15</f>
        <v>1204412.1064040672</v>
      </c>
      <c r="EP98">
        <f>('eLLE Bals'!CB98+'eLLE Bals'!CC98)*'Oxidant Feed Composition'!$N$25*60*7200</f>
        <v>12338060.573481735</v>
      </c>
      <c r="EQ98" s="83">
        <f>('eLLE Bals'!BR98+'eLLE Bals'!BY98)*'Reagent cost'!$C$38*60*7200</f>
        <v>505269.95905695506</v>
      </c>
      <c r="ER98">
        <f>'TEA Revised Non EYZ'!DI98</f>
        <v>504921.59999999998</v>
      </c>
      <c r="ES98">
        <f>'TEA Revised Non EYZ'!DJ98</f>
        <v>102.85073592590301</v>
      </c>
      <c r="ET98">
        <f>'TEA Revised Non EYZ'!DK98</f>
        <v>1059.9595566287346</v>
      </c>
      <c r="EU98">
        <f>1.2*SUM(EP98:ET98)</f>
        <v>16019297.93139749</v>
      </c>
      <c r="EV98">
        <f>'TEA Revised Non EYZ'!DM98</f>
        <v>0.70639694042110623</v>
      </c>
      <c r="EW98">
        <f>(BS98*CO98+BT98*CP98)/1000*('Oxidant Feed Composition'!$B$11*'Oxidant Feed Composition'!$O$20+'Oxidant Feed Composition'!$D$11*'Oxidant Feed Composition'!$O$21+'Oxidant Feed Composition'!$F$11*'Oxidant Feed Composition'!$O$27-'Oxidant Feed Composition'!$J$15*18.015)</f>
        <v>1.7891463365653066</v>
      </c>
      <c r="EX98">
        <f>(CZ98*BX98+DC98*BZ98)*368.34/1000</f>
        <v>0.10199408520070469</v>
      </c>
      <c r="EY98">
        <f>'TEA Revised Non EYZ'!DP98</f>
        <v>4.999938342565946E-2</v>
      </c>
      <c r="EZ98">
        <f>SUM(EV98:EX98)-EY98</f>
        <v>2.5475379787614583</v>
      </c>
      <c r="FA98">
        <f>EZ98*0.33*60*7200</f>
        <v>363177.01425223349</v>
      </c>
      <c r="FB98">
        <f>'TEA Revised Non EYZ'!DS98</f>
        <v>1.2</v>
      </c>
      <c r="FC98">
        <v>0.5</v>
      </c>
      <c r="FD98">
        <f>'TEA Revised Non EYZ'!DT98</f>
        <v>1405.8764353255226</v>
      </c>
      <c r="FE98">
        <f>'TEA Revised Non EYZ'!DU98</f>
        <v>705.8052599998191</v>
      </c>
      <c r="FF98">
        <f>'TEA Revised Non EYZ'!DV98</f>
        <v>0.7</v>
      </c>
      <c r="FG98">
        <f>'TEA Revised Non EYZ'!DW98</f>
        <v>52288.524762496963</v>
      </c>
      <c r="FH98">
        <f>'TEA Revised Non EYZ'!DX98</f>
        <v>53983.928663982973</v>
      </c>
      <c r="FI98">
        <f>'TEA Revised Non EYZ'!DY98</f>
        <v>22856.098829508919</v>
      </c>
      <c r="FJ98">
        <f>'TEA Revised Non EYZ'!DZ98</f>
        <v>12107.513206066582</v>
      </c>
      <c r="FK98">
        <f>'TEA Revised Non EYZ'!EA98</f>
        <v>12189.919375738094</v>
      </c>
      <c r="FL98">
        <f>'TEA Revised Non EYZ'!EB98</f>
        <v>850.27406808487626</v>
      </c>
      <c r="FM98">
        <f>'TEA Revised Non EYZ'!EC98</f>
        <v>43713.176058972655</v>
      </c>
      <c r="FN98">
        <f>'TEA Revised Non EYZ'!ED98</f>
        <v>42673.219609023952</v>
      </c>
      <c r="FO98">
        <f>'TEA Revised Non EYZ'!EE98</f>
        <v>18067.290560272231</v>
      </c>
      <c r="FP98">
        <f>'TEA Revised Non EYZ'!EF98</f>
        <v>9576.0761530272775</v>
      </c>
      <c r="FQ98">
        <f>'TEA Revised Non EYZ'!EG98</f>
        <v>9635.8882988118585</v>
      </c>
      <c r="FR98">
        <f>'TEA Revised Non EYZ'!EH98</f>
        <v>426.87102124789061</v>
      </c>
      <c r="FS98">
        <f>'TEA Revised Non EYZ'!EI98</f>
        <v>278368.78060723428</v>
      </c>
      <c r="FT98">
        <f>EG98*EH98</f>
        <v>2516.0352811302291</v>
      </c>
      <c r="FU98">
        <f>EG98*EI98</f>
        <v>4522.8034573462883</v>
      </c>
      <c r="FV98">
        <f>FC98*(FT98+FU98)/(3.6*10^6)*3600*7200*0.07</f>
        <v>1773.7873620960827</v>
      </c>
      <c r="FW98">
        <f>('CAPEX+OPEX'!$C$39/7/100+0.03)*EL98</f>
        <v>90798.744836251994</v>
      </c>
      <c r="FX98">
        <f>('CAPEX+OPEX'!$C$39/7/100+0.03)*EM98</f>
        <v>163219.04551498537</v>
      </c>
      <c r="FY98">
        <f>SUM(FV98:FX98)</f>
        <v>255791.57771333345</v>
      </c>
      <c r="FZ98">
        <f>FY98+FA98+FS98+EU98</f>
        <v>16916635.303970292</v>
      </c>
      <c r="GA98">
        <f>FZ98+EO98</f>
        <v>18121047.410374358</v>
      </c>
      <c r="GB98">
        <f>GA98/(BK98*60*7200)</f>
        <v>0.41946869005496201</v>
      </c>
      <c r="GC98">
        <f>'TEA Revised Non EYZ'!EM98/'TEA Revised Non EYZ'!EK98*GA98</f>
        <v>1403.3233458413874</v>
      </c>
      <c r="GD98">
        <f>'TEA Revised Non EYZ'!EN98/'TEA Revised Non EYZ'!EK98*GA98</f>
        <v>2575.4284685070529</v>
      </c>
    </row>
    <row r="99" spans="1:186">
      <c r="A99">
        <f>'TEA Revised Non EYZ'!A99</f>
        <v>12</v>
      </c>
      <c r="B99">
        <f>'TEA Revised Non EYZ'!B99</f>
        <v>1.54143585092054E-3</v>
      </c>
      <c r="C99">
        <f>'TEA Revised Non EYZ'!C99</f>
        <v>1.54143585092054E-3</v>
      </c>
      <c r="D99">
        <f>'TEA Revised Non EYZ'!D99</f>
        <v>3.4254130020456501E-4</v>
      </c>
      <c r="E99">
        <f>'TEA Revised Non EYZ'!E99</f>
        <v>0</v>
      </c>
      <c r="F99">
        <f>'TEA Revised Non EYZ'!F99</f>
        <v>0</v>
      </c>
      <c r="G99">
        <f>'TEA Revised Non EYZ'!G99</f>
        <v>0</v>
      </c>
      <c r="H99">
        <f>'TEA Revised Non EYZ'!H99</f>
        <v>1.7771599281349402E-5</v>
      </c>
      <c r="I99">
        <f>'TEA Revised Non EYZ'!I99</f>
        <v>6.3113732322488897E-11</v>
      </c>
      <c r="J99">
        <f>'TEA Revised Non EYZ'!J99</f>
        <v>3.37661562480901E-4</v>
      </c>
      <c r="K99">
        <f>'TEA Revised Non EYZ'!K99</f>
        <v>0.13911791568267901</v>
      </c>
      <c r="L99">
        <f>'TEA Revised Non EYZ'!L99</f>
        <v>0.140740543921716</v>
      </c>
      <c r="M99">
        <f>'TEA Revised Non EYZ'!M99</f>
        <v>4.45543656000266E-4</v>
      </c>
      <c r="N99">
        <f>'TEA Revised Non EYZ'!N99</f>
        <v>-4.7646348672047899E-15</v>
      </c>
      <c r="O99">
        <f>'TEA Revised Non EYZ'!O99</f>
        <v>-1.1300289697036E-11</v>
      </c>
      <c r="P99">
        <f>'TEA Revised Non EYZ'!P99</f>
        <v>-4.6756218688437302E-19</v>
      </c>
      <c r="Q99">
        <f>'TEA Revised Non EYZ'!Q99</f>
        <v>0.10952322309941399</v>
      </c>
      <c r="R99">
        <f>'TEA Revised Non EYZ'!R99</f>
        <v>98.575430839799395</v>
      </c>
      <c r="S99">
        <f>'TEA Revised Non EYZ'!S99</f>
        <v>500</v>
      </c>
      <c r="T99">
        <f>'TEA Revised Non EYZ'!T99</f>
        <v>95</v>
      </c>
      <c r="U99">
        <f>'TEA Revised Non EYZ'!U99</f>
        <v>1</v>
      </c>
      <c r="V99">
        <f>'TEA Revised Non EYZ'!V99</f>
        <v>0.1</v>
      </c>
      <c r="W99">
        <f>'TEA Revised Non EYZ'!W99</f>
        <v>91.304836700459305</v>
      </c>
      <c r="X99" t="str">
        <f>'TEA Revised Non EYZ'!X99</f>
        <v>ddFc</v>
      </c>
      <c r="Y99">
        <f>'TEA Revised Non EYZ'!Y99</f>
        <v>1</v>
      </c>
      <c r="Z99">
        <f>'TEA Revised Non EYZ'!Z99</f>
        <v>0.28318429382522198</v>
      </c>
      <c r="AA99">
        <f>'TEA Revised Non EYZ'!AA99</f>
        <v>0.56945642916197003</v>
      </c>
      <c r="AB99">
        <f>'TEA Revised Non EYZ'!AB99</f>
        <v>3.7698628972227502E-3</v>
      </c>
      <c r="AC99">
        <f>'TEA Revised Non EYZ'!AC99</f>
        <v>1822.2107908876901</v>
      </c>
      <c r="AD99">
        <f>'TEA Revised Non EYZ'!AD99</f>
        <v>2662.6059073104898</v>
      </c>
      <c r="AE99">
        <f>'TEA Revised Non EYZ'!AE99</f>
        <v>2401.5030938442701</v>
      </c>
      <c r="AF99">
        <f>'TEA Revised Non EYZ'!AF99</f>
        <v>11</v>
      </c>
      <c r="AG99">
        <f>'TEA Revised Non EYZ'!AG99</f>
        <v>1.6497575706444501E-3</v>
      </c>
      <c r="AH99">
        <f>'TEA Revised Non EYZ'!AH99</f>
        <v>1.66899983148883E-3</v>
      </c>
      <c r="AI99">
        <f>'TEA Revised Non EYZ'!AI99</f>
        <v>5.28356837386519E-6</v>
      </c>
      <c r="AJ99">
        <f>'TEA Revised Non EYZ'!AJ99</f>
        <v>0</v>
      </c>
      <c r="AK99">
        <f>'TEA Revised Non EYZ'!AK99</f>
        <v>0</v>
      </c>
      <c r="AL99">
        <f>'TEA Revised Non EYZ'!AL99</f>
        <v>0</v>
      </c>
      <c r="AM99">
        <f>'TEA Revised Non EYZ'!AM99</f>
        <v>1.61280988700799E-3</v>
      </c>
      <c r="AN99">
        <f>'TEA Revised Non EYZ'!AN99</f>
        <v>7.9635910048100197E-5</v>
      </c>
      <c r="AO99">
        <f>'TEA Revised Non EYZ'!AO99</f>
        <v>5.2488208470369598E-6</v>
      </c>
      <c r="AP99">
        <f>'TEA Revised Non EYZ'!AP99</f>
        <v>1.73328256872752E-3</v>
      </c>
      <c r="AQ99">
        <f>'TEA Revised Non EYZ'!AQ99</f>
        <v>7.4559932038912993E-2</v>
      </c>
      <c r="AR99">
        <f>'TEA Revised Non EYZ'!AR99</f>
        <v>1.6300692393553599E-6</v>
      </c>
      <c r="AS99">
        <f>'TEA Revised Non EYZ'!AS99</f>
        <v>1.9909814357073302E-15</v>
      </c>
      <c r="AT99">
        <f>'TEA Revised Non EYZ'!AT99</f>
        <v>-1.9813924806433201E-13</v>
      </c>
      <c r="AU99">
        <f>'TEA Revised Non EYZ'!AU99</f>
        <v>1.5438498952689699E-20</v>
      </c>
      <c r="AV99">
        <f>'TEA Revised Non EYZ'!AV99</f>
        <v>0.19687337891228299</v>
      </c>
      <c r="AW99">
        <f>'TEA Revised Non EYZ'!AW99</f>
        <v>99.342347361300298</v>
      </c>
      <c r="AX99">
        <f>'TEA Revised Non EYZ'!AX99</f>
        <v>500</v>
      </c>
      <c r="AY99">
        <f>'TEA Revised Non EYZ'!AY99</f>
        <v>95</v>
      </c>
      <c r="AZ99">
        <f>'TEA Revised Non EYZ'!AZ99</f>
        <v>0.92356857683566096</v>
      </c>
      <c r="BA99">
        <f>'TEA Revised Non EYZ'!BA99</f>
        <v>0.1</v>
      </c>
      <c r="BB99">
        <f>'TEA Revised Non EYZ'!BB99</f>
        <v>46.911806052109903</v>
      </c>
      <c r="BC99" t="str">
        <f>'TEA Revised Non EYZ'!BC99</f>
        <v>coeFc</v>
      </c>
      <c r="BD99">
        <f>'TEA Revised Non EYZ'!BD99</f>
        <v>1</v>
      </c>
      <c r="BE99">
        <f>'TEA Revised Non EYZ'!BE99</f>
        <v>1.8775014999999999E-2</v>
      </c>
      <c r="BF99">
        <f>'TEA Revised Non EYZ'!BF99</f>
        <v>0.10492961100000001</v>
      </c>
      <c r="BG99">
        <f>'TEA Revised Non EYZ'!BG99</f>
        <v>1.814625E-3</v>
      </c>
      <c r="BH99">
        <f>'TEA Revised Non EYZ'!BH99</f>
        <v>285.1951444</v>
      </c>
      <c r="BI99">
        <f>'TEA Revised Non EYZ'!BI99</f>
        <v>2169.8944889999998</v>
      </c>
      <c r="BJ99">
        <f>'TEA Revised Non EYZ'!BJ99</f>
        <v>866.49409060000005</v>
      </c>
      <c r="BK99">
        <f>'TEA Revised Non EYZ'!BK99</f>
        <v>100</v>
      </c>
      <c r="BL99">
        <f>'TEA Revised Non EYZ'!BL99</f>
        <v>10.952322309941399</v>
      </c>
      <c r="BM99">
        <f>'TEA Revised Non EYZ'!BM99</f>
        <v>92.356857683566091</v>
      </c>
      <c r="BN99">
        <f>'TEA Revised Non EYZ'!BN99</f>
        <v>19.687337891228299</v>
      </c>
      <c r="BO99">
        <f>'TEA Revised Non EYZ'!BO99</f>
        <v>306.6650246783592</v>
      </c>
      <c r="BP99">
        <f>'TEA Revised Non EYZ'!BP99</f>
        <v>511.87078517193578</v>
      </c>
      <c r="BQ99">
        <f>'TEA Revised Non EYZ'!BQ99</f>
        <v>30.666502467835922</v>
      </c>
      <c r="BR99">
        <f>'TEA Revised Non EYZ'!BR99</f>
        <v>51.187078517193584</v>
      </c>
      <c r="BS99">
        <f>'eLLE Bals'!CF99</f>
        <v>6.5713933859648392</v>
      </c>
      <c r="BT99">
        <f>'eLLE Bals'!CG99</f>
        <v>11.812402734736979</v>
      </c>
      <c r="BU99">
        <f>BM99</f>
        <v>92.356857683566091</v>
      </c>
      <c r="BV99">
        <f>BU99*(AM99*2+AN99*2+AO99*3)</f>
        <v>0.31407224503164682</v>
      </c>
      <c r="BW99">
        <f>BN99*BA99*(AP99*2+AQ99*2+AR99*3)</f>
        <v>0.30041168647489314</v>
      </c>
      <c r="BX99">
        <f>BV99/(2*V99*BL99+BV99)</f>
        <v>0.1254013343670862</v>
      </c>
      <c r="BY99">
        <f>BU99*BX99</f>
        <v>11.581673191470266</v>
      </c>
      <c r="BZ99">
        <f>BW99/(2*BN99*BA99+BW99)</f>
        <v>7.0887268775152876E-2</v>
      </c>
      <c r="CA99">
        <f>2*BN99*BA99/0.04</f>
        <v>98.436689456141494</v>
      </c>
      <c r="CB99">
        <f>(BS99+BL99)*2</f>
        <v>35.047431391812481</v>
      </c>
      <c r="CC99">
        <f>(BU99+BL99)*2</f>
        <v>206.61835998701497</v>
      </c>
      <c r="CD99">
        <f>(BT99+BN99)*2</f>
        <v>62.999481251930561</v>
      </c>
      <c r="CE99">
        <f>(CA99+BN99)*2</f>
        <v>236.24805469473958</v>
      </c>
      <c r="CF99">
        <f>'TEA Revised Non EYZ'!CB99</f>
        <v>4047.9783257543413</v>
      </c>
      <c r="CG99">
        <f>'TEA Revised Non EYZ'!CC99</f>
        <v>6756.6943642695524</v>
      </c>
      <c r="CH99">
        <f>'TEA Revised Non EYZ'!CD99</f>
        <v>4890.707695899031</v>
      </c>
      <c r="CI99">
        <f>'TEA Revised Non EYZ'!CE99</f>
        <v>52114.984155128099</v>
      </c>
      <c r="CJ99">
        <f>BL99*V99</f>
        <v>1.09523223099414</v>
      </c>
      <c r="CK99">
        <f>CJ99/2*1.2</f>
        <v>0.65713933859648399</v>
      </c>
      <c r="CL99">
        <f>'eLLE Bals'!CB99*'Oxidant Feed Composition'!$N$20</f>
        <v>3.6507741033138016E-2</v>
      </c>
      <c r="CM99">
        <f>'eLLE Bals'!CB99*'Oxidant Feed Composition'!$N$21</f>
        <v>1.8253870516569002</v>
      </c>
      <c r="CN99">
        <f>'eLLE Bals'!CB99*'Oxidant Feed Composition'!$N$22</f>
        <v>0.54761611549707001</v>
      </c>
      <c r="CO99">
        <f>CN99/CK99</f>
        <v>0.83333333333333337</v>
      </c>
      <c r="CP99">
        <f>CO99</f>
        <v>0.83333333333333337</v>
      </c>
      <c r="CQ99">
        <f>CL99/CO99</f>
        <v>4.3809289239765618E-2</v>
      </c>
      <c r="CR99">
        <f>CM99/CO99</f>
        <v>2.19046446198828</v>
      </c>
      <c r="CS99">
        <f>BN99*BA99</f>
        <v>1.96873378912283</v>
      </c>
      <c r="CT99">
        <f>CS99/2*1.2</f>
        <v>1.181240273473698</v>
      </c>
      <c r="CU99">
        <f>'eLLE Bals'!CC99*'Oxidant Feed Composition'!$N$20</f>
        <v>6.562445963742769E-2</v>
      </c>
      <c r="CV99">
        <f>'eLLE Bals'!CC99*'Oxidant Feed Composition'!$N$21</f>
        <v>3.2812229818713834</v>
      </c>
      <c r="CW99">
        <f>'eLLE Bals'!CC99*'Oxidant Feed Composition'!$N$22</f>
        <v>0.98436689456141502</v>
      </c>
      <c r="CX99">
        <f>CU99/CP99</f>
        <v>7.8749351564913223E-2</v>
      </c>
      <c r="CY99">
        <f>CV99/CP99</f>
        <v>3.9374675782456601</v>
      </c>
      <c r="CZ99">
        <f>CJ99</f>
        <v>1.09523223099414</v>
      </c>
      <c r="DA99">
        <f>'eLLE Bals'!BQ99</f>
        <v>2.19046446198828</v>
      </c>
      <c r="DB99">
        <f>'eLLE Bals'!BU99</f>
        <v>5.4481197098190677</v>
      </c>
      <c r="DC99">
        <f>CS99</f>
        <v>1.96873378912283</v>
      </c>
      <c r="DD99">
        <f>'eLLE Bals'!BX99</f>
        <v>3.9374675782456601</v>
      </c>
      <c r="DE99">
        <f>'eLLE Bals'!CA99</f>
        <v>21.866540101448024</v>
      </c>
      <c r="DF99">
        <f>2*2*(CJ99*'Reagent cost'!$C$36*122.44/1000+CK99*'Oxidant Feed Composition'!$N$26+CQ99*'Reagent cost'!$C$34+CR99*'Reagent cost'!$C$35)</f>
        <v>92.511760310256193</v>
      </c>
      <c r="DG99">
        <f>2*2*(CS99*'Reagent cost'!$C$36*122.44/1000+CT99*'Oxidant Feed Composition'!$N$26+CX99*'Reagent cost'!$C$34+CY99*'Reagent cost'!$C$35)</f>
        <v>166.29443807430113</v>
      </c>
      <c r="DH99">
        <f>(AF99+3)*2*(CZ99*'Reagent cost'!$C$38+DA99*'Reagent cost'!$C$39+DB99*'Reagent cost'!$C$36*122.44/1000)</f>
        <v>1455.7339814538686</v>
      </c>
      <c r="DI99">
        <f>3*2*(DC99*'Reagent cost'!$C$38+DD99*'Reagent cost'!$C$39+DE99*'Reagent cost'!$C$36*122.44/1000)</f>
        <v>1187.0978282959513</v>
      </c>
      <c r="DJ99">
        <f>7963.6*(CB99/1000)^0.6*1.7*('CAPEX+OPEX'!$G$116/'CAPEX+OPEX'!$G$115)</f>
        <v>2138.1326451989207</v>
      </c>
      <c r="DK99">
        <f>7963.6*(CC99/1000)^0.6*1.7*('CAPEX+OPEX'!$G$116/'CAPEX+OPEX'!$G$115)</f>
        <v>6199.2945816251477</v>
      </c>
      <c r="DL99">
        <f>7963.6*(CD99/1000)^0.6*1.7*('CAPEX+OPEX'!$G$116/'CAPEX+OPEX'!$G$115)</f>
        <v>3039.7867099224536</v>
      </c>
      <c r="DM99">
        <f>7963.6*(CE99/1000)^0.6*1.7*('CAPEX+OPEX'!$G$116/'CAPEX+OPEX'!$G$115)</f>
        <v>6718.3383575425096</v>
      </c>
      <c r="DN99">
        <f>'TEA Revised Non EYZ'!CM99</f>
        <v>39625.826528698344</v>
      </c>
      <c r="DO99">
        <f>'TEA Revised Non EYZ'!CN99</f>
        <v>4586243.4239371875</v>
      </c>
      <c r="DP99">
        <f>'TEA Revised Non EYZ'!CO99</f>
        <v>11794834.586807497</v>
      </c>
      <c r="DQ99">
        <f>'TEA Revised Non EYZ'!CP99</f>
        <v>2275209.1661185985</v>
      </c>
      <c r="DR99">
        <f>'TEA Revised Non EYZ'!CQ99</f>
        <v>14083914.336508472</v>
      </c>
      <c r="DS99">
        <f>'TEA Revised Non EYZ'!CR99</f>
        <v>1662824.8986326549</v>
      </c>
      <c r="DT99">
        <f>'TEA Revised Non EYZ'!CS99</f>
        <v>936765.86395108781</v>
      </c>
      <c r="DU99">
        <f>'TEA Revised Non EYZ'!CT99</f>
        <v>2409160.916797909</v>
      </c>
      <c r="DV99">
        <f>'TEA Revised Non EYZ'!CU99</f>
        <v>464724.19432521454</v>
      </c>
      <c r="DW99">
        <f>'TEA Revised Non EYZ'!CV99</f>
        <v>2876718.2553791031</v>
      </c>
      <c r="DX99">
        <f>'TEA Revised Non EYZ'!CW99</f>
        <v>339641.28346021532</v>
      </c>
      <c r="DY99">
        <f>'TEA Revised Non EYZ'!CX99</f>
        <v>7027010.5139135299</v>
      </c>
      <c r="DZ99">
        <f>'TEA Revised Non EYZ'!CY99</f>
        <v>843163.07585789578</v>
      </c>
      <c r="EA99">
        <f>'TEA Revised Non EYZ'!CZ99</f>
        <v>2168434.6185249295</v>
      </c>
      <c r="EB99">
        <f>'TEA Revised Non EYZ'!DA99</f>
        <v>418288.3858087401</v>
      </c>
      <c r="EC99">
        <f>'TEA Revised Non EYZ'!DB99</f>
        <v>2589273.0573588139</v>
      </c>
      <c r="ED99">
        <f>'TEA Revised Non EYZ'!DC99</f>
        <v>305703.91201359074</v>
      </c>
      <c r="EE99">
        <f>'TEA Revised Non EYZ'!DD99</f>
        <v>6324863.0495639704</v>
      </c>
      <c r="EF99">
        <v>0.7</v>
      </c>
      <c r="EG99">
        <v>100</v>
      </c>
      <c r="EH99">
        <f>96485*BL99*V99/EF99/EG99/60</f>
        <v>25.160352811302293</v>
      </c>
      <c r="EI99">
        <f>96485*BN99*BA99/EF99/EG99/60</f>
        <v>45.226971343694352</v>
      </c>
      <c r="EJ99">
        <f>EH99*('CAPEX+OPEX'!$O$25+'CAPEX+OPEX'!$O$26)</f>
        <v>801910.76480182668</v>
      </c>
      <c r="EK99">
        <f>EI99*('CAPEX+OPEX'!$O$25+'CAPEX+OPEX'!$O$26)</f>
        <v>1441474.0306662263</v>
      </c>
      <c r="EL99">
        <f>EJ99*1.12/0.6*'CAPEX+OPEX'!$G$116/'CAPEX+OPEX'!$G$115</f>
        <v>1765531.1495937889</v>
      </c>
      <c r="EM99">
        <f>EK99*1.12/0.6*'CAPEX+OPEX'!$G$116/'CAPEX+OPEX'!$G$115</f>
        <v>3173629.0547248903</v>
      </c>
      <c r="EN99">
        <f>EL99+EM99+DY99+EE99+1.15*(SUM(DF99:DM99)+SUM(CF99:CI99))</f>
        <v>18393162.455866177</v>
      </c>
      <c r="EO99">
        <f>EN99/15</f>
        <v>1226210.8303910785</v>
      </c>
      <c r="EP99">
        <f>('eLLE Bals'!CB99+'eLLE Bals'!CC99)*'Oxidant Feed Composition'!$N$25*60*7200</f>
        <v>12337874.20476702</v>
      </c>
      <c r="EQ99" s="83">
        <f>('eLLE Bals'!BR99+'eLLE Bals'!BY99)*'Reagent cost'!$C$38*60*7200</f>
        <v>505269.4802881488</v>
      </c>
      <c r="ER99">
        <f>'TEA Revised Non EYZ'!DI99</f>
        <v>504921.59999999998</v>
      </c>
      <c r="ES99">
        <f>'TEA Revised Non EYZ'!DJ99</f>
        <v>108.04672690023894</v>
      </c>
      <c r="ET99">
        <f>'TEA Revised Non EYZ'!DK99</f>
        <v>1140.1138370205426</v>
      </c>
      <c r="EU99">
        <f>1.2*SUM(EP99:ET99)</f>
        <v>16019176.134742906</v>
      </c>
      <c r="EV99">
        <f>'TEA Revised Non EYZ'!DM99</f>
        <v>0.70639694042110623</v>
      </c>
      <c r="EW99">
        <f>(BS99*CO99+BT99*CP99)/1000*('Oxidant Feed Composition'!$B$11*'Oxidant Feed Composition'!$O$20+'Oxidant Feed Composition'!$D$11*'Oxidant Feed Composition'!$O$21+'Oxidant Feed Composition'!$F$11*'Oxidant Feed Composition'!$O$27-'Oxidant Feed Composition'!$J$15*18.015)</f>
        <v>1.789119311174955</v>
      </c>
      <c r="EX99">
        <f>(CZ99*BX99+DC99*BZ99)*368.34/1000</f>
        <v>0.10199398855615749</v>
      </c>
      <c r="EY99">
        <f>'TEA Revised Non EYZ'!DP99</f>
        <v>4.999938342565946E-2</v>
      </c>
      <c r="EZ99">
        <f>SUM(EV99:EX99)-EY99</f>
        <v>2.5475108567265594</v>
      </c>
      <c r="FA99">
        <f>EZ99*0.33*60*7200</f>
        <v>363173.14773493836</v>
      </c>
      <c r="FB99">
        <f>'TEA Revised Non EYZ'!DS99</f>
        <v>1.2</v>
      </c>
      <c r="FC99">
        <v>0.5</v>
      </c>
      <c r="FD99">
        <f>'TEA Revised Non EYZ'!DT99</f>
        <v>1405.8791478299054</v>
      </c>
      <c r="FE99">
        <f>'TEA Revised Non EYZ'!DU99</f>
        <v>705.80254729732212</v>
      </c>
      <c r="FF99">
        <f>'TEA Revised Non EYZ'!DV99</f>
        <v>0.7</v>
      </c>
      <c r="FG99">
        <f>'TEA Revised Non EYZ'!DW99</f>
        <v>52288.524762496963</v>
      </c>
      <c r="FH99">
        <f>'TEA Revised Non EYZ'!DX99</f>
        <v>53983.928663982973</v>
      </c>
      <c r="FI99">
        <f>'TEA Revised Non EYZ'!DY99</f>
        <v>22856.098829508919</v>
      </c>
      <c r="FJ99">
        <f>'TEA Revised Non EYZ'!DZ99</f>
        <v>12107.513206066582</v>
      </c>
      <c r="FK99">
        <f>'TEA Revised Non EYZ'!EA99</f>
        <v>12189.919375738094</v>
      </c>
      <c r="FL99">
        <f>'TEA Revised Non EYZ'!EB99</f>
        <v>850.27570860752689</v>
      </c>
      <c r="FM99">
        <f>'TEA Revised Non EYZ'!EC99</f>
        <v>46284.539356559282</v>
      </c>
      <c r="FN99">
        <f>'TEA Revised Non EYZ'!ED99</f>
        <v>46552.60320984431</v>
      </c>
      <c r="FO99">
        <f>'TEA Revised Non EYZ'!EE99</f>
        <v>19709.771520296981</v>
      </c>
      <c r="FP99">
        <f>'TEA Revised Non EYZ'!EF99</f>
        <v>10446.628530575212</v>
      </c>
      <c r="FQ99">
        <f>'TEA Revised Non EYZ'!EG99</f>
        <v>10511.878144158392</v>
      </c>
      <c r="FR99">
        <f>'TEA Revised Non EYZ'!EH99</f>
        <v>426.86938060542042</v>
      </c>
      <c r="FS99">
        <f>'TEA Revised Non EYZ'!EI99</f>
        <v>288208.55068844062</v>
      </c>
      <c r="FT99">
        <f>EG99*EH99</f>
        <v>2516.0352811302291</v>
      </c>
      <c r="FU99">
        <f>EG99*EI99</f>
        <v>4522.6971343694349</v>
      </c>
      <c r="FV99">
        <f>FC99*(FT99+FU99)/(3.6*10^6)*3600*7200*0.07</f>
        <v>1773.7605687059154</v>
      </c>
      <c r="FW99">
        <f>('CAPEX+OPEX'!$C$39/7/100+0.03)*EL99</f>
        <v>90798.744836251994</v>
      </c>
      <c r="FX99">
        <f>('CAPEX+OPEX'!$C$39/7/100+0.03)*EM99</f>
        <v>163215.20852870864</v>
      </c>
      <c r="FY99">
        <f>SUM(FV99:FX99)</f>
        <v>255787.71393366653</v>
      </c>
      <c r="FZ99">
        <f>FY99+FA99+FS99+EU99</f>
        <v>16926345.547099952</v>
      </c>
      <c r="GA99">
        <f>FZ99+EO99</f>
        <v>18152556.377491031</v>
      </c>
      <c r="GB99">
        <f>GA99/(BK99*60*7200)</f>
        <v>0.42019806429377388</v>
      </c>
      <c r="GC99">
        <f>'TEA Revised Non EYZ'!EM99/'TEA Revised Non EYZ'!EK99*GA99</f>
        <v>1405.7607374883894</v>
      </c>
      <c r="GD99">
        <f>'TEA Revised Non EYZ'!EN99/'TEA Revised Non EYZ'!EK99*GA99</f>
        <v>2579.9157778941649</v>
      </c>
    </row>
    <row r="100" spans="1:186">
      <c r="A100">
        <f>'TEA Revised Non EYZ'!A100</f>
        <v>12</v>
      </c>
      <c r="B100">
        <f>'TEA Revised Non EYZ'!B100</f>
        <v>1.54143585092054E-3</v>
      </c>
      <c r="C100">
        <f>'TEA Revised Non EYZ'!C100</f>
        <v>1.54143585092054E-3</v>
      </c>
      <c r="D100">
        <f>'TEA Revised Non EYZ'!D100</f>
        <v>3.4254130020456501E-4</v>
      </c>
      <c r="E100">
        <f>'TEA Revised Non EYZ'!E100</f>
        <v>0</v>
      </c>
      <c r="F100">
        <f>'TEA Revised Non EYZ'!F100</f>
        <v>0</v>
      </c>
      <c r="G100">
        <f>'TEA Revised Non EYZ'!G100</f>
        <v>0</v>
      </c>
      <c r="H100">
        <f>'TEA Revised Non EYZ'!H100</f>
        <v>1.7771599281349402E-5</v>
      </c>
      <c r="I100">
        <f>'TEA Revised Non EYZ'!I100</f>
        <v>6.3113732322488897E-11</v>
      </c>
      <c r="J100">
        <f>'TEA Revised Non EYZ'!J100</f>
        <v>3.37661562480901E-4</v>
      </c>
      <c r="K100">
        <f>'TEA Revised Non EYZ'!K100</f>
        <v>0.13911791568267901</v>
      </c>
      <c r="L100">
        <f>'TEA Revised Non EYZ'!L100</f>
        <v>0.140740543921716</v>
      </c>
      <c r="M100">
        <f>'TEA Revised Non EYZ'!M100</f>
        <v>4.45543656000266E-4</v>
      </c>
      <c r="N100">
        <f>'TEA Revised Non EYZ'!N100</f>
        <v>-4.7646348672047899E-15</v>
      </c>
      <c r="O100">
        <f>'TEA Revised Non EYZ'!O100</f>
        <v>-1.1300289697036E-11</v>
      </c>
      <c r="P100">
        <f>'TEA Revised Non EYZ'!P100</f>
        <v>-4.6756218688437302E-19</v>
      </c>
      <c r="Q100">
        <f>'TEA Revised Non EYZ'!Q100</f>
        <v>0.10952322309941399</v>
      </c>
      <c r="R100">
        <f>'TEA Revised Non EYZ'!R100</f>
        <v>98.575430839799395</v>
      </c>
      <c r="S100">
        <f>'TEA Revised Non EYZ'!S100</f>
        <v>500</v>
      </c>
      <c r="T100">
        <f>'TEA Revised Non EYZ'!T100</f>
        <v>95</v>
      </c>
      <c r="U100">
        <f>'TEA Revised Non EYZ'!U100</f>
        <v>1</v>
      </c>
      <c r="V100">
        <f>'TEA Revised Non EYZ'!V100</f>
        <v>0.1</v>
      </c>
      <c r="W100">
        <f>'TEA Revised Non EYZ'!W100</f>
        <v>91.304836700459305</v>
      </c>
      <c r="X100" t="str">
        <f>'TEA Revised Non EYZ'!X100</f>
        <v>ddFc</v>
      </c>
      <c r="Y100">
        <f>'TEA Revised Non EYZ'!Y100</f>
        <v>1</v>
      </c>
      <c r="Z100">
        <f>'TEA Revised Non EYZ'!Z100</f>
        <v>0.28318429382522198</v>
      </c>
      <c r="AA100">
        <f>'TEA Revised Non EYZ'!AA100</f>
        <v>0.56945642916197003</v>
      </c>
      <c r="AB100">
        <f>'TEA Revised Non EYZ'!AB100</f>
        <v>3.7698628972227502E-3</v>
      </c>
      <c r="AC100">
        <f>'TEA Revised Non EYZ'!AC100</f>
        <v>1822.2107908876901</v>
      </c>
      <c r="AD100">
        <f>'TEA Revised Non EYZ'!AD100</f>
        <v>2662.6059073104898</v>
      </c>
      <c r="AE100">
        <f>'TEA Revised Non EYZ'!AE100</f>
        <v>2401.5030938442701</v>
      </c>
      <c r="AF100">
        <f>'TEA Revised Non EYZ'!AF100</f>
        <v>12</v>
      </c>
      <c r="AG100">
        <f>'TEA Revised Non EYZ'!AG100</f>
        <v>1.6497575706444501E-3</v>
      </c>
      <c r="AH100">
        <f>'TEA Revised Non EYZ'!AH100</f>
        <v>1.66899983148883E-3</v>
      </c>
      <c r="AI100">
        <f>'TEA Revised Non EYZ'!AI100</f>
        <v>5.28356837386519E-6</v>
      </c>
      <c r="AJ100">
        <f>'TEA Revised Non EYZ'!AJ100</f>
        <v>0</v>
      </c>
      <c r="AK100">
        <f>'TEA Revised Non EYZ'!AK100</f>
        <v>0</v>
      </c>
      <c r="AL100">
        <f>'TEA Revised Non EYZ'!AL100</f>
        <v>0</v>
      </c>
      <c r="AM100">
        <f>'TEA Revised Non EYZ'!AM100</f>
        <v>1.6128107620641699E-3</v>
      </c>
      <c r="AN100">
        <f>'TEA Revised Non EYZ'!AN100</f>
        <v>7.9635955314965296E-5</v>
      </c>
      <c r="AO100">
        <f>'TEA Revised Non EYZ'!AO100</f>
        <v>5.2488216357800397E-6</v>
      </c>
      <c r="AP100">
        <f>'TEA Revised Non EYZ'!AP100</f>
        <v>1.7332529701511801E-3</v>
      </c>
      <c r="AQ100">
        <f>'TEA Revised Non EYZ'!AQ100</f>
        <v>7.4560422536797497E-2</v>
      </c>
      <c r="AR100">
        <f>'TEA Revised Non EYZ'!AR100</f>
        <v>1.6300430078820901E-6</v>
      </c>
      <c r="AS100">
        <f>'TEA Revised Non EYZ'!AS100</f>
        <v>3.8848996719229E-16</v>
      </c>
      <c r="AT100">
        <f>'TEA Revised Non EYZ'!AT100</f>
        <v>-3.7900455343575703E-14</v>
      </c>
      <c r="AU100">
        <f>'TEA Revised Non EYZ'!AU100</f>
        <v>-2.53448139686247E-21</v>
      </c>
      <c r="AV100">
        <f>'TEA Revised Non EYZ'!AV100</f>
        <v>0.19687207814646801</v>
      </c>
      <c r="AW100">
        <f>'TEA Revised Non EYZ'!AW100</f>
        <v>99.342362289527202</v>
      </c>
      <c r="AX100">
        <f>'TEA Revised Non EYZ'!AX100</f>
        <v>500</v>
      </c>
      <c r="AY100">
        <f>'TEA Revised Non EYZ'!AY100</f>
        <v>95</v>
      </c>
      <c r="AZ100">
        <f>'TEA Revised Non EYZ'!AZ100</f>
        <v>0.92356857683566096</v>
      </c>
      <c r="BA100">
        <f>'TEA Revised Non EYZ'!BA100</f>
        <v>0.1</v>
      </c>
      <c r="BB100">
        <f>'TEA Revised Non EYZ'!BB100</f>
        <v>46.912116006036399</v>
      </c>
      <c r="BC100" t="str">
        <f>'TEA Revised Non EYZ'!BC100</f>
        <v>coeFc</v>
      </c>
      <c r="BD100">
        <f>'TEA Revised Non EYZ'!BD100</f>
        <v>1</v>
      </c>
      <c r="BE100">
        <f>'TEA Revised Non EYZ'!BE100</f>
        <v>1.8775014999999999E-2</v>
      </c>
      <c r="BF100">
        <f>'TEA Revised Non EYZ'!BF100</f>
        <v>0.10492961100000001</v>
      </c>
      <c r="BG100">
        <f>'TEA Revised Non EYZ'!BG100</f>
        <v>1.814625E-3</v>
      </c>
      <c r="BH100">
        <f>'TEA Revised Non EYZ'!BH100</f>
        <v>285.1951444</v>
      </c>
      <c r="BI100">
        <f>'TEA Revised Non EYZ'!BI100</f>
        <v>2169.8944889999998</v>
      </c>
      <c r="BJ100">
        <f>'TEA Revised Non EYZ'!BJ100</f>
        <v>866.49409060000005</v>
      </c>
      <c r="BK100">
        <f>'TEA Revised Non EYZ'!BK100</f>
        <v>100</v>
      </c>
      <c r="BL100">
        <f>'TEA Revised Non EYZ'!BL100</f>
        <v>10.952322309941399</v>
      </c>
      <c r="BM100">
        <f>'TEA Revised Non EYZ'!BM100</f>
        <v>92.356857683566091</v>
      </c>
      <c r="BN100">
        <f>'TEA Revised Non EYZ'!BN100</f>
        <v>19.687207814646801</v>
      </c>
      <c r="BO100">
        <f>'TEA Revised Non EYZ'!BO100</f>
        <v>306.6650246783592</v>
      </c>
      <c r="BP100">
        <f>'TEA Revised Non EYZ'!BP100</f>
        <v>551.24181881011043</v>
      </c>
      <c r="BQ100">
        <f>'TEA Revised Non EYZ'!BQ100</f>
        <v>30.666502467835922</v>
      </c>
      <c r="BR100">
        <f>'TEA Revised Non EYZ'!BR100</f>
        <v>55.124181881011047</v>
      </c>
      <c r="BS100">
        <f>'eLLE Bals'!CF100</f>
        <v>6.5713933859648392</v>
      </c>
      <c r="BT100">
        <f>'eLLE Bals'!CG100</f>
        <v>11.812324688788079</v>
      </c>
      <c r="BU100">
        <f>BM100</f>
        <v>92.356857683566091</v>
      </c>
      <c r="BV100">
        <f>BU100*(AM100*2+AN100*2+AO100*3)</f>
        <v>0.31407241524647328</v>
      </c>
      <c r="BW100">
        <f>BN100*BA100*(AP100*2+AQ100*2+AR100*3)</f>
        <v>0.30041151622833834</v>
      </c>
      <c r="BX100">
        <f>BV100/(2*V100*BL100+BV100)</f>
        <v>0.12540139380708146</v>
      </c>
      <c r="BY100">
        <f>BU100*BX100</f>
        <v>11.581678681161447</v>
      </c>
      <c r="BZ100">
        <f>BW100/(2*BN100*BA100+BW100)</f>
        <v>7.0887666612559186E-2</v>
      </c>
      <c r="CA100">
        <f>2*BN100*BA100/0.04</f>
        <v>98.436039073233999</v>
      </c>
      <c r="CB100">
        <f>(BS100+BL100)*2</f>
        <v>35.047431391812481</v>
      </c>
      <c r="CC100">
        <f>(BU100+BL100)*2</f>
        <v>206.61835998701497</v>
      </c>
      <c r="CD100">
        <f>(BT100+BN100)*2</f>
        <v>62.999065006869756</v>
      </c>
      <c r="CE100">
        <f>(CA100+BN100)*2</f>
        <v>236.24649377576159</v>
      </c>
      <c r="CF100">
        <f>'TEA Revised Non EYZ'!CB100</f>
        <v>4047.9783257543413</v>
      </c>
      <c r="CG100">
        <f>'TEA Revised Non EYZ'!CC100</f>
        <v>7276.3920082934583</v>
      </c>
      <c r="CH100">
        <f>'TEA Revised Non EYZ'!CD100</f>
        <v>4890.707695899031</v>
      </c>
      <c r="CI100">
        <f>'TEA Revised Non EYZ'!CE100</f>
        <v>56123.458273328237</v>
      </c>
      <c r="CJ100">
        <f>BL100*V100</f>
        <v>1.09523223099414</v>
      </c>
      <c r="CK100">
        <f>CJ100/2*1.2</f>
        <v>0.65713933859648399</v>
      </c>
      <c r="CL100">
        <f>'eLLE Bals'!CB100*'Oxidant Feed Composition'!$N$20</f>
        <v>3.6507741033138016E-2</v>
      </c>
      <c r="CM100">
        <f>'eLLE Bals'!CB100*'Oxidant Feed Composition'!$N$21</f>
        <v>1.8253870516569002</v>
      </c>
      <c r="CN100">
        <f>'eLLE Bals'!CB100*'Oxidant Feed Composition'!$N$22</f>
        <v>0.54761611549707001</v>
      </c>
      <c r="CO100">
        <f>CN100/CK100</f>
        <v>0.83333333333333337</v>
      </c>
      <c r="CP100">
        <f>CO100</f>
        <v>0.83333333333333337</v>
      </c>
      <c r="CQ100">
        <f>CL100/CO100</f>
        <v>4.3809289239765618E-2</v>
      </c>
      <c r="CR100">
        <f>CM100/CO100</f>
        <v>2.19046446198828</v>
      </c>
      <c r="CS100">
        <f>BN100*BA100</f>
        <v>1.9687207814646801</v>
      </c>
      <c r="CT100">
        <f>CS100/2*1.2</f>
        <v>1.1812324688788081</v>
      </c>
      <c r="CU100">
        <f>'eLLE Bals'!CC100*'Oxidant Feed Composition'!$N$20</f>
        <v>6.5624026048822698E-2</v>
      </c>
      <c r="CV100">
        <f>'eLLE Bals'!CC100*'Oxidant Feed Composition'!$N$21</f>
        <v>3.2812013024411337</v>
      </c>
      <c r="CW100">
        <f>'eLLE Bals'!CC100*'Oxidant Feed Composition'!$N$22</f>
        <v>0.98436039073234005</v>
      </c>
      <c r="CX100">
        <f>CU100/CP100</f>
        <v>7.874883125858724E-2</v>
      </c>
      <c r="CY100">
        <f>CV100/CP100</f>
        <v>3.9374415629293602</v>
      </c>
      <c r="CZ100">
        <f>CJ100</f>
        <v>1.09523223099414</v>
      </c>
      <c r="DA100">
        <f>'eLLE Bals'!BQ100</f>
        <v>2.19046446198828</v>
      </c>
      <c r="DB100">
        <f>'eLLE Bals'!BU100</f>
        <v>5.4481155697872907</v>
      </c>
      <c r="DC100">
        <f>CS100</f>
        <v>1.9687207814646801</v>
      </c>
      <c r="DD100">
        <f>'eLLE Bals'!BX100</f>
        <v>3.9374415629293602</v>
      </c>
      <c r="DE100">
        <f>'eLLE Bals'!CA100</f>
        <v>21.866239760824659</v>
      </c>
      <c r="DF100">
        <f>2*2*(CJ100*'Reagent cost'!$C$36*122.44/1000+CK100*'Oxidant Feed Composition'!$N$26+CQ100*'Reagent cost'!$C$34+CR100*'Reagent cost'!$C$35)</f>
        <v>92.511760310256193</v>
      </c>
      <c r="DG100">
        <f>2*2*(CS100*'Reagent cost'!$C$36*122.44/1000+CT100*'Oxidant Feed Composition'!$N$26+CX100*'Reagent cost'!$C$34+CY100*'Reagent cost'!$C$35)</f>
        <v>166.29333934718289</v>
      </c>
      <c r="DH100">
        <f>(AF100+3)*2*(CZ100*'Reagent cost'!$C$38+DA100*'Reagent cost'!$C$39+DB100*'Reagent cost'!$C$36*122.44/1000)</f>
        <v>1559.7139061991718</v>
      </c>
      <c r="DI100">
        <f>3*2*(DC100*'Reagent cost'!$C$38+DD100*'Reagent cost'!$C$39+DE100*'Reagent cost'!$C$36*122.44/1000)</f>
        <v>1187.0818986389722</v>
      </c>
      <c r="DJ100">
        <f>7963.6*(CB100/1000)^0.6*1.7*('CAPEX+OPEX'!$G$116/'CAPEX+OPEX'!$G$115)</f>
        <v>2138.1326451989207</v>
      </c>
      <c r="DK100">
        <f>7963.6*(CC100/1000)^0.6*1.7*('CAPEX+OPEX'!$G$116/'CAPEX+OPEX'!$G$115)</f>
        <v>6199.2945816251477</v>
      </c>
      <c r="DL100">
        <f>7963.6*(CD100/1000)^0.6*1.7*('CAPEX+OPEX'!$G$116/'CAPEX+OPEX'!$G$115)</f>
        <v>3039.7746593672682</v>
      </c>
      <c r="DM100">
        <f>7963.6*(CE100/1000)^0.6*1.7*('CAPEX+OPEX'!$G$116/'CAPEX+OPEX'!$G$115)</f>
        <v>6718.3117241912714</v>
      </c>
      <c r="DN100">
        <f>'TEA Revised Non EYZ'!CM100</f>
        <v>39625.826528698344</v>
      </c>
      <c r="DO100">
        <f>'TEA Revised Non EYZ'!CN100</f>
        <v>4586243.4239371875</v>
      </c>
      <c r="DP100">
        <f>'TEA Revised Non EYZ'!CO100</f>
        <v>11794834.586807497</v>
      </c>
      <c r="DQ100">
        <f>'TEA Revised Non EYZ'!CP100</f>
        <v>2275209.1661185985</v>
      </c>
      <c r="DR100">
        <f>'TEA Revised Non EYZ'!CQ100</f>
        <v>14083914.336508472</v>
      </c>
      <c r="DS100">
        <f>'TEA Revised Non EYZ'!CR100</f>
        <v>1662824.8986326549</v>
      </c>
      <c r="DT100">
        <f>'TEA Revised Non EYZ'!CS100</f>
        <v>936765.86395108781</v>
      </c>
      <c r="DU100">
        <f>'TEA Revised Non EYZ'!CT100</f>
        <v>2409160.916797909</v>
      </c>
      <c r="DV100">
        <f>'TEA Revised Non EYZ'!CU100</f>
        <v>464724.19432521454</v>
      </c>
      <c r="DW100">
        <f>'TEA Revised Non EYZ'!CV100</f>
        <v>2876718.2553791031</v>
      </c>
      <c r="DX100">
        <f>'TEA Revised Non EYZ'!CW100</f>
        <v>339641.28346021532</v>
      </c>
      <c r="DY100">
        <f>'TEA Revised Non EYZ'!CX100</f>
        <v>7027010.5139135299</v>
      </c>
      <c r="DZ100">
        <f>'TEA Revised Non EYZ'!CY100</f>
        <v>884644.62522109901</v>
      </c>
      <c r="EA100">
        <f>'TEA Revised Non EYZ'!CZ100</f>
        <v>2275116.2679528282</v>
      </c>
      <c r="EB100">
        <f>'TEA Revised Non EYZ'!DA100</f>
        <v>438867.14550635306</v>
      </c>
      <c r="EC100">
        <f>'TEA Revised Non EYZ'!DB100</f>
        <v>2716658.9228206738</v>
      </c>
      <c r="ED100">
        <f>'TEA Revised Non EYZ'!DC100</f>
        <v>320743.79252995877</v>
      </c>
      <c r="EE100">
        <f>'TEA Revised Non EYZ'!DD100</f>
        <v>6636030.7540309131</v>
      </c>
      <c r="EF100">
        <v>0.7</v>
      </c>
      <c r="EG100">
        <v>100</v>
      </c>
      <c r="EH100">
        <f>96485*BL100*V100/EF100/EG100/60</f>
        <v>25.160352811302293</v>
      </c>
      <c r="EI100">
        <f>96485*BN100*BA100/EF100/EG100/60</f>
        <v>45.226672523718982</v>
      </c>
      <c r="EJ100">
        <f>EH100*('CAPEX+OPEX'!$O$25+'CAPEX+OPEX'!$O$26)</f>
        <v>801910.76480182668</v>
      </c>
      <c r="EK100">
        <f>EI100*('CAPEX+OPEX'!$O$25+'CAPEX+OPEX'!$O$26)</f>
        <v>1441464.5066759714</v>
      </c>
      <c r="EL100">
        <f>EJ100*1.12/0.6*'CAPEX+OPEX'!$G$116/'CAPEX+OPEX'!$G$115</f>
        <v>1765531.1495937889</v>
      </c>
      <c r="EM100">
        <f>EK100*1.12/0.6*'CAPEX+OPEX'!$G$116/'CAPEX+OPEX'!$G$115</f>
        <v>3173608.0861805067</v>
      </c>
      <c r="EN100">
        <f>EL100+EM100+DY100+EE100+1.15*(SUM(DF100:DM100)+SUM(CF100:CI100))</f>
        <v>18709636.102159612</v>
      </c>
      <c r="EO100">
        <f>EN100/15</f>
        <v>1247309.0734773076</v>
      </c>
      <c r="EP100">
        <f>('eLLE Bals'!CB100+'eLLE Bals'!CC100)*'Oxidant Feed Composition'!$N$25*60*7200</f>
        <v>12337821.825971404</v>
      </c>
      <c r="EQ100" s="83">
        <f>('eLLE Bals'!BR100+'eLLE Bals'!BY100)*'Reagent cost'!$C$38*60*7200</f>
        <v>505269.34572200949</v>
      </c>
      <c r="ER100">
        <f>'TEA Revised Non EYZ'!DI100</f>
        <v>504921.59999999998</v>
      </c>
      <c r="ES100">
        <f>'TEA Revised Non EYZ'!DJ100</f>
        <v>113.24370334047799</v>
      </c>
      <c r="ET100">
        <f>'TEA Revised Non EYZ'!DK100</f>
        <v>1220.2833193845454</v>
      </c>
      <c r="EU100">
        <f>1.2*SUM(EP100:ET100)</f>
        <v>16019215.558459366</v>
      </c>
      <c r="EV100">
        <f>'TEA Revised Non EYZ'!DM100</f>
        <v>0.70639694042110623</v>
      </c>
      <c r="EW100">
        <f>(BS100*CO100+BT100*CP100)/1000*('Oxidant Feed Composition'!$B$11*'Oxidant Feed Composition'!$O$20+'Oxidant Feed Composition'!$D$11*'Oxidant Feed Composition'!$O$21+'Oxidant Feed Composition'!$F$11*'Oxidant Feed Composition'!$O$27-'Oxidant Feed Composition'!$J$15*18.015)</f>
        <v>1.7891117157080874</v>
      </c>
      <c r="EX100">
        <f>(CZ100*BX100+DC100*BZ100)*368.34/1000</f>
        <v>0.10199396139255903</v>
      </c>
      <c r="EY100">
        <f>'TEA Revised Non EYZ'!DP100</f>
        <v>4.999938342565946E-2</v>
      </c>
      <c r="EZ100">
        <f>SUM(EV100:EX100)-EY100</f>
        <v>2.5475032340960935</v>
      </c>
      <c r="FA100">
        <f>EZ100*0.33*60*7200</f>
        <v>363172.0610527391</v>
      </c>
      <c r="FB100">
        <f>'TEA Revised Non EYZ'!DS100</f>
        <v>1.2</v>
      </c>
      <c r="FC100">
        <v>0.5</v>
      </c>
      <c r="FD100">
        <f>'TEA Revised Non EYZ'!DT100</f>
        <v>1405.8799101755899</v>
      </c>
      <c r="FE100">
        <f>'TEA Revised Non EYZ'!DU100</f>
        <v>705.80178487948251</v>
      </c>
      <c r="FF100">
        <f>'TEA Revised Non EYZ'!DV100</f>
        <v>0.7</v>
      </c>
      <c r="FG100">
        <f>'TEA Revised Non EYZ'!DW100</f>
        <v>52288.524762496963</v>
      </c>
      <c r="FH100">
        <f>'TEA Revised Non EYZ'!DX100</f>
        <v>53983.928663982973</v>
      </c>
      <c r="FI100">
        <f>'TEA Revised Non EYZ'!DY100</f>
        <v>22856.098829508919</v>
      </c>
      <c r="FJ100">
        <f>'TEA Revised Non EYZ'!DZ100</f>
        <v>12107.513206066582</v>
      </c>
      <c r="FK100">
        <f>'TEA Revised Non EYZ'!EA100</f>
        <v>12189.919375738094</v>
      </c>
      <c r="FL100">
        <f>'TEA Revised Non EYZ'!EB100</f>
        <v>850.27616967419681</v>
      </c>
      <c r="FM100">
        <f>'TEA Revised Non EYZ'!EC100</f>
        <v>48855.90265414591</v>
      </c>
      <c r="FN100">
        <f>'TEA Revised Non EYZ'!ED100</f>
        <v>50431.986810664675</v>
      </c>
      <c r="FO100">
        <f>'TEA Revised Non EYZ'!EE100</f>
        <v>21352.252480321731</v>
      </c>
      <c r="FP100">
        <f>'TEA Revised Non EYZ'!EF100</f>
        <v>11317.180908123148</v>
      </c>
      <c r="FQ100">
        <f>'TEA Revised Non EYZ'!EG100</f>
        <v>11387.867989504926</v>
      </c>
      <c r="FR100">
        <f>'TEA Revised Non EYZ'!EH100</f>
        <v>426.86891949511096</v>
      </c>
      <c r="FS100">
        <f>'TEA Revised Non EYZ'!EI100</f>
        <v>298048.32076972321</v>
      </c>
      <c r="FT100">
        <f>EG100*EH100</f>
        <v>2516.0352811302291</v>
      </c>
      <c r="FU100">
        <f>EG100*EI100</f>
        <v>4522.667252371898</v>
      </c>
      <c r="FV100">
        <f>FC100*(FT100+FU100)/(3.6*10^6)*3600*7200*0.07</f>
        <v>1773.7530384425365</v>
      </c>
      <c r="FW100">
        <f>('CAPEX+OPEX'!$C$39/7/100+0.03)*EL100</f>
        <v>90798.744836251994</v>
      </c>
      <c r="FX100">
        <f>('CAPEX+OPEX'!$C$39/7/100+0.03)*EM100</f>
        <v>163214.13014642606</v>
      </c>
      <c r="FY100">
        <f>SUM(FV100:FX100)</f>
        <v>255786.62802112059</v>
      </c>
      <c r="FZ100">
        <f>FY100+FA100+FS100+EU100</f>
        <v>16936222.568302948</v>
      </c>
      <c r="GA100">
        <f>FZ100+EO100</f>
        <v>18183531.641780257</v>
      </c>
      <c r="GB100">
        <f>GA100/(BK100*60*7200)</f>
        <v>0.42091508430046892</v>
      </c>
      <c r="GC100">
        <f>'TEA Revised Non EYZ'!EM100/'TEA Revised Non EYZ'!EK100*GA100</f>
        <v>1408.158743586825</v>
      </c>
      <c r="GD100">
        <f>'TEA Revised Non EYZ'!EN100/'TEA Revised Non EYZ'!EK100*GA100</f>
        <v>2584.320683210366</v>
      </c>
    </row>
    <row r="101" spans="1:186">
      <c r="A101">
        <f>'TEA Revised Non EYZ'!A101</f>
        <v>12</v>
      </c>
      <c r="B101">
        <f>'TEA Revised Non EYZ'!B101</f>
        <v>1.54143585092054E-3</v>
      </c>
      <c r="C101">
        <f>'TEA Revised Non EYZ'!C101</f>
        <v>1.54143585092054E-3</v>
      </c>
      <c r="D101">
        <f>'TEA Revised Non EYZ'!D101</f>
        <v>3.4254130020456501E-4</v>
      </c>
      <c r="E101">
        <f>'TEA Revised Non EYZ'!E101</f>
        <v>0</v>
      </c>
      <c r="F101">
        <f>'TEA Revised Non EYZ'!F101</f>
        <v>0</v>
      </c>
      <c r="G101">
        <f>'TEA Revised Non EYZ'!G101</f>
        <v>0</v>
      </c>
      <c r="H101">
        <f>'TEA Revised Non EYZ'!H101</f>
        <v>1.7771599281349402E-5</v>
      </c>
      <c r="I101">
        <f>'TEA Revised Non EYZ'!I101</f>
        <v>6.3113732322488897E-11</v>
      </c>
      <c r="J101">
        <f>'TEA Revised Non EYZ'!J101</f>
        <v>3.37661562480901E-4</v>
      </c>
      <c r="K101">
        <f>'TEA Revised Non EYZ'!K101</f>
        <v>0.13911791568267901</v>
      </c>
      <c r="L101">
        <f>'TEA Revised Non EYZ'!L101</f>
        <v>0.140740543921716</v>
      </c>
      <c r="M101">
        <f>'TEA Revised Non EYZ'!M101</f>
        <v>4.45543656000266E-4</v>
      </c>
      <c r="N101">
        <f>'TEA Revised Non EYZ'!N101</f>
        <v>-4.7646348672047899E-15</v>
      </c>
      <c r="O101">
        <f>'TEA Revised Non EYZ'!O101</f>
        <v>-1.1300289697036E-11</v>
      </c>
      <c r="P101">
        <f>'TEA Revised Non EYZ'!P101</f>
        <v>-4.6756218688437302E-19</v>
      </c>
      <c r="Q101">
        <f>'TEA Revised Non EYZ'!Q101</f>
        <v>0.10952322309941399</v>
      </c>
      <c r="R101">
        <f>'TEA Revised Non EYZ'!R101</f>
        <v>98.575430839799395</v>
      </c>
      <c r="S101">
        <f>'TEA Revised Non EYZ'!S101</f>
        <v>500</v>
      </c>
      <c r="T101">
        <f>'TEA Revised Non EYZ'!T101</f>
        <v>95</v>
      </c>
      <c r="U101">
        <f>'TEA Revised Non EYZ'!U101</f>
        <v>1</v>
      </c>
      <c r="V101">
        <f>'TEA Revised Non EYZ'!V101</f>
        <v>0.1</v>
      </c>
      <c r="W101">
        <f>'TEA Revised Non EYZ'!W101</f>
        <v>91.304836700459305</v>
      </c>
      <c r="X101" t="str">
        <f>'TEA Revised Non EYZ'!X101</f>
        <v>ddFc</v>
      </c>
      <c r="Y101">
        <f>'TEA Revised Non EYZ'!Y101</f>
        <v>1</v>
      </c>
      <c r="Z101">
        <f>'TEA Revised Non EYZ'!Z101</f>
        <v>0.28318429382522198</v>
      </c>
      <c r="AA101">
        <f>'TEA Revised Non EYZ'!AA101</f>
        <v>0.56945642916197003</v>
      </c>
      <c r="AB101">
        <f>'TEA Revised Non EYZ'!AB101</f>
        <v>3.7698628972227502E-3</v>
      </c>
      <c r="AC101">
        <f>'TEA Revised Non EYZ'!AC101</f>
        <v>1822.2107908876901</v>
      </c>
      <c r="AD101">
        <f>'TEA Revised Non EYZ'!AD101</f>
        <v>2662.6059073104898</v>
      </c>
      <c r="AE101">
        <f>'TEA Revised Non EYZ'!AE101</f>
        <v>2401.5030938442701</v>
      </c>
      <c r="AF101">
        <f>'TEA Revised Non EYZ'!AF101</f>
        <v>13</v>
      </c>
      <c r="AG101">
        <f>'TEA Revised Non EYZ'!AG101</f>
        <v>1.6497575706444501E-3</v>
      </c>
      <c r="AH101">
        <f>'TEA Revised Non EYZ'!AH101</f>
        <v>1.66899983148883E-3</v>
      </c>
      <c r="AI101">
        <f>'TEA Revised Non EYZ'!AI101</f>
        <v>5.28356837386519E-6</v>
      </c>
      <c r="AJ101">
        <f>'TEA Revised Non EYZ'!AJ101</f>
        <v>0</v>
      </c>
      <c r="AK101">
        <f>'TEA Revised Non EYZ'!AK101</f>
        <v>0</v>
      </c>
      <c r="AL101">
        <f>'TEA Revised Non EYZ'!AL101</f>
        <v>0</v>
      </c>
      <c r="AM101">
        <f>'TEA Revised Non EYZ'!AM101</f>
        <v>1.61281100796467E-3</v>
      </c>
      <c r="AN101">
        <f>'TEA Revised Non EYZ'!AN101</f>
        <v>7.9635968035451799E-5</v>
      </c>
      <c r="AO101">
        <f>'TEA Revised Non EYZ'!AO101</f>
        <v>5.2488218574256396E-6</v>
      </c>
      <c r="AP101">
        <f>'TEA Revised Non EYZ'!AP101</f>
        <v>1.73324465254427E-3</v>
      </c>
      <c r="AQ101">
        <f>'TEA Revised Non EYZ'!AQ101</f>
        <v>7.4560560373448506E-2</v>
      </c>
      <c r="AR101">
        <f>'TEA Revised Non EYZ'!AR101</f>
        <v>1.6300356364773401E-6</v>
      </c>
      <c r="AS101">
        <f>'TEA Revised Non EYZ'!AS101</f>
        <v>-7.4538899358378406E-20</v>
      </c>
      <c r="AT101">
        <f>'TEA Revised Non EYZ'!AT101</f>
        <v>-1.34441069388202E-17</v>
      </c>
      <c r="AU101">
        <f>'TEA Revised Non EYZ'!AU101</f>
        <v>3.44107134822059E-22</v>
      </c>
      <c r="AV101">
        <f>'TEA Revised Non EYZ'!AV101</f>
        <v>0.19687171261743899</v>
      </c>
      <c r="AW101">
        <f>'TEA Revised Non EYZ'!AW101</f>
        <v>99.3423664845254</v>
      </c>
      <c r="AX101">
        <f>'TEA Revised Non EYZ'!AX101</f>
        <v>500</v>
      </c>
      <c r="AY101">
        <f>'TEA Revised Non EYZ'!AY101</f>
        <v>95</v>
      </c>
      <c r="AZ101">
        <f>'TEA Revised Non EYZ'!AZ101</f>
        <v>0.92356857683566096</v>
      </c>
      <c r="BA101">
        <f>'TEA Revised Non EYZ'!BA101</f>
        <v>0.1</v>
      </c>
      <c r="BB101">
        <f>'TEA Revised Non EYZ'!BB101</f>
        <v>46.912203107123602</v>
      </c>
      <c r="BC101" t="str">
        <f>'TEA Revised Non EYZ'!BC101</f>
        <v>coeFc</v>
      </c>
      <c r="BD101">
        <f>'TEA Revised Non EYZ'!BD101</f>
        <v>1</v>
      </c>
      <c r="BE101">
        <f>'TEA Revised Non EYZ'!BE101</f>
        <v>1.8775014999999999E-2</v>
      </c>
      <c r="BF101">
        <f>'TEA Revised Non EYZ'!BF101</f>
        <v>0.10492961100000001</v>
      </c>
      <c r="BG101">
        <f>'TEA Revised Non EYZ'!BG101</f>
        <v>1.814625E-3</v>
      </c>
      <c r="BH101">
        <f>'TEA Revised Non EYZ'!BH101</f>
        <v>285.1951444</v>
      </c>
      <c r="BI101">
        <f>'TEA Revised Non EYZ'!BI101</f>
        <v>2169.8944889999998</v>
      </c>
      <c r="BJ101">
        <f>'TEA Revised Non EYZ'!BJ101</f>
        <v>866.49409060000005</v>
      </c>
      <c r="BK101">
        <f>'TEA Revised Non EYZ'!BK101</f>
        <v>100</v>
      </c>
      <c r="BL101">
        <f>'TEA Revised Non EYZ'!BL101</f>
        <v>10.952322309941399</v>
      </c>
      <c r="BM101">
        <f>'TEA Revised Non EYZ'!BM101</f>
        <v>92.356857683566091</v>
      </c>
      <c r="BN101">
        <f>'TEA Revised Non EYZ'!BN101</f>
        <v>19.687171261743899</v>
      </c>
      <c r="BO101">
        <f>'TEA Revised Non EYZ'!BO101</f>
        <v>306.6650246783592</v>
      </c>
      <c r="BP101">
        <f>'TEA Revised Non EYZ'!BP101</f>
        <v>590.61513785231693</v>
      </c>
      <c r="BQ101">
        <f>'TEA Revised Non EYZ'!BQ101</f>
        <v>30.666502467835922</v>
      </c>
      <c r="BR101">
        <f>'TEA Revised Non EYZ'!BR101</f>
        <v>59.061513785231696</v>
      </c>
      <c r="BS101">
        <f>'eLLE Bals'!CF101</f>
        <v>6.5713933859648392</v>
      </c>
      <c r="BT101">
        <f>'eLLE Bals'!CG101</f>
        <v>11.812302757046339</v>
      </c>
      <c r="BU101">
        <f>BM101</f>
        <v>92.356857683566091</v>
      </c>
      <c r="BV101">
        <f>BU101*(AM101*2+AN101*2+AO101*3)</f>
        <v>0.31407246307872805</v>
      </c>
      <c r="BW101">
        <f>BN101*BA101*(AP101*2+AQ101*2+AR101*3)</f>
        <v>0.30041146838858485</v>
      </c>
      <c r="BX101">
        <f>BV101/(2*V101*BL101+BV101)</f>
        <v>0.12540141051037812</v>
      </c>
      <c r="BY101">
        <f>BU101*BX101</f>
        <v>11.58168022382544</v>
      </c>
      <c r="BZ101">
        <f>BW101/(2*BN101*BA101+BW101)</f>
        <v>7.088777841028028E-2</v>
      </c>
      <c r="CA101">
        <f>2*BN101*BA101/0.04</f>
        <v>98.435856308719494</v>
      </c>
      <c r="CB101">
        <f>(BS101+BL101)*2</f>
        <v>35.047431391812481</v>
      </c>
      <c r="CC101">
        <f>(BU101+BL101)*2</f>
        <v>206.61835998701497</v>
      </c>
      <c r="CD101">
        <f>(BT101+BN101)*2</f>
        <v>62.998948037580476</v>
      </c>
      <c r="CE101">
        <f>(CA101+BN101)*2</f>
        <v>236.24605514092679</v>
      </c>
      <c r="CF101">
        <f>'TEA Revised Non EYZ'!CB101</f>
        <v>4047.9783257543413</v>
      </c>
      <c r="CG101">
        <f>'TEA Revised Non EYZ'!CC101</f>
        <v>7796.1198196505838</v>
      </c>
      <c r="CH101">
        <f>'TEA Revised Non EYZ'!CD101</f>
        <v>4890.707695899031</v>
      </c>
      <c r="CI101">
        <f>'TEA Revised Non EYZ'!CE101</f>
        <v>60132.165074850724</v>
      </c>
      <c r="CJ101">
        <f>BL101*V101</f>
        <v>1.09523223099414</v>
      </c>
      <c r="CK101">
        <f>CJ101/2*1.2</f>
        <v>0.65713933859648399</v>
      </c>
      <c r="CL101">
        <f>'eLLE Bals'!CB101*'Oxidant Feed Composition'!$N$20</f>
        <v>3.6507741033138016E-2</v>
      </c>
      <c r="CM101">
        <f>'eLLE Bals'!CB101*'Oxidant Feed Composition'!$N$21</f>
        <v>1.8253870516569002</v>
      </c>
      <c r="CN101">
        <f>'eLLE Bals'!CB101*'Oxidant Feed Composition'!$N$22</f>
        <v>0.54761611549707001</v>
      </c>
      <c r="CO101">
        <f>CN101/CK101</f>
        <v>0.83333333333333337</v>
      </c>
      <c r="CP101">
        <f>CO101</f>
        <v>0.83333333333333337</v>
      </c>
      <c r="CQ101">
        <f>CL101/CO101</f>
        <v>4.3809289239765618E-2</v>
      </c>
      <c r="CR101">
        <f>CM101/CO101</f>
        <v>2.19046446198828</v>
      </c>
      <c r="CS101">
        <f>BN101*BA101</f>
        <v>1.9687171261743899</v>
      </c>
      <c r="CT101">
        <f>CS101/2*1.2</f>
        <v>1.1812302757046338</v>
      </c>
      <c r="CU101">
        <f>'eLLE Bals'!CC101*'Oxidant Feed Composition'!$N$20</f>
        <v>6.562390420581303E-2</v>
      </c>
      <c r="CV101">
        <f>'eLLE Bals'!CC101*'Oxidant Feed Composition'!$N$21</f>
        <v>3.2811952102906501</v>
      </c>
      <c r="CW101">
        <f>'eLLE Bals'!CC101*'Oxidant Feed Composition'!$N$22</f>
        <v>0.98435856308719494</v>
      </c>
      <c r="CX101">
        <f>CU101/CP101</f>
        <v>7.8748685046975631E-2</v>
      </c>
      <c r="CY101">
        <f>CV101/CP101</f>
        <v>3.9374342523487798</v>
      </c>
      <c r="CZ101">
        <f>CJ101</f>
        <v>1.09523223099414</v>
      </c>
      <c r="DA101">
        <f>'eLLE Bals'!BQ101</f>
        <v>2.19046446198828</v>
      </c>
      <c r="DB101">
        <f>'eLLE Bals'!BU101</f>
        <v>5.4481144064031195</v>
      </c>
      <c r="DC101">
        <f>CS101</f>
        <v>1.9687171261743899</v>
      </c>
      <c r="DD101">
        <f>'eLLE Bals'!BX101</f>
        <v>3.9374342523487798</v>
      </c>
      <c r="DE101">
        <f>'eLLE Bals'!CA101</f>
        <v>21.866155362138951</v>
      </c>
      <c r="DF101">
        <f>2*2*(CJ101*'Reagent cost'!$C$36*122.44/1000+CK101*'Oxidant Feed Composition'!$N$26+CQ101*'Reagent cost'!$C$34+CR101*'Reagent cost'!$C$35)</f>
        <v>92.511760310256193</v>
      </c>
      <c r="DG101">
        <f>2*2*(CS101*'Reagent cost'!$C$36*122.44/1000+CT101*'Oxidant Feed Composition'!$N$26+CX101*'Reagent cost'!$C$34+CY101*'Reagent cost'!$C$35)</f>
        <v>166.29303059317655</v>
      </c>
      <c r="DH101">
        <f>(AF101+3)*2*(CZ101*'Reagent cost'!$C$38+DA101*'Reagent cost'!$C$39+DB101*'Reagent cost'!$C$36*122.44/1000)</f>
        <v>1663.6945113767551</v>
      </c>
      <c r="DI101">
        <f>3*2*(DC101*'Reagent cost'!$C$38+DD101*'Reagent cost'!$C$39+DE101*'Reagent cost'!$C$36*122.44/1000)</f>
        <v>1187.0774222475482</v>
      </c>
      <c r="DJ101">
        <f>7963.6*(CB101/1000)^0.6*1.7*('CAPEX+OPEX'!$G$116/'CAPEX+OPEX'!$G$115)</f>
        <v>2138.1326451989207</v>
      </c>
      <c r="DK101">
        <f>7963.6*(CC101/1000)^0.6*1.7*('CAPEX+OPEX'!$G$116/'CAPEX+OPEX'!$G$115)</f>
        <v>6199.2945816251477</v>
      </c>
      <c r="DL101">
        <f>7963.6*(CD101/1000)^0.6*1.7*('CAPEX+OPEX'!$G$116/'CAPEX+OPEX'!$G$115)</f>
        <v>3039.7712730273583</v>
      </c>
      <c r="DM101">
        <f>7963.6*(CE101/1000)^0.6*1.7*('CAPEX+OPEX'!$G$116/'CAPEX+OPEX'!$G$115)</f>
        <v>6718.304239923631</v>
      </c>
      <c r="DN101">
        <f>'TEA Revised Non EYZ'!CM101</f>
        <v>39625.826528698344</v>
      </c>
      <c r="DO101">
        <f>'TEA Revised Non EYZ'!CN101</f>
        <v>4586243.4239371875</v>
      </c>
      <c r="DP101">
        <f>'TEA Revised Non EYZ'!CO101</f>
        <v>11794834.586807497</v>
      </c>
      <c r="DQ101">
        <f>'TEA Revised Non EYZ'!CP101</f>
        <v>2275209.1661185985</v>
      </c>
      <c r="DR101">
        <f>'TEA Revised Non EYZ'!CQ101</f>
        <v>14083914.336508472</v>
      </c>
      <c r="DS101">
        <f>'TEA Revised Non EYZ'!CR101</f>
        <v>1662824.8986326549</v>
      </c>
      <c r="DT101">
        <f>'TEA Revised Non EYZ'!CS101</f>
        <v>936765.86395108781</v>
      </c>
      <c r="DU101">
        <f>'TEA Revised Non EYZ'!CT101</f>
        <v>2409160.916797909</v>
      </c>
      <c r="DV101">
        <f>'TEA Revised Non EYZ'!CU101</f>
        <v>464724.19432521454</v>
      </c>
      <c r="DW101">
        <f>'TEA Revised Non EYZ'!CV101</f>
        <v>2876718.2553791031</v>
      </c>
      <c r="DX101">
        <f>'TEA Revised Non EYZ'!CW101</f>
        <v>339641.28346021532</v>
      </c>
      <c r="DY101">
        <f>'TEA Revised Non EYZ'!CX101</f>
        <v>7027010.5139135299</v>
      </c>
      <c r="DZ101">
        <f>'TEA Revised Non EYZ'!CY101</f>
        <v>924867.78691671521</v>
      </c>
      <c r="EA101">
        <f>'TEA Revised Non EYZ'!CZ101</f>
        <v>2378561.6141553461</v>
      </c>
      <c r="EB101">
        <f>'TEA Revised Non EYZ'!DA101</f>
        <v>458821.62626995199</v>
      </c>
      <c r="EC101">
        <f>'TEA Revised Non EYZ'!DB101</f>
        <v>2840180.400269479</v>
      </c>
      <c r="ED101">
        <f>'TEA Revised Non EYZ'!DC101</f>
        <v>335327.4220032891</v>
      </c>
      <c r="EE101">
        <f>'TEA Revised Non EYZ'!DD101</f>
        <v>6937758.8496147813</v>
      </c>
      <c r="EF101">
        <v>0.7</v>
      </c>
      <c r="EG101">
        <v>100</v>
      </c>
      <c r="EH101">
        <f>96485*BL101*V101/EF101/EG101/60</f>
        <v>25.160352811302293</v>
      </c>
      <c r="EI101">
        <f>96485*BN101*BA101/EF101/EG101/60</f>
        <v>45.226588552127623</v>
      </c>
      <c r="EJ101">
        <f>EH101*('CAPEX+OPEX'!$O$25+'CAPEX+OPEX'!$O$26)</f>
        <v>801910.76480182668</v>
      </c>
      <c r="EK101">
        <f>EI101*('CAPEX+OPEX'!$O$25+'CAPEX+OPEX'!$O$26)</f>
        <v>1441461.8303334117</v>
      </c>
      <c r="EL101">
        <f>EJ101*1.12/0.6*'CAPEX+OPEX'!$G$116/'CAPEX+OPEX'!$G$115</f>
        <v>1765531.1495937889</v>
      </c>
      <c r="EM101">
        <f>EK101*1.12/0.6*'CAPEX+OPEX'!$G$116/'CAPEX+OPEX'!$G$115</f>
        <v>3173602.1937965113</v>
      </c>
      <c r="EN101">
        <f>EL101+EM101+DY101+EE101+1.15*(SUM(DF101:DM101)+SUM(CF101:CI101))</f>
        <v>19016685.564856138</v>
      </c>
      <c r="EO101">
        <f>EN101/15</f>
        <v>1267779.0376570758</v>
      </c>
      <c r="EP101">
        <f>('eLLE Bals'!CB101+'eLLE Bals'!CC101)*'Oxidant Feed Composition'!$N$25*60*7200</f>
        <v>12337807.106972732</v>
      </c>
      <c r="EQ101" s="83">
        <f>('eLLE Bals'!BR101+'eLLE Bals'!BY101)*'Reagent cost'!$C$38*60*7200</f>
        <v>505269.30790837907</v>
      </c>
      <c r="ER101">
        <f>'TEA Revised Non EYZ'!DI101</f>
        <v>504921.59999999998</v>
      </c>
      <c r="ES101">
        <f>'TEA Revised Non EYZ'!DJ101</f>
        <v>118.44098145404925</v>
      </c>
      <c r="ET101">
        <f>'TEA Revised Non EYZ'!DK101</f>
        <v>1300.4574554149951</v>
      </c>
      <c r="EU101">
        <f>1.2*SUM(EP101:ET101)</f>
        <v>16019300.295981573</v>
      </c>
      <c r="EV101">
        <f>'TEA Revised Non EYZ'!DM101</f>
        <v>0.70639694042110623</v>
      </c>
      <c r="EW101">
        <f>(BS101*CO101+BT101*CP101)/1000*('Oxidant Feed Composition'!$B$11*'Oxidant Feed Composition'!$O$20+'Oxidant Feed Composition'!$D$11*'Oxidant Feed Composition'!$O$21+'Oxidant Feed Composition'!$F$11*'Oxidant Feed Composition'!$O$27-'Oxidant Feed Composition'!$J$15*18.015)</f>
        <v>1.789109581301112</v>
      </c>
      <c r="EX101">
        <f>(CZ101*BX101+DC101*BZ101)*368.34/1000</f>
        <v>0.10199395375947778</v>
      </c>
      <c r="EY101">
        <f>'TEA Revised Non EYZ'!DP101</f>
        <v>4.999938342565946E-2</v>
      </c>
      <c r="EZ101">
        <f>SUM(EV101:EX101)-EY101</f>
        <v>2.5475010920560366</v>
      </c>
      <c r="FA101">
        <f>EZ101*0.33*60*7200</f>
        <v>363171.75568350859</v>
      </c>
      <c r="FB101">
        <f>'TEA Revised Non EYZ'!DS101</f>
        <v>1.2</v>
      </c>
      <c r="FC101">
        <v>0.5</v>
      </c>
      <c r="FD101">
        <f>'TEA Revised Non EYZ'!DT101</f>
        <v>1405.8801244031877</v>
      </c>
      <c r="FE101">
        <f>'TEA Revised Non EYZ'!DU101</f>
        <v>705.80157063484023</v>
      </c>
      <c r="FF101">
        <f>'TEA Revised Non EYZ'!DV101</f>
        <v>0.7</v>
      </c>
      <c r="FG101">
        <f>'TEA Revised Non EYZ'!DW101</f>
        <v>52288.524762496963</v>
      </c>
      <c r="FH101">
        <f>'TEA Revised Non EYZ'!DX101</f>
        <v>53983.928663982973</v>
      </c>
      <c r="FI101">
        <f>'TEA Revised Non EYZ'!DY101</f>
        <v>22856.098829508919</v>
      </c>
      <c r="FJ101">
        <f>'TEA Revised Non EYZ'!DZ101</f>
        <v>12107.513206066582</v>
      </c>
      <c r="FK101">
        <f>'TEA Revised Non EYZ'!EA101</f>
        <v>12189.919375738094</v>
      </c>
      <c r="FL101">
        <f>'TEA Revised Non EYZ'!EB101</f>
        <v>850.27629923904806</v>
      </c>
      <c r="FM101">
        <f>'TEA Revised Non EYZ'!EC101</f>
        <v>51427.265951732537</v>
      </c>
      <c r="FN101">
        <f>'TEA Revised Non EYZ'!ED101</f>
        <v>54311.370411485019</v>
      </c>
      <c r="FO101">
        <f>'TEA Revised Non EYZ'!EE101</f>
        <v>22994.733440346474</v>
      </c>
      <c r="FP101">
        <f>'TEA Revised Non EYZ'!EF101</f>
        <v>12187.733285671078</v>
      </c>
      <c r="FQ101">
        <f>'TEA Revised Non EYZ'!EG101</f>
        <v>12263.857834851457</v>
      </c>
      <c r="FR101">
        <f>'TEA Revised Non EYZ'!EH101</f>
        <v>426.86878991995138</v>
      </c>
      <c r="FS101">
        <f>'TEA Revised Non EYZ'!EI101</f>
        <v>307888.0908510391</v>
      </c>
      <c r="FT101">
        <f>EG101*EH101</f>
        <v>2516.0352811302291</v>
      </c>
      <c r="FU101">
        <f>EG101*EI101</f>
        <v>4522.6588552127623</v>
      </c>
      <c r="FV101">
        <f>FC101*(FT101+FU101)/(3.6*10^6)*3600*7200*0.07</f>
        <v>1773.7509223584336</v>
      </c>
      <c r="FW101">
        <f>('CAPEX+OPEX'!$C$39/7/100+0.03)*EL101</f>
        <v>90798.744836251994</v>
      </c>
      <c r="FX101">
        <f>('CAPEX+OPEX'!$C$39/7/100+0.03)*EM101</f>
        <v>163213.82710953488</v>
      </c>
      <c r="FY101">
        <f>SUM(FV101:FX101)</f>
        <v>255786.3228681453</v>
      </c>
      <c r="FZ101">
        <f>FY101+FA101+FS101+EU101</f>
        <v>16946146.465384267</v>
      </c>
      <c r="GA101">
        <f>FZ101+EO101</f>
        <v>18213925.503041342</v>
      </c>
      <c r="GB101">
        <f>GA101/(BK101*60*7200)</f>
        <v>0.42161864590373477</v>
      </c>
      <c r="GC101">
        <f>'TEA Revised Non EYZ'!EM101/'TEA Revised Non EYZ'!EK101*GA101</f>
        <v>1410.5122726855177</v>
      </c>
      <c r="GD101">
        <f>'TEA Revised Non EYZ'!EN101/'TEA Revised Non EYZ'!EK101*GA101</f>
        <v>2588.641112189538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0054-C7D6-4750-ACAE-7962A2738285}">
  <dimension ref="A1:GD101"/>
  <sheetViews>
    <sheetView topLeftCell="FK1" workbookViewId="0">
      <selection activeCell="GA1" sqref="GA1:GD101"/>
    </sheetView>
  </sheetViews>
  <sheetFormatPr defaultRowHeight="15"/>
  <cols>
    <col min="146" max="146" width="31.85546875" bestFit="1" customWidth="1"/>
    <col min="147" max="147" width="33.5703125" bestFit="1" customWidth="1"/>
    <col min="148" max="148" width="18" bestFit="1" customWidth="1"/>
    <col min="149" max="149" width="34.28515625" bestFit="1" customWidth="1"/>
    <col min="175" max="175" width="12" bestFit="1" customWidth="1"/>
    <col min="176" max="177" width="15.42578125" bestFit="1" customWidth="1"/>
    <col min="178" max="178" width="23.85546875" bestFit="1" customWidth="1"/>
    <col min="179" max="179" width="23.7109375" bestFit="1" customWidth="1"/>
    <col min="184" max="184" width="21.5703125" bestFit="1" customWidth="1"/>
    <col min="185" max="185" width="18.85546875" bestFit="1" customWidth="1"/>
    <col min="186" max="186" width="19.28515625" bestFit="1" customWidth="1"/>
  </cols>
  <sheetData>
    <row r="1" spans="1:186">
      <c r="A1" t="str">
        <f>'TEA Revised Non EYZ'!A1</f>
        <v>S1 Stages</v>
      </c>
      <c r="B1" t="str">
        <f>'TEA Revised Non EYZ'!B1</f>
        <v>S1 C_Pt_in [M]</v>
      </c>
      <c r="C1" t="str">
        <f>'TEA Revised Non EYZ'!C1</f>
        <v>S1 C_Pd_in [M]</v>
      </c>
      <c r="D1" t="str">
        <f>'TEA Revised Non EYZ'!D1</f>
        <v>S1 C_Rh_in [M]</v>
      </c>
      <c r="E1" t="str">
        <f>'TEA Revised Non EYZ'!E1</f>
        <v>S1 q_Pt_in [mol PGM/mol ligand]</v>
      </c>
      <c r="F1" t="str">
        <f>'TEA Revised Non EYZ'!F1</f>
        <v>S1 q_Pd_in [mol PGM/mol ligand]</v>
      </c>
      <c r="G1" t="str">
        <f>'TEA Revised Non EYZ'!G1</f>
        <v>S1 q_Rh_in [mol PGM/mol ligand]</v>
      </c>
      <c r="H1" t="str">
        <f>'TEA Revised Non EYZ'!H1</f>
        <v>S1 C_Pt_out [M]</v>
      </c>
      <c r="I1" t="str">
        <f>'TEA Revised Non EYZ'!I1</f>
        <v>S1 C_Pd_out [M]</v>
      </c>
      <c r="J1" t="str">
        <f>'TEA Revised Non EYZ'!J1</f>
        <v>S1 C_Rh_out [M]</v>
      </c>
      <c r="K1" t="str">
        <f>'TEA Revised Non EYZ'!K1</f>
        <v>S1 q_Pt_out [mol PGM/mol ligand]</v>
      </c>
      <c r="L1" t="str">
        <f>'TEA Revised Non EYZ'!L1</f>
        <v>S1 q_Pd_out [mol PGM/mol ligand]</v>
      </c>
      <c r="M1" t="str">
        <f>'TEA Revised Non EYZ'!M1</f>
        <v>S1 q_Rh_out [mol PGM/mol ligand]</v>
      </c>
      <c r="N1" t="str">
        <f>'TEA Revised Non EYZ'!N1</f>
        <v>S1 Material Residual Pt [mol PGM/time]</v>
      </c>
      <c r="O1" t="str">
        <f>'TEA Revised Non EYZ'!O1</f>
        <v>S1 Material Residual Pd [mol PGM/time]</v>
      </c>
      <c r="P1" t="str">
        <f>'TEA Revised Non EYZ'!P1</f>
        <v>S1 Material Residual Rh [mol PGM/time]</v>
      </c>
      <c r="Q1" t="str">
        <f>'TEA Revised Non EYZ'!Q1</f>
        <v>S1 Q_org [L/time]</v>
      </c>
      <c r="R1" t="str">
        <f>'TEA Revised Non EYZ'!R1</f>
        <v>S1 PGM Recovery [%]</v>
      </c>
      <c r="S1" t="str">
        <f>'TEA Revised Non EYZ'!S1</f>
        <v>S1 PPM Mass Total Feed [mg/L]</v>
      </c>
      <c r="T1" t="str">
        <f>'TEA Revised Non EYZ'!T1</f>
        <v>S1 PGM Relative Purity [%]</v>
      </c>
      <c r="U1" t="str">
        <f>'TEA Revised Non EYZ'!U1</f>
        <v>S1 Q_aq [L/time]</v>
      </c>
      <c r="V1" t="str">
        <f>'TEA Revised Non EYZ'!V1</f>
        <v>S1 C_lig [L/time]</v>
      </c>
      <c r="W1" t="str">
        <f>'TEA Revised Non EYZ'!W1</f>
        <v>S1 Q_aq/(Q_org*C_lig) [1/M]</v>
      </c>
      <c r="X1" t="str">
        <f>'TEA Revised Non EYZ'!X1</f>
        <v>S1 Ligand</v>
      </c>
      <c r="Y1" t="str">
        <f>'TEA Revised Non EYZ'!Y1</f>
        <v>S1 ier</v>
      </c>
      <c r="Z1" t="str">
        <f>'TEA Revised Non EYZ'!Z1</f>
        <v>S1 q_max_Pt</v>
      </c>
      <c r="AA1" t="str">
        <f>'TEA Revised Non EYZ'!AA1</f>
        <v>S1 q_max_Pd</v>
      </c>
      <c r="AB1" t="str">
        <f>'TEA Revised Non EYZ'!AB1</f>
        <v>S1 q_max_Rh</v>
      </c>
      <c r="AC1" t="str">
        <f>'TEA Revised Non EYZ'!AC1</f>
        <v>S1 K_eq_Pt</v>
      </c>
      <c r="AD1" t="str">
        <f>'TEA Revised Non EYZ'!AD1</f>
        <v>S1 K_eq_Pd</v>
      </c>
      <c r="AE1" t="str">
        <f>'TEA Revised Non EYZ'!AE1</f>
        <v>S1 K_eq_Rh</v>
      </c>
      <c r="AF1" t="str">
        <f>'TEA Revised Non EYZ'!AF1</f>
        <v>S2 Stages</v>
      </c>
      <c r="AG1" t="str">
        <f>'TEA Revised Non EYZ'!AG1</f>
        <v>S2 C_Pt_in [M]</v>
      </c>
      <c r="AH1" t="str">
        <f>'TEA Revised Non EYZ'!AH1</f>
        <v>S2 C_Pd_in [M]</v>
      </c>
      <c r="AI1" t="str">
        <f>'TEA Revised Non EYZ'!AI1</f>
        <v>S2 C_Rh_in [M]</v>
      </c>
      <c r="AJ1" t="str">
        <f>'TEA Revised Non EYZ'!AJ1</f>
        <v>S2 q_Pt_in [mol PGM/mol ligand]</v>
      </c>
      <c r="AK1" t="str">
        <f>'TEA Revised Non EYZ'!AK1</f>
        <v>S2 q_Pd_in [mol PGM/mol ligand]</v>
      </c>
      <c r="AL1" t="str">
        <f>'TEA Revised Non EYZ'!AL1</f>
        <v>S2 q_Rh_in [mol PGM/mol ligand]</v>
      </c>
      <c r="AM1" t="str">
        <f>'TEA Revised Non EYZ'!AM1</f>
        <v>S2 C_Pt_out [M]</v>
      </c>
      <c r="AN1" t="str">
        <f>'TEA Revised Non EYZ'!AN1</f>
        <v>S2 C_Pd_out [M]</v>
      </c>
      <c r="AO1" t="str">
        <f>'TEA Revised Non EYZ'!AO1</f>
        <v>S2 C_Rh_out [M]</v>
      </c>
      <c r="AP1" t="str">
        <f>'TEA Revised Non EYZ'!AP1</f>
        <v>S2 q_Pt_out [mol PGM/mol ligand]</v>
      </c>
      <c r="AQ1" t="str">
        <f>'TEA Revised Non EYZ'!AQ1</f>
        <v>S2 q_Pd_out [mol PGM/mol ligand]</v>
      </c>
      <c r="AR1" t="str">
        <f>'TEA Revised Non EYZ'!AR1</f>
        <v>S2 q_Rh_out [mol PGM/mol ligand]</v>
      </c>
      <c r="AS1" t="str">
        <f>'TEA Revised Non EYZ'!AS1</f>
        <v>S2 Material Residual Pt [mol PGM/time]</v>
      </c>
      <c r="AT1" t="str">
        <f>'TEA Revised Non EYZ'!AT1</f>
        <v>S2 Material Residual Pd [mol PGM/time]</v>
      </c>
      <c r="AU1" t="str">
        <f>'TEA Revised Non EYZ'!AU1</f>
        <v>S2 Material Residual Rh [mol PGM/time]</v>
      </c>
      <c r="AV1" t="str">
        <f>'TEA Revised Non EYZ'!AV1</f>
        <v>S2 Q_org [L/time]</v>
      </c>
      <c r="AW1" t="str">
        <f>'TEA Revised Non EYZ'!AW1</f>
        <v>S2 PGM Recovery [%]</v>
      </c>
      <c r="AX1" t="str">
        <f>'TEA Revised Non EYZ'!AX1</f>
        <v>S2 PPM Mass Total Feed [mg/L]</v>
      </c>
      <c r="AY1" t="str">
        <f>'TEA Revised Non EYZ'!AY1</f>
        <v>S2 PGM Relative Purity [%]</v>
      </c>
      <c r="AZ1" t="str">
        <f>'TEA Revised Non EYZ'!AZ1</f>
        <v>S2 Q_aq [L/time]</v>
      </c>
      <c r="BA1" t="str">
        <f>'TEA Revised Non EYZ'!BA1</f>
        <v>S2 C_lig [L/time]</v>
      </c>
      <c r="BB1" t="str">
        <f>'TEA Revised Non EYZ'!BB1</f>
        <v>S2 Q_aq/(Q_org*C_lig) [1/M]</v>
      </c>
      <c r="BC1" t="str">
        <f>'TEA Revised Non EYZ'!BC1</f>
        <v>S2 Ligand</v>
      </c>
      <c r="BD1" t="str">
        <f>'TEA Revised Non EYZ'!BD1</f>
        <v>S2 ier</v>
      </c>
      <c r="BE1" t="str">
        <f>'TEA Revised Non EYZ'!BE1</f>
        <v>S2 q_max_Pt</v>
      </c>
      <c r="BF1" t="str">
        <f>'TEA Revised Non EYZ'!BF1</f>
        <v>S2 q_max_Pd</v>
      </c>
      <c r="BG1" t="str">
        <f>'TEA Revised Non EYZ'!BG1</f>
        <v>S2 q_max_Rh</v>
      </c>
      <c r="BH1" t="str">
        <f>'TEA Revised Non EYZ'!BH1</f>
        <v>S2 K_eq_Pt</v>
      </c>
      <c r="BI1" t="str">
        <f>'TEA Revised Non EYZ'!BI1</f>
        <v>S2 K_eq_Pd</v>
      </c>
      <c r="BJ1" t="str">
        <f>'TEA Revised Non EYZ'!BJ1</f>
        <v>S2 K_eq_Rh</v>
      </c>
      <c r="BK1" t="str">
        <f>'TEA Revised Non EYZ'!BK1</f>
        <v>S1 Q_aq Costing [L/min]</v>
      </c>
      <c r="BL1" t="str">
        <f>'TEA Revised Non EYZ'!BL1</f>
        <v>S1 Q_org Costing [L/min]</v>
      </c>
      <c r="BM1" t="str">
        <f>'TEA Revised Non EYZ'!BM1</f>
        <v>S2 Q_aq Costing [L/min]</v>
      </c>
      <c r="BN1" t="str">
        <f>'TEA Revised Non EYZ'!BN1</f>
        <v>S2 Q_org Costing [L/min]</v>
      </c>
      <c r="BO1" t="str">
        <f>'TEA Revised Non EYZ'!BO1</f>
        <v>V_ddFc_Recycle [L]</v>
      </c>
      <c r="BP1" t="str">
        <f>'TEA Revised Non EYZ'!BP1</f>
        <v>V_coeFc_Recycle [L]</v>
      </c>
      <c r="BQ1" t="str">
        <f>'TEA Revised Non EYZ'!BQ1</f>
        <v>ddFc_Recycle [mol]</v>
      </c>
      <c r="BR1" t="str">
        <f>'TEA Revised Non EYZ'!BR1</f>
        <v>coeFc_Recycle [mol]</v>
      </c>
      <c r="BS1" t="s">
        <v>575</v>
      </c>
      <c r="BT1" t="s">
        <v>576</v>
      </c>
      <c r="BU1" t="s">
        <v>577</v>
      </c>
      <c r="BV1" t="s">
        <v>585</v>
      </c>
      <c r="BW1" t="s">
        <v>586</v>
      </c>
      <c r="BX1" t="s">
        <v>587</v>
      </c>
      <c r="BY1" t="s">
        <v>588</v>
      </c>
      <c r="BZ1" t="s">
        <v>589</v>
      </c>
      <c r="CA1" t="s">
        <v>578</v>
      </c>
      <c r="CB1" t="s">
        <v>526</v>
      </c>
      <c r="CC1" t="s">
        <v>527</v>
      </c>
      <c r="CD1" t="s">
        <v>528</v>
      </c>
      <c r="CE1" t="s">
        <v>529</v>
      </c>
      <c r="CF1" s="56" t="s">
        <v>533</v>
      </c>
      <c r="CG1" s="56" t="s">
        <v>534</v>
      </c>
      <c r="CH1" s="56" t="s">
        <v>535</v>
      </c>
      <c r="CI1" s="56" t="s">
        <v>536</v>
      </c>
      <c r="CJ1" s="82" t="s">
        <v>594</v>
      </c>
      <c r="CK1" s="81" t="s">
        <v>595</v>
      </c>
      <c r="CL1" t="s">
        <v>598</v>
      </c>
      <c r="CM1" t="s">
        <v>599</v>
      </c>
      <c r="CN1" t="s">
        <v>600</v>
      </c>
      <c r="CO1" s="79" t="s">
        <v>601</v>
      </c>
      <c r="CP1" t="s">
        <v>602</v>
      </c>
      <c r="CQ1" s="81" t="s">
        <v>597</v>
      </c>
      <c r="CR1" s="81" t="s">
        <v>596</v>
      </c>
      <c r="CS1" s="81" t="s">
        <v>603</v>
      </c>
      <c r="CT1" s="81" t="s">
        <v>604</v>
      </c>
      <c r="CU1" t="s">
        <v>605</v>
      </c>
      <c r="CV1" t="s">
        <v>606</v>
      </c>
      <c r="CW1" t="s">
        <v>607</v>
      </c>
      <c r="CX1" s="81" t="s">
        <v>608</v>
      </c>
      <c r="CY1" s="81" t="s">
        <v>609</v>
      </c>
      <c r="CZ1" s="79" t="s">
        <v>610</v>
      </c>
      <c r="DA1" t="s">
        <v>611</v>
      </c>
      <c r="DB1" t="s">
        <v>612</v>
      </c>
      <c r="DC1" t="s">
        <v>613</v>
      </c>
      <c r="DD1" t="s">
        <v>614</v>
      </c>
      <c r="DE1" t="s">
        <v>615</v>
      </c>
      <c r="DF1" s="54" t="s">
        <v>590</v>
      </c>
      <c r="DG1" s="56" t="s">
        <v>592</v>
      </c>
      <c r="DH1" s="56" t="s">
        <v>591</v>
      </c>
      <c r="DI1" s="56" t="s">
        <v>593</v>
      </c>
      <c r="DJ1" s="56" t="s">
        <v>539</v>
      </c>
      <c r="DK1" s="56" t="s">
        <v>540</v>
      </c>
      <c r="DL1" s="56" t="s">
        <v>541</v>
      </c>
      <c r="DM1" s="56" t="s">
        <v>542</v>
      </c>
      <c r="DN1" t="str">
        <f>'TEA Revised Non EYZ'!CM1</f>
        <v>10000 L/min to ST [for costing]</v>
      </c>
      <c r="DO1" t="str">
        <f>'TEA Revised Non EYZ'!CN1</f>
        <v>CAPEX Labor Ref</v>
      </c>
      <c r="DP1" t="str">
        <f>'TEA Revised Non EYZ'!CO1</f>
        <v>CAPEX Equip Ref</v>
      </c>
      <c r="DQ1" t="str">
        <f>'TEA Revised Non EYZ'!CP1</f>
        <v>CAPEX Steel Ref</v>
      </c>
      <c r="DR1" t="str">
        <f>'TEA Revised Non EYZ'!CQ1</f>
        <v>CAPEX Const Ref</v>
      </c>
      <c r="DS1" t="str">
        <f>'TEA Revised Non EYZ'!CR1</f>
        <v>CAPEX Tax Ref</v>
      </c>
      <c r="DT1" t="str">
        <f>'TEA Revised Non EYZ'!CS1</f>
        <v>S1 labor</v>
      </c>
      <c r="DU1" t="str">
        <f>'TEA Revised Non EYZ'!CT1</f>
        <v>S1 Equip</v>
      </c>
      <c r="DV1" t="str">
        <f>'TEA Revised Non EYZ'!CU1</f>
        <v>S1 Steel</v>
      </c>
      <c r="DW1" t="str">
        <f>'TEA Revised Non EYZ'!CV1</f>
        <v>S1 Const</v>
      </c>
      <c r="DX1" t="str">
        <f>'TEA Revised Non EYZ'!CW1</f>
        <v>S1 Tax</v>
      </c>
      <c r="DY1" s="56" t="str">
        <f>'TEA Revised Non EYZ'!CX1</f>
        <v>CAPEX S1 LLE + EW</v>
      </c>
      <c r="DZ1" t="str">
        <f>'TEA Revised Non EYZ'!CY1</f>
        <v>S2 labor</v>
      </c>
      <c r="EA1" t="str">
        <f>'TEA Revised Non EYZ'!CZ1</f>
        <v>S2 Equip</v>
      </c>
      <c r="EB1" t="str">
        <f>'TEA Revised Non EYZ'!DA1</f>
        <v>S2 Steel</v>
      </c>
      <c r="EC1" t="str">
        <f>'TEA Revised Non EYZ'!DB1</f>
        <v>S2 Const</v>
      </c>
      <c r="ED1" t="str">
        <f>'TEA Revised Non EYZ'!DC1</f>
        <v>S2 Tax</v>
      </c>
      <c r="EE1" s="56" t="str">
        <f>'TEA Revised Non EYZ'!DD1</f>
        <v>CAPEX S2 LLE + EW</v>
      </c>
      <c r="EF1" t="s">
        <v>570</v>
      </c>
      <c r="EG1" t="s">
        <v>618</v>
      </c>
      <c r="EH1" t="s">
        <v>619</v>
      </c>
      <c r="EI1" t="s">
        <v>620</v>
      </c>
      <c r="EJ1" t="s">
        <v>621</v>
      </c>
      <c r="EK1" t="s">
        <v>622</v>
      </c>
      <c r="EL1" s="56" t="s">
        <v>623</v>
      </c>
      <c r="EM1" s="56" t="s">
        <v>624</v>
      </c>
      <c r="EN1" s="56" t="s">
        <v>625</v>
      </c>
      <c r="EO1" s="54" t="s">
        <v>626</v>
      </c>
      <c r="EP1" t="str">
        <f>'TEA Revised Non EYZ'!DG1</f>
        <v>Cost FF Aq OX1 + OX2 [annualized]</v>
      </c>
      <c r="EQ1" t="str">
        <f>'TEA Revised Non EYZ'!DH1</f>
        <v>Cost FF Aq RED1 + RED2 [annualized]</v>
      </c>
      <c r="ER1" t="str">
        <f>'TEA Revised Non EYZ'!DI1</f>
        <v>Cost NaCl Leachate</v>
      </c>
      <c r="ES1" t="str">
        <f>'TEA Revised Non EYZ'!DJ1</f>
        <v>Annual Cost DCM Makeup LLE1 + LLE2</v>
      </c>
      <c r="ET1" t="str">
        <f>'TEA Revised Non EYZ'!DK1</f>
        <v>Annual Cost Ligand Makeup</v>
      </c>
      <c r="EU1" s="56" t="str">
        <f>'TEA Revised Non EYZ'!DL1</f>
        <v>OPEX Chemical Purchase With Tariff</v>
      </c>
      <c r="EV1" t="str">
        <f>'TEA Revised Non EYZ'!DM1</f>
        <v>Mass Ions Entering Leachate [kg/min]</v>
      </c>
      <c r="EW1" t="str">
        <f>'TEA Revised Non EYZ'!DN1</f>
        <v>Mass Ions OX FF [kg/min]</v>
      </c>
      <c r="EX1" t="str">
        <f>'TEA Revised Non EYZ'!DO1</f>
        <v>Mass Ions RED FF [kg/min]</v>
      </c>
      <c r="EY1" t="str">
        <f>'TEA Revised Non EYZ'!DP1</f>
        <v>Mass PGM [kg/min]</v>
      </c>
      <c r="EZ1" t="str">
        <f>'TEA Revised Non EYZ'!DQ1</f>
        <v>Mass Waste [kg/min]</v>
      </c>
      <c r="FA1" s="56" t="str">
        <f>'TEA Revised Non EYZ'!DR1</f>
        <v>Annual Waste Treatment Cost</v>
      </c>
      <c r="FB1" t="s">
        <v>569</v>
      </c>
      <c r="FC1" t="s">
        <v>627</v>
      </c>
      <c r="FD1" t="str">
        <f>'TEA Revised Non EYZ'!DT1</f>
        <v>EW1 Current [A]</v>
      </c>
      <c r="FE1" t="str">
        <f>'TEA Revised Non EYZ'!DU1</f>
        <v>EW2 Current [A]</v>
      </c>
      <c r="FF1" t="str">
        <f>'TEA Revised Non EYZ'!DV1</f>
        <v>Faradaic Efficiency</v>
      </c>
      <c r="FG1" t="str">
        <f>'TEA Revised Non EYZ'!DW1</f>
        <v>opex labor S1</v>
      </c>
      <c r="FH1" t="str">
        <f>'TEA Revised Non EYZ'!DX1</f>
        <v>opex equip S1</v>
      </c>
      <c r="FI1" t="str">
        <f>'TEA Revised Non EYZ'!DY1</f>
        <v>opex steel S1</v>
      </c>
      <c r="FJ1" t="str">
        <f>'TEA Revised Non EYZ'!DZ1</f>
        <v>opex lube S1</v>
      </c>
      <c r="FK1" t="str">
        <f>'TEA Revised Non EYZ'!EA1</f>
        <v>opex sales tax S1</v>
      </c>
      <c r="FL1" t="str">
        <f>'TEA Revised Non EYZ'!EB1</f>
        <v>OPEX Electricity S1</v>
      </c>
      <c r="FM1" t="str">
        <f>'TEA Revised Non EYZ'!EC1</f>
        <v>opex labor S2</v>
      </c>
      <c r="FN1" t="str">
        <f>'TEA Revised Non EYZ'!ED1</f>
        <v>opex equip S2</v>
      </c>
      <c r="FO1" t="str">
        <f>'TEA Revised Non EYZ'!EE1</f>
        <v>opex steel S2</v>
      </c>
      <c r="FP1" t="str">
        <f>'TEA Revised Non EYZ'!EF1</f>
        <v>opex lube S2</v>
      </c>
      <c r="FQ1" t="str">
        <f>'TEA Revised Non EYZ'!EG1</f>
        <v>opex sales tax S2</v>
      </c>
      <c r="FR1" t="str">
        <f>'TEA Revised Non EYZ'!EH1</f>
        <v>opex electricity S2</v>
      </c>
      <c r="FS1" s="56" t="str">
        <f>'TEA Revised Non EYZ'!EI1</f>
        <v>OPEX S1+S2</v>
      </c>
      <c r="FT1" t="s">
        <v>628</v>
      </c>
      <c r="FU1" t="s">
        <v>629</v>
      </c>
      <c r="FV1" t="s">
        <v>630</v>
      </c>
      <c r="FW1" t="s">
        <v>631</v>
      </c>
      <c r="FX1" t="s">
        <v>632</v>
      </c>
      <c r="FY1" s="56" t="s">
        <v>633</v>
      </c>
      <c r="FZ1" s="56" t="s">
        <v>574</v>
      </c>
      <c r="GA1" s="56" t="s">
        <v>419</v>
      </c>
      <c r="GB1" s="56" t="s">
        <v>428</v>
      </c>
      <c r="GC1" s="56" t="s">
        <v>425</v>
      </c>
      <c r="GD1" s="56" t="s">
        <v>426</v>
      </c>
    </row>
    <row r="2" spans="1:186">
      <c r="A2">
        <f>'TEA Revised Non EYZ'!A2</f>
        <v>3</v>
      </c>
      <c r="B2">
        <f>'TEA Revised Non EYZ'!B2</f>
        <v>1.54143585092054E-3</v>
      </c>
      <c r="C2">
        <f>'TEA Revised Non EYZ'!C2</f>
        <v>1.54143585092054E-3</v>
      </c>
      <c r="D2">
        <f>'TEA Revised Non EYZ'!D2</f>
        <v>3.4254130020456501E-4</v>
      </c>
      <c r="E2">
        <f>'TEA Revised Non EYZ'!E2</f>
        <v>0</v>
      </c>
      <c r="F2">
        <f>'TEA Revised Non EYZ'!F2</f>
        <v>0</v>
      </c>
      <c r="G2">
        <f>'TEA Revised Non EYZ'!G2</f>
        <v>0</v>
      </c>
      <c r="H2">
        <f>'TEA Revised Non EYZ'!H2</f>
        <v>1.6300358850230801E-5</v>
      </c>
      <c r="I2">
        <f>'TEA Revised Non EYZ'!I2</f>
        <v>7.4474859607128495E-7</v>
      </c>
      <c r="J2">
        <f>'TEA Revised Non EYZ'!J2</f>
        <v>3.2385704147932398E-4</v>
      </c>
      <c r="K2">
        <f>'TEA Revised Non EYZ'!K2</f>
        <v>8.07271092797512E-2</v>
      </c>
      <c r="L2">
        <f>'TEA Revised Non EYZ'!L2</f>
        <v>8.15504849440159E-2</v>
      </c>
      <c r="M2">
        <f>'TEA Revised Non EYZ'!M2</f>
        <v>9.8897848995466706E-4</v>
      </c>
      <c r="N2">
        <f>'TEA Revised Non EYZ'!N2</f>
        <v>-9.8011876392689601E-17</v>
      </c>
      <c r="O2">
        <f>'TEA Revised Non EYZ'!O2</f>
        <v>1.94289029309402E-16</v>
      </c>
      <c r="P2">
        <f>'TEA Revised Non EYZ'!P2</f>
        <v>-4.3537493488870999E-18</v>
      </c>
      <c r="Q2">
        <f>'TEA Revised Non EYZ'!Q2</f>
        <v>0.18892482409907799</v>
      </c>
      <c r="R2">
        <f>'TEA Revised Non EYZ'!R2</f>
        <v>94.545399718491396</v>
      </c>
      <c r="S2">
        <f>'TEA Revised Non EYZ'!S2</f>
        <v>500</v>
      </c>
      <c r="T2">
        <f>'TEA Revised Non EYZ'!T2</f>
        <v>95</v>
      </c>
      <c r="U2">
        <f>'TEA Revised Non EYZ'!U2</f>
        <v>1</v>
      </c>
      <c r="V2">
        <f>'TEA Revised Non EYZ'!V2</f>
        <v>0.1</v>
      </c>
      <c r="W2">
        <f>'TEA Revised Non EYZ'!W2</f>
        <v>52.931106580020597</v>
      </c>
      <c r="X2" t="str">
        <f>'TEA Revised Non EYZ'!X2</f>
        <v>ddFc</v>
      </c>
      <c r="Y2">
        <f>'TEA Revised Non EYZ'!Y2</f>
        <v>1</v>
      </c>
      <c r="Z2">
        <f>'TEA Revised Non EYZ'!Z2</f>
        <v>0.28318429382522198</v>
      </c>
      <c r="AA2">
        <f>'TEA Revised Non EYZ'!AA2</f>
        <v>0.56945642916197003</v>
      </c>
      <c r="AB2">
        <f>'TEA Revised Non EYZ'!AB2</f>
        <v>3.7698628972227502E-3</v>
      </c>
      <c r="AC2">
        <f>'TEA Revised Non EYZ'!AC2</f>
        <v>1822.2107908876901</v>
      </c>
      <c r="AD2">
        <f>'TEA Revised Non EYZ'!AD2</f>
        <v>2662.6059073104898</v>
      </c>
      <c r="AE2">
        <f>'TEA Revised Non EYZ'!AE2</f>
        <v>2401.5030938442701</v>
      </c>
      <c r="AF2">
        <f>'TEA Revised Non EYZ'!AF2</f>
        <v>4</v>
      </c>
      <c r="AG2">
        <f>'TEA Revised Non EYZ'!AG2</f>
        <v>1.6455478770638001E-3</v>
      </c>
      <c r="AH2">
        <f>'TEA Revised Non EYZ'!AH2</f>
        <v>1.66233163271225E-3</v>
      </c>
      <c r="AI2">
        <f>'TEA Revised Non EYZ'!AI2</f>
        <v>2.0159416943409301E-5</v>
      </c>
      <c r="AJ2">
        <f>'TEA Revised Non EYZ'!AJ2</f>
        <v>0</v>
      </c>
      <c r="AK2">
        <f>'TEA Revised Non EYZ'!AK2</f>
        <v>0</v>
      </c>
      <c r="AL2">
        <f>'TEA Revised Non EYZ'!AL2</f>
        <v>0</v>
      </c>
      <c r="AM2">
        <f>'TEA Revised Non EYZ'!AM2</f>
        <v>1.5983351284394301E-3</v>
      </c>
      <c r="AN2">
        <f>'TEA Revised Non EYZ'!AN2</f>
        <v>6.4131851460064998E-5</v>
      </c>
      <c r="AO2">
        <f>'TEA Revised Non EYZ'!AO2</f>
        <v>1.99910500367739E-5</v>
      </c>
      <c r="AP2">
        <f>'TEA Revised Non EYZ'!AP2</f>
        <v>2.04098585158686E-3</v>
      </c>
      <c r="AQ2">
        <f>'TEA Revised Non EYZ'!AQ2</f>
        <v>6.9089456483383896E-2</v>
      </c>
      <c r="AR2">
        <f>'TEA Revised Non EYZ'!AR2</f>
        <v>7.2784255170584696E-6</v>
      </c>
      <c r="AS2">
        <f>'TEA Revised Non EYZ'!AS2</f>
        <v>-1.4297916149652499E-18</v>
      </c>
      <c r="AT2">
        <f>'TEA Revised Non EYZ'!AT2</f>
        <v>2.4286128663675299E-17</v>
      </c>
      <c r="AU2">
        <f>'TEA Revised Non EYZ'!AU2</f>
        <v>-3.7851784830426501E-21</v>
      </c>
      <c r="AV2">
        <f>'TEA Revised Non EYZ'!AV2</f>
        <v>0.21439625549974001</v>
      </c>
      <c r="AW2">
        <f>'TEA Revised Non EYZ'!AW2</f>
        <v>99.164822538727407</v>
      </c>
      <c r="AX2">
        <f>'TEA Revised Non EYZ'!AX2</f>
        <v>500</v>
      </c>
      <c r="AY2">
        <f>'TEA Revised Non EYZ'!AY2</f>
        <v>95</v>
      </c>
      <c r="AZ2">
        <f>'TEA Revised Non EYZ'!AZ2</f>
        <v>0.92682535301965796</v>
      </c>
      <c r="BA2">
        <f>'TEA Revised Non EYZ'!BA2</f>
        <v>0.1</v>
      </c>
      <c r="BB2">
        <f>'TEA Revised Non EYZ'!BB2</f>
        <v>43.229549455483898</v>
      </c>
      <c r="BC2" t="str">
        <f>'TEA Revised Non EYZ'!BC2</f>
        <v>coeFc</v>
      </c>
      <c r="BD2">
        <f>'TEA Revised Non EYZ'!BD2</f>
        <v>1</v>
      </c>
      <c r="BE2">
        <f>'TEA Revised Non EYZ'!BE2</f>
        <v>1.8775014999999999E-2</v>
      </c>
      <c r="BF2">
        <f>'TEA Revised Non EYZ'!BF2</f>
        <v>0.10492961100000001</v>
      </c>
      <c r="BG2">
        <f>'TEA Revised Non EYZ'!BG2</f>
        <v>1.814625E-3</v>
      </c>
      <c r="BH2">
        <f>'TEA Revised Non EYZ'!BH2</f>
        <v>285.1951444</v>
      </c>
      <c r="BI2">
        <f>'TEA Revised Non EYZ'!BI2</f>
        <v>2169.8944889999998</v>
      </c>
      <c r="BJ2">
        <f>'TEA Revised Non EYZ'!BJ2</f>
        <v>866.49409060000005</v>
      </c>
      <c r="BK2">
        <f>'TEA Revised Non EYZ'!BK2</f>
        <v>100</v>
      </c>
      <c r="BL2">
        <f>'TEA Revised Non EYZ'!BL2</f>
        <v>18.892482409907799</v>
      </c>
      <c r="BM2">
        <f>'TEA Revised Non EYZ'!BM2</f>
        <v>92.6825353019658</v>
      </c>
      <c r="BN2">
        <f>'TEA Revised Non EYZ'!BN2</f>
        <v>21.439625549974</v>
      </c>
      <c r="BO2">
        <f>'TEA Revised Non EYZ'!BO2</f>
        <v>188.92482409907799</v>
      </c>
      <c r="BP2">
        <f>'TEA Revised Non EYZ'!BP2</f>
        <v>257.27550659968801</v>
      </c>
      <c r="BQ2">
        <f>'TEA Revised Non EYZ'!BQ2</f>
        <v>18.892482409907799</v>
      </c>
      <c r="BR2">
        <f>'TEA Revised Non EYZ'!BR2</f>
        <v>25.727550659968802</v>
      </c>
      <c r="BS2">
        <f>'eLLE Bals'!CF2</f>
        <v>11.335489445944679</v>
      </c>
      <c r="BT2">
        <f>'eLLE Bals'!CG2</f>
        <v>12.863775329984399</v>
      </c>
      <c r="BU2">
        <f>BM2</f>
        <v>92.6825353019658</v>
      </c>
      <c r="BV2">
        <f>BU2*(AM2*2+AN2*2+AO2*3)</f>
        <v>0.31372177270804485</v>
      </c>
      <c r="BW2">
        <f>BN2*BA2*(AP2*2+AQ2*2+AR2*3)</f>
        <v>0.30504882378846204</v>
      </c>
      <c r="BX2">
        <f>BV2/(2*V2*BL2+BV2)</f>
        <v>7.6663010910653556E-2</v>
      </c>
      <c r="BY2">
        <f>BU2*BX2</f>
        <v>7.1053222150816371</v>
      </c>
      <c r="BZ2">
        <f>BW2/(2*BN2*BA2+BW2)</f>
        <v>6.6416406490944616E-2</v>
      </c>
      <c r="CA2">
        <f>2*BN2*BA2/0.04</f>
        <v>107.19812774987001</v>
      </c>
      <c r="CB2">
        <f>(BS2+BL2)*2</f>
        <v>60.455943711704961</v>
      </c>
      <c r="CC2">
        <f>(BU2+BL2)*2</f>
        <v>223.1500354237472</v>
      </c>
      <c r="CD2">
        <f>(BT2+BN2)*2</f>
        <v>68.606801759916806</v>
      </c>
      <c r="CE2">
        <f>(CA2+BN2)*2</f>
        <v>257.27550659968801</v>
      </c>
      <c r="CF2">
        <f>'TEA Revised Non EYZ'!CB2</f>
        <v>2493.8076781078298</v>
      </c>
      <c r="CG2">
        <f>'TEA Revised Non EYZ'!CC2</f>
        <v>3396.0366871158817</v>
      </c>
      <c r="CH2">
        <f>'TEA Revised Non EYZ'!CD2</f>
        <v>3012.9816471142385</v>
      </c>
      <c r="CI2">
        <f>'TEA Revised Non EYZ'!CE2</f>
        <v>26193.932801696468</v>
      </c>
      <c r="CJ2">
        <f>BL2*V2</f>
        <v>1.88924824099078</v>
      </c>
      <c r="CK2">
        <f>CJ2/2*1.2</f>
        <v>1.133548944594468</v>
      </c>
      <c r="CL2">
        <f>'eLLE Bals'!CB2*'Oxidant Feed Composition'!$N$20</f>
        <v>6.2974941366359366E-2</v>
      </c>
      <c r="CM2">
        <f>'eLLE Bals'!CB2*'Oxidant Feed Composition'!$N$21</f>
        <v>3.148747068317967</v>
      </c>
      <c r="CN2">
        <f>'eLLE Bals'!CB2*'Oxidant Feed Composition'!$N$22</f>
        <v>0.94462412049539002</v>
      </c>
      <c r="CO2">
        <f>CN2/CK2</f>
        <v>0.83333333333333337</v>
      </c>
      <c r="CP2">
        <f>CO2</f>
        <v>0.83333333333333337</v>
      </c>
      <c r="CQ2">
        <f>CL2/CO2</f>
        <v>7.5569929639631231E-2</v>
      </c>
      <c r="CR2">
        <f>CM2/CO2</f>
        <v>3.7784964819815601</v>
      </c>
      <c r="CS2">
        <f>BN2*BA2</f>
        <v>2.1439625549974002</v>
      </c>
      <c r="CT2">
        <f>CS2/2*1.2</f>
        <v>1.2863775329984402</v>
      </c>
      <c r="CU2">
        <f>'eLLE Bals'!CC2*'Oxidant Feed Composition'!$N$20</f>
        <v>7.1465418499913363E-2</v>
      </c>
      <c r="CV2">
        <f>'eLLE Bals'!CC2*'Oxidant Feed Composition'!$N$21</f>
        <v>3.5732709249956671</v>
      </c>
      <c r="CW2">
        <f>'eLLE Bals'!CC2*'Oxidant Feed Composition'!$N$22</f>
        <v>1.0719812774987001</v>
      </c>
      <c r="CX2">
        <f>CU2/CP2</f>
        <v>8.5758502199896031E-2</v>
      </c>
      <c r="CY2">
        <f>CV2/CP2</f>
        <v>4.2879251099948004</v>
      </c>
      <c r="CZ2">
        <f>CJ2</f>
        <v>1.88924824099078</v>
      </c>
      <c r="DA2">
        <f>'eLLE Bals'!BQ2</f>
        <v>3.7784964819815601</v>
      </c>
      <c r="DB2">
        <f>'eLLE Bals'!BU2</f>
        <v>18.975798734935829</v>
      </c>
      <c r="DC2">
        <f>CS2</f>
        <v>2.1439625549974002</v>
      </c>
      <c r="DD2">
        <f>'eLLE Bals'!BX2</f>
        <v>4.2879251099948004</v>
      </c>
      <c r="DE2">
        <f>'eLLE Bals'!CA2</f>
        <v>25.848728951772728</v>
      </c>
      <c r="DF2">
        <f>2*2*(CJ2*'Reagent cost'!$C$36*122.44/1000*1.5+CK2*'Oxidant Feed Composition'!$N$26+CQ2*'Reagent cost'!$C$34+CR2*'Reagent cost'!$C$35)</f>
        <v>192.25204960746129</v>
      </c>
      <c r="DG2">
        <f>2*2*(CS2*'Reagent cost'!$C$36*122.44/1000*1.5+CT2*'Oxidant Feed Composition'!$N$26+CX2*'Reagent cost'!$C$34+CY2*'Reagent cost'!$C$35)</f>
        <v>218.17206788227</v>
      </c>
      <c r="DH2">
        <f>(AF2+3)*2*(CZ2*'Reagent cost'!$C$38+DA2*'Reagent cost'!$C$39+DB2*'Reagent cost'!$C$36*122.44/1000*1.5)</f>
        <v>3563.5466864385517</v>
      </c>
      <c r="DI2">
        <f>3*2*(DC2*'Reagent cost'!$C$38+DD2*'Reagent cost'!$C$39+DE2*'Reagent cost'!$C$36*122.44/1000*1.5)</f>
        <v>2068.9011561566726</v>
      </c>
      <c r="DJ2">
        <f>7963.6*(CB2/1000)^0.6*1.7*('CAPEX+OPEX'!$G$116/'CAPEX+OPEX'!$G$115)</f>
        <v>2965.5437179814326</v>
      </c>
      <c r="DK2">
        <f>7963.6*(CC2/1000)^0.6*1.7*('CAPEX+OPEX'!$G$116/'CAPEX+OPEX'!$G$115)</f>
        <v>6492.3078360569407</v>
      </c>
      <c r="DL2">
        <f>7963.6*(CD2/1000)^0.6*1.7*('CAPEX+OPEX'!$G$116/'CAPEX+OPEX'!$G$115)</f>
        <v>3199.3461630818579</v>
      </c>
      <c r="DM2">
        <f>7963.6*(CE2/1000)^0.6*1.7*('CAPEX+OPEX'!$G$116/'CAPEX+OPEX'!$G$115)</f>
        <v>7070.9862558210971</v>
      </c>
      <c r="DN2">
        <f>'TEA Revised Non EYZ'!CM2</f>
        <v>39625.826528698344</v>
      </c>
      <c r="DO2">
        <f>'TEA Revised Non EYZ'!CN2</f>
        <v>4586243.4239371875</v>
      </c>
      <c r="DP2">
        <f>'TEA Revised Non EYZ'!CO2</f>
        <v>11794834.586807497</v>
      </c>
      <c r="DQ2">
        <f>'TEA Revised Non EYZ'!CP2</f>
        <v>2275209.1661185985</v>
      </c>
      <c r="DR2">
        <f>'TEA Revised Non EYZ'!CQ2</f>
        <v>14083914.336508472</v>
      </c>
      <c r="DS2">
        <f>'TEA Revised Non EYZ'!CR2</f>
        <v>1662824.8986326549</v>
      </c>
      <c r="DT2">
        <f>'TEA Revised Non EYZ'!CS2</f>
        <v>461850.0978118488</v>
      </c>
      <c r="DU2">
        <f>'TEA Revised Non EYZ'!CT2</f>
        <v>1187779.4098672394</v>
      </c>
      <c r="DV2">
        <f>'TEA Revised Non EYZ'!CU2</f>
        <v>229121.19544936769</v>
      </c>
      <c r="DW2">
        <f>'TEA Revised Non EYZ'!CV2</f>
        <v>1418297.4196136401</v>
      </c>
      <c r="DX2">
        <f>'TEA Revised Non EYZ'!CW2</f>
        <v>167452.04540804314</v>
      </c>
      <c r="DY2">
        <f>'TEA Revised Non EYZ'!CX2</f>
        <v>3464500.168150139</v>
      </c>
      <c r="DZ2">
        <f>'TEA Revised Non EYZ'!CY2</f>
        <v>499902.7657598143</v>
      </c>
      <c r="EA2">
        <f>'TEA Revised Non EYZ'!CZ2</f>
        <v>1285642.7116035565</v>
      </c>
      <c r="EB2">
        <f>'TEA Revised Non EYZ'!DA2</f>
        <v>247998.90666255786</v>
      </c>
      <c r="EC2">
        <f>'TEA Revised Non EYZ'!DB2</f>
        <v>1535153.5186286946</v>
      </c>
      <c r="ED2">
        <f>'TEA Revised Non EYZ'!DC2</f>
        <v>181248.72340228659</v>
      </c>
      <c r="EE2">
        <f>'TEA Revised Non EYZ'!DD2</f>
        <v>3749946.6260569096</v>
      </c>
      <c r="EF2">
        <v>0.7</v>
      </c>
      <c r="EG2">
        <v>100</v>
      </c>
      <c r="EH2">
        <f>96485*BL2*V2/EF2/EG2/60</f>
        <v>43.40098012666558</v>
      </c>
      <c r="EI2">
        <f>96485*BN2*BA2/EF2/EG2/60</f>
        <v>49.252435028315283</v>
      </c>
      <c r="EJ2">
        <f>EH2*('CAPEX+OPEX'!$O$25+'CAPEX+OPEX'!$O$26)</f>
        <v>1383276.0385970853</v>
      </c>
      <c r="EK2">
        <f>EI2*('CAPEX+OPEX'!$O$25+'CAPEX+OPEX'!$O$26)</f>
        <v>1569773.6092224647</v>
      </c>
      <c r="EL2">
        <f>EJ2*1.12/0.6*'CAPEX+OPEX'!$G$116/'CAPEX+OPEX'!$G$115</f>
        <v>3045497.132381544</v>
      </c>
      <c r="EM2">
        <f>EK2*1.12/0.6*'CAPEX+OPEX'!$G$116/'CAPEX+OPEX'!$G$115</f>
        <v>3456100.5121030342</v>
      </c>
      <c r="EN2">
        <f>EL2+EM2+DY2+EE2+1.15*(SUM(DF2:DM2)+SUM(CF2:CI2))</f>
        <v>13786042.425650747</v>
      </c>
      <c r="EO2">
        <f>EN2/15</f>
        <v>919069.49504338321</v>
      </c>
      <c r="EP2">
        <f>('eLLE Bals'!CB2+'eLLE Bals'!CC2)*'Oxidant Feed Composition'!$N$28*60*7200</f>
        <v>22421323.845957972</v>
      </c>
      <c r="EQ2" s="53">
        <f>('eLLE Bals'!BR2+'eLLE Bals'!BY2)*'Reagent cost'!$C$38*60*7200*1.5</f>
        <v>786172.86415380705</v>
      </c>
      <c r="ER2">
        <f>'TEA Revised Non EYZ'!DI2</f>
        <v>504921.59999999998</v>
      </c>
      <c r="ES2">
        <f>'TEA Revised Non EYZ'!DJ2</f>
        <v>58.898443652237113</v>
      </c>
      <c r="ET2">
        <f>'TEA Revised Non EYZ'!DK2</f>
        <v>584.13828897621408</v>
      </c>
      <c r="EU2">
        <f>1.2*SUM(EP2:ET2)</f>
        <v>28455673.616213284</v>
      </c>
      <c r="EV2">
        <f>'TEA Revised Non EYZ'!DM2</f>
        <v>0.70639694042110623</v>
      </c>
      <c r="EW2">
        <f>(BS2*CO2+BT2*CP2)/1000*('Oxidant Feed Composition'!$B$11*'Oxidant Feed Composition'!$O$20+'Oxidant Feed Composition'!$D$11*'Oxidant Feed Composition'!$O$21+'Oxidant Feed Composition'!$F$11*'Oxidant Feed Composition'!$O$27-'Oxidant Feed Composition'!$J$15*18.015)</f>
        <v>2.3550833376625668</v>
      </c>
      <c r="EX2">
        <f>(CZ2*BX2+DC2*BZ2)*368.34/1000</f>
        <v>0.10579820503432018</v>
      </c>
      <c r="EY2">
        <f>'TEA Revised Non EYZ'!DP2</f>
        <v>4.999938342565946E-2</v>
      </c>
      <c r="EZ2">
        <f>SUM(EV2:EX2)-EY2</f>
        <v>3.1172790996923339</v>
      </c>
      <c r="FA2">
        <f>EZ2*0.33*60*7200</f>
        <v>444399.30845213908</v>
      </c>
      <c r="FB2">
        <f>'TEA Revised Non EYZ'!DS2</f>
        <v>1.2</v>
      </c>
      <c r="FC2">
        <v>0.5</v>
      </c>
      <c r="FD2">
        <f>'TEA Revised Non EYZ'!DT2</f>
        <v>1401.3235056334981</v>
      </c>
      <c r="FE2">
        <f>'TEA Revised Non EYZ'!DU2</f>
        <v>720.88174659145932</v>
      </c>
      <c r="FF2">
        <f>'TEA Revised Non EYZ'!DV2</f>
        <v>0.7</v>
      </c>
      <c r="FG2">
        <f>'TEA Revised Non EYZ'!DW2</f>
        <v>27520.276190787874</v>
      </c>
      <c r="FH2">
        <f>'TEA Revised Non EYZ'!DX2</f>
        <v>16610.439588917834</v>
      </c>
      <c r="FI2">
        <f>'TEA Revised Non EYZ'!DY2</f>
        <v>7032.645793695051</v>
      </c>
      <c r="FJ2">
        <f>'TEA Revised Non EYZ'!DZ2</f>
        <v>3725.3886787897172</v>
      </c>
      <c r="FK2">
        <f>'TEA Revised Non EYZ'!EA2</f>
        <v>3750.7444233040283</v>
      </c>
      <c r="FL2">
        <f>'TEA Revised Non EYZ'!EB2</f>
        <v>847.52045620713966</v>
      </c>
      <c r="FM2">
        <f>'TEA Revised Non EYZ'!EC2</f>
        <v>28370.153420241466</v>
      </c>
      <c r="FN2">
        <f>'TEA Revised Non EYZ'!ED2</f>
        <v>19455.45293762091</v>
      </c>
      <c r="FO2">
        <f>'TEA Revised Non EYZ'!EE2</f>
        <v>8237.1877356862715</v>
      </c>
      <c r="FP2">
        <f>'TEA Revised Non EYZ'!EF2</f>
        <v>4365.7898317079243</v>
      </c>
      <c r="FQ2">
        <f>'TEA Revised Non EYZ'!EG2</f>
        <v>4393.1667923660125</v>
      </c>
      <c r="FR2">
        <f>'TEA Revised Non EYZ'!EH2</f>
        <v>435.98928033851462</v>
      </c>
      <c r="FS2">
        <f>'TEA Revised Non EYZ'!EI2</f>
        <v>124744.75512966275</v>
      </c>
      <c r="FT2">
        <f>EG2*EH2</f>
        <v>4340.0980126665581</v>
      </c>
      <c r="FU2">
        <f>EG2*EI2</f>
        <v>4925.2435028315285</v>
      </c>
      <c r="FV2">
        <f>FC2*(FT2+FU2)/(3.6*10^6)*3600*7200*0.07</f>
        <v>2334.8660619055177</v>
      </c>
      <c r="FW2">
        <f>('CAPEX+OPEX'!$C$39/7/100+0.03)*EL2</f>
        <v>156625.56680819369</v>
      </c>
      <c r="FX2">
        <f>('CAPEX+OPEX'!$C$39/7/100+0.03)*EM2</f>
        <v>177742.31205101317</v>
      </c>
      <c r="FY2">
        <f>SUM(FV2:FX2)</f>
        <v>336702.74492111237</v>
      </c>
      <c r="FZ2">
        <f>FY2+FA2+FS2+EU2</f>
        <v>29361520.424716197</v>
      </c>
      <c r="GA2">
        <f>FZ2+EO2</f>
        <v>30280589.919759579</v>
      </c>
      <c r="GB2">
        <f>GA2/(BK2*60*7200)</f>
        <v>0.70093958147591617</v>
      </c>
      <c r="GC2">
        <f>'TEA Revised Non EYZ'!EM2/'TEA Revised Non EYZ'!EK2*GA2</f>
        <v>2358.276895954893</v>
      </c>
      <c r="GD2">
        <f>'TEA Revised Non EYZ'!EN2/'TEA Revised Non EYZ'!EK2*GA2</f>
        <v>4217.7664729184507</v>
      </c>
    </row>
    <row r="3" spans="1:186">
      <c r="A3">
        <f>'TEA Revised Non EYZ'!A3</f>
        <v>3</v>
      </c>
      <c r="B3">
        <f>'TEA Revised Non EYZ'!B3</f>
        <v>1.54143585092054E-3</v>
      </c>
      <c r="C3">
        <f>'TEA Revised Non EYZ'!C3</f>
        <v>1.54143585092054E-3</v>
      </c>
      <c r="D3">
        <f>'TEA Revised Non EYZ'!D3</f>
        <v>3.4254130020456501E-4</v>
      </c>
      <c r="E3">
        <f>'TEA Revised Non EYZ'!E3</f>
        <v>0</v>
      </c>
      <c r="F3">
        <f>'TEA Revised Non EYZ'!F3</f>
        <v>0</v>
      </c>
      <c r="G3">
        <f>'TEA Revised Non EYZ'!G3</f>
        <v>0</v>
      </c>
      <c r="H3">
        <f>'TEA Revised Non EYZ'!H3</f>
        <v>1.6300358850230801E-5</v>
      </c>
      <c r="I3">
        <f>'TEA Revised Non EYZ'!I3</f>
        <v>7.4474859607128495E-7</v>
      </c>
      <c r="J3">
        <f>'TEA Revised Non EYZ'!J3</f>
        <v>3.2385704147932398E-4</v>
      </c>
      <c r="K3">
        <f>'TEA Revised Non EYZ'!K3</f>
        <v>8.07271092797512E-2</v>
      </c>
      <c r="L3">
        <f>'TEA Revised Non EYZ'!L3</f>
        <v>8.15504849440159E-2</v>
      </c>
      <c r="M3">
        <f>'TEA Revised Non EYZ'!M3</f>
        <v>9.8897848995466706E-4</v>
      </c>
      <c r="N3">
        <f>'TEA Revised Non EYZ'!N3</f>
        <v>-9.8011876392689601E-17</v>
      </c>
      <c r="O3">
        <f>'TEA Revised Non EYZ'!O3</f>
        <v>1.94289029309402E-16</v>
      </c>
      <c r="P3">
        <f>'TEA Revised Non EYZ'!P3</f>
        <v>-4.3537493488870999E-18</v>
      </c>
      <c r="Q3">
        <f>'TEA Revised Non EYZ'!Q3</f>
        <v>0.18892482409907799</v>
      </c>
      <c r="R3">
        <f>'TEA Revised Non EYZ'!R3</f>
        <v>94.545399718491396</v>
      </c>
      <c r="S3">
        <f>'TEA Revised Non EYZ'!S3</f>
        <v>500</v>
      </c>
      <c r="T3">
        <f>'TEA Revised Non EYZ'!T3</f>
        <v>95</v>
      </c>
      <c r="U3">
        <f>'TEA Revised Non EYZ'!U3</f>
        <v>1</v>
      </c>
      <c r="V3">
        <f>'TEA Revised Non EYZ'!V3</f>
        <v>0.1</v>
      </c>
      <c r="W3">
        <f>'TEA Revised Non EYZ'!W3</f>
        <v>52.931106580020597</v>
      </c>
      <c r="X3" t="str">
        <f>'TEA Revised Non EYZ'!X3</f>
        <v>ddFc</v>
      </c>
      <c r="Y3">
        <f>'TEA Revised Non EYZ'!Y3</f>
        <v>1</v>
      </c>
      <c r="Z3">
        <f>'TEA Revised Non EYZ'!Z3</f>
        <v>0.28318429382522198</v>
      </c>
      <c r="AA3">
        <f>'TEA Revised Non EYZ'!AA3</f>
        <v>0.56945642916197003</v>
      </c>
      <c r="AB3">
        <f>'TEA Revised Non EYZ'!AB3</f>
        <v>3.7698628972227502E-3</v>
      </c>
      <c r="AC3">
        <f>'TEA Revised Non EYZ'!AC3</f>
        <v>1822.2107908876901</v>
      </c>
      <c r="AD3">
        <f>'TEA Revised Non EYZ'!AD3</f>
        <v>2662.6059073104898</v>
      </c>
      <c r="AE3">
        <f>'TEA Revised Non EYZ'!AE3</f>
        <v>2401.5030938442701</v>
      </c>
      <c r="AF3">
        <f>'TEA Revised Non EYZ'!AF3</f>
        <v>5</v>
      </c>
      <c r="AG3">
        <f>'TEA Revised Non EYZ'!AG3</f>
        <v>1.6455478770638001E-3</v>
      </c>
      <c r="AH3">
        <f>'TEA Revised Non EYZ'!AH3</f>
        <v>1.66233163271225E-3</v>
      </c>
      <c r="AI3">
        <f>'TEA Revised Non EYZ'!AI3</f>
        <v>2.0159416943409301E-5</v>
      </c>
      <c r="AJ3">
        <f>'TEA Revised Non EYZ'!AJ3</f>
        <v>0</v>
      </c>
      <c r="AK3">
        <f>'TEA Revised Non EYZ'!AK3</f>
        <v>0</v>
      </c>
      <c r="AL3">
        <f>'TEA Revised Non EYZ'!AL3</f>
        <v>0</v>
      </c>
      <c r="AM3">
        <f>'TEA Revised Non EYZ'!AM3</f>
        <v>1.6052842060858799E-3</v>
      </c>
      <c r="AN3">
        <f>'TEA Revised Non EYZ'!AN3</f>
        <v>6.4473619347604606E-5</v>
      </c>
      <c r="AO3">
        <f>'TEA Revised Non EYZ'!AO3</f>
        <v>2.0015023078929502E-5</v>
      </c>
      <c r="AP3">
        <f>'TEA Revised Non EYZ'!AP3</f>
        <v>1.83001337116067E-3</v>
      </c>
      <c r="AQ3">
        <f>'TEA Revised Non EYZ'!AQ3</f>
        <v>7.2623818410792906E-2</v>
      </c>
      <c r="AR3">
        <f>'TEA Revised Non EYZ'!AR3</f>
        <v>6.5628070240175303E-6</v>
      </c>
      <c r="AS3">
        <f>'TEA Revised Non EYZ'!AS3</f>
        <v>-1.0199428649750001E-15</v>
      </c>
      <c r="AT3">
        <f>'TEA Revised Non EYZ'!AT3</f>
        <v>-2.9988815250514499E-14</v>
      </c>
      <c r="AU3">
        <f>'TEA Revised Non EYZ'!AU3</f>
        <v>-1.2040043949627799E-18</v>
      </c>
      <c r="AV3">
        <f>'TEA Revised Non EYZ'!AV3</f>
        <v>0.20391867981453801</v>
      </c>
      <c r="AW3">
        <f>'TEA Revised Non EYZ'!AW3</f>
        <v>99.283739877571406</v>
      </c>
      <c r="AX3">
        <f>'TEA Revised Non EYZ'!AX3</f>
        <v>500</v>
      </c>
      <c r="AY3">
        <f>'TEA Revised Non EYZ'!AY3</f>
        <v>95</v>
      </c>
      <c r="AZ3">
        <f>'TEA Revised Non EYZ'!AZ3</f>
        <v>0.92682535301965796</v>
      </c>
      <c r="BA3">
        <f>'TEA Revised Non EYZ'!BA3</f>
        <v>0.1</v>
      </c>
      <c r="BB3">
        <f>'TEA Revised Non EYZ'!BB3</f>
        <v>45.450733295379898</v>
      </c>
      <c r="BC3" t="str">
        <f>'TEA Revised Non EYZ'!BC3</f>
        <v>coeFc</v>
      </c>
      <c r="BD3">
        <f>'TEA Revised Non EYZ'!BD3</f>
        <v>1</v>
      </c>
      <c r="BE3">
        <f>'TEA Revised Non EYZ'!BE3</f>
        <v>1.8775014999999999E-2</v>
      </c>
      <c r="BF3">
        <f>'TEA Revised Non EYZ'!BF3</f>
        <v>0.10492961100000001</v>
      </c>
      <c r="BG3">
        <f>'TEA Revised Non EYZ'!BG3</f>
        <v>1.814625E-3</v>
      </c>
      <c r="BH3">
        <f>'TEA Revised Non EYZ'!BH3</f>
        <v>285.1951444</v>
      </c>
      <c r="BI3">
        <f>'TEA Revised Non EYZ'!BI3</f>
        <v>2169.8944889999998</v>
      </c>
      <c r="BJ3">
        <f>'TEA Revised Non EYZ'!BJ3</f>
        <v>866.49409060000005</v>
      </c>
      <c r="BK3">
        <f>'TEA Revised Non EYZ'!BK3</f>
        <v>100</v>
      </c>
      <c r="BL3">
        <f>'TEA Revised Non EYZ'!BL3</f>
        <v>18.892482409907799</v>
      </c>
      <c r="BM3">
        <f>'TEA Revised Non EYZ'!BM3</f>
        <v>92.6825353019658</v>
      </c>
      <c r="BN3">
        <f>'TEA Revised Non EYZ'!BN3</f>
        <v>20.3918679814538</v>
      </c>
      <c r="BO3">
        <f>'TEA Revised Non EYZ'!BO3</f>
        <v>188.92482409907799</v>
      </c>
      <c r="BP3">
        <f>'TEA Revised Non EYZ'!BP3</f>
        <v>285.48615174035319</v>
      </c>
      <c r="BQ3">
        <f>'TEA Revised Non EYZ'!BQ3</f>
        <v>18.892482409907799</v>
      </c>
      <c r="BR3">
        <f>'TEA Revised Non EYZ'!BR3</f>
        <v>28.548615174035319</v>
      </c>
      <c r="BS3">
        <f>'eLLE Bals'!CF3</f>
        <v>11.335489445944679</v>
      </c>
      <c r="BT3">
        <f>'eLLE Bals'!CG3</f>
        <v>12.23512078887228</v>
      </c>
      <c r="BU3">
        <f>BM3</f>
        <v>92.6825353019658</v>
      </c>
      <c r="BV3">
        <f>BU3*(AM3*2+AN3*2+AO3*3)</f>
        <v>0.3150799064521928</v>
      </c>
      <c r="BW3">
        <f>BN3*BA3*(AP3*2+AQ3*2+AR3*3)</f>
        <v>0.3036906900505198</v>
      </c>
      <c r="BX3">
        <f>BV3/(2*V3*BL3+BV3)</f>
        <v>7.6969348206726837E-2</v>
      </c>
      <c r="BY3">
        <f>BU3*BX3</f>
        <v>7.1337143323392578</v>
      </c>
      <c r="BZ3">
        <f>BW3/(2*BN3*BA3+BW3)</f>
        <v>6.9303111548845053E-2</v>
      </c>
      <c r="CA3">
        <f>2*BN3*BA3/0.04</f>
        <v>101.959339907269</v>
      </c>
      <c r="CB3">
        <f>(BS3+BL3)*2</f>
        <v>60.455943711704961</v>
      </c>
      <c r="CC3">
        <f>(BU3+BL3)*2</f>
        <v>223.1500354237472</v>
      </c>
      <c r="CD3">
        <f>(BT3+BN3)*2</f>
        <v>65.253977540652158</v>
      </c>
      <c r="CE3">
        <f>(CA3+BN3)*2</f>
        <v>244.70241577744559</v>
      </c>
      <c r="CF3">
        <f>'TEA Revised Non EYZ'!CB3</f>
        <v>2493.8076781078298</v>
      </c>
      <c r="CG3">
        <f>'TEA Revised Non EYZ'!CC3</f>
        <v>3768.4172029726624</v>
      </c>
      <c r="CH3">
        <f>'TEA Revised Non EYZ'!CD3</f>
        <v>3012.9816471142385</v>
      </c>
      <c r="CI3">
        <f>'TEA Revised Non EYZ'!CE3</f>
        <v>29066.136817047478</v>
      </c>
      <c r="CJ3">
        <f>BL3*V3</f>
        <v>1.88924824099078</v>
      </c>
      <c r="CK3">
        <f>CJ3/2*1.2</f>
        <v>1.133548944594468</v>
      </c>
      <c r="CL3">
        <f>'eLLE Bals'!CB3*'Oxidant Feed Composition'!$N$20</f>
        <v>6.2974941366359366E-2</v>
      </c>
      <c r="CM3">
        <f>'eLLE Bals'!CB3*'Oxidant Feed Composition'!$N$21</f>
        <v>3.148747068317967</v>
      </c>
      <c r="CN3">
        <f>'eLLE Bals'!CB3*'Oxidant Feed Composition'!$N$22</f>
        <v>0.94462412049539002</v>
      </c>
      <c r="CO3">
        <f>CN3/CK3</f>
        <v>0.83333333333333337</v>
      </c>
      <c r="CP3">
        <f>CO3</f>
        <v>0.83333333333333337</v>
      </c>
      <c r="CQ3">
        <f>CL3/CO3</f>
        <v>7.5569929639631231E-2</v>
      </c>
      <c r="CR3">
        <f>CM3/CO3</f>
        <v>3.7784964819815601</v>
      </c>
      <c r="CS3">
        <f>BN3*BA3</f>
        <v>2.03918679814538</v>
      </c>
      <c r="CT3">
        <f>CS3/2*1.2</f>
        <v>1.223512078887228</v>
      </c>
      <c r="CU3">
        <f>'eLLE Bals'!CC3*'Oxidant Feed Composition'!$N$20</f>
        <v>6.7972893271512694E-2</v>
      </c>
      <c r="CV3">
        <f>'eLLE Bals'!CC3*'Oxidant Feed Composition'!$N$21</f>
        <v>3.3986446635756336</v>
      </c>
      <c r="CW3">
        <f>'eLLE Bals'!CC3*'Oxidant Feed Composition'!$N$22</f>
        <v>1.01959339907269</v>
      </c>
      <c r="CX3">
        <f>CU3/CP3</f>
        <v>8.1567471925815233E-2</v>
      </c>
      <c r="CY3">
        <f>CV3/CP3</f>
        <v>4.0783735962907599</v>
      </c>
      <c r="CZ3">
        <f>CJ3</f>
        <v>1.88924824099078</v>
      </c>
      <c r="DA3">
        <f>'eLLE Bals'!BQ3</f>
        <v>3.7784964819815601</v>
      </c>
      <c r="DB3">
        <f>'eLLE Bals'!BU3</f>
        <v>18.877717659303535</v>
      </c>
      <c r="DC3">
        <f>CS3</f>
        <v>2.03918679814538</v>
      </c>
      <c r="DD3">
        <f>'eLLE Bals'!BX3</f>
        <v>4.0783735962907599</v>
      </c>
      <c r="DE3">
        <f>'eLLE Bals'!CA3</f>
        <v>23.306613391875818</v>
      </c>
      <c r="DF3">
        <f>2*2*(CJ3*'Reagent cost'!$C$36*122.44/1000*1.5+CK3*'Oxidant Feed Composition'!$N$26+CQ3*'Reagent cost'!$C$34+CR3*'Reagent cost'!$C$35)</f>
        <v>192.25204960746129</v>
      </c>
      <c r="DG3">
        <f>2*2*(CS3*'Reagent cost'!$C$36*122.44/1000*1.5+CT3*'Oxidant Feed Composition'!$N$26+CX3*'Reagent cost'!$C$34+CY3*'Reagent cost'!$C$35)</f>
        <v>207.50996770563569</v>
      </c>
      <c r="DH3">
        <f>(AF3+3)*2*(CZ3*'Reagent cost'!$C$38+DA3*'Reagent cost'!$C$39+DB3*'Reagent cost'!$C$36*122.44/1000*1.5)</f>
        <v>4052.2708910906213</v>
      </c>
      <c r="DI3">
        <f>3*2*(DC3*'Reagent cost'!$C$38+DD3*'Reagent cost'!$C$39+DE3*'Reagent cost'!$C$36*122.44/1000*1.5)</f>
        <v>1868.2703395973808</v>
      </c>
      <c r="DJ3">
        <f>7963.6*(CB3/1000)^0.6*1.7*('CAPEX+OPEX'!$G$116/'CAPEX+OPEX'!$G$115)</f>
        <v>2965.5437179814326</v>
      </c>
      <c r="DK3">
        <f>7963.6*(CC3/1000)^0.6*1.7*('CAPEX+OPEX'!$G$116/'CAPEX+OPEX'!$G$115)</f>
        <v>6492.3078360569407</v>
      </c>
      <c r="DL3">
        <f>7963.6*(CD3/1000)^0.6*1.7*('CAPEX+OPEX'!$G$116/'CAPEX+OPEX'!$G$115)</f>
        <v>3104.5961983371071</v>
      </c>
      <c r="DM3">
        <f>7963.6*(CE3/1000)^0.6*1.7*('CAPEX+OPEX'!$G$116/'CAPEX+OPEX'!$G$115)</f>
        <v>6861.5760625195089</v>
      </c>
      <c r="DN3">
        <f>'TEA Revised Non EYZ'!CM3</f>
        <v>39625.826528698344</v>
      </c>
      <c r="DO3">
        <f>'TEA Revised Non EYZ'!CN3</f>
        <v>4586243.4239371875</v>
      </c>
      <c r="DP3">
        <f>'TEA Revised Non EYZ'!CO3</f>
        <v>11794834.586807497</v>
      </c>
      <c r="DQ3">
        <f>'TEA Revised Non EYZ'!CP3</f>
        <v>2275209.1661185985</v>
      </c>
      <c r="DR3">
        <f>'TEA Revised Non EYZ'!CQ3</f>
        <v>14083914.336508472</v>
      </c>
      <c r="DS3">
        <f>'TEA Revised Non EYZ'!CR3</f>
        <v>1662824.8986326549</v>
      </c>
      <c r="DT3">
        <f>'TEA Revised Non EYZ'!CS3</f>
        <v>461850.0978118488</v>
      </c>
      <c r="DU3">
        <f>'TEA Revised Non EYZ'!CT3</f>
        <v>1187779.4098672394</v>
      </c>
      <c r="DV3">
        <f>'TEA Revised Non EYZ'!CU3</f>
        <v>229121.19544936769</v>
      </c>
      <c r="DW3">
        <f>'TEA Revised Non EYZ'!CV3</f>
        <v>1418297.4196136401</v>
      </c>
      <c r="DX3">
        <f>'TEA Revised Non EYZ'!CW3</f>
        <v>167452.04540804314</v>
      </c>
      <c r="DY3">
        <f>'TEA Revised Non EYZ'!CX3</f>
        <v>3464500.168150139</v>
      </c>
      <c r="DZ3">
        <f>'TEA Revised Non EYZ'!CY3</f>
        <v>557691.83628610906</v>
      </c>
      <c r="EA3">
        <f>'TEA Revised Non EYZ'!CZ3</f>
        <v>1434263.8083873487</v>
      </c>
      <c r="EB3">
        <f>'TEA Revised Non EYZ'!DA3</f>
        <v>276667.73446106695</v>
      </c>
      <c r="EC3">
        <f>'TEA Revised Non EYZ'!DB3</f>
        <v>1712618.2198329037</v>
      </c>
      <c r="ED3">
        <f>'TEA Revised Non EYZ'!DC3</f>
        <v>202201.18851532842</v>
      </c>
      <c r="EE3">
        <f>'TEA Revised Non EYZ'!DD3</f>
        <v>4183442.7874827567</v>
      </c>
      <c r="EF3">
        <v>0.7</v>
      </c>
      <c r="EG3">
        <v>100</v>
      </c>
      <c r="EH3">
        <f>96485*BL3*V3/EF3/EG3/60</f>
        <v>43.40098012666558</v>
      </c>
      <c r="EI3">
        <f>96485*BN3*BA3/EF3/EG3/60</f>
        <v>46.845461480727856</v>
      </c>
      <c r="EJ3">
        <f>EH3*('CAPEX+OPEX'!$O$25+'CAPEX+OPEX'!$O$26)</f>
        <v>1383276.0385970853</v>
      </c>
      <c r="EK3">
        <f>EI3*('CAPEX+OPEX'!$O$25+'CAPEX+OPEX'!$O$26)</f>
        <v>1493058.5483137583</v>
      </c>
      <c r="EL3">
        <f>EJ3*1.12/0.6*'CAPEX+OPEX'!$G$116/'CAPEX+OPEX'!$G$115</f>
        <v>3045497.132381544</v>
      </c>
      <c r="EM3">
        <f>EK3*1.12/0.6*'CAPEX+OPEX'!$G$116/'CAPEX+OPEX'!$G$115</f>
        <v>3287200.3855275079</v>
      </c>
      <c r="EN3">
        <f>EL3+EM3+DY3+EE3+1.15*(SUM(DF3:DM3)+SUM(CF3:CI3))</f>
        <v>14054338.994511308</v>
      </c>
      <c r="EO3">
        <f>EN3/15</f>
        <v>936955.93296742055</v>
      </c>
      <c r="EP3">
        <f>('eLLE Bals'!CB3+'eLLE Bals'!CC3)*'Oxidant Feed Composition'!$N$28*60*7200</f>
        <v>21838857.098144732</v>
      </c>
      <c r="EQ3" s="53">
        <f>('eLLE Bals'!BR3+'eLLE Bals'!BY3)*'Reagent cost'!$C$38*60*7200*1.5</f>
        <v>784821.97143927985</v>
      </c>
      <c r="ER3">
        <f>'TEA Revised Non EYZ'!DI3</f>
        <v>504921.59999999998</v>
      </c>
      <c r="ES3">
        <f>'TEA Revised Non EYZ'!DJ3</f>
        <v>62.622248810804926</v>
      </c>
      <c r="ET3">
        <f>'TEA Revised Non EYZ'!DK3</f>
        <v>641.58236928323436</v>
      </c>
      <c r="EU3">
        <f>1.2*SUM(EP3:ET3)</f>
        <v>27755165.849042527</v>
      </c>
      <c r="EV3">
        <f>'TEA Revised Non EYZ'!DM3</f>
        <v>0.70639694042110623</v>
      </c>
      <c r="EW3">
        <f>(BS3*CO3+BT3*CP3)/1000*('Oxidant Feed Composition'!$B$11*'Oxidant Feed Composition'!$O$20+'Oxidant Feed Composition'!$D$11*'Oxidant Feed Composition'!$O$21+'Oxidant Feed Composition'!$F$11*'Oxidant Feed Composition'!$O$27-'Oxidant Feed Composition'!$J$15*18.015)</f>
        <v>2.2939023948269917</v>
      </c>
      <c r="EX3">
        <f>(CZ3*BX3+DC3*BZ3)*368.34/1000</f>
        <v>0.10561641037959783</v>
      </c>
      <c r="EY3">
        <f>'TEA Revised Non EYZ'!DP3</f>
        <v>4.999938342565946E-2</v>
      </c>
      <c r="EZ3">
        <f>SUM(EV3:EX3)-EY3</f>
        <v>3.0559163622020362</v>
      </c>
      <c r="FA3">
        <f>EZ3*0.33*60*7200</f>
        <v>435651.43659552239</v>
      </c>
      <c r="FB3">
        <f>'TEA Revised Non EYZ'!DS3</f>
        <v>1.2</v>
      </c>
      <c r="FC3">
        <v>0.5</v>
      </c>
      <c r="FD3">
        <f>'TEA Revised Non EYZ'!DT3</f>
        <v>1407.4026349781827</v>
      </c>
      <c r="FE3">
        <f>'TEA Revised Non EYZ'!DU3</f>
        <v>714.80261726149911</v>
      </c>
      <c r="FF3">
        <f>'TEA Revised Non EYZ'!DV3</f>
        <v>0.7</v>
      </c>
      <c r="FG3">
        <f>'TEA Revised Non EYZ'!DW3</f>
        <v>27520.276190787874</v>
      </c>
      <c r="FH3">
        <f>'TEA Revised Non EYZ'!DX3</f>
        <v>16610.439588917834</v>
      </c>
      <c r="FI3">
        <f>'TEA Revised Non EYZ'!DY3</f>
        <v>7032.645793695051</v>
      </c>
      <c r="FJ3">
        <f>'TEA Revised Non EYZ'!DZ3</f>
        <v>3725.3886787897172</v>
      </c>
      <c r="FK3">
        <f>'TEA Revised Non EYZ'!EA3</f>
        <v>3750.7444233040283</v>
      </c>
      <c r="FL3">
        <f>'TEA Revised Non EYZ'!EB3</f>
        <v>851.19711363480485</v>
      </c>
      <c r="FM3">
        <f>'TEA Revised Non EYZ'!EC3</f>
        <v>30949.25827662705</v>
      </c>
      <c r="FN3">
        <f>'TEA Revised Non EYZ'!ED3</f>
        <v>23346.543525145094</v>
      </c>
      <c r="FO3">
        <f>'TEA Revised Non EYZ'!EE3</f>
        <v>9884.6252828235265</v>
      </c>
      <c r="FP3">
        <f>'TEA Revised Non EYZ'!EF3</f>
        <v>5238.9477980495094</v>
      </c>
      <c r="FQ3">
        <f>'TEA Revised Non EYZ'!EG3</f>
        <v>5271.8001508392153</v>
      </c>
      <c r="FR3">
        <f>'TEA Revised Non EYZ'!EH3</f>
        <v>432.31262291975469</v>
      </c>
      <c r="FS3">
        <f>'TEA Revised Non EYZ'!EI3</f>
        <v>134614.17944553349</v>
      </c>
      <c r="FT3">
        <f>EG3*EH3</f>
        <v>4340.0980126665581</v>
      </c>
      <c r="FU3">
        <f>EG3*EI3</f>
        <v>4684.5461480727854</v>
      </c>
      <c r="FV3">
        <f>FC3*(FT3+FU3)/(3.6*10^6)*3600*7200*0.07</f>
        <v>2274.2103285063145</v>
      </c>
      <c r="FW3">
        <f>('CAPEX+OPEX'!$C$39/7/100+0.03)*EL3</f>
        <v>156625.56680819369</v>
      </c>
      <c r="FX3">
        <f>('CAPEX+OPEX'!$C$39/7/100+0.03)*EM3</f>
        <v>169056.01982712897</v>
      </c>
      <c r="FY3">
        <f>SUM(FV3:FX3)</f>
        <v>327955.79696382897</v>
      </c>
      <c r="FZ3">
        <f>FY3+FA3+FS3+EU3</f>
        <v>28653387.262047414</v>
      </c>
      <c r="GA3">
        <f>FZ3+EO3</f>
        <v>29590343.195014834</v>
      </c>
      <c r="GB3">
        <f>GA3/(BK3*60*7200)</f>
        <v>0.68496164803275084</v>
      </c>
      <c r="GC3">
        <f>'TEA Revised Non EYZ'!EM3/'TEA Revised Non EYZ'!EK3*GA3</f>
        <v>2294.5423649618738</v>
      </c>
      <c r="GD3">
        <f>'TEA Revised Non EYZ'!EN3/'TEA Revised Non EYZ'!EK3*GA3</f>
        <v>4153.9277665357495</v>
      </c>
    </row>
    <row r="4" spans="1:186">
      <c r="A4">
        <f>'TEA Revised Non EYZ'!A4</f>
        <v>3</v>
      </c>
      <c r="B4">
        <f>'TEA Revised Non EYZ'!B4</f>
        <v>1.54143585092054E-3</v>
      </c>
      <c r="C4">
        <f>'TEA Revised Non EYZ'!C4</f>
        <v>1.54143585092054E-3</v>
      </c>
      <c r="D4">
        <f>'TEA Revised Non EYZ'!D4</f>
        <v>3.4254130020456501E-4</v>
      </c>
      <c r="E4">
        <f>'TEA Revised Non EYZ'!E4</f>
        <v>0</v>
      </c>
      <c r="F4">
        <f>'TEA Revised Non EYZ'!F4</f>
        <v>0</v>
      </c>
      <c r="G4">
        <f>'TEA Revised Non EYZ'!G4</f>
        <v>0</v>
      </c>
      <c r="H4">
        <f>'TEA Revised Non EYZ'!H4</f>
        <v>1.6300358850230801E-5</v>
      </c>
      <c r="I4">
        <f>'TEA Revised Non EYZ'!I4</f>
        <v>7.4474859607128495E-7</v>
      </c>
      <c r="J4">
        <f>'TEA Revised Non EYZ'!J4</f>
        <v>3.2385704147932398E-4</v>
      </c>
      <c r="K4">
        <f>'TEA Revised Non EYZ'!K4</f>
        <v>8.07271092797512E-2</v>
      </c>
      <c r="L4">
        <f>'TEA Revised Non EYZ'!L4</f>
        <v>8.15504849440159E-2</v>
      </c>
      <c r="M4">
        <f>'TEA Revised Non EYZ'!M4</f>
        <v>9.8897848995466706E-4</v>
      </c>
      <c r="N4">
        <f>'TEA Revised Non EYZ'!N4</f>
        <v>-9.8011876392689601E-17</v>
      </c>
      <c r="O4">
        <f>'TEA Revised Non EYZ'!O4</f>
        <v>1.94289029309402E-16</v>
      </c>
      <c r="P4">
        <f>'TEA Revised Non EYZ'!P4</f>
        <v>-4.3537493488870999E-18</v>
      </c>
      <c r="Q4">
        <f>'TEA Revised Non EYZ'!Q4</f>
        <v>0.18892482409907799</v>
      </c>
      <c r="R4">
        <f>'TEA Revised Non EYZ'!R4</f>
        <v>94.545399718491396</v>
      </c>
      <c r="S4">
        <f>'TEA Revised Non EYZ'!S4</f>
        <v>500</v>
      </c>
      <c r="T4">
        <f>'TEA Revised Non EYZ'!T4</f>
        <v>95</v>
      </c>
      <c r="U4">
        <f>'TEA Revised Non EYZ'!U4</f>
        <v>1</v>
      </c>
      <c r="V4">
        <f>'TEA Revised Non EYZ'!V4</f>
        <v>0.1</v>
      </c>
      <c r="W4">
        <f>'TEA Revised Non EYZ'!W4</f>
        <v>52.931106580020597</v>
      </c>
      <c r="X4" t="str">
        <f>'TEA Revised Non EYZ'!X4</f>
        <v>ddFc</v>
      </c>
      <c r="Y4">
        <f>'TEA Revised Non EYZ'!Y4</f>
        <v>1</v>
      </c>
      <c r="Z4">
        <f>'TEA Revised Non EYZ'!Z4</f>
        <v>0.28318429382522198</v>
      </c>
      <c r="AA4">
        <f>'TEA Revised Non EYZ'!AA4</f>
        <v>0.56945642916197003</v>
      </c>
      <c r="AB4">
        <f>'TEA Revised Non EYZ'!AB4</f>
        <v>3.7698628972227502E-3</v>
      </c>
      <c r="AC4">
        <f>'TEA Revised Non EYZ'!AC4</f>
        <v>1822.2107908876901</v>
      </c>
      <c r="AD4">
        <f>'TEA Revised Non EYZ'!AD4</f>
        <v>2662.6059073104898</v>
      </c>
      <c r="AE4">
        <f>'TEA Revised Non EYZ'!AE4</f>
        <v>2401.5030938442701</v>
      </c>
      <c r="AF4">
        <f>'TEA Revised Non EYZ'!AF4</f>
        <v>6</v>
      </c>
      <c r="AG4">
        <f>'TEA Revised Non EYZ'!AG4</f>
        <v>1.6455478770638001E-3</v>
      </c>
      <c r="AH4">
        <f>'TEA Revised Non EYZ'!AH4</f>
        <v>1.66233163271225E-3</v>
      </c>
      <c r="AI4">
        <f>'TEA Revised Non EYZ'!AI4</f>
        <v>2.0159416943409301E-5</v>
      </c>
      <c r="AJ4">
        <f>'TEA Revised Non EYZ'!AJ4</f>
        <v>0</v>
      </c>
      <c r="AK4">
        <f>'TEA Revised Non EYZ'!AK4</f>
        <v>0</v>
      </c>
      <c r="AL4">
        <f>'TEA Revised Non EYZ'!AL4</f>
        <v>0</v>
      </c>
      <c r="AM4">
        <f>'TEA Revised Non EYZ'!AM4</f>
        <v>1.60744374164569E-3</v>
      </c>
      <c r="AN4">
        <f>'TEA Revised Non EYZ'!AN4</f>
        <v>6.4579829374686502E-5</v>
      </c>
      <c r="AO4">
        <f>'TEA Revised Non EYZ'!AO4</f>
        <v>2.0022472818809102E-5</v>
      </c>
      <c r="AP4">
        <f>'TEA Revised Non EYZ'!AP4</f>
        <v>1.75996255360512E-3</v>
      </c>
      <c r="AQ4">
        <f>'TEA Revised Non EYZ'!AQ4</f>
        <v>7.3797327061053505E-2</v>
      </c>
      <c r="AR4">
        <f>'TEA Revised Non EYZ'!AR4</f>
        <v>6.3252066629497999E-6</v>
      </c>
      <c r="AS4">
        <f>'TEA Revised Non EYZ'!AS4</f>
        <v>-1.5043305143236301E-18</v>
      </c>
      <c r="AT4">
        <f>'TEA Revised Non EYZ'!AT4</f>
        <v>1.5178830414797E-17</v>
      </c>
      <c r="AU4">
        <f>'TEA Revised Non EYZ'!AU4</f>
        <v>-9.2908926401955993E-21</v>
      </c>
      <c r="AV4">
        <f>'TEA Revised Non EYZ'!AV4</f>
        <v>0.20066267141911501</v>
      </c>
      <c r="AW4">
        <f>'TEA Revised Non EYZ'!AW4</f>
        <v>99.320694021138493</v>
      </c>
      <c r="AX4">
        <f>'TEA Revised Non EYZ'!AX4</f>
        <v>500</v>
      </c>
      <c r="AY4">
        <f>'TEA Revised Non EYZ'!AY4</f>
        <v>95</v>
      </c>
      <c r="AZ4">
        <f>'TEA Revised Non EYZ'!AZ4</f>
        <v>0.92682535301965796</v>
      </c>
      <c r="BA4">
        <f>'TEA Revised Non EYZ'!BA4</f>
        <v>0.1</v>
      </c>
      <c r="BB4">
        <f>'TEA Revised Non EYZ'!BB4</f>
        <v>46.188229552861699</v>
      </c>
      <c r="BC4" t="str">
        <f>'TEA Revised Non EYZ'!BC4</f>
        <v>coeFc</v>
      </c>
      <c r="BD4">
        <f>'TEA Revised Non EYZ'!BD4</f>
        <v>1</v>
      </c>
      <c r="BE4">
        <f>'TEA Revised Non EYZ'!BE4</f>
        <v>1.8775014999999999E-2</v>
      </c>
      <c r="BF4">
        <f>'TEA Revised Non EYZ'!BF4</f>
        <v>0.10492961100000001</v>
      </c>
      <c r="BG4">
        <f>'TEA Revised Non EYZ'!BG4</f>
        <v>1.814625E-3</v>
      </c>
      <c r="BH4">
        <f>'TEA Revised Non EYZ'!BH4</f>
        <v>285.1951444</v>
      </c>
      <c r="BI4">
        <f>'TEA Revised Non EYZ'!BI4</f>
        <v>2169.8944889999998</v>
      </c>
      <c r="BJ4">
        <f>'TEA Revised Non EYZ'!BJ4</f>
        <v>866.49409060000005</v>
      </c>
      <c r="BK4">
        <f>'TEA Revised Non EYZ'!BK4</f>
        <v>100</v>
      </c>
      <c r="BL4">
        <f>'TEA Revised Non EYZ'!BL4</f>
        <v>18.892482409907799</v>
      </c>
      <c r="BM4">
        <f>'TEA Revised Non EYZ'!BM4</f>
        <v>92.6825353019658</v>
      </c>
      <c r="BN4">
        <f>'TEA Revised Non EYZ'!BN4</f>
        <v>20.066267141911499</v>
      </c>
      <c r="BO4">
        <f>'TEA Revised Non EYZ'!BO4</f>
        <v>188.92482409907799</v>
      </c>
      <c r="BP4">
        <f>'TEA Revised Non EYZ'!BP4</f>
        <v>321.06027427058399</v>
      </c>
      <c r="BQ4">
        <f>'TEA Revised Non EYZ'!BQ4</f>
        <v>18.892482409907799</v>
      </c>
      <c r="BR4">
        <f>'TEA Revised Non EYZ'!BR4</f>
        <v>32.1060274270584</v>
      </c>
      <c r="BS4">
        <f>'eLLE Bals'!CF4</f>
        <v>11.335489445944679</v>
      </c>
      <c r="BT4">
        <f>'eLLE Bals'!CG4</f>
        <v>12.039760285146899</v>
      </c>
      <c r="BU4">
        <f>BM4</f>
        <v>92.6825353019658</v>
      </c>
      <c r="BV4">
        <f>BU4*(AM4*2+AN4*2+AO4*3)</f>
        <v>0.31550196792521573</v>
      </c>
      <c r="BW4">
        <f>BN4*BA4*(AP4*2+AQ4*2+AR4*3)</f>
        <v>0.30326862857129105</v>
      </c>
      <c r="BX4">
        <f>BV4/(2*V4*BL4+BV4)</f>
        <v>7.7064505955638546E-2</v>
      </c>
      <c r="BY4">
        <f>BU4*BX4</f>
        <v>7.1425337937620235</v>
      </c>
      <c r="BZ4">
        <f>BW4/(2*BN4*BA4+BW4)</f>
        <v>7.0257634403315089E-2</v>
      </c>
      <c r="CA4">
        <f>2*BN4*BA4/0.04</f>
        <v>100.33133570955749</v>
      </c>
      <c r="CB4">
        <f>(BS4+BL4)*2</f>
        <v>60.455943711704961</v>
      </c>
      <c r="CC4">
        <f>(BU4+BL4)*2</f>
        <v>223.1500354237472</v>
      </c>
      <c r="CD4">
        <f>(BT4+BN4)*2</f>
        <v>64.212054854116801</v>
      </c>
      <c r="CE4">
        <f>(CA4+BN4)*2</f>
        <v>240.79520570293798</v>
      </c>
      <c r="CF4">
        <f>'TEA Revised Non EYZ'!CB4</f>
        <v>2493.8076781078298</v>
      </c>
      <c r="CG4">
        <f>'TEA Revised Non EYZ'!CC4</f>
        <v>4237.9956203717084</v>
      </c>
      <c r="CH4">
        <f>'TEA Revised Non EYZ'!CD4</f>
        <v>3012.9816471142385</v>
      </c>
      <c r="CI4">
        <f>'TEA Revised Non EYZ'!CE4</f>
        <v>32688.036885778358</v>
      </c>
      <c r="CJ4">
        <f>BL4*V4</f>
        <v>1.88924824099078</v>
      </c>
      <c r="CK4">
        <f>CJ4/2*1.2</f>
        <v>1.133548944594468</v>
      </c>
      <c r="CL4">
        <f>'eLLE Bals'!CB4*'Oxidant Feed Composition'!$N$20</f>
        <v>6.2974941366359366E-2</v>
      </c>
      <c r="CM4">
        <f>'eLLE Bals'!CB4*'Oxidant Feed Composition'!$N$21</f>
        <v>3.148747068317967</v>
      </c>
      <c r="CN4">
        <f>'eLLE Bals'!CB4*'Oxidant Feed Composition'!$N$22</f>
        <v>0.94462412049539002</v>
      </c>
      <c r="CO4">
        <f>CN4/CK4</f>
        <v>0.83333333333333337</v>
      </c>
      <c r="CP4">
        <f>CO4</f>
        <v>0.83333333333333337</v>
      </c>
      <c r="CQ4">
        <f>CL4/CO4</f>
        <v>7.5569929639631231E-2</v>
      </c>
      <c r="CR4">
        <f>CM4/CO4</f>
        <v>3.7784964819815601</v>
      </c>
      <c r="CS4">
        <f>BN4*BA4</f>
        <v>2.00662671419115</v>
      </c>
      <c r="CT4">
        <f>CS4/2*1.2</f>
        <v>1.2039760285146899</v>
      </c>
      <c r="CU4">
        <f>'eLLE Bals'!CC4*'Oxidant Feed Composition'!$N$20</f>
        <v>6.6887557139705026E-2</v>
      </c>
      <c r="CV4">
        <f>'eLLE Bals'!CC4*'Oxidant Feed Composition'!$N$21</f>
        <v>3.3443778569852505</v>
      </c>
      <c r="CW4">
        <f>'eLLE Bals'!CC4*'Oxidant Feed Composition'!$N$22</f>
        <v>1.003313357095575</v>
      </c>
      <c r="CX4">
        <f>CU4/CP4</f>
        <v>8.0265068567646022E-2</v>
      </c>
      <c r="CY4">
        <f>CV4/CP4</f>
        <v>4.0132534283823</v>
      </c>
      <c r="CZ4">
        <f>CJ4</f>
        <v>1.88924824099078</v>
      </c>
      <c r="DA4">
        <f>'eLLE Bals'!BQ4</f>
        <v>3.7784964819815601</v>
      </c>
      <c r="DB4">
        <f>'eLLE Bals'!BU4</f>
        <v>18.847409401006679</v>
      </c>
      <c r="DC4">
        <f>CS4</f>
        <v>2.00662671419115</v>
      </c>
      <c r="DD4">
        <f>'eLLE Bals'!BX4</f>
        <v>4.0132534283823</v>
      </c>
      <c r="DE4">
        <f>'eLLE Bals'!CA4</f>
        <v>22.541097340273136</v>
      </c>
      <c r="DF4">
        <f>2*2*(CJ4*'Reagent cost'!$C$36*122.44/1000*1.5+CK4*'Oxidant Feed Composition'!$N$26+CQ4*'Reagent cost'!$C$34+CR4*'Reagent cost'!$C$35)</f>
        <v>192.25204960746129</v>
      </c>
      <c r="DG4">
        <f>2*2*(CS4*'Reagent cost'!$C$36*122.44/1000*1.5+CT4*'Oxidant Feed Composition'!$N$26+CX4*'Reagent cost'!$C$34+CY4*'Reagent cost'!$C$35)</f>
        <v>204.19661653252095</v>
      </c>
      <c r="DH4">
        <f>(AF4+3)*2*(CZ4*'Reagent cost'!$C$38+DA4*'Reagent cost'!$C$39+DB4*'Reagent cost'!$C$36*122.44/1000*1.5)</f>
        <v>4551.728948742998</v>
      </c>
      <c r="DI4">
        <f>3*2*(DC4*'Reagent cost'!$C$38+DD4*'Reagent cost'!$C$39+DE4*'Reagent cost'!$C$36*122.44/1000*1.5)</f>
        <v>1807.8267119163593</v>
      </c>
      <c r="DJ4">
        <f>7963.6*(CB4/1000)^0.6*1.7*('CAPEX+OPEX'!$G$116/'CAPEX+OPEX'!$G$115)</f>
        <v>2965.5437179814326</v>
      </c>
      <c r="DK4">
        <f>7963.6*(CC4/1000)^0.6*1.7*('CAPEX+OPEX'!$G$116/'CAPEX+OPEX'!$G$115)</f>
        <v>6492.3078360569407</v>
      </c>
      <c r="DL4">
        <f>7963.6*(CD4/1000)^0.6*1.7*('CAPEX+OPEX'!$G$116/'CAPEX+OPEX'!$G$115)</f>
        <v>3074.7574940340096</v>
      </c>
      <c r="DM4">
        <f>7963.6*(CE4/1000)^0.6*1.7*('CAPEX+OPEX'!$G$116/'CAPEX+OPEX'!$G$115)</f>
        <v>6795.6285040922976</v>
      </c>
      <c r="DN4">
        <f>'TEA Revised Non EYZ'!CM4</f>
        <v>39625.826528698344</v>
      </c>
      <c r="DO4">
        <f>'TEA Revised Non EYZ'!CN4</f>
        <v>4586243.4239371875</v>
      </c>
      <c r="DP4">
        <f>'TEA Revised Non EYZ'!CO4</f>
        <v>11794834.586807497</v>
      </c>
      <c r="DQ4">
        <f>'TEA Revised Non EYZ'!CP4</f>
        <v>2275209.1661185985</v>
      </c>
      <c r="DR4">
        <f>'TEA Revised Non EYZ'!CQ4</f>
        <v>14083914.336508472</v>
      </c>
      <c r="DS4">
        <f>'TEA Revised Non EYZ'!CR4</f>
        <v>1662824.8986326549</v>
      </c>
      <c r="DT4">
        <f>'TEA Revised Non EYZ'!CS4</f>
        <v>461850.0978118488</v>
      </c>
      <c r="DU4">
        <f>'TEA Revised Non EYZ'!CT4</f>
        <v>1187779.4098672394</v>
      </c>
      <c r="DV4">
        <f>'TEA Revised Non EYZ'!CU4</f>
        <v>229121.19544936769</v>
      </c>
      <c r="DW4">
        <f>'TEA Revised Non EYZ'!CV4</f>
        <v>1418297.4196136401</v>
      </c>
      <c r="DX4">
        <f>'TEA Revised Non EYZ'!CW4</f>
        <v>167452.04540804314</v>
      </c>
      <c r="DY4">
        <f>'TEA Revised Non EYZ'!CX4</f>
        <v>3464500.168150139</v>
      </c>
      <c r="DZ4">
        <f>'TEA Revised Non EYZ'!CY4</f>
        <v>611733.63632254547</v>
      </c>
      <c r="EA4">
        <f>'TEA Revised Non EYZ'!CZ4</f>
        <v>1573247.7290567602</v>
      </c>
      <c r="EB4">
        <f>'TEA Revised Non EYZ'!DA4</f>
        <v>303477.56277386361</v>
      </c>
      <c r="EC4">
        <f>'TEA Revised Non EYZ'!DB4</f>
        <v>1878575.4122338442</v>
      </c>
      <c r="ED4">
        <f>'TEA Revised Non EYZ'!DC4</f>
        <v>221795.01343061589</v>
      </c>
      <c r="EE4">
        <f>'TEA Revised Non EYZ'!DD4</f>
        <v>4588829.3538176296</v>
      </c>
      <c r="EF4">
        <v>0.7</v>
      </c>
      <c r="EG4">
        <v>100</v>
      </c>
      <c r="EH4">
        <f>96485*BL4*V4/EF4/EG4/60</f>
        <v>43.40098012666558</v>
      </c>
      <c r="EI4">
        <f>96485*BN4*BA4/EF4/EG4/60</f>
        <v>46.097471075888841</v>
      </c>
      <c r="EJ4">
        <f>EH4*('CAPEX+OPEX'!$O$25+'CAPEX+OPEX'!$O$26)</f>
        <v>1383276.0385970853</v>
      </c>
      <c r="EK4">
        <f>EI4*('CAPEX+OPEX'!$O$25+'CAPEX+OPEX'!$O$26)</f>
        <v>1469218.598130729</v>
      </c>
      <c r="EL4">
        <f>EJ4*1.12/0.6*'CAPEX+OPEX'!$G$116/'CAPEX+OPEX'!$G$115</f>
        <v>3045497.132381544</v>
      </c>
      <c r="EM4">
        <f>EK4*1.12/0.6*'CAPEX+OPEX'!$G$116/'CAPEX+OPEX'!$G$115</f>
        <v>3234713.0309484676</v>
      </c>
      <c r="EN4">
        <f>EL4+EM4+DY4+EE4+1.15*(SUM(DF4:DM4)+SUM(CF4:CI4))</f>
        <v>14412334.308564667</v>
      </c>
      <c r="EO4">
        <f>EN4/15</f>
        <v>960822.28723764443</v>
      </c>
      <c r="EP4">
        <f>('eLLE Bals'!CB4+'eLLE Bals'!CC4)*'Oxidant Feed Composition'!$N$28*60*7200</f>
        <v>21657849.899732109</v>
      </c>
      <c r="EQ4" s="53">
        <f>('eLLE Bals'!BR4+'eLLE Bals'!BY4)*'Reagent cost'!$C$38*60*7200*1.5</f>
        <v>784380.29462594981</v>
      </c>
      <c r="ER4">
        <f>'TEA Revised Non EYZ'!DI4</f>
        <v>504921.59999999998</v>
      </c>
      <c r="ES4">
        <f>'TEA Revised Non EYZ'!DJ4</f>
        <v>67.31803298479538</v>
      </c>
      <c r="ET4">
        <f>'TEA Revised Non EYZ'!DK4</f>
        <v>714.02037065785191</v>
      </c>
      <c r="EU4">
        <f>1.2*SUM(EP4:ET4)</f>
        <v>27537519.759314042</v>
      </c>
      <c r="EV4">
        <f>'TEA Revised Non EYZ'!DM4</f>
        <v>0.70639694042110623</v>
      </c>
      <c r="EW4">
        <f>(BS4*CO4+BT4*CP4)/1000*('Oxidant Feed Composition'!$B$11*'Oxidant Feed Composition'!$O$20+'Oxidant Feed Composition'!$D$11*'Oxidant Feed Composition'!$O$21+'Oxidant Feed Composition'!$F$11*'Oxidant Feed Composition'!$O$27-'Oxidant Feed Composition'!$J$15*18.015)</f>
        <v>2.2748898226922107</v>
      </c>
      <c r="EX4">
        <f>(CZ4*BX4+DC4*BZ4)*368.34/1000</f>
        <v>0.10555697228883405</v>
      </c>
      <c r="EY4">
        <f>'TEA Revised Non EYZ'!DP4</f>
        <v>4.999938342565946E-2</v>
      </c>
      <c r="EZ4">
        <f>SUM(EV4:EX4)-EY4</f>
        <v>3.0368443519764914</v>
      </c>
      <c r="FA4">
        <f>EZ4*0.33*60*7200</f>
        <v>432932.53081776859</v>
      </c>
      <c r="FB4">
        <f>'TEA Revised Non EYZ'!DS4</f>
        <v>1.2</v>
      </c>
      <c r="FC4">
        <v>0.5</v>
      </c>
      <c r="FD4">
        <f>'TEA Revised Non EYZ'!DT4</f>
        <v>1409.2918203168488</v>
      </c>
      <c r="FE4">
        <f>'TEA Revised Non EYZ'!DU4</f>
        <v>712.91343190810642</v>
      </c>
      <c r="FF4">
        <f>'TEA Revised Non EYZ'!DV4</f>
        <v>0.7</v>
      </c>
      <c r="FG4">
        <f>'TEA Revised Non EYZ'!DW4</f>
        <v>27520.276190787874</v>
      </c>
      <c r="FH4">
        <f>'TEA Revised Non EYZ'!DX4</f>
        <v>16610.439588917834</v>
      </c>
      <c r="FI4">
        <f>'TEA Revised Non EYZ'!DY4</f>
        <v>7032.645793695051</v>
      </c>
      <c r="FJ4">
        <f>'TEA Revised Non EYZ'!DZ4</f>
        <v>3725.3886787897172</v>
      </c>
      <c r="FK4">
        <f>'TEA Revised Non EYZ'!EA4</f>
        <v>3750.7444233040283</v>
      </c>
      <c r="FL4">
        <f>'TEA Revised Non EYZ'!EB4</f>
        <v>852.33969292763015</v>
      </c>
      <c r="FM4">
        <f>'TEA Revised Non EYZ'!EC4</f>
        <v>33528.363133012637</v>
      </c>
      <c r="FN4">
        <f>'TEA Revised Non EYZ'!ED4</f>
        <v>27237.634112669275</v>
      </c>
      <c r="FO4">
        <f>'TEA Revised Non EYZ'!EE4</f>
        <v>11532.06282996078</v>
      </c>
      <c r="FP4">
        <f>'TEA Revised Non EYZ'!EF4</f>
        <v>6112.1057643910935</v>
      </c>
      <c r="FQ4">
        <f>'TEA Revised Non EYZ'!EG4</f>
        <v>6150.4335093124173</v>
      </c>
      <c r="FR4">
        <f>'TEA Revised Non EYZ'!EH4</f>
        <v>431.1700436180227</v>
      </c>
      <c r="FS4">
        <f>'TEA Revised Non EYZ'!EI4</f>
        <v>144483.60376138636</v>
      </c>
      <c r="FT4">
        <f>EG4*EH4</f>
        <v>4340.0980126665581</v>
      </c>
      <c r="FU4">
        <f>EG4*EI4</f>
        <v>4609.7471075888843</v>
      </c>
      <c r="FV4">
        <f>FC4*(FT4+FU4)/(3.6*10^6)*3600*7200*0.07</f>
        <v>2255.3609703043717</v>
      </c>
      <c r="FW4">
        <f>('CAPEX+OPEX'!$C$39/7/100+0.03)*EL4</f>
        <v>156625.56680819369</v>
      </c>
      <c r="FX4">
        <f>('CAPEX+OPEX'!$C$39/7/100+0.03)*EM4</f>
        <v>166356.67016306403</v>
      </c>
      <c r="FY4">
        <f>SUM(FV4:FX4)</f>
        <v>325237.59794156207</v>
      </c>
      <c r="FZ4">
        <f>FY4+FA4+FS4+EU4</f>
        <v>28440173.49183476</v>
      </c>
      <c r="GA4">
        <f>FZ4+EO4</f>
        <v>29400995.779072404</v>
      </c>
      <c r="GB4">
        <f>GA4/(BK4*60*7200)</f>
        <v>0.68057860599704634</v>
      </c>
      <c r="GC4">
        <f>'TEA Revised Non EYZ'!EM4/'TEA Revised Non EYZ'!EK4*GA4</f>
        <v>2276.796299074862</v>
      </c>
      <c r="GD4">
        <f>'TEA Revised Non EYZ'!EN4/'TEA Revised Non EYZ'!EK4*GA4</f>
        <v>4137.4248465173687</v>
      </c>
    </row>
    <row r="5" spans="1:186">
      <c r="A5">
        <f>'TEA Revised Non EYZ'!A5</f>
        <v>3</v>
      </c>
      <c r="B5">
        <f>'TEA Revised Non EYZ'!B5</f>
        <v>1.54143585092054E-3</v>
      </c>
      <c r="C5">
        <f>'TEA Revised Non EYZ'!C5</f>
        <v>1.54143585092054E-3</v>
      </c>
      <c r="D5">
        <f>'TEA Revised Non EYZ'!D5</f>
        <v>3.4254130020456501E-4</v>
      </c>
      <c r="E5">
        <f>'TEA Revised Non EYZ'!E5</f>
        <v>0</v>
      </c>
      <c r="F5">
        <f>'TEA Revised Non EYZ'!F5</f>
        <v>0</v>
      </c>
      <c r="G5">
        <f>'TEA Revised Non EYZ'!G5</f>
        <v>0</v>
      </c>
      <c r="H5">
        <f>'TEA Revised Non EYZ'!H5</f>
        <v>1.6300358850230801E-5</v>
      </c>
      <c r="I5">
        <f>'TEA Revised Non EYZ'!I5</f>
        <v>7.4474859607128495E-7</v>
      </c>
      <c r="J5">
        <f>'TEA Revised Non EYZ'!J5</f>
        <v>3.2385704147932398E-4</v>
      </c>
      <c r="K5">
        <f>'TEA Revised Non EYZ'!K5</f>
        <v>8.07271092797512E-2</v>
      </c>
      <c r="L5">
        <f>'TEA Revised Non EYZ'!L5</f>
        <v>8.15504849440159E-2</v>
      </c>
      <c r="M5">
        <f>'TEA Revised Non EYZ'!M5</f>
        <v>9.8897848995466706E-4</v>
      </c>
      <c r="N5">
        <f>'TEA Revised Non EYZ'!N5</f>
        <v>-9.8011876392689601E-17</v>
      </c>
      <c r="O5">
        <f>'TEA Revised Non EYZ'!O5</f>
        <v>1.94289029309402E-16</v>
      </c>
      <c r="P5">
        <f>'TEA Revised Non EYZ'!P5</f>
        <v>-4.3537493488870999E-18</v>
      </c>
      <c r="Q5">
        <f>'TEA Revised Non EYZ'!Q5</f>
        <v>0.18892482409907799</v>
      </c>
      <c r="R5">
        <f>'TEA Revised Non EYZ'!R5</f>
        <v>94.545399718491396</v>
      </c>
      <c r="S5">
        <f>'TEA Revised Non EYZ'!S5</f>
        <v>500</v>
      </c>
      <c r="T5">
        <f>'TEA Revised Non EYZ'!T5</f>
        <v>95</v>
      </c>
      <c r="U5">
        <f>'TEA Revised Non EYZ'!U5</f>
        <v>1</v>
      </c>
      <c r="V5">
        <f>'TEA Revised Non EYZ'!V5</f>
        <v>0.1</v>
      </c>
      <c r="W5">
        <f>'TEA Revised Non EYZ'!W5</f>
        <v>52.931106580020597</v>
      </c>
      <c r="X5" t="str">
        <f>'TEA Revised Non EYZ'!X5</f>
        <v>ddFc</v>
      </c>
      <c r="Y5">
        <f>'TEA Revised Non EYZ'!Y5</f>
        <v>1</v>
      </c>
      <c r="Z5">
        <f>'TEA Revised Non EYZ'!Z5</f>
        <v>0.28318429382522198</v>
      </c>
      <c r="AA5">
        <f>'TEA Revised Non EYZ'!AA5</f>
        <v>0.56945642916197003</v>
      </c>
      <c r="AB5">
        <f>'TEA Revised Non EYZ'!AB5</f>
        <v>3.7698628972227502E-3</v>
      </c>
      <c r="AC5">
        <f>'TEA Revised Non EYZ'!AC5</f>
        <v>1822.2107908876901</v>
      </c>
      <c r="AD5">
        <f>'TEA Revised Non EYZ'!AD5</f>
        <v>2662.6059073104898</v>
      </c>
      <c r="AE5">
        <f>'TEA Revised Non EYZ'!AE5</f>
        <v>2401.5030938442701</v>
      </c>
      <c r="AF5">
        <f>'TEA Revised Non EYZ'!AF5</f>
        <v>7</v>
      </c>
      <c r="AG5">
        <f>'TEA Revised Non EYZ'!AG5</f>
        <v>1.6455478770638001E-3</v>
      </c>
      <c r="AH5">
        <f>'TEA Revised Non EYZ'!AH5</f>
        <v>1.66233163271225E-3</v>
      </c>
      <c r="AI5">
        <f>'TEA Revised Non EYZ'!AI5</f>
        <v>2.0159416943409301E-5</v>
      </c>
      <c r="AJ5">
        <f>'TEA Revised Non EYZ'!AJ5</f>
        <v>0</v>
      </c>
      <c r="AK5">
        <f>'TEA Revised Non EYZ'!AK5</f>
        <v>0</v>
      </c>
      <c r="AL5">
        <f>'TEA Revised Non EYZ'!AL5</f>
        <v>0</v>
      </c>
      <c r="AM5">
        <f>'TEA Revised Non EYZ'!AM5</f>
        <v>1.60808949136668E-3</v>
      </c>
      <c r="AN5">
        <f>'TEA Revised Non EYZ'!AN5</f>
        <v>6.4611588564249294E-5</v>
      </c>
      <c r="AO5">
        <f>'TEA Revised Non EYZ'!AO5</f>
        <v>2.0024700455054798E-5</v>
      </c>
      <c r="AP5">
        <f>'TEA Revised Non EYZ'!AP5</f>
        <v>1.7385721005278799E-3</v>
      </c>
      <c r="AQ5">
        <f>'TEA Revised Non EYZ'!AQ5</f>
        <v>7.4155664786925493E-2</v>
      </c>
      <c r="AR5">
        <f>'TEA Revised Non EYZ'!AR5</f>
        <v>6.2526540793269999E-6</v>
      </c>
      <c r="AS5">
        <f>'TEA Revised Non EYZ'!AS5</f>
        <v>-2.20838430008141E-17</v>
      </c>
      <c r="AT5">
        <f>'TEA Revised Non EYZ'!AT5</f>
        <v>-3.7493879528893699E-15</v>
      </c>
      <c r="AU5">
        <f>'TEA Revised Non EYZ'!AU5</f>
        <v>-5.9159957409792503E-20</v>
      </c>
      <c r="AV5">
        <f>'TEA Revised Non EYZ'!AV5</f>
        <v>0.19968905250902499</v>
      </c>
      <c r="AW5">
        <f>'TEA Revised Non EYZ'!AW5</f>
        <v>99.331744123688495</v>
      </c>
      <c r="AX5">
        <f>'TEA Revised Non EYZ'!AX5</f>
        <v>500</v>
      </c>
      <c r="AY5">
        <f>'TEA Revised Non EYZ'!AY5</f>
        <v>95</v>
      </c>
      <c r="AZ5">
        <f>'TEA Revised Non EYZ'!AZ5</f>
        <v>0.92682535301965796</v>
      </c>
      <c r="BA5">
        <f>'TEA Revised Non EYZ'!BA5</f>
        <v>0.1</v>
      </c>
      <c r="BB5">
        <f>'TEA Revised Non EYZ'!BB5</f>
        <v>46.413428346442103</v>
      </c>
      <c r="BC5" t="str">
        <f>'TEA Revised Non EYZ'!BC5</f>
        <v>coeFc</v>
      </c>
      <c r="BD5">
        <f>'TEA Revised Non EYZ'!BD5</f>
        <v>1</v>
      </c>
      <c r="BE5">
        <f>'TEA Revised Non EYZ'!BE5</f>
        <v>1.8775014999999999E-2</v>
      </c>
      <c r="BF5">
        <f>'TEA Revised Non EYZ'!BF5</f>
        <v>0.10492961100000001</v>
      </c>
      <c r="BG5">
        <f>'TEA Revised Non EYZ'!BG5</f>
        <v>1.814625E-3</v>
      </c>
      <c r="BH5">
        <f>'TEA Revised Non EYZ'!BH5</f>
        <v>285.1951444</v>
      </c>
      <c r="BI5">
        <f>'TEA Revised Non EYZ'!BI5</f>
        <v>2169.8944889999998</v>
      </c>
      <c r="BJ5">
        <f>'TEA Revised Non EYZ'!BJ5</f>
        <v>866.49409060000005</v>
      </c>
      <c r="BK5">
        <f>'TEA Revised Non EYZ'!BK5</f>
        <v>100</v>
      </c>
      <c r="BL5">
        <f>'TEA Revised Non EYZ'!BL5</f>
        <v>18.892482409907799</v>
      </c>
      <c r="BM5">
        <f>'TEA Revised Non EYZ'!BM5</f>
        <v>92.6825353019658</v>
      </c>
      <c r="BN5">
        <f>'TEA Revised Non EYZ'!BN5</f>
        <v>19.968905250902498</v>
      </c>
      <c r="BO5">
        <f>'TEA Revised Non EYZ'!BO5</f>
        <v>188.92482409907799</v>
      </c>
      <c r="BP5">
        <f>'TEA Revised Non EYZ'!BP5</f>
        <v>359.44029451624499</v>
      </c>
      <c r="BQ5">
        <f>'TEA Revised Non EYZ'!BQ5</f>
        <v>18.892482409907799</v>
      </c>
      <c r="BR5">
        <f>'TEA Revised Non EYZ'!BR5</f>
        <v>35.944029451624502</v>
      </c>
      <c r="BS5">
        <f>'eLLE Bals'!CF5</f>
        <v>11.335489445944679</v>
      </c>
      <c r="BT5">
        <f>'eLLE Bals'!CG5</f>
        <v>11.981343150541498</v>
      </c>
      <c r="BU5">
        <f>BM5</f>
        <v>92.6825353019658</v>
      </c>
      <c r="BV5">
        <f>BU5*(AM5*2+AN5*2+AO5*3)</f>
        <v>0.31562817380118002</v>
      </c>
      <c r="BW5">
        <f>BN5*BA5*(AP5*2+AQ5*2+AR5*3)</f>
        <v>0.30314242269608427</v>
      </c>
      <c r="BX5">
        <f>BV5/(2*V5*BL5+BV5)</f>
        <v>7.7092956452943243E-2</v>
      </c>
      <c r="BY5">
        <f>BU5*BX5</f>
        <v>7.145170657982824</v>
      </c>
      <c r="BZ5">
        <f>BW5/(2*BN5*BA5+BW5)</f>
        <v>7.0548713424757575E-2</v>
      </c>
      <c r="CA5">
        <f>2*BN5*BA5/0.04</f>
        <v>99.844526254512502</v>
      </c>
      <c r="CB5">
        <f>(BS5+BL5)*2</f>
        <v>60.455943711704961</v>
      </c>
      <c r="CC5">
        <f>(BU5+BL5)*2</f>
        <v>223.1500354237472</v>
      </c>
      <c r="CD5">
        <f>(BT5+BN5)*2</f>
        <v>63.900496802887993</v>
      </c>
      <c r="CE5">
        <f>(CA5+BN5)*2</f>
        <v>239.62686301082999</v>
      </c>
      <c r="CF5">
        <f>'TEA Revised Non EYZ'!CB5</f>
        <v>2493.8076781078298</v>
      </c>
      <c r="CG5">
        <f>'TEA Revised Non EYZ'!CC5</f>
        <v>4744.6118876144337</v>
      </c>
      <c r="CH5">
        <f>'TEA Revised Non EYZ'!CD5</f>
        <v>3012.9816471142385</v>
      </c>
      <c r="CI5">
        <f>'TEA Revised Non EYZ'!CE5</f>
        <v>36595.613182214707</v>
      </c>
      <c r="CJ5">
        <f>BL5*V5</f>
        <v>1.88924824099078</v>
      </c>
      <c r="CK5">
        <f>CJ5/2*1.2</f>
        <v>1.133548944594468</v>
      </c>
      <c r="CL5">
        <f>'eLLE Bals'!CB5*'Oxidant Feed Composition'!$N$20</f>
        <v>6.2974941366359366E-2</v>
      </c>
      <c r="CM5">
        <f>'eLLE Bals'!CB5*'Oxidant Feed Composition'!$N$21</f>
        <v>3.148747068317967</v>
      </c>
      <c r="CN5">
        <f>'eLLE Bals'!CB5*'Oxidant Feed Composition'!$N$22</f>
        <v>0.94462412049539002</v>
      </c>
      <c r="CO5">
        <f>CN5/CK5</f>
        <v>0.83333333333333337</v>
      </c>
      <c r="CP5">
        <f>CO5</f>
        <v>0.83333333333333337</v>
      </c>
      <c r="CQ5">
        <f>CL5/CO5</f>
        <v>7.5569929639631231E-2</v>
      </c>
      <c r="CR5">
        <f>CM5/CO5</f>
        <v>3.7784964819815601</v>
      </c>
      <c r="CS5">
        <f>BN5*BA5</f>
        <v>1.99689052509025</v>
      </c>
      <c r="CT5">
        <f>CS5/2*1.2</f>
        <v>1.1981343150541499</v>
      </c>
      <c r="CU5">
        <f>'eLLE Bals'!CC5*'Oxidant Feed Composition'!$N$20</f>
        <v>6.6563017503008359E-2</v>
      </c>
      <c r="CV5">
        <f>'eLLE Bals'!CC5*'Oxidant Feed Composition'!$N$21</f>
        <v>3.3281508751504165</v>
      </c>
      <c r="CW5">
        <f>'eLLE Bals'!CC5*'Oxidant Feed Composition'!$N$22</f>
        <v>0.998445262545125</v>
      </c>
      <c r="CX5">
        <f>CU5/CP5</f>
        <v>7.9875621003610023E-2</v>
      </c>
      <c r="CY5">
        <f>CV5/CP5</f>
        <v>3.9937810501804996</v>
      </c>
      <c r="CZ5">
        <f>CJ5</f>
        <v>1.88924824099078</v>
      </c>
      <c r="DA5">
        <f>'eLLE Bals'!BQ5</f>
        <v>3.7784964819815601</v>
      </c>
      <c r="DB5">
        <f>'eLLE Bals'!BU5</f>
        <v>18.838362292714045</v>
      </c>
      <c r="DC5">
        <f>CS5</f>
        <v>1.99689052509025</v>
      </c>
      <c r="DD5">
        <f>'eLLE Bals'!BX5</f>
        <v>3.9937810501805</v>
      </c>
      <c r="DE5">
        <f>'eLLE Bals'!CA5</f>
        <v>22.314458712044793</v>
      </c>
      <c r="DF5">
        <f>2*2*(CJ5*'Reagent cost'!$C$36*122.44/1000*1.5+CK5*'Oxidant Feed Composition'!$N$26+CQ5*'Reagent cost'!$C$34+CR5*'Reagent cost'!$C$35)</f>
        <v>192.25204960746129</v>
      </c>
      <c r="DG5">
        <f>2*2*(CS5*'Reagent cost'!$C$36*122.44/1000*1.5+CT5*'Oxidant Feed Composition'!$N$26+CX5*'Reagent cost'!$C$34+CY5*'Reagent cost'!$C$35)</f>
        <v>203.20585085684019</v>
      </c>
      <c r="DH5">
        <f>(AF5+3)*2*(CZ5*'Reagent cost'!$C$38+DA5*'Reagent cost'!$C$39+DB5*'Reagent cost'!$C$36*122.44/1000*1.5)</f>
        <v>5055.1297773021352</v>
      </c>
      <c r="DI5">
        <f>3*2*(DC5*'Reagent cost'!$C$38+DD5*'Reagent cost'!$C$39+DE5*'Reagent cost'!$C$36*122.44/1000*1.5)</f>
        <v>1789.929196043026</v>
      </c>
      <c r="DJ5">
        <f>7963.6*(CB5/1000)^0.6*1.7*('CAPEX+OPEX'!$G$116/'CAPEX+OPEX'!$G$115)</f>
        <v>2965.5437179814326</v>
      </c>
      <c r="DK5">
        <f>7963.6*(CC5/1000)^0.6*1.7*('CAPEX+OPEX'!$G$116/'CAPEX+OPEX'!$G$115)</f>
        <v>6492.3078360569407</v>
      </c>
      <c r="DL5">
        <f>7963.6*(CD5/1000)^0.6*1.7*('CAPEX+OPEX'!$G$116/'CAPEX+OPEX'!$G$115)</f>
        <v>3065.7975205909352</v>
      </c>
      <c r="DM5">
        <f>7963.6*(CE5/1000)^0.6*1.7*('CAPEX+OPEX'!$G$116/'CAPEX+OPEX'!$G$115)</f>
        <v>6775.8257550807739</v>
      </c>
      <c r="DN5">
        <f>'TEA Revised Non EYZ'!CM5</f>
        <v>39625.826528698344</v>
      </c>
      <c r="DO5">
        <f>'TEA Revised Non EYZ'!CN5</f>
        <v>4586243.4239371875</v>
      </c>
      <c r="DP5">
        <f>'TEA Revised Non EYZ'!CO5</f>
        <v>11794834.586807497</v>
      </c>
      <c r="DQ5">
        <f>'TEA Revised Non EYZ'!CP5</f>
        <v>2275209.1661185985</v>
      </c>
      <c r="DR5">
        <f>'TEA Revised Non EYZ'!CQ5</f>
        <v>14083914.336508472</v>
      </c>
      <c r="DS5">
        <f>'TEA Revised Non EYZ'!CR5</f>
        <v>1662824.8986326549</v>
      </c>
      <c r="DT5">
        <f>'TEA Revised Non EYZ'!CS5</f>
        <v>461850.0978118488</v>
      </c>
      <c r="DU5">
        <f>'TEA Revised Non EYZ'!CT5</f>
        <v>1187779.4098672394</v>
      </c>
      <c r="DV5">
        <f>'TEA Revised Non EYZ'!CU5</f>
        <v>229121.19544936769</v>
      </c>
      <c r="DW5">
        <f>'TEA Revised Non EYZ'!CV5</f>
        <v>1418297.4196136401</v>
      </c>
      <c r="DX5">
        <f>'TEA Revised Non EYZ'!CW5</f>
        <v>167452.04540804314</v>
      </c>
      <c r="DY5">
        <f>'TEA Revised Non EYZ'!CX5</f>
        <v>3464500.168150139</v>
      </c>
      <c r="DZ5">
        <f>'TEA Revised Non EYZ'!CY5</f>
        <v>662761.89210079471</v>
      </c>
      <c r="EA5">
        <f>'TEA Revised Non EYZ'!CZ5</f>
        <v>1704481.4601353123</v>
      </c>
      <c r="EB5">
        <f>'TEA Revised Non EYZ'!DA5</f>
        <v>328792.38899345568</v>
      </c>
      <c r="EC5">
        <f>'TEA Revised Non EYZ'!DB5</f>
        <v>2035278.2988209969</v>
      </c>
      <c r="ED5">
        <f>'TEA Revised Non EYZ'!DC5</f>
        <v>240296.22376738113</v>
      </c>
      <c r="EE5">
        <f>'TEA Revised Non EYZ'!DD5</f>
        <v>4971610.2638179408</v>
      </c>
      <c r="EF5">
        <v>0.7</v>
      </c>
      <c r="EG5">
        <v>100</v>
      </c>
      <c r="EH5">
        <f>96485*BL5*V5/EF5/EG5/60</f>
        <v>43.40098012666558</v>
      </c>
      <c r="EI5">
        <f>96485*BN5*BA5/EF5/EG5/60</f>
        <v>45.873805312698281</v>
      </c>
      <c r="EJ5">
        <f>EH5*('CAPEX+OPEX'!$O$25+'CAPEX+OPEX'!$O$26)</f>
        <v>1383276.0385970853</v>
      </c>
      <c r="EK5">
        <f>EI5*('CAPEX+OPEX'!$O$25+'CAPEX+OPEX'!$O$26)</f>
        <v>1462089.9229263195</v>
      </c>
      <c r="EL5">
        <f>EJ5*1.12/0.6*'CAPEX+OPEX'!$G$116/'CAPEX+OPEX'!$G$115</f>
        <v>3045497.132381544</v>
      </c>
      <c r="EM5">
        <f>EK5*1.12/0.6*'CAPEX+OPEX'!$G$116/'CAPEX+OPEX'!$G$115</f>
        <v>3219018.1448325147</v>
      </c>
      <c r="EN5">
        <f>EL5+EM5+DY5+EE5+1.15*(SUM(DF5:DM5)+SUM(CF5:CI5))</f>
        <v>14785020.766195497</v>
      </c>
      <c r="EO5">
        <f>EN5/15</f>
        <v>985668.05107969977</v>
      </c>
      <c r="EP5">
        <f>('eLLE Bals'!CB5+'eLLE Bals'!CC5)*'Oxidant Feed Composition'!$N$28*60*7200</f>
        <v>21603724.722572036</v>
      </c>
      <c r="EQ5" s="53">
        <f>('eLLE Bals'!BR5+'eLLE Bals'!BY5)*'Reagent cost'!$C$38*60*7200*1.5</f>
        <v>784246.07164034597</v>
      </c>
      <c r="ER5">
        <f>'TEA Revised Non EYZ'!DI5</f>
        <v>504921.59999999998</v>
      </c>
      <c r="ES5">
        <f>'TEA Revised Non EYZ'!DJ5</f>
        <v>72.384195657222634</v>
      </c>
      <c r="ET5">
        <f>'TEA Revised Non EYZ'!DK5</f>
        <v>792.17189658657901</v>
      </c>
      <c r="EU5">
        <f>1.2*SUM(EP5:ET5)</f>
        <v>27472508.340365551</v>
      </c>
      <c r="EV5">
        <f>'TEA Revised Non EYZ'!DM5</f>
        <v>0.70639694042110623</v>
      </c>
      <c r="EW5">
        <f>(BS5*CO5+BT5*CP5)/1000*('Oxidant Feed Composition'!$B$11*'Oxidant Feed Composition'!$O$20+'Oxidant Feed Composition'!$D$11*'Oxidant Feed Composition'!$O$21+'Oxidant Feed Composition'!$F$11*'Oxidant Feed Composition'!$O$27-'Oxidant Feed Composition'!$J$15*18.015)</f>
        <v>2.2692046408647024</v>
      </c>
      <c r="EX5">
        <f>(CZ5*BX5+DC5*BZ5)*368.34/1000</f>
        <v>0.10553890940266906</v>
      </c>
      <c r="EY5">
        <f>'TEA Revised Non EYZ'!DP5</f>
        <v>4.999938342565946E-2</v>
      </c>
      <c r="EZ5">
        <f>SUM(EV5:EX5)-EY5</f>
        <v>3.031141107262818</v>
      </c>
      <c r="FA5">
        <f>EZ5*0.33*60*7200</f>
        <v>432119.47625138739</v>
      </c>
      <c r="FB5">
        <f>'TEA Revised Non EYZ'!DS5</f>
        <v>1.2</v>
      </c>
      <c r="FC5">
        <v>0.5</v>
      </c>
      <c r="FD5">
        <f>'TEA Revised Non EYZ'!DT5</f>
        <v>1409.8567292374196</v>
      </c>
      <c r="FE5">
        <f>'TEA Revised Non EYZ'!DU5</f>
        <v>712.34852298928593</v>
      </c>
      <c r="FF5">
        <f>'TEA Revised Non EYZ'!DV5</f>
        <v>0.7</v>
      </c>
      <c r="FG5">
        <f>'TEA Revised Non EYZ'!DW5</f>
        <v>27520.276190787874</v>
      </c>
      <c r="FH5">
        <f>'TEA Revised Non EYZ'!DX5</f>
        <v>16610.439588917834</v>
      </c>
      <c r="FI5">
        <f>'TEA Revised Non EYZ'!DY5</f>
        <v>7032.645793695051</v>
      </c>
      <c r="FJ5">
        <f>'TEA Revised Non EYZ'!DZ5</f>
        <v>3725.3886787897172</v>
      </c>
      <c r="FK5">
        <f>'TEA Revised Non EYZ'!EA5</f>
        <v>3750.7444233040283</v>
      </c>
      <c r="FL5">
        <f>'TEA Revised Non EYZ'!EB5</f>
        <v>852.68134984279141</v>
      </c>
      <c r="FM5">
        <f>'TEA Revised Non EYZ'!EC5</f>
        <v>36107.467989398225</v>
      </c>
      <c r="FN5">
        <f>'TEA Revised Non EYZ'!ED5</f>
        <v>31128.724700193463</v>
      </c>
      <c r="FO5">
        <f>'TEA Revised Non EYZ'!EE5</f>
        <v>13179.500377098037</v>
      </c>
      <c r="FP5">
        <f>'TEA Revised Non EYZ'!EF5</f>
        <v>6985.2637307326804</v>
      </c>
      <c r="FQ5">
        <f>'TEA Revised Non EYZ'!EG5</f>
        <v>7029.0668677856211</v>
      </c>
      <c r="FR5">
        <f>'TEA Revised Non EYZ'!EH5</f>
        <v>430.82838670392022</v>
      </c>
      <c r="FS5">
        <f>'TEA Revised Non EYZ'!EI5</f>
        <v>154353.02807724921</v>
      </c>
      <c r="FT5">
        <f>EG5*EH5</f>
        <v>4340.0980126665581</v>
      </c>
      <c r="FU5">
        <f>EG5*EI5</f>
        <v>4587.3805312698278</v>
      </c>
      <c r="FV5">
        <f>FC5*(FT5+FU5)/(3.6*10^6)*3600*7200*0.07</f>
        <v>2249.7245930719696</v>
      </c>
      <c r="FW5">
        <f>('CAPEX+OPEX'!$C$39/7/100+0.03)*EL5</f>
        <v>156625.56680819369</v>
      </c>
      <c r="FX5">
        <f>('CAPEX+OPEX'!$C$39/7/100+0.03)*EM5</f>
        <v>165549.50459138647</v>
      </c>
      <c r="FY5">
        <f>SUM(FV5:FX5)</f>
        <v>324424.79599265213</v>
      </c>
      <c r="FZ5">
        <f>FY5+FA5+FS5+EU5</f>
        <v>28383405.64068684</v>
      </c>
      <c r="GA5">
        <f>FZ5+EO5</f>
        <v>29369073.691766538</v>
      </c>
      <c r="GB5">
        <f>GA5/(BK5*60*7200)</f>
        <v>0.67983966879089208</v>
      </c>
      <c r="GC5">
        <f>'TEA Revised Non EYZ'!EM5/'TEA Revised Non EYZ'!EK5*GA5</f>
        <v>2273.4108419382201</v>
      </c>
      <c r="GD5">
        <f>'TEA Revised Non EYZ'!EN5/'TEA Revised Non EYZ'!EK5*GA5</f>
        <v>4135.9524446467904</v>
      </c>
    </row>
    <row r="6" spans="1:186">
      <c r="A6">
        <f>'TEA Revised Non EYZ'!A6</f>
        <v>3</v>
      </c>
      <c r="B6">
        <f>'TEA Revised Non EYZ'!B6</f>
        <v>1.54143585092054E-3</v>
      </c>
      <c r="C6">
        <f>'TEA Revised Non EYZ'!C6</f>
        <v>1.54143585092054E-3</v>
      </c>
      <c r="D6">
        <f>'TEA Revised Non EYZ'!D6</f>
        <v>3.4254130020456501E-4</v>
      </c>
      <c r="E6">
        <f>'TEA Revised Non EYZ'!E6</f>
        <v>0</v>
      </c>
      <c r="F6">
        <f>'TEA Revised Non EYZ'!F6</f>
        <v>0</v>
      </c>
      <c r="G6">
        <f>'TEA Revised Non EYZ'!G6</f>
        <v>0</v>
      </c>
      <c r="H6">
        <f>'TEA Revised Non EYZ'!H6</f>
        <v>1.6300358850230801E-5</v>
      </c>
      <c r="I6">
        <f>'TEA Revised Non EYZ'!I6</f>
        <v>7.4474859607128495E-7</v>
      </c>
      <c r="J6">
        <f>'TEA Revised Non EYZ'!J6</f>
        <v>3.2385704147932398E-4</v>
      </c>
      <c r="K6">
        <f>'TEA Revised Non EYZ'!K6</f>
        <v>8.07271092797512E-2</v>
      </c>
      <c r="L6">
        <f>'TEA Revised Non EYZ'!L6</f>
        <v>8.15504849440159E-2</v>
      </c>
      <c r="M6">
        <f>'TEA Revised Non EYZ'!M6</f>
        <v>9.8897848995466706E-4</v>
      </c>
      <c r="N6">
        <f>'TEA Revised Non EYZ'!N6</f>
        <v>-9.8011876392689601E-17</v>
      </c>
      <c r="O6">
        <f>'TEA Revised Non EYZ'!O6</f>
        <v>1.94289029309402E-16</v>
      </c>
      <c r="P6">
        <f>'TEA Revised Non EYZ'!P6</f>
        <v>-4.3537493488870999E-18</v>
      </c>
      <c r="Q6">
        <f>'TEA Revised Non EYZ'!Q6</f>
        <v>0.18892482409907799</v>
      </c>
      <c r="R6">
        <f>'TEA Revised Non EYZ'!R6</f>
        <v>94.545399718491396</v>
      </c>
      <c r="S6">
        <f>'TEA Revised Non EYZ'!S6</f>
        <v>500</v>
      </c>
      <c r="T6">
        <f>'TEA Revised Non EYZ'!T6</f>
        <v>95</v>
      </c>
      <c r="U6">
        <f>'TEA Revised Non EYZ'!U6</f>
        <v>1</v>
      </c>
      <c r="V6">
        <f>'TEA Revised Non EYZ'!V6</f>
        <v>0.1</v>
      </c>
      <c r="W6">
        <f>'TEA Revised Non EYZ'!W6</f>
        <v>52.931106580020597</v>
      </c>
      <c r="X6" t="str">
        <f>'TEA Revised Non EYZ'!X6</f>
        <v>ddFc</v>
      </c>
      <c r="Y6">
        <f>'TEA Revised Non EYZ'!Y6</f>
        <v>1</v>
      </c>
      <c r="Z6">
        <f>'TEA Revised Non EYZ'!Z6</f>
        <v>0.28318429382522198</v>
      </c>
      <c r="AA6">
        <f>'TEA Revised Non EYZ'!AA6</f>
        <v>0.56945642916197003</v>
      </c>
      <c r="AB6">
        <f>'TEA Revised Non EYZ'!AB6</f>
        <v>3.7698628972227502E-3</v>
      </c>
      <c r="AC6">
        <f>'TEA Revised Non EYZ'!AC6</f>
        <v>1822.2107908876901</v>
      </c>
      <c r="AD6">
        <f>'TEA Revised Non EYZ'!AD6</f>
        <v>2662.6059073104898</v>
      </c>
      <c r="AE6">
        <f>'TEA Revised Non EYZ'!AE6</f>
        <v>2401.5030938442701</v>
      </c>
      <c r="AF6">
        <f>'TEA Revised Non EYZ'!AF6</f>
        <v>8</v>
      </c>
      <c r="AG6">
        <f>'TEA Revised Non EYZ'!AG6</f>
        <v>1.6455478770638001E-3</v>
      </c>
      <c r="AH6">
        <f>'TEA Revised Non EYZ'!AH6</f>
        <v>1.66233163271225E-3</v>
      </c>
      <c r="AI6">
        <f>'TEA Revised Non EYZ'!AI6</f>
        <v>2.0159416943409301E-5</v>
      </c>
      <c r="AJ6">
        <f>'TEA Revised Non EYZ'!AJ6</f>
        <v>0</v>
      </c>
      <c r="AK6">
        <f>'TEA Revised Non EYZ'!AK6</f>
        <v>0</v>
      </c>
      <c r="AL6">
        <f>'TEA Revised Non EYZ'!AL6</f>
        <v>0</v>
      </c>
      <c r="AM6">
        <f>'TEA Revised Non EYZ'!AM6</f>
        <v>1.60827767677345E-3</v>
      </c>
      <c r="AN6">
        <f>'TEA Revised Non EYZ'!AN6</f>
        <v>6.4620843878105105E-5</v>
      </c>
      <c r="AO6">
        <f>'TEA Revised Non EYZ'!AO6</f>
        <v>2.0025349636286901E-5</v>
      </c>
      <c r="AP6">
        <f>'TEA Revised Non EYZ'!AP6</f>
        <v>1.7322991543913E-3</v>
      </c>
      <c r="AQ6">
        <f>'TEA Revised Non EYZ'!AQ6</f>
        <v>7.4260750598247896E-2</v>
      </c>
      <c r="AR6">
        <f>'TEA Revised Non EYZ'!AR6</f>
        <v>6.23137737256415E-6</v>
      </c>
      <c r="AS6">
        <f>'TEA Revised Non EYZ'!AS6</f>
        <v>8.2236734783025499E-17</v>
      </c>
      <c r="AT6">
        <f>'TEA Revised Non EYZ'!AT6</f>
        <v>-2.2797735921287199E-14</v>
      </c>
      <c r="AU6">
        <f>'TEA Revised Non EYZ'!AU6</f>
        <v>-1.82906177047725E-20</v>
      </c>
      <c r="AV6">
        <f>'TEA Revised Non EYZ'!AV6</f>
        <v>0.19940531895758401</v>
      </c>
      <c r="AW6">
        <f>'TEA Revised Non EYZ'!AW6</f>
        <v>99.334964361822799</v>
      </c>
      <c r="AX6">
        <f>'TEA Revised Non EYZ'!AX6</f>
        <v>500</v>
      </c>
      <c r="AY6">
        <f>'TEA Revised Non EYZ'!AY6</f>
        <v>95</v>
      </c>
      <c r="AZ6">
        <f>'TEA Revised Non EYZ'!AZ6</f>
        <v>0.92682535301965796</v>
      </c>
      <c r="BA6">
        <f>'TEA Revised Non EYZ'!BA6</f>
        <v>0.1</v>
      </c>
      <c r="BB6">
        <f>'TEA Revised Non EYZ'!BB6</f>
        <v>46.479469949184399</v>
      </c>
      <c r="BC6" t="str">
        <f>'TEA Revised Non EYZ'!BC6</f>
        <v>coeFc</v>
      </c>
      <c r="BD6">
        <f>'TEA Revised Non EYZ'!BD6</f>
        <v>1</v>
      </c>
      <c r="BE6">
        <f>'TEA Revised Non EYZ'!BE6</f>
        <v>1.8775014999999999E-2</v>
      </c>
      <c r="BF6">
        <f>'TEA Revised Non EYZ'!BF6</f>
        <v>0.10492961100000001</v>
      </c>
      <c r="BG6">
        <f>'TEA Revised Non EYZ'!BG6</f>
        <v>1.814625E-3</v>
      </c>
      <c r="BH6">
        <f>'TEA Revised Non EYZ'!BH6</f>
        <v>285.1951444</v>
      </c>
      <c r="BI6">
        <f>'TEA Revised Non EYZ'!BI6</f>
        <v>2169.8944889999998</v>
      </c>
      <c r="BJ6">
        <f>'TEA Revised Non EYZ'!BJ6</f>
        <v>866.49409060000005</v>
      </c>
      <c r="BK6">
        <f>'TEA Revised Non EYZ'!BK6</f>
        <v>100</v>
      </c>
      <c r="BL6">
        <f>'TEA Revised Non EYZ'!BL6</f>
        <v>18.892482409907799</v>
      </c>
      <c r="BM6">
        <f>'TEA Revised Non EYZ'!BM6</f>
        <v>92.6825353019658</v>
      </c>
      <c r="BN6">
        <f>'TEA Revised Non EYZ'!BN6</f>
        <v>19.940531895758401</v>
      </c>
      <c r="BO6">
        <f>'TEA Revised Non EYZ'!BO6</f>
        <v>188.92482409907799</v>
      </c>
      <c r="BP6">
        <f>'TEA Revised Non EYZ'!BP6</f>
        <v>398.810637915168</v>
      </c>
      <c r="BQ6">
        <f>'TEA Revised Non EYZ'!BQ6</f>
        <v>18.892482409907799</v>
      </c>
      <c r="BR6">
        <f>'TEA Revised Non EYZ'!BR6</f>
        <v>39.881063791516802</v>
      </c>
      <c r="BS6">
        <f>'eLLE Bals'!CF6</f>
        <v>11.335489445944679</v>
      </c>
      <c r="BT6">
        <f>'eLLE Bals'!CG6</f>
        <v>11.964319137455041</v>
      </c>
      <c r="BU6">
        <f>BM6</f>
        <v>92.6825353019658</v>
      </c>
      <c r="BV6">
        <f>BU6*(AM6*2+AN6*2+AO6*3)</f>
        <v>0.31566495291758628</v>
      </c>
      <c r="BW6">
        <f>BN6*BA6*(AP6*2+AQ6*2+AR6*3)</f>
        <v>0.30310564358346703</v>
      </c>
      <c r="BX6">
        <f>BV6/(2*V6*BL6+BV6)</f>
        <v>7.7101247211899981E-2</v>
      </c>
      <c r="BY6">
        <f>BU6*BX6</f>
        <v>7.1459390665425122</v>
      </c>
      <c r="BZ6">
        <f>BW6/(2*BN6*BA6+BW6)</f>
        <v>7.0634040447685106E-2</v>
      </c>
      <c r="CA6">
        <f>2*BN6*BA6/0.04</f>
        <v>99.702659478792015</v>
      </c>
      <c r="CB6">
        <f>(BS6+BL6)*2</f>
        <v>60.455943711704961</v>
      </c>
      <c r="CC6">
        <f>(BU6+BL6)*2</f>
        <v>223.1500354237472</v>
      </c>
      <c r="CD6">
        <f>(BT6+BN6)*2</f>
        <v>63.80970206642688</v>
      </c>
      <c r="CE6">
        <f>(CA6+BN6)*2</f>
        <v>239.28638274910082</v>
      </c>
      <c r="CF6">
        <f>'TEA Revised Non EYZ'!CB6</f>
        <v>2493.8076781078298</v>
      </c>
      <c r="CG6">
        <f>'TEA Revised Non EYZ'!CC6</f>
        <v>5264.3004204802173</v>
      </c>
      <c r="CH6">
        <f>'TEA Revised Non EYZ'!CD6</f>
        <v>3012.9816471142385</v>
      </c>
      <c r="CI6">
        <f>'TEA Revised Non EYZ'!CE6</f>
        <v>40604.017025242465</v>
      </c>
      <c r="CJ6">
        <f>BL6*V6</f>
        <v>1.88924824099078</v>
      </c>
      <c r="CK6">
        <f>CJ6/2*1.2</f>
        <v>1.133548944594468</v>
      </c>
      <c r="CL6">
        <f>'eLLE Bals'!CB6*'Oxidant Feed Composition'!$N$20</f>
        <v>6.2974941366359366E-2</v>
      </c>
      <c r="CM6">
        <f>'eLLE Bals'!CB6*'Oxidant Feed Composition'!$N$21</f>
        <v>3.148747068317967</v>
      </c>
      <c r="CN6">
        <f>'eLLE Bals'!CB6*'Oxidant Feed Composition'!$N$22</f>
        <v>0.94462412049539002</v>
      </c>
      <c r="CO6">
        <f>CN6/CK6</f>
        <v>0.83333333333333337</v>
      </c>
      <c r="CP6">
        <f>CO6</f>
        <v>0.83333333333333337</v>
      </c>
      <c r="CQ6">
        <f>CL6/CO6</f>
        <v>7.5569929639631231E-2</v>
      </c>
      <c r="CR6">
        <f>CM6/CO6</f>
        <v>3.7784964819815601</v>
      </c>
      <c r="CS6">
        <f>BN6*BA6</f>
        <v>1.9940531895758402</v>
      </c>
      <c r="CT6">
        <f>CS6/2*1.2</f>
        <v>1.1964319137455042</v>
      </c>
      <c r="CU6">
        <f>'eLLE Bals'!CC6*'Oxidant Feed Composition'!$N$20</f>
        <v>6.6468439652528036E-2</v>
      </c>
      <c r="CV6">
        <f>'eLLE Bals'!CC6*'Oxidant Feed Composition'!$N$21</f>
        <v>3.3234219826264004</v>
      </c>
      <c r="CW6">
        <f>'eLLE Bals'!CC6*'Oxidant Feed Composition'!$N$22</f>
        <v>0.99702659478792011</v>
      </c>
      <c r="CX6">
        <f>CU6/CP6</f>
        <v>7.9762127583033637E-2</v>
      </c>
      <c r="CY6">
        <f>CV6/CP6</f>
        <v>3.9881063791516804</v>
      </c>
      <c r="CZ6">
        <f>CJ6</f>
        <v>1.88924824099078</v>
      </c>
      <c r="DA6">
        <f>'eLLE Bals'!BQ6</f>
        <v>3.7784964819815601</v>
      </c>
      <c r="DB6">
        <f>'eLLE Bals'!BU6</f>
        <v>18.835727131415286</v>
      </c>
      <c r="DC6">
        <f>CS6</f>
        <v>1.9940531895758402</v>
      </c>
      <c r="DD6">
        <f>'eLLE Bals'!BX6</f>
        <v>3.9881063791516804</v>
      </c>
      <c r="DE6">
        <f>'eLLE Bals'!CA6</f>
        <v>22.248608159372779</v>
      </c>
      <c r="DF6">
        <f>2*2*(CJ6*'Reagent cost'!$C$36*122.44/1000*1.5+CK6*'Oxidant Feed Composition'!$N$26+CQ6*'Reagent cost'!$C$34+CR6*'Reagent cost'!$C$35)</f>
        <v>192.25204960746129</v>
      </c>
      <c r="DG6">
        <f>2*2*(CS6*'Reagent cost'!$C$36*122.44/1000*1.5+CT6*'Oxidant Feed Composition'!$N$26+CX6*'Reagent cost'!$C$34+CY6*'Reagent cost'!$C$35)</f>
        <v>202.91712036804896</v>
      </c>
      <c r="DH6">
        <f>(AF6+3)*2*(CZ6*'Reagent cost'!$C$38+DA6*'Reagent cost'!$C$39+DB6*'Reagent cost'!$C$36*122.44/1000*1.5)</f>
        <v>5559.8908340955913</v>
      </c>
      <c r="DI6">
        <f>3*2*(DC6*'Reagent cost'!$C$38+DD6*'Reagent cost'!$C$39+DE6*'Reagent cost'!$C$36*122.44/1000*1.5)</f>
        <v>1784.7287914307653</v>
      </c>
      <c r="DJ6">
        <f>7963.6*(CB6/1000)^0.6*1.7*('CAPEX+OPEX'!$G$116/'CAPEX+OPEX'!$G$115)</f>
        <v>2965.5437179814326</v>
      </c>
      <c r="DK6">
        <f>7963.6*(CC6/1000)^0.6*1.7*('CAPEX+OPEX'!$G$116/'CAPEX+OPEX'!$G$115)</f>
        <v>6492.3078360569407</v>
      </c>
      <c r="DL6">
        <f>7963.6*(CD6/1000)^0.6*1.7*('CAPEX+OPEX'!$G$116/'CAPEX+OPEX'!$G$115)</f>
        <v>3063.1831049267225</v>
      </c>
      <c r="DM6">
        <f>7963.6*(CE6/1000)^0.6*1.7*('CAPEX+OPEX'!$G$116/'CAPEX+OPEX'!$G$115)</f>
        <v>6770.047544069419</v>
      </c>
      <c r="DN6">
        <f>'TEA Revised Non EYZ'!CM6</f>
        <v>39625.826528698344</v>
      </c>
      <c r="DO6">
        <f>'TEA Revised Non EYZ'!CN6</f>
        <v>4586243.4239371875</v>
      </c>
      <c r="DP6">
        <f>'TEA Revised Non EYZ'!CO6</f>
        <v>11794834.586807497</v>
      </c>
      <c r="DQ6">
        <f>'TEA Revised Non EYZ'!CP6</f>
        <v>2275209.1661185985</v>
      </c>
      <c r="DR6">
        <f>'TEA Revised Non EYZ'!CQ6</f>
        <v>14083914.336508472</v>
      </c>
      <c r="DS6">
        <f>'TEA Revised Non EYZ'!CR6</f>
        <v>1662824.8986326549</v>
      </c>
      <c r="DT6">
        <f>'TEA Revised Non EYZ'!CS6</f>
        <v>461850.0978118488</v>
      </c>
      <c r="DU6">
        <f>'TEA Revised Non EYZ'!CT6</f>
        <v>1187779.4098672394</v>
      </c>
      <c r="DV6">
        <f>'TEA Revised Non EYZ'!CU6</f>
        <v>229121.19544936769</v>
      </c>
      <c r="DW6">
        <f>'TEA Revised Non EYZ'!CV6</f>
        <v>1418297.4196136401</v>
      </c>
      <c r="DX6">
        <f>'TEA Revised Non EYZ'!CW6</f>
        <v>167452.04540804314</v>
      </c>
      <c r="DY6">
        <f>'TEA Revised Non EYZ'!CX6</f>
        <v>3464500.168150139</v>
      </c>
      <c r="DZ6">
        <f>'TEA Revised Non EYZ'!CY6</f>
        <v>711293.83179829107</v>
      </c>
      <c r="EA6">
        <f>'TEA Revised Non EYZ'!CZ6</f>
        <v>1829295.2015780793</v>
      </c>
      <c r="EB6">
        <f>'TEA Revised Non EYZ'!DA6</f>
        <v>352868.80706427526</v>
      </c>
      <c r="EC6">
        <f>'TEA Revised Non EYZ'!DB6</f>
        <v>2184315.2377930121</v>
      </c>
      <c r="ED6">
        <f>'TEA Revised Non EYZ'!DC6</f>
        <v>257892.34988810416</v>
      </c>
      <c r="EE6">
        <f>'TEA Revised Non EYZ'!DD6</f>
        <v>5335665.4281217614</v>
      </c>
      <c r="EF6">
        <v>0.7</v>
      </c>
      <c r="EG6">
        <v>100</v>
      </c>
      <c r="EH6">
        <f>96485*BL6*V6/EF6/EG6/60</f>
        <v>43.40098012666558</v>
      </c>
      <c r="EI6">
        <f>96485*BN6*BA6/EF6/EG6/60</f>
        <v>45.808624284815465</v>
      </c>
      <c r="EJ6">
        <f>EH6*('CAPEX+OPEX'!$O$25+'CAPEX+OPEX'!$O$26)</f>
        <v>1383276.0385970853</v>
      </c>
      <c r="EK6">
        <f>EI6*('CAPEX+OPEX'!$O$25+'CAPEX+OPEX'!$O$26)</f>
        <v>1460012.4732056386</v>
      </c>
      <c r="EL6">
        <f>EJ6*1.12/0.6*'CAPEX+OPEX'!$G$116/'CAPEX+OPEX'!$G$115</f>
        <v>3045497.132381544</v>
      </c>
      <c r="EM6">
        <f>EK6*1.12/0.6*'CAPEX+OPEX'!$G$116/'CAPEX+OPEX'!$G$115</f>
        <v>3214444.3164783292</v>
      </c>
      <c r="EN6">
        <f>EL6+EM6+DY6+EE6+1.15*(SUM(DF6:DM6)+SUM(CF6:CI6))</f>
        <v>15150273.919566676</v>
      </c>
      <c r="EO6">
        <f>EN6/15</f>
        <v>1010018.2613044451</v>
      </c>
      <c r="EP6">
        <f>('eLLE Bals'!CB6+'eLLE Bals'!CC6)*'Oxidant Feed Composition'!$N$28*60*7200</f>
        <v>21587951.478463028</v>
      </c>
      <c r="EQ6" s="53">
        <f>('eLLE Bals'!BR6+'eLLE Bals'!BY6)*'Reagent cost'!$C$38*60*7200*1.5</f>
        <v>784206.76584715396</v>
      </c>
      <c r="ER6">
        <f>'TEA Revised Non EYZ'!DI6</f>
        <v>504921.59999999998</v>
      </c>
      <c r="ES6">
        <f>'TEA Revised Non EYZ'!DJ6</f>
        <v>77.581080985880476</v>
      </c>
      <c r="ET6">
        <f>'TEA Revised Non EYZ'!DK6</f>
        <v>872.33997344713407</v>
      </c>
      <c r="EU6">
        <f>1.2*SUM(EP6:ET6)</f>
        <v>27453635.718437534</v>
      </c>
      <c r="EV6">
        <f>'TEA Revised Non EYZ'!DM6</f>
        <v>0.70639694042110623</v>
      </c>
      <c r="EW6">
        <f>(BS6*CO6+BT6*CP6)/1000*('Oxidant Feed Composition'!$B$11*'Oxidant Feed Composition'!$O$20+'Oxidant Feed Composition'!$D$11*'Oxidant Feed Composition'!$O$21+'Oxidant Feed Composition'!$F$11*'Oxidant Feed Composition'!$O$27-'Oxidant Feed Composition'!$J$15*18.015)</f>
        <v>2.2675478562503226</v>
      </c>
      <c r="EX6">
        <f>(CZ6*BX6+DC6*BZ6)*368.34/1000</f>
        <v>0.10553361987595447</v>
      </c>
      <c r="EY6">
        <f>'TEA Revised Non EYZ'!DP6</f>
        <v>4.999938342565946E-2</v>
      </c>
      <c r="EZ6">
        <f>SUM(EV6:EX6)-EY6</f>
        <v>3.0294790331217238</v>
      </c>
      <c r="FA6">
        <f>EZ6*0.33*60*7200</f>
        <v>431882.53096183302</v>
      </c>
      <c r="FB6">
        <f>'TEA Revised Non EYZ'!DS6</f>
        <v>1.2</v>
      </c>
      <c r="FC6">
        <v>0.5</v>
      </c>
      <c r="FD6">
        <f>'TEA Revised Non EYZ'!DT6</f>
        <v>1410.0213558902396</v>
      </c>
      <c r="FE6">
        <f>'TEA Revised Non EYZ'!DU6</f>
        <v>712.18389634512152</v>
      </c>
      <c r="FF6">
        <f>'TEA Revised Non EYZ'!DV6</f>
        <v>0.7</v>
      </c>
      <c r="FG6">
        <f>'TEA Revised Non EYZ'!DW6</f>
        <v>27520.276190787874</v>
      </c>
      <c r="FH6">
        <f>'TEA Revised Non EYZ'!DX6</f>
        <v>16610.439588917834</v>
      </c>
      <c r="FI6">
        <f>'TEA Revised Non EYZ'!DY6</f>
        <v>7032.645793695051</v>
      </c>
      <c r="FJ6">
        <f>'TEA Revised Non EYZ'!DZ6</f>
        <v>3725.3886787897172</v>
      </c>
      <c r="FK6">
        <f>'TEA Revised Non EYZ'!EA6</f>
        <v>3750.7444233040283</v>
      </c>
      <c r="FL6">
        <f>'TEA Revised Non EYZ'!EB6</f>
        <v>852.78091604241706</v>
      </c>
      <c r="FM6">
        <f>'TEA Revised Non EYZ'!EC6</f>
        <v>38686.572845783812</v>
      </c>
      <c r="FN6">
        <f>'TEA Revised Non EYZ'!ED6</f>
        <v>35019.81528771764</v>
      </c>
      <c r="FO6">
        <f>'TEA Revised Non EYZ'!EE6</f>
        <v>14826.93792423529</v>
      </c>
      <c r="FP6">
        <f>'TEA Revised Non EYZ'!EF6</f>
        <v>7858.4216970742636</v>
      </c>
      <c r="FQ6">
        <f>'TEA Revised Non EYZ'!EG6</f>
        <v>7907.700226258823</v>
      </c>
      <c r="FR6">
        <f>'TEA Revised Non EYZ'!EH6</f>
        <v>430.72882050952956</v>
      </c>
      <c r="FS6">
        <f>'TEA Revised Non EYZ'!EI6</f>
        <v>164222.45239311631</v>
      </c>
      <c r="FT6">
        <f>EG6*EH6</f>
        <v>4340.0980126665581</v>
      </c>
      <c r="FU6">
        <f>EG6*EI6</f>
        <v>4580.8624284815469</v>
      </c>
      <c r="FV6">
        <f>FC6*(FT6+FU6)/(3.6*10^6)*3600*7200*0.07</f>
        <v>2248.0820311693228</v>
      </c>
      <c r="FW6">
        <f>('CAPEX+OPEX'!$C$39/7/100+0.03)*EL6</f>
        <v>156625.56680819369</v>
      </c>
      <c r="FX6">
        <f>('CAPEX+OPEX'!$C$39/7/100+0.03)*EM6</f>
        <v>165314.27913317122</v>
      </c>
      <c r="FY6">
        <f>SUM(FV6:FX6)</f>
        <v>324187.92797253421</v>
      </c>
      <c r="FZ6">
        <f>FY6+FA6+FS6+EU6</f>
        <v>28373928.629765019</v>
      </c>
      <c r="GA6">
        <f>FZ6+EO6</f>
        <v>29383946.891069464</v>
      </c>
      <c r="GB6">
        <f>GA6/(BK6*60*7200)</f>
        <v>0.68018395581179314</v>
      </c>
      <c r="GC6">
        <f>'TEA Revised Non EYZ'!EM6/'TEA Revised Non EYZ'!EK6*GA6</f>
        <v>2274.2959618050413</v>
      </c>
      <c r="GD6">
        <f>'TEA Revised Non EYZ'!EN6/'TEA Revised Non EYZ'!EK6*GA6</f>
        <v>4138.9283014082375</v>
      </c>
    </row>
    <row r="7" spans="1:186">
      <c r="A7">
        <f>'TEA Revised Non EYZ'!A7</f>
        <v>3</v>
      </c>
      <c r="B7">
        <f>'TEA Revised Non EYZ'!B7</f>
        <v>1.54143585092054E-3</v>
      </c>
      <c r="C7">
        <f>'TEA Revised Non EYZ'!C7</f>
        <v>1.54143585092054E-3</v>
      </c>
      <c r="D7">
        <f>'TEA Revised Non EYZ'!D7</f>
        <v>3.4254130020456501E-4</v>
      </c>
      <c r="E7">
        <f>'TEA Revised Non EYZ'!E7</f>
        <v>0</v>
      </c>
      <c r="F7">
        <f>'TEA Revised Non EYZ'!F7</f>
        <v>0</v>
      </c>
      <c r="G7">
        <f>'TEA Revised Non EYZ'!G7</f>
        <v>0</v>
      </c>
      <c r="H7">
        <f>'TEA Revised Non EYZ'!H7</f>
        <v>1.6300358850230801E-5</v>
      </c>
      <c r="I7">
        <f>'TEA Revised Non EYZ'!I7</f>
        <v>7.4474859607128495E-7</v>
      </c>
      <c r="J7">
        <f>'TEA Revised Non EYZ'!J7</f>
        <v>3.2385704147932398E-4</v>
      </c>
      <c r="K7">
        <f>'TEA Revised Non EYZ'!K7</f>
        <v>8.07271092797512E-2</v>
      </c>
      <c r="L7">
        <f>'TEA Revised Non EYZ'!L7</f>
        <v>8.15504849440159E-2</v>
      </c>
      <c r="M7">
        <f>'TEA Revised Non EYZ'!M7</f>
        <v>9.8897848995466706E-4</v>
      </c>
      <c r="N7">
        <f>'TEA Revised Non EYZ'!N7</f>
        <v>-9.8011876392689601E-17</v>
      </c>
      <c r="O7">
        <f>'TEA Revised Non EYZ'!O7</f>
        <v>1.94289029309402E-16</v>
      </c>
      <c r="P7">
        <f>'TEA Revised Non EYZ'!P7</f>
        <v>-4.3537493488870999E-18</v>
      </c>
      <c r="Q7">
        <f>'TEA Revised Non EYZ'!Q7</f>
        <v>0.18892482409907799</v>
      </c>
      <c r="R7">
        <f>'TEA Revised Non EYZ'!R7</f>
        <v>94.545399718491396</v>
      </c>
      <c r="S7">
        <f>'TEA Revised Non EYZ'!S7</f>
        <v>500</v>
      </c>
      <c r="T7">
        <f>'TEA Revised Non EYZ'!T7</f>
        <v>95</v>
      </c>
      <c r="U7">
        <f>'TEA Revised Non EYZ'!U7</f>
        <v>1</v>
      </c>
      <c r="V7">
        <f>'TEA Revised Non EYZ'!V7</f>
        <v>0.1</v>
      </c>
      <c r="W7">
        <f>'TEA Revised Non EYZ'!W7</f>
        <v>52.931106580020597</v>
      </c>
      <c r="X7" t="str">
        <f>'TEA Revised Non EYZ'!X7</f>
        <v>ddFc</v>
      </c>
      <c r="Y7">
        <f>'TEA Revised Non EYZ'!Y7</f>
        <v>1</v>
      </c>
      <c r="Z7">
        <f>'TEA Revised Non EYZ'!Z7</f>
        <v>0.28318429382522198</v>
      </c>
      <c r="AA7">
        <f>'TEA Revised Non EYZ'!AA7</f>
        <v>0.56945642916197003</v>
      </c>
      <c r="AB7">
        <f>'TEA Revised Non EYZ'!AB7</f>
        <v>3.7698628972227502E-3</v>
      </c>
      <c r="AC7">
        <f>'TEA Revised Non EYZ'!AC7</f>
        <v>1822.2107908876901</v>
      </c>
      <c r="AD7">
        <f>'TEA Revised Non EYZ'!AD7</f>
        <v>2662.6059073104898</v>
      </c>
      <c r="AE7">
        <f>'TEA Revised Non EYZ'!AE7</f>
        <v>2401.5030938442701</v>
      </c>
      <c r="AF7">
        <f>'TEA Revised Non EYZ'!AF7</f>
        <v>9</v>
      </c>
      <c r="AG7">
        <f>'TEA Revised Non EYZ'!AG7</f>
        <v>1.6455478770638001E-3</v>
      </c>
      <c r="AH7">
        <f>'TEA Revised Non EYZ'!AH7</f>
        <v>1.66233163271225E-3</v>
      </c>
      <c r="AI7">
        <f>'TEA Revised Non EYZ'!AI7</f>
        <v>2.0159416943409301E-5</v>
      </c>
      <c r="AJ7">
        <f>'TEA Revised Non EYZ'!AJ7</f>
        <v>0</v>
      </c>
      <c r="AK7">
        <f>'TEA Revised Non EYZ'!AK7</f>
        <v>0</v>
      </c>
      <c r="AL7">
        <f>'TEA Revised Non EYZ'!AL7</f>
        <v>0</v>
      </c>
      <c r="AM7">
        <f>'TEA Revised Non EYZ'!AM7</f>
        <v>1.6083318712016E-3</v>
      </c>
      <c r="AN7">
        <f>'TEA Revised Non EYZ'!AN7</f>
        <v>6.46235091896047E-5</v>
      </c>
      <c r="AO7">
        <f>'TEA Revised Non EYZ'!AO7</f>
        <v>2.0025536590245201E-5</v>
      </c>
      <c r="AP7">
        <f>'TEA Revised Non EYZ'!AP7</f>
        <v>1.7304893324093099E-3</v>
      </c>
      <c r="AQ7">
        <f>'TEA Revised Non EYZ'!AQ7</f>
        <v>7.4291069145050903E-2</v>
      </c>
      <c r="AR7">
        <f>'TEA Revised Non EYZ'!AR7</f>
        <v>6.2252387814425299E-6</v>
      </c>
      <c r="AS7">
        <f>'TEA Revised Non EYZ'!AS7</f>
        <v>2.10275590342701E-15</v>
      </c>
      <c r="AT7">
        <f>'TEA Revised Non EYZ'!AT7</f>
        <v>-3.1233609448788598E-13</v>
      </c>
      <c r="AU7">
        <f>'TEA Revised Non EYZ'!AU7</f>
        <v>8.7085574889582693E-21</v>
      </c>
      <c r="AV7">
        <f>'TEA Revised Non EYZ'!AV7</f>
        <v>0.19932360820213499</v>
      </c>
      <c r="AW7">
        <f>'TEA Revised Non EYZ'!AW7</f>
        <v>99.335891739627598</v>
      </c>
      <c r="AX7">
        <f>'TEA Revised Non EYZ'!AX7</f>
        <v>500</v>
      </c>
      <c r="AY7">
        <f>'TEA Revised Non EYZ'!AY7</f>
        <v>95</v>
      </c>
      <c r="AZ7">
        <f>'TEA Revised Non EYZ'!AZ7</f>
        <v>0.92682535301965796</v>
      </c>
      <c r="BA7">
        <f>'TEA Revised Non EYZ'!BA7</f>
        <v>0.1</v>
      </c>
      <c r="BB7">
        <f>'TEA Revised Non EYZ'!BB7</f>
        <v>46.498523751374002</v>
      </c>
      <c r="BC7" t="str">
        <f>'TEA Revised Non EYZ'!BC7</f>
        <v>coeFc</v>
      </c>
      <c r="BD7">
        <f>'TEA Revised Non EYZ'!BD7</f>
        <v>1</v>
      </c>
      <c r="BE7">
        <f>'TEA Revised Non EYZ'!BE7</f>
        <v>1.8775014999999999E-2</v>
      </c>
      <c r="BF7">
        <f>'TEA Revised Non EYZ'!BF7</f>
        <v>0.10492961100000001</v>
      </c>
      <c r="BG7">
        <f>'TEA Revised Non EYZ'!BG7</f>
        <v>1.814625E-3</v>
      </c>
      <c r="BH7">
        <f>'TEA Revised Non EYZ'!BH7</f>
        <v>285.1951444</v>
      </c>
      <c r="BI7">
        <f>'TEA Revised Non EYZ'!BI7</f>
        <v>2169.8944889999998</v>
      </c>
      <c r="BJ7">
        <f>'TEA Revised Non EYZ'!BJ7</f>
        <v>866.49409060000005</v>
      </c>
      <c r="BK7">
        <f>'TEA Revised Non EYZ'!BK7</f>
        <v>100</v>
      </c>
      <c r="BL7">
        <f>'TEA Revised Non EYZ'!BL7</f>
        <v>18.892482409907799</v>
      </c>
      <c r="BM7">
        <f>'TEA Revised Non EYZ'!BM7</f>
        <v>92.6825353019658</v>
      </c>
      <c r="BN7">
        <f>'TEA Revised Non EYZ'!BN7</f>
        <v>19.9323608202135</v>
      </c>
      <c r="BO7">
        <f>'TEA Revised Non EYZ'!BO7</f>
        <v>188.92482409907799</v>
      </c>
      <c r="BP7">
        <f>'TEA Revised Non EYZ'!BP7</f>
        <v>438.51193804469699</v>
      </c>
      <c r="BQ7">
        <f>'TEA Revised Non EYZ'!BQ7</f>
        <v>18.892482409907799</v>
      </c>
      <c r="BR7">
        <f>'TEA Revised Non EYZ'!BR7</f>
        <v>43.851193804469702</v>
      </c>
      <c r="BS7">
        <f>'eLLE Bals'!CF7</f>
        <v>11.335489445944679</v>
      </c>
      <c r="BT7">
        <f>'eLLE Bals'!CG7</f>
        <v>11.959416492128099</v>
      </c>
      <c r="BU7">
        <f>BM7</f>
        <v>92.6825353019658</v>
      </c>
      <c r="BV7">
        <f>BU7*(AM7*2+AN7*2+AO7*3)</f>
        <v>0.31567554470934156</v>
      </c>
      <c r="BW7">
        <f>BN7*BA7*(AP7*2+AQ7*2+AR7*3)</f>
        <v>0.30309505184921465</v>
      </c>
      <c r="BX7">
        <f>BV7/(2*V7*BL7+BV7)</f>
        <v>7.7103634789006434E-2</v>
      </c>
      <c r="BY7">
        <f>BU7*BX7</f>
        <v>7.1461603532419673</v>
      </c>
      <c r="BZ7">
        <f>BW7/(2*BN7*BA7+BW7)</f>
        <v>7.0658655429459954E-2</v>
      </c>
      <c r="CA7">
        <f>2*BN7*BA7/0.04</f>
        <v>99.661804101067503</v>
      </c>
      <c r="CB7">
        <f>(BS7+BL7)*2</f>
        <v>60.455943711704961</v>
      </c>
      <c r="CC7">
        <f>(BU7+BL7)*2</f>
        <v>223.1500354237472</v>
      </c>
      <c r="CD7">
        <f>(BT7+BN7)*2</f>
        <v>63.783554624683198</v>
      </c>
      <c r="CE7">
        <f>(CA7+BN7)*2</f>
        <v>239.18832984256201</v>
      </c>
      <c r="CF7">
        <f>'TEA Revised Non EYZ'!CB7</f>
        <v>2493.8076781078298</v>
      </c>
      <c r="CG7">
        <f>'TEA Revised Non EYZ'!CC7</f>
        <v>5788.3575821900004</v>
      </c>
      <c r="CH7">
        <f>'TEA Revised Non EYZ'!CD7</f>
        <v>3012.9816471142385</v>
      </c>
      <c r="CI7">
        <f>'TEA Revised Non EYZ'!CE7</f>
        <v>44646.116490820306</v>
      </c>
      <c r="CJ7">
        <f>BL7*V7</f>
        <v>1.88924824099078</v>
      </c>
      <c r="CK7">
        <f>CJ7/2*1.2</f>
        <v>1.133548944594468</v>
      </c>
      <c r="CL7">
        <f>'eLLE Bals'!CB7*'Oxidant Feed Composition'!$N$20</f>
        <v>6.2974941366359366E-2</v>
      </c>
      <c r="CM7">
        <f>'eLLE Bals'!CB7*'Oxidant Feed Composition'!$N$21</f>
        <v>3.148747068317967</v>
      </c>
      <c r="CN7">
        <f>'eLLE Bals'!CB7*'Oxidant Feed Composition'!$N$22</f>
        <v>0.94462412049539002</v>
      </c>
      <c r="CO7">
        <f>CN7/CK7</f>
        <v>0.83333333333333337</v>
      </c>
      <c r="CP7">
        <f>CO7</f>
        <v>0.83333333333333337</v>
      </c>
      <c r="CQ7">
        <f>CL7/CO7</f>
        <v>7.5569929639631231E-2</v>
      </c>
      <c r="CR7">
        <f>CM7/CO7</f>
        <v>3.7784964819815601</v>
      </c>
      <c r="CS7">
        <f>BN7*BA7</f>
        <v>1.9932360820213502</v>
      </c>
      <c r="CT7">
        <f>CS7/2*1.2</f>
        <v>1.1959416492128101</v>
      </c>
      <c r="CU7">
        <f>'eLLE Bals'!CC7*'Oxidant Feed Composition'!$N$20</f>
        <v>6.6441202734045024E-2</v>
      </c>
      <c r="CV7">
        <f>'eLLE Bals'!CC7*'Oxidant Feed Composition'!$N$21</f>
        <v>3.3220601367022504</v>
      </c>
      <c r="CW7">
        <f>'eLLE Bals'!CC7*'Oxidant Feed Composition'!$N$22</f>
        <v>0.99661804101067508</v>
      </c>
      <c r="CX7">
        <f>CU7/CP7</f>
        <v>7.9729443280854032E-2</v>
      </c>
      <c r="CY7">
        <f>CV7/CP7</f>
        <v>3.9864721640427003</v>
      </c>
      <c r="CZ7">
        <f>CJ7</f>
        <v>1.88924824099078</v>
      </c>
      <c r="DA7">
        <f>'eLLE Bals'!BQ7</f>
        <v>3.7784964819815601</v>
      </c>
      <c r="DB7">
        <f>'eLLE Bals'!BU7</f>
        <v>18.834968362058714</v>
      </c>
      <c r="DC7">
        <f>CS7</f>
        <v>1.9932360820213502</v>
      </c>
      <c r="DD7">
        <f>'eLLE Bals'!BX7</f>
        <v>3.9864721640427003</v>
      </c>
      <c r="DE7">
        <f>'eLLE Bals'!CA7</f>
        <v>22.229660725176007</v>
      </c>
      <c r="DF7">
        <f>2*2*(CJ7*'Reagent cost'!$C$36*122.44/1000*1.5+CK7*'Oxidant Feed Composition'!$N$26+CQ7*'Reagent cost'!$C$34+CR7*'Reagent cost'!$C$35)</f>
        <v>192.25204960746129</v>
      </c>
      <c r="DG7">
        <f>2*2*(CS7*'Reagent cost'!$C$36*122.44/1000*1.5+CT7*'Oxidant Feed Composition'!$N$26+CX7*'Reagent cost'!$C$34+CY7*'Reagent cost'!$C$35)</f>
        <v>202.83397057402397</v>
      </c>
      <c r="DH7">
        <f>(AF7+3)*2*(CZ7*'Reagent cost'!$C$38+DA7*'Reagent cost'!$C$39+DB7*'Reagent cost'!$C$36*122.44/1000*1.5)</f>
        <v>6065.0992643915324</v>
      </c>
      <c r="DI7">
        <f>3*2*(DC7*'Reagent cost'!$C$38+DD7*'Reagent cost'!$C$39+DE7*'Reagent cost'!$C$36*122.44/1000*1.5)</f>
        <v>1783.2324399086297</v>
      </c>
      <c r="DJ7">
        <f>7963.6*(CB7/1000)^0.6*1.7*('CAPEX+OPEX'!$G$116/'CAPEX+OPEX'!$G$115)</f>
        <v>2965.5437179814326</v>
      </c>
      <c r="DK7">
        <f>7963.6*(CC7/1000)^0.6*1.7*('CAPEX+OPEX'!$G$116/'CAPEX+OPEX'!$G$115)</f>
        <v>6492.3078360569407</v>
      </c>
      <c r="DL7">
        <f>7963.6*(CD7/1000)^0.6*1.7*('CAPEX+OPEX'!$G$116/'CAPEX+OPEX'!$G$115)</f>
        <v>3062.4299188323866</v>
      </c>
      <c r="DM7">
        <f>7963.6*(CE7/1000)^0.6*1.7*('CAPEX+OPEX'!$G$116/'CAPEX+OPEX'!$G$115)</f>
        <v>6768.3829012800315</v>
      </c>
      <c r="DN7">
        <f>'TEA Revised Non EYZ'!CM7</f>
        <v>39625.826528698344</v>
      </c>
      <c r="DO7">
        <f>'TEA Revised Non EYZ'!CN7</f>
        <v>4586243.4239371875</v>
      </c>
      <c r="DP7">
        <f>'TEA Revised Non EYZ'!CO7</f>
        <v>11794834.586807497</v>
      </c>
      <c r="DQ7">
        <f>'TEA Revised Non EYZ'!CP7</f>
        <v>2275209.1661185985</v>
      </c>
      <c r="DR7">
        <f>'TEA Revised Non EYZ'!CQ7</f>
        <v>14083914.336508472</v>
      </c>
      <c r="DS7">
        <f>'TEA Revised Non EYZ'!CR7</f>
        <v>1662824.8986326549</v>
      </c>
      <c r="DT7">
        <f>'TEA Revised Non EYZ'!CS7</f>
        <v>461850.0978118488</v>
      </c>
      <c r="DU7">
        <f>'TEA Revised Non EYZ'!CT7</f>
        <v>1187779.4098672394</v>
      </c>
      <c r="DV7">
        <f>'TEA Revised Non EYZ'!CU7</f>
        <v>229121.19544936769</v>
      </c>
      <c r="DW7">
        <f>'TEA Revised Non EYZ'!CV7</f>
        <v>1418297.4196136401</v>
      </c>
      <c r="DX7">
        <f>'TEA Revised Non EYZ'!CW7</f>
        <v>167452.04540804314</v>
      </c>
      <c r="DY7">
        <f>'TEA Revised Non EYZ'!CX7</f>
        <v>3464500.168150139</v>
      </c>
      <c r="DZ7">
        <f>'TEA Revised Non EYZ'!CY7</f>
        <v>757710.90370651742</v>
      </c>
      <c r="EA7">
        <f>'TEA Revised Non EYZ'!CZ7</f>
        <v>1948669.9565908599</v>
      </c>
      <c r="EB7">
        <f>'TEA Revised Non EYZ'!DA7</f>
        <v>375896.05130490486</v>
      </c>
      <c r="EC7">
        <f>'TEA Revised Non EYZ'!DB7</f>
        <v>2326857.620322241</v>
      </c>
      <c r="ED7">
        <f>'TEA Revised Non EYZ'!DC7</f>
        <v>274721.69271970663</v>
      </c>
      <c r="EE7">
        <f>'TEA Revised Non EYZ'!DD7</f>
        <v>5683856.2246442297</v>
      </c>
      <c r="EF7">
        <v>0.7</v>
      </c>
      <c r="EG7">
        <v>100</v>
      </c>
      <c r="EH7">
        <f>96485*BL7*V7/EF7/EG7/60</f>
        <v>43.40098012666558</v>
      </c>
      <c r="EI7">
        <f>96485*BN7*BA7/EF7/EG7/60</f>
        <v>45.789853184245231</v>
      </c>
      <c r="EJ7">
        <f>EH7*('CAPEX+OPEX'!$O$25+'CAPEX+OPEX'!$O$26)</f>
        <v>1383276.0385970853</v>
      </c>
      <c r="EK7">
        <f>EI7*('CAPEX+OPEX'!$O$25+'CAPEX+OPEX'!$O$26)</f>
        <v>1459414.2006882641</v>
      </c>
      <c r="EL7">
        <f>EJ7*1.12/0.6*'CAPEX+OPEX'!$G$116/'CAPEX+OPEX'!$G$115</f>
        <v>3045497.132381544</v>
      </c>
      <c r="EM7">
        <f>EK7*1.12/0.6*'CAPEX+OPEX'!$G$116/'CAPEX+OPEX'!$G$115</f>
        <v>3213127.1265717549</v>
      </c>
      <c r="EN7">
        <f>EL7+EM7+DY7+EE7+1.15*(SUM(DF7:DM7)+SUM(CF7:CI7))</f>
        <v>15502974.999069061</v>
      </c>
      <c r="EO7">
        <f>EN7/15</f>
        <v>1033531.6666046041</v>
      </c>
      <c r="EP7">
        <f>('eLLE Bals'!CB7+'eLLE Bals'!CC7)*'Oxidant Feed Composition'!$N$28*60*7200</f>
        <v>21583409.034731992</v>
      </c>
      <c r="EQ7" s="53">
        <f>('eLLE Bals'!BR7+'eLLE Bals'!BY7)*'Reagent cost'!$C$38*60*7200*1.5</f>
        <v>784195.43044035637</v>
      </c>
      <c r="ER7">
        <f>'TEA Revised Non EYZ'!DI7</f>
        <v>504921.59999999998</v>
      </c>
      <c r="ES7">
        <f>'TEA Revised Non EYZ'!DJ7</f>
        <v>82.821652602978304</v>
      </c>
      <c r="ET7">
        <f>'TEA Revised Non EYZ'!DK7</f>
        <v>953.18196275869093</v>
      </c>
      <c r="EU7">
        <f>1.2*SUM(EP7:ET7)</f>
        <v>27448274.482545249</v>
      </c>
      <c r="EV7">
        <f>'TEA Revised Non EYZ'!DM7</f>
        <v>0.70639694042110623</v>
      </c>
      <c r="EW7">
        <f>(BS7*CO7+BT7*CP7)/1000*('Oxidant Feed Composition'!$B$11*'Oxidant Feed Composition'!$O$20+'Oxidant Feed Composition'!$D$11*'Oxidant Feed Composition'!$O$21+'Oxidant Feed Composition'!$F$11*'Oxidant Feed Composition'!$O$27-'Oxidant Feed Composition'!$J$15*18.015)</f>
        <v>2.2670707286009146</v>
      </c>
      <c r="EX7">
        <f>(CZ7*BX7+DC7*BZ7)*368.34/1000</f>
        <v>0.10553209442812084</v>
      </c>
      <c r="EY7">
        <f>'TEA Revised Non EYZ'!DP7</f>
        <v>4.999938342565946E-2</v>
      </c>
      <c r="EZ7">
        <f>SUM(EV7:EX7)-EY7</f>
        <v>3.0290003800244825</v>
      </c>
      <c r="FA7">
        <f>EZ7*0.33*60*7200</f>
        <v>431814.29417629022</v>
      </c>
      <c r="FB7">
        <f>'TEA Revised Non EYZ'!DS7</f>
        <v>1.2</v>
      </c>
      <c r="FC7">
        <v>0.5</v>
      </c>
      <c r="FD7">
        <f>'TEA Revised Non EYZ'!DT7</f>
        <v>1410.0687657379119</v>
      </c>
      <c r="FE7">
        <f>'TEA Revised Non EYZ'!DU7</f>
        <v>712.1364866286201</v>
      </c>
      <c r="FF7">
        <f>'TEA Revised Non EYZ'!DV7</f>
        <v>0.7</v>
      </c>
      <c r="FG7">
        <f>'TEA Revised Non EYZ'!DW7</f>
        <v>27520.276190787874</v>
      </c>
      <c r="FH7">
        <f>'TEA Revised Non EYZ'!DX7</f>
        <v>16610.439588917834</v>
      </c>
      <c r="FI7">
        <f>'TEA Revised Non EYZ'!DY7</f>
        <v>7032.645793695051</v>
      </c>
      <c r="FJ7">
        <f>'TEA Revised Non EYZ'!DZ7</f>
        <v>3725.3886787897172</v>
      </c>
      <c r="FK7">
        <f>'TEA Revised Non EYZ'!EA7</f>
        <v>3750.7444233040283</v>
      </c>
      <c r="FL7">
        <f>'TEA Revised Non EYZ'!EB7</f>
        <v>852.80958951828916</v>
      </c>
      <c r="FM7">
        <f>'TEA Revised Non EYZ'!EC7</f>
        <v>41265.6777021694</v>
      </c>
      <c r="FN7">
        <f>'TEA Revised Non EYZ'!ED7</f>
        <v>38910.905875241828</v>
      </c>
      <c r="FO7">
        <f>'TEA Revised Non EYZ'!EE7</f>
        <v>16474.375471372547</v>
      </c>
      <c r="FP7">
        <f>'TEA Revised Non EYZ'!EF7</f>
        <v>8731.5796634158487</v>
      </c>
      <c r="FQ7">
        <f>'TEA Revised Non EYZ'!EG7</f>
        <v>8786.3335847320268</v>
      </c>
      <c r="FR7">
        <f>'TEA Revised Non EYZ'!EH7</f>
        <v>430.7001471129895</v>
      </c>
      <c r="FS7">
        <f>'TEA Revised Non EYZ'!EI7</f>
        <v>174091.87670905743</v>
      </c>
      <c r="FT7">
        <f>EG7*EH7</f>
        <v>4340.0980126665581</v>
      </c>
      <c r="FU7">
        <f>EG7*EI7</f>
        <v>4578.985318424523</v>
      </c>
      <c r="FV7">
        <f>FC7*(FT7+FU7)/(3.6*10^6)*3600*7200*0.07</f>
        <v>2247.6089994349531</v>
      </c>
      <c r="FW7">
        <f>('CAPEX+OPEX'!$C$39/7/100+0.03)*EL7</f>
        <v>156625.56680819369</v>
      </c>
      <c r="FX7">
        <f>('CAPEX+OPEX'!$C$39/7/100+0.03)*EM7</f>
        <v>165246.53793797595</v>
      </c>
      <c r="FY7">
        <f>SUM(FV7:FX7)</f>
        <v>324119.71374560462</v>
      </c>
      <c r="FZ7">
        <f>FY7+FA7+FS7+EU7</f>
        <v>28378300.367176201</v>
      </c>
      <c r="GA7">
        <f>FZ7+EO7</f>
        <v>29411832.033780806</v>
      </c>
      <c r="GB7">
        <f>GA7/(BK7*60*7200)</f>
        <v>0.68082944522640754</v>
      </c>
      <c r="GC7">
        <f>'TEA Revised Non EYZ'!EM7/'TEA Revised Non EYZ'!EK7*GA7</f>
        <v>2276.3775318883672</v>
      </c>
      <c r="GD7">
        <f>'TEA Revised Non EYZ'!EN7/'TEA Revised Non EYZ'!EK7*GA7</f>
        <v>4143.1102264841229</v>
      </c>
    </row>
    <row r="8" spans="1:186">
      <c r="A8">
        <f>'TEA Revised Non EYZ'!A8</f>
        <v>3</v>
      </c>
      <c r="B8">
        <f>'TEA Revised Non EYZ'!B8</f>
        <v>1.54143585092054E-3</v>
      </c>
      <c r="C8">
        <f>'TEA Revised Non EYZ'!C8</f>
        <v>1.54143585092054E-3</v>
      </c>
      <c r="D8">
        <f>'TEA Revised Non EYZ'!D8</f>
        <v>3.4254130020456501E-4</v>
      </c>
      <c r="E8">
        <f>'TEA Revised Non EYZ'!E8</f>
        <v>0</v>
      </c>
      <c r="F8">
        <f>'TEA Revised Non EYZ'!F8</f>
        <v>0</v>
      </c>
      <c r="G8">
        <f>'TEA Revised Non EYZ'!G8</f>
        <v>0</v>
      </c>
      <c r="H8">
        <f>'TEA Revised Non EYZ'!H8</f>
        <v>1.6300358850230801E-5</v>
      </c>
      <c r="I8">
        <f>'TEA Revised Non EYZ'!I8</f>
        <v>7.4474859607128495E-7</v>
      </c>
      <c r="J8">
        <f>'TEA Revised Non EYZ'!J8</f>
        <v>3.2385704147932398E-4</v>
      </c>
      <c r="K8">
        <f>'TEA Revised Non EYZ'!K8</f>
        <v>8.07271092797512E-2</v>
      </c>
      <c r="L8">
        <f>'TEA Revised Non EYZ'!L8</f>
        <v>8.15504849440159E-2</v>
      </c>
      <c r="M8">
        <f>'TEA Revised Non EYZ'!M8</f>
        <v>9.8897848995466706E-4</v>
      </c>
      <c r="N8">
        <f>'TEA Revised Non EYZ'!N8</f>
        <v>-9.8011876392689601E-17</v>
      </c>
      <c r="O8">
        <f>'TEA Revised Non EYZ'!O8</f>
        <v>1.94289029309402E-16</v>
      </c>
      <c r="P8">
        <f>'TEA Revised Non EYZ'!P8</f>
        <v>-4.3537493488870999E-18</v>
      </c>
      <c r="Q8">
        <f>'TEA Revised Non EYZ'!Q8</f>
        <v>0.18892482409907799</v>
      </c>
      <c r="R8">
        <f>'TEA Revised Non EYZ'!R8</f>
        <v>94.545399718491396</v>
      </c>
      <c r="S8">
        <f>'TEA Revised Non EYZ'!S8</f>
        <v>500</v>
      </c>
      <c r="T8">
        <f>'TEA Revised Non EYZ'!T8</f>
        <v>95</v>
      </c>
      <c r="U8">
        <f>'TEA Revised Non EYZ'!U8</f>
        <v>1</v>
      </c>
      <c r="V8">
        <f>'TEA Revised Non EYZ'!V8</f>
        <v>0.1</v>
      </c>
      <c r="W8">
        <f>'TEA Revised Non EYZ'!W8</f>
        <v>52.931106580020597</v>
      </c>
      <c r="X8" t="str">
        <f>'TEA Revised Non EYZ'!X8</f>
        <v>ddFc</v>
      </c>
      <c r="Y8">
        <f>'TEA Revised Non EYZ'!Y8</f>
        <v>1</v>
      </c>
      <c r="Z8">
        <f>'TEA Revised Non EYZ'!Z8</f>
        <v>0.28318429382522198</v>
      </c>
      <c r="AA8">
        <f>'TEA Revised Non EYZ'!AA8</f>
        <v>0.56945642916197003</v>
      </c>
      <c r="AB8">
        <f>'TEA Revised Non EYZ'!AB8</f>
        <v>3.7698628972227502E-3</v>
      </c>
      <c r="AC8">
        <f>'TEA Revised Non EYZ'!AC8</f>
        <v>1822.2107908876901</v>
      </c>
      <c r="AD8">
        <f>'TEA Revised Non EYZ'!AD8</f>
        <v>2662.6059073104898</v>
      </c>
      <c r="AE8">
        <f>'TEA Revised Non EYZ'!AE8</f>
        <v>2401.5030938442701</v>
      </c>
      <c r="AF8">
        <f>'TEA Revised Non EYZ'!AF8</f>
        <v>10</v>
      </c>
      <c r="AG8">
        <f>'TEA Revised Non EYZ'!AG8</f>
        <v>1.6455478770638001E-3</v>
      </c>
      <c r="AH8">
        <f>'TEA Revised Non EYZ'!AH8</f>
        <v>1.66233163271225E-3</v>
      </c>
      <c r="AI8">
        <f>'TEA Revised Non EYZ'!AI8</f>
        <v>2.0159416943409301E-5</v>
      </c>
      <c r="AJ8">
        <f>'TEA Revised Non EYZ'!AJ8</f>
        <v>0</v>
      </c>
      <c r="AK8">
        <f>'TEA Revised Non EYZ'!AK8</f>
        <v>0</v>
      </c>
      <c r="AL8">
        <f>'TEA Revised Non EYZ'!AL8</f>
        <v>0</v>
      </c>
      <c r="AM8">
        <f>'TEA Revised Non EYZ'!AM8</f>
        <v>1.6083474060022401E-3</v>
      </c>
      <c r="AN8">
        <f>'TEA Revised Non EYZ'!AN8</f>
        <v>6.4624273291128494E-5</v>
      </c>
      <c r="AO8">
        <f>'TEA Revised Non EYZ'!AO8</f>
        <v>2.0025590180477699E-5</v>
      </c>
      <c r="AP8">
        <f>'TEA Revised Non EYZ'!AP8</f>
        <v>1.7299702748473499E-3</v>
      </c>
      <c r="AQ8">
        <f>'TEA Revised Non EYZ'!AQ8</f>
        <v>7.42997645145482E-2</v>
      </c>
      <c r="AR8">
        <f>'TEA Revised Non EYZ'!AR8</f>
        <v>6.2234782314335099E-6</v>
      </c>
      <c r="AS8">
        <f>'TEA Revised Non EYZ'!AS8</f>
        <v>1.84991995680339E-18</v>
      </c>
      <c r="AT8">
        <f>'TEA Revised Non EYZ'!AT8</f>
        <v>-4.37800837249646E-16</v>
      </c>
      <c r="AU8">
        <f>'TEA Revised Non EYZ'!AU8</f>
        <v>-4.9498487855173101E-21</v>
      </c>
      <c r="AV8">
        <f>'TEA Revised Non EYZ'!AV8</f>
        <v>0.19930018582065301</v>
      </c>
      <c r="AW8">
        <f>'TEA Revised Non EYZ'!AW8</f>
        <v>99.336157571881799</v>
      </c>
      <c r="AX8">
        <f>'TEA Revised Non EYZ'!AX8</f>
        <v>500</v>
      </c>
      <c r="AY8">
        <f>'TEA Revised Non EYZ'!AY8</f>
        <v>95</v>
      </c>
      <c r="AZ8">
        <f>'TEA Revised Non EYZ'!AZ8</f>
        <v>0.92682535301965796</v>
      </c>
      <c r="BA8">
        <f>'TEA Revised Non EYZ'!BA8</f>
        <v>0.1</v>
      </c>
      <c r="BB8">
        <f>'TEA Revised Non EYZ'!BB8</f>
        <v>46.503988403387098</v>
      </c>
      <c r="BC8" t="str">
        <f>'TEA Revised Non EYZ'!BC8</f>
        <v>coeFc</v>
      </c>
      <c r="BD8">
        <f>'TEA Revised Non EYZ'!BD8</f>
        <v>1</v>
      </c>
      <c r="BE8">
        <f>'TEA Revised Non EYZ'!BE8</f>
        <v>1.8775014999999999E-2</v>
      </c>
      <c r="BF8">
        <f>'TEA Revised Non EYZ'!BF8</f>
        <v>0.10492961100000001</v>
      </c>
      <c r="BG8">
        <f>'TEA Revised Non EYZ'!BG8</f>
        <v>1.814625E-3</v>
      </c>
      <c r="BH8">
        <f>'TEA Revised Non EYZ'!BH8</f>
        <v>285.1951444</v>
      </c>
      <c r="BI8">
        <f>'TEA Revised Non EYZ'!BI8</f>
        <v>2169.8944889999998</v>
      </c>
      <c r="BJ8">
        <f>'TEA Revised Non EYZ'!BJ8</f>
        <v>866.49409060000005</v>
      </c>
      <c r="BK8">
        <f>'TEA Revised Non EYZ'!BK8</f>
        <v>100</v>
      </c>
      <c r="BL8">
        <f>'TEA Revised Non EYZ'!BL8</f>
        <v>18.892482409907799</v>
      </c>
      <c r="BM8">
        <f>'TEA Revised Non EYZ'!BM8</f>
        <v>92.6825353019658</v>
      </c>
      <c r="BN8">
        <f>'TEA Revised Non EYZ'!BN8</f>
        <v>19.930018582065301</v>
      </c>
      <c r="BO8">
        <f>'TEA Revised Non EYZ'!BO8</f>
        <v>188.92482409907799</v>
      </c>
      <c r="BP8">
        <f>'TEA Revised Non EYZ'!BP8</f>
        <v>478.32044596956723</v>
      </c>
      <c r="BQ8">
        <f>'TEA Revised Non EYZ'!BQ8</f>
        <v>18.892482409907799</v>
      </c>
      <c r="BR8">
        <f>'TEA Revised Non EYZ'!BR8</f>
        <v>47.832044596956727</v>
      </c>
      <c r="BS8">
        <f>'eLLE Bals'!CF8</f>
        <v>11.335489445944679</v>
      </c>
      <c r="BT8">
        <f>'eLLE Bals'!CG8</f>
        <v>11.95801114923918</v>
      </c>
      <c r="BU8">
        <f>BM8</f>
        <v>92.6825353019658</v>
      </c>
      <c r="BV8">
        <f>BU8*(AM8*2+AN8*2+AO8*3)</f>
        <v>0.31567858085712774</v>
      </c>
      <c r="BW8">
        <f>BN8*BA8*(AP8*2+AQ8*2+AR8*3)</f>
        <v>0.3030920156394693</v>
      </c>
      <c r="BX8">
        <f>BV8/(2*V8*BL8+BV8)</f>
        <v>7.7104319188113238E-2</v>
      </c>
      <c r="BY8">
        <f>BU8*BX8</f>
        <v>7.1462237850863444</v>
      </c>
      <c r="BZ8">
        <f>BW8/(2*BN8*BA8+BW8)</f>
        <v>7.0665714773968408E-2</v>
      </c>
      <c r="CA8">
        <f>2*BN8*BA8/0.04</f>
        <v>99.650092910326507</v>
      </c>
      <c r="CB8">
        <f>(BS8+BL8)*2</f>
        <v>60.455943711704961</v>
      </c>
      <c r="CC8">
        <f>(BU8+BL8)*2</f>
        <v>223.1500354237472</v>
      </c>
      <c r="CD8">
        <f>(BT8+BN8)*2</f>
        <v>63.776059462608963</v>
      </c>
      <c r="CE8">
        <f>(CA8+BN8)*2</f>
        <v>239.16022298478362</v>
      </c>
      <c r="CF8">
        <f>'TEA Revised Non EYZ'!CB8</f>
        <v>2493.8076781078298</v>
      </c>
      <c r="CG8">
        <f>'TEA Revised Non EYZ'!CC8</f>
        <v>6313.8298867982885</v>
      </c>
      <c r="CH8">
        <f>'TEA Revised Non EYZ'!CD8</f>
        <v>3012.9816471142385</v>
      </c>
      <c r="CI8">
        <f>'TEA Revised Non EYZ'!CE8</f>
        <v>48699.131079349805</v>
      </c>
      <c r="CJ8">
        <f>BL8*V8</f>
        <v>1.88924824099078</v>
      </c>
      <c r="CK8">
        <f>CJ8/2*1.2</f>
        <v>1.133548944594468</v>
      </c>
      <c r="CL8">
        <f>'eLLE Bals'!CB8*'Oxidant Feed Composition'!$N$20</f>
        <v>6.2974941366359366E-2</v>
      </c>
      <c r="CM8">
        <f>'eLLE Bals'!CB8*'Oxidant Feed Composition'!$N$21</f>
        <v>3.148747068317967</v>
      </c>
      <c r="CN8">
        <f>'eLLE Bals'!CB8*'Oxidant Feed Composition'!$N$22</f>
        <v>0.94462412049539002</v>
      </c>
      <c r="CO8">
        <f>CN8/CK8</f>
        <v>0.83333333333333337</v>
      </c>
      <c r="CP8">
        <f>CO8</f>
        <v>0.83333333333333337</v>
      </c>
      <c r="CQ8">
        <f>CL8/CO8</f>
        <v>7.5569929639631231E-2</v>
      </c>
      <c r="CR8">
        <f>CM8/CO8</f>
        <v>3.7784964819815601</v>
      </c>
      <c r="CS8">
        <f>BN8*BA8</f>
        <v>1.9930018582065303</v>
      </c>
      <c r="CT8">
        <f>CS8/2*1.2</f>
        <v>1.1958011149239181</v>
      </c>
      <c r="CU8">
        <f>'eLLE Bals'!CC8*'Oxidant Feed Composition'!$N$20</f>
        <v>6.6433395273551035E-2</v>
      </c>
      <c r="CV8">
        <f>'eLLE Bals'!CC8*'Oxidant Feed Composition'!$N$21</f>
        <v>3.3216697636775505</v>
      </c>
      <c r="CW8">
        <f>'eLLE Bals'!CC8*'Oxidant Feed Composition'!$N$22</f>
        <v>0.99650092910326515</v>
      </c>
      <c r="CX8">
        <f>CU8/CP8</f>
        <v>7.972007432826124E-2</v>
      </c>
      <c r="CY8">
        <f>CV8/CP8</f>
        <v>3.9860037164130606</v>
      </c>
      <c r="CZ8">
        <f>CJ8</f>
        <v>1.88924824099078</v>
      </c>
      <c r="DA8">
        <f>'eLLE Bals'!BQ8</f>
        <v>3.7784964819815601</v>
      </c>
      <c r="DB8">
        <f>'eLLE Bals'!BU8</f>
        <v>18.834750868508316</v>
      </c>
      <c r="DC8">
        <f>CS8</f>
        <v>1.9930018582065303</v>
      </c>
      <c r="DD8">
        <f>'eLLE Bals'!BX8</f>
        <v>3.9860037164130606</v>
      </c>
      <c r="DE8">
        <f>'eLLE Bals'!CA8</f>
        <v>22.224230812097126</v>
      </c>
      <c r="DF8">
        <f>2*2*(CJ8*'Reagent cost'!$C$36*122.44/1000*1.5+CK8*'Oxidant Feed Composition'!$N$26+CQ8*'Reagent cost'!$C$34+CR8*'Reagent cost'!$C$35)</f>
        <v>192.25204960746129</v>
      </c>
      <c r="DG8">
        <f>2*2*(CS8*'Reagent cost'!$C$36*122.44/1000*1.5+CT8*'Oxidant Feed Composition'!$N$26+CX8*'Reagent cost'!$C$34+CY8*'Reagent cost'!$C$35)</f>
        <v>202.81013569224984</v>
      </c>
      <c r="DH8">
        <f>(AF8+3)*2*(CZ8*'Reagent cost'!$C$38+DA8*'Reagent cost'!$C$39+DB8*'Reagent cost'!$C$36*122.44/1000*1.5)</f>
        <v>6570.4508595244451</v>
      </c>
      <c r="DI8">
        <f>3*2*(DC8*'Reagent cost'!$C$38+DD8*'Reagent cost'!$C$39+DE8*'Reagent cost'!$C$36*122.44/1000*1.5)</f>
        <v>1782.8036172775492</v>
      </c>
      <c r="DJ8">
        <f>7963.6*(CB8/1000)^0.6*1.7*('CAPEX+OPEX'!$G$116/'CAPEX+OPEX'!$G$115)</f>
        <v>2965.5437179814326</v>
      </c>
      <c r="DK8">
        <f>7963.6*(CC8/1000)^0.6*1.7*('CAPEX+OPEX'!$G$116/'CAPEX+OPEX'!$G$115)</f>
        <v>6492.3078360569407</v>
      </c>
      <c r="DL8">
        <f>7963.6*(CD8/1000)^0.6*1.7*('CAPEX+OPEX'!$G$116/'CAPEX+OPEX'!$G$115)</f>
        <v>3062.2139953248757</v>
      </c>
      <c r="DM8">
        <f>7963.6*(CE8/1000)^0.6*1.7*('CAPEX+OPEX'!$G$116/'CAPEX+OPEX'!$G$115)</f>
        <v>6767.9056812244044</v>
      </c>
      <c r="DN8">
        <f>'TEA Revised Non EYZ'!CM8</f>
        <v>39625.826528698344</v>
      </c>
      <c r="DO8">
        <f>'TEA Revised Non EYZ'!CN8</f>
        <v>4586243.4239371875</v>
      </c>
      <c r="DP8">
        <f>'TEA Revised Non EYZ'!CO8</f>
        <v>11794834.586807497</v>
      </c>
      <c r="DQ8">
        <f>'TEA Revised Non EYZ'!CP8</f>
        <v>2275209.1661185985</v>
      </c>
      <c r="DR8">
        <f>'TEA Revised Non EYZ'!CQ8</f>
        <v>14083914.336508472</v>
      </c>
      <c r="DS8">
        <f>'TEA Revised Non EYZ'!CR8</f>
        <v>1662824.8986326549</v>
      </c>
      <c r="DT8">
        <f>'TEA Revised Non EYZ'!CS8</f>
        <v>461850.0978118488</v>
      </c>
      <c r="DU8">
        <f>'TEA Revised Non EYZ'!CT8</f>
        <v>1187779.4098672394</v>
      </c>
      <c r="DV8">
        <f>'TEA Revised Non EYZ'!CU8</f>
        <v>229121.19544936769</v>
      </c>
      <c r="DW8">
        <f>'TEA Revised Non EYZ'!CV8</f>
        <v>1418297.4196136401</v>
      </c>
      <c r="DX8">
        <f>'TEA Revised Non EYZ'!CW8</f>
        <v>167452.04540804314</v>
      </c>
      <c r="DY8">
        <f>'TEA Revised Non EYZ'!CX8</f>
        <v>3464500.168150139</v>
      </c>
      <c r="DZ8">
        <f>'TEA Revised Non EYZ'!CY8</f>
        <v>802304.35207958962</v>
      </c>
      <c r="EA8">
        <f>'TEA Revised Non EYZ'!CZ8</f>
        <v>2063354.7429392026</v>
      </c>
      <c r="EB8">
        <f>'TEA Revised Non EYZ'!DA8</f>
        <v>398018.60632623197</v>
      </c>
      <c r="EC8">
        <f>'TEA Revised Non EYZ'!DB8</f>
        <v>2463799.8296209997</v>
      </c>
      <c r="ED8">
        <f>'TEA Revised Non EYZ'!DC8</f>
        <v>290889.84809576324</v>
      </c>
      <c r="EE8">
        <f>'TEA Revised Non EYZ'!DD8</f>
        <v>6018367.3790617865</v>
      </c>
      <c r="EF8">
        <v>0.7</v>
      </c>
      <c r="EG8">
        <v>100</v>
      </c>
      <c r="EH8">
        <f>96485*BL8*V8/EF8/EG8/60</f>
        <v>43.40098012666558</v>
      </c>
      <c r="EI8">
        <f>96485*BN8*BA8/EF8/EG8/60</f>
        <v>45.7844724497755</v>
      </c>
      <c r="EJ8">
        <f>EH8*('CAPEX+OPEX'!$O$25+'CAPEX+OPEX'!$O$26)</f>
        <v>1383276.0385970853</v>
      </c>
      <c r="EK8">
        <f>EI8*('CAPEX+OPEX'!$O$25+'CAPEX+OPEX'!$O$26)</f>
        <v>1459242.7059192448</v>
      </c>
      <c r="EL8">
        <f>EJ8*1.12/0.6*'CAPEX+OPEX'!$G$116/'CAPEX+OPEX'!$G$115</f>
        <v>3045497.132381544</v>
      </c>
      <c r="EM8">
        <f>EK8*1.12/0.6*'CAPEX+OPEX'!$G$116/'CAPEX+OPEX'!$G$115</f>
        <v>3212749.5541909034</v>
      </c>
      <c r="EN8">
        <f>EL8+EM8+DY8+EE8+1.15*(SUM(DF8:DM8)+SUM(CF8:CI8))</f>
        <v>15842953.67769604</v>
      </c>
      <c r="EO8">
        <f>EN8/15</f>
        <v>1056196.9118464026</v>
      </c>
      <c r="EP8">
        <f>('eLLE Bals'!CB8+'eLLE Bals'!CC8)*'Oxidant Feed Composition'!$N$28*60*7200</f>
        <v>21582106.943601582</v>
      </c>
      <c r="EQ8" s="53">
        <f>('eLLE Bals'!BR8+'eLLE Bals'!BY8)*'Reagent cost'!$C$38*60*7200*1.5</f>
        <v>784192.17972973001</v>
      </c>
      <c r="ER8">
        <f>'TEA Revised Non EYZ'!DI8</f>
        <v>504921.59999999998</v>
      </c>
      <c r="ES8">
        <f>'TEA Revised Non EYZ'!DJ8</f>
        <v>88.076375649061191</v>
      </c>
      <c r="ET8">
        <f>'TEA Revised Non EYZ'!DK8</f>
        <v>1034.2422545292809</v>
      </c>
      <c r="EU8">
        <f>1.2*SUM(EP8:ET8)</f>
        <v>27446811.650353789</v>
      </c>
      <c r="EV8">
        <f>'TEA Revised Non EYZ'!DM8</f>
        <v>0.70639694042110623</v>
      </c>
      <c r="EW8">
        <f>(BS8*CO8+BT8*CP8)/1000*('Oxidant Feed Composition'!$B$11*'Oxidant Feed Composition'!$O$20+'Oxidant Feed Composition'!$D$11*'Oxidant Feed Composition'!$O$21+'Oxidant Feed Composition'!$F$11*'Oxidant Feed Composition'!$O$27-'Oxidant Feed Composition'!$J$15*18.015)</f>
        <v>2.266933959998561</v>
      </c>
      <c r="EX8">
        <f>(CZ8*BX8+DC8*BZ8)*368.34/1000</f>
        <v>0.10553165696790689</v>
      </c>
      <c r="EY8">
        <f>'TEA Revised Non EYZ'!DP8</f>
        <v>4.999938342565946E-2</v>
      </c>
      <c r="EZ8">
        <f>SUM(EV8:EX8)-EY8</f>
        <v>3.0288631739619145</v>
      </c>
      <c r="FA8">
        <f>EZ8*0.33*60*7200</f>
        <v>431794.73408001056</v>
      </c>
      <c r="FB8">
        <f>'TEA Revised Non EYZ'!DS8</f>
        <v>1.2</v>
      </c>
      <c r="FC8">
        <v>0.5</v>
      </c>
      <c r="FD8">
        <f>'TEA Revised Non EYZ'!DT8</f>
        <v>1410.0823557815738</v>
      </c>
      <c r="FE8">
        <f>'TEA Revised Non EYZ'!DU8</f>
        <v>712.12289644358816</v>
      </c>
      <c r="FF8">
        <f>'TEA Revised Non EYZ'!DV8</f>
        <v>0.7</v>
      </c>
      <c r="FG8">
        <f>'TEA Revised Non EYZ'!DW8</f>
        <v>27520.276190787874</v>
      </c>
      <c r="FH8">
        <f>'TEA Revised Non EYZ'!DX8</f>
        <v>16610.439588917834</v>
      </c>
      <c r="FI8">
        <f>'TEA Revised Non EYZ'!DY8</f>
        <v>7032.645793695051</v>
      </c>
      <c r="FJ8">
        <f>'TEA Revised Non EYZ'!DZ8</f>
        <v>3725.3886787897172</v>
      </c>
      <c r="FK8">
        <f>'TEA Revised Non EYZ'!EA8</f>
        <v>3750.7444233040283</v>
      </c>
      <c r="FL8">
        <f>'TEA Revised Non EYZ'!EB8</f>
        <v>852.81780877669598</v>
      </c>
      <c r="FM8">
        <f>'TEA Revised Non EYZ'!EC8</f>
        <v>43844.782558554987</v>
      </c>
      <c r="FN8">
        <f>'TEA Revised Non EYZ'!ED8</f>
        <v>42801.996462766008</v>
      </c>
      <c r="FO8">
        <f>'TEA Revised Non EYZ'!EE8</f>
        <v>18121.813018509798</v>
      </c>
      <c r="FP8">
        <f>'TEA Revised Non EYZ'!EF8</f>
        <v>9604.7376297574338</v>
      </c>
      <c r="FQ8">
        <f>'TEA Revised Non EYZ'!EG8</f>
        <v>9664.9669432052269</v>
      </c>
      <c r="FR8">
        <f>'TEA Revised Non EYZ'!EH8</f>
        <v>430.6919277690821</v>
      </c>
      <c r="FS8">
        <f>'TEA Revised Non EYZ'!EI8</f>
        <v>183961.30102483375</v>
      </c>
      <c r="FT8">
        <f>EG8*EH8</f>
        <v>4340.0980126665581</v>
      </c>
      <c r="FU8">
        <f>EG8*EI8</f>
        <v>4578.4472449775503</v>
      </c>
      <c r="FV8">
        <f>FC8*(FT8+FU8)/(3.6*10^6)*3600*7200*0.07</f>
        <v>2247.4734049263157</v>
      </c>
      <c r="FW8">
        <f>('CAPEX+OPEX'!$C$39/7/100+0.03)*EL8</f>
        <v>156625.56680819369</v>
      </c>
      <c r="FX8">
        <f>('CAPEX+OPEX'!$C$39/7/100+0.03)*EM8</f>
        <v>165227.11992981788</v>
      </c>
      <c r="FY8">
        <f>SUM(FV8:FX8)</f>
        <v>324100.16014293791</v>
      </c>
      <c r="FZ8">
        <f>FY8+FA8+FS8+EU8</f>
        <v>28386667.84560157</v>
      </c>
      <c r="GA8">
        <f>FZ8+EO8</f>
        <v>29442864.757447973</v>
      </c>
      <c r="GB8">
        <f>GA8/(BK8*60*7200)</f>
        <v>0.68154779531129572</v>
      </c>
      <c r="GC8">
        <f>'TEA Revised Non EYZ'!EM8/'TEA Revised Non EYZ'!EK8*GA8</f>
        <v>2278.7573470907801</v>
      </c>
      <c r="GD8">
        <f>'TEA Revised Non EYZ'!EN8/'TEA Revised Non EYZ'!EK8*GA8</f>
        <v>4147.5545896734766</v>
      </c>
    </row>
    <row r="9" spans="1:186">
      <c r="A9">
        <f>'TEA Revised Non EYZ'!A9</f>
        <v>3</v>
      </c>
      <c r="B9">
        <f>'TEA Revised Non EYZ'!B9</f>
        <v>1.54143585092054E-3</v>
      </c>
      <c r="C9">
        <f>'TEA Revised Non EYZ'!C9</f>
        <v>1.54143585092054E-3</v>
      </c>
      <c r="D9">
        <f>'TEA Revised Non EYZ'!D9</f>
        <v>3.4254130020456501E-4</v>
      </c>
      <c r="E9">
        <f>'TEA Revised Non EYZ'!E9</f>
        <v>0</v>
      </c>
      <c r="F9">
        <f>'TEA Revised Non EYZ'!F9</f>
        <v>0</v>
      </c>
      <c r="G9">
        <f>'TEA Revised Non EYZ'!G9</f>
        <v>0</v>
      </c>
      <c r="H9">
        <f>'TEA Revised Non EYZ'!H9</f>
        <v>1.6300358850230801E-5</v>
      </c>
      <c r="I9">
        <f>'TEA Revised Non EYZ'!I9</f>
        <v>7.4474859607128495E-7</v>
      </c>
      <c r="J9">
        <f>'TEA Revised Non EYZ'!J9</f>
        <v>3.2385704147932398E-4</v>
      </c>
      <c r="K9">
        <f>'TEA Revised Non EYZ'!K9</f>
        <v>8.07271092797512E-2</v>
      </c>
      <c r="L9">
        <f>'TEA Revised Non EYZ'!L9</f>
        <v>8.15504849440159E-2</v>
      </c>
      <c r="M9">
        <f>'TEA Revised Non EYZ'!M9</f>
        <v>9.8897848995466706E-4</v>
      </c>
      <c r="N9">
        <f>'TEA Revised Non EYZ'!N9</f>
        <v>-9.8011876392689601E-17</v>
      </c>
      <c r="O9">
        <f>'TEA Revised Non EYZ'!O9</f>
        <v>1.94289029309402E-16</v>
      </c>
      <c r="P9">
        <f>'TEA Revised Non EYZ'!P9</f>
        <v>-4.3537493488870999E-18</v>
      </c>
      <c r="Q9">
        <f>'TEA Revised Non EYZ'!Q9</f>
        <v>0.18892482409907799</v>
      </c>
      <c r="R9">
        <f>'TEA Revised Non EYZ'!R9</f>
        <v>94.545399718491396</v>
      </c>
      <c r="S9">
        <f>'TEA Revised Non EYZ'!S9</f>
        <v>500</v>
      </c>
      <c r="T9">
        <f>'TEA Revised Non EYZ'!T9</f>
        <v>95</v>
      </c>
      <c r="U9">
        <f>'TEA Revised Non EYZ'!U9</f>
        <v>1</v>
      </c>
      <c r="V9">
        <f>'TEA Revised Non EYZ'!V9</f>
        <v>0.1</v>
      </c>
      <c r="W9">
        <f>'TEA Revised Non EYZ'!W9</f>
        <v>52.931106580020597</v>
      </c>
      <c r="X9" t="str">
        <f>'TEA Revised Non EYZ'!X9</f>
        <v>ddFc</v>
      </c>
      <c r="Y9">
        <f>'TEA Revised Non EYZ'!Y9</f>
        <v>1</v>
      </c>
      <c r="Z9">
        <f>'TEA Revised Non EYZ'!Z9</f>
        <v>0.28318429382522198</v>
      </c>
      <c r="AA9">
        <f>'TEA Revised Non EYZ'!AA9</f>
        <v>0.56945642916197003</v>
      </c>
      <c r="AB9">
        <f>'TEA Revised Non EYZ'!AB9</f>
        <v>3.7698628972227502E-3</v>
      </c>
      <c r="AC9">
        <f>'TEA Revised Non EYZ'!AC9</f>
        <v>1822.2107908876901</v>
      </c>
      <c r="AD9">
        <f>'TEA Revised Non EYZ'!AD9</f>
        <v>2662.6059073104898</v>
      </c>
      <c r="AE9">
        <f>'TEA Revised Non EYZ'!AE9</f>
        <v>2401.5030938442701</v>
      </c>
      <c r="AF9">
        <f>'TEA Revised Non EYZ'!AF9</f>
        <v>11</v>
      </c>
      <c r="AG9">
        <f>'TEA Revised Non EYZ'!AG9</f>
        <v>1.6455478770638001E-3</v>
      </c>
      <c r="AH9">
        <f>'TEA Revised Non EYZ'!AH9</f>
        <v>1.66233163271225E-3</v>
      </c>
      <c r="AI9">
        <f>'TEA Revised Non EYZ'!AI9</f>
        <v>2.0159416943409301E-5</v>
      </c>
      <c r="AJ9">
        <f>'TEA Revised Non EYZ'!AJ9</f>
        <v>0</v>
      </c>
      <c r="AK9">
        <f>'TEA Revised Non EYZ'!AK9</f>
        <v>0</v>
      </c>
      <c r="AL9">
        <f>'TEA Revised Non EYZ'!AL9</f>
        <v>0</v>
      </c>
      <c r="AM9">
        <f>'TEA Revised Non EYZ'!AM9</f>
        <v>1.60835185158262E-3</v>
      </c>
      <c r="AN9">
        <f>'TEA Revised Non EYZ'!AN9</f>
        <v>6.4624491935312605E-5</v>
      </c>
      <c r="AO9">
        <f>'TEA Revised Non EYZ'!AO9</f>
        <v>2.0025605516349801E-5</v>
      </c>
      <c r="AP9">
        <f>'TEA Revised Non EYZ'!AP9</f>
        <v>1.72982171403333E-3</v>
      </c>
      <c r="AQ9">
        <f>'TEA Revised Non EYZ'!AQ9</f>
        <v>7.4302253238869895E-2</v>
      </c>
      <c r="AR9">
        <f>'TEA Revised Non EYZ'!AR9</f>
        <v>6.2229743398349396E-6</v>
      </c>
      <c r="AS9">
        <f>'TEA Revised Non EYZ'!AS9</f>
        <v>1.3552527156068801E-19</v>
      </c>
      <c r="AT9">
        <f>'TEA Revised Non EYZ'!AT9</f>
        <v>-2.168404344971E-19</v>
      </c>
      <c r="AU9">
        <f>'TEA Revised Non EYZ'!AU9</f>
        <v>2.46168950295781E-21</v>
      </c>
      <c r="AV9">
        <f>'TEA Revised Non EYZ'!AV9</f>
        <v>0.19929348306734301</v>
      </c>
      <c r="AW9">
        <f>'TEA Revised Non EYZ'!AW9</f>
        <v>99.336233644876302</v>
      </c>
      <c r="AX9">
        <f>'TEA Revised Non EYZ'!AX9</f>
        <v>500</v>
      </c>
      <c r="AY9">
        <f>'TEA Revised Non EYZ'!AY9</f>
        <v>95</v>
      </c>
      <c r="AZ9">
        <f>'TEA Revised Non EYZ'!AZ9</f>
        <v>0.92682535301965796</v>
      </c>
      <c r="BA9">
        <f>'TEA Revised Non EYZ'!BA9</f>
        <v>0.1</v>
      </c>
      <c r="BB9">
        <f>'TEA Revised Non EYZ'!BB9</f>
        <v>46.505552452333497</v>
      </c>
      <c r="BC9" t="str">
        <f>'TEA Revised Non EYZ'!BC9</f>
        <v>coeFc</v>
      </c>
      <c r="BD9">
        <f>'TEA Revised Non EYZ'!BD9</f>
        <v>1</v>
      </c>
      <c r="BE9">
        <f>'TEA Revised Non EYZ'!BE9</f>
        <v>1.8775014999999999E-2</v>
      </c>
      <c r="BF9">
        <f>'TEA Revised Non EYZ'!BF9</f>
        <v>0.10492961100000001</v>
      </c>
      <c r="BG9">
        <f>'TEA Revised Non EYZ'!BG9</f>
        <v>1.814625E-3</v>
      </c>
      <c r="BH9">
        <f>'TEA Revised Non EYZ'!BH9</f>
        <v>285.1951444</v>
      </c>
      <c r="BI9">
        <f>'TEA Revised Non EYZ'!BI9</f>
        <v>2169.8944889999998</v>
      </c>
      <c r="BJ9">
        <f>'TEA Revised Non EYZ'!BJ9</f>
        <v>866.49409060000005</v>
      </c>
      <c r="BK9">
        <f>'TEA Revised Non EYZ'!BK9</f>
        <v>100</v>
      </c>
      <c r="BL9">
        <f>'TEA Revised Non EYZ'!BL9</f>
        <v>18.892482409907799</v>
      </c>
      <c r="BM9">
        <f>'TEA Revised Non EYZ'!BM9</f>
        <v>92.6825353019658</v>
      </c>
      <c r="BN9">
        <f>'TEA Revised Non EYZ'!BN9</f>
        <v>19.929348306734301</v>
      </c>
      <c r="BO9">
        <f>'TEA Revised Non EYZ'!BO9</f>
        <v>188.92482409907799</v>
      </c>
      <c r="BP9">
        <f>'TEA Revised Non EYZ'!BP9</f>
        <v>518.16305597509188</v>
      </c>
      <c r="BQ9">
        <f>'TEA Revised Non EYZ'!BQ9</f>
        <v>18.892482409907799</v>
      </c>
      <c r="BR9">
        <f>'TEA Revised Non EYZ'!BR9</f>
        <v>51.816305597509192</v>
      </c>
      <c r="BS9">
        <f>'eLLE Bals'!CF9</f>
        <v>11.335489445944679</v>
      </c>
      <c r="BT9">
        <f>'eLLE Bals'!CG9</f>
        <v>11.957608984040581</v>
      </c>
      <c r="BU9">
        <f>BM9</f>
        <v>92.6825353019658</v>
      </c>
      <c r="BV9">
        <f>BU9*(AM9*2+AN9*2+AO9*3)</f>
        <v>0.3156794497055459</v>
      </c>
      <c r="BW9">
        <f>BN9*BA9*(AP9*2+AQ9*2+AR9*3)</f>
        <v>0.30309114679096416</v>
      </c>
      <c r="BX9">
        <f>BV9/(2*V9*BL9+BV9)</f>
        <v>7.7104515041067717E-2</v>
      </c>
      <c r="BY9">
        <f>BU9*BX9</f>
        <v>7.1462419372347119</v>
      </c>
      <c r="BZ9">
        <f>BW9/(2*BN9*BA9+BW9)</f>
        <v>7.066773522758299E-2</v>
      </c>
      <c r="CA9">
        <f>2*BN9*BA9/0.04</f>
        <v>99.646741533671516</v>
      </c>
      <c r="CB9">
        <f>(BS9+BL9)*2</f>
        <v>60.455943711704961</v>
      </c>
      <c r="CC9">
        <f>(BU9+BL9)*2</f>
        <v>223.1500354237472</v>
      </c>
      <c r="CD9">
        <f>(BT9+BN9)*2</f>
        <v>63.773914581549761</v>
      </c>
      <c r="CE9">
        <f>(CA9+BN9)*2</f>
        <v>239.15217968081163</v>
      </c>
      <c r="CF9">
        <f>'TEA Revised Non EYZ'!CB9</f>
        <v>2493.8076781078298</v>
      </c>
      <c r="CG9">
        <f>'TEA Revised Non EYZ'!CC9</f>
        <v>6839.7523388712134</v>
      </c>
      <c r="CH9">
        <f>'TEA Revised Non EYZ'!CD9</f>
        <v>3012.9816471142385</v>
      </c>
      <c r="CI9">
        <f>'TEA Revised Non EYZ'!CE9</f>
        <v>52755.617695282395</v>
      </c>
      <c r="CJ9">
        <f>BL9*V9</f>
        <v>1.88924824099078</v>
      </c>
      <c r="CK9">
        <f>CJ9/2*1.2</f>
        <v>1.133548944594468</v>
      </c>
      <c r="CL9">
        <f>'eLLE Bals'!CB9*'Oxidant Feed Composition'!$N$20</f>
        <v>6.2974941366359366E-2</v>
      </c>
      <c r="CM9">
        <f>'eLLE Bals'!CB9*'Oxidant Feed Composition'!$N$21</f>
        <v>3.148747068317967</v>
      </c>
      <c r="CN9">
        <f>'eLLE Bals'!CB9*'Oxidant Feed Composition'!$N$22</f>
        <v>0.94462412049539002</v>
      </c>
      <c r="CO9">
        <f>CN9/CK9</f>
        <v>0.83333333333333337</v>
      </c>
      <c r="CP9">
        <f>CO9</f>
        <v>0.83333333333333337</v>
      </c>
      <c r="CQ9">
        <f>CL9/CO9</f>
        <v>7.5569929639631231E-2</v>
      </c>
      <c r="CR9">
        <f>CM9/CO9</f>
        <v>3.7784964819815601</v>
      </c>
      <c r="CS9">
        <f>BN9*BA9</f>
        <v>1.9929348306734302</v>
      </c>
      <c r="CT9">
        <f>CS9/2*1.2</f>
        <v>1.1957608984040582</v>
      </c>
      <c r="CU9">
        <f>'eLLE Bals'!CC9*'Oxidant Feed Composition'!$N$20</f>
        <v>6.6431161022447699E-2</v>
      </c>
      <c r="CV9">
        <f>'eLLE Bals'!CC9*'Oxidant Feed Composition'!$N$21</f>
        <v>3.3215580511223837</v>
      </c>
      <c r="CW9">
        <f>'eLLE Bals'!CC9*'Oxidant Feed Composition'!$N$22</f>
        <v>0.99646741533671512</v>
      </c>
      <c r="CX9">
        <f>CU9/CP9</f>
        <v>7.971739322693723E-2</v>
      </c>
      <c r="CY9">
        <f>CV9/CP9</f>
        <v>3.98586966134686</v>
      </c>
      <c r="CZ9">
        <f>CJ9</f>
        <v>1.88924824099078</v>
      </c>
      <c r="DA9">
        <f>'eLLE Bals'!BQ9</f>
        <v>3.7784964819815601</v>
      </c>
      <c r="DB9">
        <f>'eLLE Bals'!BU9</f>
        <v>18.834688629789458</v>
      </c>
      <c r="DC9">
        <f>CS9</f>
        <v>1.9929348306734302</v>
      </c>
      <c r="DD9">
        <f>'eLLE Bals'!BX9</f>
        <v>3.9858696613468605</v>
      </c>
      <c r="DE9">
        <f>'eLLE Bals'!CA9</f>
        <v>22.222677050514676</v>
      </c>
      <c r="DF9">
        <f>2*2*(CJ9*'Reagent cost'!$C$36*122.44/1000*1.5+CK9*'Oxidant Feed Composition'!$N$26+CQ9*'Reagent cost'!$C$34+CR9*'Reagent cost'!$C$35)</f>
        <v>192.25204960746129</v>
      </c>
      <c r="DG9">
        <f>2*2*(CS9*'Reagent cost'!$C$36*122.44/1000*1.5+CT9*'Oxidant Feed Composition'!$N$26+CX9*'Reagent cost'!$C$34+CY9*'Reagent cost'!$C$35)</f>
        <v>202.80331489425248</v>
      </c>
      <c r="DH9">
        <f>(AF9+3)*2*(CZ9*'Reagent cost'!$C$38+DA9*'Reagent cost'!$C$39+DB9*'Reagent cost'!$C$36*122.44/1000*1.5)</f>
        <v>7075.8475536772075</v>
      </c>
      <c r="DI9">
        <f>3*2*(DC9*'Reagent cost'!$C$38+DD9*'Reagent cost'!$C$39+DE9*'Reagent cost'!$C$36*122.44/1000*1.5)</f>
        <v>1782.6809101903621</v>
      </c>
      <c r="DJ9">
        <f>7963.6*(CB9/1000)^0.6*1.7*('CAPEX+OPEX'!$G$116/'CAPEX+OPEX'!$G$115)</f>
        <v>2965.5437179814326</v>
      </c>
      <c r="DK9">
        <f>7963.6*(CC9/1000)^0.6*1.7*('CAPEX+OPEX'!$G$116/'CAPEX+OPEX'!$G$115)</f>
        <v>6492.3078360569407</v>
      </c>
      <c r="DL9">
        <f>7963.6*(CD9/1000)^0.6*1.7*('CAPEX+OPEX'!$G$116/'CAPEX+OPEX'!$G$115)</f>
        <v>3062.152202899636</v>
      </c>
      <c r="DM9">
        <f>7963.6*(CE9/1000)^0.6*1.7*('CAPEX+OPEX'!$G$116/'CAPEX+OPEX'!$G$115)</f>
        <v>6767.76911163571</v>
      </c>
      <c r="DN9">
        <f>'TEA Revised Non EYZ'!CM9</f>
        <v>39625.826528698344</v>
      </c>
      <c r="DO9">
        <f>'TEA Revised Non EYZ'!CN9</f>
        <v>4586243.4239371875</v>
      </c>
      <c r="DP9">
        <f>'TEA Revised Non EYZ'!CO9</f>
        <v>11794834.586807497</v>
      </c>
      <c r="DQ9">
        <f>'TEA Revised Non EYZ'!CP9</f>
        <v>2275209.1661185985</v>
      </c>
      <c r="DR9">
        <f>'TEA Revised Non EYZ'!CQ9</f>
        <v>14083914.336508472</v>
      </c>
      <c r="DS9">
        <f>'TEA Revised Non EYZ'!CR9</f>
        <v>1662824.8986326549</v>
      </c>
      <c r="DT9">
        <f>'TEA Revised Non EYZ'!CS9</f>
        <v>461850.0978118488</v>
      </c>
      <c r="DU9">
        <f>'TEA Revised Non EYZ'!CT9</f>
        <v>1187779.4098672394</v>
      </c>
      <c r="DV9">
        <f>'TEA Revised Non EYZ'!CU9</f>
        <v>229121.19544936769</v>
      </c>
      <c r="DW9">
        <f>'TEA Revised Non EYZ'!CV9</f>
        <v>1418297.4196136401</v>
      </c>
      <c r="DX9">
        <f>'TEA Revised Non EYZ'!CW9</f>
        <v>167452.04540804314</v>
      </c>
      <c r="DY9">
        <f>'TEA Revised Non EYZ'!CX9</f>
        <v>3464500.168150139</v>
      </c>
      <c r="DZ9">
        <f>'TEA Revised Non EYZ'!CY9</f>
        <v>845302.75526646047</v>
      </c>
      <c r="EA9">
        <f>'TEA Revised Non EYZ'!CZ9</f>
        <v>2173937.4151190002</v>
      </c>
      <c r="EB9">
        <f>'TEA Revised Non EYZ'!DA9</f>
        <v>419349.86854153901</v>
      </c>
      <c r="EC9">
        <f>'TEA Revised Non EYZ'!DB9</f>
        <v>2595843.8079082798</v>
      </c>
      <c r="ED9">
        <f>'TEA Revised Non EYZ'!DC9</f>
        <v>306479.69120077539</v>
      </c>
      <c r="EE9">
        <f>'TEA Revised Non EYZ'!DD9</f>
        <v>6340913.5380360549</v>
      </c>
      <c r="EF9">
        <v>0.7</v>
      </c>
      <c r="EG9">
        <v>100</v>
      </c>
      <c r="EH9">
        <f>96485*BL9*V9/EF9/EG9/60</f>
        <v>43.40098012666558</v>
      </c>
      <c r="EI9">
        <f>96485*BN9*BA9/EF9/EG9/60</f>
        <v>45.782932651791882</v>
      </c>
      <c r="EJ9">
        <f>EH9*('CAPEX+OPEX'!$O$25+'CAPEX+OPEX'!$O$26)</f>
        <v>1383276.0385970853</v>
      </c>
      <c r="EK9">
        <f>EI9*('CAPEX+OPEX'!$O$25+'CAPEX+OPEX'!$O$26)</f>
        <v>1459193.6294779109</v>
      </c>
      <c r="EL9">
        <f>EJ9*1.12/0.6*'CAPEX+OPEX'!$G$116/'CAPEX+OPEX'!$G$115</f>
        <v>3045497.132381544</v>
      </c>
      <c r="EM9">
        <f>EK9*1.12/0.6*'CAPEX+OPEX'!$G$116/'CAPEX+OPEX'!$G$115</f>
        <v>3212641.5047798106</v>
      </c>
      <c r="EN9">
        <f>EL9+EM9+DY9+EE9+1.15*(SUM(DF9:DM9)+SUM(CF9:CI9))</f>
        <v>16171242.386812316</v>
      </c>
      <c r="EO9">
        <f>EN9/15</f>
        <v>1078082.8257874877</v>
      </c>
      <c r="EP9">
        <f>('eLLE Bals'!CB9+'eLLE Bals'!CC9)*'Oxidant Feed Composition'!$N$28*60*7200</f>
        <v>21581734.325828236</v>
      </c>
      <c r="EQ9" s="53">
        <f>('eLLE Bals'!BR9+'eLLE Bals'!BY9)*'Reagent cost'!$C$38*60*7200*1.5</f>
        <v>784191.24939022167</v>
      </c>
      <c r="ER9">
        <f>'TEA Revised Non EYZ'!DI9</f>
        <v>504921.59999999998</v>
      </c>
      <c r="ES9">
        <f>'TEA Revised Non EYZ'!DJ9</f>
        <v>93.335600169790439</v>
      </c>
      <c r="ET9">
        <f>'TEA Revised Non EYZ'!DK9</f>
        <v>1115.3719868479327</v>
      </c>
      <c r="EU9">
        <f>1.2*SUM(EP9:ET9)</f>
        <v>27446467.059366573</v>
      </c>
      <c r="EV9">
        <f>'TEA Revised Non EYZ'!DM9</f>
        <v>0.70639694042110623</v>
      </c>
      <c r="EW9">
        <f>(BS9*CO9+BT9*CP9)/1000*('Oxidant Feed Composition'!$B$11*'Oxidant Feed Composition'!$O$20+'Oxidant Feed Composition'!$D$11*'Oxidant Feed Composition'!$O$21+'Oxidant Feed Composition'!$F$11*'Oxidant Feed Composition'!$O$27-'Oxidant Feed Composition'!$J$15*18.015)</f>
        <v>2.2668948211004585</v>
      </c>
      <c r="EX9">
        <f>(CZ9*BX9+DC9*BZ9)*368.34/1000</f>
        <v>0.10553153176866059</v>
      </c>
      <c r="EY9">
        <f>'TEA Revised Non EYZ'!DP9</f>
        <v>4.999938342565946E-2</v>
      </c>
      <c r="EZ9">
        <f>SUM(EV9:EX9)-EY9</f>
        <v>3.028823909864566</v>
      </c>
      <c r="FA9">
        <f>EZ9*0.33*60*7200</f>
        <v>431789.13659029256</v>
      </c>
      <c r="FB9">
        <f>'TEA Revised Non EYZ'!DS9</f>
        <v>1.2</v>
      </c>
      <c r="FC9">
        <v>0.5</v>
      </c>
      <c r="FD9">
        <f>'TEA Revised Non EYZ'!DT9</f>
        <v>1410.0862448248422</v>
      </c>
      <c r="FE9">
        <f>'TEA Revised Non EYZ'!DU9</f>
        <v>712.11900740011947</v>
      </c>
      <c r="FF9">
        <f>'TEA Revised Non EYZ'!DV9</f>
        <v>0.7</v>
      </c>
      <c r="FG9">
        <f>'TEA Revised Non EYZ'!DW9</f>
        <v>27520.276190787874</v>
      </c>
      <c r="FH9">
        <f>'TEA Revised Non EYZ'!DX9</f>
        <v>16610.439588917834</v>
      </c>
      <c r="FI9">
        <f>'TEA Revised Non EYZ'!DY9</f>
        <v>7032.645793695051</v>
      </c>
      <c r="FJ9">
        <f>'TEA Revised Non EYZ'!DZ9</f>
        <v>3725.3886787897172</v>
      </c>
      <c r="FK9">
        <f>'TEA Revised Non EYZ'!EA9</f>
        <v>3750.7444233040283</v>
      </c>
      <c r="FL9">
        <f>'TEA Revised Non EYZ'!EB9</f>
        <v>852.82016087006468</v>
      </c>
      <c r="FM9">
        <f>'TEA Revised Non EYZ'!EC9</f>
        <v>46423.887414940575</v>
      </c>
      <c r="FN9">
        <f>'TEA Revised Non EYZ'!ED9</f>
        <v>46693.087050290189</v>
      </c>
      <c r="FO9">
        <f>'TEA Revised Non EYZ'!EE9</f>
        <v>19769.250565647053</v>
      </c>
      <c r="FP9">
        <f>'TEA Revised Non EYZ'!EF9</f>
        <v>10477.895596099019</v>
      </c>
      <c r="FQ9">
        <f>'TEA Revised Non EYZ'!EG9</f>
        <v>10543.600301678431</v>
      </c>
      <c r="FR9">
        <f>'TEA Revised Non EYZ'!EH9</f>
        <v>430.68957567559227</v>
      </c>
      <c r="FS9">
        <f>'TEA Revised Non EYZ'!EI9</f>
        <v>193830.72534069544</v>
      </c>
      <c r="FT9">
        <f>EG9*EH9</f>
        <v>4340.0980126665581</v>
      </c>
      <c r="FU9">
        <f>EG9*EI9</f>
        <v>4578.293265179188</v>
      </c>
      <c r="FV9">
        <f>FC9*(FT9+FU9)/(3.6*10^6)*3600*7200*0.07</f>
        <v>2247.4346020171283</v>
      </c>
      <c r="FW9">
        <f>('CAPEX+OPEX'!$C$39/7/100+0.03)*EL9</f>
        <v>156625.56680819369</v>
      </c>
      <c r="FX9">
        <f>('CAPEX+OPEX'!$C$39/7/100+0.03)*EM9</f>
        <v>165221.56310296169</v>
      </c>
      <c r="FY9">
        <f>SUM(FV9:FX9)</f>
        <v>324094.56451317249</v>
      </c>
      <c r="FZ9">
        <f>FY9+FA9+FS9+EU9</f>
        <v>28396181.485810734</v>
      </c>
      <c r="GA9">
        <f>FZ9+EO9</f>
        <v>29474264.311598223</v>
      </c>
      <c r="GB9">
        <f>GA9/(BK9*60*7200)</f>
        <v>0.68227463684255141</v>
      </c>
      <c r="GC9">
        <f>'TEA Revised Non EYZ'!EM9/'TEA Revised Non EYZ'!EK9*GA9</f>
        <v>2281.1812378638629</v>
      </c>
      <c r="GD9">
        <f>'TEA Revised Non EYZ'!EN9/'TEA Revised Non EYZ'!EK9*GA9</f>
        <v>4151.9986704310677</v>
      </c>
    </row>
    <row r="10" spans="1:186">
      <c r="A10">
        <f>'TEA Revised Non EYZ'!A10</f>
        <v>3</v>
      </c>
      <c r="B10">
        <f>'TEA Revised Non EYZ'!B10</f>
        <v>1.54143585092054E-3</v>
      </c>
      <c r="C10">
        <f>'TEA Revised Non EYZ'!C10</f>
        <v>1.54143585092054E-3</v>
      </c>
      <c r="D10">
        <f>'TEA Revised Non EYZ'!D10</f>
        <v>3.4254130020456501E-4</v>
      </c>
      <c r="E10">
        <f>'TEA Revised Non EYZ'!E10</f>
        <v>0</v>
      </c>
      <c r="F10">
        <f>'TEA Revised Non EYZ'!F10</f>
        <v>0</v>
      </c>
      <c r="G10">
        <f>'TEA Revised Non EYZ'!G10</f>
        <v>0</v>
      </c>
      <c r="H10">
        <f>'TEA Revised Non EYZ'!H10</f>
        <v>1.6300358850230801E-5</v>
      </c>
      <c r="I10">
        <f>'TEA Revised Non EYZ'!I10</f>
        <v>7.4474859607128495E-7</v>
      </c>
      <c r="J10">
        <f>'TEA Revised Non EYZ'!J10</f>
        <v>3.2385704147932398E-4</v>
      </c>
      <c r="K10">
        <f>'TEA Revised Non EYZ'!K10</f>
        <v>8.07271092797512E-2</v>
      </c>
      <c r="L10">
        <f>'TEA Revised Non EYZ'!L10</f>
        <v>8.15504849440159E-2</v>
      </c>
      <c r="M10">
        <f>'TEA Revised Non EYZ'!M10</f>
        <v>9.8897848995466706E-4</v>
      </c>
      <c r="N10">
        <f>'TEA Revised Non EYZ'!N10</f>
        <v>-9.8011876392689601E-17</v>
      </c>
      <c r="O10">
        <f>'TEA Revised Non EYZ'!O10</f>
        <v>1.94289029309402E-16</v>
      </c>
      <c r="P10">
        <f>'TEA Revised Non EYZ'!P10</f>
        <v>-4.3537493488870999E-18</v>
      </c>
      <c r="Q10">
        <f>'TEA Revised Non EYZ'!Q10</f>
        <v>0.18892482409907799</v>
      </c>
      <c r="R10">
        <f>'TEA Revised Non EYZ'!R10</f>
        <v>94.545399718491396</v>
      </c>
      <c r="S10">
        <f>'TEA Revised Non EYZ'!S10</f>
        <v>500</v>
      </c>
      <c r="T10">
        <f>'TEA Revised Non EYZ'!T10</f>
        <v>95</v>
      </c>
      <c r="U10">
        <f>'TEA Revised Non EYZ'!U10</f>
        <v>1</v>
      </c>
      <c r="V10">
        <f>'TEA Revised Non EYZ'!V10</f>
        <v>0.1</v>
      </c>
      <c r="W10">
        <f>'TEA Revised Non EYZ'!W10</f>
        <v>52.931106580020597</v>
      </c>
      <c r="X10" t="str">
        <f>'TEA Revised Non EYZ'!X10</f>
        <v>ddFc</v>
      </c>
      <c r="Y10">
        <f>'TEA Revised Non EYZ'!Y10</f>
        <v>1</v>
      </c>
      <c r="Z10">
        <f>'TEA Revised Non EYZ'!Z10</f>
        <v>0.28318429382522198</v>
      </c>
      <c r="AA10">
        <f>'TEA Revised Non EYZ'!AA10</f>
        <v>0.56945642916197003</v>
      </c>
      <c r="AB10">
        <f>'TEA Revised Non EYZ'!AB10</f>
        <v>3.7698628972227502E-3</v>
      </c>
      <c r="AC10">
        <f>'TEA Revised Non EYZ'!AC10</f>
        <v>1822.2107908876901</v>
      </c>
      <c r="AD10">
        <f>'TEA Revised Non EYZ'!AD10</f>
        <v>2662.6059073104898</v>
      </c>
      <c r="AE10">
        <f>'TEA Revised Non EYZ'!AE10</f>
        <v>2401.5030938442701</v>
      </c>
      <c r="AF10">
        <f>'TEA Revised Non EYZ'!AF10</f>
        <v>12</v>
      </c>
      <c r="AG10">
        <f>'TEA Revised Non EYZ'!AG10</f>
        <v>1.6455478770638001E-3</v>
      </c>
      <c r="AH10">
        <f>'TEA Revised Non EYZ'!AH10</f>
        <v>1.66233163271225E-3</v>
      </c>
      <c r="AI10">
        <f>'TEA Revised Non EYZ'!AI10</f>
        <v>2.0159416943409301E-5</v>
      </c>
      <c r="AJ10">
        <f>'TEA Revised Non EYZ'!AJ10</f>
        <v>0</v>
      </c>
      <c r="AK10">
        <f>'TEA Revised Non EYZ'!AK10</f>
        <v>0</v>
      </c>
      <c r="AL10">
        <f>'TEA Revised Non EYZ'!AL10</f>
        <v>0</v>
      </c>
      <c r="AM10">
        <f>'TEA Revised Non EYZ'!AM10</f>
        <v>1.6083531230386601E-3</v>
      </c>
      <c r="AN10">
        <f>'TEA Revised Non EYZ'!AN10</f>
        <v>6.4624554467975802E-5</v>
      </c>
      <c r="AO10">
        <f>'TEA Revised Non EYZ'!AO10</f>
        <v>2.0025609902478401E-5</v>
      </c>
      <c r="AP10">
        <f>'TEA Revised Non EYZ'!AP10</f>
        <v>1.72977922313241E-3</v>
      </c>
      <c r="AQ10">
        <f>'TEA Revised Non EYZ'!AQ10</f>
        <v>7.4302965056042405E-2</v>
      </c>
      <c r="AR10">
        <f>'TEA Revised Non EYZ'!AR10</f>
        <v>6.2228302183306801E-6</v>
      </c>
      <c r="AS10">
        <f>'TEA Revised Non EYZ'!AS10</f>
        <v>6.7762635780344003E-20</v>
      </c>
      <c r="AT10">
        <f>'TEA Revised Non EYZ'!AT10</f>
        <v>2.168404344971E-19</v>
      </c>
      <c r="AU10">
        <f>'TEA Revised Non EYZ'!AU10</f>
        <v>3.8381180422460401E-21</v>
      </c>
      <c r="AV10">
        <f>'TEA Revised Non EYZ'!AV10</f>
        <v>0.199291566049737</v>
      </c>
      <c r="AW10">
        <f>'TEA Revised Non EYZ'!AW10</f>
        <v>99.336255402095702</v>
      </c>
      <c r="AX10">
        <f>'TEA Revised Non EYZ'!AX10</f>
        <v>500</v>
      </c>
      <c r="AY10">
        <f>'TEA Revised Non EYZ'!AY10</f>
        <v>95</v>
      </c>
      <c r="AZ10">
        <f>'TEA Revised Non EYZ'!AZ10</f>
        <v>0.92682535301965796</v>
      </c>
      <c r="BA10">
        <f>'TEA Revised Non EYZ'!BA10</f>
        <v>0.1</v>
      </c>
      <c r="BB10">
        <f>'TEA Revised Non EYZ'!BB10</f>
        <v>46.505999796717497</v>
      </c>
      <c r="BC10" t="str">
        <f>'TEA Revised Non EYZ'!BC10</f>
        <v>coeFc</v>
      </c>
      <c r="BD10">
        <f>'TEA Revised Non EYZ'!BD10</f>
        <v>1</v>
      </c>
      <c r="BE10">
        <f>'TEA Revised Non EYZ'!BE10</f>
        <v>1.8775014999999999E-2</v>
      </c>
      <c r="BF10">
        <f>'TEA Revised Non EYZ'!BF10</f>
        <v>0.10492961100000001</v>
      </c>
      <c r="BG10">
        <f>'TEA Revised Non EYZ'!BG10</f>
        <v>1.814625E-3</v>
      </c>
      <c r="BH10">
        <f>'TEA Revised Non EYZ'!BH10</f>
        <v>285.1951444</v>
      </c>
      <c r="BI10">
        <f>'TEA Revised Non EYZ'!BI10</f>
        <v>2169.8944889999998</v>
      </c>
      <c r="BJ10">
        <f>'TEA Revised Non EYZ'!BJ10</f>
        <v>866.49409060000005</v>
      </c>
      <c r="BK10">
        <f>'TEA Revised Non EYZ'!BK10</f>
        <v>100</v>
      </c>
      <c r="BL10">
        <f>'TEA Revised Non EYZ'!BL10</f>
        <v>18.892482409907799</v>
      </c>
      <c r="BM10">
        <f>'TEA Revised Non EYZ'!BM10</f>
        <v>92.6825353019658</v>
      </c>
      <c r="BN10">
        <f>'TEA Revised Non EYZ'!BN10</f>
        <v>19.929156604973699</v>
      </c>
      <c r="BO10">
        <f>'TEA Revised Non EYZ'!BO10</f>
        <v>188.92482409907799</v>
      </c>
      <c r="BP10">
        <f>'TEA Revised Non EYZ'!BP10</f>
        <v>558.01638493926362</v>
      </c>
      <c r="BQ10">
        <f>'TEA Revised Non EYZ'!BQ10</f>
        <v>18.892482409907799</v>
      </c>
      <c r="BR10">
        <f>'TEA Revised Non EYZ'!BR10</f>
        <v>55.801638493926362</v>
      </c>
      <c r="BS10">
        <f>'eLLE Bals'!CF10</f>
        <v>11.335489445944679</v>
      </c>
      <c r="BT10">
        <f>'eLLE Bals'!CG10</f>
        <v>11.957493962984218</v>
      </c>
      <c r="BU10">
        <f>BM10</f>
        <v>92.6825353019658</v>
      </c>
      <c r="BV10">
        <f>BU10*(AM10*2+AN10*2+AO10*3)</f>
        <v>0.31567969820000863</v>
      </c>
      <c r="BW10">
        <f>BN10*BA10*(AP10*2+AQ10*2+AR10*3)</f>
        <v>0.30309089829650282</v>
      </c>
      <c r="BX10">
        <f>BV10/(2*V10*BL10+BV10)</f>
        <v>7.7104571055857413E-2</v>
      </c>
      <c r="BY10">
        <f>BU10*BX10</f>
        <v>7.1462471288274347</v>
      </c>
      <c r="BZ10">
        <f>BW10/(2*BN10*BA10+BW10)</f>
        <v>7.0668313109811892E-2</v>
      </c>
      <c r="CA10">
        <f>2*BN10*BA10/0.04</f>
        <v>99.645783024868493</v>
      </c>
      <c r="CB10">
        <f>(BS10+BL10)*2</f>
        <v>60.455943711704961</v>
      </c>
      <c r="CC10">
        <f>(BU10+BL10)*2</f>
        <v>223.1500354237472</v>
      </c>
      <c r="CD10">
        <f>(BT10+BN10)*2</f>
        <v>63.77330113591583</v>
      </c>
      <c r="CE10">
        <f>(CA10+BN10)*2</f>
        <v>239.14987925968438</v>
      </c>
      <c r="CF10">
        <f>'TEA Revised Non EYZ'!CB10</f>
        <v>2493.8076781078298</v>
      </c>
      <c r="CG10">
        <f>'TEA Revised Non EYZ'!CC10</f>
        <v>7365.8162811982802</v>
      </c>
      <c r="CH10">
        <f>'TEA Revised Non EYZ'!CD10</f>
        <v>3012.9816471142385</v>
      </c>
      <c r="CI10">
        <f>'TEA Revised Non EYZ'!CE10</f>
        <v>56813.195638120589</v>
      </c>
      <c r="CJ10">
        <f>BL10*V10</f>
        <v>1.88924824099078</v>
      </c>
      <c r="CK10">
        <f>CJ10/2*1.2</f>
        <v>1.133548944594468</v>
      </c>
      <c r="CL10">
        <f>'eLLE Bals'!CB10*'Oxidant Feed Composition'!$N$20</f>
        <v>6.2974941366359366E-2</v>
      </c>
      <c r="CM10">
        <f>'eLLE Bals'!CB10*'Oxidant Feed Composition'!$N$21</f>
        <v>3.148747068317967</v>
      </c>
      <c r="CN10">
        <f>'eLLE Bals'!CB10*'Oxidant Feed Composition'!$N$22</f>
        <v>0.94462412049539002</v>
      </c>
      <c r="CO10">
        <f>CN10/CK10</f>
        <v>0.83333333333333337</v>
      </c>
      <c r="CP10">
        <f>CO10</f>
        <v>0.83333333333333337</v>
      </c>
      <c r="CQ10">
        <f>CL10/CO10</f>
        <v>7.5569929639631231E-2</v>
      </c>
      <c r="CR10">
        <f>CM10/CO10</f>
        <v>3.7784964819815601</v>
      </c>
      <c r="CS10">
        <f>BN10*BA10</f>
        <v>1.9929156604973699</v>
      </c>
      <c r="CT10">
        <f>CS10/2*1.2</f>
        <v>1.1957493962984218</v>
      </c>
      <c r="CU10">
        <f>'eLLE Bals'!CC10*'Oxidant Feed Composition'!$N$20</f>
        <v>6.6430522016579022E-2</v>
      </c>
      <c r="CV10">
        <f>'eLLE Bals'!CC10*'Oxidant Feed Composition'!$N$21</f>
        <v>3.3215261008289501</v>
      </c>
      <c r="CW10">
        <f>'eLLE Bals'!CC10*'Oxidant Feed Composition'!$N$22</f>
        <v>0.99645783024868495</v>
      </c>
      <c r="CX10">
        <f>CU10/CP10</f>
        <v>7.9716626419894826E-2</v>
      </c>
      <c r="CY10">
        <f>CV10/CP10</f>
        <v>3.9858313209947398</v>
      </c>
      <c r="CZ10">
        <f>CJ10</f>
        <v>1.88924824099078</v>
      </c>
      <c r="DA10">
        <f>'eLLE Bals'!BQ10</f>
        <v>3.7784964819815601</v>
      </c>
      <c r="DB10">
        <f>'eLLE Bals'!BU10</f>
        <v>18.834670829305892</v>
      </c>
      <c r="DC10">
        <f>CS10</f>
        <v>1.9929156604973699</v>
      </c>
      <c r="DD10">
        <f>'eLLE Bals'!BX10</f>
        <v>3.9858313209947398</v>
      </c>
      <c r="DE10">
        <f>'eLLE Bals'!CA10</f>
        <v>22.222232676824724</v>
      </c>
      <c r="DF10">
        <f>2*2*(CJ10*'Reagent cost'!$C$36*122.44/1000*1.5+CK10*'Oxidant Feed Composition'!$N$26+CQ10*'Reagent cost'!$C$34+CR10*'Reagent cost'!$C$35)</f>
        <v>192.25204960746129</v>
      </c>
      <c r="DG10">
        <f>2*2*(CS10*'Reagent cost'!$C$36*122.44/1000*1.5+CT10*'Oxidant Feed Composition'!$N$26+CX10*'Reagent cost'!$C$34+CY10*'Reagent cost'!$C$35)</f>
        <v>202.80136411533474</v>
      </c>
      <c r="DH10">
        <f>(AF10+3)*2*(CZ10*'Reagent cost'!$C$38+DA10*'Reagent cost'!$C$39+DB10*'Reagent cost'!$C$36*122.44/1000*1.5)</f>
        <v>7581.2583098776131</v>
      </c>
      <c r="DI10">
        <f>3*2*(DC10*'Reagent cost'!$C$38+DD10*'Reagent cost'!$C$39+DE10*'Reagent cost'!$C$36*122.44/1000*1.5)</f>
        <v>1782.6458161205437</v>
      </c>
      <c r="DJ10">
        <f>7963.6*(CB10/1000)^0.6*1.7*('CAPEX+OPEX'!$G$116/'CAPEX+OPEX'!$G$115)</f>
        <v>2965.5437179814326</v>
      </c>
      <c r="DK10">
        <f>7963.6*(CC10/1000)^0.6*1.7*('CAPEX+OPEX'!$G$116/'CAPEX+OPEX'!$G$115)</f>
        <v>6492.3078360569407</v>
      </c>
      <c r="DL10">
        <f>7963.6*(CD10/1000)^0.6*1.7*('CAPEX+OPEX'!$G$116/'CAPEX+OPEX'!$G$115)</f>
        <v>3062.1345298351043</v>
      </c>
      <c r="DM10">
        <f>7963.6*(CE10/1000)^0.6*1.7*('CAPEX+OPEX'!$G$116/'CAPEX+OPEX'!$G$115)</f>
        <v>6767.7300517809663</v>
      </c>
      <c r="DN10">
        <f>'TEA Revised Non EYZ'!CM10</f>
        <v>39625.826528698344</v>
      </c>
      <c r="DO10">
        <f>'TEA Revised Non EYZ'!CN10</f>
        <v>4586243.4239371875</v>
      </c>
      <c r="DP10">
        <f>'TEA Revised Non EYZ'!CO10</f>
        <v>11794834.586807497</v>
      </c>
      <c r="DQ10">
        <f>'TEA Revised Non EYZ'!CP10</f>
        <v>2275209.1661185985</v>
      </c>
      <c r="DR10">
        <f>'TEA Revised Non EYZ'!CQ10</f>
        <v>14083914.336508472</v>
      </c>
      <c r="DS10">
        <f>'TEA Revised Non EYZ'!CR10</f>
        <v>1662824.8986326549</v>
      </c>
      <c r="DT10">
        <f>'TEA Revised Non EYZ'!CS10</f>
        <v>461850.0978118488</v>
      </c>
      <c r="DU10">
        <f>'TEA Revised Non EYZ'!CT10</f>
        <v>1187779.4098672394</v>
      </c>
      <c r="DV10">
        <f>'TEA Revised Non EYZ'!CU10</f>
        <v>229121.19544936769</v>
      </c>
      <c r="DW10">
        <f>'TEA Revised Non EYZ'!CV10</f>
        <v>1418297.4196136401</v>
      </c>
      <c r="DX10">
        <f>'TEA Revised Non EYZ'!CW10</f>
        <v>167452.04540804314</v>
      </c>
      <c r="DY10">
        <f>'TEA Revised Non EYZ'!CX10</f>
        <v>3464500.168150139</v>
      </c>
      <c r="DZ10">
        <f>'TEA Revised Non EYZ'!CY10</f>
        <v>886889.57159349206</v>
      </c>
      <c r="EA10">
        <f>'TEA Revised Non EYZ'!CZ10</f>
        <v>2280889.7886038315</v>
      </c>
      <c r="EB10">
        <f>'TEA Revised Non EYZ'!DA10</f>
        <v>439980.85057862528</v>
      </c>
      <c r="EC10">
        <f>'TEA Revised Non EYZ'!DB10</f>
        <v>2723552.9381347802</v>
      </c>
      <c r="ED10">
        <f>'TEA Revised Non EYZ'!DC10</f>
        <v>321557.73814493133</v>
      </c>
      <c r="EE10">
        <f>'TEA Revised Non EYZ'!DD10</f>
        <v>6652870.8870556606</v>
      </c>
      <c r="EF10">
        <v>0.7</v>
      </c>
      <c r="EG10">
        <v>100</v>
      </c>
      <c r="EH10">
        <f>96485*BL10*V10/EF10/EG10/60</f>
        <v>43.40098012666558</v>
      </c>
      <c r="EI10">
        <f>96485*BN10*BA10/EF10/EG10/60</f>
        <v>45.782492262640183</v>
      </c>
      <c r="EJ10">
        <f>EH10*('CAPEX+OPEX'!$O$25+'CAPEX+OPEX'!$O$26)</f>
        <v>1383276.0385970853</v>
      </c>
      <c r="EK10">
        <f>EI10*('CAPEX+OPEX'!$O$25+'CAPEX+OPEX'!$O$26)</f>
        <v>1459179.5933948678</v>
      </c>
      <c r="EL10">
        <f>EJ10*1.12/0.6*'CAPEX+OPEX'!$G$116/'CAPEX+OPEX'!$G$115</f>
        <v>3045497.132381544</v>
      </c>
      <c r="EM10">
        <f>EK10*1.12/0.6*'CAPEX+OPEX'!$G$116/'CAPEX+OPEX'!$G$115</f>
        <v>3212610.602162065</v>
      </c>
      <c r="EN10">
        <f>EL10+EM10+DY10+EE10+1.15*(SUM(DF10:DM10)+SUM(CF10:CI10))</f>
        <v>16489021.135907313</v>
      </c>
      <c r="EO10">
        <f>EN10/15</f>
        <v>1099268.0757271543</v>
      </c>
      <c r="EP10">
        <f>('eLLE Bals'!CB10+'eLLE Bals'!CC10)*'Oxidant Feed Composition'!$N$28*60*7200</f>
        <v>21581627.75546845</v>
      </c>
      <c r="EQ10" s="53">
        <f>('eLLE Bals'!BR10+'eLLE Bals'!BY10)*'Reagent cost'!$C$38*60*7200*1.5</f>
        <v>784190.9833000761</v>
      </c>
      <c r="ER10">
        <f>'TEA Revised Non EYZ'!DI10</f>
        <v>504921.59999999998</v>
      </c>
      <c r="ES10">
        <f>'TEA Revised Non EYZ'!DJ10</f>
        <v>98.596239593061114</v>
      </c>
      <c r="ET10">
        <f>'TEA Revised Non EYZ'!DK10</f>
        <v>1196.5235457046965</v>
      </c>
      <c r="EU10">
        <f>1.2*SUM(EP10:ET10)</f>
        <v>27446442.550264589</v>
      </c>
      <c r="EV10">
        <f>'TEA Revised Non EYZ'!DM10</f>
        <v>0.70639694042110623</v>
      </c>
      <c r="EW10">
        <f>(BS10*CO10+BT10*CP10)/1000*('Oxidant Feed Composition'!$B$11*'Oxidant Feed Composition'!$O$20+'Oxidant Feed Composition'!$D$11*'Oxidant Feed Composition'!$O$21+'Oxidant Feed Composition'!$F$11*'Oxidant Feed Composition'!$O$27-'Oxidant Feed Composition'!$J$15*18.015)</f>
        <v>2.2668836271994941</v>
      </c>
      <c r="EX10">
        <f>(CZ10*BX10+DC10*BZ10)*368.34/1000</f>
        <v>0.10553149595992048</v>
      </c>
      <c r="EY10">
        <f>'TEA Revised Non EYZ'!DP10</f>
        <v>4.999938342565946E-2</v>
      </c>
      <c r="EZ10">
        <f>SUM(EV10:EX10)-EY10</f>
        <v>3.0288126801548612</v>
      </c>
      <c r="FA10">
        <f>EZ10*0.33*60*7200</f>
        <v>431787.53568287706</v>
      </c>
      <c r="FB10">
        <f>'TEA Revised Non EYZ'!DS10</f>
        <v>1.2</v>
      </c>
      <c r="FC10">
        <v>0.5</v>
      </c>
      <c r="FD10">
        <f>'TEA Revised Non EYZ'!DT10</f>
        <v>1410.0873571085197</v>
      </c>
      <c r="FE10">
        <f>'TEA Revised Non EYZ'!DU10</f>
        <v>712.11789511644781</v>
      </c>
      <c r="FF10">
        <f>'TEA Revised Non EYZ'!DV10</f>
        <v>0.7</v>
      </c>
      <c r="FG10">
        <f>'TEA Revised Non EYZ'!DW10</f>
        <v>27520.276190787874</v>
      </c>
      <c r="FH10">
        <f>'TEA Revised Non EYZ'!DX10</f>
        <v>16610.439588917834</v>
      </c>
      <c r="FI10">
        <f>'TEA Revised Non EYZ'!DY10</f>
        <v>7032.645793695051</v>
      </c>
      <c r="FJ10">
        <f>'TEA Revised Non EYZ'!DZ10</f>
        <v>3725.3886787897172</v>
      </c>
      <c r="FK10">
        <f>'TEA Revised Non EYZ'!EA10</f>
        <v>3750.7444233040283</v>
      </c>
      <c r="FL10">
        <f>'TEA Revised Non EYZ'!EB10</f>
        <v>852.82083357923284</v>
      </c>
      <c r="FM10">
        <f>'TEA Revised Non EYZ'!EC10</f>
        <v>49002.992271326162</v>
      </c>
      <c r="FN10">
        <f>'TEA Revised Non EYZ'!ED10</f>
        <v>50584.177637814377</v>
      </c>
      <c r="FO10">
        <f>'TEA Revised Non EYZ'!EE10</f>
        <v>21416.688112784312</v>
      </c>
      <c r="FP10">
        <f>'TEA Revised Non EYZ'!EF10</f>
        <v>11351.053562440606</v>
      </c>
      <c r="FQ10">
        <f>'TEA Revised Non EYZ'!EG10</f>
        <v>11422.233660151634</v>
      </c>
      <c r="FR10">
        <f>'TEA Revised Non EYZ'!EH10</f>
        <v>430.68890296642769</v>
      </c>
      <c r="FS10">
        <f>'TEA Revised Non EYZ'!EI10</f>
        <v>203700.14965655727</v>
      </c>
      <c r="FT10">
        <f>EG10*EH10</f>
        <v>4340.0980126665581</v>
      </c>
      <c r="FU10">
        <f>EG10*EI10</f>
        <v>4578.249226264018</v>
      </c>
      <c r="FV10">
        <f>FC10*(FT10+FU10)/(3.6*10^6)*3600*7200*0.07</f>
        <v>2247.4235042105051</v>
      </c>
      <c r="FW10">
        <f>('CAPEX+OPEX'!$C$39/7/100+0.03)*EL10</f>
        <v>156625.56680819369</v>
      </c>
      <c r="FX10">
        <f>('CAPEX+OPEX'!$C$39/7/100+0.03)*EM10</f>
        <v>165219.97382547762</v>
      </c>
      <c r="FY10">
        <f>SUM(FV10:FX10)</f>
        <v>324092.96413788182</v>
      </c>
      <c r="FZ10">
        <f>FY10+FA10+FS10+EU10</f>
        <v>28406023.199741907</v>
      </c>
      <c r="GA10">
        <f>FZ10+EO10</f>
        <v>29505291.275469061</v>
      </c>
      <c r="GB10">
        <f>GA10/(BK10*60*7200)</f>
        <v>0.68299285359882089</v>
      </c>
      <c r="GC10">
        <f>'TEA Revised Non EYZ'!EM10/'TEA Revised Non EYZ'!EK10*GA10</f>
        <v>2283.5807858353924</v>
      </c>
      <c r="GD10">
        <f>'TEA Revised Non EYZ'!EN10/'TEA Revised Non EYZ'!EK10*GA10</f>
        <v>4156.3753771038155</v>
      </c>
    </row>
    <row r="11" spans="1:186">
      <c r="A11">
        <f>'TEA Revised Non EYZ'!A11</f>
        <v>3</v>
      </c>
      <c r="B11">
        <f>'TEA Revised Non EYZ'!B11</f>
        <v>1.54143585092054E-3</v>
      </c>
      <c r="C11">
        <f>'TEA Revised Non EYZ'!C11</f>
        <v>1.54143585092054E-3</v>
      </c>
      <c r="D11">
        <f>'TEA Revised Non EYZ'!D11</f>
        <v>3.4254130020456501E-4</v>
      </c>
      <c r="E11">
        <f>'TEA Revised Non EYZ'!E11</f>
        <v>0</v>
      </c>
      <c r="F11">
        <f>'TEA Revised Non EYZ'!F11</f>
        <v>0</v>
      </c>
      <c r="G11">
        <f>'TEA Revised Non EYZ'!G11</f>
        <v>0</v>
      </c>
      <c r="H11">
        <f>'TEA Revised Non EYZ'!H11</f>
        <v>1.6300358850230801E-5</v>
      </c>
      <c r="I11">
        <f>'TEA Revised Non EYZ'!I11</f>
        <v>7.4474859607128495E-7</v>
      </c>
      <c r="J11">
        <f>'TEA Revised Non EYZ'!J11</f>
        <v>3.2385704147932398E-4</v>
      </c>
      <c r="K11">
        <f>'TEA Revised Non EYZ'!K11</f>
        <v>8.07271092797512E-2</v>
      </c>
      <c r="L11">
        <f>'TEA Revised Non EYZ'!L11</f>
        <v>8.15504849440159E-2</v>
      </c>
      <c r="M11">
        <f>'TEA Revised Non EYZ'!M11</f>
        <v>9.8897848995466706E-4</v>
      </c>
      <c r="N11">
        <f>'TEA Revised Non EYZ'!N11</f>
        <v>-9.8011876392689601E-17</v>
      </c>
      <c r="O11">
        <f>'TEA Revised Non EYZ'!O11</f>
        <v>1.94289029309402E-16</v>
      </c>
      <c r="P11">
        <f>'TEA Revised Non EYZ'!P11</f>
        <v>-4.3537493488870999E-18</v>
      </c>
      <c r="Q11">
        <f>'TEA Revised Non EYZ'!Q11</f>
        <v>0.18892482409907799</v>
      </c>
      <c r="R11">
        <f>'TEA Revised Non EYZ'!R11</f>
        <v>94.545399718491396</v>
      </c>
      <c r="S11">
        <f>'TEA Revised Non EYZ'!S11</f>
        <v>500</v>
      </c>
      <c r="T11">
        <f>'TEA Revised Non EYZ'!T11</f>
        <v>95</v>
      </c>
      <c r="U11">
        <f>'TEA Revised Non EYZ'!U11</f>
        <v>1</v>
      </c>
      <c r="V11">
        <f>'TEA Revised Non EYZ'!V11</f>
        <v>0.1</v>
      </c>
      <c r="W11">
        <f>'TEA Revised Non EYZ'!W11</f>
        <v>52.931106580020597</v>
      </c>
      <c r="X11" t="str">
        <f>'TEA Revised Non EYZ'!X11</f>
        <v>ddFc</v>
      </c>
      <c r="Y11">
        <f>'TEA Revised Non EYZ'!Y11</f>
        <v>1</v>
      </c>
      <c r="Z11">
        <f>'TEA Revised Non EYZ'!Z11</f>
        <v>0.28318429382522198</v>
      </c>
      <c r="AA11">
        <f>'TEA Revised Non EYZ'!AA11</f>
        <v>0.56945642916197003</v>
      </c>
      <c r="AB11">
        <f>'TEA Revised Non EYZ'!AB11</f>
        <v>3.7698628972227502E-3</v>
      </c>
      <c r="AC11">
        <f>'TEA Revised Non EYZ'!AC11</f>
        <v>1822.2107908876901</v>
      </c>
      <c r="AD11">
        <f>'TEA Revised Non EYZ'!AD11</f>
        <v>2662.6059073104898</v>
      </c>
      <c r="AE11">
        <f>'TEA Revised Non EYZ'!AE11</f>
        <v>2401.5030938442701</v>
      </c>
      <c r="AF11">
        <f>'TEA Revised Non EYZ'!AF11</f>
        <v>13</v>
      </c>
      <c r="AG11">
        <f>'TEA Revised Non EYZ'!AG11</f>
        <v>1.6455478770638001E-3</v>
      </c>
      <c r="AH11">
        <f>'TEA Revised Non EYZ'!AH11</f>
        <v>1.66233163271225E-3</v>
      </c>
      <c r="AI11">
        <f>'TEA Revised Non EYZ'!AI11</f>
        <v>2.0159416943409301E-5</v>
      </c>
      <c r="AJ11">
        <f>'TEA Revised Non EYZ'!AJ11</f>
        <v>0</v>
      </c>
      <c r="AK11">
        <f>'TEA Revised Non EYZ'!AK11</f>
        <v>0</v>
      </c>
      <c r="AL11">
        <f>'TEA Revised Non EYZ'!AL11</f>
        <v>0</v>
      </c>
      <c r="AM11">
        <f>'TEA Revised Non EYZ'!AM11</f>
        <v>1.60835348661086E-3</v>
      </c>
      <c r="AN11">
        <f>'TEA Revised Non EYZ'!AN11</f>
        <v>6.4624572349144705E-5</v>
      </c>
      <c r="AO11">
        <f>'TEA Revised Non EYZ'!AO11</f>
        <v>2.0025611156689701E-5</v>
      </c>
      <c r="AP11">
        <f>'TEA Revised Non EYZ'!AP11</f>
        <v>1.72976707272807E-3</v>
      </c>
      <c r="AQ11">
        <f>'TEA Revised Non EYZ'!AQ11</f>
        <v>7.43031686023614E-2</v>
      </c>
      <c r="AR11">
        <f>'TEA Revised Non EYZ'!AR11</f>
        <v>6.2227890063413899E-6</v>
      </c>
      <c r="AS11">
        <f>'TEA Revised Non EYZ'!AS11</f>
        <v>2.6305455209929499E-17</v>
      </c>
      <c r="AT11">
        <f>'TEA Revised Non EYZ'!AT11</f>
        <v>-2.1278551837200498E-15</v>
      </c>
      <c r="AU11">
        <f>'TEA Revised Non EYZ'!AU11</f>
        <v>-5.2939559203393696E-22</v>
      </c>
      <c r="AV11">
        <f>'TEA Revised Non EYZ'!AV11</f>
        <v>0.19929101787970099</v>
      </c>
      <c r="AW11">
        <f>'TEA Revised Non EYZ'!AW11</f>
        <v>99.336261623561896</v>
      </c>
      <c r="AX11">
        <f>'TEA Revised Non EYZ'!AX11</f>
        <v>500</v>
      </c>
      <c r="AY11">
        <f>'TEA Revised Non EYZ'!AY11</f>
        <v>95</v>
      </c>
      <c r="AZ11">
        <f>'TEA Revised Non EYZ'!AZ11</f>
        <v>0.92682535301965796</v>
      </c>
      <c r="BA11">
        <f>'TEA Revised Non EYZ'!BA11</f>
        <v>0.1</v>
      </c>
      <c r="BB11">
        <f>'TEA Revised Non EYZ'!BB11</f>
        <v>46.506127716158304</v>
      </c>
      <c r="BC11" t="str">
        <f>'TEA Revised Non EYZ'!BC11</f>
        <v>coeFc</v>
      </c>
      <c r="BD11">
        <f>'TEA Revised Non EYZ'!BD11</f>
        <v>1</v>
      </c>
      <c r="BE11">
        <f>'TEA Revised Non EYZ'!BE11</f>
        <v>1.8775014999999999E-2</v>
      </c>
      <c r="BF11">
        <f>'TEA Revised Non EYZ'!BF11</f>
        <v>0.10492961100000001</v>
      </c>
      <c r="BG11">
        <f>'TEA Revised Non EYZ'!BG11</f>
        <v>1.814625E-3</v>
      </c>
      <c r="BH11">
        <f>'TEA Revised Non EYZ'!BH11</f>
        <v>285.1951444</v>
      </c>
      <c r="BI11">
        <f>'TEA Revised Non EYZ'!BI11</f>
        <v>2169.8944889999998</v>
      </c>
      <c r="BJ11">
        <f>'TEA Revised Non EYZ'!BJ11</f>
        <v>866.49409060000005</v>
      </c>
      <c r="BK11">
        <f>'TEA Revised Non EYZ'!BK11</f>
        <v>100</v>
      </c>
      <c r="BL11">
        <f>'TEA Revised Non EYZ'!BL11</f>
        <v>18.892482409907799</v>
      </c>
      <c r="BM11">
        <f>'TEA Revised Non EYZ'!BM11</f>
        <v>92.6825353019658</v>
      </c>
      <c r="BN11">
        <f>'TEA Revised Non EYZ'!BN11</f>
        <v>19.929101787970101</v>
      </c>
      <c r="BO11">
        <f>'TEA Revised Non EYZ'!BO11</f>
        <v>188.92482409907799</v>
      </c>
      <c r="BP11">
        <f>'TEA Revised Non EYZ'!BP11</f>
        <v>597.87305363910298</v>
      </c>
      <c r="BQ11">
        <f>'TEA Revised Non EYZ'!BQ11</f>
        <v>18.892482409907799</v>
      </c>
      <c r="BR11">
        <f>'TEA Revised Non EYZ'!BR11</f>
        <v>59.787305363910299</v>
      </c>
      <c r="BS11">
        <f>'eLLE Bals'!CF11</f>
        <v>11.335489445944679</v>
      </c>
      <c r="BT11">
        <f>'eLLE Bals'!CG11</f>
        <v>11.95746107278206</v>
      </c>
      <c r="BU11">
        <f>BM11</f>
        <v>92.6825353019658</v>
      </c>
      <c r="BV11">
        <f>BU11*(AM11*2+AN11*2+AO11*3)</f>
        <v>0.31567976925686969</v>
      </c>
      <c r="BW11">
        <f>BN11*BA11*(AP11*2+AQ11*2+AR11*3)</f>
        <v>0.30309082724006198</v>
      </c>
      <c r="BX11">
        <f>BV11/(2*V11*BL11+BV11)</f>
        <v>7.7104587073255834E-2</v>
      </c>
      <c r="BY11">
        <f>BU11*BX11</f>
        <v>7.1462486133605294</v>
      </c>
      <c r="BZ11">
        <f>BW11/(2*BN11*BA11+BW11)</f>
        <v>7.0668478356887943E-2</v>
      </c>
      <c r="CA11">
        <f>2*BN11*BA11/0.04</f>
        <v>99.645508939850515</v>
      </c>
      <c r="CB11">
        <f>(BS11+BL11)*2</f>
        <v>60.455943711704961</v>
      </c>
      <c r="CC11">
        <f>(BU11+BL11)*2</f>
        <v>223.1500354237472</v>
      </c>
      <c r="CD11">
        <f>(BT11+BN11)*2</f>
        <v>63.773125721504321</v>
      </c>
      <c r="CE11">
        <f>(CA11+BN11)*2</f>
        <v>239.14922145564123</v>
      </c>
      <c r="CF11">
        <f>'TEA Revised Non EYZ'!CB11</f>
        <v>2493.8076781078298</v>
      </c>
      <c r="CG11">
        <f>'TEA Revised Non EYZ'!CC11</f>
        <v>7891.9243080361593</v>
      </c>
      <c r="CH11">
        <f>'TEA Revised Non EYZ'!CD11</f>
        <v>3012.9816471142385</v>
      </c>
      <c r="CI11">
        <f>'TEA Revised Non EYZ'!CE11</f>
        <v>60871.113608708845</v>
      </c>
      <c r="CJ11">
        <f>BL11*V11</f>
        <v>1.88924824099078</v>
      </c>
      <c r="CK11">
        <f>CJ11/2*1.2</f>
        <v>1.133548944594468</v>
      </c>
      <c r="CL11">
        <f>'eLLE Bals'!CB11*'Oxidant Feed Composition'!$N$20</f>
        <v>6.2974941366359366E-2</v>
      </c>
      <c r="CM11">
        <f>'eLLE Bals'!CB11*'Oxidant Feed Composition'!$N$21</f>
        <v>3.148747068317967</v>
      </c>
      <c r="CN11">
        <f>'eLLE Bals'!CB11*'Oxidant Feed Composition'!$N$22</f>
        <v>0.94462412049539002</v>
      </c>
      <c r="CO11">
        <f>CN11/CK11</f>
        <v>0.83333333333333337</v>
      </c>
      <c r="CP11">
        <f>CO11</f>
        <v>0.83333333333333337</v>
      </c>
      <c r="CQ11">
        <f>CL11/CO11</f>
        <v>7.5569929639631231E-2</v>
      </c>
      <c r="CR11">
        <f>CM11/CO11</f>
        <v>3.7784964819815601</v>
      </c>
      <c r="CS11">
        <f>BN11*BA11</f>
        <v>1.9929101787970103</v>
      </c>
      <c r="CT11">
        <f>CS11/2*1.2</f>
        <v>1.1957461072782061</v>
      </c>
      <c r="CU11">
        <f>'eLLE Bals'!CC11*'Oxidant Feed Composition'!$N$20</f>
        <v>6.6430339293233706E-2</v>
      </c>
      <c r="CV11">
        <f>'eLLE Bals'!CC11*'Oxidant Feed Composition'!$N$21</f>
        <v>3.3215169646616838</v>
      </c>
      <c r="CW11">
        <f>'eLLE Bals'!CC11*'Oxidant Feed Composition'!$N$22</f>
        <v>0.99645508939850513</v>
      </c>
      <c r="CX11">
        <f>CU11/CP11</f>
        <v>7.9716407151880442E-2</v>
      </c>
      <c r="CY11">
        <f>CV11/CP11</f>
        <v>3.9858203575940205</v>
      </c>
      <c r="CZ11">
        <f>CJ11</f>
        <v>1.88924824099078</v>
      </c>
      <c r="DA11">
        <f>'eLLE Bals'!BQ11</f>
        <v>3.7784964819815601</v>
      </c>
      <c r="DB11">
        <f>'eLLE Bals'!BU11</f>
        <v>18.834665739277149</v>
      </c>
      <c r="DC11">
        <f>CS11</f>
        <v>1.9929101787970103</v>
      </c>
      <c r="DD11">
        <f>'eLLE Bals'!BX11</f>
        <v>3.9858203575940205</v>
      </c>
      <c r="DE11">
        <f>'eLLE Bals'!CA11</f>
        <v>22.222105609145771</v>
      </c>
      <c r="DF11">
        <f>2*2*(CJ11*'Reagent cost'!$C$36*122.44/1000*1.5+CK11*'Oxidant Feed Composition'!$N$26+CQ11*'Reagent cost'!$C$34+CR11*'Reagent cost'!$C$35)</f>
        <v>192.25204960746129</v>
      </c>
      <c r="DG11">
        <f>2*2*(CS11*'Reagent cost'!$C$36*122.44/1000*1.5+CT11*'Oxidant Feed Composition'!$N$26+CX11*'Reagent cost'!$C$34+CY11*'Reagent cost'!$C$35)</f>
        <v>202.8008062912719</v>
      </c>
      <c r="DH11">
        <f>(AF11+3)*2*(CZ11*'Reagent cost'!$C$38+DA11*'Reagent cost'!$C$39+DB11*'Reagent cost'!$C$36*122.44/1000*1.5)</f>
        <v>8086.6734179593186</v>
      </c>
      <c r="DI11">
        <f>3*2*(DC11*'Reagent cost'!$C$38+DD11*'Reagent cost'!$C$39+DE11*'Reagent cost'!$C$36*122.44/1000*1.5)</f>
        <v>1782.6357810476702</v>
      </c>
      <c r="DJ11">
        <f>7963.6*(CB11/1000)^0.6*1.7*('CAPEX+OPEX'!$G$116/'CAPEX+OPEX'!$G$115)</f>
        <v>2965.5437179814326</v>
      </c>
      <c r="DK11">
        <f>7963.6*(CC11/1000)^0.6*1.7*('CAPEX+OPEX'!$G$116/'CAPEX+OPEX'!$G$115)</f>
        <v>6492.3078360569407</v>
      </c>
      <c r="DL11">
        <f>7963.6*(CD11/1000)^0.6*1.7*('CAPEX+OPEX'!$G$116/'CAPEX+OPEX'!$G$115)</f>
        <v>3062.1294762203861</v>
      </c>
      <c r="DM11">
        <f>7963.6*(CE11/1000)^0.6*1.7*('CAPEX+OPEX'!$G$116/'CAPEX+OPEX'!$G$115)</f>
        <v>6767.7188826112706</v>
      </c>
      <c r="DN11">
        <f>'TEA Revised Non EYZ'!CM11</f>
        <v>39625.826528698344</v>
      </c>
      <c r="DO11">
        <f>'TEA Revised Non EYZ'!CN11</f>
        <v>4586243.4239371875</v>
      </c>
      <c r="DP11">
        <f>'TEA Revised Non EYZ'!CO11</f>
        <v>11794834.586807497</v>
      </c>
      <c r="DQ11">
        <f>'TEA Revised Non EYZ'!CP11</f>
        <v>2275209.1661185985</v>
      </c>
      <c r="DR11">
        <f>'TEA Revised Non EYZ'!CQ11</f>
        <v>14083914.336508472</v>
      </c>
      <c r="DS11">
        <f>'TEA Revised Non EYZ'!CR11</f>
        <v>1662824.8986326549</v>
      </c>
      <c r="DT11">
        <f>'TEA Revised Non EYZ'!CS11</f>
        <v>461850.0978118488</v>
      </c>
      <c r="DU11">
        <f>'TEA Revised Non EYZ'!CT11</f>
        <v>1187779.4098672394</v>
      </c>
      <c r="DV11">
        <f>'TEA Revised Non EYZ'!CU11</f>
        <v>229121.19544936769</v>
      </c>
      <c r="DW11">
        <f>'TEA Revised Non EYZ'!CV11</f>
        <v>1418297.4196136401</v>
      </c>
      <c r="DX11">
        <f>'TEA Revised Non EYZ'!CW11</f>
        <v>167452.04540804314</v>
      </c>
      <c r="DY11">
        <f>'TEA Revised Non EYZ'!CX11</f>
        <v>3464500.168150139</v>
      </c>
      <c r="DZ11">
        <f>'TEA Revised Non EYZ'!CY11</f>
        <v>927214.80686572916</v>
      </c>
      <c r="EA11">
        <f>'TEA Revised Non EYZ'!CZ11</f>
        <v>2384597.6461561932</v>
      </c>
      <c r="EB11">
        <f>'TEA Revised Non EYZ'!DA11</f>
        <v>459985.96946054435</v>
      </c>
      <c r="EC11">
        <f>'TEA Revised Non EYZ'!DB11</f>
        <v>2847387.873761938</v>
      </c>
      <c r="ED11">
        <f>'TEA Revised Non EYZ'!DC11</f>
        <v>336178.3762261807</v>
      </c>
      <c r="EE11">
        <f>'TEA Revised Non EYZ'!DD11</f>
        <v>6955364.6724705845</v>
      </c>
      <c r="EF11">
        <v>0.7</v>
      </c>
      <c r="EG11">
        <v>100</v>
      </c>
      <c r="EH11">
        <f>96485*BL11*V11/EF11/EG11/60</f>
        <v>43.40098012666558</v>
      </c>
      <c r="EI11">
        <f>96485*BN11*BA11/EF11/EG11/60</f>
        <v>45.782366333626086</v>
      </c>
      <c r="EJ11">
        <f>EH11*('CAPEX+OPEX'!$O$25+'CAPEX+OPEX'!$O$26)</f>
        <v>1383276.0385970853</v>
      </c>
      <c r="EK11">
        <f>EI11*('CAPEX+OPEX'!$O$25+'CAPEX+OPEX'!$O$26)</f>
        <v>1459175.5797853307</v>
      </c>
      <c r="EL11">
        <f>EJ11*1.12/0.6*'CAPEX+OPEX'!$G$116/'CAPEX+OPEX'!$G$115</f>
        <v>3045497.132381544</v>
      </c>
      <c r="EM11">
        <f>EK11*1.12/0.6*'CAPEX+OPEX'!$G$116/'CAPEX+OPEX'!$G$115</f>
        <v>3212601.7655770336</v>
      </c>
      <c r="EN11">
        <f>EL11+EM11+DY11+EE11+1.15*(SUM(DF11:DM11)+SUM(CF11:CI11))</f>
        <v>16797358.911170505</v>
      </c>
      <c r="EO11">
        <f>EN11/15</f>
        <v>1119823.927411367</v>
      </c>
      <c r="EP11">
        <f>('eLLE Bals'!CB11+'eLLE Bals'!CC11)*'Oxidant Feed Composition'!$N$28*60*7200</f>
        <v>21581597.281737912</v>
      </c>
      <c r="EQ11" s="53">
        <f>('eLLE Bals'!BR11+'eLLE Bals'!BY11)*'Reagent cost'!$C$38*60*7200*1.5</f>
        <v>784190.90721152711</v>
      </c>
      <c r="ER11">
        <f>'TEA Revised Non EYZ'!DI11</f>
        <v>504921.59999999998</v>
      </c>
      <c r="ES11">
        <f>'TEA Revised Non EYZ'!DJ11</f>
        <v>103.8573198614399</v>
      </c>
      <c r="ET11">
        <f>'TEA Revised Non EYZ'!DK11</f>
        <v>1277.6819051164618</v>
      </c>
      <c r="EU11">
        <f>1.2*SUM(EP11:ET11)</f>
        <v>27446509.593809303</v>
      </c>
      <c r="EV11">
        <f>'TEA Revised Non EYZ'!DM11</f>
        <v>0.70639694042110623</v>
      </c>
      <c r="EW11">
        <f>(BS11*CO11+BT11*CP11)/1000*('Oxidant Feed Composition'!$B$11*'Oxidant Feed Composition'!$O$20+'Oxidant Feed Composition'!$D$11*'Oxidant Feed Composition'!$O$21+'Oxidant Feed Composition'!$F$11*'Oxidant Feed Composition'!$O$27-'Oxidant Feed Composition'!$J$15*18.015)</f>
        <v>2.2668804263102191</v>
      </c>
      <c r="EX11">
        <f>(CZ11*BX11+DC11*BZ11)*368.34/1000</f>
        <v>0.10553148572040158</v>
      </c>
      <c r="EY11">
        <f>'TEA Revised Non EYZ'!DP11</f>
        <v>4.999938342565946E-2</v>
      </c>
      <c r="EZ11">
        <f>SUM(EV11:EX11)-EY11</f>
        <v>3.0288094690260676</v>
      </c>
      <c r="FA11">
        <f>EZ11*0.33*60*7200</f>
        <v>431787.07790435624</v>
      </c>
      <c r="FB11">
        <f>'TEA Revised Non EYZ'!DS11</f>
        <v>1.2</v>
      </c>
      <c r="FC11">
        <v>0.5</v>
      </c>
      <c r="FD11">
        <f>'TEA Revised Non EYZ'!DT11</f>
        <v>1410.0876751654584</v>
      </c>
      <c r="FE11">
        <f>'TEA Revised Non EYZ'!DU11</f>
        <v>712.11757706046228</v>
      </c>
      <c r="FF11">
        <f>'TEA Revised Non EYZ'!DV11</f>
        <v>0.7</v>
      </c>
      <c r="FG11">
        <f>'TEA Revised Non EYZ'!DW11</f>
        <v>27520.276190787874</v>
      </c>
      <c r="FH11">
        <f>'TEA Revised Non EYZ'!DX11</f>
        <v>16610.439588917834</v>
      </c>
      <c r="FI11">
        <f>'TEA Revised Non EYZ'!DY11</f>
        <v>7032.645793695051</v>
      </c>
      <c r="FJ11">
        <f>'TEA Revised Non EYZ'!DZ11</f>
        <v>3725.3886787897172</v>
      </c>
      <c r="FK11">
        <f>'TEA Revised Non EYZ'!EA11</f>
        <v>3750.7444233040283</v>
      </c>
      <c r="FL11">
        <f>'TEA Revised Non EYZ'!EB11</f>
        <v>852.82102594006926</v>
      </c>
      <c r="FM11">
        <f>'TEA Revised Non EYZ'!EC11</f>
        <v>51582.09712771175</v>
      </c>
      <c r="FN11">
        <f>'TEA Revised Non EYZ'!ED11</f>
        <v>54475.26822533855</v>
      </c>
      <c r="FO11">
        <f>'TEA Revised Non EYZ'!EE11</f>
        <v>23064.125659921559</v>
      </c>
      <c r="FP11">
        <f>'TEA Revised Non EYZ'!EF11</f>
        <v>12224.211528782187</v>
      </c>
      <c r="FQ11">
        <f>'TEA Revised Non EYZ'!EG11</f>
        <v>12300.867018624835</v>
      </c>
      <c r="FR11">
        <f>'TEA Revised Non EYZ'!EH11</f>
        <v>430.6887106061676</v>
      </c>
      <c r="FS11">
        <f>'TEA Revised Non EYZ'!EI11</f>
        <v>213569.57397241963</v>
      </c>
      <c r="FT11">
        <f>EG11*EH11</f>
        <v>4340.0980126665581</v>
      </c>
      <c r="FU11">
        <f>EG11*EI11</f>
        <v>4578.2366333626087</v>
      </c>
      <c r="FV11">
        <f>FC11*(FT11+FU11)/(3.6*10^6)*3600*7200*0.07</f>
        <v>2247.4203307993503</v>
      </c>
      <c r="FW11">
        <f>('CAPEX+OPEX'!$C$39/7/100+0.03)*EL11</f>
        <v>156625.56680819369</v>
      </c>
      <c r="FX11">
        <f>('CAPEX+OPEX'!$C$39/7/100+0.03)*EM11</f>
        <v>165219.51937253316</v>
      </c>
      <c r="FY11">
        <f>SUM(FV11:FX11)</f>
        <v>324092.50651152618</v>
      </c>
      <c r="FZ11">
        <f>FY11+FA11+FS11+EU11</f>
        <v>28415958.752197605</v>
      </c>
      <c r="GA11">
        <f>FZ11+EO11</f>
        <v>29535782.679608971</v>
      </c>
      <c r="GB11">
        <f>GA11/(BK11*60*7200)</f>
        <v>0.6836986731390966</v>
      </c>
      <c r="GC11">
        <f>'TEA Revised Non EYZ'!EM11/'TEA Revised Non EYZ'!EK11*GA11</f>
        <v>2285.9401706298368</v>
      </c>
      <c r="GD11">
        <f>'TEA Revised Non EYZ'!EN11/'TEA Revised Non EYZ'!EK11*GA11</f>
        <v>4160.6723771656134</v>
      </c>
    </row>
    <row r="12" spans="1:186">
      <c r="A12">
        <f>'TEA Revised Non EYZ'!A12</f>
        <v>4</v>
      </c>
      <c r="B12">
        <f>'TEA Revised Non EYZ'!B12</f>
        <v>1.54143585092054E-3</v>
      </c>
      <c r="C12">
        <f>'TEA Revised Non EYZ'!C12</f>
        <v>1.54143585092054E-3</v>
      </c>
      <c r="D12">
        <f>'TEA Revised Non EYZ'!D12</f>
        <v>3.4254130020456501E-4</v>
      </c>
      <c r="E12">
        <f>'TEA Revised Non EYZ'!E12</f>
        <v>0</v>
      </c>
      <c r="F12">
        <f>'TEA Revised Non EYZ'!F12</f>
        <v>0</v>
      </c>
      <c r="G12">
        <f>'TEA Revised Non EYZ'!G12</f>
        <v>0</v>
      </c>
      <c r="H12">
        <f>'TEA Revised Non EYZ'!H12</f>
        <v>1.7208960911287699E-5</v>
      </c>
      <c r="I12">
        <f>'TEA Revised Non EYZ'!I12</f>
        <v>2.8768784818324402E-7</v>
      </c>
      <c r="J12">
        <f>'TEA Revised Non EYZ'!J12</f>
        <v>3.3243632642994598E-4</v>
      </c>
      <c r="K12">
        <f>'TEA Revised Non EYZ'!K12</f>
        <v>0.10920586178936199</v>
      </c>
      <c r="L12">
        <f>'TEA Revised Non EYZ'!L12</f>
        <v>0.110418215553449</v>
      </c>
      <c r="M12">
        <f>'TEA Revised Non EYZ'!M12</f>
        <v>7.2398825703009801E-4</v>
      </c>
      <c r="N12">
        <f>'TEA Revised Non EYZ'!N12</f>
        <v>-2.168404344971E-18</v>
      </c>
      <c r="O12">
        <f>'TEA Revised Non EYZ'!O12</f>
        <v>2.3635607360183901E-17</v>
      </c>
      <c r="P12">
        <f>'TEA Revised Non EYZ'!P12</f>
        <v>-7.4538899358378406E-20</v>
      </c>
      <c r="Q12">
        <f>'TEA Revised Non EYZ'!Q12</f>
        <v>0.13957372480144001</v>
      </c>
      <c r="R12">
        <f>'TEA Revised Non EYZ'!R12</f>
        <v>97.0499984181222</v>
      </c>
      <c r="S12">
        <f>'TEA Revised Non EYZ'!S12</f>
        <v>500</v>
      </c>
      <c r="T12">
        <f>'TEA Revised Non EYZ'!T12</f>
        <v>95</v>
      </c>
      <c r="U12">
        <f>'TEA Revised Non EYZ'!U12</f>
        <v>1</v>
      </c>
      <c r="V12">
        <f>'TEA Revised Non EYZ'!V12</f>
        <v>0.1</v>
      </c>
      <c r="W12">
        <f>'TEA Revised Non EYZ'!W12</f>
        <v>71.646723007687299</v>
      </c>
      <c r="X12" t="str">
        <f>'TEA Revised Non EYZ'!X12</f>
        <v>ddFc</v>
      </c>
      <c r="Y12">
        <f>'TEA Revised Non EYZ'!Y12</f>
        <v>1</v>
      </c>
      <c r="Z12">
        <f>'TEA Revised Non EYZ'!Z12</f>
        <v>0.28318429382522198</v>
      </c>
      <c r="AA12">
        <f>'TEA Revised Non EYZ'!AA12</f>
        <v>0.56945642916197003</v>
      </c>
      <c r="AB12">
        <f>'TEA Revised Non EYZ'!AB12</f>
        <v>3.7698628972227502E-3</v>
      </c>
      <c r="AC12">
        <f>'TEA Revised Non EYZ'!AC12</f>
        <v>1822.2107908876901</v>
      </c>
      <c r="AD12">
        <f>'TEA Revised Non EYZ'!AD12</f>
        <v>2662.6059073104898</v>
      </c>
      <c r="AE12">
        <f>'TEA Revised Non EYZ'!AE12</f>
        <v>2401.5030938442701</v>
      </c>
      <c r="AF12">
        <f>'TEA Revised Non EYZ'!AF12</f>
        <v>4</v>
      </c>
      <c r="AG12">
        <f>'TEA Revised Non EYZ'!AG12</f>
        <v>1.6481650483119699E-3</v>
      </c>
      <c r="AH12">
        <f>'TEA Revised Non EYZ'!AH12</f>
        <v>1.6664622263884801E-3</v>
      </c>
      <c r="AI12">
        <f>'TEA Revised Non EYZ'!AI12</f>
        <v>1.0926630870116399E-5</v>
      </c>
      <c r="AJ12">
        <f>'TEA Revised Non EYZ'!AJ12</f>
        <v>0</v>
      </c>
      <c r="AK12">
        <f>'TEA Revised Non EYZ'!AK12</f>
        <v>0</v>
      </c>
      <c r="AL12">
        <f>'TEA Revised Non EYZ'!AL12</f>
        <v>0</v>
      </c>
      <c r="AM12">
        <f>'TEA Revised Non EYZ'!AM12</f>
        <v>1.6024673892141501E-3</v>
      </c>
      <c r="AN12">
        <f>'TEA Revised Non EYZ'!AN12</f>
        <v>7.3502024125801294E-5</v>
      </c>
      <c r="AO12">
        <f>'TEA Revised Non EYZ'!AO12</f>
        <v>1.0838364815948499E-5</v>
      </c>
      <c r="AP12">
        <f>'TEA Revised Non EYZ'!AP12</f>
        <v>2.0055299493415999E-3</v>
      </c>
      <c r="AQ12">
        <f>'TEA Revised Non EYZ'!AQ12</f>
        <v>6.9910132309146902E-2</v>
      </c>
      <c r="AR12">
        <f>'TEA Revised Non EYZ'!AR12</f>
        <v>3.8737261084868501E-6</v>
      </c>
      <c r="AS12">
        <f>'TEA Revised Non EYZ'!AS12</f>
        <v>-3.2526065174565099E-19</v>
      </c>
      <c r="AT12">
        <f>'TEA Revised Non EYZ'!AT12</f>
        <v>2.6020852139652099E-18</v>
      </c>
      <c r="AU12">
        <f>'TEA Revised Non EYZ'!AU12</f>
        <v>7.9409338805090598E-23</v>
      </c>
      <c r="AV12">
        <f>'TEA Revised Non EYZ'!AV12</f>
        <v>0.21072386371722801</v>
      </c>
      <c r="AW12">
        <f>'TEA Revised Non EYZ'!AW12</f>
        <v>99.192193319083202</v>
      </c>
      <c r="AX12">
        <f>'TEA Revised Non EYZ'!AX12</f>
        <v>500</v>
      </c>
      <c r="AY12">
        <f>'TEA Revised Non EYZ'!AY12</f>
        <v>95</v>
      </c>
      <c r="AZ12">
        <f>'TEA Revised Non EYZ'!AZ12</f>
        <v>0.92480233795174105</v>
      </c>
      <c r="BA12">
        <f>'TEA Revised Non EYZ'!BA12</f>
        <v>0.1</v>
      </c>
      <c r="BB12">
        <f>'TEA Revised Non EYZ'!BB12</f>
        <v>43.8869296356837</v>
      </c>
      <c r="BC12" t="str">
        <f>'TEA Revised Non EYZ'!BC12</f>
        <v>coeFc</v>
      </c>
      <c r="BD12">
        <f>'TEA Revised Non EYZ'!BD12</f>
        <v>1</v>
      </c>
      <c r="BE12">
        <f>'TEA Revised Non EYZ'!BE12</f>
        <v>1.8775014999999999E-2</v>
      </c>
      <c r="BF12">
        <f>'TEA Revised Non EYZ'!BF12</f>
        <v>0.10492961100000001</v>
      </c>
      <c r="BG12">
        <f>'TEA Revised Non EYZ'!BG12</f>
        <v>1.814625E-3</v>
      </c>
      <c r="BH12">
        <f>'TEA Revised Non EYZ'!BH12</f>
        <v>285.1951444</v>
      </c>
      <c r="BI12">
        <f>'TEA Revised Non EYZ'!BI12</f>
        <v>2169.8944889999998</v>
      </c>
      <c r="BJ12">
        <f>'TEA Revised Non EYZ'!BJ12</f>
        <v>866.49409060000005</v>
      </c>
      <c r="BK12">
        <f>'TEA Revised Non EYZ'!BK12</f>
        <v>100</v>
      </c>
      <c r="BL12">
        <f>'TEA Revised Non EYZ'!BL12</f>
        <v>13.957372480144</v>
      </c>
      <c r="BM12">
        <f>'TEA Revised Non EYZ'!BM12</f>
        <v>92.480233795174101</v>
      </c>
      <c r="BN12">
        <f>'TEA Revised Non EYZ'!BN12</f>
        <v>21.0723863717228</v>
      </c>
      <c r="BO12">
        <f>'TEA Revised Non EYZ'!BO12</f>
        <v>167.488469761728</v>
      </c>
      <c r="BP12">
        <f>'TEA Revised Non EYZ'!BP12</f>
        <v>252.8686364606736</v>
      </c>
      <c r="BQ12">
        <f>'TEA Revised Non EYZ'!BQ12</f>
        <v>16.7488469761728</v>
      </c>
      <c r="BR12">
        <f>'TEA Revised Non EYZ'!BR12</f>
        <v>25.28686364606736</v>
      </c>
      <c r="BS12">
        <f>'eLLE Bals'!CF12</f>
        <v>8.3744234880863999</v>
      </c>
      <c r="BT12">
        <f>'eLLE Bals'!CG12</f>
        <v>12.64343182303368</v>
      </c>
      <c r="BU12">
        <f>BM12</f>
        <v>92.480233795174101</v>
      </c>
      <c r="BV12">
        <f>BU12*(AM12*2+AN12*2+AO12*3)</f>
        <v>0.31299508989488789</v>
      </c>
      <c r="BW12">
        <f>BN12*BA12*(AP12*2+AQ12*2+AR12*3)</f>
        <v>0.30311141285381543</v>
      </c>
      <c r="BX12">
        <f>BV12/(2*V12*BL12+BV12)</f>
        <v>0.10082079441656405</v>
      </c>
      <c r="BY12">
        <f>BU12*BX12</f>
        <v>9.3239306390590269</v>
      </c>
      <c r="BZ12">
        <f>BW12/(2*BN12*BA12+BW12)</f>
        <v>6.709584113152027E-2</v>
      </c>
      <c r="CA12">
        <f>2*BN12*BA12/0.04</f>
        <v>105.361931858614</v>
      </c>
      <c r="CB12">
        <f>(BS12+BL12)*2</f>
        <v>44.663591936460804</v>
      </c>
      <c r="CC12">
        <f>(BU12+BL12)*2</f>
        <v>212.87521255063621</v>
      </c>
      <c r="CD12">
        <f>(BT12+BN12)*2</f>
        <v>67.43163638951296</v>
      </c>
      <c r="CE12">
        <f>(CA12+BN12)*2</f>
        <v>252.8686364606736</v>
      </c>
      <c r="CF12">
        <f>'TEA Revised Non EYZ'!CB12</f>
        <v>2210.8478008548095</v>
      </c>
      <c r="CG12">
        <f>'TEA Revised Non EYZ'!CC12</f>
        <v>3337.8660012808914</v>
      </c>
      <c r="CH12">
        <f>'TEA Revised Non EYZ'!CD12</f>
        <v>2671.1136977461792</v>
      </c>
      <c r="CI12">
        <f>'TEA Revised Non EYZ'!CE12</f>
        <v>25745.25713173945</v>
      </c>
      <c r="CJ12">
        <f>BL12*V12</f>
        <v>1.3957372480144001</v>
      </c>
      <c r="CK12">
        <f>CJ12/2*1.2</f>
        <v>0.8374423488086401</v>
      </c>
      <c r="CL12">
        <f>'eLLE Bals'!CB12*'Oxidant Feed Composition'!$N$20</f>
        <v>4.6524574933813359E-2</v>
      </c>
      <c r="CM12">
        <f>'eLLE Bals'!CB12*'Oxidant Feed Composition'!$N$21</f>
        <v>2.326228746690667</v>
      </c>
      <c r="CN12">
        <f>'eLLE Bals'!CB12*'Oxidant Feed Composition'!$N$22</f>
        <v>0.69786862400720007</v>
      </c>
      <c r="CO12">
        <f>CN12/CK12</f>
        <v>0.83333333333333326</v>
      </c>
      <c r="CP12">
        <f>CO12</f>
        <v>0.83333333333333326</v>
      </c>
      <c r="CQ12">
        <f>CL12/CO12</f>
        <v>5.5829489920576035E-2</v>
      </c>
      <c r="CR12">
        <f>CM12/CO12</f>
        <v>2.7914744960288007</v>
      </c>
      <c r="CS12">
        <f>BN12*BA12</f>
        <v>2.10723863717228</v>
      </c>
      <c r="CT12">
        <f>CS12/2*1.2</f>
        <v>1.264343182303368</v>
      </c>
      <c r="CU12">
        <f>'eLLE Bals'!CC12*'Oxidant Feed Composition'!$N$20</f>
        <v>7.0241287905742703E-2</v>
      </c>
      <c r="CV12">
        <f>'eLLE Bals'!CC12*'Oxidant Feed Composition'!$N$21</f>
        <v>3.5120643952871338</v>
      </c>
      <c r="CW12">
        <f>'eLLE Bals'!CC12*'Oxidant Feed Composition'!$N$22</f>
        <v>1.05361931858614</v>
      </c>
      <c r="CX12">
        <f>CU12/CP12</f>
        <v>8.4289545486891257E-2</v>
      </c>
      <c r="CY12">
        <f>CV12/CP12</f>
        <v>4.2144772743445609</v>
      </c>
      <c r="CZ12">
        <f>CJ12</f>
        <v>1.3957372480144001</v>
      </c>
      <c r="DA12">
        <f>'eLLE Bals'!BQ12</f>
        <v>2.7914744960288003</v>
      </c>
      <c r="DB12">
        <f>'eLLE Bals'!BU12</f>
        <v>9.6565320599145217</v>
      </c>
      <c r="DC12">
        <f>CS12</f>
        <v>2.10723863717228</v>
      </c>
      <c r="DD12">
        <f>'eLLE Bals'!BX12</f>
        <v>4.21447727434456</v>
      </c>
      <c r="DE12">
        <f>'eLLE Bals'!CA12</f>
        <v>25.08468129038577</v>
      </c>
      <c r="DF12">
        <f>2*2*(CJ12*'Reagent cost'!$C$36*122.44/1000*1.5+CK12*'Oxidant Feed Composition'!$N$26+CQ12*'Reagent cost'!$C$34+CR12*'Reagent cost'!$C$35)</f>
        <v>142.03180970200279</v>
      </c>
      <c r="DG12">
        <f>2*2*(CS12*'Reagent cost'!$C$36*122.44/1000*1.5+CT12*'Oxidant Feed Composition'!$N$26+CX12*'Reagent cost'!$C$34+CY12*'Reagent cost'!$C$35)</f>
        <v>214.43500023900853</v>
      </c>
      <c r="DH12">
        <f>(AF12+3)*2*(CZ12*'Reagent cost'!$C$38+DA12*'Reagent cost'!$C$39+DB12*'Reagent cost'!$C$36*122.44/1000*1.5)</f>
        <v>1840.5465561013129</v>
      </c>
      <c r="DI12">
        <f>3*2*(DC12*'Reagent cost'!$C$38+DD12*'Reagent cost'!$C$39+DE12*'Reagent cost'!$C$36*122.44/1000*1.5)</f>
        <v>2008.4604334777564</v>
      </c>
      <c r="DJ12">
        <f>7963.6*(CB12/1000)^0.6*1.7*('CAPEX+OPEX'!$G$116/'CAPEX+OPEX'!$G$115)</f>
        <v>2472.9373618126128</v>
      </c>
      <c r="DK12">
        <f>7963.6*(CC12/1000)^0.6*1.7*('CAPEX+OPEX'!$G$116/'CAPEX+OPEX'!$G$115)</f>
        <v>6311.2587327211604</v>
      </c>
      <c r="DL12">
        <f>7963.6*(CD12/1000)^0.6*1.7*('CAPEX+OPEX'!$G$116/'CAPEX+OPEX'!$G$115)</f>
        <v>3166.3516645760283</v>
      </c>
      <c r="DM12">
        <f>7963.6*(CE12/1000)^0.6*1.7*('CAPEX+OPEX'!$G$116/'CAPEX+OPEX'!$G$115)</f>
        <v>6998.0639668407448</v>
      </c>
      <c r="DN12">
        <f>'TEA Revised Non EYZ'!CM12</f>
        <v>39625.826528698344</v>
      </c>
      <c r="DO12">
        <f>'TEA Revised Non EYZ'!CN12</f>
        <v>4586243.4239371875</v>
      </c>
      <c r="DP12">
        <f>'TEA Revised Non EYZ'!CO12</f>
        <v>11794834.586807497</v>
      </c>
      <c r="DQ12">
        <f>'TEA Revised Non EYZ'!CP12</f>
        <v>2275209.1661185985</v>
      </c>
      <c r="DR12">
        <f>'TEA Revised Non EYZ'!CQ12</f>
        <v>14083914.336508472</v>
      </c>
      <c r="DS12">
        <f>'TEA Revised Non EYZ'!CR12</f>
        <v>1662824.8986326549</v>
      </c>
      <c r="DT12">
        <f>'TEA Revised Non EYZ'!CS12</f>
        <v>528015.95740622084</v>
      </c>
      <c r="DU12">
        <f>'TEA Revised Non EYZ'!CT12</f>
        <v>1357943.8117688675</v>
      </c>
      <c r="DV12">
        <f>'TEA Revised Non EYZ'!CU12</f>
        <v>261945.7004565605</v>
      </c>
      <c r="DW12">
        <f>'TEA Revised Non EYZ'!CV12</f>
        <v>1621486.4378120217</v>
      </c>
      <c r="DX12">
        <f>'TEA Revised Non EYZ'!CW12</f>
        <v>191441.6658016555</v>
      </c>
      <c r="DY12">
        <f>'TEA Revised Non EYZ'!CX12</f>
        <v>3960833.5732453261</v>
      </c>
      <c r="DZ12">
        <f>'TEA Revised Non EYZ'!CY12</f>
        <v>499116.89330887963</v>
      </c>
      <c r="EA12">
        <f>'TEA Revised Non EYZ'!CZ12</f>
        <v>1283621.6161866134</v>
      </c>
      <c r="EB12">
        <f>'TEA Revised Non EYZ'!DA12</f>
        <v>247609.03982853101</v>
      </c>
      <c r="EC12">
        <f>'TEA Revised Non EYZ'!DB12</f>
        <v>1532740.1795938283</v>
      </c>
      <c r="ED12">
        <f>'TEA Revised Non EYZ'!DC12</f>
        <v>180963.79123498313</v>
      </c>
      <c r="EE12">
        <f>'TEA Revised Non EYZ'!DD12</f>
        <v>3744051.5201528352</v>
      </c>
      <c r="EF12">
        <v>0.7</v>
      </c>
      <c r="EG12">
        <v>100</v>
      </c>
      <c r="EH12">
        <f>96485*BL12*V12/EF12/EG12/60</f>
        <v>32.063740089207002</v>
      </c>
      <c r="EI12">
        <f>96485*BN12*BA12/EF12/EG12/60</f>
        <v>48.408790454182729</v>
      </c>
      <c r="EJ12">
        <f>EH12*('CAPEX+OPEX'!$O$25+'CAPEX+OPEX'!$O$26)</f>
        <v>1021935.5241232056</v>
      </c>
      <c r="EK12">
        <f>EI12*('CAPEX+OPEX'!$O$25+'CAPEX+OPEX'!$O$26)</f>
        <v>1542884.9693557119</v>
      </c>
      <c r="EL12">
        <f>EJ12*1.12/0.6*'CAPEX+OPEX'!$G$116/'CAPEX+OPEX'!$G$115</f>
        <v>2249949.8446835969</v>
      </c>
      <c r="EM12">
        <f>EK12*1.12/0.6*'CAPEX+OPEX'!$G$116/'CAPEX+OPEX'!$G$115</f>
        <v>3396900.9934799206</v>
      </c>
      <c r="EN12">
        <f>EL12+EM12+DY12+EE12+1.15*(SUM(DF12:DM12)+SUM(CF12:CI12))</f>
        <v>13417422.977242334</v>
      </c>
      <c r="EO12">
        <f>EN12/15</f>
        <v>894494.86514948891</v>
      </c>
      <c r="EP12">
        <f>('eLLE Bals'!CB12+'eLLE Bals'!CC12)*'Oxidant Feed Composition'!$N$28*60*7200</f>
        <v>19473655.288356528</v>
      </c>
      <c r="EQ12" s="53">
        <f>('eLLE Bals'!BR12+'eLLE Bals'!BY12)*'Reagent cost'!$C$38*60*7200*1.5</f>
        <v>772149.50709830737</v>
      </c>
      <c r="ER12">
        <f>'TEA Revised Non EYZ'!DI12</f>
        <v>504921.59999999998</v>
      </c>
      <c r="ES12">
        <f>'TEA Revised Non EYZ'!DJ12</f>
        <v>55.487138021357005</v>
      </c>
      <c r="ET12">
        <f>'TEA Revised Non EYZ'!DK12</f>
        <v>568.32741658971258</v>
      </c>
      <c r="EU12">
        <f>1.2*SUM(EP12:ET12)</f>
        <v>24901620.252011336</v>
      </c>
      <c r="EV12">
        <f>'TEA Revised Non EYZ'!DM12</f>
        <v>0.70639694042110623</v>
      </c>
      <c r="EW12">
        <f>(BS12*CO12+BT12*CP12)/1000*('Oxidant Feed Composition'!$B$11*'Oxidant Feed Composition'!$O$20+'Oxidant Feed Composition'!$D$11*'Oxidant Feed Composition'!$O$21+'Oxidant Feed Composition'!$F$11*'Oxidant Feed Composition'!$O$27-'Oxidant Feed Composition'!$J$15*18.015)</f>
        <v>2.0454671369130955</v>
      </c>
      <c r="EX12">
        <f>(CZ12*BX12+DC12*BZ12)*368.34/1000</f>
        <v>0.10391102974161383</v>
      </c>
      <c r="EY12">
        <f>'TEA Revised Non EYZ'!DP12</f>
        <v>4.999938342565946E-2</v>
      </c>
      <c r="EZ12">
        <f>SUM(EV12:EX12)-EY12</f>
        <v>2.8057757236501559</v>
      </c>
      <c r="FA12">
        <f>EZ12*0.33*60*7200</f>
        <v>399991.38716356625</v>
      </c>
      <c r="FB12">
        <f>'TEA Revised Non EYZ'!DS12</f>
        <v>1.2</v>
      </c>
      <c r="FC12">
        <v>0.5</v>
      </c>
      <c r="FD12">
        <f>'TEA Revised Non EYZ'!DT12</f>
        <v>1399.9243143059966</v>
      </c>
      <c r="FE12">
        <f>'TEA Revised Non EYZ'!DU12</f>
        <v>715.74335746108125</v>
      </c>
      <c r="FF12">
        <f>'TEA Revised Non EYZ'!DV12</f>
        <v>0.7</v>
      </c>
      <c r="FG12">
        <f>'TEA Revised Non EYZ'!DW12</f>
        <v>30272.303809866662</v>
      </c>
      <c r="FH12">
        <f>'TEA Revised Non EYZ'!DX12</f>
        <v>20763.049486147294</v>
      </c>
      <c r="FI12">
        <f>'TEA Revised Non EYZ'!DY12</f>
        <v>8790.8072421188135</v>
      </c>
      <c r="FJ12">
        <f>'TEA Revised Non EYZ'!DZ12</f>
        <v>4656.7358484871465</v>
      </c>
      <c r="FK12">
        <f>'TEA Revised Non EYZ'!EA12</f>
        <v>4688.4305291300352</v>
      </c>
      <c r="FL12">
        <f>'TEA Revised Non EYZ'!EB12</f>
        <v>846.6742252922669</v>
      </c>
      <c r="FM12">
        <f>'TEA Revised Non EYZ'!EC12</f>
        <v>28317.261416507248</v>
      </c>
      <c r="FN12">
        <f>'TEA Revised Non EYZ'!ED12</f>
        <v>19419.096223372169</v>
      </c>
      <c r="FO12">
        <f>'TEA Revised Non EYZ'!EE12</f>
        <v>8221.7947719922486</v>
      </c>
      <c r="FP12">
        <f>'TEA Revised Non EYZ'!EF12</f>
        <v>4357.6980650255673</v>
      </c>
      <c r="FQ12">
        <f>'TEA Revised Non EYZ'!EG12</f>
        <v>4384.9572117292009</v>
      </c>
      <c r="FR12">
        <f>'TEA Revised Non EYZ'!EH12</f>
        <v>432.88158259246194</v>
      </c>
      <c r="FS12">
        <f>'TEA Revised Non EYZ'!EI12</f>
        <v>135151.69041226112</v>
      </c>
      <c r="FT12">
        <f>EG12*EH12</f>
        <v>3206.3740089207004</v>
      </c>
      <c r="FU12">
        <f>EG12*EI12</f>
        <v>4840.8790454182727</v>
      </c>
      <c r="FV12">
        <f>FC12*(FT12+FU12)/(3.6*10^6)*3600*7200*0.07</f>
        <v>2027.9077696934212</v>
      </c>
      <c r="FW12">
        <f>('CAPEX+OPEX'!$C$39/7/100+0.03)*EL12</f>
        <v>115711.70629801355</v>
      </c>
      <c r="FX12">
        <f>('CAPEX+OPEX'!$C$39/7/100+0.03)*EM12</f>
        <v>174697.76537896733</v>
      </c>
      <c r="FY12">
        <f>SUM(FV12:FX12)</f>
        <v>292437.37944667431</v>
      </c>
      <c r="FZ12">
        <f>FY12+FA12+FS12+EU12</f>
        <v>25729200.709033839</v>
      </c>
      <c r="GA12">
        <f>FZ12+EO12</f>
        <v>26623695.57418333</v>
      </c>
      <c r="GB12">
        <f>GA12/(BK12*60*7200)</f>
        <v>0.61628924940239194</v>
      </c>
      <c r="GC12">
        <f>'TEA Revised Non EYZ'!EM12/'TEA Revised Non EYZ'!EK12*GA12</f>
        <v>2072.4440243084332</v>
      </c>
      <c r="GD12">
        <f>'TEA Revised Non EYZ'!EN12/'TEA Revised Non EYZ'!EK12*GA12</f>
        <v>3734.4524319153247</v>
      </c>
    </row>
    <row r="13" spans="1:186">
      <c r="A13">
        <f>'TEA Revised Non EYZ'!A13</f>
        <v>4</v>
      </c>
      <c r="B13">
        <f>'TEA Revised Non EYZ'!B13</f>
        <v>1.54143585092054E-3</v>
      </c>
      <c r="C13">
        <f>'TEA Revised Non EYZ'!C13</f>
        <v>1.54143585092054E-3</v>
      </c>
      <c r="D13">
        <f>'TEA Revised Non EYZ'!D13</f>
        <v>3.4254130020456501E-4</v>
      </c>
      <c r="E13">
        <f>'TEA Revised Non EYZ'!E13</f>
        <v>0</v>
      </c>
      <c r="F13">
        <f>'TEA Revised Non EYZ'!F13</f>
        <v>0</v>
      </c>
      <c r="G13">
        <f>'TEA Revised Non EYZ'!G13</f>
        <v>0</v>
      </c>
      <c r="H13">
        <f>'TEA Revised Non EYZ'!H13</f>
        <v>1.7208960911287699E-5</v>
      </c>
      <c r="I13">
        <f>'TEA Revised Non EYZ'!I13</f>
        <v>2.8768784818324402E-7</v>
      </c>
      <c r="J13">
        <f>'TEA Revised Non EYZ'!J13</f>
        <v>3.3243632642994598E-4</v>
      </c>
      <c r="K13">
        <f>'TEA Revised Non EYZ'!K13</f>
        <v>0.10920586178936199</v>
      </c>
      <c r="L13">
        <f>'TEA Revised Non EYZ'!L13</f>
        <v>0.110418215553449</v>
      </c>
      <c r="M13">
        <f>'TEA Revised Non EYZ'!M13</f>
        <v>7.2398825703009801E-4</v>
      </c>
      <c r="N13">
        <f>'TEA Revised Non EYZ'!N13</f>
        <v>-2.168404344971E-18</v>
      </c>
      <c r="O13">
        <f>'TEA Revised Non EYZ'!O13</f>
        <v>2.3635607360183901E-17</v>
      </c>
      <c r="P13">
        <f>'TEA Revised Non EYZ'!P13</f>
        <v>-7.4538899358378406E-20</v>
      </c>
      <c r="Q13">
        <f>'TEA Revised Non EYZ'!Q13</f>
        <v>0.13957372480144001</v>
      </c>
      <c r="R13">
        <f>'TEA Revised Non EYZ'!R13</f>
        <v>97.0499984181222</v>
      </c>
      <c r="S13">
        <f>'TEA Revised Non EYZ'!S13</f>
        <v>500</v>
      </c>
      <c r="T13">
        <f>'TEA Revised Non EYZ'!T13</f>
        <v>95</v>
      </c>
      <c r="U13">
        <f>'TEA Revised Non EYZ'!U13</f>
        <v>1</v>
      </c>
      <c r="V13">
        <f>'TEA Revised Non EYZ'!V13</f>
        <v>0.1</v>
      </c>
      <c r="W13">
        <f>'TEA Revised Non EYZ'!W13</f>
        <v>71.646723007687299</v>
      </c>
      <c r="X13" t="str">
        <f>'TEA Revised Non EYZ'!X13</f>
        <v>ddFc</v>
      </c>
      <c r="Y13">
        <f>'TEA Revised Non EYZ'!Y13</f>
        <v>1</v>
      </c>
      <c r="Z13">
        <f>'TEA Revised Non EYZ'!Z13</f>
        <v>0.28318429382522198</v>
      </c>
      <c r="AA13">
        <f>'TEA Revised Non EYZ'!AA13</f>
        <v>0.56945642916197003</v>
      </c>
      <c r="AB13">
        <f>'TEA Revised Non EYZ'!AB13</f>
        <v>3.7698628972227502E-3</v>
      </c>
      <c r="AC13">
        <f>'TEA Revised Non EYZ'!AC13</f>
        <v>1822.2107908876901</v>
      </c>
      <c r="AD13">
        <f>'TEA Revised Non EYZ'!AD13</f>
        <v>2662.6059073104898</v>
      </c>
      <c r="AE13">
        <f>'TEA Revised Non EYZ'!AE13</f>
        <v>2401.5030938442701</v>
      </c>
      <c r="AF13">
        <f>'TEA Revised Non EYZ'!AF13</f>
        <v>5</v>
      </c>
      <c r="AG13">
        <f>'TEA Revised Non EYZ'!AG13</f>
        <v>1.6481650483119699E-3</v>
      </c>
      <c r="AH13">
        <f>'TEA Revised Non EYZ'!AH13</f>
        <v>1.6664622263884801E-3</v>
      </c>
      <c r="AI13">
        <f>'TEA Revised Non EYZ'!AI13</f>
        <v>1.0926630870116399E-5</v>
      </c>
      <c r="AJ13">
        <f>'TEA Revised Non EYZ'!AJ13</f>
        <v>0</v>
      </c>
      <c r="AK13">
        <f>'TEA Revised Non EYZ'!AK13</f>
        <v>0</v>
      </c>
      <c r="AL13">
        <f>'TEA Revised Non EYZ'!AL13</f>
        <v>0</v>
      </c>
      <c r="AM13">
        <f>'TEA Revised Non EYZ'!AM13</f>
        <v>1.6085253260061899E-3</v>
      </c>
      <c r="AN13">
        <f>'TEA Revised Non EYZ'!AN13</f>
        <v>7.3809557032336595E-5</v>
      </c>
      <c r="AO13">
        <f>'TEA Revised Non EYZ'!AO13</f>
        <v>1.08496706522018E-5</v>
      </c>
      <c r="AP13">
        <f>'TEA Revised Non EYZ'!AP13</f>
        <v>1.817766908322E-3</v>
      </c>
      <c r="AQ13">
        <f>'TEA Revised Non EYZ'!AQ13</f>
        <v>7.3034601414750294E-2</v>
      </c>
      <c r="AR13">
        <f>'TEA Revised Non EYZ'!AR13</f>
        <v>3.5291805604209299E-6</v>
      </c>
      <c r="AS13">
        <f>'TEA Revised Non EYZ'!AS13</f>
        <v>-2.4283418158244002E-16</v>
      </c>
      <c r="AT13">
        <f>'TEA Revised Non EYZ'!AT13</f>
        <v>-3.67848113080881E-15</v>
      </c>
      <c r="AU13">
        <f>'TEA Revised Non EYZ'!AU13</f>
        <v>-2.6574335231123502E-19</v>
      </c>
      <c r="AV13">
        <f>'TEA Revised Non EYZ'!AV13</f>
        <v>0.201670014436726</v>
      </c>
      <c r="AW13">
        <f>'TEA Revised Non EYZ'!AW13</f>
        <v>99.295663788504896</v>
      </c>
      <c r="AX13">
        <f>'TEA Revised Non EYZ'!AX13</f>
        <v>500</v>
      </c>
      <c r="AY13">
        <f>'TEA Revised Non EYZ'!AY13</f>
        <v>95</v>
      </c>
      <c r="AZ13">
        <f>'TEA Revised Non EYZ'!AZ13</f>
        <v>0.92480233795174105</v>
      </c>
      <c r="BA13">
        <f>'TEA Revised Non EYZ'!BA13</f>
        <v>0.1</v>
      </c>
      <c r="BB13">
        <f>'TEA Revised Non EYZ'!BB13</f>
        <v>45.857205918031703</v>
      </c>
      <c r="BC13" t="str">
        <f>'TEA Revised Non EYZ'!BC13</f>
        <v>coeFc</v>
      </c>
      <c r="BD13">
        <f>'TEA Revised Non EYZ'!BD13</f>
        <v>1</v>
      </c>
      <c r="BE13">
        <f>'TEA Revised Non EYZ'!BE13</f>
        <v>1.8775014999999999E-2</v>
      </c>
      <c r="BF13">
        <f>'TEA Revised Non EYZ'!BF13</f>
        <v>0.10492961100000001</v>
      </c>
      <c r="BG13">
        <f>'TEA Revised Non EYZ'!BG13</f>
        <v>1.814625E-3</v>
      </c>
      <c r="BH13">
        <f>'TEA Revised Non EYZ'!BH13</f>
        <v>285.1951444</v>
      </c>
      <c r="BI13">
        <f>'TEA Revised Non EYZ'!BI13</f>
        <v>2169.8944889999998</v>
      </c>
      <c r="BJ13">
        <f>'TEA Revised Non EYZ'!BJ13</f>
        <v>866.49409060000005</v>
      </c>
      <c r="BK13">
        <f>'TEA Revised Non EYZ'!BK13</f>
        <v>100</v>
      </c>
      <c r="BL13">
        <f>'TEA Revised Non EYZ'!BL13</f>
        <v>13.957372480144</v>
      </c>
      <c r="BM13">
        <f>'TEA Revised Non EYZ'!BM13</f>
        <v>92.480233795174101</v>
      </c>
      <c r="BN13">
        <f>'TEA Revised Non EYZ'!BN13</f>
        <v>20.1670014436726</v>
      </c>
      <c r="BO13">
        <f>'TEA Revised Non EYZ'!BO13</f>
        <v>167.488469761728</v>
      </c>
      <c r="BP13">
        <f>'TEA Revised Non EYZ'!BP13</f>
        <v>282.33802021141639</v>
      </c>
      <c r="BQ13">
        <f>'TEA Revised Non EYZ'!BQ13</f>
        <v>16.7488469761728</v>
      </c>
      <c r="BR13">
        <f>'TEA Revised Non EYZ'!BR13</f>
        <v>28.233802021141642</v>
      </c>
      <c r="BS13">
        <f>'eLLE Bals'!CF13</f>
        <v>8.3744234880863999</v>
      </c>
      <c r="BT13">
        <f>'eLLE Bals'!CG13</f>
        <v>12.10020086620356</v>
      </c>
      <c r="BU13">
        <f>BM13</f>
        <v>92.480233795174101</v>
      </c>
      <c r="BV13">
        <f>BU13*(AM13*2+AN13*2+AO13*3)</f>
        <v>0.31417558684590846</v>
      </c>
      <c r="BW13">
        <f>BN13*BA13*(AP13*2+AQ13*2+AR13*3)</f>
        <v>0.30193091590357951</v>
      </c>
      <c r="BX13">
        <f>BV13/(2*V13*BL13+BV13)</f>
        <v>0.10116258382692474</v>
      </c>
      <c r="BY13">
        <f>BU13*BX13</f>
        <v>9.3555394036378985</v>
      </c>
      <c r="BZ13">
        <f>BW13/(2*BN13*BA13+BW13)</f>
        <v>6.9644255917647654E-2</v>
      </c>
      <c r="CA13">
        <f>2*BN13*BA13/0.04</f>
        <v>100.835007218363</v>
      </c>
      <c r="CB13">
        <f>(BS13+BL13)*2</f>
        <v>44.663591936460804</v>
      </c>
      <c r="CC13">
        <f>(BU13+BL13)*2</f>
        <v>212.87521255063621</v>
      </c>
      <c r="CD13">
        <f>(BT13+BN13)*2</f>
        <v>64.534404619752323</v>
      </c>
      <c r="CE13">
        <f>(CA13+BN13)*2</f>
        <v>242.00401732407121</v>
      </c>
      <c r="CF13">
        <f>'TEA Revised Non EYZ'!CB13</f>
        <v>2210.8478008548095</v>
      </c>
      <c r="CG13">
        <f>'TEA Revised Non EYZ'!CC13</f>
        <v>3726.8618667906962</v>
      </c>
      <c r="CH13">
        <f>'TEA Revised Non EYZ'!CD13</f>
        <v>2671.1136977461792</v>
      </c>
      <c r="CI13">
        <f>'TEA Revised Non EYZ'!CE13</f>
        <v>28745.61681570829</v>
      </c>
      <c r="CJ13">
        <f>BL13*V13</f>
        <v>1.3957372480144001</v>
      </c>
      <c r="CK13">
        <f>CJ13/2*1.2</f>
        <v>0.8374423488086401</v>
      </c>
      <c r="CL13">
        <f>'eLLE Bals'!CB13*'Oxidant Feed Composition'!$N$20</f>
        <v>4.6524574933813359E-2</v>
      </c>
      <c r="CM13">
        <f>'eLLE Bals'!CB13*'Oxidant Feed Composition'!$N$21</f>
        <v>2.326228746690667</v>
      </c>
      <c r="CN13">
        <f>'eLLE Bals'!CB13*'Oxidant Feed Composition'!$N$22</f>
        <v>0.69786862400720007</v>
      </c>
      <c r="CO13">
        <f>CN13/CK13</f>
        <v>0.83333333333333326</v>
      </c>
      <c r="CP13">
        <f>CO13</f>
        <v>0.83333333333333326</v>
      </c>
      <c r="CQ13">
        <f>CL13/CO13</f>
        <v>5.5829489920576035E-2</v>
      </c>
      <c r="CR13">
        <f>CM13/CO13</f>
        <v>2.7914744960288007</v>
      </c>
      <c r="CS13">
        <f>BN13*BA13</f>
        <v>2.0167001443672601</v>
      </c>
      <c r="CT13">
        <f>CS13/2*1.2</f>
        <v>1.2100200866203561</v>
      </c>
      <c r="CU13">
        <f>'eLLE Bals'!CC13*'Oxidant Feed Composition'!$N$20</f>
        <v>6.7223338145575365E-2</v>
      </c>
      <c r="CV13">
        <f>'eLLE Bals'!CC13*'Oxidant Feed Composition'!$N$21</f>
        <v>3.3611669072787671</v>
      </c>
      <c r="CW13">
        <f>'eLLE Bals'!CC13*'Oxidant Feed Composition'!$N$22</f>
        <v>1.00835007218363</v>
      </c>
      <c r="CX13">
        <f>CU13/CP13</f>
        <v>8.0668005774690452E-2</v>
      </c>
      <c r="CY13">
        <f>CV13/CP13</f>
        <v>4.0334002887345211</v>
      </c>
      <c r="CZ13">
        <f>CJ13</f>
        <v>1.3957372480144001</v>
      </c>
      <c r="DA13">
        <f>'eLLE Bals'!BQ13</f>
        <v>2.7914744960288003</v>
      </c>
      <c r="DB13">
        <f>'eLLE Bals'!BU13</f>
        <v>9.6097593812003357</v>
      </c>
      <c r="DC13">
        <f>CS13</f>
        <v>2.0167001443672601</v>
      </c>
      <c r="DD13">
        <f>'eLLE Bals'!BX13</f>
        <v>4.0334002887345202</v>
      </c>
      <c r="DE13">
        <f>'eLLE Bals'!CA13</f>
        <v>22.907063625797061</v>
      </c>
      <c r="DF13">
        <f>2*2*(CJ13*'Reagent cost'!$C$36*122.44/1000*1.5+CK13*'Oxidant Feed Composition'!$N$26+CQ13*'Reagent cost'!$C$34+CR13*'Reagent cost'!$C$35)</f>
        <v>142.03180970200279</v>
      </c>
      <c r="DG13">
        <f>2*2*(CS13*'Reagent cost'!$C$36*122.44/1000*1.5+CT13*'Oxidant Feed Composition'!$N$26+CX13*'Reagent cost'!$C$34+CY13*'Reagent cost'!$C$35)</f>
        <v>205.22170024355256</v>
      </c>
      <c r="DH13">
        <f>(AF13+3)*2*(CZ13*'Reagent cost'!$C$38+DA13*'Reagent cost'!$C$39+DB13*'Reagent cost'!$C$36*122.44/1000*1.5)</f>
        <v>2093.7754603280227</v>
      </c>
      <c r="DI13">
        <f>3*2*(DC13*'Reagent cost'!$C$38+DD13*'Reagent cost'!$C$39+DE13*'Reagent cost'!$C$36*122.44/1000*1.5)</f>
        <v>1836.575783765586</v>
      </c>
      <c r="DJ13">
        <f>7963.6*(CB13/1000)^0.6*1.7*('CAPEX+OPEX'!$G$116/'CAPEX+OPEX'!$G$115)</f>
        <v>2472.9373618126128</v>
      </c>
      <c r="DK13">
        <f>7963.6*(CC13/1000)^0.6*1.7*('CAPEX+OPEX'!$G$116/'CAPEX+OPEX'!$G$115)</f>
        <v>6311.2587327211604</v>
      </c>
      <c r="DL13">
        <f>7963.6*(CD13/1000)^0.6*1.7*('CAPEX+OPEX'!$G$116/'CAPEX+OPEX'!$G$115)</f>
        <v>3084.0095376508261</v>
      </c>
      <c r="DM13">
        <f>7963.6*(CE13/1000)^0.6*1.7*('CAPEX+OPEX'!$G$116/'CAPEX+OPEX'!$G$115)</f>
        <v>6816.076767555528</v>
      </c>
      <c r="DN13">
        <f>'TEA Revised Non EYZ'!CM13</f>
        <v>39625.826528698344</v>
      </c>
      <c r="DO13">
        <f>'TEA Revised Non EYZ'!CN13</f>
        <v>4586243.4239371875</v>
      </c>
      <c r="DP13">
        <f>'TEA Revised Non EYZ'!CO13</f>
        <v>11794834.586807497</v>
      </c>
      <c r="DQ13">
        <f>'TEA Revised Non EYZ'!CP13</f>
        <v>2275209.1661185985</v>
      </c>
      <c r="DR13">
        <f>'TEA Revised Non EYZ'!CQ13</f>
        <v>14083914.336508472</v>
      </c>
      <c r="DS13">
        <f>'TEA Revised Non EYZ'!CR13</f>
        <v>1662824.8986326549</v>
      </c>
      <c r="DT13">
        <f>'TEA Revised Non EYZ'!CS13</f>
        <v>528015.95740622084</v>
      </c>
      <c r="DU13">
        <f>'TEA Revised Non EYZ'!CT13</f>
        <v>1357943.8117688675</v>
      </c>
      <c r="DV13">
        <f>'TEA Revised Non EYZ'!CU13</f>
        <v>261945.7004565605</v>
      </c>
      <c r="DW13">
        <f>'TEA Revised Non EYZ'!CV13</f>
        <v>1621486.4378120217</v>
      </c>
      <c r="DX13">
        <f>'TEA Revised Non EYZ'!CW13</f>
        <v>191441.6658016555</v>
      </c>
      <c r="DY13">
        <f>'TEA Revised Non EYZ'!CX13</f>
        <v>3960833.5732453261</v>
      </c>
      <c r="DZ13">
        <f>'TEA Revised Non EYZ'!CY13</f>
        <v>556815.11649124604</v>
      </c>
      <c r="EA13">
        <f>'TEA Revised Non EYZ'!CZ13</f>
        <v>1432009.0730836319</v>
      </c>
      <c r="EB13">
        <f>'TEA Revised Non EYZ'!DA13</f>
        <v>276232.79877863475</v>
      </c>
      <c r="EC13">
        <f>'TEA Revised Non EYZ'!DB13</f>
        <v>1709925.8973051622</v>
      </c>
      <c r="ED13">
        <f>'TEA Revised Non EYZ'!DC13</f>
        <v>201883.31801233388</v>
      </c>
      <c r="EE13">
        <f>'TEA Revised Non EYZ'!DD13</f>
        <v>4176866.2036710088</v>
      </c>
      <c r="EF13">
        <v>0.7</v>
      </c>
      <c r="EG13">
        <v>100</v>
      </c>
      <c r="EH13">
        <f>96485*BL13*V13/EF13/EG13/60</f>
        <v>32.063740089207002</v>
      </c>
      <c r="EI13">
        <f>96485*BN13*BA13/EF13/EG13/60</f>
        <v>46.328884149827402</v>
      </c>
      <c r="EJ13">
        <f>EH13*('CAPEX+OPEX'!$O$25+'CAPEX+OPEX'!$O$26)</f>
        <v>1021935.5241232056</v>
      </c>
      <c r="EK13">
        <f>EI13*('CAPEX+OPEX'!$O$25+'CAPEX+OPEX'!$O$26)</f>
        <v>1476594.1956232989</v>
      </c>
      <c r="EL13">
        <f>EJ13*1.12/0.6*'CAPEX+OPEX'!$G$116/'CAPEX+OPEX'!$G$115</f>
        <v>2249949.8446835969</v>
      </c>
      <c r="EM13">
        <f>EK13*1.12/0.6*'CAPEX+OPEX'!$G$116/'CAPEX+OPEX'!$G$115</f>
        <v>3250951.5548485876</v>
      </c>
      <c r="EN13">
        <f>EL13+EM13+DY13+EE13+1.15*(SUM(DF13:DM13)+SUM(CF13:CI13))</f>
        <v>13707964.952883629</v>
      </c>
      <c r="EO13">
        <f>EN13/15</f>
        <v>913864.33019224193</v>
      </c>
      <c r="EP13">
        <f>('eLLE Bals'!CB13+'eLLE Bals'!CC13)*'Oxidant Feed Composition'!$N$28*60*7200</f>
        <v>18970335.980145432</v>
      </c>
      <c r="EQ13" s="53">
        <f>('eLLE Bals'!BR13+'eLLE Bals'!BY13)*'Reagent cost'!$C$38*60*7200*1.5</f>
        <v>770895.04624688381</v>
      </c>
      <c r="ER13">
        <f>'TEA Revised Non EYZ'!DI13</f>
        <v>504921.59999999998</v>
      </c>
      <c r="ES13">
        <f>'TEA Revised Non EYZ'!DJ13</f>
        <v>59.377096676455061</v>
      </c>
      <c r="ET13">
        <f>'TEA Revised Non EYZ'!DK13</f>
        <v>628.33461026908935</v>
      </c>
      <c r="EU13">
        <f>1.2*SUM(EP13:ET13)</f>
        <v>24296208.405719113</v>
      </c>
      <c r="EV13">
        <f>'TEA Revised Non EYZ'!DM13</f>
        <v>0.70639694042110623</v>
      </c>
      <c r="EW13">
        <f>(BS13*CO13+BT13*CP13)/1000*('Oxidant Feed Composition'!$B$11*'Oxidant Feed Composition'!$O$20+'Oxidant Feed Composition'!$D$11*'Oxidant Feed Composition'!$O$21+'Oxidant Feed Composition'!$F$11*'Oxidant Feed Composition'!$O$27-'Oxidant Feed Composition'!$J$15*18.015)</f>
        <v>1.9925996557404575</v>
      </c>
      <c r="EX13">
        <f>(CZ13*BX13+DC13*BZ13)*368.34/1000</f>
        <v>0.10374221228120802</v>
      </c>
      <c r="EY13">
        <f>'TEA Revised Non EYZ'!DP13</f>
        <v>4.999938342565946E-2</v>
      </c>
      <c r="EZ13">
        <f>SUM(EV13:EX13)-EY13</f>
        <v>2.7527394250171127</v>
      </c>
      <c r="FA13">
        <f>EZ13*0.33*60*7200</f>
        <v>392430.53243043955</v>
      </c>
      <c r="FB13">
        <f>'TEA Revised Non EYZ'!DS13</f>
        <v>1.2</v>
      </c>
      <c r="FC13">
        <v>0.5</v>
      </c>
      <c r="FD13">
        <f>'TEA Revised Non EYZ'!DT13</f>
        <v>1405.210258292421</v>
      </c>
      <c r="FE13">
        <f>'TEA Revised Non EYZ'!DU13</f>
        <v>710.45741347657167</v>
      </c>
      <c r="FF13">
        <f>'TEA Revised Non EYZ'!DV13</f>
        <v>0.7</v>
      </c>
      <c r="FG13">
        <f>'TEA Revised Non EYZ'!DW13</f>
        <v>30272.303809866662</v>
      </c>
      <c r="FH13">
        <f>'TEA Revised Non EYZ'!DX13</f>
        <v>20763.049486147294</v>
      </c>
      <c r="FI13">
        <f>'TEA Revised Non EYZ'!DY13</f>
        <v>8790.8072421188135</v>
      </c>
      <c r="FJ13">
        <f>'TEA Revised Non EYZ'!DZ13</f>
        <v>4656.7358484871465</v>
      </c>
      <c r="FK13">
        <f>'TEA Revised Non EYZ'!EA13</f>
        <v>4688.4305291300352</v>
      </c>
      <c r="FL13">
        <f>'TEA Revised Non EYZ'!EB13</f>
        <v>849.87116421525627</v>
      </c>
      <c r="FM13">
        <f>'TEA Revised Non EYZ'!EC13</f>
        <v>30891.557908916995</v>
      </c>
      <c r="FN13">
        <f>'TEA Revised Non EYZ'!ED13</f>
        <v>23302.915468046605</v>
      </c>
      <c r="FO13">
        <f>'TEA Revised Non EYZ'!EE13</f>
        <v>9866.1537263906994</v>
      </c>
      <c r="FP13">
        <f>'TEA Revised Non EYZ'!EF13</f>
        <v>5229.2376780306813</v>
      </c>
      <c r="FQ13">
        <f>'TEA Revised Non EYZ'!EG13</f>
        <v>5261.9486540750413</v>
      </c>
      <c r="FR13">
        <f>'TEA Revised Non EYZ'!EH13</f>
        <v>429.68464367063052</v>
      </c>
      <c r="FS13">
        <f>'TEA Revised Non EYZ'!EI13</f>
        <v>145002.69615909585</v>
      </c>
      <c r="FT13">
        <f>EG13*EH13</f>
        <v>3206.3740089207004</v>
      </c>
      <c r="FU13">
        <f>EG13*EI13</f>
        <v>4632.88841498274</v>
      </c>
      <c r="FV13">
        <f>FC13*(FT13+FU13)/(3.6*10^6)*3600*7200*0.07</f>
        <v>1975.4941308236669</v>
      </c>
      <c r="FW13">
        <f>('CAPEX+OPEX'!$C$39/7/100+0.03)*EL13</f>
        <v>115711.70629801355</v>
      </c>
      <c r="FX13">
        <f>('CAPEX+OPEX'!$C$39/7/100+0.03)*EM13</f>
        <v>167191.79424935594</v>
      </c>
      <c r="FY13">
        <f>SUM(FV13:FX13)</f>
        <v>284878.99467819318</v>
      </c>
      <c r="FZ13">
        <f>FY13+FA13+FS13+EU13</f>
        <v>25118520.628986843</v>
      </c>
      <c r="GA13">
        <f>FZ13+EO13</f>
        <v>26032384.959179085</v>
      </c>
      <c r="GB13">
        <f>GA13/(BK13*60*7200)</f>
        <v>0.602601503684701</v>
      </c>
      <c r="GC13">
        <f>'TEA Revised Non EYZ'!EM13/'TEA Revised Non EYZ'!EK13*GA13</f>
        <v>2018.7827511273183</v>
      </c>
      <c r="GD13">
        <f>'TEA Revised Non EYZ'!EN13/'TEA Revised Non EYZ'!EK13*GA13</f>
        <v>3676.5576215673623</v>
      </c>
    </row>
    <row r="14" spans="1:186">
      <c r="A14">
        <f>'TEA Revised Non EYZ'!A14</f>
        <v>4</v>
      </c>
      <c r="B14">
        <f>'TEA Revised Non EYZ'!B14</f>
        <v>1.54143585092054E-3</v>
      </c>
      <c r="C14">
        <f>'TEA Revised Non EYZ'!C14</f>
        <v>1.54143585092054E-3</v>
      </c>
      <c r="D14">
        <f>'TEA Revised Non EYZ'!D14</f>
        <v>3.4254130020456501E-4</v>
      </c>
      <c r="E14">
        <f>'TEA Revised Non EYZ'!E14</f>
        <v>0</v>
      </c>
      <c r="F14">
        <f>'TEA Revised Non EYZ'!F14</f>
        <v>0</v>
      </c>
      <c r="G14">
        <f>'TEA Revised Non EYZ'!G14</f>
        <v>0</v>
      </c>
      <c r="H14">
        <f>'TEA Revised Non EYZ'!H14</f>
        <v>1.7208960911287699E-5</v>
      </c>
      <c r="I14">
        <f>'TEA Revised Non EYZ'!I14</f>
        <v>2.8768784818324402E-7</v>
      </c>
      <c r="J14">
        <f>'TEA Revised Non EYZ'!J14</f>
        <v>3.3243632642994598E-4</v>
      </c>
      <c r="K14">
        <f>'TEA Revised Non EYZ'!K14</f>
        <v>0.10920586178936199</v>
      </c>
      <c r="L14">
        <f>'TEA Revised Non EYZ'!L14</f>
        <v>0.110418215553449</v>
      </c>
      <c r="M14">
        <f>'TEA Revised Non EYZ'!M14</f>
        <v>7.2398825703009801E-4</v>
      </c>
      <c r="N14">
        <f>'TEA Revised Non EYZ'!N14</f>
        <v>-2.168404344971E-18</v>
      </c>
      <c r="O14">
        <f>'TEA Revised Non EYZ'!O14</f>
        <v>2.3635607360183901E-17</v>
      </c>
      <c r="P14">
        <f>'TEA Revised Non EYZ'!P14</f>
        <v>-7.4538899358378406E-20</v>
      </c>
      <c r="Q14">
        <f>'TEA Revised Non EYZ'!Q14</f>
        <v>0.13957372480144001</v>
      </c>
      <c r="R14">
        <f>'TEA Revised Non EYZ'!R14</f>
        <v>97.0499984181222</v>
      </c>
      <c r="S14">
        <f>'TEA Revised Non EYZ'!S14</f>
        <v>500</v>
      </c>
      <c r="T14">
        <f>'TEA Revised Non EYZ'!T14</f>
        <v>95</v>
      </c>
      <c r="U14">
        <f>'TEA Revised Non EYZ'!U14</f>
        <v>1</v>
      </c>
      <c r="V14">
        <f>'TEA Revised Non EYZ'!V14</f>
        <v>0.1</v>
      </c>
      <c r="W14">
        <f>'TEA Revised Non EYZ'!W14</f>
        <v>71.646723007687299</v>
      </c>
      <c r="X14" t="str">
        <f>'TEA Revised Non EYZ'!X14</f>
        <v>ddFc</v>
      </c>
      <c r="Y14">
        <f>'TEA Revised Non EYZ'!Y14</f>
        <v>1</v>
      </c>
      <c r="Z14">
        <f>'TEA Revised Non EYZ'!Z14</f>
        <v>0.28318429382522198</v>
      </c>
      <c r="AA14">
        <f>'TEA Revised Non EYZ'!AA14</f>
        <v>0.56945642916197003</v>
      </c>
      <c r="AB14">
        <f>'TEA Revised Non EYZ'!AB14</f>
        <v>3.7698628972227502E-3</v>
      </c>
      <c r="AC14">
        <f>'TEA Revised Non EYZ'!AC14</f>
        <v>1822.2107908876901</v>
      </c>
      <c r="AD14">
        <f>'TEA Revised Non EYZ'!AD14</f>
        <v>2662.6059073104898</v>
      </c>
      <c r="AE14">
        <f>'TEA Revised Non EYZ'!AE14</f>
        <v>2401.5030938442701</v>
      </c>
      <c r="AF14">
        <f>'TEA Revised Non EYZ'!AF14</f>
        <v>6</v>
      </c>
      <c r="AG14">
        <f>'TEA Revised Non EYZ'!AG14</f>
        <v>1.6481650483119699E-3</v>
      </c>
      <c r="AH14">
        <f>'TEA Revised Non EYZ'!AH14</f>
        <v>1.6664622263884801E-3</v>
      </c>
      <c r="AI14">
        <f>'TEA Revised Non EYZ'!AI14</f>
        <v>1.0926630870116399E-5</v>
      </c>
      <c r="AJ14">
        <f>'TEA Revised Non EYZ'!AJ14</f>
        <v>0</v>
      </c>
      <c r="AK14">
        <f>'TEA Revised Non EYZ'!AK14</f>
        <v>0</v>
      </c>
      <c r="AL14">
        <f>'TEA Revised Non EYZ'!AL14</f>
        <v>0</v>
      </c>
      <c r="AM14">
        <f>'TEA Revised Non EYZ'!AM14</f>
        <v>1.61036674463848E-3</v>
      </c>
      <c r="AN14">
        <f>'TEA Revised Non EYZ'!AN14</f>
        <v>7.3903037307057197E-5</v>
      </c>
      <c r="AO14">
        <f>'TEA Revised Non EYZ'!AO14</f>
        <v>1.0853107147603801E-5</v>
      </c>
      <c r="AP14">
        <f>'TEA Revised Non EYZ'!AP14</f>
        <v>1.75730512408255E-3</v>
      </c>
      <c r="AQ14">
        <f>'TEA Revised Non EYZ'!AQ14</f>
        <v>7.4040688374865299E-2</v>
      </c>
      <c r="AR14">
        <f>'TEA Revised Non EYZ'!AR14</f>
        <v>3.41823843284434E-6</v>
      </c>
      <c r="AS14">
        <f>'TEA Revised Non EYZ'!AS14</f>
        <v>-3.20923843055709E-17</v>
      </c>
      <c r="AT14">
        <f>'TEA Revised Non EYZ'!AT14</f>
        <v>-6.4501355645507598E-15</v>
      </c>
      <c r="AU14">
        <f>'TEA Revised Non EYZ'!AU14</f>
        <v>-2.57948002218536E-20</v>
      </c>
      <c r="AV14">
        <f>'TEA Revised Non EYZ'!AV14</f>
        <v>0.19891798600503799</v>
      </c>
      <c r="AW14">
        <f>'TEA Revised Non EYZ'!AW14</f>
        <v>99.327114429080396</v>
      </c>
      <c r="AX14">
        <f>'TEA Revised Non EYZ'!AX14</f>
        <v>500</v>
      </c>
      <c r="AY14">
        <f>'TEA Revised Non EYZ'!AY14</f>
        <v>95</v>
      </c>
      <c r="AZ14">
        <f>'TEA Revised Non EYZ'!AZ14</f>
        <v>0.92480233795174105</v>
      </c>
      <c r="BA14">
        <f>'TEA Revised Non EYZ'!BA14</f>
        <v>0.1</v>
      </c>
      <c r="BB14">
        <f>'TEA Revised Non EYZ'!BB14</f>
        <v>46.491639922813</v>
      </c>
      <c r="BC14" t="str">
        <f>'TEA Revised Non EYZ'!BC14</f>
        <v>coeFc</v>
      </c>
      <c r="BD14">
        <f>'TEA Revised Non EYZ'!BD14</f>
        <v>1</v>
      </c>
      <c r="BE14">
        <f>'TEA Revised Non EYZ'!BE14</f>
        <v>1.8775014999999999E-2</v>
      </c>
      <c r="BF14">
        <f>'TEA Revised Non EYZ'!BF14</f>
        <v>0.10492961100000001</v>
      </c>
      <c r="BG14">
        <f>'TEA Revised Non EYZ'!BG14</f>
        <v>1.814625E-3</v>
      </c>
      <c r="BH14">
        <f>'TEA Revised Non EYZ'!BH14</f>
        <v>285.1951444</v>
      </c>
      <c r="BI14">
        <f>'TEA Revised Non EYZ'!BI14</f>
        <v>2169.8944889999998</v>
      </c>
      <c r="BJ14">
        <f>'TEA Revised Non EYZ'!BJ14</f>
        <v>866.49409060000005</v>
      </c>
      <c r="BK14">
        <f>'TEA Revised Non EYZ'!BK14</f>
        <v>100</v>
      </c>
      <c r="BL14">
        <f>'TEA Revised Non EYZ'!BL14</f>
        <v>13.957372480144</v>
      </c>
      <c r="BM14">
        <f>'TEA Revised Non EYZ'!BM14</f>
        <v>92.480233795174101</v>
      </c>
      <c r="BN14">
        <f>'TEA Revised Non EYZ'!BN14</f>
        <v>19.891798600503797</v>
      </c>
      <c r="BO14">
        <f>'TEA Revised Non EYZ'!BO14</f>
        <v>167.488469761728</v>
      </c>
      <c r="BP14">
        <f>'TEA Revised Non EYZ'!BP14</f>
        <v>318.26877760806076</v>
      </c>
      <c r="BQ14">
        <f>'TEA Revised Non EYZ'!BQ14</f>
        <v>16.7488469761728</v>
      </c>
      <c r="BR14">
        <f>'TEA Revised Non EYZ'!BR14</f>
        <v>31.826877760806077</v>
      </c>
      <c r="BS14">
        <f>'eLLE Bals'!CF14</f>
        <v>8.3744234880863999</v>
      </c>
      <c r="BT14">
        <f>'eLLE Bals'!CG14</f>
        <v>11.935079160302278</v>
      </c>
      <c r="BU14">
        <f>BM14</f>
        <v>92.480233795174101</v>
      </c>
      <c r="BV14">
        <f>BU14*(AM14*2+AN14*2+AO14*3)</f>
        <v>0.31453442007618376</v>
      </c>
      <c r="BW14">
        <f>BN14*BA14*(AP14*2+AQ14*2+AR14*3)</f>
        <v>0.30157208267381574</v>
      </c>
      <c r="BX14">
        <f>BV14/(2*V14*BL14+BV14)</f>
        <v>0.10126642536191367</v>
      </c>
      <c r="BY14">
        <f>BU14*BX14</f>
        <v>9.3651426930713253</v>
      </c>
      <c r="BZ14">
        <f>BW14/(2*BN14*BA14+BW14)</f>
        <v>7.0461889714764595E-2</v>
      </c>
      <c r="CA14">
        <f>2*BN14*BA14/0.04</f>
        <v>99.458993002518994</v>
      </c>
      <c r="CB14">
        <f>(BS14+BL14)*2</f>
        <v>44.663591936460804</v>
      </c>
      <c r="CC14">
        <f>(BU14+BL14)*2</f>
        <v>212.87521255063621</v>
      </c>
      <c r="CD14">
        <f>(BT14+BN14)*2</f>
        <v>63.653755521612155</v>
      </c>
      <c r="CE14">
        <f>(CA14+BN14)*2</f>
        <v>238.7015832060456</v>
      </c>
      <c r="CF14">
        <f>'TEA Revised Non EYZ'!CB14</f>
        <v>2210.8478008548095</v>
      </c>
      <c r="CG14">
        <f>'TEA Revised Non EYZ'!CC14</f>
        <v>4201.1478644264016</v>
      </c>
      <c r="CH14">
        <f>'TEA Revised Non EYZ'!CD14</f>
        <v>2671.1136977461792</v>
      </c>
      <c r="CI14">
        <f>'TEA Revised Non EYZ'!CE14</f>
        <v>32403.826869206256</v>
      </c>
      <c r="CJ14">
        <f>BL14*V14</f>
        <v>1.3957372480144001</v>
      </c>
      <c r="CK14">
        <f>CJ14/2*1.2</f>
        <v>0.8374423488086401</v>
      </c>
      <c r="CL14">
        <f>'eLLE Bals'!CB14*'Oxidant Feed Composition'!$N$20</f>
        <v>4.6524574933813359E-2</v>
      </c>
      <c r="CM14">
        <f>'eLLE Bals'!CB14*'Oxidant Feed Composition'!$N$21</f>
        <v>2.326228746690667</v>
      </c>
      <c r="CN14">
        <f>'eLLE Bals'!CB14*'Oxidant Feed Composition'!$N$22</f>
        <v>0.69786862400720007</v>
      </c>
      <c r="CO14">
        <f>CN14/CK14</f>
        <v>0.83333333333333326</v>
      </c>
      <c r="CP14">
        <f>CO14</f>
        <v>0.83333333333333326</v>
      </c>
      <c r="CQ14">
        <f>CL14/CO14</f>
        <v>5.5829489920576035E-2</v>
      </c>
      <c r="CR14">
        <f>CM14/CO14</f>
        <v>2.7914744960288007</v>
      </c>
      <c r="CS14">
        <f>BN14*BA14</f>
        <v>1.9891798600503798</v>
      </c>
      <c r="CT14">
        <f>CS14/2*1.2</f>
        <v>1.1935079160302278</v>
      </c>
      <c r="CU14">
        <f>'eLLE Bals'!CC14*'Oxidant Feed Composition'!$N$20</f>
        <v>6.6305995335012691E-2</v>
      </c>
      <c r="CV14">
        <f>'eLLE Bals'!CC14*'Oxidant Feed Composition'!$N$21</f>
        <v>3.3152997667506332</v>
      </c>
      <c r="CW14">
        <f>'eLLE Bals'!CC14*'Oxidant Feed Composition'!$N$22</f>
        <v>0.99458993002518992</v>
      </c>
      <c r="CX14">
        <f>CU14/CP14</f>
        <v>7.9567194402015234E-2</v>
      </c>
      <c r="CY14">
        <f>CV14/CP14</f>
        <v>3.9783597201007601</v>
      </c>
      <c r="CZ14">
        <f>CJ14</f>
        <v>1.3957372480144001</v>
      </c>
      <c r="DA14">
        <f>'eLLE Bals'!BQ14</f>
        <v>2.7914744960288003</v>
      </c>
      <c r="DB14">
        <f>'eLLE Bals'!BU14</f>
        <v>9.5956115661247701</v>
      </c>
      <c r="DC14">
        <f>CS14</f>
        <v>1.9891798600503798</v>
      </c>
      <c r="DD14">
        <f>'eLLE Bals'!BX14</f>
        <v>3.9783597201007597</v>
      </c>
      <c r="DE14">
        <f>'eLLE Bals'!CA14</f>
        <v>22.263038227267021</v>
      </c>
      <c r="DF14">
        <f>2*2*(CJ14*'Reagent cost'!$C$36*122.44/1000*1.5+CK14*'Oxidant Feed Composition'!$N$26+CQ14*'Reagent cost'!$C$34+CR14*'Reagent cost'!$C$35)</f>
        <v>142.03180970200279</v>
      </c>
      <c r="DG14">
        <f>2*2*(CS14*'Reagent cost'!$C$36*122.44/1000*1.5+CT14*'Oxidant Feed Composition'!$N$26+CX14*'Reagent cost'!$C$34+CY14*'Reagent cost'!$C$35)</f>
        <v>202.4212048131979</v>
      </c>
      <c r="DH14">
        <f>(AF14+3)*2*(CZ14*'Reagent cost'!$C$38+DA14*'Reagent cost'!$C$39+DB14*'Reagent cost'!$C$36*122.44/1000*1.5)</f>
        <v>2352.1944263389655</v>
      </c>
      <c r="DI14">
        <f>3*2*(DC14*'Reagent cost'!$C$38+DD14*'Reagent cost'!$C$39+DE14*'Reagent cost'!$C$36*122.44/1000*1.5)</f>
        <v>1785.7214034291046</v>
      </c>
      <c r="DJ14">
        <f>7963.6*(CB14/1000)^0.6*1.7*('CAPEX+OPEX'!$G$116/'CAPEX+OPEX'!$G$115)</f>
        <v>2472.9373618126128</v>
      </c>
      <c r="DK14">
        <f>7963.6*(CC14/1000)^0.6*1.7*('CAPEX+OPEX'!$G$116/'CAPEX+OPEX'!$G$115)</f>
        <v>6311.2587327211604</v>
      </c>
      <c r="DL14">
        <f>7963.6*(CD14/1000)^0.6*1.7*('CAPEX+OPEX'!$G$116/'CAPEX+OPEX'!$G$115)</f>
        <v>3058.6891810035263</v>
      </c>
      <c r="DM14">
        <f>7963.6*(CE14/1000)^0.6*1.7*('CAPEX+OPEX'!$G$116/'CAPEX+OPEX'!$G$115)</f>
        <v>6760.1153664694148</v>
      </c>
      <c r="DN14">
        <f>'TEA Revised Non EYZ'!CM14</f>
        <v>39625.826528698344</v>
      </c>
      <c r="DO14">
        <f>'TEA Revised Non EYZ'!CN14</f>
        <v>4586243.4239371875</v>
      </c>
      <c r="DP14">
        <f>'TEA Revised Non EYZ'!CO14</f>
        <v>11794834.586807497</v>
      </c>
      <c r="DQ14">
        <f>'TEA Revised Non EYZ'!CP14</f>
        <v>2275209.1661185985</v>
      </c>
      <c r="DR14">
        <f>'TEA Revised Non EYZ'!CQ14</f>
        <v>14083914.336508472</v>
      </c>
      <c r="DS14">
        <f>'TEA Revised Non EYZ'!CR14</f>
        <v>1662824.8986326549</v>
      </c>
      <c r="DT14">
        <f>'TEA Revised Non EYZ'!CS14</f>
        <v>528015.95740622084</v>
      </c>
      <c r="DU14">
        <f>'TEA Revised Non EYZ'!CT14</f>
        <v>1357943.8117688675</v>
      </c>
      <c r="DV14">
        <f>'TEA Revised Non EYZ'!CU14</f>
        <v>261945.7004565605</v>
      </c>
      <c r="DW14">
        <f>'TEA Revised Non EYZ'!CV14</f>
        <v>1621486.4378120217</v>
      </c>
      <c r="DX14">
        <f>'TEA Revised Non EYZ'!CW14</f>
        <v>191441.6658016555</v>
      </c>
      <c r="DY14">
        <f>'TEA Revised Non EYZ'!CX14</f>
        <v>3960833.5732453261</v>
      </c>
      <c r="DZ14">
        <f>'TEA Revised Non EYZ'!CY14</f>
        <v>610771.96008263668</v>
      </c>
      <c r="EA14">
        <f>'TEA Revised Non EYZ'!CZ14</f>
        <v>1570774.5039949177</v>
      </c>
      <c r="EB14">
        <f>'TEA Revised Non EYZ'!DA14</f>
        <v>303000.48068431305</v>
      </c>
      <c r="EC14">
        <f>'TEA Revised Non EYZ'!DB14</f>
        <v>1875622.1965995319</v>
      </c>
      <c r="ED14">
        <f>'TEA Revised Non EYZ'!DC14</f>
        <v>221446.34044309024</v>
      </c>
      <c r="EE14">
        <f>'TEA Revised Non EYZ'!DD14</f>
        <v>4581615.4818044901</v>
      </c>
      <c r="EF14">
        <v>0.7</v>
      </c>
      <c r="EG14">
        <v>100</v>
      </c>
      <c r="EH14">
        <f>96485*BL14*V14/EF14/EG14/60</f>
        <v>32.063740089207002</v>
      </c>
      <c r="EI14">
        <f>96485*BN14*BA14/EF14/EG14/60</f>
        <v>45.69667114213356</v>
      </c>
      <c r="EJ14">
        <f>EH14*('CAPEX+OPEX'!$O$25+'CAPEX+OPEX'!$O$26)</f>
        <v>1021935.5241232056</v>
      </c>
      <c r="EK14">
        <f>EI14*('CAPEX+OPEX'!$O$25+'CAPEX+OPEX'!$O$26)</f>
        <v>1456444.3026420809</v>
      </c>
      <c r="EL14">
        <f>EJ14*1.12/0.6*'CAPEX+OPEX'!$G$116/'CAPEX+OPEX'!$G$115</f>
        <v>2249949.8446835969</v>
      </c>
      <c r="EM14">
        <f>EK14*1.12/0.6*'CAPEX+OPEX'!$G$116/'CAPEX+OPEX'!$G$115</f>
        <v>3206588.4345603683</v>
      </c>
      <c r="EN14">
        <f>EL14+EM14+DY14+EE14+1.15*(SUM(DF14:DM14)+SUM(CF14:CI14))</f>
        <v>14073245.485870084</v>
      </c>
      <c r="EO14">
        <f>EN14/15</f>
        <v>938216.36572467221</v>
      </c>
      <c r="EP14">
        <f>('eLLE Bals'!CB14+'eLLE Bals'!CC14)*'Oxidant Feed Composition'!$N$28*60*7200</f>
        <v>18817345.908906072</v>
      </c>
      <c r="EQ14" s="53">
        <f>('eLLE Bals'!BR14+'eLLE Bals'!BY14)*'Reagent cost'!$C$38*60*7200*1.5</f>
        <v>770497.4198904864</v>
      </c>
      <c r="ER14">
        <f>'TEA Revised Non EYZ'!DI14</f>
        <v>504921.59999999998</v>
      </c>
      <c r="ES14">
        <f>'TEA Revised Non EYZ'!DJ14</f>
        <v>64.119956652812107</v>
      </c>
      <c r="ET14">
        <f>'TEA Revised Non EYZ'!DK14</f>
        <v>701.49881133904876</v>
      </c>
      <c r="EU14">
        <f>1.2*SUM(EP14:ET14)</f>
        <v>24112236.657077461</v>
      </c>
      <c r="EV14">
        <f>'TEA Revised Non EYZ'!DM14</f>
        <v>0.70639694042110623</v>
      </c>
      <c r="EW14">
        <f>(BS14*CO14+BT14*CP14)/1000*('Oxidant Feed Composition'!$B$11*'Oxidant Feed Composition'!$O$20+'Oxidant Feed Composition'!$D$11*'Oxidant Feed Composition'!$O$21+'Oxidant Feed Composition'!$F$11*'Oxidant Feed Composition'!$O$27-'Oxidant Feed Composition'!$J$15*18.015)</f>
        <v>1.9765299370173772</v>
      </c>
      <c r="EX14">
        <f>(CZ14*BX14+DC14*BZ14)*368.34/1000</f>
        <v>0.10368870222419717</v>
      </c>
      <c r="EY14">
        <f>'TEA Revised Non EYZ'!DP14</f>
        <v>4.999938342565946E-2</v>
      </c>
      <c r="EZ14">
        <f>SUM(EV14:EX14)-EY14</f>
        <v>2.736616196237021</v>
      </c>
      <c r="FA14">
        <f>EZ14*0.33*60*7200</f>
        <v>390132.00493554969</v>
      </c>
      <c r="FB14">
        <f>'TEA Revised Non EYZ'!DS14</f>
        <v>1.2</v>
      </c>
      <c r="FC14">
        <v>0.5</v>
      </c>
      <c r="FD14">
        <f>'TEA Revised Non EYZ'!DT14</f>
        <v>1406.8170158334865</v>
      </c>
      <c r="FE14">
        <f>'TEA Revised Non EYZ'!DU14</f>
        <v>708.85065593658192</v>
      </c>
      <c r="FF14">
        <f>'TEA Revised Non EYZ'!DV14</f>
        <v>0.7</v>
      </c>
      <c r="FG14">
        <f>'TEA Revised Non EYZ'!DW14</f>
        <v>30272.303809866662</v>
      </c>
      <c r="FH14">
        <f>'TEA Revised Non EYZ'!DX14</f>
        <v>20763.049486147294</v>
      </c>
      <c r="FI14">
        <f>'TEA Revised Non EYZ'!DY14</f>
        <v>8790.8072421188135</v>
      </c>
      <c r="FJ14">
        <f>'TEA Revised Non EYZ'!DZ14</f>
        <v>4656.7358484871465</v>
      </c>
      <c r="FK14">
        <f>'TEA Revised Non EYZ'!EA14</f>
        <v>4688.4305291300352</v>
      </c>
      <c r="FL14">
        <f>'TEA Revised Non EYZ'!EB14</f>
        <v>850.84293117609263</v>
      </c>
      <c r="FM14">
        <f>'TEA Revised Non EYZ'!EC14</f>
        <v>33465.854401326746</v>
      </c>
      <c r="FN14">
        <f>'TEA Revised Non EYZ'!ED14</f>
        <v>27186.734712721038</v>
      </c>
      <c r="FO14">
        <f>'TEA Revised Non EYZ'!EE14</f>
        <v>11510.512680789148</v>
      </c>
      <c r="FP14">
        <f>'TEA Revised Non EYZ'!EF14</f>
        <v>6100.7772910357944</v>
      </c>
      <c r="FQ14">
        <f>'TEA Revised Non EYZ'!EG14</f>
        <v>6138.9400964208808</v>
      </c>
      <c r="FR14">
        <f>'TEA Revised Non EYZ'!EH14</f>
        <v>428.71287671044473</v>
      </c>
      <c r="FS14">
        <f>'TEA Revised Non EYZ'!EI14</f>
        <v>154853.70190593012</v>
      </c>
      <c r="FT14">
        <f>EG14*EH14</f>
        <v>3206.3740089207004</v>
      </c>
      <c r="FU14">
        <f>EG14*EI14</f>
        <v>4569.6671142133564</v>
      </c>
      <c r="FV14">
        <f>FC14*(FT14+FU14)/(3.6*10^6)*3600*7200*0.07</f>
        <v>1959.5623630297828</v>
      </c>
      <c r="FW14">
        <f>('CAPEX+OPEX'!$C$39/7/100+0.03)*EL14</f>
        <v>115711.70629801355</v>
      </c>
      <c r="FX14">
        <f>('CAPEX+OPEX'!$C$39/7/100+0.03)*EM14</f>
        <v>164910.26234881894</v>
      </c>
      <c r="FY14">
        <f>SUM(FV14:FX14)</f>
        <v>282581.53100986226</v>
      </c>
      <c r="FZ14">
        <f>FY14+FA14+FS14+EU14</f>
        <v>24939803.894928806</v>
      </c>
      <c r="GA14">
        <f>FZ14+EO14</f>
        <v>25878020.260653477</v>
      </c>
      <c r="GB14">
        <f>GA14/(BK14*60*7200)</f>
        <v>0.59902824677438604</v>
      </c>
      <c r="GC14">
        <f>'TEA Revised Non EYZ'!EM14/'TEA Revised Non EYZ'!EK14*GA14</f>
        <v>2004.5169984819624</v>
      </c>
      <c r="GD14">
        <f>'TEA Revised Non EYZ'!EN14/'TEA Revised Non EYZ'!EK14*GA14</f>
        <v>3662.3928916341752</v>
      </c>
    </row>
    <row r="15" spans="1:186">
      <c r="A15">
        <f>'TEA Revised Non EYZ'!A15</f>
        <v>4</v>
      </c>
      <c r="B15">
        <f>'TEA Revised Non EYZ'!B15</f>
        <v>1.54143585092054E-3</v>
      </c>
      <c r="C15">
        <f>'TEA Revised Non EYZ'!C15</f>
        <v>1.54143585092054E-3</v>
      </c>
      <c r="D15">
        <f>'TEA Revised Non EYZ'!D15</f>
        <v>3.4254130020456501E-4</v>
      </c>
      <c r="E15">
        <f>'TEA Revised Non EYZ'!E15</f>
        <v>0</v>
      </c>
      <c r="F15">
        <f>'TEA Revised Non EYZ'!F15</f>
        <v>0</v>
      </c>
      <c r="G15">
        <f>'TEA Revised Non EYZ'!G15</f>
        <v>0</v>
      </c>
      <c r="H15">
        <f>'TEA Revised Non EYZ'!H15</f>
        <v>1.7208960911287699E-5</v>
      </c>
      <c r="I15">
        <f>'TEA Revised Non EYZ'!I15</f>
        <v>2.8768784818324402E-7</v>
      </c>
      <c r="J15">
        <f>'TEA Revised Non EYZ'!J15</f>
        <v>3.3243632642994598E-4</v>
      </c>
      <c r="K15">
        <f>'TEA Revised Non EYZ'!K15</f>
        <v>0.10920586178936199</v>
      </c>
      <c r="L15">
        <f>'TEA Revised Non EYZ'!L15</f>
        <v>0.110418215553449</v>
      </c>
      <c r="M15">
        <f>'TEA Revised Non EYZ'!M15</f>
        <v>7.2398825703009801E-4</v>
      </c>
      <c r="N15">
        <f>'TEA Revised Non EYZ'!N15</f>
        <v>-2.168404344971E-18</v>
      </c>
      <c r="O15">
        <f>'TEA Revised Non EYZ'!O15</f>
        <v>2.3635607360183901E-17</v>
      </c>
      <c r="P15">
        <f>'TEA Revised Non EYZ'!P15</f>
        <v>-7.4538899358378406E-20</v>
      </c>
      <c r="Q15">
        <f>'TEA Revised Non EYZ'!Q15</f>
        <v>0.13957372480144001</v>
      </c>
      <c r="R15">
        <f>'TEA Revised Non EYZ'!R15</f>
        <v>97.0499984181222</v>
      </c>
      <c r="S15">
        <f>'TEA Revised Non EYZ'!S15</f>
        <v>500</v>
      </c>
      <c r="T15">
        <f>'TEA Revised Non EYZ'!T15</f>
        <v>95</v>
      </c>
      <c r="U15">
        <f>'TEA Revised Non EYZ'!U15</f>
        <v>1</v>
      </c>
      <c r="V15">
        <f>'TEA Revised Non EYZ'!V15</f>
        <v>0.1</v>
      </c>
      <c r="W15">
        <f>'TEA Revised Non EYZ'!W15</f>
        <v>71.646723007687299</v>
      </c>
      <c r="X15" t="str">
        <f>'TEA Revised Non EYZ'!X15</f>
        <v>ddFc</v>
      </c>
      <c r="Y15">
        <f>'TEA Revised Non EYZ'!Y15</f>
        <v>1</v>
      </c>
      <c r="Z15">
        <f>'TEA Revised Non EYZ'!Z15</f>
        <v>0.28318429382522198</v>
      </c>
      <c r="AA15">
        <f>'TEA Revised Non EYZ'!AA15</f>
        <v>0.56945642916197003</v>
      </c>
      <c r="AB15">
        <f>'TEA Revised Non EYZ'!AB15</f>
        <v>3.7698628972227502E-3</v>
      </c>
      <c r="AC15">
        <f>'TEA Revised Non EYZ'!AC15</f>
        <v>1822.2107908876901</v>
      </c>
      <c r="AD15">
        <f>'TEA Revised Non EYZ'!AD15</f>
        <v>2662.6059073104898</v>
      </c>
      <c r="AE15">
        <f>'TEA Revised Non EYZ'!AE15</f>
        <v>2401.5030938442701</v>
      </c>
      <c r="AF15">
        <f>'TEA Revised Non EYZ'!AF15</f>
        <v>7</v>
      </c>
      <c r="AG15">
        <f>'TEA Revised Non EYZ'!AG15</f>
        <v>1.6481650483119699E-3</v>
      </c>
      <c r="AH15">
        <f>'TEA Revised Non EYZ'!AH15</f>
        <v>1.6664622263884801E-3</v>
      </c>
      <c r="AI15">
        <f>'TEA Revised Non EYZ'!AI15</f>
        <v>1.0926630870116399E-5</v>
      </c>
      <c r="AJ15">
        <f>'TEA Revised Non EYZ'!AJ15</f>
        <v>0</v>
      </c>
      <c r="AK15">
        <f>'TEA Revised Non EYZ'!AK15</f>
        <v>0</v>
      </c>
      <c r="AL15">
        <f>'TEA Revised Non EYZ'!AL15</f>
        <v>0</v>
      </c>
      <c r="AM15">
        <f>'TEA Revised Non EYZ'!AM15</f>
        <v>1.61090754837377E-3</v>
      </c>
      <c r="AN15">
        <f>'TEA Revised Non EYZ'!AN15</f>
        <v>7.3930491403475195E-5</v>
      </c>
      <c r="AO15">
        <f>'TEA Revised Non EYZ'!AO15</f>
        <v>1.08541164056693E-5</v>
      </c>
      <c r="AP15">
        <f>'TEA Revised Non EYZ'!AP15</f>
        <v>1.73922906321953E-3</v>
      </c>
      <c r="AQ15">
        <f>'TEA Revised Non EYZ'!AQ15</f>
        <v>7.4341474522921697E-2</v>
      </c>
      <c r="AR15">
        <f>'TEA Revised Non EYZ'!AR15</f>
        <v>3.3850705039854299E-6</v>
      </c>
      <c r="AS15">
        <f>'TEA Revised Non EYZ'!AS15</f>
        <v>6.2377335826972699E-15</v>
      </c>
      <c r="AT15">
        <f>'TEA Revised Non EYZ'!AT15</f>
        <v>-2.31652956365902E-12</v>
      </c>
      <c r="AU15">
        <f>'TEA Revised Non EYZ'!AU15</f>
        <v>-1.8555315500789499E-20</v>
      </c>
      <c r="AV15">
        <f>'TEA Revised Non EYZ'!AV15</f>
        <v>0.19810974742489201</v>
      </c>
      <c r="AW15">
        <f>'TEA Revised Non EYZ'!AW15</f>
        <v>99.336351110337105</v>
      </c>
      <c r="AX15">
        <f>'TEA Revised Non EYZ'!AX15</f>
        <v>500</v>
      </c>
      <c r="AY15">
        <f>'TEA Revised Non EYZ'!AY15</f>
        <v>95</v>
      </c>
      <c r="AZ15">
        <f>'TEA Revised Non EYZ'!AZ15</f>
        <v>0.92480233795174105</v>
      </c>
      <c r="BA15">
        <f>'TEA Revised Non EYZ'!BA15</f>
        <v>0.1</v>
      </c>
      <c r="BB15">
        <f>'TEA Revised Non EYZ'!BB15</f>
        <v>46.681314270129498</v>
      </c>
      <c r="BC15" t="str">
        <f>'TEA Revised Non EYZ'!BC15</f>
        <v>coeFc</v>
      </c>
      <c r="BD15">
        <f>'TEA Revised Non EYZ'!BD15</f>
        <v>1</v>
      </c>
      <c r="BE15">
        <f>'TEA Revised Non EYZ'!BE15</f>
        <v>1.8775014999999999E-2</v>
      </c>
      <c r="BF15">
        <f>'TEA Revised Non EYZ'!BF15</f>
        <v>0.10492961100000001</v>
      </c>
      <c r="BG15">
        <f>'TEA Revised Non EYZ'!BG15</f>
        <v>1.814625E-3</v>
      </c>
      <c r="BH15">
        <f>'TEA Revised Non EYZ'!BH15</f>
        <v>285.1951444</v>
      </c>
      <c r="BI15">
        <f>'TEA Revised Non EYZ'!BI15</f>
        <v>2169.8944889999998</v>
      </c>
      <c r="BJ15">
        <f>'TEA Revised Non EYZ'!BJ15</f>
        <v>866.49409060000005</v>
      </c>
      <c r="BK15">
        <f>'TEA Revised Non EYZ'!BK15</f>
        <v>100</v>
      </c>
      <c r="BL15">
        <f>'TEA Revised Non EYZ'!BL15</f>
        <v>13.957372480144</v>
      </c>
      <c r="BM15">
        <f>'TEA Revised Non EYZ'!BM15</f>
        <v>92.480233795174101</v>
      </c>
      <c r="BN15">
        <f>'TEA Revised Non EYZ'!BN15</f>
        <v>19.810974742489201</v>
      </c>
      <c r="BO15">
        <f>'TEA Revised Non EYZ'!BO15</f>
        <v>167.488469761728</v>
      </c>
      <c r="BP15">
        <f>'TEA Revised Non EYZ'!BP15</f>
        <v>356.59754536480563</v>
      </c>
      <c r="BQ15">
        <f>'TEA Revised Non EYZ'!BQ15</f>
        <v>16.7488469761728</v>
      </c>
      <c r="BR15">
        <f>'TEA Revised Non EYZ'!BR15</f>
        <v>35.659754536480563</v>
      </c>
      <c r="BS15">
        <f>'eLLE Bals'!CF15</f>
        <v>8.3744234880863999</v>
      </c>
      <c r="BT15">
        <f>'eLLE Bals'!CG15</f>
        <v>11.88658484549352</v>
      </c>
      <c r="BU15">
        <f>BM15</f>
        <v>92.480233795174101</v>
      </c>
      <c r="BV15">
        <f>BU15*(AM15*2+AN15*2+AO15*3)</f>
        <v>0.31463980531971397</v>
      </c>
      <c r="BW15">
        <f>BN15*BA15*(AP15*2+AQ15*2+AR15*3)</f>
        <v>0.30146669789104713</v>
      </c>
      <c r="BX15">
        <f>BV15/(2*V15*BL15+BV15)</f>
        <v>0.10129691788325806</v>
      </c>
      <c r="BY15">
        <f>BU15*BX15</f>
        <v>9.3679626485742578</v>
      </c>
      <c r="BZ15">
        <f>BW15/(2*BN15*BA15+BW15)</f>
        <v>7.070605570833105E-2</v>
      </c>
      <c r="CA15">
        <f>2*BN15*BA15/0.04</f>
        <v>99.05487371244601</v>
      </c>
      <c r="CB15">
        <f>(BS15+BL15)*2</f>
        <v>44.663591936460804</v>
      </c>
      <c r="CC15">
        <f>(BU15+BL15)*2</f>
        <v>212.87521255063621</v>
      </c>
      <c r="CD15">
        <f>(BT15+BN15)*2</f>
        <v>63.395119175965441</v>
      </c>
      <c r="CE15">
        <f>(CA15+BN15)*2</f>
        <v>237.73169690987044</v>
      </c>
      <c r="CF15">
        <f>'TEA Revised Non EYZ'!CB15</f>
        <v>2210.8478008548095</v>
      </c>
      <c r="CG15">
        <f>'TEA Revised Non EYZ'!CC15</f>
        <v>4707.0875988154348</v>
      </c>
      <c r="CH15">
        <f>'TEA Revised Non EYZ'!CD15</f>
        <v>2671.1136977461792</v>
      </c>
      <c r="CI15">
        <f>'TEA Revised Non EYZ'!CE15</f>
        <v>36306.185007612978</v>
      </c>
      <c r="CJ15">
        <f>BL15*V15</f>
        <v>1.3957372480144001</v>
      </c>
      <c r="CK15">
        <f>CJ15/2*1.2</f>
        <v>0.8374423488086401</v>
      </c>
      <c r="CL15">
        <f>'eLLE Bals'!CB15*'Oxidant Feed Composition'!$N$20</f>
        <v>4.6524574933813359E-2</v>
      </c>
      <c r="CM15">
        <f>'eLLE Bals'!CB15*'Oxidant Feed Composition'!$N$21</f>
        <v>2.326228746690667</v>
      </c>
      <c r="CN15">
        <f>'eLLE Bals'!CB15*'Oxidant Feed Composition'!$N$22</f>
        <v>0.69786862400720007</v>
      </c>
      <c r="CO15">
        <f>CN15/CK15</f>
        <v>0.83333333333333326</v>
      </c>
      <c r="CP15">
        <f>CO15</f>
        <v>0.83333333333333326</v>
      </c>
      <c r="CQ15">
        <f>CL15/CO15</f>
        <v>5.5829489920576035E-2</v>
      </c>
      <c r="CR15">
        <f>CM15/CO15</f>
        <v>2.7914744960288007</v>
      </c>
      <c r="CS15">
        <f>BN15*BA15</f>
        <v>1.9810974742489202</v>
      </c>
      <c r="CT15">
        <f>CS15/2*1.2</f>
        <v>1.1886584845493522</v>
      </c>
      <c r="CU15">
        <f>'eLLE Bals'!CC15*'Oxidant Feed Composition'!$N$20</f>
        <v>6.6036582474964037E-2</v>
      </c>
      <c r="CV15">
        <f>'eLLE Bals'!CC15*'Oxidant Feed Composition'!$N$21</f>
        <v>3.3018291237482003</v>
      </c>
      <c r="CW15">
        <f>'eLLE Bals'!CC15*'Oxidant Feed Composition'!$N$22</f>
        <v>0.99054873712446012</v>
      </c>
      <c r="CX15">
        <f>CU15/CP15</f>
        <v>7.9243898969956858E-2</v>
      </c>
      <c r="CY15">
        <f>CV15/CP15</f>
        <v>3.9621949484978405</v>
      </c>
      <c r="CZ15">
        <f>CJ15</f>
        <v>1.3957372480144001</v>
      </c>
      <c r="DA15">
        <f>'eLLE Bals'!BQ15</f>
        <v>2.7914744960288003</v>
      </c>
      <c r="DB15">
        <f>'eLLE Bals'!BU15</f>
        <v>9.5914626479872211</v>
      </c>
      <c r="DC15">
        <f>CS15</f>
        <v>1.9810974742489202</v>
      </c>
      <c r="DD15">
        <f>'eLLE Bals'!BX15</f>
        <v>3.9621949484978405</v>
      </c>
      <c r="DE15">
        <f>'eLLE Bals'!CA15</f>
        <v>22.075488350729405</v>
      </c>
      <c r="DF15">
        <f>2*2*(CJ15*'Reagent cost'!$C$36*122.44/1000*1.5+CK15*'Oxidant Feed Composition'!$N$26+CQ15*'Reagent cost'!$C$34+CR15*'Reagent cost'!$C$35)</f>
        <v>142.03180970200279</v>
      </c>
      <c r="DG15">
        <f>2*2*(CS15*'Reagent cost'!$C$36*122.44/1000*1.5+CT15*'Oxidant Feed Composition'!$N$26+CX15*'Reagent cost'!$C$34+CY15*'Reagent cost'!$C$35)</f>
        <v>201.59873204210564</v>
      </c>
      <c r="DH15">
        <f>(AF15+3)*2*(CZ15*'Reagent cost'!$C$38+DA15*'Reagent cost'!$C$39+DB15*'Reagent cost'!$C$36*122.44/1000*1.5)</f>
        <v>2612.4731274918672</v>
      </c>
      <c r="DI15">
        <f>3*2*(DC15*'Reagent cost'!$C$38+DD15*'Reagent cost'!$C$39+DE15*'Reagent cost'!$C$36*122.44/1000*1.5)</f>
        <v>1770.9100229988881</v>
      </c>
      <c r="DJ15">
        <f>7963.6*(CB15/1000)^0.6*1.7*('CAPEX+OPEX'!$G$116/'CAPEX+OPEX'!$G$115)</f>
        <v>2472.9373618126128</v>
      </c>
      <c r="DK15">
        <f>7963.6*(CC15/1000)^0.6*1.7*('CAPEX+OPEX'!$G$116/'CAPEX+OPEX'!$G$115)</f>
        <v>6311.2587327211604</v>
      </c>
      <c r="DL15">
        <f>7963.6*(CD15/1000)^0.6*1.7*('CAPEX+OPEX'!$G$116/'CAPEX+OPEX'!$G$115)</f>
        <v>3051.226316256721</v>
      </c>
      <c r="DM15">
        <f>7963.6*(CE15/1000)^0.6*1.7*('CAPEX+OPEX'!$G$116/'CAPEX+OPEX'!$G$115)</f>
        <v>6743.6214294698348</v>
      </c>
      <c r="DN15">
        <f>'TEA Revised Non EYZ'!CM15</f>
        <v>39625.826528698344</v>
      </c>
      <c r="DO15">
        <f>'TEA Revised Non EYZ'!CN15</f>
        <v>4586243.4239371875</v>
      </c>
      <c r="DP15">
        <f>'TEA Revised Non EYZ'!CO15</f>
        <v>11794834.586807497</v>
      </c>
      <c r="DQ15">
        <f>'TEA Revised Non EYZ'!CP15</f>
        <v>2275209.1661185985</v>
      </c>
      <c r="DR15">
        <f>'TEA Revised Non EYZ'!CQ15</f>
        <v>14083914.336508472</v>
      </c>
      <c r="DS15">
        <f>'TEA Revised Non EYZ'!CR15</f>
        <v>1662824.8986326549</v>
      </c>
      <c r="DT15">
        <f>'TEA Revised Non EYZ'!CS15</f>
        <v>528015.95740622084</v>
      </c>
      <c r="DU15">
        <f>'TEA Revised Non EYZ'!CT15</f>
        <v>1357943.8117688675</v>
      </c>
      <c r="DV15">
        <f>'TEA Revised Non EYZ'!CU15</f>
        <v>261945.7004565605</v>
      </c>
      <c r="DW15">
        <f>'TEA Revised Non EYZ'!CV15</f>
        <v>1621486.4378120217</v>
      </c>
      <c r="DX15">
        <f>'TEA Revised Non EYZ'!CW15</f>
        <v>191441.6658016555</v>
      </c>
      <c r="DY15">
        <f>'TEA Revised Non EYZ'!CX15</f>
        <v>3960833.5732453261</v>
      </c>
      <c r="DZ15">
        <f>'TEA Revised Non EYZ'!CY15</f>
        <v>661719.9968599478</v>
      </c>
      <c r="EA15">
        <f>'TEA Revised Non EYZ'!CZ15</f>
        <v>1701801.9290056669</v>
      </c>
      <c r="EB15">
        <f>'TEA Revised Non EYZ'!DA15</f>
        <v>328275.51071574847</v>
      </c>
      <c r="EC15">
        <f>'TEA Revised Non EYZ'!DB15</f>
        <v>2032078.7383172708</v>
      </c>
      <c r="ED15">
        <f>'TEA Revised Non EYZ'!DC15</f>
        <v>239918.46594074578</v>
      </c>
      <c r="EE15">
        <f>'TEA Revised Non EYZ'!DD15</f>
        <v>4963794.6408393793</v>
      </c>
      <c r="EF15">
        <v>0.7</v>
      </c>
      <c r="EG15">
        <v>100</v>
      </c>
      <c r="EH15">
        <f>96485*BL15*V15/EF15/EG15/60</f>
        <v>32.063740089207002</v>
      </c>
      <c r="EI15">
        <f>96485*BN15*BA15/EF15/EG15/60</f>
        <v>45.510997572120729</v>
      </c>
      <c r="EJ15">
        <f>EH15*('CAPEX+OPEX'!$O$25+'CAPEX+OPEX'!$O$26)</f>
        <v>1021935.5241232056</v>
      </c>
      <c r="EK15">
        <f>EI15*('CAPEX+OPEX'!$O$25+'CAPEX+OPEX'!$O$26)</f>
        <v>1450526.5146186319</v>
      </c>
      <c r="EL15">
        <f>EJ15*1.12/0.6*'CAPEX+OPEX'!$G$116/'CAPEX+OPEX'!$G$115</f>
        <v>2249949.8446835969</v>
      </c>
      <c r="EM15">
        <f>EK15*1.12/0.6*'CAPEX+OPEX'!$G$116/'CAPEX+OPEX'!$G$115</f>
        <v>3193559.5047209309</v>
      </c>
      <c r="EN15">
        <f>EL15+EM15+DY15+EE15+1.15*(SUM(DF15:DM15)+SUM(CF15:CI15))</f>
        <v>14447719.048872385</v>
      </c>
      <c r="EO15">
        <f>EN15/15</f>
        <v>963181.26992482564</v>
      </c>
      <c r="EP15">
        <f>('eLLE Bals'!CB15+'eLLE Bals'!CC15)*'Oxidant Feed Composition'!$N$28*60*7200</f>
        <v>18772414.51338299</v>
      </c>
      <c r="EQ15" s="53">
        <f>('eLLE Bals'!BR15+'eLLE Bals'!BY15)*'Reagent cost'!$C$38*60*7200*1.5</f>
        <v>770379.11204431148</v>
      </c>
      <c r="ER15">
        <f>'TEA Revised Non EYZ'!DI15</f>
        <v>504921.59999999998</v>
      </c>
      <c r="ES15">
        <f>'TEA Revised Non EYZ'!DJ15</f>
        <v>69.179353996702446</v>
      </c>
      <c r="ET15">
        <f>'TEA Revised Non EYZ'!DK15</f>
        <v>779.54597410718316</v>
      </c>
      <c r="EU15">
        <f>1.2*SUM(EP15:ET15)</f>
        <v>24058276.740906488</v>
      </c>
      <c r="EV15">
        <f>'TEA Revised Non EYZ'!DM15</f>
        <v>0.70639694042110623</v>
      </c>
      <c r="EW15">
        <f>(BS15*CO15+BT15*CP15)/1000*('Oxidant Feed Composition'!$B$11*'Oxidant Feed Composition'!$O$20+'Oxidant Feed Composition'!$D$11*'Oxidant Feed Composition'!$O$21+'Oxidant Feed Composition'!$F$11*'Oxidant Feed Composition'!$O$27-'Oxidant Feed Composition'!$J$15*18.015)</f>
        <v>1.9718104484777472</v>
      </c>
      <c r="EX15">
        <f>(CZ15*BX15+DC15*BZ15)*368.34/1000</f>
        <v>0.10367278109751189</v>
      </c>
      <c r="EY15">
        <f>'TEA Revised Non EYZ'!DP15</f>
        <v>4.999938342565946E-2</v>
      </c>
      <c r="EZ15">
        <f>SUM(EV15:EX15)-EY15</f>
        <v>2.7318807865707062</v>
      </c>
      <c r="FA15">
        <f>EZ15*0.33*60*7200</f>
        <v>389456.92493351985</v>
      </c>
      <c r="FB15">
        <f>'TEA Revised Non EYZ'!DS15</f>
        <v>1.2</v>
      </c>
      <c r="FC15">
        <v>0.5</v>
      </c>
      <c r="FD15">
        <f>'TEA Revised Non EYZ'!DT15</f>
        <v>1407.2889022715001</v>
      </c>
      <c r="FE15">
        <f>'TEA Revised Non EYZ'!DU15</f>
        <v>708.37877055417789</v>
      </c>
      <c r="FF15">
        <f>'TEA Revised Non EYZ'!DV15</f>
        <v>0.7</v>
      </c>
      <c r="FG15">
        <f>'TEA Revised Non EYZ'!DW15</f>
        <v>30272.303809866662</v>
      </c>
      <c r="FH15">
        <f>'TEA Revised Non EYZ'!DX15</f>
        <v>20763.049486147294</v>
      </c>
      <c r="FI15">
        <f>'TEA Revised Non EYZ'!DY15</f>
        <v>8790.8072421188135</v>
      </c>
      <c r="FJ15">
        <f>'TEA Revised Non EYZ'!DZ15</f>
        <v>4656.7358484871465</v>
      </c>
      <c r="FK15">
        <f>'TEA Revised Non EYZ'!EA15</f>
        <v>4688.4305291300352</v>
      </c>
      <c r="FL15">
        <f>'TEA Revised Non EYZ'!EB15</f>
        <v>851.12832809380325</v>
      </c>
      <c r="FM15">
        <f>'TEA Revised Non EYZ'!EC15</f>
        <v>36040.1508937365</v>
      </c>
      <c r="FN15">
        <f>'TEA Revised Non EYZ'!ED15</f>
        <v>31070.553957395477</v>
      </c>
      <c r="FO15">
        <f>'TEA Revised Non EYZ'!EE15</f>
        <v>13154.871635187601</v>
      </c>
      <c r="FP15">
        <f>'TEA Revised Non EYZ'!EF15</f>
        <v>6972.3169040409093</v>
      </c>
      <c r="FQ15">
        <f>'TEA Revised Non EYZ'!EG15</f>
        <v>7015.931538766723</v>
      </c>
      <c r="FR15">
        <f>'TEA Revised Non EYZ'!EH15</f>
        <v>428.42748043116683</v>
      </c>
      <c r="FS15">
        <f>'TEA Revised Non EYZ'!EI15</f>
        <v>164704.70765340209</v>
      </c>
      <c r="FT15">
        <f>EG15*EH15</f>
        <v>3206.3740089207004</v>
      </c>
      <c r="FU15">
        <f>EG15*EI15</f>
        <v>4551.0997572120732</v>
      </c>
      <c r="FV15">
        <f>FC15*(FT15+FU15)/(3.6*10^6)*3600*7200*0.07</f>
        <v>1954.8833890654589</v>
      </c>
      <c r="FW15">
        <f>('CAPEX+OPEX'!$C$39/7/100+0.03)*EL15</f>
        <v>115711.70629801355</v>
      </c>
      <c r="FX15">
        <f>('CAPEX+OPEX'!$C$39/7/100+0.03)*EM15</f>
        <v>164240.2030999336</v>
      </c>
      <c r="FY15">
        <f>SUM(FV15:FX15)</f>
        <v>281906.79278701264</v>
      </c>
      <c r="FZ15">
        <f>FY15+FA15+FS15+EU15</f>
        <v>24894345.166280422</v>
      </c>
      <c r="GA15">
        <f>FZ15+EO15</f>
        <v>25857526.436205249</v>
      </c>
      <c r="GB15">
        <f>GA15/(BK15*60*7200)</f>
        <v>0.59855385268993633</v>
      </c>
      <c r="GC15">
        <f>'TEA Revised Non EYZ'!EM15/'TEA Revised Non EYZ'!EK15*GA15</f>
        <v>2002.2570742719638</v>
      </c>
      <c r="GD15">
        <f>'TEA Revised Non EYZ'!EN15/'TEA Revised Non EYZ'!EK15*GA15</f>
        <v>3661.7394486245998</v>
      </c>
    </row>
    <row r="16" spans="1:186">
      <c r="A16">
        <f>'TEA Revised Non EYZ'!A16</f>
        <v>4</v>
      </c>
      <c r="B16">
        <f>'TEA Revised Non EYZ'!B16</f>
        <v>1.54143585092054E-3</v>
      </c>
      <c r="C16">
        <f>'TEA Revised Non EYZ'!C16</f>
        <v>1.54143585092054E-3</v>
      </c>
      <c r="D16">
        <f>'TEA Revised Non EYZ'!D16</f>
        <v>3.4254130020456501E-4</v>
      </c>
      <c r="E16">
        <f>'TEA Revised Non EYZ'!E16</f>
        <v>0</v>
      </c>
      <c r="F16">
        <f>'TEA Revised Non EYZ'!F16</f>
        <v>0</v>
      </c>
      <c r="G16">
        <f>'TEA Revised Non EYZ'!G16</f>
        <v>0</v>
      </c>
      <c r="H16">
        <f>'TEA Revised Non EYZ'!H16</f>
        <v>1.7208960911287699E-5</v>
      </c>
      <c r="I16">
        <f>'TEA Revised Non EYZ'!I16</f>
        <v>2.8768784818324402E-7</v>
      </c>
      <c r="J16">
        <f>'TEA Revised Non EYZ'!J16</f>
        <v>3.3243632642994598E-4</v>
      </c>
      <c r="K16">
        <f>'TEA Revised Non EYZ'!K16</f>
        <v>0.10920586178936199</v>
      </c>
      <c r="L16">
        <f>'TEA Revised Non EYZ'!L16</f>
        <v>0.110418215553449</v>
      </c>
      <c r="M16">
        <f>'TEA Revised Non EYZ'!M16</f>
        <v>7.2398825703009801E-4</v>
      </c>
      <c r="N16">
        <f>'TEA Revised Non EYZ'!N16</f>
        <v>-2.168404344971E-18</v>
      </c>
      <c r="O16">
        <f>'TEA Revised Non EYZ'!O16</f>
        <v>2.3635607360183901E-17</v>
      </c>
      <c r="P16">
        <f>'TEA Revised Non EYZ'!P16</f>
        <v>-7.4538899358378406E-20</v>
      </c>
      <c r="Q16">
        <f>'TEA Revised Non EYZ'!Q16</f>
        <v>0.13957372480144001</v>
      </c>
      <c r="R16">
        <f>'TEA Revised Non EYZ'!R16</f>
        <v>97.0499984181222</v>
      </c>
      <c r="S16">
        <f>'TEA Revised Non EYZ'!S16</f>
        <v>500</v>
      </c>
      <c r="T16">
        <f>'TEA Revised Non EYZ'!T16</f>
        <v>95</v>
      </c>
      <c r="U16">
        <f>'TEA Revised Non EYZ'!U16</f>
        <v>1</v>
      </c>
      <c r="V16">
        <f>'TEA Revised Non EYZ'!V16</f>
        <v>0.1</v>
      </c>
      <c r="W16">
        <f>'TEA Revised Non EYZ'!W16</f>
        <v>71.646723007687299</v>
      </c>
      <c r="X16" t="str">
        <f>'TEA Revised Non EYZ'!X16</f>
        <v>ddFc</v>
      </c>
      <c r="Y16">
        <f>'TEA Revised Non EYZ'!Y16</f>
        <v>1</v>
      </c>
      <c r="Z16">
        <f>'TEA Revised Non EYZ'!Z16</f>
        <v>0.28318429382522198</v>
      </c>
      <c r="AA16">
        <f>'TEA Revised Non EYZ'!AA16</f>
        <v>0.56945642916197003</v>
      </c>
      <c r="AB16">
        <f>'TEA Revised Non EYZ'!AB16</f>
        <v>3.7698628972227502E-3</v>
      </c>
      <c r="AC16">
        <f>'TEA Revised Non EYZ'!AC16</f>
        <v>1822.2107908876901</v>
      </c>
      <c r="AD16">
        <f>'TEA Revised Non EYZ'!AD16</f>
        <v>2662.6059073104898</v>
      </c>
      <c r="AE16">
        <f>'TEA Revised Non EYZ'!AE16</f>
        <v>2401.5030938442701</v>
      </c>
      <c r="AF16">
        <f>'TEA Revised Non EYZ'!AF16</f>
        <v>8</v>
      </c>
      <c r="AG16">
        <f>'TEA Revised Non EYZ'!AG16</f>
        <v>1.6481650483119699E-3</v>
      </c>
      <c r="AH16">
        <f>'TEA Revised Non EYZ'!AH16</f>
        <v>1.6664622263884801E-3</v>
      </c>
      <c r="AI16">
        <f>'TEA Revised Non EYZ'!AI16</f>
        <v>1.0926630870116399E-5</v>
      </c>
      <c r="AJ16">
        <f>'TEA Revised Non EYZ'!AJ16</f>
        <v>0</v>
      </c>
      <c r="AK16">
        <f>'TEA Revised Non EYZ'!AK16</f>
        <v>0</v>
      </c>
      <c r="AL16">
        <f>'TEA Revised Non EYZ'!AL16</f>
        <v>0</v>
      </c>
      <c r="AM16">
        <f>'TEA Revised Non EYZ'!AM16</f>
        <v>1.6110629319685101E-3</v>
      </c>
      <c r="AN16">
        <f>'TEA Revised Non EYZ'!AN16</f>
        <v>7.3938379507668505E-5</v>
      </c>
      <c r="AO16">
        <f>'TEA Revised Non EYZ'!AO16</f>
        <v>1.085440638541E-5</v>
      </c>
      <c r="AP16">
        <f>'TEA Revised Non EYZ'!AP16</f>
        <v>1.73400814806823E-3</v>
      </c>
      <c r="AQ16">
        <f>'TEA Revised Non EYZ'!AQ16</f>
        <v>7.4428350688171094E-2</v>
      </c>
      <c r="AR16">
        <f>'TEA Revised Non EYZ'!AR16</f>
        <v>3.37549060036281E-6</v>
      </c>
      <c r="AS16">
        <f>'TEA Revised Non EYZ'!AS16</f>
        <v>-2.23616698075135E-19</v>
      </c>
      <c r="AT16">
        <f>'TEA Revised Non EYZ'!AT16</f>
        <v>-1.3010426069825999E-18</v>
      </c>
      <c r="AU16">
        <f>'TEA Revised Non EYZ'!AU16</f>
        <v>-9.26442286059391E-23</v>
      </c>
      <c r="AV16">
        <f>'TEA Revised Non EYZ'!AV16</f>
        <v>0.19787752425277699</v>
      </c>
      <c r="AW16">
        <f>'TEA Revised Non EYZ'!AW16</f>
        <v>99.339004990971901</v>
      </c>
      <c r="AX16">
        <f>'TEA Revised Non EYZ'!AX16</f>
        <v>500</v>
      </c>
      <c r="AY16">
        <f>'TEA Revised Non EYZ'!AY16</f>
        <v>95</v>
      </c>
      <c r="AZ16">
        <f>'TEA Revised Non EYZ'!AZ16</f>
        <v>0.92480233795174105</v>
      </c>
      <c r="BA16">
        <f>'TEA Revised Non EYZ'!BA16</f>
        <v>0.1</v>
      </c>
      <c r="BB16">
        <f>'TEA Revised Non EYZ'!BB16</f>
        <v>46.736098070964097</v>
      </c>
      <c r="BC16" t="str">
        <f>'TEA Revised Non EYZ'!BC16</f>
        <v>coeFc</v>
      </c>
      <c r="BD16">
        <f>'TEA Revised Non EYZ'!BD16</f>
        <v>1</v>
      </c>
      <c r="BE16">
        <f>'TEA Revised Non EYZ'!BE16</f>
        <v>1.8775014999999999E-2</v>
      </c>
      <c r="BF16">
        <f>'TEA Revised Non EYZ'!BF16</f>
        <v>0.10492961100000001</v>
      </c>
      <c r="BG16">
        <f>'TEA Revised Non EYZ'!BG16</f>
        <v>1.814625E-3</v>
      </c>
      <c r="BH16">
        <f>'TEA Revised Non EYZ'!BH16</f>
        <v>285.1951444</v>
      </c>
      <c r="BI16">
        <f>'TEA Revised Non EYZ'!BI16</f>
        <v>2169.8944889999998</v>
      </c>
      <c r="BJ16">
        <f>'TEA Revised Non EYZ'!BJ16</f>
        <v>866.49409060000005</v>
      </c>
      <c r="BK16">
        <f>'TEA Revised Non EYZ'!BK16</f>
        <v>100</v>
      </c>
      <c r="BL16">
        <f>'TEA Revised Non EYZ'!BL16</f>
        <v>13.957372480144</v>
      </c>
      <c r="BM16">
        <f>'TEA Revised Non EYZ'!BM16</f>
        <v>92.480233795174101</v>
      </c>
      <c r="BN16">
        <f>'TEA Revised Non EYZ'!BN16</f>
        <v>19.787752425277699</v>
      </c>
      <c r="BO16">
        <f>'TEA Revised Non EYZ'!BO16</f>
        <v>167.488469761728</v>
      </c>
      <c r="BP16">
        <f>'TEA Revised Non EYZ'!BP16</f>
        <v>395.75504850555399</v>
      </c>
      <c r="BQ16">
        <f>'TEA Revised Non EYZ'!BQ16</f>
        <v>16.7488469761728</v>
      </c>
      <c r="BR16">
        <f>'TEA Revised Non EYZ'!BR16</f>
        <v>39.575504850555404</v>
      </c>
      <c r="BS16">
        <f>'eLLE Bals'!CF16</f>
        <v>8.3744234880863999</v>
      </c>
      <c r="BT16">
        <f>'eLLE Bals'!CG16</f>
        <v>11.872651455166618</v>
      </c>
      <c r="BU16">
        <f>BM16</f>
        <v>92.480233795174101</v>
      </c>
      <c r="BV16">
        <f>BU16*(AM16*2+AN16*2+AO16*3)</f>
        <v>0.31467008458167556</v>
      </c>
      <c r="BW16">
        <f>BN16*BA16*(AP16*2+AQ16*2+AR16*3)</f>
        <v>0.30143641816702721</v>
      </c>
      <c r="BX16">
        <f>BV16/(2*V16*BL16+BV16)</f>
        <v>0.10130567860425573</v>
      </c>
      <c r="BY16">
        <f>BU16*BX16</f>
        <v>9.368772842100336</v>
      </c>
      <c r="BZ16">
        <f>BW16/(2*BN16*BA16+BW16)</f>
        <v>7.0776554381734538E-2</v>
      </c>
      <c r="CA16">
        <f>2*BN16*BA16/0.04</f>
        <v>98.938762126388497</v>
      </c>
      <c r="CB16">
        <f>(BS16+BL16)*2</f>
        <v>44.663591936460804</v>
      </c>
      <c r="CC16">
        <f>(BU16+BL16)*2</f>
        <v>212.87521255063621</v>
      </c>
      <c r="CD16">
        <f>(BT16+BN16)*2</f>
        <v>63.320807760888634</v>
      </c>
      <c r="CE16">
        <f>(CA16+BN16)*2</f>
        <v>237.4530291033324</v>
      </c>
      <c r="CF16">
        <f>'TEA Revised Non EYZ'!CB16</f>
        <v>2210.8478008548095</v>
      </c>
      <c r="CG16">
        <f>'TEA Revised Non EYZ'!CC16</f>
        <v>5223.9666402733128</v>
      </c>
      <c r="CH16">
        <f>'TEA Revised Non EYZ'!CD16</f>
        <v>2671.1136977461792</v>
      </c>
      <c r="CI16">
        <f>'TEA Revised Non EYZ'!CE16</f>
        <v>40292.918993708743</v>
      </c>
      <c r="CJ16">
        <f>BL16*V16</f>
        <v>1.3957372480144001</v>
      </c>
      <c r="CK16">
        <f>CJ16/2*1.2</f>
        <v>0.8374423488086401</v>
      </c>
      <c r="CL16">
        <f>'eLLE Bals'!CB16*'Oxidant Feed Composition'!$N$20</f>
        <v>4.6524574933813359E-2</v>
      </c>
      <c r="CM16">
        <f>'eLLE Bals'!CB16*'Oxidant Feed Composition'!$N$21</f>
        <v>2.326228746690667</v>
      </c>
      <c r="CN16">
        <f>'eLLE Bals'!CB16*'Oxidant Feed Composition'!$N$22</f>
        <v>0.69786862400720007</v>
      </c>
      <c r="CO16">
        <f>CN16/CK16</f>
        <v>0.83333333333333326</v>
      </c>
      <c r="CP16">
        <f>CO16</f>
        <v>0.83333333333333326</v>
      </c>
      <c r="CQ16">
        <f>CL16/CO16</f>
        <v>5.5829489920576035E-2</v>
      </c>
      <c r="CR16">
        <f>CM16/CO16</f>
        <v>2.7914744960288007</v>
      </c>
      <c r="CS16">
        <f>BN16*BA16</f>
        <v>1.97877524252777</v>
      </c>
      <c r="CT16">
        <f>CS16/2*1.2</f>
        <v>1.1872651455166621</v>
      </c>
      <c r="CU16">
        <f>'eLLE Bals'!CC16*'Oxidant Feed Composition'!$N$20</f>
        <v>6.5959174750925692E-2</v>
      </c>
      <c r="CV16">
        <f>'eLLE Bals'!CC16*'Oxidant Feed Composition'!$N$21</f>
        <v>3.2979587375462835</v>
      </c>
      <c r="CW16">
        <f>'eLLE Bals'!CC16*'Oxidant Feed Composition'!$N$22</f>
        <v>0.98938762126388502</v>
      </c>
      <c r="CX16">
        <f>CU16/CP16</f>
        <v>7.9151009701110844E-2</v>
      </c>
      <c r="CY16">
        <f>CV16/CP16</f>
        <v>3.9575504850555405</v>
      </c>
      <c r="CZ16">
        <f>CJ16</f>
        <v>1.3957372480144001</v>
      </c>
      <c r="DA16">
        <f>'eLLE Bals'!BQ16</f>
        <v>2.7914744960288003</v>
      </c>
      <c r="DB16">
        <f>'eLLE Bals'!BU16</f>
        <v>9.5902710905248689</v>
      </c>
      <c r="DC16">
        <f>CS16</f>
        <v>1.97877524252777</v>
      </c>
      <c r="DD16">
        <f>'eLLE Bals'!BX16</f>
        <v>3.9575504850555401</v>
      </c>
      <c r="DE16">
        <f>'eLLE Bals'!CA16</f>
        <v>22.021735523254261</v>
      </c>
      <c r="DF16">
        <f>2*2*(CJ16*'Reagent cost'!$C$36*122.44/1000*1.5+CK16*'Oxidant Feed Composition'!$N$26+CQ16*'Reagent cost'!$C$34+CR16*'Reagent cost'!$C$35)</f>
        <v>142.03180970200279</v>
      </c>
      <c r="DG16">
        <f>2*2*(CS16*'Reagent cost'!$C$36*122.44/1000*1.5+CT16*'Oxidant Feed Composition'!$N$26+CX16*'Reagent cost'!$C$34+CY16*'Reagent cost'!$C$35)</f>
        <v>201.3624191011337</v>
      </c>
      <c r="DH16">
        <f>(AF16+3)*2*(CZ16*'Reagent cost'!$C$38+DA16*'Reagent cost'!$C$39+DB16*'Reagent cost'!$C$36*122.44/1000*1.5)</f>
        <v>2873.3804394207195</v>
      </c>
      <c r="DI16">
        <f>3*2*(DC16*'Reagent cost'!$C$38+DD16*'Reagent cost'!$C$39+DE16*'Reagent cost'!$C$36*122.44/1000*1.5)</f>
        <v>1766.6648453298737</v>
      </c>
      <c r="DJ16">
        <f>7963.6*(CB16/1000)^0.6*1.7*('CAPEX+OPEX'!$G$116/'CAPEX+OPEX'!$G$115)</f>
        <v>2472.9373618126128</v>
      </c>
      <c r="DK16">
        <f>7963.6*(CC16/1000)^0.6*1.7*('CAPEX+OPEX'!$G$116/'CAPEX+OPEX'!$G$115)</f>
        <v>6311.2587327211604</v>
      </c>
      <c r="DL16">
        <f>7963.6*(CD16/1000)^0.6*1.7*('CAPEX+OPEX'!$G$116/'CAPEX+OPEX'!$G$115)</f>
        <v>3049.0798343108368</v>
      </c>
      <c r="DM16">
        <f>7963.6*(CE16/1000)^0.6*1.7*('CAPEX+OPEX'!$G$116/'CAPEX+OPEX'!$G$115)</f>
        <v>6738.8774150481213</v>
      </c>
      <c r="DN16">
        <f>'TEA Revised Non EYZ'!CM16</f>
        <v>39625.826528698344</v>
      </c>
      <c r="DO16">
        <f>'TEA Revised Non EYZ'!CN16</f>
        <v>4586243.4239371875</v>
      </c>
      <c r="DP16">
        <f>'TEA Revised Non EYZ'!CO16</f>
        <v>11794834.586807497</v>
      </c>
      <c r="DQ16">
        <f>'TEA Revised Non EYZ'!CP16</f>
        <v>2275209.1661185985</v>
      </c>
      <c r="DR16">
        <f>'TEA Revised Non EYZ'!CQ16</f>
        <v>14083914.336508472</v>
      </c>
      <c r="DS16">
        <f>'TEA Revised Non EYZ'!CR16</f>
        <v>1662824.8986326549</v>
      </c>
      <c r="DT16">
        <f>'TEA Revised Non EYZ'!CS16</f>
        <v>528015.95740622084</v>
      </c>
      <c r="DU16">
        <f>'TEA Revised Non EYZ'!CT16</f>
        <v>1357943.8117688675</v>
      </c>
      <c r="DV16">
        <f>'TEA Revised Non EYZ'!CU16</f>
        <v>261945.7004565605</v>
      </c>
      <c r="DW16">
        <f>'TEA Revised Non EYZ'!CV16</f>
        <v>1621486.4378120217</v>
      </c>
      <c r="DX16">
        <f>'TEA Revised Non EYZ'!CW16</f>
        <v>191441.6658016555</v>
      </c>
      <c r="DY16">
        <f>'TEA Revised Non EYZ'!CX16</f>
        <v>3960833.5732453261</v>
      </c>
      <c r="DZ16">
        <f>'TEA Revised Non EYZ'!CY16</f>
        <v>710175.64189173898</v>
      </c>
      <c r="EA16">
        <f>'TEA Revised Non EYZ'!CZ16</f>
        <v>1826419.4569292928</v>
      </c>
      <c r="EB16">
        <f>'TEA Revised Non EYZ'!DA16</f>
        <v>352314.07943870482</v>
      </c>
      <c r="EC16">
        <f>'TEA Revised Non EYZ'!DB16</f>
        <v>2180881.3836775436</v>
      </c>
      <c r="ED16">
        <f>'TEA Revised Non EYZ'!DC16</f>
        <v>257486.93006055866</v>
      </c>
      <c r="EE16">
        <f>'TEA Revised Non EYZ'!DD16</f>
        <v>5327277.491997839</v>
      </c>
      <c r="EF16">
        <v>0.7</v>
      </c>
      <c r="EG16">
        <v>100</v>
      </c>
      <c r="EH16">
        <f>96485*BL16*V16/EF16/EG16/60</f>
        <v>32.063740089207002</v>
      </c>
      <c r="EI16">
        <f>96485*BN16*BA16/EF16/EG16/60</f>
        <v>45.45764982745046</v>
      </c>
      <c r="EJ16">
        <f>EH16*('CAPEX+OPEX'!$O$25+'CAPEX+OPEX'!$O$26)</f>
        <v>1021935.5241232056</v>
      </c>
      <c r="EK16">
        <f>EI16*('CAPEX+OPEX'!$O$25+'CAPEX+OPEX'!$O$26)</f>
        <v>1448826.2153005011</v>
      </c>
      <c r="EL16">
        <f>EJ16*1.12/0.6*'CAPEX+OPEX'!$G$116/'CAPEX+OPEX'!$G$115</f>
        <v>2249949.8446835969</v>
      </c>
      <c r="EM16">
        <f>EK16*1.12/0.6*'CAPEX+OPEX'!$G$116/'CAPEX+OPEX'!$G$115</f>
        <v>3189816.0315795839</v>
      </c>
      <c r="EN16">
        <f>EL16+EM16+DY16+EE16+1.15*(SUM(DF16:DM16)+SUM(CF16:CI16))</f>
        <v>14812924.547494879</v>
      </c>
      <c r="EO16">
        <f>EN16/15</f>
        <v>987528.30316632532</v>
      </c>
      <c r="EP16">
        <f>('eLLE Bals'!CB16+'eLLE Bals'!CC16)*'Oxidant Feed Composition'!$N$28*60*7200</f>
        <v>18759504.821304146</v>
      </c>
      <c r="EQ16" s="53">
        <f>('eLLE Bals'!BR16+'eLLE Bals'!BY16)*'Reagent cost'!$C$38*60*7200*1.5</f>
        <v>770344.98836416216</v>
      </c>
      <c r="ER16">
        <f>'TEA Revised Non EYZ'!DI16</f>
        <v>504921.59999999998</v>
      </c>
      <c r="ES16">
        <f>'TEA Revised Non EYZ'!DJ16</f>
        <v>74.348144411281226</v>
      </c>
      <c r="ET16">
        <f>'TEA Revised Non EYZ'!DK16</f>
        <v>859.28065382909847</v>
      </c>
      <c r="EU16">
        <f>1.2*SUM(EP16:ET16)</f>
        <v>24042846.046159863</v>
      </c>
      <c r="EV16">
        <f>'TEA Revised Non EYZ'!DM16</f>
        <v>0.70639694042110623</v>
      </c>
      <c r="EW16">
        <f>(BS16*CO16+BT16*CP16)/1000*('Oxidant Feed Composition'!$B$11*'Oxidant Feed Composition'!$O$20+'Oxidant Feed Composition'!$D$11*'Oxidant Feed Composition'!$O$21+'Oxidant Feed Composition'!$F$11*'Oxidant Feed Composition'!$O$27-'Oxidant Feed Composition'!$J$15*18.015)</f>
        <v>1.9704544446611074</v>
      </c>
      <c r="EX16">
        <f>(CZ16*BX16+DC16*BZ16)*368.34/1000</f>
        <v>0.10366818894701472</v>
      </c>
      <c r="EY16">
        <f>'TEA Revised Non EYZ'!DP16</f>
        <v>4.999938342565946E-2</v>
      </c>
      <c r="EZ16">
        <f>SUM(EV16:EX16)-EY16</f>
        <v>2.7305201906035692</v>
      </c>
      <c r="FA16">
        <f>EZ16*0.33*60*7200</f>
        <v>389262.95837244485</v>
      </c>
      <c r="FB16">
        <f>'TEA Revised Non EYZ'!DS16</f>
        <v>1.2</v>
      </c>
      <c r="FC16">
        <v>0.5</v>
      </c>
      <c r="FD16">
        <f>'TEA Revised Non EYZ'!DT16</f>
        <v>1407.4244845655176</v>
      </c>
      <c r="FE16">
        <f>'TEA Revised Non EYZ'!DU16</f>
        <v>708.24318720155725</v>
      </c>
      <c r="FF16">
        <f>'TEA Revised Non EYZ'!DV16</f>
        <v>0.7</v>
      </c>
      <c r="FG16">
        <f>'TEA Revised Non EYZ'!DW16</f>
        <v>30272.303809866662</v>
      </c>
      <c r="FH16">
        <f>'TEA Revised Non EYZ'!DX16</f>
        <v>20763.049486147294</v>
      </c>
      <c r="FI16">
        <f>'TEA Revised Non EYZ'!DY16</f>
        <v>8790.8072421188135</v>
      </c>
      <c r="FJ16">
        <f>'TEA Revised Non EYZ'!DZ16</f>
        <v>4656.7358484871465</v>
      </c>
      <c r="FK16">
        <f>'TEA Revised Non EYZ'!EA16</f>
        <v>4688.4305291300352</v>
      </c>
      <c r="FL16">
        <f>'TEA Revised Non EYZ'!EB16</f>
        <v>851.21032826522514</v>
      </c>
      <c r="FM16">
        <f>'TEA Revised Non EYZ'!EC16</f>
        <v>38614.447386146239</v>
      </c>
      <c r="FN16">
        <f>'TEA Revised Non EYZ'!ED16</f>
        <v>34954.37320206991</v>
      </c>
      <c r="FO16">
        <f>'TEA Revised Non EYZ'!EE16</f>
        <v>14799.230589586048</v>
      </c>
      <c r="FP16">
        <f>'TEA Revised Non EYZ'!EF16</f>
        <v>7843.8565170460224</v>
      </c>
      <c r="FQ16">
        <f>'TEA Revised Non EYZ'!EG16</f>
        <v>7892.9229811125624</v>
      </c>
      <c r="FR16">
        <f>'TEA Revised Non EYZ'!EH16</f>
        <v>428.34547961950182</v>
      </c>
      <c r="FS16">
        <f>'TEA Revised Non EYZ'!EI16</f>
        <v>174555.71339959546</v>
      </c>
      <c r="FT16">
        <f>EG16*EH16</f>
        <v>3206.3740089207004</v>
      </c>
      <c r="FU16">
        <f>EG16*EI16</f>
        <v>4545.7649827450459</v>
      </c>
      <c r="FV16">
        <f>FC16*(FT16+FU16)/(3.6*10^6)*3600*7200*0.07</f>
        <v>1953.5390258997684</v>
      </c>
      <c r="FW16">
        <f>('CAPEX+OPEX'!$C$39/7/100+0.03)*EL16</f>
        <v>115711.70629801355</v>
      </c>
      <c r="FX16">
        <f>('CAPEX+OPEX'!$C$39/7/100+0.03)*EM16</f>
        <v>164047.68162409289</v>
      </c>
      <c r="FY16">
        <f>SUM(FV16:FX16)</f>
        <v>281712.92694800621</v>
      </c>
      <c r="FZ16">
        <f>FY16+FA16+FS16+EU16</f>
        <v>24888377.644879911</v>
      </c>
      <c r="GA16">
        <f>FZ16+EO16</f>
        <v>25875905.948046237</v>
      </c>
      <c r="GB16">
        <f>GA16/(BK16*60*7200)</f>
        <v>0.59897930435292213</v>
      </c>
      <c r="GC16">
        <f>'TEA Revised Non EYZ'!EM16/'TEA Revised Non EYZ'!EK16*GA16</f>
        <v>2003.4870100456474</v>
      </c>
      <c r="GD16">
        <f>'TEA Revised Non EYZ'!EN16/'TEA Revised Non EYZ'!EK16*GA16</f>
        <v>3664.9887803941588</v>
      </c>
    </row>
    <row r="17" spans="1:186">
      <c r="A17">
        <f>'TEA Revised Non EYZ'!A17</f>
        <v>4</v>
      </c>
      <c r="B17">
        <f>'TEA Revised Non EYZ'!B17</f>
        <v>1.54143585092054E-3</v>
      </c>
      <c r="C17">
        <f>'TEA Revised Non EYZ'!C17</f>
        <v>1.54143585092054E-3</v>
      </c>
      <c r="D17">
        <f>'TEA Revised Non EYZ'!D17</f>
        <v>3.4254130020456501E-4</v>
      </c>
      <c r="E17">
        <f>'TEA Revised Non EYZ'!E17</f>
        <v>0</v>
      </c>
      <c r="F17">
        <f>'TEA Revised Non EYZ'!F17</f>
        <v>0</v>
      </c>
      <c r="G17">
        <f>'TEA Revised Non EYZ'!G17</f>
        <v>0</v>
      </c>
      <c r="H17">
        <f>'TEA Revised Non EYZ'!H17</f>
        <v>1.7208960911287699E-5</v>
      </c>
      <c r="I17">
        <f>'TEA Revised Non EYZ'!I17</f>
        <v>2.8768784818324402E-7</v>
      </c>
      <c r="J17">
        <f>'TEA Revised Non EYZ'!J17</f>
        <v>3.3243632642994598E-4</v>
      </c>
      <c r="K17">
        <f>'TEA Revised Non EYZ'!K17</f>
        <v>0.10920586178936199</v>
      </c>
      <c r="L17">
        <f>'TEA Revised Non EYZ'!L17</f>
        <v>0.110418215553449</v>
      </c>
      <c r="M17">
        <f>'TEA Revised Non EYZ'!M17</f>
        <v>7.2398825703009801E-4</v>
      </c>
      <c r="N17">
        <f>'TEA Revised Non EYZ'!N17</f>
        <v>-2.168404344971E-18</v>
      </c>
      <c r="O17">
        <f>'TEA Revised Non EYZ'!O17</f>
        <v>2.3635607360183901E-17</v>
      </c>
      <c r="P17">
        <f>'TEA Revised Non EYZ'!P17</f>
        <v>-7.4538899358378406E-20</v>
      </c>
      <c r="Q17">
        <f>'TEA Revised Non EYZ'!Q17</f>
        <v>0.13957372480144001</v>
      </c>
      <c r="R17">
        <f>'TEA Revised Non EYZ'!R17</f>
        <v>97.0499984181222</v>
      </c>
      <c r="S17">
        <f>'TEA Revised Non EYZ'!S17</f>
        <v>500</v>
      </c>
      <c r="T17">
        <f>'TEA Revised Non EYZ'!T17</f>
        <v>95</v>
      </c>
      <c r="U17">
        <f>'TEA Revised Non EYZ'!U17</f>
        <v>1</v>
      </c>
      <c r="V17">
        <f>'TEA Revised Non EYZ'!V17</f>
        <v>0.1</v>
      </c>
      <c r="W17">
        <f>'TEA Revised Non EYZ'!W17</f>
        <v>71.646723007687299</v>
      </c>
      <c r="X17" t="str">
        <f>'TEA Revised Non EYZ'!X17</f>
        <v>ddFc</v>
      </c>
      <c r="Y17">
        <f>'TEA Revised Non EYZ'!Y17</f>
        <v>1</v>
      </c>
      <c r="Z17">
        <f>'TEA Revised Non EYZ'!Z17</f>
        <v>0.28318429382522198</v>
      </c>
      <c r="AA17">
        <f>'TEA Revised Non EYZ'!AA17</f>
        <v>0.56945642916197003</v>
      </c>
      <c r="AB17">
        <f>'TEA Revised Non EYZ'!AB17</f>
        <v>3.7698628972227502E-3</v>
      </c>
      <c r="AC17">
        <f>'TEA Revised Non EYZ'!AC17</f>
        <v>1822.2107908876901</v>
      </c>
      <c r="AD17">
        <f>'TEA Revised Non EYZ'!AD17</f>
        <v>2662.6059073104898</v>
      </c>
      <c r="AE17">
        <f>'TEA Revised Non EYZ'!AE17</f>
        <v>2401.5030938442701</v>
      </c>
      <c r="AF17">
        <f>'TEA Revised Non EYZ'!AF17</f>
        <v>9</v>
      </c>
      <c r="AG17">
        <f>'TEA Revised Non EYZ'!AG17</f>
        <v>1.6481650483119699E-3</v>
      </c>
      <c r="AH17">
        <f>'TEA Revised Non EYZ'!AH17</f>
        <v>1.6664622263884801E-3</v>
      </c>
      <c r="AI17">
        <f>'TEA Revised Non EYZ'!AI17</f>
        <v>1.0926630870116399E-5</v>
      </c>
      <c r="AJ17">
        <f>'TEA Revised Non EYZ'!AJ17</f>
        <v>0</v>
      </c>
      <c r="AK17">
        <f>'TEA Revised Non EYZ'!AK17</f>
        <v>0</v>
      </c>
      <c r="AL17">
        <f>'TEA Revised Non EYZ'!AL17</f>
        <v>0</v>
      </c>
      <c r="AM17">
        <f>'TEA Revised Non EYZ'!AM17</f>
        <v>1.6111071396005901E-3</v>
      </c>
      <c r="AN17">
        <f>'TEA Revised Non EYZ'!AN17</f>
        <v>7.3940623679874496E-5</v>
      </c>
      <c r="AO17">
        <f>'TEA Revised Non EYZ'!AO17</f>
        <v>1.0854488886514799E-5</v>
      </c>
      <c r="AP17">
        <f>'TEA Revised Non EYZ'!AP17</f>
        <v>1.73252052347845E-3</v>
      </c>
      <c r="AQ17">
        <f>'TEA Revised Non EYZ'!AQ17</f>
        <v>7.4453104800508499E-2</v>
      </c>
      <c r="AR17">
        <f>'TEA Revised Non EYZ'!AR17</f>
        <v>3.37276094477029E-6</v>
      </c>
      <c r="AS17">
        <f>'TEA Revised Non EYZ'!AS17</f>
        <v>6.3475293814521601E-16</v>
      </c>
      <c r="AT17">
        <f>'TEA Revised Non EYZ'!AT17</f>
        <v>-7.9814627129692894E-14</v>
      </c>
      <c r="AU17">
        <f>'TEA Revised Non EYZ'!AU17</f>
        <v>-9.9261673506363302E-22</v>
      </c>
      <c r="AV17">
        <f>'TEA Revised Non EYZ'!AV17</f>
        <v>0.19781145533817099</v>
      </c>
      <c r="AW17">
        <f>'TEA Revised Non EYZ'!AW17</f>
        <v>99.339760037113095</v>
      </c>
      <c r="AX17">
        <f>'TEA Revised Non EYZ'!AX17</f>
        <v>500</v>
      </c>
      <c r="AY17">
        <f>'TEA Revised Non EYZ'!AY17</f>
        <v>95</v>
      </c>
      <c r="AZ17">
        <f>'TEA Revised Non EYZ'!AZ17</f>
        <v>0.92480233795174105</v>
      </c>
      <c r="BA17">
        <f>'TEA Revised Non EYZ'!BA17</f>
        <v>0.1</v>
      </c>
      <c r="BB17">
        <f>'TEA Revised Non EYZ'!BB17</f>
        <v>46.751707901381799</v>
      </c>
      <c r="BC17" t="str">
        <f>'TEA Revised Non EYZ'!BC17</f>
        <v>coeFc</v>
      </c>
      <c r="BD17">
        <f>'TEA Revised Non EYZ'!BD17</f>
        <v>1</v>
      </c>
      <c r="BE17">
        <f>'TEA Revised Non EYZ'!BE17</f>
        <v>1.8775014999999999E-2</v>
      </c>
      <c r="BF17">
        <f>'TEA Revised Non EYZ'!BF17</f>
        <v>0.10492961100000001</v>
      </c>
      <c r="BG17">
        <f>'TEA Revised Non EYZ'!BG17</f>
        <v>1.814625E-3</v>
      </c>
      <c r="BH17">
        <f>'TEA Revised Non EYZ'!BH17</f>
        <v>285.1951444</v>
      </c>
      <c r="BI17">
        <f>'TEA Revised Non EYZ'!BI17</f>
        <v>2169.8944889999998</v>
      </c>
      <c r="BJ17">
        <f>'TEA Revised Non EYZ'!BJ17</f>
        <v>866.49409060000005</v>
      </c>
      <c r="BK17">
        <f>'TEA Revised Non EYZ'!BK17</f>
        <v>100</v>
      </c>
      <c r="BL17">
        <f>'TEA Revised Non EYZ'!BL17</f>
        <v>13.957372480144</v>
      </c>
      <c r="BM17">
        <f>'TEA Revised Non EYZ'!BM17</f>
        <v>92.480233795174101</v>
      </c>
      <c r="BN17">
        <f>'TEA Revised Non EYZ'!BN17</f>
        <v>19.781145533817099</v>
      </c>
      <c r="BO17">
        <f>'TEA Revised Non EYZ'!BO17</f>
        <v>167.488469761728</v>
      </c>
      <c r="BP17">
        <f>'TEA Revised Non EYZ'!BP17</f>
        <v>435.18520174397617</v>
      </c>
      <c r="BQ17">
        <f>'TEA Revised Non EYZ'!BQ17</f>
        <v>16.7488469761728</v>
      </c>
      <c r="BR17">
        <f>'TEA Revised Non EYZ'!BR17</f>
        <v>43.518520174397622</v>
      </c>
      <c r="BS17">
        <f>'eLLE Bals'!CF17</f>
        <v>8.3744234880863999</v>
      </c>
      <c r="BT17">
        <f>'eLLE Bals'!CG17</f>
        <v>11.86868732029026</v>
      </c>
      <c r="BU17">
        <f>BM17</f>
        <v>92.480233795174101</v>
      </c>
      <c r="BV17">
        <f>BU17*(AM17*2+AN17*2+AO17*3)</f>
        <v>0.31467869921828112</v>
      </c>
      <c r="BW17">
        <f>BN17*BA17*(AP17*2+AQ17*2+AR17*3)</f>
        <v>0.30142780354625931</v>
      </c>
      <c r="BX17">
        <f>BV17/(2*V17*BL17+BV17)</f>
        <v>0.10130817105215242</v>
      </c>
      <c r="BY17">
        <f>BU17*BX17</f>
        <v>9.3690033442645451</v>
      </c>
      <c r="BZ17">
        <f>BW17/(2*BN17*BA17+BW17)</f>
        <v>7.0796640005531833E-2</v>
      </c>
      <c r="CA17">
        <f>2*BN17*BA17/0.04</f>
        <v>98.905727669085493</v>
      </c>
      <c r="CB17">
        <f>(BS17+BL17)*2</f>
        <v>44.663591936460804</v>
      </c>
      <c r="CC17">
        <f>(BU17+BL17)*2</f>
        <v>212.87521255063621</v>
      </c>
      <c r="CD17">
        <f>(BT17+BN17)*2</f>
        <v>63.299665708214718</v>
      </c>
      <c r="CE17">
        <f>(CA17+BN17)*2</f>
        <v>237.37374640580518</v>
      </c>
      <c r="CF17">
        <f>'TEA Revised Non EYZ'!CB17</f>
        <v>2210.8478008548095</v>
      </c>
      <c r="CG17">
        <f>'TEA Revised Non EYZ'!CC17</f>
        <v>5744.4446630204857</v>
      </c>
      <c r="CH17">
        <f>'TEA Revised Non EYZ'!CD17</f>
        <v>2671.1136977461792</v>
      </c>
      <c r="CI17">
        <f>'TEA Revised Non EYZ'!CE17</f>
        <v>44307.41224236018</v>
      </c>
      <c r="CJ17">
        <f>BL17*V17</f>
        <v>1.3957372480144001</v>
      </c>
      <c r="CK17">
        <f>CJ17/2*1.2</f>
        <v>0.8374423488086401</v>
      </c>
      <c r="CL17">
        <f>'eLLE Bals'!CB17*'Oxidant Feed Composition'!$N$20</f>
        <v>4.6524574933813359E-2</v>
      </c>
      <c r="CM17">
        <f>'eLLE Bals'!CB17*'Oxidant Feed Composition'!$N$21</f>
        <v>2.326228746690667</v>
      </c>
      <c r="CN17">
        <f>'eLLE Bals'!CB17*'Oxidant Feed Composition'!$N$22</f>
        <v>0.69786862400720007</v>
      </c>
      <c r="CO17">
        <f>CN17/CK17</f>
        <v>0.83333333333333326</v>
      </c>
      <c r="CP17">
        <f>CO17</f>
        <v>0.83333333333333326</v>
      </c>
      <c r="CQ17">
        <f>CL17/CO17</f>
        <v>5.5829489920576035E-2</v>
      </c>
      <c r="CR17">
        <f>CM17/CO17</f>
        <v>2.7914744960288007</v>
      </c>
      <c r="CS17">
        <f>BN17*BA17</f>
        <v>1.9781145533817099</v>
      </c>
      <c r="CT17">
        <f>CS17/2*1.2</f>
        <v>1.1868687320290259</v>
      </c>
      <c r="CU17">
        <f>'eLLE Bals'!CC17*'Oxidant Feed Composition'!$N$20</f>
        <v>6.5937151779390357E-2</v>
      </c>
      <c r="CV17">
        <f>'eLLE Bals'!CC17*'Oxidant Feed Composition'!$N$21</f>
        <v>3.2968575889695169</v>
      </c>
      <c r="CW17">
        <f>'eLLE Bals'!CC17*'Oxidant Feed Composition'!$N$22</f>
        <v>0.98905727669085497</v>
      </c>
      <c r="CX17">
        <f>CU17/CP17</f>
        <v>7.9124582135268434E-2</v>
      </c>
      <c r="CY17">
        <f>CV17/CP17</f>
        <v>3.9562291067634208</v>
      </c>
      <c r="CZ17">
        <f>CJ17</f>
        <v>1.3957372480144001</v>
      </c>
      <c r="DA17">
        <f>'eLLE Bals'!BQ17</f>
        <v>2.7914744960288003</v>
      </c>
      <c r="DB17">
        <f>'eLLE Bals'!BU17</f>
        <v>9.5899321282918848</v>
      </c>
      <c r="DC17">
        <f>CS17</f>
        <v>1.9781145533817099</v>
      </c>
      <c r="DD17">
        <f>'eLLE Bals'!BX17</f>
        <v>3.9562291067634199</v>
      </c>
      <c r="DE17">
        <f>'eLLE Bals'!CA17</f>
        <v>22.006453434563685</v>
      </c>
      <c r="DF17">
        <f>2*2*(CJ17*'Reagent cost'!$C$36*122.44/1000*1.5+CK17*'Oxidant Feed Composition'!$N$26+CQ17*'Reagent cost'!$C$34+CR17*'Reagent cost'!$C$35)</f>
        <v>142.03180970200279</v>
      </c>
      <c r="DG17">
        <f>2*2*(CS17*'Reagent cost'!$C$36*122.44/1000*1.5+CT17*'Oxidant Feed Composition'!$N$26+CX17*'Reagent cost'!$C$34+CY17*'Reagent cost'!$C$35)</f>
        <v>201.29518662224206</v>
      </c>
      <c r="DH17">
        <f>(AF17+3)*2*(CZ17*'Reagent cost'!$C$38+DA17*'Reagent cost'!$C$39+DB17*'Reagent cost'!$C$36*122.44/1000*1.5)</f>
        <v>3134.4913302775894</v>
      </c>
      <c r="DI17">
        <f>3*2*(DC17*'Reagent cost'!$C$38+DD17*'Reagent cost'!$C$39+DE17*'Reagent cost'!$C$36*122.44/1000*1.5)</f>
        <v>1765.4579160773774</v>
      </c>
      <c r="DJ17">
        <f>7963.6*(CB17/1000)^0.6*1.7*('CAPEX+OPEX'!$G$116/'CAPEX+OPEX'!$G$115)</f>
        <v>2472.9373618126128</v>
      </c>
      <c r="DK17">
        <f>7963.6*(CC17/1000)^0.6*1.7*('CAPEX+OPEX'!$G$116/'CAPEX+OPEX'!$G$115)</f>
        <v>6311.2587327211604</v>
      </c>
      <c r="DL17">
        <f>7963.6*(CD17/1000)^0.6*1.7*('CAPEX+OPEX'!$G$116/'CAPEX+OPEX'!$G$115)</f>
        <v>3048.4689629639438</v>
      </c>
      <c r="DM17">
        <f>7963.6*(CE17/1000)^0.6*1.7*('CAPEX+OPEX'!$G$116/'CAPEX+OPEX'!$G$115)</f>
        <v>6737.5273070329895</v>
      </c>
      <c r="DN17">
        <f>'TEA Revised Non EYZ'!CM17</f>
        <v>39625.826528698344</v>
      </c>
      <c r="DO17">
        <f>'TEA Revised Non EYZ'!CN17</f>
        <v>4586243.4239371875</v>
      </c>
      <c r="DP17">
        <f>'TEA Revised Non EYZ'!CO17</f>
        <v>11794834.586807497</v>
      </c>
      <c r="DQ17">
        <f>'TEA Revised Non EYZ'!CP17</f>
        <v>2275209.1661185985</v>
      </c>
      <c r="DR17">
        <f>'TEA Revised Non EYZ'!CQ17</f>
        <v>14083914.336508472</v>
      </c>
      <c r="DS17">
        <f>'TEA Revised Non EYZ'!CR17</f>
        <v>1662824.8986326549</v>
      </c>
      <c r="DT17">
        <f>'TEA Revised Non EYZ'!CS17</f>
        <v>528015.95740622084</v>
      </c>
      <c r="DU17">
        <f>'TEA Revised Non EYZ'!CT17</f>
        <v>1357943.8117688675</v>
      </c>
      <c r="DV17">
        <f>'TEA Revised Non EYZ'!CU17</f>
        <v>261945.7004565605</v>
      </c>
      <c r="DW17">
        <f>'TEA Revised Non EYZ'!CV17</f>
        <v>1621486.4378120217</v>
      </c>
      <c r="DX17">
        <f>'TEA Revised Non EYZ'!CW17</f>
        <v>191441.6658016555</v>
      </c>
      <c r="DY17">
        <f>'TEA Revised Non EYZ'!CX17</f>
        <v>3960833.5732453261</v>
      </c>
      <c r="DZ17">
        <f>'TEA Revised Non EYZ'!CY17</f>
        <v>756519.74381347164</v>
      </c>
      <c r="EA17">
        <f>'TEA Revised Non EYZ'!CZ17</f>
        <v>1945606.5487849014</v>
      </c>
      <c r="EB17">
        <f>'TEA Revised Non EYZ'!DA17</f>
        <v>375305.12368583737</v>
      </c>
      <c r="EC17">
        <f>'TEA Revised Non EYZ'!DB17</f>
        <v>2323199.682366488</v>
      </c>
      <c r="ED17">
        <f>'TEA Revised Non EYZ'!DC17</f>
        <v>274289.81631339306</v>
      </c>
      <c r="EE17">
        <f>'TEA Revised Non EYZ'!DD17</f>
        <v>5674920.914964092</v>
      </c>
      <c r="EF17">
        <v>0.7</v>
      </c>
      <c r="EG17">
        <v>100</v>
      </c>
      <c r="EH17">
        <f>96485*BL17*V17/EF17/EG17/60</f>
        <v>32.063740089207002</v>
      </c>
      <c r="EI17">
        <f>96485*BN17*BA17/EF17/EG17/60</f>
        <v>45.442472067389119</v>
      </c>
      <c r="EJ17">
        <f>EH17*('CAPEX+OPEX'!$O$25+'CAPEX+OPEX'!$O$26)</f>
        <v>1021935.5241232056</v>
      </c>
      <c r="EK17">
        <f>EI17*('CAPEX+OPEX'!$O$25+'CAPEX+OPEX'!$O$26)</f>
        <v>1448342.4697318261</v>
      </c>
      <c r="EL17">
        <f>EJ17*1.12/0.6*'CAPEX+OPEX'!$G$116/'CAPEX+OPEX'!$G$115</f>
        <v>2249949.8446835969</v>
      </c>
      <c r="EM17">
        <f>EK17*1.12/0.6*'CAPEX+OPEX'!$G$116/'CAPEX+OPEX'!$G$115</f>
        <v>3188750.9905457669</v>
      </c>
      <c r="EN17">
        <f>EL17+EM17+DY17+EE17+1.15*(SUM(DF17:DM17)+SUM(CF17:CI17))</f>
        <v>15165014.703501653</v>
      </c>
      <c r="EO17">
        <f>EN17/15</f>
        <v>1011000.9802334436</v>
      </c>
      <c r="EP17">
        <f>('eLLE Bals'!CB17+'eLLE Bals'!CC17)*'Oxidant Feed Composition'!$N$28*60*7200</f>
        <v>18755831.934848506</v>
      </c>
      <c r="EQ17" s="53">
        <f>('eLLE Bals'!BR17+'eLLE Bals'!BY17)*'Reagent cost'!$C$38*60*7200*1.5</f>
        <v>770335.2694214331</v>
      </c>
      <c r="ER17">
        <f>'TEA Revised Non EYZ'!DI17</f>
        <v>504921.59999999998</v>
      </c>
      <c r="ES17">
        <f>'TEA Revised Non EYZ'!DJ17</f>
        <v>79.552924638752955</v>
      </c>
      <c r="ET17">
        <f>'TEA Revised Non EYZ'!DK17</f>
        <v>939.57051880212725</v>
      </c>
      <c r="EU17">
        <f>1.2*SUM(EP17:ET17)</f>
        <v>24038529.513256058</v>
      </c>
      <c r="EV17">
        <f>'TEA Revised Non EYZ'!DM17</f>
        <v>0.70639694042110623</v>
      </c>
      <c r="EW17">
        <f>(BS17*CO17+BT17*CP17)/1000*('Oxidant Feed Composition'!$B$11*'Oxidant Feed Composition'!$O$20+'Oxidant Feed Composition'!$D$11*'Oxidant Feed Composition'!$O$21+'Oxidant Feed Composition'!$F$11*'Oxidant Feed Composition'!$O$27-'Oxidant Feed Composition'!$J$15*18.015)</f>
        <v>1.9700686532710798</v>
      </c>
      <c r="EX17">
        <f>(CZ17*BX17+DC17*BZ17)*368.34/1000</f>
        <v>0.10366688103276016</v>
      </c>
      <c r="EY17">
        <f>'TEA Revised Non EYZ'!DP17</f>
        <v>4.999938342565946E-2</v>
      </c>
      <c r="EZ17">
        <f>SUM(EV17:EX17)-EY17</f>
        <v>2.7301330912992867</v>
      </c>
      <c r="FA17">
        <f>EZ17*0.33*60*7200</f>
        <v>389207.77349562634</v>
      </c>
      <c r="FB17">
        <f>'TEA Revised Non EYZ'!DS17</f>
        <v>1.2</v>
      </c>
      <c r="FC17">
        <v>0.5</v>
      </c>
      <c r="FD17">
        <f>'TEA Revised Non EYZ'!DT17</f>
        <v>1407.4630585814209</v>
      </c>
      <c r="FE17">
        <f>'TEA Revised Non EYZ'!DU17</f>
        <v>708.2046132217464</v>
      </c>
      <c r="FF17">
        <f>'TEA Revised Non EYZ'!DV17</f>
        <v>0.7</v>
      </c>
      <c r="FG17">
        <f>'TEA Revised Non EYZ'!DW17</f>
        <v>30272.303809866662</v>
      </c>
      <c r="FH17">
        <f>'TEA Revised Non EYZ'!DX17</f>
        <v>20763.049486147294</v>
      </c>
      <c r="FI17">
        <f>'TEA Revised Non EYZ'!DY17</f>
        <v>8790.8072421188135</v>
      </c>
      <c r="FJ17">
        <f>'TEA Revised Non EYZ'!DZ17</f>
        <v>4656.7358484871465</v>
      </c>
      <c r="FK17">
        <f>'TEA Revised Non EYZ'!EA17</f>
        <v>4688.4305291300352</v>
      </c>
      <c r="FL17">
        <f>'TEA Revised Non EYZ'!EB17</f>
        <v>851.2336578300434</v>
      </c>
      <c r="FM17">
        <f>'TEA Revised Non EYZ'!EC17</f>
        <v>41188.743878555993</v>
      </c>
      <c r="FN17">
        <f>'TEA Revised Non EYZ'!ED17</f>
        <v>38838.192446744346</v>
      </c>
      <c r="FO17">
        <f>'TEA Revised Non EYZ'!EE17</f>
        <v>16443.589543984501</v>
      </c>
      <c r="FP17">
        <f>'TEA Revised Non EYZ'!EF17</f>
        <v>8715.3961300511364</v>
      </c>
      <c r="FQ17">
        <f>'TEA Revised Non EYZ'!EG17</f>
        <v>8769.9144234584019</v>
      </c>
      <c r="FR17">
        <f>'TEA Revised Non EYZ'!EH17</f>
        <v>428.32215007651229</v>
      </c>
      <c r="FS17">
        <f>'TEA Revised Non EYZ'!EI17</f>
        <v>184406.71914645089</v>
      </c>
      <c r="FT17">
        <f>EG17*EH17</f>
        <v>3206.3740089207004</v>
      </c>
      <c r="FU17">
        <f>EG17*EI17</f>
        <v>4544.2472067389117</v>
      </c>
      <c r="FV17">
        <f>FC17*(FT17+FU17)/(3.6*10^6)*3600*7200*0.07</f>
        <v>1953.1565463462225</v>
      </c>
      <c r="FW17">
        <f>('CAPEX+OPEX'!$C$39/7/100+0.03)*EL17</f>
        <v>115711.70629801355</v>
      </c>
      <c r="FX17">
        <f>('CAPEX+OPEX'!$C$39/7/100+0.03)*EM17</f>
        <v>163992.90808521086</v>
      </c>
      <c r="FY17">
        <f>SUM(FV17:FX17)</f>
        <v>281657.77092957066</v>
      </c>
      <c r="FZ17">
        <f>FY17+FA17+FS17+EU17</f>
        <v>24893801.776827704</v>
      </c>
      <c r="GA17">
        <f>FZ17+EO17</f>
        <v>25904802.757061146</v>
      </c>
      <c r="GB17">
        <f>GA17/(BK17*60*7200)</f>
        <v>0.59964821196900797</v>
      </c>
      <c r="GC17">
        <f>'TEA Revised Non EYZ'!EM17/'TEA Revised Non EYZ'!EK17*GA17</f>
        <v>2005.6693554209889</v>
      </c>
      <c r="GD17">
        <f>'TEA Revised Non EYZ'!EN17/'TEA Revised Non EYZ'!EK17*GA17</f>
        <v>3669.2658397994637</v>
      </c>
    </row>
    <row r="18" spans="1:186">
      <c r="A18">
        <f>'TEA Revised Non EYZ'!A18</f>
        <v>4</v>
      </c>
      <c r="B18">
        <f>'TEA Revised Non EYZ'!B18</f>
        <v>1.54143585092054E-3</v>
      </c>
      <c r="C18">
        <f>'TEA Revised Non EYZ'!C18</f>
        <v>1.54143585092054E-3</v>
      </c>
      <c r="D18">
        <f>'TEA Revised Non EYZ'!D18</f>
        <v>3.4254130020456501E-4</v>
      </c>
      <c r="E18">
        <f>'TEA Revised Non EYZ'!E18</f>
        <v>0</v>
      </c>
      <c r="F18">
        <f>'TEA Revised Non EYZ'!F18</f>
        <v>0</v>
      </c>
      <c r="G18">
        <f>'TEA Revised Non EYZ'!G18</f>
        <v>0</v>
      </c>
      <c r="H18">
        <f>'TEA Revised Non EYZ'!H18</f>
        <v>1.7208960911287699E-5</v>
      </c>
      <c r="I18">
        <f>'TEA Revised Non EYZ'!I18</f>
        <v>2.8768784818324402E-7</v>
      </c>
      <c r="J18">
        <f>'TEA Revised Non EYZ'!J18</f>
        <v>3.3243632642994598E-4</v>
      </c>
      <c r="K18">
        <f>'TEA Revised Non EYZ'!K18</f>
        <v>0.10920586178936199</v>
      </c>
      <c r="L18">
        <f>'TEA Revised Non EYZ'!L18</f>
        <v>0.110418215553449</v>
      </c>
      <c r="M18">
        <f>'TEA Revised Non EYZ'!M18</f>
        <v>7.2398825703009801E-4</v>
      </c>
      <c r="N18">
        <f>'TEA Revised Non EYZ'!N18</f>
        <v>-2.168404344971E-18</v>
      </c>
      <c r="O18">
        <f>'TEA Revised Non EYZ'!O18</f>
        <v>2.3635607360183901E-17</v>
      </c>
      <c r="P18">
        <f>'TEA Revised Non EYZ'!P18</f>
        <v>-7.4538899358378406E-20</v>
      </c>
      <c r="Q18">
        <f>'TEA Revised Non EYZ'!Q18</f>
        <v>0.13957372480144001</v>
      </c>
      <c r="R18">
        <f>'TEA Revised Non EYZ'!R18</f>
        <v>97.0499984181222</v>
      </c>
      <c r="S18">
        <f>'TEA Revised Non EYZ'!S18</f>
        <v>500</v>
      </c>
      <c r="T18">
        <f>'TEA Revised Non EYZ'!T18</f>
        <v>95</v>
      </c>
      <c r="U18">
        <f>'TEA Revised Non EYZ'!U18</f>
        <v>1</v>
      </c>
      <c r="V18">
        <f>'TEA Revised Non EYZ'!V18</f>
        <v>0.1</v>
      </c>
      <c r="W18">
        <f>'TEA Revised Non EYZ'!W18</f>
        <v>71.646723007687299</v>
      </c>
      <c r="X18" t="str">
        <f>'TEA Revised Non EYZ'!X18</f>
        <v>ddFc</v>
      </c>
      <c r="Y18">
        <f>'TEA Revised Non EYZ'!Y18</f>
        <v>1</v>
      </c>
      <c r="Z18">
        <f>'TEA Revised Non EYZ'!Z18</f>
        <v>0.28318429382522198</v>
      </c>
      <c r="AA18">
        <f>'TEA Revised Non EYZ'!AA18</f>
        <v>0.56945642916197003</v>
      </c>
      <c r="AB18">
        <f>'TEA Revised Non EYZ'!AB18</f>
        <v>3.7698628972227502E-3</v>
      </c>
      <c r="AC18">
        <f>'TEA Revised Non EYZ'!AC18</f>
        <v>1822.2107908876901</v>
      </c>
      <c r="AD18">
        <f>'TEA Revised Non EYZ'!AD18</f>
        <v>2662.6059073104898</v>
      </c>
      <c r="AE18">
        <f>'TEA Revised Non EYZ'!AE18</f>
        <v>2401.5030938442701</v>
      </c>
      <c r="AF18">
        <f>'TEA Revised Non EYZ'!AF18</f>
        <v>10</v>
      </c>
      <c r="AG18">
        <f>'TEA Revised Non EYZ'!AG18</f>
        <v>1.6481650483119699E-3</v>
      </c>
      <c r="AH18">
        <f>'TEA Revised Non EYZ'!AH18</f>
        <v>1.6664622263884801E-3</v>
      </c>
      <c r="AI18">
        <f>'TEA Revised Non EYZ'!AI18</f>
        <v>1.0926630870116399E-5</v>
      </c>
      <c r="AJ18">
        <f>'TEA Revised Non EYZ'!AJ18</f>
        <v>0</v>
      </c>
      <c r="AK18">
        <f>'TEA Revised Non EYZ'!AK18</f>
        <v>0</v>
      </c>
      <c r="AL18">
        <f>'TEA Revised Non EYZ'!AL18</f>
        <v>0</v>
      </c>
      <c r="AM18">
        <f>'TEA Revised Non EYZ'!AM18</f>
        <v>1.6111196692703601E-3</v>
      </c>
      <c r="AN18">
        <f>'TEA Revised Non EYZ'!AN18</f>
        <v>7.3941259795984898E-5</v>
      </c>
      <c r="AO18">
        <f>'TEA Revised Non EYZ'!AO18</f>
        <v>1.08545122697032E-5</v>
      </c>
      <c r="AP18">
        <f>'TEA Revised Non EYZ'!AP18</f>
        <v>1.73209870318316E-3</v>
      </c>
      <c r="AQ18">
        <f>'TEA Revised Non EYZ'!AQ18</f>
        <v>7.4460123902013106E-2</v>
      </c>
      <c r="AR18">
        <f>'TEA Revised Non EYZ'!AR18</f>
        <v>3.3719869428578601E-6</v>
      </c>
      <c r="AS18">
        <f>'TEA Revised Non EYZ'!AS18</f>
        <v>4.70535543579779E-14</v>
      </c>
      <c r="AT18">
        <f>'TEA Revised Non EYZ'!AT18</f>
        <v>-4.6022981432802804E-12</v>
      </c>
      <c r="AU18">
        <f>'TEA Revised Non EYZ'!AU18</f>
        <v>6.0744173718954098E-19</v>
      </c>
      <c r="AV18">
        <f>'TEA Revised Non EYZ'!AV18</f>
        <v>0.19779272992915201</v>
      </c>
      <c r="AW18">
        <f>'TEA Revised Non EYZ'!AW18</f>
        <v>99.339974038928602</v>
      </c>
      <c r="AX18">
        <f>'TEA Revised Non EYZ'!AX18</f>
        <v>500</v>
      </c>
      <c r="AY18">
        <f>'TEA Revised Non EYZ'!AY18</f>
        <v>95</v>
      </c>
      <c r="AZ18">
        <f>'TEA Revised Non EYZ'!AZ18</f>
        <v>0.92480233795174105</v>
      </c>
      <c r="BA18">
        <f>'TEA Revised Non EYZ'!BA18</f>
        <v>0.1</v>
      </c>
      <c r="BB18">
        <f>'TEA Revised Non EYZ'!BB18</f>
        <v>46.7561339733263</v>
      </c>
      <c r="BC18" t="str">
        <f>'TEA Revised Non EYZ'!BC18</f>
        <v>coeFc</v>
      </c>
      <c r="BD18">
        <f>'TEA Revised Non EYZ'!BD18</f>
        <v>1</v>
      </c>
      <c r="BE18">
        <f>'TEA Revised Non EYZ'!BE18</f>
        <v>1.8775014999999999E-2</v>
      </c>
      <c r="BF18">
        <f>'TEA Revised Non EYZ'!BF18</f>
        <v>0.10492961100000001</v>
      </c>
      <c r="BG18">
        <f>'TEA Revised Non EYZ'!BG18</f>
        <v>1.814625E-3</v>
      </c>
      <c r="BH18">
        <f>'TEA Revised Non EYZ'!BH18</f>
        <v>285.1951444</v>
      </c>
      <c r="BI18">
        <f>'TEA Revised Non EYZ'!BI18</f>
        <v>2169.8944889999998</v>
      </c>
      <c r="BJ18">
        <f>'TEA Revised Non EYZ'!BJ18</f>
        <v>866.49409060000005</v>
      </c>
      <c r="BK18">
        <f>'TEA Revised Non EYZ'!BK18</f>
        <v>100</v>
      </c>
      <c r="BL18">
        <f>'TEA Revised Non EYZ'!BL18</f>
        <v>13.957372480144</v>
      </c>
      <c r="BM18">
        <f>'TEA Revised Non EYZ'!BM18</f>
        <v>92.480233795174101</v>
      </c>
      <c r="BN18">
        <f>'TEA Revised Non EYZ'!BN18</f>
        <v>19.7792729929152</v>
      </c>
      <c r="BO18">
        <f>'TEA Revised Non EYZ'!BO18</f>
        <v>167.488469761728</v>
      </c>
      <c r="BP18">
        <f>'TEA Revised Non EYZ'!BP18</f>
        <v>474.70255182996482</v>
      </c>
      <c r="BQ18">
        <f>'TEA Revised Non EYZ'!BQ18</f>
        <v>16.7488469761728</v>
      </c>
      <c r="BR18">
        <f>'TEA Revised Non EYZ'!BR18</f>
        <v>47.470255182996482</v>
      </c>
      <c r="BS18">
        <f>'eLLE Bals'!CF18</f>
        <v>8.3744234880863999</v>
      </c>
      <c r="BT18">
        <f>'eLLE Bals'!CG18</f>
        <v>11.867563795749119</v>
      </c>
      <c r="BU18">
        <f>BM18</f>
        <v>92.480233795174101</v>
      </c>
      <c r="BV18">
        <f>BU18*(AM18*2+AN18*2+AO18*3)</f>
        <v>0.31468114085564197</v>
      </c>
      <c r="BW18">
        <f>BN18*BA18*(AP18*2+AQ18*2+AR18*3)</f>
        <v>0.3014253628041097</v>
      </c>
      <c r="BX18">
        <f>BV18/(2*V18*BL18+BV18)</f>
        <v>0.10130887748151461</v>
      </c>
      <c r="BY18">
        <f>BU18*BX18</f>
        <v>9.3690686750171199</v>
      </c>
      <c r="BZ18">
        <f>BW18/(2*BN18*BA18+BW18)</f>
        <v>7.0802335185374154E-2</v>
      </c>
      <c r="CA18">
        <f>2*BN18*BA18/0.04</f>
        <v>98.896364964575994</v>
      </c>
      <c r="CB18">
        <f>(BS18+BL18)*2</f>
        <v>44.663591936460804</v>
      </c>
      <c r="CC18">
        <f>(BU18+BL18)*2</f>
        <v>212.87521255063621</v>
      </c>
      <c r="CD18">
        <f>(BT18+BN18)*2</f>
        <v>63.293673577328633</v>
      </c>
      <c r="CE18">
        <f>(CA18+BN18)*2</f>
        <v>237.35127591498238</v>
      </c>
      <c r="CF18">
        <f>'TEA Revised Non EYZ'!CB18</f>
        <v>2210.8478008548095</v>
      </c>
      <c r="CG18">
        <f>'TEA Revised Non EYZ'!CC18</f>
        <v>6266.0736841555354</v>
      </c>
      <c r="CH18">
        <f>'TEA Revised Non EYZ'!CD18</f>
        <v>2671.1136977461792</v>
      </c>
      <c r="CI18">
        <f>'TEA Revised Non EYZ'!CE18</f>
        <v>48330.783243876089</v>
      </c>
      <c r="CJ18">
        <f>BL18*V18</f>
        <v>1.3957372480144001</v>
      </c>
      <c r="CK18">
        <f>CJ18/2*1.2</f>
        <v>0.8374423488086401</v>
      </c>
      <c r="CL18">
        <f>'eLLE Bals'!CB18*'Oxidant Feed Composition'!$N$20</f>
        <v>4.6524574933813359E-2</v>
      </c>
      <c r="CM18">
        <f>'eLLE Bals'!CB18*'Oxidant Feed Composition'!$N$21</f>
        <v>2.326228746690667</v>
      </c>
      <c r="CN18">
        <f>'eLLE Bals'!CB18*'Oxidant Feed Composition'!$N$22</f>
        <v>0.69786862400720007</v>
      </c>
      <c r="CO18">
        <f>CN18/CK18</f>
        <v>0.83333333333333326</v>
      </c>
      <c r="CP18">
        <f>CO18</f>
        <v>0.83333333333333326</v>
      </c>
      <c r="CQ18">
        <f>CL18/CO18</f>
        <v>5.5829489920576035E-2</v>
      </c>
      <c r="CR18">
        <f>CM18/CO18</f>
        <v>2.7914744960288007</v>
      </c>
      <c r="CS18">
        <f>BN18*BA18</f>
        <v>1.97792729929152</v>
      </c>
      <c r="CT18">
        <f>CS18/2*1.2</f>
        <v>1.1867563795749119</v>
      </c>
      <c r="CU18">
        <f>'eLLE Bals'!CC18*'Oxidant Feed Composition'!$N$20</f>
        <v>6.5930909976384025E-2</v>
      </c>
      <c r="CV18">
        <f>'eLLE Bals'!CC18*'Oxidant Feed Composition'!$N$21</f>
        <v>3.2965454988192002</v>
      </c>
      <c r="CW18">
        <f>'eLLE Bals'!CC18*'Oxidant Feed Composition'!$N$22</f>
        <v>0.98896364964576</v>
      </c>
      <c r="CX18">
        <f>CU18/CP18</f>
        <v>7.9117091971660836E-2</v>
      </c>
      <c r="CY18">
        <f>CV18/CP18</f>
        <v>3.9558545985830404</v>
      </c>
      <c r="CZ18">
        <f>CJ18</f>
        <v>1.3957372480144001</v>
      </c>
      <c r="DA18">
        <f>'eLLE Bals'!BQ18</f>
        <v>2.7914744960288003</v>
      </c>
      <c r="DB18">
        <f>'eLLE Bals'!BU18</f>
        <v>9.5898360678608316</v>
      </c>
      <c r="DC18">
        <f>CS18</f>
        <v>1.97792729929152</v>
      </c>
      <c r="DD18">
        <f>'eLLE Bals'!BX18</f>
        <v>3.95585459858304</v>
      </c>
      <c r="DE18">
        <f>'eLLE Bals'!CA18</f>
        <v>22.00212295770578</v>
      </c>
      <c r="DF18">
        <f>2*2*(CJ18*'Reagent cost'!$C$36*122.44/1000*1.5+CK18*'Oxidant Feed Composition'!$N$26+CQ18*'Reagent cost'!$C$34+CR18*'Reagent cost'!$C$35)</f>
        <v>142.03180970200279</v>
      </c>
      <c r="DG18">
        <f>2*2*(CS18*'Reagent cost'!$C$36*122.44/1000*1.5+CT18*'Oxidant Feed Composition'!$N$26+CX18*'Reagent cost'!$C$34+CY18*'Reagent cost'!$C$35)</f>
        <v>201.27613143306405</v>
      </c>
      <c r="DH18">
        <f>(AF18+3)*2*(CZ18*'Reagent cost'!$C$38+DA18*'Reagent cost'!$C$39+DB18*'Reagent cost'!$C$36*122.44/1000*1.5)</f>
        <v>3395.6665474626639</v>
      </c>
      <c r="DI18">
        <f>3*2*(DC18*'Reagent cost'!$C$38+DD18*'Reagent cost'!$C$39+DE18*'Reagent cost'!$C$36*122.44/1000*1.5)</f>
        <v>1765.1159082798747</v>
      </c>
      <c r="DJ18">
        <f>7963.6*(CB18/1000)^0.6*1.7*('CAPEX+OPEX'!$G$116/'CAPEX+OPEX'!$G$115)</f>
        <v>2472.9373618126128</v>
      </c>
      <c r="DK18">
        <f>7963.6*(CC18/1000)^0.6*1.7*('CAPEX+OPEX'!$G$116/'CAPEX+OPEX'!$G$115)</f>
        <v>6311.2587327211604</v>
      </c>
      <c r="DL18">
        <f>7963.6*(CD18/1000)^0.6*1.7*('CAPEX+OPEX'!$G$116/'CAPEX+OPEX'!$G$115)</f>
        <v>3048.2958135103663</v>
      </c>
      <c r="DM18">
        <f>7963.6*(CE18/1000)^0.6*1.7*('CAPEX+OPEX'!$G$116/'CAPEX+OPEX'!$G$115)</f>
        <v>6737.1446234020095</v>
      </c>
      <c r="DN18">
        <f>'TEA Revised Non EYZ'!CM18</f>
        <v>39625.826528698344</v>
      </c>
      <c r="DO18">
        <f>'TEA Revised Non EYZ'!CN18</f>
        <v>4586243.4239371875</v>
      </c>
      <c r="DP18">
        <f>'TEA Revised Non EYZ'!CO18</f>
        <v>11794834.586807497</v>
      </c>
      <c r="DQ18">
        <f>'TEA Revised Non EYZ'!CP18</f>
        <v>2275209.1661185985</v>
      </c>
      <c r="DR18">
        <f>'TEA Revised Non EYZ'!CQ18</f>
        <v>14083914.336508472</v>
      </c>
      <c r="DS18">
        <f>'TEA Revised Non EYZ'!CR18</f>
        <v>1662824.8986326549</v>
      </c>
      <c r="DT18">
        <f>'TEA Revised Non EYZ'!CS18</f>
        <v>528015.95740622084</v>
      </c>
      <c r="DU18">
        <f>'TEA Revised Non EYZ'!CT18</f>
        <v>1357943.8117688675</v>
      </c>
      <c r="DV18">
        <f>'TEA Revised Non EYZ'!CU18</f>
        <v>261945.7004565605</v>
      </c>
      <c r="DW18">
        <f>'TEA Revised Non EYZ'!CV18</f>
        <v>1621486.4378120217</v>
      </c>
      <c r="DX18">
        <f>'TEA Revised Non EYZ'!CW18</f>
        <v>191441.6658016555</v>
      </c>
      <c r="DY18">
        <f>'TEA Revised Non EYZ'!CX18</f>
        <v>3960833.5732453261</v>
      </c>
      <c r="DZ18">
        <f>'TEA Revised Non EYZ'!CY18</f>
        <v>801043.08902855217</v>
      </c>
      <c r="EA18">
        <f>'TEA Revised Non EYZ'!CZ18</f>
        <v>2060111.0448442006</v>
      </c>
      <c r="EB18">
        <f>'TEA Revised Non EYZ'!DA18</f>
        <v>397392.90093091218</v>
      </c>
      <c r="EC18">
        <f>'TEA Revised Non EYZ'!DB18</f>
        <v>2459926.6115807402</v>
      </c>
      <c r="ED18">
        <f>'TEA Revised Non EYZ'!DC18</f>
        <v>290432.55453082855</v>
      </c>
      <c r="EE18">
        <f>'TEA Revised Non EYZ'!DD18</f>
        <v>6008906.2009152332</v>
      </c>
      <c r="EF18">
        <v>0.7</v>
      </c>
      <c r="EG18">
        <v>100</v>
      </c>
      <c r="EH18">
        <f>96485*BL18*V18/EF18/EG18/60</f>
        <v>32.063740089207002</v>
      </c>
      <c r="EI18">
        <f>96485*BN18*BA18/EF18/EG18/60</f>
        <v>45.43817035051007</v>
      </c>
      <c r="EJ18">
        <f>EH18*('CAPEX+OPEX'!$O$25+'CAPEX+OPEX'!$O$26)</f>
        <v>1021935.5241232056</v>
      </c>
      <c r="EK18">
        <f>EI18*('CAPEX+OPEX'!$O$25+'CAPEX+OPEX'!$O$26)</f>
        <v>1448205.3654114569</v>
      </c>
      <c r="EL18">
        <f>EJ18*1.12/0.6*'CAPEX+OPEX'!$G$116/'CAPEX+OPEX'!$G$115</f>
        <v>2249949.8446835969</v>
      </c>
      <c r="EM18">
        <f>EK18*1.12/0.6*'CAPEX+OPEX'!$G$116/'CAPEX+OPEX'!$G$115</f>
        <v>3188449.1340812068</v>
      </c>
      <c r="EN18">
        <f>EL18+EM18+DY18+EE18+1.15*(SUM(DF18:DM18)+SUM(CF18:CI18))</f>
        <v>15504224.180083562</v>
      </c>
      <c r="EO18">
        <f>EN18/15</f>
        <v>1033614.9453389042</v>
      </c>
      <c r="EP18">
        <f>('eLLE Bals'!CB18+'eLLE Bals'!CC18)*'Oxidant Feed Composition'!$N$28*60*7200</f>
        <v>18754790.956627931</v>
      </c>
      <c r="EQ18" s="53">
        <f>('eLLE Bals'!BR18+'eLLE Bals'!BY18)*'Reagent cost'!$C$38*60*7200*1.5</f>
        <v>770332.51503870392</v>
      </c>
      <c r="ER18">
        <f>'TEA Revised Non EYZ'!DI18</f>
        <v>504921.59999999998</v>
      </c>
      <c r="ES18">
        <f>'TEA Revised Non EYZ'!DJ18</f>
        <v>84.769214850103452</v>
      </c>
      <c r="ET18">
        <f>'TEA Revised Non EYZ'!DK18</f>
        <v>1020.0379388324454</v>
      </c>
      <c r="EU18">
        <f>1.2*SUM(EP18:ET18)</f>
        <v>24037379.854584381</v>
      </c>
      <c r="EV18">
        <f>'TEA Revised Non EYZ'!DM18</f>
        <v>0.70639694042110623</v>
      </c>
      <c r="EW18">
        <f>(BS18*CO18+BT18*CP18)/1000*('Oxidant Feed Composition'!$B$11*'Oxidant Feed Composition'!$O$20+'Oxidant Feed Composition'!$D$11*'Oxidant Feed Composition'!$O$21+'Oxidant Feed Composition'!$F$11*'Oxidant Feed Composition'!$O$27-'Oxidant Feed Composition'!$J$15*18.015)</f>
        <v>1.9699593113571501</v>
      </c>
      <c r="EX18">
        <f>(CZ18*BX18+DC18*BZ18)*368.34/1000</f>
        <v>0.10366651036523652</v>
      </c>
      <c r="EY18">
        <f>'TEA Revised Non EYZ'!DP18</f>
        <v>4.999938342565946E-2</v>
      </c>
      <c r="EZ18">
        <f>SUM(EV18:EX18)-EY18</f>
        <v>2.7300233787178332</v>
      </c>
      <c r="FA18">
        <f>EZ18*0.33*60*7200</f>
        <v>389192.13287001435</v>
      </c>
      <c r="FB18">
        <f>'TEA Revised Non EYZ'!DS18</f>
        <v>1.2</v>
      </c>
      <c r="FC18">
        <v>0.5</v>
      </c>
      <c r="FD18">
        <f>'TEA Revised Non EYZ'!DT18</f>
        <v>1407.4739915516295</v>
      </c>
      <c r="FE18">
        <f>'TEA Revised Non EYZ'!DU18</f>
        <v>708.19368228674409</v>
      </c>
      <c r="FF18">
        <f>'TEA Revised Non EYZ'!DV18</f>
        <v>0.7</v>
      </c>
      <c r="FG18">
        <f>'TEA Revised Non EYZ'!DW18</f>
        <v>30272.303809866662</v>
      </c>
      <c r="FH18">
        <f>'TEA Revised Non EYZ'!DX18</f>
        <v>20763.049486147294</v>
      </c>
      <c r="FI18">
        <f>'TEA Revised Non EYZ'!DY18</f>
        <v>8790.8072421188135</v>
      </c>
      <c r="FJ18">
        <f>'TEA Revised Non EYZ'!DZ18</f>
        <v>4656.7358484871465</v>
      </c>
      <c r="FK18">
        <f>'TEA Revised Non EYZ'!EA18</f>
        <v>4688.4305291300352</v>
      </c>
      <c r="FL18">
        <f>'TEA Revised Non EYZ'!EB18</f>
        <v>851.24027009042561</v>
      </c>
      <c r="FM18">
        <f>'TEA Revised Non EYZ'!EC18</f>
        <v>43763.04037096574</v>
      </c>
      <c r="FN18">
        <f>'TEA Revised Non EYZ'!ED18</f>
        <v>42722.011691418775</v>
      </c>
      <c r="FO18">
        <f>'TEA Revised Non EYZ'!EE18</f>
        <v>18087.94849838295</v>
      </c>
      <c r="FP18">
        <f>'TEA Revised Non EYZ'!EF18</f>
        <v>9586.9357430562486</v>
      </c>
      <c r="FQ18">
        <f>'TEA Revised Non EYZ'!EG18</f>
        <v>9646.9058658042413</v>
      </c>
      <c r="FR18">
        <f>'TEA Revised Non EYZ'!EH18</f>
        <v>428.31553904702292</v>
      </c>
      <c r="FS18">
        <f>'TEA Revised Non EYZ'!EI18</f>
        <v>194257.72489451536</v>
      </c>
      <c r="FT18">
        <f>EG18*EH18</f>
        <v>3206.3740089207004</v>
      </c>
      <c r="FU18">
        <f>EG18*EI18</f>
        <v>4543.8170350510072</v>
      </c>
      <c r="FV18">
        <f>FC18*(FT18+FU18)/(3.6*10^6)*3600*7200*0.07</f>
        <v>1953.0481430808707</v>
      </c>
      <c r="FW18">
        <f>('CAPEX+OPEX'!$C$39/7/100+0.03)*EL18</f>
        <v>115711.70629801355</v>
      </c>
      <c r="FX18">
        <f>('CAPEX+OPEX'!$C$39/7/100+0.03)*EM18</f>
        <v>163977.38403846207</v>
      </c>
      <c r="FY18">
        <f>SUM(FV18:FX18)</f>
        <v>281642.13847955648</v>
      </c>
      <c r="FZ18">
        <f>FY18+FA18+FS18+EU18</f>
        <v>24902471.850828469</v>
      </c>
      <c r="GA18">
        <f>FZ18+EO18</f>
        <v>25936086.796167374</v>
      </c>
      <c r="GB18">
        <f>GA18/(BK18*60*7200)</f>
        <v>0.60037237954091138</v>
      </c>
      <c r="GC18">
        <f>'TEA Revised Non EYZ'!EM18/'TEA Revised Non EYZ'!EK18*GA18</f>
        <v>2008.0758917981052</v>
      </c>
      <c r="GD18">
        <f>'TEA Revised Non EYZ'!EN18/'TEA Revised Non EYZ'!EK18*GA18</f>
        <v>3673.7493064060313</v>
      </c>
    </row>
    <row r="19" spans="1:186">
      <c r="A19">
        <f>'TEA Revised Non EYZ'!A19</f>
        <v>4</v>
      </c>
      <c r="B19">
        <f>'TEA Revised Non EYZ'!B19</f>
        <v>1.54143585092054E-3</v>
      </c>
      <c r="C19">
        <f>'TEA Revised Non EYZ'!C19</f>
        <v>1.54143585092054E-3</v>
      </c>
      <c r="D19">
        <f>'TEA Revised Non EYZ'!D19</f>
        <v>3.4254130020456501E-4</v>
      </c>
      <c r="E19">
        <f>'TEA Revised Non EYZ'!E19</f>
        <v>0</v>
      </c>
      <c r="F19">
        <f>'TEA Revised Non EYZ'!F19</f>
        <v>0</v>
      </c>
      <c r="G19">
        <f>'TEA Revised Non EYZ'!G19</f>
        <v>0</v>
      </c>
      <c r="H19">
        <f>'TEA Revised Non EYZ'!H19</f>
        <v>1.7208960911287699E-5</v>
      </c>
      <c r="I19">
        <f>'TEA Revised Non EYZ'!I19</f>
        <v>2.8768784818324402E-7</v>
      </c>
      <c r="J19">
        <f>'TEA Revised Non EYZ'!J19</f>
        <v>3.3243632642994598E-4</v>
      </c>
      <c r="K19">
        <f>'TEA Revised Non EYZ'!K19</f>
        <v>0.10920586178936199</v>
      </c>
      <c r="L19">
        <f>'TEA Revised Non EYZ'!L19</f>
        <v>0.110418215553449</v>
      </c>
      <c r="M19">
        <f>'TEA Revised Non EYZ'!M19</f>
        <v>7.2398825703009801E-4</v>
      </c>
      <c r="N19">
        <f>'TEA Revised Non EYZ'!N19</f>
        <v>-2.168404344971E-18</v>
      </c>
      <c r="O19">
        <f>'TEA Revised Non EYZ'!O19</f>
        <v>2.3635607360183901E-17</v>
      </c>
      <c r="P19">
        <f>'TEA Revised Non EYZ'!P19</f>
        <v>-7.4538899358378406E-20</v>
      </c>
      <c r="Q19">
        <f>'TEA Revised Non EYZ'!Q19</f>
        <v>0.13957372480144001</v>
      </c>
      <c r="R19">
        <f>'TEA Revised Non EYZ'!R19</f>
        <v>97.0499984181222</v>
      </c>
      <c r="S19">
        <f>'TEA Revised Non EYZ'!S19</f>
        <v>500</v>
      </c>
      <c r="T19">
        <f>'TEA Revised Non EYZ'!T19</f>
        <v>95</v>
      </c>
      <c r="U19">
        <f>'TEA Revised Non EYZ'!U19</f>
        <v>1</v>
      </c>
      <c r="V19">
        <f>'TEA Revised Non EYZ'!V19</f>
        <v>0.1</v>
      </c>
      <c r="W19">
        <f>'TEA Revised Non EYZ'!W19</f>
        <v>71.646723007687299</v>
      </c>
      <c r="X19" t="str">
        <f>'TEA Revised Non EYZ'!X19</f>
        <v>ddFc</v>
      </c>
      <c r="Y19">
        <f>'TEA Revised Non EYZ'!Y19</f>
        <v>1</v>
      </c>
      <c r="Z19">
        <f>'TEA Revised Non EYZ'!Z19</f>
        <v>0.28318429382522198</v>
      </c>
      <c r="AA19">
        <f>'TEA Revised Non EYZ'!AA19</f>
        <v>0.56945642916197003</v>
      </c>
      <c r="AB19">
        <f>'TEA Revised Non EYZ'!AB19</f>
        <v>3.7698628972227502E-3</v>
      </c>
      <c r="AC19">
        <f>'TEA Revised Non EYZ'!AC19</f>
        <v>1822.2107908876901</v>
      </c>
      <c r="AD19">
        <f>'TEA Revised Non EYZ'!AD19</f>
        <v>2662.6059073104898</v>
      </c>
      <c r="AE19">
        <f>'TEA Revised Non EYZ'!AE19</f>
        <v>2401.5030938442701</v>
      </c>
      <c r="AF19">
        <f>'TEA Revised Non EYZ'!AF19</f>
        <v>11</v>
      </c>
      <c r="AG19">
        <f>'TEA Revised Non EYZ'!AG19</f>
        <v>1.6481650483119699E-3</v>
      </c>
      <c r="AH19">
        <f>'TEA Revised Non EYZ'!AH19</f>
        <v>1.6664622263884801E-3</v>
      </c>
      <c r="AI19">
        <f>'TEA Revised Non EYZ'!AI19</f>
        <v>1.0926630870116399E-5</v>
      </c>
      <c r="AJ19">
        <f>'TEA Revised Non EYZ'!AJ19</f>
        <v>0</v>
      </c>
      <c r="AK19">
        <f>'TEA Revised Non EYZ'!AK19</f>
        <v>0</v>
      </c>
      <c r="AL19">
        <f>'TEA Revised Non EYZ'!AL19</f>
        <v>0</v>
      </c>
      <c r="AM19">
        <f>'TEA Revised Non EYZ'!AM19</f>
        <v>1.61112321598457E-3</v>
      </c>
      <c r="AN19">
        <f>'TEA Revised Non EYZ'!AN19</f>
        <v>7.3941439847443504E-5</v>
      </c>
      <c r="AO19">
        <f>'TEA Revised Non EYZ'!AO19</f>
        <v>1.08545188885599E-5</v>
      </c>
      <c r="AP19">
        <f>'TEA Revised Non EYZ'!AP19</f>
        <v>1.7319792931660401E-3</v>
      </c>
      <c r="AQ19">
        <f>'TEA Revised Non EYZ'!AQ19</f>
        <v>7.4462110887135197E-2</v>
      </c>
      <c r="AR19">
        <f>'TEA Revised Non EYZ'!AR19</f>
        <v>3.3717678364587601E-6</v>
      </c>
      <c r="AS19">
        <f>'TEA Revised Non EYZ'!AS19</f>
        <v>6.0986372202309596E-19</v>
      </c>
      <c r="AT19">
        <f>'TEA Revised Non EYZ'!AT19</f>
        <v>-1.1882855810441099E-16</v>
      </c>
      <c r="AU19">
        <f>'TEA Revised Non EYZ'!AU19</f>
        <v>-2.6999175193730801E-21</v>
      </c>
      <c r="AV19">
        <f>'TEA Revised Non EYZ'!AV19</f>
        <v>0.19778742894656101</v>
      </c>
      <c r="AW19">
        <f>'TEA Revised Non EYZ'!AW19</f>
        <v>99.340034614386695</v>
      </c>
      <c r="AX19">
        <f>'TEA Revised Non EYZ'!AX19</f>
        <v>500</v>
      </c>
      <c r="AY19">
        <f>'TEA Revised Non EYZ'!AY19</f>
        <v>95</v>
      </c>
      <c r="AZ19">
        <f>'TEA Revised Non EYZ'!AZ19</f>
        <v>0.92480233795174105</v>
      </c>
      <c r="BA19">
        <f>'TEA Revised Non EYZ'!BA19</f>
        <v>0.1</v>
      </c>
      <c r="BB19">
        <f>'TEA Revised Non EYZ'!BB19</f>
        <v>46.757387103788297</v>
      </c>
      <c r="BC19" t="str">
        <f>'TEA Revised Non EYZ'!BC19</f>
        <v>coeFc</v>
      </c>
      <c r="BD19">
        <f>'TEA Revised Non EYZ'!BD19</f>
        <v>1</v>
      </c>
      <c r="BE19">
        <f>'TEA Revised Non EYZ'!BE19</f>
        <v>1.8775014999999999E-2</v>
      </c>
      <c r="BF19">
        <f>'TEA Revised Non EYZ'!BF19</f>
        <v>0.10492961100000001</v>
      </c>
      <c r="BG19">
        <f>'TEA Revised Non EYZ'!BG19</f>
        <v>1.814625E-3</v>
      </c>
      <c r="BH19">
        <f>'TEA Revised Non EYZ'!BH19</f>
        <v>285.1951444</v>
      </c>
      <c r="BI19">
        <f>'TEA Revised Non EYZ'!BI19</f>
        <v>2169.8944889999998</v>
      </c>
      <c r="BJ19">
        <f>'TEA Revised Non EYZ'!BJ19</f>
        <v>866.49409060000005</v>
      </c>
      <c r="BK19">
        <f>'TEA Revised Non EYZ'!BK19</f>
        <v>100</v>
      </c>
      <c r="BL19">
        <f>'TEA Revised Non EYZ'!BL19</f>
        <v>13.957372480144</v>
      </c>
      <c r="BM19">
        <f>'TEA Revised Non EYZ'!BM19</f>
        <v>92.480233795174101</v>
      </c>
      <c r="BN19">
        <f>'TEA Revised Non EYZ'!BN19</f>
        <v>19.778742894656101</v>
      </c>
      <c r="BO19">
        <f>'TEA Revised Non EYZ'!BO19</f>
        <v>167.488469761728</v>
      </c>
      <c r="BP19">
        <f>'TEA Revised Non EYZ'!BP19</f>
        <v>514.24731526105859</v>
      </c>
      <c r="BQ19">
        <f>'TEA Revised Non EYZ'!BQ19</f>
        <v>16.7488469761728</v>
      </c>
      <c r="BR19">
        <f>'TEA Revised Non EYZ'!BR19</f>
        <v>51.424731526105859</v>
      </c>
      <c r="BS19">
        <f>'eLLE Bals'!CF19</f>
        <v>8.3744234880863999</v>
      </c>
      <c r="BT19">
        <f>'eLLE Bals'!CG19</f>
        <v>11.867245736793661</v>
      </c>
      <c r="BU19">
        <f>BM19</f>
        <v>92.480233795174101</v>
      </c>
      <c r="BV19">
        <f>BU19*(AM19*2+AN19*2+AO19*3)</f>
        <v>0.31468183199630284</v>
      </c>
      <c r="BW19">
        <f>BN19*BA19*(AP19*2+AQ19*2+AR19*3)</f>
        <v>0.30142467075242524</v>
      </c>
      <c r="BX19">
        <f>BV19/(2*V19*BL19+BV19)</f>
        <v>0.10130907744632989</v>
      </c>
      <c r="BY19">
        <f>BU19*BX19</f>
        <v>9.3690871678099867</v>
      </c>
      <c r="BZ19">
        <f>BW19/(2*BN19*BA19+BW19)</f>
        <v>7.080394737865657E-2</v>
      </c>
      <c r="CA19">
        <f>2*BN19*BA19/0.04</f>
        <v>98.893714473280511</v>
      </c>
      <c r="CB19">
        <f>(BS19+BL19)*2</f>
        <v>44.663591936460804</v>
      </c>
      <c r="CC19">
        <f>(BU19+BL19)*2</f>
        <v>212.87521255063621</v>
      </c>
      <c r="CD19">
        <f>(BT19+BN19)*2</f>
        <v>63.291977262899522</v>
      </c>
      <c r="CE19">
        <f>(CA19+BN19)*2</f>
        <v>237.34491473587323</v>
      </c>
      <c r="CF19">
        <f>'TEA Revised Non EYZ'!CB19</f>
        <v>2210.8478008548095</v>
      </c>
      <c r="CG19">
        <f>'TEA Revised Non EYZ'!CC19</f>
        <v>6788.0645614459736</v>
      </c>
      <c r="CH19">
        <f>'TEA Revised Non EYZ'!CD19</f>
        <v>2671.1136977461792</v>
      </c>
      <c r="CI19">
        <f>'TEA Revised Non EYZ'!CE19</f>
        <v>52356.945274079662</v>
      </c>
      <c r="CJ19">
        <f>BL19*V19</f>
        <v>1.3957372480144001</v>
      </c>
      <c r="CK19">
        <f>CJ19/2*1.2</f>
        <v>0.8374423488086401</v>
      </c>
      <c r="CL19">
        <f>'eLLE Bals'!CB19*'Oxidant Feed Composition'!$N$20</f>
        <v>4.6524574933813359E-2</v>
      </c>
      <c r="CM19">
        <f>'eLLE Bals'!CB19*'Oxidant Feed Composition'!$N$21</f>
        <v>2.326228746690667</v>
      </c>
      <c r="CN19">
        <f>'eLLE Bals'!CB19*'Oxidant Feed Composition'!$N$22</f>
        <v>0.69786862400720007</v>
      </c>
      <c r="CO19">
        <f>CN19/CK19</f>
        <v>0.83333333333333326</v>
      </c>
      <c r="CP19">
        <f>CO19</f>
        <v>0.83333333333333326</v>
      </c>
      <c r="CQ19">
        <f>CL19/CO19</f>
        <v>5.5829489920576035E-2</v>
      </c>
      <c r="CR19">
        <f>CM19/CO19</f>
        <v>2.7914744960288007</v>
      </c>
      <c r="CS19">
        <f>BN19*BA19</f>
        <v>1.9778742894656103</v>
      </c>
      <c r="CT19">
        <f>CS19/2*1.2</f>
        <v>1.1867245736793661</v>
      </c>
      <c r="CU19">
        <f>'eLLE Bals'!CC19*'Oxidant Feed Composition'!$N$20</f>
        <v>6.5929142982187036E-2</v>
      </c>
      <c r="CV19">
        <f>'eLLE Bals'!CC19*'Oxidant Feed Composition'!$N$21</f>
        <v>3.2964571491093504</v>
      </c>
      <c r="CW19">
        <f>'eLLE Bals'!CC19*'Oxidant Feed Composition'!$N$22</f>
        <v>0.98893714473280514</v>
      </c>
      <c r="CX19">
        <f>CU19/CP19</f>
        <v>7.9114971578624446E-2</v>
      </c>
      <c r="CY19">
        <f>CV19/CP19</f>
        <v>3.955748578931221</v>
      </c>
      <c r="CZ19">
        <f>CJ19</f>
        <v>1.3957372480144001</v>
      </c>
      <c r="DA19">
        <f>'eLLE Bals'!BQ19</f>
        <v>2.7914744960288003</v>
      </c>
      <c r="DB19">
        <f>'eLLE Bals'!BU19</f>
        <v>9.58980886651206</v>
      </c>
      <c r="DC19">
        <f>CS19</f>
        <v>1.9778742894656103</v>
      </c>
      <c r="DD19">
        <f>'eLLE Bals'!BX19</f>
        <v>3.9557485789312206</v>
      </c>
      <c r="DE19">
        <f>'eLLE Bals'!CA19</f>
        <v>22.00089720698853</v>
      </c>
      <c r="DF19">
        <f>2*2*(CJ19*'Reagent cost'!$C$36*122.44/1000*1.5+CK19*'Oxidant Feed Composition'!$N$26+CQ19*'Reagent cost'!$C$34+CR19*'Reagent cost'!$C$35)</f>
        <v>142.03180970200279</v>
      </c>
      <c r="DG19">
        <f>2*2*(CS19*'Reagent cost'!$C$36*122.44/1000*1.5+CT19*'Oxidant Feed Composition'!$N$26+CX19*'Reagent cost'!$C$34+CY19*'Reagent cost'!$C$35)</f>
        <v>201.2707370928924</v>
      </c>
      <c r="DH19">
        <f>(AF19+3)*2*(CZ19*'Reagent cost'!$C$38+DA19*'Reagent cost'!$C$39+DB19*'Reagent cost'!$C$36*122.44/1000*1.5)</f>
        <v>3656.8617880037282</v>
      </c>
      <c r="DI19">
        <f>3*2*(DC19*'Reagent cost'!$C$38+DD19*'Reagent cost'!$C$39+DE19*'Reagent cost'!$C$36*122.44/1000*1.5)</f>
        <v>1765.019102051443</v>
      </c>
      <c r="DJ19">
        <f>7963.6*(CB19/1000)^0.6*1.7*('CAPEX+OPEX'!$G$116/'CAPEX+OPEX'!$G$115)</f>
        <v>2472.9373618126128</v>
      </c>
      <c r="DK19">
        <f>7963.6*(CC19/1000)^0.6*1.7*('CAPEX+OPEX'!$G$116/'CAPEX+OPEX'!$G$115)</f>
        <v>6311.2587327211604</v>
      </c>
      <c r="DL19">
        <f>7963.6*(CD19/1000)^0.6*1.7*('CAPEX+OPEX'!$G$116/'CAPEX+OPEX'!$G$115)</f>
        <v>3048.2467953801424</v>
      </c>
      <c r="DM19">
        <f>7963.6*(CE19/1000)^0.6*1.7*('CAPEX+OPEX'!$G$116/'CAPEX+OPEX'!$G$115)</f>
        <v>6737.0362867271306</v>
      </c>
      <c r="DN19">
        <f>'TEA Revised Non EYZ'!CM19</f>
        <v>39625.826528698344</v>
      </c>
      <c r="DO19">
        <f>'TEA Revised Non EYZ'!CN19</f>
        <v>4586243.4239371875</v>
      </c>
      <c r="DP19">
        <f>'TEA Revised Non EYZ'!CO19</f>
        <v>11794834.586807497</v>
      </c>
      <c r="DQ19">
        <f>'TEA Revised Non EYZ'!CP19</f>
        <v>2275209.1661185985</v>
      </c>
      <c r="DR19">
        <f>'TEA Revised Non EYZ'!CQ19</f>
        <v>14083914.336508472</v>
      </c>
      <c r="DS19">
        <f>'TEA Revised Non EYZ'!CR19</f>
        <v>1662824.8986326549</v>
      </c>
      <c r="DT19">
        <f>'TEA Revised Non EYZ'!CS19</f>
        <v>528015.95740622084</v>
      </c>
      <c r="DU19">
        <f>'TEA Revised Non EYZ'!CT19</f>
        <v>1357943.8117688675</v>
      </c>
      <c r="DV19">
        <f>'TEA Revised Non EYZ'!CU19</f>
        <v>261945.7004565605</v>
      </c>
      <c r="DW19">
        <f>'TEA Revised Non EYZ'!CV19</f>
        <v>1621486.4378120217</v>
      </c>
      <c r="DX19">
        <f>'TEA Revised Non EYZ'!CW19</f>
        <v>191441.6658016555</v>
      </c>
      <c r="DY19">
        <f>'TEA Revised Non EYZ'!CX19</f>
        <v>3960833.5732453261</v>
      </c>
      <c r="DZ19">
        <f>'TEA Revised Non EYZ'!CY19</f>
        <v>843973.89654919889</v>
      </c>
      <c r="EA19">
        <f>'TEA Revised Non EYZ'!CZ19</f>
        <v>2170519.8754660604</v>
      </c>
      <c r="EB19">
        <f>'TEA Revised Non EYZ'!DA19</f>
        <v>418690.62932231004</v>
      </c>
      <c r="EC19">
        <f>'TEA Revised Non EYZ'!DB19</f>
        <v>2591763.010050592</v>
      </c>
      <c r="ED19">
        <f>'TEA Revised Non EYZ'!DC19</f>
        <v>305997.88961338153</v>
      </c>
      <c r="EE19">
        <f>'TEA Revised Non EYZ'!DD19</f>
        <v>6330945.3010015422</v>
      </c>
      <c r="EF19">
        <v>0.7</v>
      </c>
      <c r="EG19">
        <v>100</v>
      </c>
      <c r="EH19">
        <f>96485*BL19*V19/EF19/EG19/60</f>
        <v>32.063740089207002</v>
      </c>
      <c r="EI19">
        <f>96485*BN19*BA19/EF19/EG19/60</f>
        <v>45.43695257597367</v>
      </c>
      <c r="EJ19">
        <f>EH19*('CAPEX+OPEX'!$O$25+'CAPEX+OPEX'!$O$26)</f>
        <v>1021935.5241232056</v>
      </c>
      <c r="EK19">
        <f>EI19*('CAPEX+OPEX'!$O$25+'CAPEX+OPEX'!$O$26)</f>
        <v>1448166.5525014328</v>
      </c>
      <c r="EL19">
        <f>EJ19*1.12/0.6*'CAPEX+OPEX'!$G$116/'CAPEX+OPEX'!$G$115</f>
        <v>2249949.8446835969</v>
      </c>
      <c r="EM19">
        <f>EK19*1.12/0.6*'CAPEX+OPEX'!$G$116/'CAPEX+OPEX'!$G$115</f>
        <v>3188363.6814290397</v>
      </c>
      <c r="EN19">
        <f>EL19+EM19+DY19+EE19+1.15*(SUM(DF19:DM19)+SUM(CF19:CI19))</f>
        <v>15831708.279399265</v>
      </c>
      <c r="EO19">
        <f>EN19/15</f>
        <v>1055447.2186266177</v>
      </c>
      <c r="EP19">
        <f>('eLLE Bals'!CB19+'eLLE Bals'!CC19)*'Oxidant Feed Composition'!$N$28*60*7200</f>
        <v>18754496.26573924</v>
      </c>
      <c r="EQ19" s="53">
        <f>('eLLE Bals'!BR19+'eLLE Bals'!BY19)*'Reagent cost'!$C$38*60*7200*1.5</f>
        <v>770331.73385902238</v>
      </c>
      <c r="ER19">
        <f>'TEA Revised Non EYZ'!DI19</f>
        <v>504921.59999999998</v>
      </c>
      <c r="ES19">
        <f>'TEA Revised Non EYZ'!DJ19</f>
        <v>89.989123623007842</v>
      </c>
      <c r="ET19">
        <f>'TEA Revised Non EYZ'!DK19</f>
        <v>1100.5611794365168</v>
      </c>
      <c r="EU19">
        <f>1.2*SUM(EP19:ET19)</f>
        <v>24037128.179881588</v>
      </c>
      <c r="EV19">
        <f>'TEA Revised Non EYZ'!DM19</f>
        <v>0.70639694042110623</v>
      </c>
      <c r="EW19">
        <f>(BS19*CO19+BT19*CP19)/1000*('Oxidant Feed Composition'!$B$11*'Oxidant Feed Composition'!$O$20+'Oxidant Feed Composition'!$D$11*'Oxidant Feed Composition'!$O$21+'Oxidant Feed Composition'!$F$11*'Oxidant Feed Composition'!$O$27-'Oxidant Feed Composition'!$J$15*18.015)</f>
        <v>1.9699283577164781</v>
      </c>
      <c r="EX19">
        <f>(CZ19*BX19+DC19*BZ19)*368.34/1000</f>
        <v>0.10366640523898266</v>
      </c>
      <c r="EY19">
        <f>'TEA Revised Non EYZ'!DP19</f>
        <v>4.999938342565946E-2</v>
      </c>
      <c r="EZ19">
        <f>SUM(EV19:EX19)-EY19</f>
        <v>2.7299923199509077</v>
      </c>
      <c r="FA19">
        <f>EZ19*0.33*60*7200</f>
        <v>389187.70513220143</v>
      </c>
      <c r="FB19">
        <f>'TEA Revised Non EYZ'!DS19</f>
        <v>1.2</v>
      </c>
      <c r="FC19">
        <v>0.5</v>
      </c>
      <c r="FD19">
        <f>'TEA Revised Non EYZ'!DT19</f>
        <v>1407.4770862909579</v>
      </c>
      <c r="FE19">
        <f>'TEA Revised Non EYZ'!DU19</f>
        <v>708.19058547617715</v>
      </c>
      <c r="FF19">
        <f>'TEA Revised Non EYZ'!DV19</f>
        <v>0.7</v>
      </c>
      <c r="FG19">
        <f>'TEA Revised Non EYZ'!DW19</f>
        <v>30272.303809866662</v>
      </c>
      <c r="FH19">
        <f>'TEA Revised Non EYZ'!DX19</f>
        <v>20763.049486147294</v>
      </c>
      <c r="FI19">
        <f>'TEA Revised Non EYZ'!DY19</f>
        <v>8790.8072421188135</v>
      </c>
      <c r="FJ19">
        <f>'TEA Revised Non EYZ'!DZ19</f>
        <v>4656.7358484871465</v>
      </c>
      <c r="FK19">
        <f>'TEA Revised Non EYZ'!EA19</f>
        <v>4688.4305291300352</v>
      </c>
      <c r="FL19">
        <f>'TEA Revised Non EYZ'!EB19</f>
        <v>851.24214178877139</v>
      </c>
      <c r="FM19">
        <f>'TEA Revised Non EYZ'!EC19</f>
        <v>46337.336863375494</v>
      </c>
      <c r="FN19">
        <f>'TEA Revised Non EYZ'!ED19</f>
        <v>46605.830936093211</v>
      </c>
      <c r="FO19">
        <f>'TEA Revised Non EYZ'!EE19</f>
        <v>19732.307452781399</v>
      </c>
      <c r="FP19">
        <f>'TEA Revised Non EYZ'!EF19</f>
        <v>10458.475356061363</v>
      </c>
      <c r="FQ19">
        <f>'TEA Revised Non EYZ'!EG19</f>
        <v>10523.897308150083</v>
      </c>
      <c r="FR19">
        <f>'TEA Revised Non EYZ'!EH19</f>
        <v>428.31366609599201</v>
      </c>
      <c r="FS19">
        <f>'TEA Revised Non EYZ'!EI19</f>
        <v>204108.73064009621</v>
      </c>
      <c r="FT19">
        <f>EG19*EH19</f>
        <v>3206.3740089207004</v>
      </c>
      <c r="FU19">
        <f>EG19*EI19</f>
        <v>4543.6952575973673</v>
      </c>
      <c r="FV19">
        <f>FC19*(FT19+FU19)/(3.6*10^6)*3600*7200*0.07</f>
        <v>1953.0174551625532</v>
      </c>
      <c r="FW19">
        <f>('CAPEX+OPEX'!$C$39/7/100+0.03)*EL19</f>
        <v>115711.70629801355</v>
      </c>
      <c r="FX19">
        <f>('CAPEX+OPEX'!$C$39/7/100+0.03)*EM19</f>
        <v>163972.98933063634</v>
      </c>
      <c r="FY19">
        <f>SUM(FV19:FX19)</f>
        <v>281637.71308381244</v>
      </c>
      <c r="FZ19">
        <f>FY19+FA19+FS19+EU19</f>
        <v>24912062.328737698</v>
      </c>
      <c r="GA19">
        <f>FZ19+EO19</f>
        <v>25967509.547364317</v>
      </c>
      <c r="GB19">
        <f>GA19/(BK19*60*7200)</f>
        <v>0.6010997580408407</v>
      </c>
      <c r="GC19">
        <f>'TEA Revised Non EYZ'!EM19/'TEA Revised Non EYZ'!EK19*GA19</f>
        <v>2010.5043409633192</v>
      </c>
      <c r="GD19">
        <f>'TEA Revised Non EYZ'!EN19/'TEA Revised Non EYZ'!EK19*GA19</f>
        <v>3678.2150469502731</v>
      </c>
    </row>
    <row r="20" spans="1:186">
      <c r="A20">
        <f>'TEA Revised Non EYZ'!A20</f>
        <v>4</v>
      </c>
      <c r="B20">
        <f>'TEA Revised Non EYZ'!B20</f>
        <v>1.54143585092054E-3</v>
      </c>
      <c r="C20">
        <f>'TEA Revised Non EYZ'!C20</f>
        <v>1.54143585092054E-3</v>
      </c>
      <c r="D20">
        <f>'TEA Revised Non EYZ'!D20</f>
        <v>3.4254130020456501E-4</v>
      </c>
      <c r="E20">
        <f>'TEA Revised Non EYZ'!E20</f>
        <v>0</v>
      </c>
      <c r="F20">
        <f>'TEA Revised Non EYZ'!F20</f>
        <v>0</v>
      </c>
      <c r="G20">
        <f>'TEA Revised Non EYZ'!G20</f>
        <v>0</v>
      </c>
      <c r="H20">
        <f>'TEA Revised Non EYZ'!H20</f>
        <v>1.7208960911287699E-5</v>
      </c>
      <c r="I20">
        <f>'TEA Revised Non EYZ'!I20</f>
        <v>2.8768784818324402E-7</v>
      </c>
      <c r="J20">
        <f>'TEA Revised Non EYZ'!J20</f>
        <v>3.3243632642994598E-4</v>
      </c>
      <c r="K20">
        <f>'TEA Revised Non EYZ'!K20</f>
        <v>0.10920586178936199</v>
      </c>
      <c r="L20">
        <f>'TEA Revised Non EYZ'!L20</f>
        <v>0.110418215553449</v>
      </c>
      <c r="M20">
        <f>'TEA Revised Non EYZ'!M20</f>
        <v>7.2398825703009801E-4</v>
      </c>
      <c r="N20">
        <f>'TEA Revised Non EYZ'!N20</f>
        <v>-2.168404344971E-18</v>
      </c>
      <c r="O20">
        <f>'TEA Revised Non EYZ'!O20</f>
        <v>2.3635607360183901E-17</v>
      </c>
      <c r="P20">
        <f>'TEA Revised Non EYZ'!P20</f>
        <v>-7.4538899358378406E-20</v>
      </c>
      <c r="Q20">
        <f>'TEA Revised Non EYZ'!Q20</f>
        <v>0.13957372480144001</v>
      </c>
      <c r="R20">
        <f>'TEA Revised Non EYZ'!R20</f>
        <v>97.0499984181222</v>
      </c>
      <c r="S20">
        <f>'TEA Revised Non EYZ'!S20</f>
        <v>500</v>
      </c>
      <c r="T20">
        <f>'TEA Revised Non EYZ'!T20</f>
        <v>95</v>
      </c>
      <c r="U20">
        <f>'TEA Revised Non EYZ'!U20</f>
        <v>1</v>
      </c>
      <c r="V20">
        <f>'TEA Revised Non EYZ'!V20</f>
        <v>0.1</v>
      </c>
      <c r="W20">
        <f>'TEA Revised Non EYZ'!W20</f>
        <v>71.646723007687299</v>
      </c>
      <c r="X20" t="str">
        <f>'TEA Revised Non EYZ'!X20</f>
        <v>ddFc</v>
      </c>
      <c r="Y20">
        <f>'TEA Revised Non EYZ'!Y20</f>
        <v>1</v>
      </c>
      <c r="Z20">
        <f>'TEA Revised Non EYZ'!Z20</f>
        <v>0.28318429382522198</v>
      </c>
      <c r="AA20">
        <f>'TEA Revised Non EYZ'!AA20</f>
        <v>0.56945642916197003</v>
      </c>
      <c r="AB20">
        <f>'TEA Revised Non EYZ'!AB20</f>
        <v>3.7698628972227502E-3</v>
      </c>
      <c r="AC20">
        <f>'TEA Revised Non EYZ'!AC20</f>
        <v>1822.2107908876901</v>
      </c>
      <c r="AD20">
        <f>'TEA Revised Non EYZ'!AD20</f>
        <v>2662.6059073104898</v>
      </c>
      <c r="AE20">
        <f>'TEA Revised Non EYZ'!AE20</f>
        <v>2401.5030938442701</v>
      </c>
      <c r="AF20">
        <f>'TEA Revised Non EYZ'!AF20</f>
        <v>12</v>
      </c>
      <c r="AG20">
        <f>'TEA Revised Non EYZ'!AG20</f>
        <v>1.6481650483119699E-3</v>
      </c>
      <c r="AH20">
        <f>'TEA Revised Non EYZ'!AH20</f>
        <v>1.6664622263884801E-3</v>
      </c>
      <c r="AI20">
        <f>'TEA Revised Non EYZ'!AI20</f>
        <v>1.0926630870116399E-5</v>
      </c>
      <c r="AJ20">
        <f>'TEA Revised Non EYZ'!AJ20</f>
        <v>0</v>
      </c>
      <c r="AK20">
        <f>'TEA Revised Non EYZ'!AK20</f>
        <v>0</v>
      </c>
      <c r="AL20">
        <f>'TEA Revised Non EYZ'!AL20</f>
        <v>0</v>
      </c>
      <c r="AM20">
        <f>'TEA Revised Non EYZ'!AM20</f>
        <v>1.6111242193774301E-3</v>
      </c>
      <c r="AN20">
        <f>'TEA Revised Non EYZ'!AN20</f>
        <v>7.3941490785069596E-5</v>
      </c>
      <c r="AO20">
        <f>'TEA Revised Non EYZ'!AO20</f>
        <v>1.08545207611103E-5</v>
      </c>
      <c r="AP20">
        <f>'TEA Revised Non EYZ'!AP20</f>
        <v>1.7319455084018099E-3</v>
      </c>
      <c r="AQ20">
        <f>'TEA Revised Non EYZ'!AQ20</f>
        <v>7.4462673066500798E-2</v>
      </c>
      <c r="AR20">
        <f>'TEA Revised Non EYZ'!AR20</f>
        <v>3.3717058444944401E-6</v>
      </c>
      <c r="AS20">
        <f>'TEA Revised Non EYZ'!AS20</f>
        <v>6.09863722023096E-20</v>
      </c>
      <c r="AT20">
        <f>'TEA Revised Non EYZ'!AT20</f>
        <v>-2.3852447794681001E-18</v>
      </c>
      <c r="AU20">
        <f>'TEA Revised Non EYZ'!AU20</f>
        <v>1.9719985803264101E-21</v>
      </c>
      <c r="AV20">
        <f>'TEA Revised Non EYZ'!AV20</f>
        <v>0.19778592936186601</v>
      </c>
      <c r="AW20">
        <f>'TEA Revised Non EYZ'!AW20</f>
        <v>99.340051751877695</v>
      </c>
      <c r="AX20">
        <f>'TEA Revised Non EYZ'!AX20</f>
        <v>500</v>
      </c>
      <c r="AY20">
        <f>'TEA Revised Non EYZ'!AY20</f>
        <v>95</v>
      </c>
      <c r="AZ20">
        <f>'TEA Revised Non EYZ'!AZ20</f>
        <v>0.92480233795174105</v>
      </c>
      <c r="BA20">
        <f>'TEA Revised Non EYZ'!BA20</f>
        <v>0.1</v>
      </c>
      <c r="BB20">
        <f>'TEA Revised Non EYZ'!BB20</f>
        <v>46.757741611625697</v>
      </c>
      <c r="BC20" t="str">
        <f>'TEA Revised Non EYZ'!BC20</f>
        <v>coeFc</v>
      </c>
      <c r="BD20">
        <f>'TEA Revised Non EYZ'!BD20</f>
        <v>1</v>
      </c>
      <c r="BE20">
        <f>'TEA Revised Non EYZ'!BE20</f>
        <v>1.8775014999999999E-2</v>
      </c>
      <c r="BF20">
        <f>'TEA Revised Non EYZ'!BF20</f>
        <v>0.10492961100000001</v>
      </c>
      <c r="BG20">
        <f>'TEA Revised Non EYZ'!BG20</f>
        <v>1.814625E-3</v>
      </c>
      <c r="BH20">
        <f>'TEA Revised Non EYZ'!BH20</f>
        <v>285.1951444</v>
      </c>
      <c r="BI20">
        <f>'TEA Revised Non EYZ'!BI20</f>
        <v>2169.8944889999998</v>
      </c>
      <c r="BJ20">
        <f>'TEA Revised Non EYZ'!BJ20</f>
        <v>866.49409060000005</v>
      </c>
      <c r="BK20">
        <f>'TEA Revised Non EYZ'!BK20</f>
        <v>100</v>
      </c>
      <c r="BL20">
        <f>'TEA Revised Non EYZ'!BL20</f>
        <v>13.957372480144</v>
      </c>
      <c r="BM20">
        <f>'TEA Revised Non EYZ'!BM20</f>
        <v>92.480233795174101</v>
      </c>
      <c r="BN20">
        <f>'TEA Revised Non EYZ'!BN20</f>
        <v>19.778592936186602</v>
      </c>
      <c r="BO20">
        <f>'TEA Revised Non EYZ'!BO20</f>
        <v>167.488469761728</v>
      </c>
      <c r="BP20">
        <f>'TEA Revised Non EYZ'!BP20</f>
        <v>553.80060221322481</v>
      </c>
      <c r="BQ20">
        <f>'TEA Revised Non EYZ'!BQ20</f>
        <v>16.7488469761728</v>
      </c>
      <c r="BR20">
        <f>'TEA Revised Non EYZ'!BR20</f>
        <v>55.380060221322481</v>
      </c>
      <c r="BS20">
        <f>'eLLE Bals'!CF20</f>
        <v>8.3744234880863999</v>
      </c>
      <c r="BT20">
        <f>'eLLE Bals'!CG20</f>
        <v>11.867155761711961</v>
      </c>
      <c r="BU20">
        <f>BM20</f>
        <v>92.480233795174101</v>
      </c>
      <c r="BV20">
        <f>BU20*(AM20*2+AN20*2+AO20*3)</f>
        <v>0.31468202752528424</v>
      </c>
      <c r="BW20">
        <f>BN20*BA20*(AP20*2+AQ20*2+AR20*3)</f>
        <v>0.30142447522341986</v>
      </c>
      <c r="BX20">
        <f>BV20/(2*V20*BL20+BV20)</f>
        <v>0.10130913401789006</v>
      </c>
      <c r="BY20">
        <f>BU20*BX20</f>
        <v>9.3690923995610991</v>
      </c>
      <c r="BZ20">
        <f>BW20/(2*BN20*BA20+BW20)</f>
        <v>7.0804403516847886E-2</v>
      </c>
      <c r="CA20">
        <f>2*BN20*BA20/0.04</f>
        <v>98.892964680933019</v>
      </c>
      <c r="CB20">
        <f>(BS20+BL20)*2</f>
        <v>44.663591936460804</v>
      </c>
      <c r="CC20">
        <f>(BU20+BL20)*2</f>
        <v>212.87521255063621</v>
      </c>
      <c r="CD20">
        <f>(BT20+BN20)*2</f>
        <v>63.291497395797123</v>
      </c>
      <c r="CE20">
        <f>(CA20+BN20)*2</f>
        <v>237.34311523423924</v>
      </c>
      <c r="CF20">
        <f>'TEA Revised Non EYZ'!CB20</f>
        <v>2210.8478008548095</v>
      </c>
      <c r="CG20">
        <f>'TEA Revised Non EYZ'!CC20</f>
        <v>7310.1679492145686</v>
      </c>
      <c r="CH20">
        <f>'TEA Revised Non EYZ'!CD20</f>
        <v>2671.1136977461792</v>
      </c>
      <c r="CI20">
        <f>'TEA Revised Non EYZ'!CE20</f>
        <v>56383.975107601007</v>
      </c>
      <c r="CJ20">
        <f>BL20*V20</f>
        <v>1.3957372480144001</v>
      </c>
      <c r="CK20">
        <f>CJ20/2*1.2</f>
        <v>0.8374423488086401</v>
      </c>
      <c r="CL20">
        <f>'eLLE Bals'!CB20*'Oxidant Feed Composition'!$N$20</f>
        <v>4.6524574933813359E-2</v>
      </c>
      <c r="CM20">
        <f>'eLLE Bals'!CB20*'Oxidant Feed Composition'!$N$21</f>
        <v>2.326228746690667</v>
      </c>
      <c r="CN20">
        <f>'eLLE Bals'!CB20*'Oxidant Feed Composition'!$N$22</f>
        <v>0.69786862400720007</v>
      </c>
      <c r="CO20">
        <f>CN20/CK20</f>
        <v>0.83333333333333326</v>
      </c>
      <c r="CP20">
        <f>CO20</f>
        <v>0.83333333333333326</v>
      </c>
      <c r="CQ20">
        <f>CL20/CO20</f>
        <v>5.5829489920576035E-2</v>
      </c>
      <c r="CR20">
        <f>CM20/CO20</f>
        <v>2.7914744960288007</v>
      </c>
      <c r="CS20">
        <f>BN20*BA20</f>
        <v>1.9778592936186603</v>
      </c>
      <c r="CT20">
        <f>CS20/2*1.2</f>
        <v>1.1867155761711961</v>
      </c>
      <c r="CU20">
        <f>'eLLE Bals'!CC20*'Oxidant Feed Composition'!$N$20</f>
        <v>6.5928643120622035E-2</v>
      </c>
      <c r="CV20">
        <f>'eLLE Bals'!CC20*'Oxidant Feed Composition'!$N$21</f>
        <v>3.2964321560311007</v>
      </c>
      <c r="CW20">
        <f>'eLLE Bals'!CC20*'Oxidant Feed Composition'!$N$22</f>
        <v>0.98892964680933015</v>
      </c>
      <c r="CX20">
        <f>CU20/CP20</f>
        <v>7.9114371744746448E-2</v>
      </c>
      <c r="CY20">
        <f>CV20/CP20</f>
        <v>3.9557185872373211</v>
      </c>
      <c r="CZ20">
        <f>CJ20</f>
        <v>1.3957372480144001</v>
      </c>
      <c r="DA20">
        <f>'eLLE Bals'!BQ20</f>
        <v>2.7914744960288003</v>
      </c>
      <c r="DB20">
        <f>'eLLE Bals'!BU20</f>
        <v>9.5898011733501409</v>
      </c>
      <c r="DC20">
        <f>CS20</f>
        <v>1.9778592936186603</v>
      </c>
      <c r="DD20">
        <f>'eLLE Bals'!BX20</f>
        <v>3.9557185872373206</v>
      </c>
      <c r="DE20">
        <f>'eLLE Bals'!CA20</f>
        <v>22.000550441375118</v>
      </c>
      <c r="DF20">
        <f>2*2*(CJ20*'Reagent cost'!$C$36*122.44/1000*1.5+CK20*'Oxidant Feed Composition'!$N$26+CQ20*'Reagent cost'!$C$34+CR20*'Reagent cost'!$C$35)</f>
        <v>142.03180970200279</v>
      </c>
      <c r="DG20">
        <f>2*2*(CS20*'Reagent cost'!$C$36*122.44/1000*1.5+CT20*'Oxidant Feed Composition'!$N$26+CX20*'Reagent cost'!$C$34+CY20*'Reagent cost'!$C$35)</f>
        <v>201.26921109845233</v>
      </c>
      <c r="DH20">
        <f>(AF20+3)*2*(CZ20*'Reagent cost'!$C$38+DA20*'Reagent cost'!$C$39+DB20*'Reagent cost'!$C$36*122.44/1000*1.5)</f>
        <v>3918.0632080072924</v>
      </c>
      <c r="DI20">
        <f>3*2*(DC20*'Reagent cost'!$C$38+DD20*'Reagent cost'!$C$39+DE20*'Reagent cost'!$C$36*122.44/1000*1.5)</f>
        <v>1764.9917155291078</v>
      </c>
      <c r="DJ20">
        <f>7963.6*(CB20/1000)^0.6*1.7*('CAPEX+OPEX'!$G$116/'CAPEX+OPEX'!$G$115)</f>
        <v>2472.9373618126128</v>
      </c>
      <c r="DK20">
        <f>7963.6*(CC20/1000)^0.6*1.7*('CAPEX+OPEX'!$G$116/'CAPEX+OPEX'!$G$115)</f>
        <v>6311.2587327211604</v>
      </c>
      <c r="DL20">
        <f>7963.6*(CD20/1000)^0.6*1.7*('CAPEX+OPEX'!$G$116/'CAPEX+OPEX'!$G$115)</f>
        <v>3048.2329286408958</v>
      </c>
      <c r="DM20">
        <f>7963.6*(CE20/1000)^0.6*1.7*('CAPEX+OPEX'!$G$116/'CAPEX+OPEX'!$G$115)</f>
        <v>6737.0056393643163</v>
      </c>
      <c r="DN20">
        <f>'TEA Revised Non EYZ'!CM20</f>
        <v>39625.826528698344</v>
      </c>
      <c r="DO20">
        <f>'TEA Revised Non EYZ'!CN20</f>
        <v>4586243.4239371875</v>
      </c>
      <c r="DP20">
        <f>'TEA Revised Non EYZ'!CO20</f>
        <v>11794834.586807497</v>
      </c>
      <c r="DQ20">
        <f>'TEA Revised Non EYZ'!CP20</f>
        <v>2275209.1661185985</v>
      </c>
      <c r="DR20">
        <f>'TEA Revised Non EYZ'!CQ20</f>
        <v>14083914.336508472</v>
      </c>
      <c r="DS20">
        <f>'TEA Revised Non EYZ'!CR20</f>
        <v>1662824.8986326549</v>
      </c>
      <c r="DT20">
        <f>'TEA Revised Non EYZ'!CS20</f>
        <v>528015.95740622084</v>
      </c>
      <c r="DU20">
        <f>'TEA Revised Non EYZ'!CT20</f>
        <v>1357943.8117688675</v>
      </c>
      <c r="DV20">
        <f>'TEA Revised Non EYZ'!CU20</f>
        <v>261945.7004565605</v>
      </c>
      <c r="DW20">
        <f>'TEA Revised Non EYZ'!CV20</f>
        <v>1621486.4378120217</v>
      </c>
      <c r="DX20">
        <f>'TEA Revised Non EYZ'!CW20</f>
        <v>191441.6658016555</v>
      </c>
      <c r="DY20">
        <f>'TEA Revised Non EYZ'!CX20</f>
        <v>3960833.5732453261</v>
      </c>
      <c r="DZ20">
        <f>'TEA Revised Non EYZ'!CY20</f>
        <v>885495.33629599935</v>
      </c>
      <c r="EA20">
        <f>'TEA Revised Non EYZ'!CZ20</f>
        <v>2277304.1144062551</v>
      </c>
      <c r="EB20">
        <f>'TEA Revised Non EYZ'!DA20</f>
        <v>439289.17841137282</v>
      </c>
      <c r="EC20">
        <f>'TEA Revised Non EYZ'!DB20</f>
        <v>2719271.3750602305</v>
      </c>
      <c r="ED20">
        <f>'TEA Revised Non EYZ'!DC20</f>
        <v>321052.23310454836</v>
      </c>
      <c r="EE20">
        <f>'TEA Revised Non EYZ'!DD20</f>
        <v>6642412.2372784065</v>
      </c>
      <c r="EF20">
        <v>0.7</v>
      </c>
      <c r="EG20">
        <v>100</v>
      </c>
      <c r="EH20">
        <f>96485*BL20*V20/EF20/EG20/60</f>
        <v>32.063740089207002</v>
      </c>
      <c r="EI20">
        <f>96485*BN20*BA20/EF20/EG20/60</f>
        <v>45.436608082094388</v>
      </c>
      <c r="EJ20">
        <f>EH20*('CAPEX+OPEX'!$O$25+'CAPEX+OPEX'!$O$26)</f>
        <v>1021935.5241232056</v>
      </c>
      <c r="EK20">
        <f>EI20*('CAPEX+OPEX'!$O$25+'CAPEX+OPEX'!$O$26)</f>
        <v>1448155.5727925124</v>
      </c>
      <c r="EL20">
        <f>EJ20*1.12/0.6*'CAPEX+OPEX'!$G$116/'CAPEX+OPEX'!$G$115</f>
        <v>2249949.8446835969</v>
      </c>
      <c r="EM20">
        <f>EK20*1.12/0.6*'CAPEX+OPEX'!$G$116/'CAPEX+OPEX'!$G$115</f>
        <v>3188339.507893824</v>
      </c>
      <c r="EN20">
        <f>EL20+EM20+DY20+EE20+1.15*(SUM(DF20:DM20)+SUM(CF20:CI20))</f>
        <v>16148682.842537789</v>
      </c>
      <c r="EO20">
        <f>EN20/15</f>
        <v>1076578.8561691858</v>
      </c>
      <c r="EP20">
        <f>('eLLE Bals'!CB20+'eLLE Bals'!CC20)*'Oxidant Feed Composition'!$N$28*60*7200</f>
        <v>18754412.901204672</v>
      </c>
      <c r="EQ20" s="53">
        <f>('eLLE Bals'!BR20+'eLLE Bals'!BY20)*'Reagent cost'!$C$38*60*7200*1.5</f>
        <v>770331.51317051798</v>
      </c>
      <c r="ER20">
        <f>'TEA Revised Non EYZ'!DI20</f>
        <v>504921.59999999998</v>
      </c>
      <c r="ES20">
        <f>'TEA Revised Non EYZ'!DJ20</f>
        <v>95.210157500693782</v>
      </c>
      <c r="ET20">
        <f>'TEA Revised Non EYZ'!DK20</f>
        <v>1181.1017761069438</v>
      </c>
      <c r="EU20">
        <f>1.2*SUM(EP20:ET20)</f>
        <v>24037130.791570563</v>
      </c>
      <c r="EV20">
        <f>'TEA Revised Non EYZ'!DM20</f>
        <v>0.70639694042110623</v>
      </c>
      <c r="EW20">
        <f>(BS20*CO20+BT20*CP20)/1000*('Oxidant Feed Composition'!$B$11*'Oxidant Feed Composition'!$O$20+'Oxidant Feed Composition'!$D$11*'Oxidant Feed Composition'!$O$21+'Oxidant Feed Composition'!$F$11*'Oxidant Feed Composition'!$O$27-'Oxidant Feed Composition'!$J$15*18.015)</f>
        <v>1.9699196013010385</v>
      </c>
      <c r="EX20">
        <f>(CZ20*BX20+DC20*BZ20)*368.34/1000</f>
        <v>0.10366637554011014</v>
      </c>
      <c r="EY20">
        <f>'TEA Revised Non EYZ'!DP20</f>
        <v>4.999938342565946E-2</v>
      </c>
      <c r="EZ20">
        <f>SUM(EV20:EX20)-EY20</f>
        <v>2.7299835338365956</v>
      </c>
      <c r="FA20">
        <f>EZ20*0.33*60*7200</f>
        <v>389186.45258374512</v>
      </c>
      <c r="FB20">
        <f>'TEA Revised Non EYZ'!DS20</f>
        <v>1.2</v>
      </c>
      <c r="FC20">
        <v>0.5</v>
      </c>
      <c r="FD20">
        <f>'TEA Revised Non EYZ'!DT20</f>
        <v>1407.4779618165098</v>
      </c>
      <c r="FE20">
        <f>'TEA Revised Non EYZ'!DU20</f>
        <v>708.18970995057066</v>
      </c>
      <c r="FF20">
        <f>'TEA Revised Non EYZ'!DV20</f>
        <v>0.7</v>
      </c>
      <c r="FG20">
        <f>'TEA Revised Non EYZ'!DW20</f>
        <v>30272.303809866662</v>
      </c>
      <c r="FH20">
        <f>'TEA Revised Non EYZ'!DX20</f>
        <v>20763.049486147294</v>
      </c>
      <c r="FI20">
        <f>'TEA Revised Non EYZ'!DY20</f>
        <v>8790.8072421188135</v>
      </c>
      <c r="FJ20">
        <f>'TEA Revised Non EYZ'!DZ20</f>
        <v>4656.7358484871465</v>
      </c>
      <c r="FK20">
        <f>'TEA Revised Non EYZ'!EA20</f>
        <v>4688.4305291300352</v>
      </c>
      <c r="FL20">
        <f>'TEA Revised Non EYZ'!EB20</f>
        <v>851.24267130662531</v>
      </c>
      <c r="FM20">
        <f>'TEA Revised Non EYZ'!EC20</f>
        <v>48911.633355785249</v>
      </c>
      <c r="FN20">
        <f>'TEA Revised Non EYZ'!ED20</f>
        <v>50489.650180767654</v>
      </c>
      <c r="FO20">
        <f>'TEA Revised Non EYZ'!EE20</f>
        <v>21376.666407179851</v>
      </c>
      <c r="FP20">
        <f>'TEA Revised Non EYZ'!EF20</f>
        <v>11330.014969066478</v>
      </c>
      <c r="FQ20">
        <f>'TEA Revised Non EYZ'!EG20</f>
        <v>11400.888750495924</v>
      </c>
      <c r="FR20">
        <f>'TEA Revised Non EYZ'!EH20</f>
        <v>428.31313657810517</v>
      </c>
      <c r="FS20">
        <f>'TEA Revised Non EYZ'!EI20</f>
        <v>213959.73638692981</v>
      </c>
      <c r="FT20">
        <f>EG20*EH20</f>
        <v>3206.3740089207004</v>
      </c>
      <c r="FU20">
        <f>EG20*EI20</f>
        <v>4543.660808209439</v>
      </c>
      <c r="FV20">
        <f>FC20*(FT20+FU20)/(3.6*10^6)*3600*7200*0.07</f>
        <v>1953.0087739167955</v>
      </c>
      <c r="FW20">
        <f>('CAPEX+OPEX'!$C$39/7/100+0.03)*EL20</f>
        <v>115711.70629801355</v>
      </c>
      <c r="FX20">
        <f>('CAPEX+OPEX'!$C$39/7/100+0.03)*EM20</f>
        <v>163971.74612025381</v>
      </c>
      <c r="FY20">
        <f>SUM(FV20:FX20)</f>
        <v>281636.46119218413</v>
      </c>
      <c r="FZ20">
        <f>FY20+FA20+FS20+EU20</f>
        <v>24921913.441733424</v>
      </c>
      <c r="GA20">
        <f>FZ20+EO20</f>
        <v>25998492.29790261</v>
      </c>
      <c r="GB20">
        <f>GA20/(BK20*60*7200)</f>
        <v>0.60181695134033819</v>
      </c>
      <c r="GC20">
        <f>'TEA Revised Non EYZ'!EM20/'TEA Revised Non EYZ'!EK20*GA20</f>
        <v>2012.9018908036292</v>
      </c>
      <c r="GD20">
        <f>'TEA Revised Non EYZ'!EN20/'TEA Revised Non EYZ'!EK20*GA20</f>
        <v>3682.6078512182266</v>
      </c>
    </row>
    <row r="21" spans="1:186">
      <c r="A21">
        <f>'TEA Revised Non EYZ'!A21</f>
        <v>4</v>
      </c>
      <c r="B21">
        <f>'TEA Revised Non EYZ'!B21</f>
        <v>1.54143585092054E-3</v>
      </c>
      <c r="C21">
        <f>'TEA Revised Non EYZ'!C21</f>
        <v>1.54143585092054E-3</v>
      </c>
      <c r="D21">
        <f>'TEA Revised Non EYZ'!D21</f>
        <v>3.4254130020456501E-4</v>
      </c>
      <c r="E21">
        <f>'TEA Revised Non EYZ'!E21</f>
        <v>0</v>
      </c>
      <c r="F21">
        <f>'TEA Revised Non EYZ'!F21</f>
        <v>0</v>
      </c>
      <c r="G21">
        <f>'TEA Revised Non EYZ'!G21</f>
        <v>0</v>
      </c>
      <c r="H21">
        <f>'TEA Revised Non EYZ'!H21</f>
        <v>1.7208960911287699E-5</v>
      </c>
      <c r="I21">
        <f>'TEA Revised Non EYZ'!I21</f>
        <v>2.8768784818324402E-7</v>
      </c>
      <c r="J21">
        <f>'TEA Revised Non EYZ'!J21</f>
        <v>3.3243632642994598E-4</v>
      </c>
      <c r="K21">
        <f>'TEA Revised Non EYZ'!K21</f>
        <v>0.10920586178936199</v>
      </c>
      <c r="L21">
        <f>'TEA Revised Non EYZ'!L21</f>
        <v>0.110418215553449</v>
      </c>
      <c r="M21">
        <f>'TEA Revised Non EYZ'!M21</f>
        <v>7.2398825703009801E-4</v>
      </c>
      <c r="N21">
        <f>'TEA Revised Non EYZ'!N21</f>
        <v>-2.168404344971E-18</v>
      </c>
      <c r="O21">
        <f>'TEA Revised Non EYZ'!O21</f>
        <v>2.3635607360183901E-17</v>
      </c>
      <c r="P21">
        <f>'TEA Revised Non EYZ'!P21</f>
        <v>-7.4538899358378406E-20</v>
      </c>
      <c r="Q21">
        <f>'TEA Revised Non EYZ'!Q21</f>
        <v>0.13957372480144001</v>
      </c>
      <c r="R21">
        <f>'TEA Revised Non EYZ'!R21</f>
        <v>97.0499984181222</v>
      </c>
      <c r="S21">
        <f>'TEA Revised Non EYZ'!S21</f>
        <v>500</v>
      </c>
      <c r="T21">
        <f>'TEA Revised Non EYZ'!T21</f>
        <v>95</v>
      </c>
      <c r="U21">
        <f>'TEA Revised Non EYZ'!U21</f>
        <v>1</v>
      </c>
      <c r="V21">
        <f>'TEA Revised Non EYZ'!V21</f>
        <v>0.1</v>
      </c>
      <c r="W21">
        <f>'TEA Revised Non EYZ'!W21</f>
        <v>71.646723007687299</v>
      </c>
      <c r="X21" t="str">
        <f>'TEA Revised Non EYZ'!X21</f>
        <v>ddFc</v>
      </c>
      <c r="Y21">
        <f>'TEA Revised Non EYZ'!Y21</f>
        <v>1</v>
      </c>
      <c r="Z21">
        <f>'TEA Revised Non EYZ'!Z21</f>
        <v>0.28318429382522198</v>
      </c>
      <c r="AA21">
        <f>'TEA Revised Non EYZ'!AA21</f>
        <v>0.56945642916197003</v>
      </c>
      <c r="AB21">
        <f>'TEA Revised Non EYZ'!AB21</f>
        <v>3.7698628972227502E-3</v>
      </c>
      <c r="AC21">
        <f>'TEA Revised Non EYZ'!AC21</f>
        <v>1822.2107908876901</v>
      </c>
      <c r="AD21">
        <f>'TEA Revised Non EYZ'!AD21</f>
        <v>2662.6059073104898</v>
      </c>
      <c r="AE21">
        <f>'TEA Revised Non EYZ'!AE21</f>
        <v>2401.5030938442701</v>
      </c>
      <c r="AF21">
        <f>'TEA Revised Non EYZ'!AF21</f>
        <v>13</v>
      </c>
      <c r="AG21">
        <f>'TEA Revised Non EYZ'!AG21</f>
        <v>1.6481650483119699E-3</v>
      </c>
      <c r="AH21">
        <f>'TEA Revised Non EYZ'!AH21</f>
        <v>1.6664622263884801E-3</v>
      </c>
      <c r="AI21">
        <f>'TEA Revised Non EYZ'!AI21</f>
        <v>1.0926630870116399E-5</v>
      </c>
      <c r="AJ21">
        <f>'TEA Revised Non EYZ'!AJ21</f>
        <v>0</v>
      </c>
      <c r="AK21">
        <f>'TEA Revised Non EYZ'!AK21</f>
        <v>0</v>
      </c>
      <c r="AL21">
        <f>'TEA Revised Non EYZ'!AL21</f>
        <v>0</v>
      </c>
      <c r="AM21">
        <f>'TEA Revised Non EYZ'!AM21</f>
        <v>1.6111245032140399E-3</v>
      </c>
      <c r="AN21">
        <f>'TEA Revised Non EYZ'!AN21</f>
        <v>7.3941505194138695E-5</v>
      </c>
      <c r="AO21">
        <f>'TEA Revised Non EYZ'!AO21</f>
        <v>1.08545212908117E-5</v>
      </c>
      <c r="AP21">
        <f>'TEA Revised Non EYZ'!AP21</f>
        <v>1.73193595136525E-3</v>
      </c>
      <c r="AQ21">
        <f>'TEA Revised Non EYZ'!AQ21</f>
        <v>7.4462832095842299E-2</v>
      </c>
      <c r="AR21">
        <f>'TEA Revised Non EYZ'!AR21</f>
        <v>3.3716883082028299E-6</v>
      </c>
      <c r="AS21">
        <f>'TEA Revised Non EYZ'!AS21</f>
        <v>1.3839163105419599E-16</v>
      </c>
      <c r="AT21">
        <f>'TEA Revised Non EYZ'!AT21</f>
        <v>-1.25862861799497E-14</v>
      </c>
      <c r="AU21">
        <f>'TEA Revised Non EYZ'!AU21</f>
        <v>-9.5423555464117197E-21</v>
      </c>
      <c r="AV21">
        <f>'TEA Revised Non EYZ'!AV21</f>
        <v>0.19778550516505899</v>
      </c>
      <c r="AW21">
        <f>'TEA Revised Non EYZ'!AW21</f>
        <v>99.340056599679698</v>
      </c>
      <c r="AX21">
        <f>'TEA Revised Non EYZ'!AX21</f>
        <v>500</v>
      </c>
      <c r="AY21">
        <f>'TEA Revised Non EYZ'!AY21</f>
        <v>95</v>
      </c>
      <c r="AZ21">
        <f>'TEA Revised Non EYZ'!AZ21</f>
        <v>0.92480233795174105</v>
      </c>
      <c r="BA21">
        <f>'TEA Revised Non EYZ'!BA21</f>
        <v>0.1</v>
      </c>
      <c r="BB21">
        <f>'TEA Revised Non EYZ'!BB21</f>
        <v>46.757841894427997</v>
      </c>
      <c r="BC21" t="str">
        <f>'TEA Revised Non EYZ'!BC21</f>
        <v>coeFc</v>
      </c>
      <c r="BD21">
        <f>'TEA Revised Non EYZ'!BD21</f>
        <v>1</v>
      </c>
      <c r="BE21">
        <f>'TEA Revised Non EYZ'!BE21</f>
        <v>1.8775014999999999E-2</v>
      </c>
      <c r="BF21">
        <f>'TEA Revised Non EYZ'!BF21</f>
        <v>0.10492961100000001</v>
      </c>
      <c r="BG21">
        <f>'TEA Revised Non EYZ'!BG21</f>
        <v>1.814625E-3</v>
      </c>
      <c r="BH21">
        <f>'TEA Revised Non EYZ'!BH21</f>
        <v>285.1951444</v>
      </c>
      <c r="BI21">
        <f>'TEA Revised Non EYZ'!BI21</f>
        <v>2169.8944889999998</v>
      </c>
      <c r="BJ21">
        <f>'TEA Revised Non EYZ'!BJ21</f>
        <v>866.49409060000005</v>
      </c>
      <c r="BK21">
        <f>'TEA Revised Non EYZ'!BK21</f>
        <v>100</v>
      </c>
      <c r="BL21">
        <f>'TEA Revised Non EYZ'!BL21</f>
        <v>13.957372480144</v>
      </c>
      <c r="BM21">
        <f>'TEA Revised Non EYZ'!BM21</f>
        <v>92.480233795174101</v>
      </c>
      <c r="BN21">
        <f>'TEA Revised Non EYZ'!BN21</f>
        <v>19.778550516505899</v>
      </c>
      <c r="BO21">
        <f>'TEA Revised Non EYZ'!BO21</f>
        <v>167.488469761728</v>
      </c>
      <c r="BP21">
        <f>'TEA Revised Non EYZ'!BP21</f>
        <v>593.35651549517695</v>
      </c>
      <c r="BQ21">
        <f>'TEA Revised Non EYZ'!BQ21</f>
        <v>16.7488469761728</v>
      </c>
      <c r="BR21">
        <f>'TEA Revised Non EYZ'!BR21</f>
        <v>59.335651549517699</v>
      </c>
      <c r="BS21">
        <f>'eLLE Bals'!CF21</f>
        <v>8.3744234880863999</v>
      </c>
      <c r="BT21">
        <f>'eLLE Bals'!CG21</f>
        <v>11.867130309903539</v>
      </c>
      <c r="BU21">
        <f>BM21</f>
        <v>92.480233795174101</v>
      </c>
      <c r="BV21">
        <f>BU21*(AM21*2+AN21*2+AO21*3)</f>
        <v>0.31468208283590521</v>
      </c>
      <c r="BW21">
        <f>BN21*BA21*(AP21*2+AQ21*2+AR21*3)</f>
        <v>0.30142441991528773</v>
      </c>
      <c r="BX21">
        <f>BV21/(2*V21*BL21+BV21)</f>
        <v>0.10130915002067312</v>
      </c>
      <c r="BY21">
        <f>BU21*BX21</f>
        <v>9.3690938795022163</v>
      </c>
      <c r="BZ21">
        <f>BW21/(2*BN21*BA21+BW21)</f>
        <v>7.0804532549172836E-2</v>
      </c>
      <c r="CA21">
        <f>2*BN21*BA21/0.04</f>
        <v>98.892752582529496</v>
      </c>
      <c r="CB21">
        <f>(BS21+BL21)*2</f>
        <v>44.663591936460804</v>
      </c>
      <c r="CC21">
        <f>(BU21+BL21)*2</f>
        <v>212.87521255063621</v>
      </c>
      <c r="CD21">
        <f>(BT21+BN21)*2</f>
        <v>63.291361652818878</v>
      </c>
      <c r="CE21">
        <f>(CA21+BN21)*2</f>
        <v>237.3426061980708</v>
      </c>
      <c r="CF21">
        <f>'TEA Revised Non EYZ'!CB21</f>
        <v>2210.8478008548095</v>
      </c>
      <c r="CG21">
        <f>'TEA Revised Non EYZ'!CC21</f>
        <v>7832.3060045363363</v>
      </c>
      <c r="CH21">
        <f>'TEA Revised Non EYZ'!CD21</f>
        <v>2671.1136977461792</v>
      </c>
      <c r="CI21">
        <f>'TEA Revised Non EYZ'!CE21</f>
        <v>60411.272335041176</v>
      </c>
      <c r="CJ21">
        <f>BL21*V21</f>
        <v>1.3957372480144001</v>
      </c>
      <c r="CK21">
        <f>CJ21/2*1.2</f>
        <v>0.8374423488086401</v>
      </c>
      <c r="CL21">
        <f>'eLLE Bals'!CB21*'Oxidant Feed Composition'!$N$20</f>
        <v>4.6524574933813359E-2</v>
      </c>
      <c r="CM21">
        <f>'eLLE Bals'!CB21*'Oxidant Feed Composition'!$N$21</f>
        <v>2.326228746690667</v>
      </c>
      <c r="CN21">
        <f>'eLLE Bals'!CB21*'Oxidant Feed Composition'!$N$22</f>
        <v>0.69786862400720007</v>
      </c>
      <c r="CO21">
        <f>CN21/CK21</f>
        <v>0.83333333333333326</v>
      </c>
      <c r="CP21">
        <f>CO21</f>
        <v>0.83333333333333326</v>
      </c>
      <c r="CQ21">
        <f>CL21/CO21</f>
        <v>5.5829489920576035E-2</v>
      </c>
      <c r="CR21">
        <f>CM21/CO21</f>
        <v>2.7914744960288007</v>
      </c>
      <c r="CS21">
        <f>BN21*BA21</f>
        <v>1.9778550516505899</v>
      </c>
      <c r="CT21">
        <f>CS21/2*1.2</f>
        <v>1.186713030990354</v>
      </c>
      <c r="CU21">
        <f>'eLLE Bals'!CC21*'Oxidant Feed Composition'!$N$20</f>
        <v>6.5928501721686364E-2</v>
      </c>
      <c r="CV21">
        <f>'eLLE Bals'!CC21*'Oxidant Feed Composition'!$N$21</f>
        <v>3.2964250860843167</v>
      </c>
      <c r="CW21">
        <f>'eLLE Bals'!CC21*'Oxidant Feed Composition'!$N$22</f>
        <v>0.98892752582529497</v>
      </c>
      <c r="CX21">
        <f>CU21/CP21</f>
        <v>7.9114202066023639E-2</v>
      </c>
      <c r="CY21">
        <f>CV21/CP21</f>
        <v>3.9557101033011803</v>
      </c>
      <c r="CZ21">
        <f>CJ21</f>
        <v>1.3957372480144001</v>
      </c>
      <c r="DA21">
        <f>'eLLE Bals'!BQ21</f>
        <v>2.7914744960288003</v>
      </c>
      <c r="DB21">
        <f>'eLLE Bals'!BU21</f>
        <v>9.5897989971566542</v>
      </c>
      <c r="DC21">
        <f>CS21</f>
        <v>1.9778550516505899</v>
      </c>
      <c r="DD21">
        <f>'eLLE Bals'!BX21</f>
        <v>3.9557101033011799</v>
      </c>
      <c r="DE21">
        <f>'eLLE Bals'!CA21</f>
        <v>22.000452349887986</v>
      </c>
      <c r="DF21">
        <f>2*2*(CJ21*'Reagent cost'!$C$36*122.44/1000*1.5+CK21*'Oxidant Feed Composition'!$N$26+CQ21*'Reagent cost'!$C$34+CR21*'Reagent cost'!$C$35)</f>
        <v>142.03180970200279</v>
      </c>
      <c r="DG21">
        <f>2*2*(CS21*'Reagent cost'!$C$36*122.44/1000*1.5+CT21*'Oxidant Feed Composition'!$N$26+CX21*'Reagent cost'!$C$34+CY21*'Reagent cost'!$C$35)</f>
        <v>201.26877943095721</v>
      </c>
      <c r="DH21">
        <f>(AF21+3)*2*(CZ21*'Reagent cost'!$C$38+DA21*'Reagent cost'!$C$39+DB21*'Reagent cost'!$C$36*122.44/1000*1.5)</f>
        <v>4179.2665186622808</v>
      </c>
      <c r="DI21">
        <f>3*2*(DC21*'Reagent cost'!$C$38+DD21*'Reagent cost'!$C$39+DE21*'Reagent cost'!$C$36*122.44/1000*1.5)</f>
        <v>1764.9839685533434</v>
      </c>
      <c r="DJ21">
        <f>7963.6*(CB21/1000)^0.6*1.7*('CAPEX+OPEX'!$G$116/'CAPEX+OPEX'!$G$115)</f>
        <v>2472.9373618126128</v>
      </c>
      <c r="DK21">
        <f>7963.6*(CC21/1000)^0.6*1.7*('CAPEX+OPEX'!$G$116/'CAPEX+OPEX'!$G$115)</f>
        <v>6311.2587327211604</v>
      </c>
      <c r="DL21">
        <f>7963.6*(CD21/1000)^0.6*1.7*('CAPEX+OPEX'!$G$116/'CAPEX+OPEX'!$G$115)</f>
        <v>3048.2290060628816</v>
      </c>
      <c r="DM21">
        <f>7963.6*(CE21/1000)^0.6*1.7*('CAPEX+OPEX'!$G$116/'CAPEX+OPEX'!$G$115)</f>
        <v>6736.9969699381863</v>
      </c>
      <c r="DN21">
        <f>'TEA Revised Non EYZ'!CM21</f>
        <v>39625.826528698344</v>
      </c>
      <c r="DO21">
        <f>'TEA Revised Non EYZ'!CN21</f>
        <v>4586243.4239371875</v>
      </c>
      <c r="DP21">
        <f>'TEA Revised Non EYZ'!CO21</f>
        <v>11794834.586807497</v>
      </c>
      <c r="DQ21">
        <f>'TEA Revised Non EYZ'!CP21</f>
        <v>2275209.1661185985</v>
      </c>
      <c r="DR21">
        <f>'TEA Revised Non EYZ'!CQ21</f>
        <v>14083914.336508472</v>
      </c>
      <c r="DS21">
        <f>'TEA Revised Non EYZ'!CR21</f>
        <v>1662824.8986326549</v>
      </c>
      <c r="DT21">
        <f>'TEA Revised Non EYZ'!CS21</f>
        <v>528015.95740622084</v>
      </c>
      <c r="DU21">
        <f>'TEA Revised Non EYZ'!CT21</f>
        <v>1357943.8117688675</v>
      </c>
      <c r="DV21">
        <f>'TEA Revised Non EYZ'!CU21</f>
        <v>261945.7004565605</v>
      </c>
      <c r="DW21">
        <f>'TEA Revised Non EYZ'!CV21</f>
        <v>1621486.4378120217</v>
      </c>
      <c r="DX21">
        <f>'TEA Revised Non EYZ'!CW21</f>
        <v>191441.6658016555</v>
      </c>
      <c r="DY21">
        <f>'TEA Revised Non EYZ'!CX21</f>
        <v>3960833.5732453261</v>
      </c>
      <c r="DZ21">
        <f>'TEA Revised Non EYZ'!CY21</f>
        <v>925757.1782572798</v>
      </c>
      <c r="EA21">
        <f>'TEA Revised Non EYZ'!CZ21</f>
        <v>2380848.93795725</v>
      </c>
      <c r="EB21">
        <f>'TEA Revised Non EYZ'!DA21</f>
        <v>459262.8482338271</v>
      </c>
      <c r="EC21">
        <f>'TEA Revised Non EYZ'!DB21</f>
        <v>2842911.6359005328</v>
      </c>
      <c r="ED21">
        <f>'TEA Revised Non EYZ'!DC21</f>
        <v>335649.88680269336</v>
      </c>
      <c r="EE21">
        <f>'TEA Revised Non EYZ'!DD21</f>
        <v>6944430.4871515837</v>
      </c>
      <c r="EF21">
        <v>0.7</v>
      </c>
      <c r="EG21">
        <v>100</v>
      </c>
      <c r="EH21">
        <f>96485*BL21*V21/EF21/EG21/60</f>
        <v>32.063740089207002</v>
      </c>
      <c r="EI21">
        <f>96485*BN21*BA21/EF21/EG21/60</f>
        <v>45.436510632977892</v>
      </c>
      <c r="EJ21">
        <f>EH21*('CAPEX+OPEX'!$O$25+'CAPEX+OPEX'!$O$26)</f>
        <v>1021935.5241232056</v>
      </c>
      <c r="EK21">
        <f>EI21*('CAPEX+OPEX'!$O$25+'CAPEX+OPEX'!$O$26)</f>
        <v>1448152.4668942713</v>
      </c>
      <c r="EL21">
        <f>EJ21*1.12/0.6*'CAPEX+OPEX'!$G$116/'CAPEX+OPEX'!$G$115</f>
        <v>2249949.8446835969</v>
      </c>
      <c r="EM21">
        <f>EK21*1.12/0.6*'CAPEX+OPEX'!$G$116/'CAPEX+OPEX'!$G$115</f>
        <v>3188332.669776252</v>
      </c>
      <c r="EN21">
        <f>EL21+EM21+DY21+EE21+1.15*(SUM(DF21:DM21)+SUM(CF21:CI21))</f>
        <v>16456226.464789579</v>
      </c>
      <c r="EO21">
        <f>EN21/15</f>
        <v>1097081.7643193053</v>
      </c>
      <c r="EP21">
        <f>('eLLE Bals'!CB21+'eLLE Bals'!CC21)*'Oxidant Feed Composition'!$N$28*60*7200</f>
        <v>18754389.319362648</v>
      </c>
      <c r="EQ21" s="53">
        <f>('eLLE Bals'!BR21+'eLLE Bals'!BY21)*'Reagent cost'!$C$38*60*7200*1.5</f>
        <v>770331.45074548863</v>
      </c>
      <c r="ER21">
        <f>'TEA Revised Non EYZ'!DI21</f>
        <v>504921.59999999998</v>
      </c>
      <c r="ES21">
        <f>'TEA Revised Non EYZ'!DJ21</f>
        <v>100.43153805391147</v>
      </c>
      <c r="ET21">
        <f>'TEA Revised Non EYZ'!DK21</f>
        <v>1261.6477206557472</v>
      </c>
      <c r="EU21">
        <f>1.2*SUM(EP21:ET21)</f>
        <v>24037205.339240219</v>
      </c>
      <c r="EV21">
        <f>'TEA Revised Non EYZ'!DM21</f>
        <v>0.70639694042110623</v>
      </c>
      <c r="EW21">
        <f>(BS21*CO21+BT21*CP21)/1000*('Oxidant Feed Composition'!$B$11*'Oxidant Feed Composition'!$O$20+'Oxidant Feed Composition'!$D$11*'Oxidant Feed Composition'!$O$21+'Oxidant Feed Composition'!$F$11*'Oxidant Feed Composition'!$O$27-'Oxidant Feed Composition'!$J$15*18.015)</f>
        <v>1.969917124319589</v>
      </c>
      <c r="EX21">
        <f>(CZ21*BX21+DC21*BZ21)*368.34/1000</f>
        <v>0.10366636713934188</v>
      </c>
      <c r="EY21">
        <f>'TEA Revised Non EYZ'!DP21</f>
        <v>4.999938342565946E-2</v>
      </c>
      <c r="EZ21">
        <f>SUM(EV21:EX21)-EY21</f>
        <v>2.7299810484543778</v>
      </c>
      <c r="FA21">
        <f>EZ21*0.33*60*7200</f>
        <v>389186.09826765611</v>
      </c>
      <c r="FB21">
        <f>'TEA Revised Non EYZ'!DS21</f>
        <v>1.2</v>
      </c>
      <c r="FC21">
        <v>0.5</v>
      </c>
      <c r="FD21">
        <f>'TEA Revised Non EYZ'!DT21</f>
        <v>1407.4782094824159</v>
      </c>
      <c r="FE21">
        <f>'TEA Revised Non EYZ'!DU21</f>
        <v>708.18946229031474</v>
      </c>
      <c r="FF21">
        <f>'TEA Revised Non EYZ'!DV21</f>
        <v>0.7</v>
      </c>
      <c r="FG21">
        <f>'TEA Revised Non EYZ'!DW21</f>
        <v>30272.303809866662</v>
      </c>
      <c r="FH21">
        <f>'TEA Revised Non EYZ'!DX21</f>
        <v>20763.049486147294</v>
      </c>
      <c r="FI21">
        <f>'TEA Revised Non EYZ'!DY21</f>
        <v>8790.8072421188135</v>
      </c>
      <c r="FJ21">
        <f>'TEA Revised Non EYZ'!DZ21</f>
        <v>4656.7358484871465</v>
      </c>
      <c r="FK21">
        <f>'TEA Revised Non EYZ'!EA21</f>
        <v>4688.4305291300352</v>
      </c>
      <c r="FL21">
        <f>'TEA Revised Non EYZ'!EB21</f>
        <v>851.24282109496528</v>
      </c>
      <c r="FM21">
        <f>'TEA Revised Non EYZ'!EC21</f>
        <v>51485.929848194995</v>
      </c>
      <c r="FN21">
        <f>'TEA Revised Non EYZ'!ED21</f>
        <v>54373.469425442076</v>
      </c>
      <c r="FO21">
        <f>'TEA Revised Non EYZ'!EE21</f>
        <v>23021.025361578297</v>
      </c>
      <c r="FP21">
        <f>'TEA Revised Non EYZ'!EF21</f>
        <v>12201.554582071589</v>
      </c>
      <c r="FQ21">
        <f>'TEA Revised Non EYZ'!EG21</f>
        <v>12277.880192841762</v>
      </c>
      <c r="FR21">
        <f>'TEA Revised Non EYZ'!EH21</f>
        <v>428.3129867931824</v>
      </c>
      <c r="FS21">
        <f>'TEA Revised Non EYZ'!EI21</f>
        <v>223810.74213376676</v>
      </c>
      <c r="FT21">
        <f>EG21*EH21</f>
        <v>3206.3740089207004</v>
      </c>
      <c r="FU21">
        <f>EG21*EI21</f>
        <v>4543.6510632977888</v>
      </c>
      <c r="FV21">
        <f>FC21*(FT21+FU21)/(3.6*10^6)*3600*7200*0.07</f>
        <v>1953.0063181990593</v>
      </c>
      <c r="FW21">
        <f>('CAPEX+OPEX'!$C$39/7/100+0.03)*EL21</f>
        <v>115711.70629801355</v>
      </c>
      <c r="FX21">
        <f>('CAPEX+OPEX'!$C$39/7/100+0.03)*EM21</f>
        <v>163971.39444563581</v>
      </c>
      <c r="FY21">
        <f>SUM(FV21:FX21)</f>
        <v>281636.10706184839</v>
      </c>
      <c r="FZ21">
        <f>FY21+FA21+FS21+EU21</f>
        <v>24931838.28670349</v>
      </c>
      <c r="GA21">
        <f>FZ21+EO21</f>
        <v>26028920.051022794</v>
      </c>
      <c r="GB21">
        <f>GA21/(BK21*60*7200)</f>
        <v>0.60252129747737948</v>
      </c>
      <c r="GC21">
        <f>'TEA Revised Non EYZ'!EM21/'TEA Revised Non EYZ'!EK21*GA21</f>
        <v>2015.2573678040937</v>
      </c>
      <c r="GD21">
        <f>'TEA Revised Non EYZ'!EN21/'TEA Revised Non EYZ'!EK21*GA21</f>
        <v>3686.9190388754146</v>
      </c>
    </row>
    <row r="22" spans="1:186">
      <c r="A22">
        <f>'TEA Revised Non EYZ'!A22</f>
        <v>5</v>
      </c>
      <c r="B22">
        <f>'TEA Revised Non EYZ'!B22</f>
        <v>1.54143585092054E-3</v>
      </c>
      <c r="C22">
        <f>'TEA Revised Non EYZ'!C22</f>
        <v>1.54143585092054E-3</v>
      </c>
      <c r="D22">
        <f>'TEA Revised Non EYZ'!D22</f>
        <v>3.4254130020456501E-4</v>
      </c>
      <c r="E22">
        <f>'TEA Revised Non EYZ'!E22</f>
        <v>0</v>
      </c>
      <c r="F22">
        <f>'TEA Revised Non EYZ'!F22</f>
        <v>0</v>
      </c>
      <c r="G22">
        <f>'TEA Revised Non EYZ'!G22</f>
        <v>0</v>
      </c>
      <c r="H22">
        <f>'TEA Revised Non EYZ'!H22</f>
        <v>1.7558377832426001E-5</v>
      </c>
      <c r="I22">
        <f>'TEA Revised Non EYZ'!I22</f>
        <v>1.05063644964669E-7</v>
      </c>
      <c r="J22">
        <f>'TEA Revised Non EYZ'!J22</f>
        <v>3.35605387572801E-4</v>
      </c>
      <c r="K22">
        <f>'TEA Revised Non EYZ'!K22</f>
        <v>0.12557893497872399</v>
      </c>
      <c r="L22">
        <f>'TEA Revised Non EYZ'!L22</f>
        <v>0.12701721899235199</v>
      </c>
      <c r="M22">
        <f>'TEA Revised Non EYZ'!M22</f>
        <v>5.7157122982957897E-4</v>
      </c>
      <c r="N22">
        <f>'TEA Revised Non EYZ'!N22</f>
        <v>-1.88000656708986E-16</v>
      </c>
      <c r="O22">
        <f>'TEA Revised Non EYZ'!O22</f>
        <v>-6.2354635343986299E-15</v>
      </c>
      <c r="P22">
        <f>'TEA Revised Non EYZ'!P22</f>
        <v>-1.51703600853245E-18</v>
      </c>
      <c r="Q22">
        <f>'TEA Revised Non EYZ'!Q22</f>
        <v>0.121348176216534</v>
      </c>
      <c r="R22">
        <f>'TEA Revised Non EYZ'!R22</f>
        <v>97.975160184298204</v>
      </c>
      <c r="S22">
        <f>'TEA Revised Non EYZ'!S22</f>
        <v>500</v>
      </c>
      <c r="T22">
        <f>'TEA Revised Non EYZ'!T22</f>
        <v>95</v>
      </c>
      <c r="U22">
        <f>'TEA Revised Non EYZ'!U22</f>
        <v>1</v>
      </c>
      <c r="V22">
        <f>'TEA Revised Non EYZ'!V22</f>
        <v>0.1</v>
      </c>
      <c r="W22">
        <f>'TEA Revised Non EYZ'!W22</f>
        <v>82.407501388038199</v>
      </c>
      <c r="X22" t="str">
        <f>'TEA Revised Non EYZ'!X22</f>
        <v>ddFc</v>
      </c>
      <c r="Y22">
        <f>'TEA Revised Non EYZ'!Y22</f>
        <v>1</v>
      </c>
      <c r="Z22">
        <f>'TEA Revised Non EYZ'!Z22</f>
        <v>0.28318429382522198</v>
      </c>
      <c r="AA22">
        <f>'TEA Revised Non EYZ'!AA22</f>
        <v>0.56945642916197003</v>
      </c>
      <c r="AB22">
        <f>'TEA Revised Non EYZ'!AB22</f>
        <v>3.7698628972227502E-3</v>
      </c>
      <c r="AC22">
        <f>'TEA Revised Non EYZ'!AC22</f>
        <v>1822.2107908876901</v>
      </c>
      <c r="AD22">
        <f>'TEA Revised Non EYZ'!AD22</f>
        <v>2662.6059073104898</v>
      </c>
      <c r="AE22">
        <f>'TEA Revised Non EYZ'!AE22</f>
        <v>2401.5030938442701</v>
      </c>
      <c r="AF22">
        <f>'TEA Revised Non EYZ'!AF22</f>
        <v>4</v>
      </c>
      <c r="AG22">
        <f>'TEA Revised Non EYZ'!AG22</f>
        <v>1.64912412966352E-3</v>
      </c>
      <c r="AH22">
        <f>'TEA Revised Non EYZ'!AH22</f>
        <v>1.66801192221077E-3</v>
      </c>
      <c r="AI22">
        <f>'TEA Revised Non EYZ'!AI22</f>
        <v>7.5059714998626504E-6</v>
      </c>
      <c r="AJ22">
        <f>'TEA Revised Non EYZ'!AJ22</f>
        <v>0</v>
      </c>
      <c r="AK22">
        <f>'TEA Revised Non EYZ'!AK22</f>
        <v>0</v>
      </c>
      <c r="AL22">
        <f>'TEA Revised Non EYZ'!AL22</f>
        <v>0</v>
      </c>
      <c r="AM22">
        <f>'TEA Revised Non EYZ'!AM22</f>
        <v>1.6039135383284699E-3</v>
      </c>
      <c r="AN22">
        <f>'TEA Revised Non EYZ'!AN22</f>
        <v>7.6970500542168304E-5</v>
      </c>
      <c r="AO22">
        <f>'TEA Revised Non EYZ'!AO22</f>
        <v>7.4460014818516096E-6</v>
      </c>
      <c r="AP22">
        <f>'TEA Revised Non EYZ'!AP22</f>
        <v>1.9942467256961298E-3</v>
      </c>
      <c r="AQ22">
        <f>'TEA Revised Non EYZ'!AQ22</f>
        <v>7.0181102522975894E-2</v>
      </c>
      <c r="AR22">
        <f>'TEA Revised Non EYZ'!AR22</f>
        <v>2.6452874985014601E-6</v>
      </c>
      <c r="AS22">
        <f>'TEA Revised Non EYZ'!AS22</f>
        <v>2.23616698075135E-19</v>
      </c>
      <c r="AT22">
        <f>'TEA Revised Non EYZ'!AT22</f>
        <v>8.6736173798840297E-19</v>
      </c>
      <c r="AU22">
        <f>'TEA Revised Non EYZ'!AU22</f>
        <v>-4.6983858793011897E-22</v>
      </c>
      <c r="AV22">
        <f>'TEA Revised Non EYZ'!AV22</f>
        <v>0.20948744629576599</v>
      </c>
      <c r="AW22">
        <f>'TEA Revised Non EYZ'!AW22</f>
        <v>99.201035895058396</v>
      </c>
      <c r="AX22">
        <f>'TEA Revised Non EYZ'!AX22</f>
        <v>500</v>
      </c>
      <c r="AY22">
        <f>'TEA Revised Non EYZ'!AY22</f>
        <v>95</v>
      </c>
      <c r="AZ22">
        <f>'TEA Revised Non EYZ'!AZ22</f>
        <v>0.92405262022284995</v>
      </c>
      <c r="BA22">
        <f>'TEA Revised Non EYZ'!BA22</f>
        <v>0.1</v>
      </c>
      <c r="BB22">
        <f>'TEA Revised Non EYZ'!BB22</f>
        <v>44.110166817262098</v>
      </c>
      <c r="BC22" t="str">
        <f>'TEA Revised Non EYZ'!BC22</f>
        <v>coeFc</v>
      </c>
      <c r="BD22">
        <f>'TEA Revised Non EYZ'!BD22</f>
        <v>1</v>
      </c>
      <c r="BE22">
        <f>'TEA Revised Non EYZ'!BE22</f>
        <v>1.8775014999999999E-2</v>
      </c>
      <c r="BF22">
        <f>'TEA Revised Non EYZ'!BF22</f>
        <v>0.10492961100000001</v>
      </c>
      <c r="BG22">
        <f>'TEA Revised Non EYZ'!BG22</f>
        <v>1.814625E-3</v>
      </c>
      <c r="BH22">
        <f>'TEA Revised Non EYZ'!BH22</f>
        <v>285.1951444</v>
      </c>
      <c r="BI22">
        <f>'TEA Revised Non EYZ'!BI22</f>
        <v>2169.8944889999998</v>
      </c>
      <c r="BJ22">
        <f>'TEA Revised Non EYZ'!BJ22</f>
        <v>866.49409060000005</v>
      </c>
      <c r="BK22">
        <f>'TEA Revised Non EYZ'!BK22</f>
        <v>100</v>
      </c>
      <c r="BL22">
        <f>'TEA Revised Non EYZ'!BL22</f>
        <v>12.134817621653401</v>
      </c>
      <c r="BM22">
        <f>'TEA Revised Non EYZ'!BM22</f>
        <v>92.405262022285001</v>
      </c>
      <c r="BN22">
        <f>'TEA Revised Non EYZ'!BN22</f>
        <v>20.948744629576598</v>
      </c>
      <c r="BO22">
        <f>'TEA Revised Non EYZ'!BO22</f>
        <v>169.88744670314762</v>
      </c>
      <c r="BP22">
        <f>'TEA Revised Non EYZ'!BP22</f>
        <v>251.3849355549192</v>
      </c>
      <c r="BQ22">
        <f>'TEA Revised Non EYZ'!BQ22</f>
        <v>16.988744670314762</v>
      </c>
      <c r="BR22">
        <f>'TEA Revised Non EYZ'!BR22</f>
        <v>25.13849355549192</v>
      </c>
      <c r="BS22">
        <f>'eLLE Bals'!CF22</f>
        <v>7.2808905729920399</v>
      </c>
      <c r="BT22">
        <f>'eLLE Bals'!CG22</f>
        <v>12.569246777745958</v>
      </c>
      <c r="BU22">
        <f>BM22</f>
        <v>92.405262022285001</v>
      </c>
      <c r="BV22">
        <f>BU22*(AM22*2+AN22*2+AO22*3)</f>
        <v>0.31270920923568246</v>
      </c>
      <c r="BW22">
        <f>BN22*BA22*(AP22*2+AQ22*2+AR22*3)</f>
        <v>0.30241321662787013</v>
      </c>
      <c r="BX22">
        <f>BV22/(2*V22*BL22+BV22)</f>
        <v>0.11414108167168345</v>
      </c>
      <c r="BY22">
        <f>BU22*BX22</f>
        <v>10.547236559378941</v>
      </c>
      <c r="BZ22">
        <f>BW22/(2*BN22*BA22+BW22)</f>
        <v>6.7320191709879393E-2</v>
      </c>
      <c r="CA22">
        <f>2*BN22*BA22/0.04</f>
        <v>104.743723147883</v>
      </c>
      <c r="CB22">
        <f>(BS22+BL22)*2</f>
        <v>38.831416389290879</v>
      </c>
      <c r="CC22">
        <f>(BU22+BL22)*2</f>
        <v>209.0801592878768</v>
      </c>
      <c r="CD22">
        <f>(BT22+BN22)*2</f>
        <v>67.035982814645109</v>
      </c>
      <c r="CE22">
        <f>(CA22+BN22)*2</f>
        <v>251.3849355549192</v>
      </c>
      <c r="CF22">
        <f>'TEA Revised Non EYZ'!CB22</f>
        <v>2242.5142964815486</v>
      </c>
      <c r="CG22">
        <f>'TEA Revised Non EYZ'!CC22</f>
        <v>3318.2811493249337</v>
      </c>
      <c r="CH22">
        <f>'TEA Revised Non EYZ'!CD22</f>
        <v>2709.3726906065185</v>
      </c>
      <c r="CI22">
        <f>'TEA Revised Non EYZ'!CE22</f>
        <v>25594.197427934774</v>
      </c>
      <c r="CJ22">
        <f>BL22*V22</f>
        <v>1.2134817621653402</v>
      </c>
      <c r="CK22">
        <f>CJ22/2*1.2</f>
        <v>0.72808905729920415</v>
      </c>
      <c r="CL22">
        <f>'eLLE Bals'!CB22*'Oxidant Feed Composition'!$N$20</f>
        <v>4.0449392072178021E-2</v>
      </c>
      <c r="CM22">
        <f>'eLLE Bals'!CB22*'Oxidant Feed Composition'!$N$21</f>
        <v>2.0224696036089003</v>
      </c>
      <c r="CN22">
        <f>'eLLE Bals'!CB22*'Oxidant Feed Composition'!$N$22</f>
        <v>0.6067408810826701</v>
      </c>
      <c r="CO22">
        <f>CN22/CK22</f>
        <v>0.83333333333333326</v>
      </c>
      <c r="CP22">
        <f>CO22</f>
        <v>0.83333333333333326</v>
      </c>
      <c r="CQ22">
        <f>CL22/CO22</f>
        <v>4.8539270486613627E-2</v>
      </c>
      <c r="CR22">
        <f>CM22/CO22</f>
        <v>2.4269635243306804</v>
      </c>
      <c r="CS22">
        <f>BN22*BA22</f>
        <v>2.0948744629576601</v>
      </c>
      <c r="CT22">
        <f>CS22/2*1.2</f>
        <v>1.2569246777745959</v>
      </c>
      <c r="CU22">
        <f>'eLLE Bals'!CC22*'Oxidant Feed Composition'!$N$20</f>
        <v>6.9829148765255367E-2</v>
      </c>
      <c r="CV22">
        <f>'eLLE Bals'!CC22*'Oxidant Feed Composition'!$N$21</f>
        <v>3.491457438262767</v>
      </c>
      <c r="CW22">
        <f>'eLLE Bals'!CC22*'Oxidant Feed Composition'!$N$22</f>
        <v>1.0474372314788301</v>
      </c>
      <c r="CX22">
        <f>CU22/CP22</f>
        <v>8.3794978518306446E-2</v>
      </c>
      <c r="CY22">
        <f>CV22/CP22</f>
        <v>4.1897489259153211</v>
      </c>
      <c r="CZ22">
        <f>CJ22</f>
        <v>1.2134817621653402</v>
      </c>
      <c r="DA22">
        <f>'eLLE Bals'!BQ22</f>
        <v>2.4269635243306804</v>
      </c>
      <c r="DB22">
        <f>'eLLE Bals'!BU22</f>
        <v>6.99097457034234</v>
      </c>
      <c r="DC22">
        <f>CS22</f>
        <v>2.0948744629576601</v>
      </c>
      <c r="DD22">
        <f>'eLLE Bals'!BX22</f>
        <v>4.1897489259153202</v>
      </c>
      <c r="DE22">
        <f>'eLLE Bals'!CA22</f>
        <v>24.833446981242037</v>
      </c>
      <c r="DF22">
        <f>2*2*(CJ22*'Reagent cost'!$C$36*122.44/1000*1.5+CK22*'Oxidant Feed Composition'!$N$26+CQ22*'Reagent cost'!$C$34+CR22*'Reagent cost'!$C$35)</f>
        <v>123.48528418648351</v>
      </c>
      <c r="DG22">
        <f>2*2*(CS22*'Reagent cost'!$C$36*122.44/1000*1.5+CT22*'Oxidant Feed Composition'!$N$26+CX22*'Reagent cost'!$C$34+CY22*'Reagent cost'!$C$35)</f>
        <v>213.17680780940074</v>
      </c>
      <c r="DH22">
        <f>(AF22+3)*2*(CZ22*'Reagent cost'!$C$38+DA22*'Reagent cost'!$C$39+DB22*'Reagent cost'!$C$36*122.44/1000*1.5)</f>
        <v>1345.1579829060011</v>
      </c>
      <c r="DI22">
        <f>3*2*(DC22*'Reagent cost'!$C$38+DD22*'Reagent cost'!$C$39+DE22*'Reagent cost'!$C$36*122.44/1000*1.5)</f>
        <v>1988.5785835187289</v>
      </c>
      <c r="DJ22">
        <f>7963.6*(CB22/1000)^0.6*1.7*('CAPEX+OPEX'!$G$116/'CAPEX+OPEX'!$G$115)</f>
        <v>2273.7926954959794</v>
      </c>
      <c r="DK22">
        <f>7963.6*(CC22/1000)^0.6*1.7*('CAPEX+OPEX'!$G$116/'CAPEX+OPEX'!$G$115)</f>
        <v>6243.5072626595684</v>
      </c>
      <c r="DL22">
        <f>7963.6*(CD22/1000)^0.6*1.7*('CAPEX+OPEX'!$G$116/'CAPEX+OPEX'!$G$115)</f>
        <v>3155.191450244818</v>
      </c>
      <c r="DM22">
        <f>7963.6*(CE22/1000)^0.6*1.7*('CAPEX+OPEX'!$G$116/'CAPEX+OPEX'!$G$115)</f>
        <v>6973.3983888990369</v>
      </c>
      <c r="DN22">
        <f>'TEA Revised Non EYZ'!CM22</f>
        <v>39625.826528698344</v>
      </c>
      <c r="DO22">
        <f>'TEA Revised Non EYZ'!CN22</f>
        <v>4586243.4239371875</v>
      </c>
      <c r="DP22">
        <f>'TEA Revised Non EYZ'!CO22</f>
        <v>11794834.586807497</v>
      </c>
      <c r="DQ22">
        <f>'TEA Revised Non EYZ'!CP22</f>
        <v>2275209.1661185985</v>
      </c>
      <c r="DR22">
        <f>'TEA Revised Non EYZ'!CQ22</f>
        <v>14083914.336508472</v>
      </c>
      <c r="DS22">
        <f>'TEA Revised Non EYZ'!CR22</f>
        <v>1662824.8986326549</v>
      </c>
      <c r="DT22">
        <f>'TEA Revised Non EYZ'!CS22</f>
        <v>589054.93036564998</v>
      </c>
      <c r="DU22">
        <f>'TEA Revised Non EYZ'!CT22</f>
        <v>1514922.9606835202</v>
      </c>
      <c r="DV22">
        <f>'TEA Revised Non EYZ'!CU22</f>
        <v>292226.78628879401</v>
      </c>
      <c r="DW22">
        <f>'TEA Revised Non EYZ'!CV22</f>
        <v>1808931.2781495745</v>
      </c>
      <c r="DX22">
        <f>'TEA Revised Non EYZ'!CW22</f>
        <v>213572.44139332071</v>
      </c>
      <c r="DY22">
        <f>'TEA Revised Non EYZ'!CX22</f>
        <v>4418708.3968808586</v>
      </c>
      <c r="DZ22">
        <f>'TEA Revised Non EYZ'!CY22</f>
        <v>498825.5312936515</v>
      </c>
      <c r="EA22">
        <f>'TEA Revised Non EYZ'!CZ22</f>
        <v>1282872.2955647383</v>
      </c>
      <c r="EB22">
        <f>'TEA Revised Non EYZ'!DA22</f>
        <v>247464.49679702814</v>
      </c>
      <c r="EC22">
        <f>'TEA Revised Non EYZ'!DB22</f>
        <v>1531845.4347484135</v>
      </c>
      <c r="ED22">
        <f>'TEA Revised Non EYZ'!DC22</f>
        <v>180858.15270500266</v>
      </c>
      <c r="EE22">
        <f>'TEA Revised Non EYZ'!DD22</f>
        <v>3741865.9111088342</v>
      </c>
      <c r="EF22">
        <v>0.7</v>
      </c>
      <c r="EG22">
        <v>100</v>
      </c>
      <c r="EH22">
        <f>96485*BL22*V22/EF22/EG22/60</f>
        <v>27.876854243457824</v>
      </c>
      <c r="EI22">
        <f>96485*BN22*BA22/EF22/EG22/60</f>
        <v>48.124752990111865</v>
      </c>
      <c r="EJ22">
        <f>EH22*('CAPEX+OPEX'!$O$25+'CAPEX+OPEX'!$O$26)</f>
        <v>888491.09844748781</v>
      </c>
      <c r="EK22">
        <f>EI22*('CAPEX+OPEX'!$O$25+'CAPEX+OPEX'!$O$26)</f>
        <v>1533832.1273008455</v>
      </c>
      <c r="EL22">
        <f>EJ22*1.12/0.6*'CAPEX+OPEX'!$G$116/'CAPEX+OPEX'!$G$115</f>
        <v>1956151.2069656507</v>
      </c>
      <c r="EM22">
        <f>EK22*1.12/0.6*'CAPEX+OPEX'!$G$116/'CAPEX+OPEX'!$G$115</f>
        <v>3376969.7550656693</v>
      </c>
      <c r="EN22">
        <f>EL22+EM22+DY22+EE22+1.15*(SUM(DF22:DM22)+SUM(CF22:CI22))</f>
        <v>13558303.02214409</v>
      </c>
      <c r="EO22">
        <f>EN22/15</f>
        <v>903886.86814293941</v>
      </c>
      <c r="EP22">
        <f>('eLLE Bals'!CB22+'eLLE Bals'!CC22)*'Oxidant Feed Composition'!$N$28*60*7200</f>
        <v>18391730.577300385</v>
      </c>
      <c r="EQ22" s="53">
        <f>('eLLE Bals'!BR22+'eLLE Bals'!BY22)*'Reagent cost'!$C$38*60*7200*1.5</f>
        <v>765112.96065154998</v>
      </c>
      <c r="ER22">
        <f>'TEA Revised Non EYZ'!DI22</f>
        <v>504921.59999999998</v>
      </c>
      <c r="ES22">
        <f>'TEA Revised Non EYZ'!DJ22</f>
        <v>55.607954458064825</v>
      </c>
      <c r="ET22">
        <f>'TEA Revised Non EYZ'!DK22</f>
        <v>566.07140237082581</v>
      </c>
      <c r="EU22">
        <f>1.2*SUM(EP22:ET22)</f>
        <v>23594864.180770516</v>
      </c>
      <c r="EV22">
        <f>'TEA Revised Non EYZ'!DM22</f>
        <v>0.70639694042110623</v>
      </c>
      <c r="EW22">
        <f>(BS22*CO22+BT22*CP22)/1000*('Oxidant Feed Composition'!$B$11*'Oxidant Feed Composition'!$O$20+'Oxidant Feed Composition'!$D$11*'Oxidant Feed Composition'!$O$21+'Oxidant Feed Composition'!$F$11*'Oxidant Feed Composition'!$O$27-'Oxidant Feed Composition'!$J$15*18.015)</f>
        <v>1.9318242995356292</v>
      </c>
      <c r="EX22">
        <f>(CZ22*BX22+DC22*BZ22)*368.34/1000</f>
        <v>0.10296409552694993</v>
      </c>
      <c r="EY22">
        <f>'TEA Revised Non EYZ'!DP22</f>
        <v>4.999938342565946E-2</v>
      </c>
      <c r="EZ22">
        <f>SUM(EV22:EX22)-EY22</f>
        <v>2.6911859520580261</v>
      </c>
      <c r="FA22">
        <f>EZ22*0.33*60*7200</f>
        <v>383655.46932539222</v>
      </c>
      <c r="FB22">
        <f>'TEA Revised Non EYZ'!DS22</f>
        <v>1.2</v>
      </c>
      <c r="FC22">
        <v>0.5</v>
      </c>
      <c r="FD22">
        <f>'TEA Revised Non EYZ'!DT22</f>
        <v>1399.3295607203786</v>
      </c>
      <c r="FE22">
        <f>'TEA Revised Non EYZ'!DU22</f>
        <v>713.9168882708085</v>
      </c>
      <c r="FF22">
        <f>'TEA Revised Non EYZ'!DV22</f>
        <v>0.7</v>
      </c>
      <c r="FG22">
        <f>'TEA Revised Non EYZ'!DW22</f>
        <v>33024.331428945443</v>
      </c>
      <c r="FH22">
        <f>'TEA Revised Non EYZ'!DX22</f>
        <v>24915.659383376755</v>
      </c>
      <c r="FI22">
        <f>'TEA Revised Non EYZ'!DY22</f>
        <v>10548.968690542577</v>
      </c>
      <c r="FJ22">
        <f>'TEA Revised Non EYZ'!DZ22</f>
        <v>5588.0830181845758</v>
      </c>
      <c r="FK22">
        <f>'TEA Revised Non EYZ'!EA22</f>
        <v>5626.1166349560426</v>
      </c>
      <c r="FL22">
        <f>'TEA Revised Non EYZ'!EB22</f>
        <v>846.31451832368498</v>
      </c>
      <c r="FM22">
        <f>'TEA Revised Non EYZ'!EC22</f>
        <v>28297.65565608922</v>
      </c>
      <c r="FN22">
        <f>'TEA Revised Non EYZ'!ED22</f>
        <v>19405.619727063386</v>
      </c>
      <c r="FO22">
        <f>'TEA Revised Non EYZ'!EE22</f>
        <v>8216.0889973453832</v>
      </c>
      <c r="FP22">
        <f>'TEA Revised Non EYZ'!EF22</f>
        <v>4354.6986243488573</v>
      </c>
      <c r="FQ22">
        <f>'TEA Revised Non EYZ'!EG22</f>
        <v>4381.9141319175396</v>
      </c>
      <c r="FR22">
        <f>'TEA Revised Non EYZ'!EH22</f>
        <v>431.77693402618496</v>
      </c>
      <c r="FS22">
        <f>'TEA Revised Non EYZ'!EI22</f>
        <v>145637.22774511963</v>
      </c>
      <c r="FT22">
        <f>EG22*EH22</f>
        <v>2787.6854243457824</v>
      </c>
      <c r="FU22">
        <f>EG22*EI22</f>
        <v>4812.4752990111865</v>
      </c>
      <c r="FV22">
        <f>FC22*(FT22+FU22)/(3.6*10^6)*3600*7200*0.07</f>
        <v>1915.2405022859559</v>
      </c>
      <c r="FW22">
        <f>('CAPEX+OPEX'!$C$39/7/100+0.03)*EL22</f>
        <v>100602.06207251917</v>
      </c>
      <c r="FX22">
        <f>('CAPEX+OPEX'!$C$39/7/100+0.03)*EM22</f>
        <v>173672.73026052013</v>
      </c>
      <c r="FY22">
        <f>SUM(FV22:FX22)</f>
        <v>276190.03283532523</v>
      </c>
      <c r="FZ22">
        <f>FY22+FA22+FS22+EU22</f>
        <v>24400346.910676353</v>
      </c>
      <c r="GA22">
        <f>FZ22+EO22</f>
        <v>25304233.778819293</v>
      </c>
      <c r="GB22">
        <f>GA22/(BK22*60*7200)</f>
        <v>0.58574615228748361</v>
      </c>
      <c r="GC22">
        <f>'TEA Revised Non EYZ'!EM22/'TEA Revised Non EYZ'!EK22*GA22</f>
        <v>1969.482000370213</v>
      </c>
      <c r="GD22">
        <f>'TEA Revised Non EYZ'!EN22/'TEA Revised Non EYZ'!EK22*GA22</f>
        <v>3558.2784175796523</v>
      </c>
    </row>
    <row r="23" spans="1:186">
      <c r="A23">
        <f>'TEA Revised Non EYZ'!A23</f>
        <v>5</v>
      </c>
      <c r="B23">
        <f>'TEA Revised Non EYZ'!B23</f>
        <v>1.54143585092054E-3</v>
      </c>
      <c r="C23">
        <f>'TEA Revised Non EYZ'!C23</f>
        <v>1.54143585092054E-3</v>
      </c>
      <c r="D23">
        <f>'TEA Revised Non EYZ'!D23</f>
        <v>3.4254130020456501E-4</v>
      </c>
      <c r="E23">
        <f>'TEA Revised Non EYZ'!E23</f>
        <v>0</v>
      </c>
      <c r="F23">
        <f>'TEA Revised Non EYZ'!F23</f>
        <v>0</v>
      </c>
      <c r="G23">
        <f>'TEA Revised Non EYZ'!G23</f>
        <v>0</v>
      </c>
      <c r="H23">
        <f>'TEA Revised Non EYZ'!H23</f>
        <v>1.7558377832426001E-5</v>
      </c>
      <c r="I23">
        <f>'TEA Revised Non EYZ'!I23</f>
        <v>1.05063644964669E-7</v>
      </c>
      <c r="J23">
        <f>'TEA Revised Non EYZ'!J23</f>
        <v>3.35605387572801E-4</v>
      </c>
      <c r="K23">
        <f>'TEA Revised Non EYZ'!K23</f>
        <v>0.12557893497872399</v>
      </c>
      <c r="L23">
        <f>'TEA Revised Non EYZ'!L23</f>
        <v>0.12701721899235199</v>
      </c>
      <c r="M23">
        <f>'TEA Revised Non EYZ'!M23</f>
        <v>5.7157122982957897E-4</v>
      </c>
      <c r="N23">
        <f>'TEA Revised Non EYZ'!N23</f>
        <v>-1.88000656708986E-16</v>
      </c>
      <c r="O23">
        <f>'TEA Revised Non EYZ'!O23</f>
        <v>-6.2354635343986299E-15</v>
      </c>
      <c r="P23">
        <f>'TEA Revised Non EYZ'!P23</f>
        <v>-1.51703600853245E-18</v>
      </c>
      <c r="Q23">
        <f>'TEA Revised Non EYZ'!Q23</f>
        <v>0.121348176216534</v>
      </c>
      <c r="R23">
        <f>'TEA Revised Non EYZ'!R23</f>
        <v>97.975160184298204</v>
      </c>
      <c r="S23">
        <f>'TEA Revised Non EYZ'!S23</f>
        <v>500</v>
      </c>
      <c r="T23">
        <f>'TEA Revised Non EYZ'!T23</f>
        <v>95</v>
      </c>
      <c r="U23">
        <f>'TEA Revised Non EYZ'!U23</f>
        <v>1</v>
      </c>
      <c r="V23">
        <f>'TEA Revised Non EYZ'!V23</f>
        <v>0.1</v>
      </c>
      <c r="W23">
        <f>'TEA Revised Non EYZ'!W23</f>
        <v>82.407501388038199</v>
      </c>
      <c r="X23" t="str">
        <f>'TEA Revised Non EYZ'!X23</f>
        <v>ddFc</v>
      </c>
      <c r="Y23">
        <f>'TEA Revised Non EYZ'!Y23</f>
        <v>1</v>
      </c>
      <c r="Z23">
        <f>'TEA Revised Non EYZ'!Z23</f>
        <v>0.28318429382522198</v>
      </c>
      <c r="AA23">
        <f>'TEA Revised Non EYZ'!AA23</f>
        <v>0.56945642916197003</v>
      </c>
      <c r="AB23">
        <f>'TEA Revised Non EYZ'!AB23</f>
        <v>3.7698628972227502E-3</v>
      </c>
      <c r="AC23">
        <f>'TEA Revised Non EYZ'!AC23</f>
        <v>1822.2107908876901</v>
      </c>
      <c r="AD23">
        <f>'TEA Revised Non EYZ'!AD23</f>
        <v>2662.6059073104898</v>
      </c>
      <c r="AE23">
        <f>'TEA Revised Non EYZ'!AE23</f>
        <v>2401.5030938442701</v>
      </c>
      <c r="AF23">
        <f>'TEA Revised Non EYZ'!AF23</f>
        <v>5</v>
      </c>
      <c r="AG23">
        <f>'TEA Revised Non EYZ'!AG23</f>
        <v>1.64912412966352E-3</v>
      </c>
      <c r="AH23">
        <f>'TEA Revised Non EYZ'!AH23</f>
        <v>1.66801192221077E-3</v>
      </c>
      <c r="AI23">
        <f>'TEA Revised Non EYZ'!AI23</f>
        <v>7.5059714998626504E-6</v>
      </c>
      <c r="AJ23">
        <f>'TEA Revised Non EYZ'!AJ23</f>
        <v>0</v>
      </c>
      <c r="AK23">
        <f>'TEA Revised Non EYZ'!AK23</f>
        <v>0</v>
      </c>
      <c r="AL23">
        <f>'TEA Revised Non EYZ'!AL23</f>
        <v>0</v>
      </c>
      <c r="AM23">
        <f>'TEA Revised Non EYZ'!AM23</f>
        <v>1.6096879788713E-3</v>
      </c>
      <c r="AN23">
        <f>'TEA Revised Non EYZ'!AN23</f>
        <v>7.7267020721356303E-5</v>
      </c>
      <c r="AO23">
        <f>'TEA Revised Non EYZ'!AO23</f>
        <v>7.45339932047821E-6</v>
      </c>
      <c r="AP23">
        <f>'TEA Revised Non EYZ'!AP23</f>
        <v>1.8140228936544E-3</v>
      </c>
      <c r="AQ23">
        <f>'TEA Revised Non EYZ'!AQ23</f>
        <v>7.3172650253414503E-2</v>
      </c>
      <c r="AR23">
        <f>'TEA Revised Non EYZ'!AR23</f>
        <v>2.4182668707984701E-6</v>
      </c>
      <c r="AS23">
        <f>'TEA Revised Non EYZ'!AS23</f>
        <v>-8.2860151032204602E-17</v>
      </c>
      <c r="AT23">
        <f>'TEA Revised Non EYZ'!AT23</f>
        <v>-2.00577401909818E-16</v>
      </c>
      <c r="AU23">
        <f>'TEA Revised Non EYZ'!AU23</f>
        <v>-8.2771000814506101E-20</v>
      </c>
      <c r="AV23">
        <f>'TEA Revised Non EYZ'!AV23</f>
        <v>0.200885438649126</v>
      </c>
      <c r="AW23">
        <f>'TEA Revised Non EYZ'!AW23</f>
        <v>99.299595270440307</v>
      </c>
      <c r="AX23">
        <f>'TEA Revised Non EYZ'!AX23</f>
        <v>500</v>
      </c>
      <c r="AY23">
        <f>'TEA Revised Non EYZ'!AY23</f>
        <v>95</v>
      </c>
      <c r="AZ23">
        <f>'TEA Revised Non EYZ'!AZ23</f>
        <v>0.92405262022284995</v>
      </c>
      <c r="BA23">
        <f>'TEA Revised Non EYZ'!BA23</f>
        <v>0.1</v>
      </c>
      <c r="BB23">
        <f>'TEA Revised Non EYZ'!BB23</f>
        <v>45.998984617139399</v>
      </c>
      <c r="BC23" t="str">
        <f>'TEA Revised Non EYZ'!BC23</f>
        <v>coeFc</v>
      </c>
      <c r="BD23">
        <f>'TEA Revised Non EYZ'!BD23</f>
        <v>1</v>
      </c>
      <c r="BE23">
        <f>'TEA Revised Non EYZ'!BE23</f>
        <v>1.8775014999999999E-2</v>
      </c>
      <c r="BF23">
        <f>'TEA Revised Non EYZ'!BF23</f>
        <v>0.10492961100000001</v>
      </c>
      <c r="BG23">
        <f>'TEA Revised Non EYZ'!BG23</f>
        <v>1.814625E-3</v>
      </c>
      <c r="BH23">
        <f>'TEA Revised Non EYZ'!BH23</f>
        <v>285.1951444</v>
      </c>
      <c r="BI23">
        <f>'TEA Revised Non EYZ'!BI23</f>
        <v>2169.8944889999998</v>
      </c>
      <c r="BJ23">
        <f>'TEA Revised Non EYZ'!BJ23</f>
        <v>866.49409060000005</v>
      </c>
      <c r="BK23">
        <f>'TEA Revised Non EYZ'!BK23</f>
        <v>100</v>
      </c>
      <c r="BL23">
        <f>'TEA Revised Non EYZ'!BL23</f>
        <v>12.134817621653401</v>
      </c>
      <c r="BM23">
        <f>'TEA Revised Non EYZ'!BM23</f>
        <v>92.405262022285001</v>
      </c>
      <c r="BN23">
        <f>'TEA Revised Non EYZ'!BN23</f>
        <v>20.088543864912602</v>
      </c>
      <c r="BO23">
        <f>'TEA Revised Non EYZ'!BO23</f>
        <v>169.88744670314762</v>
      </c>
      <c r="BP23">
        <f>'TEA Revised Non EYZ'!BP23</f>
        <v>281.23961410877644</v>
      </c>
      <c r="BQ23">
        <f>'TEA Revised Non EYZ'!BQ23</f>
        <v>16.988744670314762</v>
      </c>
      <c r="BR23">
        <f>'TEA Revised Non EYZ'!BR23</f>
        <v>28.123961410877644</v>
      </c>
      <c r="BS23">
        <f>'eLLE Bals'!CF23</f>
        <v>7.2808905729920399</v>
      </c>
      <c r="BT23">
        <f>'eLLE Bals'!CG23</f>
        <v>12.053126318947561</v>
      </c>
      <c r="BU23">
        <f>BM23</f>
        <v>92.405262022285001</v>
      </c>
      <c r="BV23">
        <f>BU23*(AM23*2+AN23*2+AO23*3)</f>
        <v>0.3138332374658227</v>
      </c>
      <c r="BW23">
        <f>BN23*BA23*(AP23*2+AQ23*2+AR23*3)</f>
        <v>0.30128918839778485</v>
      </c>
      <c r="BX23">
        <f>BV23/(2*V23*BL23+BV23)</f>
        <v>0.11450438129535559</v>
      </c>
      <c r="BY23">
        <f>BU23*BX23</f>
        <v>10.580807356296964</v>
      </c>
      <c r="BZ23">
        <f>BW23/(2*BN23*BA23+BW23)</f>
        <v>6.9759048532057194E-2</v>
      </c>
      <c r="CA23">
        <f>2*BN23*BA23/0.04</f>
        <v>100.44271932456301</v>
      </c>
      <c r="CB23">
        <f>(BS23+BL23)*2</f>
        <v>38.831416389290879</v>
      </c>
      <c r="CC23">
        <f>(BU23+BL23)*2</f>
        <v>209.0801592878768</v>
      </c>
      <c r="CD23">
        <f>(BT23+BN23)*2</f>
        <v>64.283340367720328</v>
      </c>
      <c r="CE23">
        <f>(CA23+BN23)*2</f>
        <v>241.06252637895125</v>
      </c>
      <c r="CF23">
        <f>'TEA Revised Non EYZ'!CB23</f>
        <v>2242.5142964815486</v>
      </c>
      <c r="CG23">
        <f>'TEA Revised Non EYZ'!CC23</f>
        <v>3712.3629062358491</v>
      </c>
      <c r="CH23">
        <f>'TEA Revised Non EYZ'!CD23</f>
        <v>2709.3726906065185</v>
      </c>
      <c r="CI23">
        <f>'TEA Revised Non EYZ'!CE23</f>
        <v>28633.785044305765</v>
      </c>
      <c r="CJ23">
        <f>BL23*V23</f>
        <v>1.2134817621653402</v>
      </c>
      <c r="CK23">
        <f>CJ23/2*1.2</f>
        <v>0.72808905729920415</v>
      </c>
      <c r="CL23">
        <f>'eLLE Bals'!CB23*'Oxidant Feed Composition'!$N$20</f>
        <v>4.0449392072178021E-2</v>
      </c>
      <c r="CM23">
        <f>'eLLE Bals'!CB23*'Oxidant Feed Composition'!$N$21</f>
        <v>2.0224696036089003</v>
      </c>
      <c r="CN23">
        <f>'eLLE Bals'!CB23*'Oxidant Feed Composition'!$N$22</f>
        <v>0.6067408810826701</v>
      </c>
      <c r="CO23">
        <f>CN23/CK23</f>
        <v>0.83333333333333326</v>
      </c>
      <c r="CP23">
        <f>CO23</f>
        <v>0.83333333333333326</v>
      </c>
      <c r="CQ23">
        <f>CL23/CO23</f>
        <v>4.8539270486613627E-2</v>
      </c>
      <c r="CR23">
        <f>CM23/CO23</f>
        <v>2.4269635243306804</v>
      </c>
      <c r="CS23">
        <f>BN23*BA23</f>
        <v>2.0088543864912602</v>
      </c>
      <c r="CT23">
        <f>CS23/2*1.2</f>
        <v>1.205312631894756</v>
      </c>
      <c r="CU23">
        <f>'eLLE Bals'!CC23*'Oxidant Feed Composition'!$N$20</f>
        <v>6.6961812883042038E-2</v>
      </c>
      <c r="CV23">
        <f>'eLLE Bals'!CC23*'Oxidant Feed Composition'!$N$21</f>
        <v>3.3480906441521006</v>
      </c>
      <c r="CW23">
        <f>'eLLE Bals'!CC23*'Oxidant Feed Composition'!$N$22</f>
        <v>1.0044271932456301</v>
      </c>
      <c r="CX23">
        <f>CU23/CP23</f>
        <v>8.0354175459650456E-2</v>
      </c>
      <c r="CY23">
        <f>CV23/CP23</f>
        <v>4.0177087729825214</v>
      </c>
      <c r="CZ23">
        <f>CJ23</f>
        <v>1.2134817621653402</v>
      </c>
      <c r="DA23">
        <f>'eLLE Bals'!BQ23</f>
        <v>2.4269635243306804</v>
      </c>
      <c r="DB23">
        <f>'eLLE Bals'!BU23</f>
        <v>6.9572431900287919</v>
      </c>
      <c r="DC23">
        <f>CS23</f>
        <v>2.0088543864912602</v>
      </c>
      <c r="DD23">
        <f>'eLLE Bals'!BX23</f>
        <v>4.0177087729825205</v>
      </c>
      <c r="DE23">
        <f>'eLLE Bals'!CA23</f>
        <v>22.770480790575331</v>
      </c>
      <c r="DF23">
        <f>2*2*(CJ23*'Reagent cost'!$C$36*122.44/1000*1.5+CK23*'Oxidant Feed Composition'!$N$26+CQ23*'Reagent cost'!$C$34+CR23*'Reagent cost'!$C$35)</f>
        <v>123.48528418648351</v>
      </c>
      <c r="DG23">
        <f>2*2*(CS23*'Reagent cost'!$C$36*122.44/1000*1.5+CT23*'Oxidant Feed Composition'!$N$26+CX23*'Reagent cost'!$C$34+CY23*'Reagent cost'!$C$35)</f>
        <v>204.42330699926734</v>
      </c>
      <c r="DH23">
        <f>(AF23+3)*2*(CZ23*'Reagent cost'!$C$38+DA23*'Reagent cost'!$C$39+DB23*'Reagent cost'!$C$36*122.44/1000*1.5)</f>
        <v>1530.3234356453779</v>
      </c>
      <c r="DI23">
        <f>3*2*(DC23*'Reagent cost'!$C$38+DD23*'Reagent cost'!$C$39+DE23*'Reagent cost'!$C$36*122.44/1000*1.5)</f>
        <v>1825.7370084931167</v>
      </c>
      <c r="DJ23">
        <f>7963.6*(CB23/1000)^0.6*1.7*('CAPEX+OPEX'!$G$116/'CAPEX+OPEX'!$G$115)</f>
        <v>2273.7926954959794</v>
      </c>
      <c r="DK23">
        <f>7963.6*(CC23/1000)^0.6*1.7*('CAPEX+OPEX'!$G$116/'CAPEX+OPEX'!$G$115)</f>
        <v>6243.5072626595684</v>
      </c>
      <c r="DL23">
        <f>7963.6*(CD23/1000)^0.6*1.7*('CAPEX+OPEX'!$G$116/'CAPEX+OPEX'!$G$115)</f>
        <v>3076.8051191417244</v>
      </c>
      <c r="DM23">
        <f>7963.6*(CE23/1000)^0.6*1.7*('CAPEX+OPEX'!$G$116/'CAPEX+OPEX'!$G$115)</f>
        <v>6800.1540315768834</v>
      </c>
      <c r="DN23">
        <f>'TEA Revised Non EYZ'!CM23</f>
        <v>39625.826528698344</v>
      </c>
      <c r="DO23">
        <f>'TEA Revised Non EYZ'!CN23</f>
        <v>4586243.4239371875</v>
      </c>
      <c r="DP23">
        <f>'TEA Revised Non EYZ'!CO23</f>
        <v>11794834.586807497</v>
      </c>
      <c r="DQ23">
        <f>'TEA Revised Non EYZ'!CP23</f>
        <v>2275209.1661185985</v>
      </c>
      <c r="DR23">
        <f>'TEA Revised Non EYZ'!CQ23</f>
        <v>14083914.336508472</v>
      </c>
      <c r="DS23">
        <f>'TEA Revised Non EYZ'!CR23</f>
        <v>1662824.8986326549</v>
      </c>
      <c r="DT23">
        <f>'TEA Revised Non EYZ'!CS23</f>
        <v>589054.93036564998</v>
      </c>
      <c r="DU23">
        <f>'TEA Revised Non EYZ'!CT23</f>
        <v>1514922.9606835202</v>
      </c>
      <c r="DV23">
        <f>'TEA Revised Non EYZ'!CU23</f>
        <v>292226.78628879401</v>
      </c>
      <c r="DW23">
        <f>'TEA Revised Non EYZ'!CV23</f>
        <v>1808931.2781495745</v>
      </c>
      <c r="DX23">
        <f>'TEA Revised Non EYZ'!CW23</f>
        <v>213572.44139332071</v>
      </c>
      <c r="DY23">
        <f>'TEA Revised Non EYZ'!CX23</f>
        <v>4418708.3968808586</v>
      </c>
      <c r="DZ23">
        <f>'TEA Revised Non EYZ'!CY23</f>
        <v>556490.07284590905</v>
      </c>
      <c r="EA23">
        <f>'TEA Revised Non EYZ'!CZ23</f>
        <v>1431173.130531993</v>
      </c>
      <c r="EB23">
        <f>'TEA Revised Non EYZ'!DA23</f>
        <v>276071.5464828235</v>
      </c>
      <c r="EC23">
        <f>'TEA Revised Non EYZ'!DB23</f>
        <v>1708927.7193993276</v>
      </c>
      <c r="ED23">
        <f>'TEA Revised Non EYZ'!DC23</f>
        <v>201765.46760260907</v>
      </c>
      <c r="EE23">
        <f>'TEA Revised Non EYZ'!DD23</f>
        <v>4174427.936862662</v>
      </c>
      <c r="EF23">
        <v>0.7</v>
      </c>
      <c r="EG23">
        <v>100</v>
      </c>
      <c r="EH23">
        <f>96485*BL23*V23/EF23/EG23/60</f>
        <v>27.876854243457824</v>
      </c>
      <c r="EI23">
        <f>96485*BN23*BA23/EF23/EG23/60</f>
        <v>46.148646543002201</v>
      </c>
      <c r="EJ23">
        <f>EH23*('CAPEX+OPEX'!$O$25+'CAPEX+OPEX'!$O$26)</f>
        <v>888491.09844748781</v>
      </c>
      <c r="EK23">
        <f>EI23*('CAPEX+OPEX'!$O$25+'CAPEX+OPEX'!$O$26)</f>
        <v>1470849.6626185661</v>
      </c>
      <c r="EL23">
        <f>EJ23*1.12/0.6*'CAPEX+OPEX'!$G$116/'CAPEX+OPEX'!$G$115</f>
        <v>1956151.2069656507</v>
      </c>
      <c r="EM23">
        <f>EK23*1.12/0.6*'CAPEX+OPEX'!$G$116/'CAPEX+OPEX'!$G$115</f>
        <v>3238304.0728532169</v>
      </c>
      <c r="EN23">
        <f>EL23+EM23+DY23+EE23+1.15*(SUM(DF23:DM23)+SUM(CF23:CI23))</f>
        <v>13855874.316106491</v>
      </c>
      <c r="EO23">
        <f>EN23/15</f>
        <v>923724.9544070994</v>
      </c>
      <c r="EP23">
        <f>('eLLE Bals'!CB23+'eLLE Bals'!CC23)*'Oxidant Feed Composition'!$N$28*60*7200</f>
        <v>17913529.935363777</v>
      </c>
      <c r="EQ23" s="53">
        <f>('eLLE Bals'!BR23+'eLLE Bals'!BY23)*'Reagent cost'!$C$38*60*7200*1.5</f>
        <v>763879.29428801697</v>
      </c>
      <c r="ER23">
        <f>'TEA Revised Non EYZ'!DI23</f>
        <v>504921.59999999998</v>
      </c>
      <c r="ES23">
        <f>'TEA Revised Non EYZ'!DJ23</f>
        <v>59.548772027173982</v>
      </c>
      <c r="ET23">
        <f>'TEA Revised Non EYZ'!DK23</f>
        <v>626.86315469824569</v>
      </c>
      <c r="EU23">
        <f>1.2*SUM(EP23:ET23)</f>
        <v>23019620.689894222</v>
      </c>
      <c r="EV23">
        <f>'TEA Revised Non EYZ'!DM23</f>
        <v>0.70639694042110623</v>
      </c>
      <c r="EW23">
        <f>(BS23*CO23+BT23*CP23)/1000*('Oxidant Feed Composition'!$B$11*'Oxidant Feed Composition'!$O$20+'Oxidant Feed Composition'!$D$11*'Oxidant Feed Composition'!$O$21+'Oxidant Feed Composition'!$F$11*'Oxidant Feed Composition'!$O$27-'Oxidant Feed Composition'!$J$15*18.015)</f>
        <v>1.8815952242311631</v>
      </c>
      <c r="EX23">
        <f>(CZ23*BX23+DC23*BZ23)*368.34/1000</f>
        <v>0.10279807645808586</v>
      </c>
      <c r="EY23">
        <f>'TEA Revised Non EYZ'!DP23</f>
        <v>4.999938342565946E-2</v>
      </c>
      <c r="EZ23">
        <f>SUM(EV23:EX23)-EY23</f>
        <v>2.6407908576846961</v>
      </c>
      <c r="FA23">
        <f>EZ23*0.33*60*7200</f>
        <v>376471.14467153029</v>
      </c>
      <c r="FB23">
        <f>'TEA Revised Non EYZ'!DS23</f>
        <v>1.2</v>
      </c>
      <c r="FC23">
        <v>0.5</v>
      </c>
      <c r="FD23">
        <f>'TEA Revised Non EYZ'!DT23</f>
        <v>1404.3633339004512</v>
      </c>
      <c r="FE23">
        <f>'TEA Revised Non EYZ'!DU23</f>
        <v>708.88311509089783</v>
      </c>
      <c r="FF23">
        <f>'TEA Revised Non EYZ'!DV23</f>
        <v>0.7</v>
      </c>
      <c r="FG23">
        <f>'TEA Revised Non EYZ'!DW23</f>
        <v>33024.331428945443</v>
      </c>
      <c r="FH23">
        <f>'TEA Revised Non EYZ'!DX23</f>
        <v>24915.659383376755</v>
      </c>
      <c r="FI23">
        <f>'TEA Revised Non EYZ'!DY23</f>
        <v>10548.968690542577</v>
      </c>
      <c r="FJ23">
        <f>'TEA Revised Non EYZ'!DZ23</f>
        <v>5588.0830181845758</v>
      </c>
      <c r="FK23">
        <f>'TEA Revised Non EYZ'!EA23</f>
        <v>5626.1166349560426</v>
      </c>
      <c r="FL23">
        <f>'TEA Revised Non EYZ'!EB23</f>
        <v>849.35894434299291</v>
      </c>
      <c r="FM23">
        <f>'TEA Revised Non EYZ'!EC23</f>
        <v>30870.169806642782</v>
      </c>
      <c r="FN23">
        <f>'TEA Revised Non EYZ'!ED23</f>
        <v>23286.743672476066</v>
      </c>
      <c r="FO23">
        <f>'TEA Revised Non EYZ'!EE23</f>
        <v>9859.3067968144605</v>
      </c>
      <c r="FP23">
        <f>'TEA Revised Non EYZ'!EF23</f>
        <v>5225.6383492186287</v>
      </c>
      <c r="FQ23">
        <f>'TEA Revised Non EYZ'!EG23</f>
        <v>5258.2969583010481</v>
      </c>
      <c r="FR23">
        <f>'TEA Revised Non EYZ'!EH23</f>
        <v>428.73250800697502</v>
      </c>
      <c r="FS23">
        <f>'TEA Revised Non EYZ'!EI23</f>
        <v>155481.40619180835</v>
      </c>
      <c r="FT23">
        <f>EG23*EH23</f>
        <v>2787.6854243457824</v>
      </c>
      <c r="FU23">
        <f>EG23*EI23</f>
        <v>4614.8646543002196</v>
      </c>
      <c r="FV23">
        <f>FC23*(FT23+FU23)/(3.6*10^6)*3600*7200*0.07</f>
        <v>1865.4426198187925</v>
      </c>
      <c r="FW23">
        <f>('CAPEX+OPEX'!$C$39/7/100+0.03)*EL23</f>
        <v>100602.06207251917</v>
      </c>
      <c r="FX23">
        <f>('CAPEX+OPEX'!$C$39/7/100+0.03)*EM23</f>
        <v>166541.35231816545</v>
      </c>
      <c r="FY23">
        <f>SUM(FV23:FX23)</f>
        <v>269008.85701050342</v>
      </c>
      <c r="FZ23">
        <f>FY23+FA23+FS23+EU23</f>
        <v>23820582.097768065</v>
      </c>
      <c r="GA23">
        <f>FZ23+EO23</f>
        <v>24744307.052175164</v>
      </c>
      <c r="GB23">
        <f>GA23/(BK23*60*7200)</f>
        <v>0.57278488546701767</v>
      </c>
      <c r="GC23">
        <f>'TEA Revised Non EYZ'!EM23/'TEA Revised Non EYZ'!EK23*GA23</f>
        <v>1918.9925196007459</v>
      </c>
      <c r="GD23">
        <f>'TEA Revised Non EYZ'!EN23/'TEA Revised Non EYZ'!EK23*GA23</f>
        <v>3502.3239464643389</v>
      </c>
    </row>
    <row r="24" spans="1:186">
      <c r="A24">
        <f>'TEA Revised Non EYZ'!A24</f>
        <v>5</v>
      </c>
      <c r="B24">
        <f>'TEA Revised Non EYZ'!B24</f>
        <v>1.54143585092054E-3</v>
      </c>
      <c r="C24">
        <f>'TEA Revised Non EYZ'!C24</f>
        <v>1.54143585092054E-3</v>
      </c>
      <c r="D24">
        <f>'TEA Revised Non EYZ'!D24</f>
        <v>3.4254130020456501E-4</v>
      </c>
      <c r="E24">
        <f>'TEA Revised Non EYZ'!E24</f>
        <v>0</v>
      </c>
      <c r="F24">
        <f>'TEA Revised Non EYZ'!F24</f>
        <v>0</v>
      </c>
      <c r="G24">
        <f>'TEA Revised Non EYZ'!G24</f>
        <v>0</v>
      </c>
      <c r="H24">
        <f>'TEA Revised Non EYZ'!H24</f>
        <v>1.7558377832426001E-5</v>
      </c>
      <c r="I24">
        <f>'TEA Revised Non EYZ'!I24</f>
        <v>1.05063644964669E-7</v>
      </c>
      <c r="J24">
        <f>'TEA Revised Non EYZ'!J24</f>
        <v>3.35605387572801E-4</v>
      </c>
      <c r="K24">
        <f>'TEA Revised Non EYZ'!K24</f>
        <v>0.12557893497872399</v>
      </c>
      <c r="L24">
        <f>'TEA Revised Non EYZ'!L24</f>
        <v>0.12701721899235199</v>
      </c>
      <c r="M24">
        <f>'TEA Revised Non EYZ'!M24</f>
        <v>5.7157122982957897E-4</v>
      </c>
      <c r="N24">
        <f>'TEA Revised Non EYZ'!N24</f>
        <v>-1.88000656708986E-16</v>
      </c>
      <c r="O24">
        <f>'TEA Revised Non EYZ'!O24</f>
        <v>-6.2354635343986299E-15</v>
      </c>
      <c r="P24">
        <f>'TEA Revised Non EYZ'!P24</f>
        <v>-1.51703600853245E-18</v>
      </c>
      <c r="Q24">
        <f>'TEA Revised Non EYZ'!Q24</f>
        <v>0.121348176216534</v>
      </c>
      <c r="R24">
        <f>'TEA Revised Non EYZ'!R24</f>
        <v>97.975160184298204</v>
      </c>
      <c r="S24">
        <f>'TEA Revised Non EYZ'!S24</f>
        <v>500</v>
      </c>
      <c r="T24">
        <f>'TEA Revised Non EYZ'!T24</f>
        <v>95</v>
      </c>
      <c r="U24">
        <f>'TEA Revised Non EYZ'!U24</f>
        <v>1</v>
      </c>
      <c r="V24">
        <f>'TEA Revised Non EYZ'!V24</f>
        <v>0.1</v>
      </c>
      <c r="W24">
        <f>'TEA Revised Non EYZ'!W24</f>
        <v>82.407501388038199</v>
      </c>
      <c r="X24" t="str">
        <f>'TEA Revised Non EYZ'!X24</f>
        <v>ddFc</v>
      </c>
      <c r="Y24">
        <f>'TEA Revised Non EYZ'!Y24</f>
        <v>1</v>
      </c>
      <c r="Z24">
        <f>'TEA Revised Non EYZ'!Z24</f>
        <v>0.28318429382522198</v>
      </c>
      <c r="AA24">
        <f>'TEA Revised Non EYZ'!AA24</f>
        <v>0.56945642916197003</v>
      </c>
      <c r="AB24">
        <f>'TEA Revised Non EYZ'!AB24</f>
        <v>3.7698628972227502E-3</v>
      </c>
      <c r="AC24">
        <f>'TEA Revised Non EYZ'!AC24</f>
        <v>1822.2107908876901</v>
      </c>
      <c r="AD24">
        <f>'TEA Revised Non EYZ'!AD24</f>
        <v>2662.6059073104898</v>
      </c>
      <c r="AE24">
        <f>'TEA Revised Non EYZ'!AE24</f>
        <v>2401.5030938442701</v>
      </c>
      <c r="AF24">
        <f>'TEA Revised Non EYZ'!AF24</f>
        <v>6</v>
      </c>
      <c r="AG24">
        <f>'TEA Revised Non EYZ'!AG24</f>
        <v>1.64912412966352E-3</v>
      </c>
      <c r="AH24">
        <f>'TEA Revised Non EYZ'!AH24</f>
        <v>1.66801192221077E-3</v>
      </c>
      <c r="AI24">
        <f>'TEA Revised Non EYZ'!AI24</f>
        <v>7.5059714998626504E-6</v>
      </c>
      <c r="AJ24">
        <f>'TEA Revised Non EYZ'!AJ24</f>
        <v>0</v>
      </c>
      <c r="AK24">
        <f>'TEA Revised Non EYZ'!AK24</f>
        <v>0</v>
      </c>
      <c r="AL24">
        <f>'TEA Revised Non EYZ'!AL24</f>
        <v>0</v>
      </c>
      <c r="AM24">
        <f>'TEA Revised Non EYZ'!AM24</f>
        <v>1.6114297833378999E-3</v>
      </c>
      <c r="AN24">
        <f>'TEA Revised Non EYZ'!AN24</f>
        <v>7.7356463127358006E-5</v>
      </c>
      <c r="AO24">
        <f>'TEA Revised Non EYZ'!AO24</f>
        <v>7.4556307325320903E-6</v>
      </c>
      <c r="AP24">
        <f>'TEA Revised Non EYZ'!AP24</f>
        <v>1.7565900233430501E-3</v>
      </c>
      <c r="AQ24">
        <f>'TEA Revised Non EYZ'!AQ24</f>
        <v>7.4125957401307799E-2</v>
      </c>
      <c r="AR24">
        <f>'TEA Revised Non EYZ'!AR24</f>
        <v>2.3459244762174398E-6</v>
      </c>
      <c r="AS24">
        <f>'TEA Revised Non EYZ'!AS24</f>
        <v>-5.3532482266471697E-18</v>
      </c>
      <c r="AT24">
        <f>'TEA Revised Non EYZ'!AT24</f>
        <v>-7.2164496600635096E-16</v>
      </c>
      <c r="AU24">
        <f>'TEA Revised Non EYZ'!AU24</f>
        <v>-4.9035266712143398E-21</v>
      </c>
      <c r="AV24">
        <f>'TEA Revised Non EYZ'!AV24</f>
        <v>0.198290773754322</v>
      </c>
      <c r="AW24">
        <f>'TEA Revised Non EYZ'!AW24</f>
        <v>99.329323761334805</v>
      </c>
      <c r="AX24">
        <f>'TEA Revised Non EYZ'!AX24</f>
        <v>500</v>
      </c>
      <c r="AY24">
        <f>'TEA Revised Non EYZ'!AY24</f>
        <v>95</v>
      </c>
      <c r="AZ24">
        <f>'TEA Revised Non EYZ'!AZ24</f>
        <v>0.92405262022284995</v>
      </c>
      <c r="BA24">
        <f>'TEA Revised Non EYZ'!BA24</f>
        <v>0.1</v>
      </c>
      <c r="BB24">
        <f>'TEA Revised Non EYZ'!BB24</f>
        <v>46.600888318068002</v>
      </c>
      <c r="BC24" t="str">
        <f>'TEA Revised Non EYZ'!BC24</f>
        <v>coeFc</v>
      </c>
      <c r="BD24">
        <f>'TEA Revised Non EYZ'!BD24</f>
        <v>1</v>
      </c>
      <c r="BE24">
        <f>'TEA Revised Non EYZ'!BE24</f>
        <v>1.8775014999999999E-2</v>
      </c>
      <c r="BF24">
        <f>'TEA Revised Non EYZ'!BF24</f>
        <v>0.10492961100000001</v>
      </c>
      <c r="BG24">
        <f>'TEA Revised Non EYZ'!BG24</f>
        <v>1.814625E-3</v>
      </c>
      <c r="BH24">
        <f>'TEA Revised Non EYZ'!BH24</f>
        <v>285.1951444</v>
      </c>
      <c r="BI24">
        <f>'TEA Revised Non EYZ'!BI24</f>
        <v>2169.8944889999998</v>
      </c>
      <c r="BJ24">
        <f>'TEA Revised Non EYZ'!BJ24</f>
        <v>866.49409060000005</v>
      </c>
      <c r="BK24">
        <f>'TEA Revised Non EYZ'!BK24</f>
        <v>100</v>
      </c>
      <c r="BL24">
        <f>'TEA Revised Non EYZ'!BL24</f>
        <v>12.134817621653401</v>
      </c>
      <c r="BM24">
        <f>'TEA Revised Non EYZ'!BM24</f>
        <v>92.405262022285001</v>
      </c>
      <c r="BN24">
        <f>'TEA Revised Non EYZ'!BN24</f>
        <v>19.829077375432199</v>
      </c>
      <c r="BO24">
        <f>'TEA Revised Non EYZ'!BO24</f>
        <v>169.88744670314762</v>
      </c>
      <c r="BP24">
        <f>'TEA Revised Non EYZ'!BP24</f>
        <v>317.26523800691518</v>
      </c>
      <c r="BQ24">
        <f>'TEA Revised Non EYZ'!BQ24</f>
        <v>16.988744670314762</v>
      </c>
      <c r="BR24">
        <f>'TEA Revised Non EYZ'!BR24</f>
        <v>31.72652380069152</v>
      </c>
      <c r="BS24">
        <f>'eLLE Bals'!CF24</f>
        <v>7.2808905729920399</v>
      </c>
      <c r="BT24">
        <f>'eLLE Bals'!CG24</f>
        <v>11.89744642525932</v>
      </c>
      <c r="BU24">
        <f>BM24</f>
        <v>92.405262022285001</v>
      </c>
      <c r="BV24">
        <f>BU24*(AM24*2+AN24*2+AO24*3)</f>
        <v>0.31417228974264977</v>
      </c>
      <c r="BW24">
        <f>BN24*BA24*(AP24*2+AQ24*2+AR24*3)</f>
        <v>0.30095013612104776</v>
      </c>
      <c r="BX24">
        <f>BV24/(2*V24*BL24+BV24)</f>
        <v>0.11461390863219924</v>
      </c>
      <c r="BY24">
        <f>BU24*BX24</f>
        <v>10.590928258556604</v>
      </c>
      <c r="BZ24">
        <f>BW24/(2*BN24*BA24+BW24)</f>
        <v>7.0533552471348279E-2</v>
      </c>
      <c r="CA24">
        <f>2*BN24*BA24/0.04</f>
        <v>99.145386877161002</v>
      </c>
      <c r="CB24">
        <f>(BS24+BL24)*2</f>
        <v>38.831416389290879</v>
      </c>
      <c r="CC24">
        <f>(BU24+BL24)*2</f>
        <v>209.0801592878768</v>
      </c>
      <c r="CD24">
        <f>(BT24+BN24)*2</f>
        <v>63.453047601383034</v>
      </c>
      <c r="CE24">
        <f>(CA24+BN24)*2</f>
        <v>237.94892850518642</v>
      </c>
      <c r="CF24">
        <f>'TEA Revised Non EYZ'!CB24</f>
        <v>2242.5142964815486</v>
      </c>
      <c r="CG24">
        <f>'TEA Revised Non EYZ'!CC24</f>
        <v>4187.9011416912808</v>
      </c>
      <c r="CH24">
        <f>'TEA Revised Non EYZ'!CD24</f>
        <v>2709.3726906065185</v>
      </c>
      <c r="CI24">
        <f>'TEA Revised Non EYZ'!CE24</f>
        <v>32301.65371940405</v>
      </c>
      <c r="CJ24">
        <f>BL24*V24</f>
        <v>1.2134817621653402</v>
      </c>
      <c r="CK24">
        <f>CJ24/2*1.2</f>
        <v>0.72808905729920415</v>
      </c>
      <c r="CL24">
        <f>'eLLE Bals'!CB24*'Oxidant Feed Composition'!$N$20</f>
        <v>4.0449392072178021E-2</v>
      </c>
      <c r="CM24">
        <f>'eLLE Bals'!CB24*'Oxidant Feed Composition'!$N$21</f>
        <v>2.0224696036089003</v>
      </c>
      <c r="CN24">
        <f>'eLLE Bals'!CB24*'Oxidant Feed Composition'!$N$22</f>
        <v>0.6067408810826701</v>
      </c>
      <c r="CO24">
        <f>CN24/CK24</f>
        <v>0.83333333333333326</v>
      </c>
      <c r="CP24">
        <f>CO24</f>
        <v>0.83333333333333326</v>
      </c>
      <c r="CQ24">
        <f>CL24/CO24</f>
        <v>4.8539270486613627E-2</v>
      </c>
      <c r="CR24">
        <f>CM24/CO24</f>
        <v>2.4269635243306804</v>
      </c>
      <c r="CS24">
        <f>BN24*BA24</f>
        <v>1.98290773754322</v>
      </c>
      <c r="CT24">
        <f>CS24/2*1.2</f>
        <v>1.1897446425259319</v>
      </c>
      <c r="CU24">
        <f>'eLLE Bals'!CC24*'Oxidant Feed Composition'!$N$20</f>
        <v>6.6096924584774022E-2</v>
      </c>
      <c r="CV24">
        <f>'eLLE Bals'!CC24*'Oxidant Feed Composition'!$N$21</f>
        <v>3.3048462292387</v>
      </c>
      <c r="CW24">
        <f>'eLLE Bals'!CC24*'Oxidant Feed Composition'!$N$22</f>
        <v>0.99145386877161001</v>
      </c>
      <c r="CX24">
        <f>CU24/CP24</f>
        <v>7.9316309501728841E-2</v>
      </c>
      <c r="CY24">
        <f>CV24/CP24</f>
        <v>3.9658154750864405</v>
      </c>
      <c r="CZ24">
        <f>CJ24</f>
        <v>1.2134817621653402</v>
      </c>
      <c r="DA24">
        <f>'eLLE Bals'!BQ24</f>
        <v>2.4269635243306804</v>
      </c>
      <c r="DB24">
        <f>'eLLE Bals'!BU24</f>
        <v>6.9471158275707374</v>
      </c>
      <c r="DC24">
        <f>CS24</f>
        <v>1.98290773754322</v>
      </c>
      <c r="DD24">
        <f>'eLLE Bals'!BX24</f>
        <v>3.9658154750864401</v>
      </c>
      <c r="DE24">
        <f>'eLLE Bals'!CA24</f>
        <v>22.164248104796958</v>
      </c>
      <c r="DF24">
        <f>2*2*(CJ24*'Reagent cost'!$C$36*122.44/1000*1.5+CK24*'Oxidant Feed Composition'!$N$26+CQ24*'Reagent cost'!$C$34+CR24*'Reagent cost'!$C$35)</f>
        <v>123.48528418648351</v>
      </c>
      <c r="DG24">
        <f>2*2*(CS24*'Reagent cost'!$C$36*122.44/1000*1.5+CT24*'Oxidant Feed Composition'!$N$26+CX24*'Reagent cost'!$C$34+CY24*'Reagent cost'!$C$35)</f>
        <v>201.7829464937098</v>
      </c>
      <c r="DH24">
        <f>(AF24+3)*2*(CZ24*'Reagent cost'!$C$38+DA24*'Reagent cost'!$C$39+DB24*'Reagent cost'!$C$36*122.44/1000*1.5)</f>
        <v>1719.2495184469503</v>
      </c>
      <c r="DI24">
        <f>3*2*(DC24*'Reagent cost'!$C$38+DD24*'Reagent cost'!$C$39+DE24*'Reagent cost'!$C$36*122.44/1000*1.5)</f>
        <v>1777.865761143134</v>
      </c>
      <c r="DJ24">
        <f>7963.6*(CB24/1000)^0.6*1.7*('CAPEX+OPEX'!$G$116/'CAPEX+OPEX'!$G$115)</f>
        <v>2273.7926954959794</v>
      </c>
      <c r="DK24">
        <f>7963.6*(CC24/1000)^0.6*1.7*('CAPEX+OPEX'!$G$116/'CAPEX+OPEX'!$G$115)</f>
        <v>6243.5072626595684</v>
      </c>
      <c r="DL24">
        <f>7963.6*(CD24/1000)^0.6*1.7*('CAPEX+OPEX'!$G$116/'CAPEX+OPEX'!$G$115)</f>
        <v>3052.8988782769065</v>
      </c>
      <c r="DM24">
        <f>7963.6*(CE24/1000)^0.6*1.7*('CAPEX+OPEX'!$G$116/'CAPEX+OPEX'!$G$115)</f>
        <v>6747.3180169767493</v>
      </c>
      <c r="DN24">
        <f>'TEA Revised Non EYZ'!CM24</f>
        <v>39625.826528698344</v>
      </c>
      <c r="DO24">
        <f>'TEA Revised Non EYZ'!CN24</f>
        <v>4586243.4239371875</v>
      </c>
      <c r="DP24">
        <f>'TEA Revised Non EYZ'!CO24</f>
        <v>11794834.586807497</v>
      </c>
      <c r="DQ24">
        <f>'TEA Revised Non EYZ'!CP24</f>
        <v>2275209.1661185985</v>
      </c>
      <c r="DR24">
        <f>'TEA Revised Non EYZ'!CQ24</f>
        <v>14083914.336508472</v>
      </c>
      <c r="DS24">
        <f>'TEA Revised Non EYZ'!CR24</f>
        <v>1662824.8986326549</v>
      </c>
      <c r="DT24">
        <f>'TEA Revised Non EYZ'!CS24</f>
        <v>589054.93036564998</v>
      </c>
      <c r="DU24">
        <f>'TEA Revised Non EYZ'!CT24</f>
        <v>1514922.9606835202</v>
      </c>
      <c r="DV24">
        <f>'TEA Revised Non EYZ'!CU24</f>
        <v>292226.78628879401</v>
      </c>
      <c r="DW24">
        <f>'TEA Revised Non EYZ'!CV24</f>
        <v>1808931.2781495745</v>
      </c>
      <c r="DX24">
        <f>'TEA Revised Non EYZ'!CW24</f>
        <v>213572.44139332071</v>
      </c>
      <c r="DY24">
        <f>'TEA Revised Non EYZ'!CX24</f>
        <v>4418708.3968808586</v>
      </c>
      <c r="DZ24">
        <f>'TEA Revised Non EYZ'!CY24</f>
        <v>610415.4188564826</v>
      </c>
      <c r="EA24">
        <f>'TEA Revised Non EYZ'!CZ24</f>
        <v>1569857.5564199341</v>
      </c>
      <c r="EB24">
        <f>'TEA Revised Non EYZ'!DA24</f>
        <v>302823.60261857172</v>
      </c>
      <c r="EC24">
        <f>'TEA Revised Non EYZ'!DB24</f>
        <v>1874527.2926394895</v>
      </c>
      <c r="ED24">
        <f>'TEA Revised Non EYZ'!DC24</f>
        <v>221317.07001990607</v>
      </c>
      <c r="EE24">
        <f>'TEA Revised Non EYZ'!DD24</f>
        <v>4578940.9405543841</v>
      </c>
      <c r="EF24">
        <v>0.7</v>
      </c>
      <c r="EG24">
        <v>100</v>
      </c>
      <c r="EH24">
        <f>96485*BL24*V24/EF24/EG24/60</f>
        <v>27.876854243457824</v>
      </c>
      <c r="EI24">
        <f>96485*BN24*BA24/EF24/EG24/60</f>
        <v>45.552584061156573</v>
      </c>
      <c r="EJ24">
        <f>EH24*('CAPEX+OPEX'!$O$25+'CAPEX+OPEX'!$O$26)</f>
        <v>888491.09844748781</v>
      </c>
      <c r="EK24">
        <f>EI24*('CAPEX+OPEX'!$O$25+'CAPEX+OPEX'!$O$26)</f>
        <v>1451851.9591971822</v>
      </c>
      <c r="EL24">
        <f>EJ24*1.12/0.6*'CAPEX+OPEX'!$G$116/'CAPEX+OPEX'!$G$115</f>
        <v>1956151.2069656507</v>
      </c>
      <c r="EM24">
        <f>EK24*1.12/0.6*'CAPEX+OPEX'!$G$116/'CAPEX+OPEX'!$G$115</f>
        <v>3196477.6769081689</v>
      </c>
      <c r="EN24">
        <f>EL24+EM24+DY24+EE24+1.15*(SUM(DF24:DM24)+SUM(CF24:CI24))</f>
        <v>14223396.764852704</v>
      </c>
      <c r="EO24">
        <f>EN24/15</f>
        <v>948226.45099018025</v>
      </c>
      <c r="EP24">
        <f>('eLLE Bals'!CB24+'eLLE Bals'!CC24)*'Oxidant Feed Composition'!$N$28*60*7200</f>
        <v>17769287.978221323</v>
      </c>
      <c r="EQ24" s="53">
        <f>('eLLE Bals'!BR24+'eLLE Bals'!BY24)*'Reagent cost'!$C$38*60*7200*1.5</f>
        <v>763492.45008443063</v>
      </c>
      <c r="ER24">
        <f>'TEA Revised Non EYZ'!DI24</f>
        <v>504921.59999999998</v>
      </c>
      <c r="ES24">
        <f>'TEA Revised Non EYZ'!DJ24</f>
        <v>64.304154381728296</v>
      </c>
      <c r="ET24">
        <f>'TEA Revised Non EYZ'!DK24</f>
        <v>700.22052820021145</v>
      </c>
      <c r="EU24">
        <f>1.2*SUM(EP24:ET24)</f>
        <v>22846159.863586001</v>
      </c>
      <c r="EV24">
        <f>'TEA Revised Non EYZ'!DM24</f>
        <v>0.70639694042110623</v>
      </c>
      <c r="EW24">
        <f>(BS24*CO24+BT24*CP24)/1000*('Oxidant Feed Composition'!$B$11*'Oxidant Feed Composition'!$O$20+'Oxidant Feed Composition'!$D$11*'Oxidant Feed Composition'!$O$21+'Oxidant Feed Composition'!$F$11*'Oxidant Feed Composition'!$O$27-'Oxidant Feed Composition'!$J$15*18.015)</f>
        <v>1.8664443869214709</v>
      </c>
      <c r="EX24">
        <f>(CZ24*BX24+DC24*BZ24)*368.34/1000</f>
        <v>0.10274601739546302</v>
      </c>
      <c r="EY24">
        <f>'TEA Revised Non EYZ'!DP24</f>
        <v>4.999938342565946E-2</v>
      </c>
      <c r="EZ24">
        <f>SUM(EV24:EX24)-EY24</f>
        <v>2.6255879613123807</v>
      </c>
      <c r="FA24">
        <f>EZ24*0.33*60*7200</f>
        <v>374303.81976469298</v>
      </c>
      <c r="FB24">
        <f>'TEA Revised Non EYZ'!DS24</f>
        <v>1.2</v>
      </c>
      <c r="FC24">
        <v>0.5</v>
      </c>
      <c r="FD24">
        <f>'TEA Revised Non EYZ'!DT24</f>
        <v>1405.8817231078647</v>
      </c>
      <c r="FE24">
        <f>'TEA Revised Non EYZ'!DU24</f>
        <v>707.36472588365746</v>
      </c>
      <c r="FF24">
        <f>'TEA Revised Non EYZ'!DV24</f>
        <v>0.7</v>
      </c>
      <c r="FG24">
        <f>'TEA Revised Non EYZ'!DW24</f>
        <v>33024.331428945443</v>
      </c>
      <c r="FH24">
        <f>'TEA Revised Non EYZ'!DX24</f>
        <v>24915.659383376755</v>
      </c>
      <c r="FI24">
        <f>'TEA Revised Non EYZ'!DY24</f>
        <v>10548.968690542577</v>
      </c>
      <c r="FJ24">
        <f>'TEA Revised Non EYZ'!DZ24</f>
        <v>5588.0830181845758</v>
      </c>
      <c r="FK24">
        <f>'TEA Revised Non EYZ'!EA24</f>
        <v>5626.1166349560426</v>
      </c>
      <c r="FL24">
        <f>'TEA Revised Non EYZ'!EB24</f>
        <v>850.27726613563675</v>
      </c>
      <c r="FM24">
        <f>'TEA Revised Non EYZ'!EC24</f>
        <v>33442.68395719635</v>
      </c>
      <c r="FN24">
        <f>'TEA Revised Non EYZ'!ED24</f>
        <v>27167.86761788874</v>
      </c>
      <c r="FO24">
        <f>'TEA Revised Non EYZ'!EE24</f>
        <v>11502.524596283536</v>
      </c>
      <c r="FP24">
        <f>'TEA Revised Non EYZ'!EF24</f>
        <v>6096.5780740883993</v>
      </c>
      <c r="FQ24">
        <f>'TEA Revised Non EYZ'!EG24</f>
        <v>6134.6797846845557</v>
      </c>
      <c r="FR24">
        <f>'TEA Revised Non EYZ'!EH24</f>
        <v>427.81418621443606</v>
      </c>
      <c r="FS24">
        <f>'TEA Revised Non EYZ'!EI24</f>
        <v>165325.58463849706</v>
      </c>
      <c r="FT24">
        <f>EG24*EH24</f>
        <v>2787.6854243457824</v>
      </c>
      <c r="FU24">
        <f>EG24*EI24</f>
        <v>4555.2584061156576</v>
      </c>
      <c r="FV24">
        <f>FC24*(FT24+FU24)/(3.6*10^6)*3600*7200*0.07</f>
        <v>1850.4218452762827</v>
      </c>
      <c r="FW24">
        <f>('CAPEX+OPEX'!$C$39/7/100+0.03)*EL24</f>
        <v>100602.06207251917</v>
      </c>
      <c r="FX24">
        <f>('CAPEX+OPEX'!$C$39/7/100+0.03)*EM24</f>
        <v>164390.28052670584</v>
      </c>
      <c r="FY24">
        <f>SUM(FV24:FX24)</f>
        <v>266842.76444450131</v>
      </c>
      <c r="FZ24">
        <f>FY24+FA24+FS24+EU24</f>
        <v>23652632.032433692</v>
      </c>
      <c r="GA24">
        <f>FZ24+EO24</f>
        <v>24600858.483423874</v>
      </c>
      <c r="GB24">
        <f>GA24/(BK24*60*7200)</f>
        <v>0.56946431674592302</v>
      </c>
      <c r="GC24">
        <f>'TEA Revised Non EYZ'!EM24/'TEA Revised Non EYZ'!EK24*GA24</f>
        <v>1905.8053219446592</v>
      </c>
      <c r="GD24">
        <f>'TEA Revised Non EYZ'!EN24/'TEA Revised Non EYZ'!EK24*GA24</f>
        <v>3488.9107343288429</v>
      </c>
    </row>
    <row r="25" spans="1:186">
      <c r="A25">
        <f>'TEA Revised Non EYZ'!A25</f>
        <v>5</v>
      </c>
      <c r="B25">
        <f>'TEA Revised Non EYZ'!B25</f>
        <v>1.54143585092054E-3</v>
      </c>
      <c r="C25">
        <f>'TEA Revised Non EYZ'!C25</f>
        <v>1.54143585092054E-3</v>
      </c>
      <c r="D25">
        <f>'TEA Revised Non EYZ'!D25</f>
        <v>3.4254130020456501E-4</v>
      </c>
      <c r="E25">
        <f>'TEA Revised Non EYZ'!E25</f>
        <v>0</v>
      </c>
      <c r="F25">
        <f>'TEA Revised Non EYZ'!F25</f>
        <v>0</v>
      </c>
      <c r="G25">
        <f>'TEA Revised Non EYZ'!G25</f>
        <v>0</v>
      </c>
      <c r="H25">
        <f>'TEA Revised Non EYZ'!H25</f>
        <v>1.7558377832426001E-5</v>
      </c>
      <c r="I25">
        <f>'TEA Revised Non EYZ'!I25</f>
        <v>1.05063644964669E-7</v>
      </c>
      <c r="J25">
        <f>'TEA Revised Non EYZ'!J25</f>
        <v>3.35605387572801E-4</v>
      </c>
      <c r="K25">
        <f>'TEA Revised Non EYZ'!K25</f>
        <v>0.12557893497872399</v>
      </c>
      <c r="L25">
        <f>'TEA Revised Non EYZ'!L25</f>
        <v>0.12701721899235199</v>
      </c>
      <c r="M25">
        <f>'TEA Revised Non EYZ'!M25</f>
        <v>5.7157122982957897E-4</v>
      </c>
      <c r="N25">
        <f>'TEA Revised Non EYZ'!N25</f>
        <v>-1.88000656708986E-16</v>
      </c>
      <c r="O25">
        <f>'TEA Revised Non EYZ'!O25</f>
        <v>-6.2354635343986299E-15</v>
      </c>
      <c r="P25">
        <f>'TEA Revised Non EYZ'!P25</f>
        <v>-1.51703600853245E-18</v>
      </c>
      <c r="Q25">
        <f>'TEA Revised Non EYZ'!Q25</f>
        <v>0.121348176216534</v>
      </c>
      <c r="R25">
        <f>'TEA Revised Non EYZ'!R25</f>
        <v>97.975160184298204</v>
      </c>
      <c r="S25">
        <f>'TEA Revised Non EYZ'!S25</f>
        <v>500</v>
      </c>
      <c r="T25">
        <f>'TEA Revised Non EYZ'!T25</f>
        <v>95</v>
      </c>
      <c r="U25">
        <f>'TEA Revised Non EYZ'!U25</f>
        <v>1</v>
      </c>
      <c r="V25">
        <f>'TEA Revised Non EYZ'!V25</f>
        <v>0.1</v>
      </c>
      <c r="W25">
        <f>'TEA Revised Non EYZ'!W25</f>
        <v>82.407501388038199</v>
      </c>
      <c r="X25" t="str">
        <f>'TEA Revised Non EYZ'!X25</f>
        <v>ddFc</v>
      </c>
      <c r="Y25">
        <f>'TEA Revised Non EYZ'!Y25</f>
        <v>1</v>
      </c>
      <c r="Z25">
        <f>'TEA Revised Non EYZ'!Z25</f>
        <v>0.28318429382522198</v>
      </c>
      <c r="AA25">
        <f>'TEA Revised Non EYZ'!AA25</f>
        <v>0.56945642916197003</v>
      </c>
      <c r="AB25">
        <f>'TEA Revised Non EYZ'!AB25</f>
        <v>3.7698628972227502E-3</v>
      </c>
      <c r="AC25">
        <f>'TEA Revised Non EYZ'!AC25</f>
        <v>1822.2107908876901</v>
      </c>
      <c r="AD25">
        <f>'TEA Revised Non EYZ'!AD25</f>
        <v>2662.6059073104898</v>
      </c>
      <c r="AE25">
        <f>'TEA Revised Non EYZ'!AE25</f>
        <v>2401.5030938442701</v>
      </c>
      <c r="AF25">
        <f>'TEA Revised Non EYZ'!AF25</f>
        <v>7</v>
      </c>
      <c r="AG25">
        <f>'TEA Revised Non EYZ'!AG25</f>
        <v>1.64912412966352E-3</v>
      </c>
      <c r="AH25">
        <f>'TEA Revised Non EYZ'!AH25</f>
        <v>1.66801192221077E-3</v>
      </c>
      <c r="AI25">
        <f>'TEA Revised Non EYZ'!AI25</f>
        <v>7.5059714998626504E-6</v>
      </c>
      <c r="AJ25">
        <f>'TEA Revised Non EYZ'!AJ25</f>
        <v>0</v>
      </c>
      <c r="AK25">
        <f>'TEA Revised Non EYZ'!AK25</f>
        <v>0</v>
      </c>
      <c r="AL25">
        <f>'TEA Revised Non EYZ'!AL25</f>
        <v>0</v>
      </c>
      <c r="AM25">
        <f>'TEA Revised Non EYZ'!AM25</f>
        <v>1.6119381310433301E-3</v>
      </c>
      <c r="AN25">
        <f>'TEA Revised Non EYZ'!AN25</f>
        <v>7.7382567030457797E-5</v>
      </c>
      <c r="AO25">
        <f>'TEA Revised Non EYZ'!AO25</f>
        <v>7.4562819717611701E-6</v>
      </c>
      <c r="AP25">
        <f>'TEA Revised Non EYZ'!AP25</f>
        <v>1.73954373622606E-3</v>
      </c>
      <c r="AQ25">
        <f>'TEA Revised Non EYZ'!AQ25</f>
        <v>7.4408902129409704E-2</v>
      </c>
      <c r="AR25">
        <f>'TEA Revised Non EYZ'!AR25</f>
        <v>2.32445303539035E-6</v>
      </c>
      <c r="AS25">
        <f>'TEA Revised Non EYZ'!AS25</f>
        <v>6.9016244542280303E-16</v>
      </c>
      <c r="AT25">
        <f>'TEA Revised Non EYZ'!AT25</f>
        <v>-2.1108657356772001E-13</v>
      </c>
      <c r="AU25">
        <f>'TEA Revised Non EYZ'!AU25</f>
        <v>-1.7602403435128399E-20</v>
      </c>
      <c r="AV25">
        <f>'TEA Revised Non EYZ'!AV25</f>
        <v>0.19753351838366801</v>
      </c>
      <c r="AW25">
        <f>'TEA Revised Non EYZ'!AW25</f>
        <v>99.338000043000505</v>
      </c>
      <c r="AX25">
        <f>'TEA Revised Non EYZ'!AX25</f>
        <v>500</v>
      </c>
      <c r="AY25">
        <f>'TEA Revised Non EYZ'!AY25</f>
        <v>95</v>
      </c>
      <c r="AZ25">
        <f>'TEA Revised Non EYZ'!AZ25</f>
        <v>0.92405262022284995</v>
      </c>
      <c r="BA25">
        <f>'TEA Revised Non EYZ'!BA25</f>
        <v>0.1</v>
      </c>
      <c r="BB25">
        <f>'TEA Revised Non EYZ'!BB25</f>
        <v>46.779535330711099</v>
      </c>
      <c r="BC25" t="str">
        <f>'TEA Revised Non EYZ'!BC25</f>
        <v>coeFc</v>
      </c>
      <c r="BD25">
        <f>'TEA Revised Non EYZ'!BD25</f>
        <v>1</v>
      </c>
      <c r="BE25">
        <f>'TEA Revised Non EYZ'!BE25</f>
        <v>1.8775014999999999E-2</v>
      </c>
      <c r="BF25">
        <f>'TEA Revised Non EYZ'!BF25</f>
        <v>0.10492961100000001</v>
      </c>
      <c r="BG25">
        <f>'TEA Revised Non EYZ'!BG25</f>
        <v>1.814625E-3</v>
      </c>
      <c r="BH25">
        <f>'TEA Revised Non EYZ'!BH25</f>
        <v>285.1951444</v>
      </c>
      <c r="BI25">
        <f>'TEA Revised Non EYZ'!BI25</f>
        <v>2169.8944889999998</v>
      </c>
      <c r="BJ25">
        <f>'TEA Revised Non EYZ'!BJ25</f>
        <v>866.49409060000005</v>
      </c>
      <c r="BK25">
        <f>'TEA Revised Non EYZ'!BK25</f>
        <v>100</v>
      </c>
      <c r="BL25">
        <f>'TEA Revised Non EYZ'!BL25</f>
        <v>12.134817621653401</v>
      </c>
      <c r="BM25">
        <f>'TEA Revised Non EYZ'!BM25</f>
        <v>92.405262022285001</v>
      </c>
      <c r="BN25">
        <f>'TEA Revised Non EYZ'!BN25</f>
        <v>19.7533518383668</v>
      </c>
      <c r="BO25">
        <f>'TEA Revised Non EYZ'!BO25</f>
        <v>169.88744670314762</v>
      </c>
      <c r="BP25">
        <f>'TEA Revised Non EYZ'!BP25</f>
        <v>355.5603330906024</v>
      </c>
      <c r="BQ25">
        <f>'TEA Revised Non EYZ'!BQ25</f>
        <v>16.988744670314762</v>
      </c>
      <c r="BR25">
        <f>'TEA Revised Non EYZ'!BR25</f>
        <v>35.55603330906024</v>
      </c>
      <c r="BS25">
        <f>'eLLE Bals'!CF25</f>
        <v>7.2808905729920399</v>
      </c>
      <c r="BT25">
        <f>'eLLE Bals'!CG25</f>
        <v>11.852011103020081</v>
      </c>
      <c r="BU25">
        <f>BM25</f>
        <v>92.405262022285001</v>
      </c>
      <c r="BV25">
        <f>BU25*(AM25*2+AN25*2+AO25*3)</f>
        <v>0.31427124255829342</v>
      </c>
      <c r="BW25">
        <f>BN25*BA25*(AP25*2+AQ25*2+AR25*3)</f>
        <v>0.30085118334733818</v>
      </c>
      <c r="BX25">
        <f>BV25/(2*V25*BL25+BV25)</f>
        <v>0.11464586920986694</v>
      </c>
      <c r="BY25">
        <f>BU25*BX25</f>
        <v>10.59388158411037</v>
      </c>
      <c r="BZ25">
        <f>BW25/(2*BN25*BA25+BW25)</f>
        <v>7.0763179660964043E-2</v>
      </c>
      <c r="CA25">
        <f>2*BN25*BA25/0.04</f>
        <v>98.766759191834012</v>
      </c>
      <c r="CB25">
        <f>(BS25+BL25)*2</f>
        <v>38.831416389290879</v>
      </c>
      <c r="CC25">
        <f>(BU25+BL25)*2</f>
        <v>209.0801592878768</v>
      </c>
      <c r="CD25">
        <f>(BT25+BN25)*2</f>
        <v>63.210725882773758</v>
      </c>
      <c r="CE25">
        <f>(CA25+BN25)*2</f>
        <v>237.04022206040162</v>
      </c>
      <c r="CF25">
        <f>'TEA Revised Non EYZ'!CB25</f>
        <v>2242.5142964815486</v>
      </c>
      <c r="CG25">
        <f>'TEA Revised Non EYZ'!CC25</f>
        <v>4693.3963967959517</v>
      </c>
      <c r="CH25">
        <f>'TEA Revised Non EYZ'!CD25</f>
        <v>2709.3726906065185</v>
      </c>
      <c r="CI25">
        <f>'TEA Revised Non EYZ'!CE25</f>
        <v>36200.583549585928</v>
      </c>
      <c r="CJ25">
        <f>BL25*V25</f>
        <v>1.2134817621653402</v>
      </c>
      <c r="CK25">
        <f>CJ25/2*1.2</f>
        <v>0.72808905729920415</v>
      </c>
      <c r="CL25">
        <f>'eLLE Bals'!CB25*'Oxidant Feed Composition'!$N$20</f>
        <v>4.0449392072178021E-2</v>
      </c>
      <c r="CM25">
        <f>'eLLE Bals'!CB25*'Oxidant Feed Composition'!$N$21</f>
        <v>2.0224696036089003</v>
      </c>
      <c r="CN25">
        <f>'eLLE Bals'!CB25*'Oxidant Feed Composition'!$N$22</f>
        <v>0.6067408810826701</v>
      </c>
      <c r="CO25">
        <f>CN25/CK25</f>
        <v>0.83333333333333326</v>
      </c>
      <c r="CP25">
        <f>CO25</f>
        <v>0.83333333333333326</v>
      </c>
      <c r="CQ25">
        <f>CL25/CO25</f>
        <v>4.8539270486613627E-2</v>
      </c>
      <c r="CR25">
        <f>CM25/CO25</f>
        <v>2.4269635243306804</v>
      </c>
      <c r="CS25">
        <f>BN25*BA25</f>
        <v>1.9753351838366802</v>
      </c>
      <c r="CT25">
        <f>CS25/2*1.2</f>
        <v>1.1852011103020081</v>
      </c>
      <c r="CU25">
        <f>'eLLE Bals'!CC25*'Oxidant Feed Composition'!$N$20</f>
        <v>6.5844506127889363E-2</v>
      </c>
      <c r="CV25">
        <f>'eLLE Bals'!CC25*'Oxidant Feed Composition'!$N$21</f>
        <v>3.2922253063944669</v>
      </c>
      <c r="CW25">
        <f>'eLLE Bals'!CC25*'Oxidant Feed Composition'!$N$22</f>
        <v>0.98766759191834008</v>
      </c>
      <c r="CX25">
        <f>CU25/CP25</f>
        <v>7.9013407353467249E-2</v>
      </c>
      <c r="CY25">
        <f>CV25/CP25</f>
        <v>3.9506703676733608</v>
      </c>
      <c r="CZ25">
        <f>CJ25</f>
        <v>1.2134817621653402</v>
      </c>
      <c r="DA25">
        <f>'eLLE Bals'!BQ25</f>
        <v>2.4269635243306804</v>
      </c>
      <c r="DB25">
        <f>'eLLE Bals'!BU25</f>
        <v>6.9441642643395163</v>
      </c>
      <c r="DC25">
        <f>CS25</f>
        <v>1.9753351838366802</v>
      </c>
      <c r="DD25">
        <f>'eLLE Bals'!BX25</f>
        <v>3.9506703676733603</v>
      </c>
      <c r="DE25">
        <f>'eLLE Bals'!CA25</f>
        <v>21.988726280790008</v>
      </c>
      <c r="DF25">
        <f>2*2*(CJ25*'Reagent cost'!$C$36*122.44/1000*1.5+CK25*'Oxidant Feed Composition'!$N$26+CQ25*'Reagent cost'!$C$34+CR25*'Reagent cost'!$C$35)</f>
        <v>123.48528418648351</v>
      </c>
      <c r="DG25">
        <f>2*2*(CS25*'Reagent cost'!$C$36*122.44/1000*1.5+CT25*'Oxidant Feed Composition'!$N$26+CX25*'Reagent cost'!$C$34+CY25*'Reagent cost'!$C$35)</f>
        <v>201.01235481641848</v>
      </c>
      <c r="DH25">
        <f>(AF25+3)*2*(CZ25*'Reagent cost'!$C$38+DA25*'Reagent cost'!$C$39+DB25*'Reagent cost'!$C$36*122.44/1000*1.5)</f>
        <v>1909.5116031316913</v>
      </c>
      <c r="DI25">
        <f>3*2*(DC25*'Reagent cost'!$C$38+DD25*'Reagent cost'!$C$39+DE25*'Reagent cost'!$C$36*122.44/1000*1.5)</f>
        <v>1764.0040447037186</v>
      </c>
      <c r="DJ25">
        <f>7963.6*(CB25/1000)^0.6*1.7*('CAPEX+OPEX'!$G$116/'CAPEX+OPEX'!$G$115)</f>
        <v>2273.7926954959794</v>
      </c>
      <c r="DK25">
        <f>7963.6*(CC25/1000)^0.6*1.7*('CAPEX+OPEX'!$G$116/'CAPEX+OPEX'!$G$115)</f>
        <v>6243.5072626595684</v>
      </c>
      <c r="DL25">
        <f>7963.6*(CD25/1000)^0.6*1.7*('CAPEX+OPEX'!$G$116/'CAPEX+OPEX'!$G$115)</f>
        <v>3045.8982712998541</v>
      </c>
      <c r="DM25">
        <f>7963.6*(CE25/1000)^0.6*1.7*('CAPEX+OPEX'!$G$116/'CAPEX+OPEX'!$G$115)</f>
        <v>6731.8457319554054</v>
      </c>
      <c r="DN25">
        <f>'TEA Revised Non EYZ'!CM25</f>
        <v>39625.826528698344</v>
      </c>
      <c r="DO25">
        <f>'TEA Revised Non EYZ'!CN25</f>
        <v>4586243.4239371875</v>
      </c>
      <c r="DP25">
        <f>'TEA Revised Non EYZ'!CO25</f>
        <v>11794834.586807497</v>
      </c>
      <c r="DQ25">
        <f>'TEA Revised Non EYZ'!CP25</f>
        <v>2275209.1661185985</v>
      </c>
      <c r="DR25">
        <f>'TEA Revised Non EYZ'!CQ25</f>
        <v>14083914.336508472</v>
      </c>
      <c r="DS25">
        <f>'TEA Revised Non EYZ'!CR25</f>
        <v>1662824.8986326549</v>
      </c>
      <c r="DT25">
        <f>'TEA Revised Non EYZ'!CS25</f>
        <v>589054.93036564998</v>
      </c>
      <c r="DU25">
        <f>'TEA Revised Non EYZ'!CT25</f>
        <v>1514922.9606835202</v>
      </c>
      <c r="DV25">
        <f>'TEA Revised Non EYZ'!CU25</f>
        <v>292226.78628879401</v>
      </c>
      <c r="DW25">
        <f>'TEA Revised Non EYZ'!CV25</f>
        <v>1808931.2781495745</v>
      </c>
      <c r="DX25">
        <f>'TEA Revised Non EYZ'!CW25</f>
        <v>213572.44139332071</v>
      </c>
      <c r="DY25">
        <f>'TEA Revised Non EYZ'!CX25</f>
        <v>4418708.3968808586</v>
      </c>
      <c r="DZ25">
        <f>'TEA Revised Non EYZ'!CY25</f>
        <v>661333.71445919841</v>
      </c>
      <c r="EA25">
        <f>'TEA Revised Non EYZ'!CZ25</f>
        <v>1700808.493507487</v>
      </c>
      <c r="EB25">
        <f>'TEA Revised Non EYZ'!DA25</f>
        <v>328083.87822317128</v>
      </c>
      <c r="EC25">
        <f>'TEA Revised Non EYZ'!DB25</f>
        <v>2030892.5020583186</v>
      </c>
      <c r="ED25">
        <f>'TEA Revised Non EYZ'!DC25</f>
        <v>239778.41232071392</v>
      </c>
      <c r="EE25">
        <f>'TEA Revised Non EYZ'!DD25</f>
        <v>4960897.0005688891</v>
      </c>
      <c r="EF25">
        <v>0.7</v>
      </c>
      <c r="EG25">
        <v>100</v>
      </c>
      <c r="EH25">
        <f>96485*BL25*V25/EF25/EG25/60</f>
        <v>27.876854243457824</v>
      </c>
      <c r="EI25">
        <f>96485*BN25*BA25/EF25/EG25/60</f>
        <v>45.378622669638595</v>
      </c>
      <c r="EJ25">
        <f>EH25*('CAPEX+OPEX'!$O$25+'CAPEX+OPEX'!$O$26)</f>
        <v>888491.09844748781</v>
      </c>
      <c r="EK25">
        <f>EI25*('CAPEX+OPEX'!$O$25+'CAPEX+OPEX'!$O$26)</f>
        <v>1446307.4617267214</v>
      </c>
      <c r="EL25">
        <f>EJ25*1.12/0.6*'CAPEX+OPEX'!$G$116/'CAPEX+OPEX'!$G$115</f>
        <v>1956151.2069656507</v>
      </c>
      <c r="EM25">
        <f>EK25*1.12/0.6*'CAPEX+OPEX'!$G$116/'CAPEX+OPEX'!$G$115</f>
        <v>3184270.6042230153</v>
      </c>
      <c r="EN25">
        <f>EL25+EM25+DY25+EE25+1.15*(SUM(DF25:DM25)+SUM(CF25:CI25))</f>
        <v>14598386.971447391</v>
      </c>
      <c r="EO25">
        <f>EN25/15</f>
        <v>973225.79809649277</v>
      </c>
      <c r="EP25">
        <f>('eLLE Bals'!CB25+'eLLE Bals'!CC25)*'Oxidant Feed Composition'!$N$28*60*7200</f>
        <v>17727190.828435816</v>
      </c>
      <c r="EQ25" s="53">
        <f>('eLLE Bals'!BR25+'eLLE Bals'!BY25)*'Reagent cost'!$C$38*60*7200*1.5</f>
        <v>763378.19073705631</v>
      </c>
      <c r="ER25">
        <f>'TEA Revised Non EYZ'!DI25</f>
        <v>504921.59999999998</v>
      </c>
      <c r="ES25">
        <f>'TEA Revised Non EYZ'!DJ25</f>
        <v>69.359106932775006</v>
      </c>
      <c r="ET25">
        <f>'TEA Revised Non EYZ'!DK25</f>
        <v>778.19912480384903</v>
      </c>
      <c r="EU25">
        <f>1.2*SUM(EP25:ET25)</f>
        <v>22795605.812885534</v>
      </c>
      <c r="EV25">
        <f>'TEA Revised Non EYZ'!DM25</f>
        <v>0.70639694042110623</v>
      </c>
      <c r="EW25">
        <f>(BS25*CO25+BT25*CP25)/1000*('Oxidant Feed Composition'!$B$11*'Oxidant Feed Composition'!$O$20+'Oxidant Feed Composition'!$D$11*'Oxidant Feed Composition'!$O$21+'Oxidant Feed Composition'!$F$11*'Oxidant Feed Composition'!$O$27-'Oxidant Feed Composition'!$J$15*18.015)</f>
        <v>1.8620226009152536</v>
      </c>
      <c r="EX25">
        <f>(CZ25*BX25+DC25*BZ25)*368.34/1000</f>
        <v>0.10273064109031214</v>
      </c>
      <c r="EY25">
        <f>'TEA Revised Non EYZ'!DP25</f>
        <v>4.999938342565946E-2</v>
      </c>
      <c r="EZ25">
        <f>SUM(EV25:EX25)-EY25</f>
        <v>2.6211507990010126</v>
      </c>
      <c r="FA25">
        <f>EZ25*0.33*60*7200</f>
        <v>373671.25790558435</v>
      </c>
      <c r="FB25">
        <f>'TEA Revised Non EYZ'!DS25</f>
        <v>1.2</v>
      </c>
      <c r="FC25">
        <v>0.5</v>
      </c>
      <c r="FD25">
        <f>'TEA Revised Non EYZ'!DT25</f>
        <v>1406.3248668164506</v>
      </c>
      <c r="FE25">
        <f>'TEA Revised Non EYZ'!DU25</f>
        <v>706.92158227108644</v>
      </c>
      <c r="FF25">
        <f>'TEA Revised Non EYZ'!DV25</f>
        <v>0.7</v>
      </c>
      <c r="FG25">
        <f>'TEA Revised Non EYZ'!DW25</f>
        <v>33024.331428945443</v>
      </c>
      <c r="FH25">
        <f>'TEA Revised Non EYZ'!DX25</f>
        <v>24915.659383376755</v>
      </c>
      <c r="FI25">
        <f>'TEA Revised Non EYZ'!DY25</f>
        <v>10548.968690542577</v>
      </c>
      <c r="FJ25">
        <f>'TEA Revised Non EYZ'!DZ25</f>
        <v>5588.0830181845758</v>
      </c>
      <c r="FK25">
        <f>'TEA Revised Non EYZ'!EA25</f>
        <v>5626.1166349560426</v>
      </c>
      <c r="FL25">
        <f>'TEA Revised Non EYZ'!EB25</f>
        <v>850.54527945058942</v>
      </c>
      <c r="FM25">
        <f>'TEA Revised Non EYZ'!EC25</f>
        <v>36015.198107749915</v>
      </c>
      <c r="FN25">
        <f>'TEA Revised Non EYZ'!ED25</f>
        <v>31048.991563301424</v>
      </c>
      <c r="FO25">
        <f>'TEA Revised Non EYZ'!EE25</f>
        <v>13145.742395752615</v>
      </c>
      <c r="FP25">
        <f>'TEA Revised Non EYZ'!EF25</f>
        <v>6967.5177989581725</v>
      </c>
      <c r="FQ25">
        <f>'TEA Revised Non EYZ'!EG25</f>
        <v>7011.0626110680651</v>
      </c>
      <c r="FR25">
        <f>'TEA Revised Non EYZ'!EH25</f>
        <v>427.5461729575531</v>
      </c>
      <c r="FS25">
        <f>'TEA Revised Non EYZ'!EI25</f>
        <v>175169.7630852437</v>
      </c>
      <c r="FT25">
        <f>EG25*EH25</f>
        <v>2787.6854243457824</v>
      </c>
      <c r="FU25">
        <f>EG25*EI25</f>
        <v>4537.8622669638598</v>
      </c>
      <c r="FV25">
        <f>FC25*(FT25+FU25)/(3.6*10^6)*3600*7200*0.07</f>
        <v>1846.0380182100303</v>
      </c>
      <c r="FW25">
        <f>('CAPEX+OPEX'!$C$39/7/100+0.03)*EL25</f>
        <v>100602.06207251917</v>
      </c>
      <c r="FX25">
        <f>('CAPEX+OPEX'!$C$39/7/100+0.03)*EM25</f>
        <v>163762.48821718365</v>
      </c>
      <c r="FY25">
        <f>SUM(FV25:FX25)</f>
        <v>266210.58830791287</v>
      </c>
      <c r="FZ25">
        <f>FY25+FA25+FS25+EU25</f>
        <v>23610657.422184274</v>
      </c>
      <c r="GA25">
        <f>FZ25+EO25</f>
        <v>24583883.220280766</v>
      </c>
      <c r="GB25">
        <f>GA25/(BK25*60*7200)</f>
        <v>0.5690713708398325</v>
      </c>
      <c r="GC25">
        <f>'TEA Revised Non EYZ'!EM25/'TEA Revised Non EYZ'!EK25*GA25</f>
        <v>1903.8896209827706</v>
      </c>
      <c r="GD25">
        <f>'TEA Revised Non EYZ'!EN25/'TEA Revised Non EYZ'!EK25*GA25</f>
        <v>3488.5180682567002</v>
      </c>
    </row>
    <row r="26" spans="1:186">
      <c r="A26">
        <f>'TEA Revised Non EYZ'!A26</f>
        <v>5</v>
      </c>
      <c r="B26">
        <f>'TEA Revised Non EYZ'!B26</f>
        <v>1.54143585092054E-3</v>
      </c>
      <c r="C26">
        <f>'TEA Revised Non EYZ'!C26</f>
        <v>1.54143585092054E-3</v>
      </c>
      <c r="D26">
        <f>'TEA Revised Non EYZ'!D26</f>
        <v>3.4254130020456501E-4</v>
      </c>
      <c r="E26">
        <f>'TEA Revised Non EYZ'!E26</f>
        <v>0</v>
      </c>
      <c r="F26">
        <f>'TEA Revised Non EYZ'!F26</f>
        <v>0</v>
      </c>
      <c r="G26">
        <f>'TEA Revised Non EYZ'!G26</f>
        <v>0</v>
      </c>
      <c r="H26">
        <f>'TEA Revised Non EYZ'!H26</f>
        <v>1.7558377832426001E-5</v>
      </c>
      <c r="I26">
        <f>'TEA Revised Non EYZ'!I26</f>
        <v>1.05063644964669E-7</v>
      </c>
      <c r="J26">
        <f>'TEA Revised Non EYZ'!J26</f>
        <v>3.35605387572801E-4</v>
      </c>
      <c r="K26">
        <f>'TEA Revised Non EYZ'!K26</f>
        <v>0.12557893497872399</v>
      </c>
      <c r="L26">
        <f>'TEA Revised Non EYZ'!L26</f>
        <v>0.12701721899235199</v>
      </c>
      <c r="M26">
        <f>'TEA Revised Non EYZ'!M26</f>
        <v>5.7157122982957897E-4</v>
      </c>
      <c r="N26">
        <f>'TEA Revised Non EYZ'!N26</f>
        <v>-1.88000656708986E-16</v>
      </c>
      <c r="O26">
        <f>'TEA Revised Non EYZ'!O26</f>
        <v>-6.2354635343986299E-15</v>
      </c>
      <c r="P26">
        <f>'TEA Revised Non EYZ'!P26</f>
        <v>-1.51703600853245E-18</v>
      </c>
      <c r="Q26">
        <f>'TEA Revised Non EYZ'!Q26</f>
        <v>0.121348176216534</v>
      </c>
      <c r="R26">
        <f>'TEA Revised Non EYZ'!R26</f>
        <v>97.975160184298204</v>
      </c>
      <c r="S26">
        <f>'TEA Revised Non EYZ'!S26</f>
        <v>500</v>
      </c>
      <c r="T26">
        <f>'TEA Revised Non EYZ'!T26</f>
        <v>95</v>
      </c>
      <c r="U26">
        <f>'TEA Revised Non EYZ'!U26</f>
        <v>1</v>
      </c>
      <c r="V26">
        <f>'TEA Revised Non EYZ'!V26</f>
        <v>0.1</v>
      </c>
      <c r="W26">
        <f>'TEA Revised Non EYZ'!W26</f>
        <v>82.407501388038199</v>
      </c>
      <c r="X26" t="str">
        <f>'TEA Revised Non EYZ'!X26</f>
        <v>ddFc</v>
      </c>
      <c r="Y26">
        <f>'TEA Revised Non EYZ'!Y26</f>
        <v>1</v>
      </c>
      <c r="Z26">
        <f>'TEA Revised Non EYZ'!Z26</f>
        <v>0.28318429382522198</v>
      </c>
      <c r="AA26">
        <f>'TEA Revised Non EYZ'!AA26</f>
        <v>0.56945642916197003</v>
      </c>
      <c r="AB26">
        <f>'TEA Revised Non EYZ'!AB26</f>
        <v>3.7698628972227502E-3</v>
      </c>
      <c r="AC26">
        <f>'TEA Revised Non EYZ'!AC26</f>
        <v>1822.2107908876901</v>
      </c>
      <c r="AD26">
        <f>'TEA Revised Non EYZ'!AD26</f>
        <v>2662.6059073104898</v>
      </c>
      <c r="AE26">
        <f>'TEA Revised Non EYZ'!AE26</f>
        <v>2401.5030938442701</v>
      </c>
      <c r="AF26">
        <f>'TEA Revised Non EYZ'!AF26</f>
        <v>8</v>
      </c>
      <c r="AG26">
        <f>'TEA Revised Non EYZ'!AG26</f>
        <v>1.64912412966352E-3</v>
      </c>
      <c r="AH26">
        <f>'TEA Revised Non EYZ'!AH26</f>
        <v>1.66801192221077E-3</v>
      </c>
      <c r="AI26">
        <f>'TEA Revised Non EYZ'!AI26</f>
        <v>7.5059714998626504E-6</v>
      </c>
      <c r="AJ26">
        <f>'TEA Revised Non EYZ'!AJ26</f>
        <v>0</v>
      </c>
      <c r="AK26">
        <f>'TEA Revised Non EYZ'!AK26</f>
        <v>0</v>
      </c>
      <c r="AL26">
        <f>'TEA Revised Non EYZ'!AL26</f>
        <v>0</v>
      </c>
      <c r="AM26">
        <f>'TEA Revised Non EYZ'!AM26</f>
        <v>1.6120834525789199E-3</v>
      </c>
      <c r="AN26">
        <f>'TEA Revised Non EYZ'!AN26</f>
        <v>7.7390029362408002E-5</v>
      </c>
      <c r="AO26">
        <f>'TEA Revised Non EYZ'!AO26</f>
        <v>7.4564681417452103E-6</v>
      </c>
      <c r="AP26">
        <f>'TEA Revised Non EYZ'!AP26</f>
        <v>1.73464665743558E-3</v>
      </c>
      <c r="AQ26">
        <f>'TEA Revised Non EYZ'!AQ26</f>
        <v>7.4490186842272293E-2</v>
      </c>
      <c r="AR26">
        <f>'TEA Revised Non EYZ'!AR26</f>
        <v>2.3182846935160901E-6</v>
      </c>
      <c r="AS26">
        <f>'TEA Revised Non EYZ'!AS26</f>
        <v>1.3007864642193499E-14</v>
      </c>
      <c r="AT26">
        <f>'TEA Revised Non EYZ'!AT26</f>
        <v>-3.2357883733569101E-12</v>
      </c>
      <c r="AU26">
        <f>'TEA Revised Non EYZ'!AU26</f>
        <v>1.045225422022E-19</v>
      </c>
      <c r="AV26">
        <f>'TEA Revised Non EYZ'!AV26</f>
        <v>0.19731704180288601</v>
      </c>
      <c r="AW26">
        <f>'TEA Revised Non EYZ'!AW26</f>
        <v>99.340480334646202</v>
      </c>
      <c r="AX26">
        <f>'TEA Revised Non EYZ'!AX26</f>
        <v>500</v>
      </c>
      <c r="AY26">
        <f>'TEA Revised Non EYZ'!AY26</f>
        <v>95</v>
      </c>
      <c r="AZ26">
        <f>'TEA Revised Non EYZ'!AZ26</f>
        <v>0.92405262022284995</v>
      </c>
      <c r="BA26">
        <f>'TEA Revised Non EYZ'!BA26</f>
        <v>0.1</v>
      </c>
      <c r="BB26">
        <f>'TEA Revised Non EYZ'!BB26</f>
        <v>46.830857171776799</v>
      </c>
      <c r="BC26" t="str">
        <f>'TEA Revised Non EYZ'!BC26</f>
        <v>coeFc</v>
      </c>
      <c r="BD26">
        <f>'TEA Revised Non EYZ'!BD26</f>
        <v>1</v>
      </c>
      <c r="BE26">
        <f>'TEA Revised Non EYZ'!BE26</f>
        <v>1.8775014999999999E-2</v>
      </c>
      <c r="BF26">
        <f>'TEA Revised Non EYZ'!BF26</f>
        <v>0.10492961100000001</v>
      </c>
      <c r="BG26">
        <f>'TEA Revised Non EYZ'!BG26</f>
        <v>1.814625E-3</v>
      </c>
      <c r="BH26">
        <f>'TEA Revised Non EYZ'!BH26</f>
        <v>285.1951444</v>
      </c>
      <c r="BI26">
        <f>'TEA Revised Non EYZ'!BI26</f>
        <v>2169.8944889999998</v>
      </c>
      <c r="BJ26">
        <f>'TEA Revised Non EYZ'!BJ26</f>
        <v>866.49409060000005</v>
      </c>
      <c r="BK26">
        <f>'TEA Revised Non EYZ'!BK26</f>
        <v>100</v>
      </c>
      <c r="BL26">
        <f>'TEA Revised Non EYZ'!BL26</f>
        <v>12.134817621653401</v>
      </c>
      <c r="BM26">
        <f>'TEA Revised Non EYZ'!BM26</f>
        <v>92.405262022285001</v>
      </c>
      <c r="BN26">
        <f>'TEA Revised Non EYZ'!BN26</f>
        <v>19.731704180288602</v>
      </c>
      <c r="BO26">
        <f>'TEA Revised Non EYZ'!BO26</f>
        <v>169.88744670314762</v>
      </c>
      <c r="BP26">
        <f>'TEA Revised Non EYZ'!BP26</f>
        <v>394.63408360577205</v>
      </c>
      <c r="BQ26">
        <f>'TEA Revised Non EYZ'!BQ26</f>
        <v>16.988744670314762</v>
      </c>
      <c r="BR26">
        <f>'TEA Revised Non EYZ'!BR26</f>
        <v>39.463408360577205</v>
      </c>
      <c r="BS26">
        <f>'eLLE Bals'!CF26</f>
        <v>7.2808905729920399</v>
      </c>
      <c r="BT26">
        <f>'eLLE Bals'!CG26</f>
        <v>11.83902250817316</v>
      </c>
      <c r="BU26">
        <f>BM26</f>
        <v>92.405262022285001</v>
      </c>
      <c r="BV26">
        <f>BU26*(AM26*2+AN26*2+AO26*3)</f>
        <v>0.3142995302341775</v>
      </c>
      <c r="BW26">
        <f>BN26*BA26*(AP26*2+AQ26*2+AR26*3)</f>
        <v>0.30082289627393122</v>
      </c>
      <c r="BX26">
        <f>BV26/(2*V26*BL26+BV26)</f>
        <v>0.11465500536724985</v>
      </c>
      <c r="BY26">
        <f>BU26*BX26</f>
        <v>10.594725813127216</v>
      </c>
      <c r="BZ26">
        <f>BW26/(2*BN26*BA26+BW26)</f>
        <v>7.0829126266997569E-2</v>
      </c>
      <c r="CA26">
        <f>2*BN26*BA26/0.04</f>
        <v>98.658520901443012</v>
      </c>
      <c r="CB26">
        <f>(BS26+BL26)*2</f>
        <v>38.831416389290879</v>
      </c>
      <c r="CC26">
        <f>(BU26+BL26)*2</f>
        <v>209.0801592878768</v>
      </c>
      <c r="CD26">
        <f>(BT26+BN26)*2</f>
        <v>63.141453376923522</v>
      </c>
      <c r="CE26">
        <f>(CA26+BN26)*2</f>
        <v>236.78045016346323</v>
      </c>
      <c r="CF26">
        <f>'TEA Revised Non EYZ'!CB26</f>
        <v>2242.5142964815486</v>
      </c>
      <c r="CG26">
        <f>'TEA Revised Non EYZ'!CC26</f>
        <v>5209.1699035961919</v>
      </c>
      <c r="CH26">
        <f>'TEA Revised Non EYZ'!CD26</f>
        <v>2709.3726906065185</v>
      </c>
      <c r="CI26">
        <f>'TEA Revised Non EYZ'!CE26</f>
        <v>40178.790448609281</v>
      </c>
      <c r="CJ26">
        <f>BL26*V26</f>
        <v>1.2134817621653402</v>
      </c>
      <c r="CK26">
        <f>CJ26/2*1.2</f>
        <v>0.72808905729920415</v>
      </c>
      <c r="CL26">
        <f>'eLLE Bals'!CB26*'Oxidant Feed Composition'!$N$20</f>
        <v>4.0449392072178021E-2</v>
      </c>
      <c r="CM26">
        <f>'eLLE Bals'!CB26*'Oxidant Feed Composition'!$N$21</f>
        <v>2.0224696036089003</v>
      </c>
      <c r="CN26">
        <f>'eLLE Bals'!CB26*'Oxidant Feed Composition'!$N$22</f>
        <v>0.6067408810826701</v>
      </c>
      <c r="CO26">
        <f>CN26/CK26</f>
        <v>0.83333333333333326</v>
      </c>
      <c r="CP26">
        <f>CO26</f>
        <v>0.83333333333333326</v>
      </c>
      <c r="CQ26">
        <f>CL26/CO26</f>
        <v>4.8539270486613627E-2</v>
      </c>
      <c r="CR26">
        <f>CM26/CO26</f>
        <v>2.4269635243306804</v>
      </c>
      <c r="CS26">
        <f>BN26*BA26</f>
        <v>1.9731704180288603</v>
      </c>
      <c r="CT26">
        <f>CS26/2*1.2</f>
        <v>1.183902250817316</v>
      </c>
      <c r="CU26">
        <f>'eLLE Bals'!CC26*'Oxidant Feed Composition'!$N$20</f>
        <v>6.5772347267628706E-2</v>
      </c>
      <c r="CV26">
        <f>'eLLE Bals'!CC26*'Oxidant Feed Composition'!$N$21</f>
        <v>3.2886173633814342</v>
      </c>
      <c r="CW26">
        <f>'eLLE Bals'!CC26*'Oxidant Feed Composition'!$N$22</f>
        <v>0.98658520901443014</v>
      </c>
      <c r="CX26">
        <f>CU26/CP26</f>
        <v>7.8926816721154452E-2</v>
      </c>
      <c r="CY26">
        <f>CV26/CP26</f>
        <v>3.9463408360577215</v>
      </c>
      <c r="CZ26">
        <f>CJ26</f>
        <v>1.2134817621653402</v>
      </c>
      <c r="DA26">
        <f>'eLLE Bals'!BQ26</f>
        <v>2.4269635243306804</v>
      </c>
      <c r="DB26">
        <f>'eLLE Bals'!BU26</f>
        <v>6.9433208460780644</v>
      </c>
      <c r="DC26">
        <f>CS26</f>
        <v>1.9731704180288603</v>
      </c>
      <c r="DD26">
        <f>'eLLE Bals'!BX26</f>
        <v>3.9463408360577206</v>
      </c>
      <c r="DE26">
        <f>'eLLE Bals'!CA26</f>
        <v>21.938666899781854</v>
      </c>
      <c r="DF26">
        <f>2*2*(CJ26*'Reagent cost'!$C$36*122.44/1000*1.5+CK26*'Oxidant Feed Composition'!$N$26+CQ26*'Reagent cost'!$C$34+CR26*'Reagent cost'!$C$35)</f>
        <v>123.48528418648351</v>
      </c>
      <c r="DG26">
        <f>2*2*(CS26*'Reagent cost'!$C$36*122.44/1000*1.5+CT26*'Oxidant Feed Composition'!$N$26+CX26*'Reagent cost'!$C$34+CY26*'Reagent cost'!$C$35)</f>
        <v>200.79206578586988</v>
      </c>
      <c r="DH26">
        <f>(AF26+3)*2*(CZ26*'Reagent cost'!$C$38+DA26*'Reagent cost'!$C$39+DB26*'Reagent cost'!$C$36*122.44/1000*1.5)</f>
        <v>2100.2221011941178</v>
      </c>
      <c r="DI26">
        <f>3*2*(DC26*'Reagent cost'!$C$38+DD26*'Reagent cost'!$C$39+DE26*'Reagent cost'!$C$36*122.44/1000*1.5)</f>
        <v>1760.0505041493036</v>
      </c>
      <c r="DJ26">
        <f>7963.6*(CB26/1000)^0.6*1.7*('CAPEX+OPEX'!$G$116/'CAPEX+OPEX'!$G$115)</f>
        <v>2273.7926954959794</v>
      </c>
      <c r="DK26">
        <f>7963.6*(CC26/1000)^0.6*1.7*('CAPEX+OPEX'!$G$116/'CAPEX+OPEX'!$G$115)</f>
        <v>6243.5072626595684</v>
      </c>
      <c r="DL26">
        <f>7963.6*(CD26/1000)^0.6*1.7*('CAPEX+OPEX'!$G$116/'CAPEX+OPEX'!$G$115)</f>
        <v>3043.8950358731904</v>
      </c>
      <c r="DM26">
        <f>7963.6*(CE26/1000)^0.6*1.7*('CAPEX+OPEX'!$G$116/'CAPEX+OPEX'!$G$115)</f>
        <v>6727.4183116491677</v>
      </c>
      <c r="DN26">
        <f>'TEA Revised Non EYZ'!CM26</f>
        <v>39625.826528698344</v>
      </c>
      <c r="DO26">
        <f>'TEA Revised Non EYZ'!CN26</f>
        <v>4586243.4239371875</v>
      </c>
      <c r="DP26">
        <f>'TEA Revised Non EYZ'!CO26</f>
        <v>11794834.586807497</v>
      </c>
      <c r="DQ26">
        <f>'TEA Revised Non EYZ'!CP26</f>
        <v>2275209.1661185985</v>
      </c>
      <c r="DR26">
        <f>'TEA Revised Non EYZ'!CQ26</f>
        <v>14083914.336508472</v>
      </c>
      <c r="DS26">
        <f>'TEA Revised Non EYZ'!CR26</f>
        <v>1662824.8986326549</v>
      </c>
      <c r="DT26">
        <f>'TEA Revised Non EYZ'!CS26</f>
        <v>589054.93036564998</v>
      </c>
      <c r="DU26">
        <f>'TEA Revised Non EYZ'!CT26</f>
        <v>1514922.9606835202</v>
      </c>
      <c r="DV26">
        <f>'TEA Revised Non EYZ'!CU26</f>
        <v>292226.78628879401</v>
      </c>
      <c r="DW26">
        <f>'TEA Revised Non EYZ'!CV26</f>
        <v>1808931.2781495745</v>
      </c>
      <c r="DX26">
        <f>'TEA Revised Non EYZ'!CW26</f>
        <v>213572.44139332071</v>
      </c>
      <c r="DY26">
        <f>'TEA Revised Non EYZ'!CX26</f>
        <v>4418708.3968808586</v>
      </c>
      <c r="DZ26">
        <f>'TEA Revised Non EYZ'!CY26</f>
        <v>709761.0732627036</v>
      </c>
      <c r="EA26">
        <f>'TEA Revised Non EYZ'!CZ26</f>
        <v>1825353.2753178168</v>
      </c>
      <c r="EB26">
        <f>'TEA Revised Non EYZ'!DA26</f>
        <v>352108.41430984496</v>
      </c>
      <c r="EC26">
        <f>'TEA Revised Non EYZ'!DB26</f>
        <v>2179608.2831204594</v>
      </c>
      <c r="ED26">
        <f>'TEA Revised Non EYZ'!DC26</f>
        <v>257336.62076058687</v>
      </c>
      <c r="EE26">
        <f>'TEA Revised Non EYZ'!DD26</f>
        <v>5324167.6667714119</v>
      </c>
      <c r="EF26">
        <v>0.7</v>
      </c>
      <c r="EG26">
        <v>100</v>
      </c>
      <c r="EH26">
        <f>96485*BL26*V26/EF26/EG26/60</f>
        <v>27.876854243457824</v>
      </c>
      <c r="EI26">
        <f>96485*BN26*BA26/EF26/EG26/60</f>
        <v>45.328892329408241</v>
      </c>
      <c r="EJ26">
        <f>EH26*('CAPEX+OPEX'!$O$25+'CAPEX+OPEX'!$O$26)</f>
        <v>888491.09844748781</v>
      </c>
      <c r="EK26">
        <f>EI26*('CAPEX+OPEX'!$O$25+'CAPEX+OPEX'!$O$26)</f>
        <v>1444722.4563228996</v>
      </c>
      <c r="EL26">
        <f>EJ26*1.12/0.6*'CAPEX+OPEX'!$G$116/'CAPEX+OPEX'!$G$115</f>
        <v>1956151.2069656507</v>
      </c>
      <c r="EM26">
        <f>EK26*1.12/0.6*'CAPEX+OPEX'!$G$116/'CAPEX+OPEX'!$G$115</f>
        <v>3180780.9685483859</v>
      </c>
      <c r="EN26">
        <f>EL26+EM26+DY26+EE26+1.15*(SUM(DF26:DM26)+SUM(CF26:CI26))</f>
        <v>14963543.201356638</v>
      </c>
      <c r="EO26">
        <f>EN26/15</f>
        <v>997569.54675710923</v>
      </c>
      <c r="EP26">
        <f>('eLLE Bals'!CB26+'eLLE Bals'!CC26)*'Oxidant Feed Composition'!$N$28*60*7200</f>
        <v>17715156.516895227</v>
      </c>
      <c r="EQ26" s="53">
        <f>('eLLE Bals'!BR26+'eLLE Bals'!BY26)*'Reagent cost'!$C$38*60*7200*1.5</f>
        <v>763345.41340830829</v>
      </c>
      <c r="ER26">
        <f>'TEA Revised Non EYZ'!DI26</f>
        <v>504921.59999999998</v>
      </c>
      <c r="ES26">
        <f>'TEA Revised Non EYZ'!DJ26</f>
        <v>74.516842000777402</v>
      </c>
      <c r="ET26">
        <f>'TEA Revised Non EYZ'!DK26</f>
        <v>857.763262784316</v>
      </c>
      <c r="EU26">
        <f>1.2*SUM(EP26:ET26)</f>
        <v>22781226.972489987</v>
      </c>
      <c r="EV26">
        <f>'TEA Revised Non EYZ'!DM26</f>
        <v>0.70639694042110623</v>
      </c>
      <c r="EW26">
        <f>(BS26*CO26+BT26*CP26)/1000*('Oxidant Feed Composition'!$B$11*'Oxidant Feed Composition'!$O$20+'Oxidant Feed Composition'!$D$11*'Oxidant Feed Composition'!$O$21+'Oxidant Feed Composition'!$F$11*'Oxidant Feed Composition'!$O$27-'Oxidant Feed Composition'!$J$15*18.015)</f>
        <v>1.8607585450198836</v>
      </c>
      <c r="EX26">
        <f>(CZ26*BX26+DC26*BZ26)*368.34/1000</f>
        <v>0.10272623012332829</v>
      </c>
      <c r="EY26">
        <f>'TEA Revised Non EYZ'!DP26</f>
        <v>4.999938342565946E-2</v>
      </c>
      <c r="EZ26">
        <f>SUM(EV26:EX26)-EY26</f>
        <v>2.6198823321386588</v>
      </c>
      <c r="FA26">
        <f>EZ26*0.33*60*7200</f>
        <v>373490.42526968726</v>
      </c>
      <c r="FB26">
        <f>'TEA Revised Non EYZ'!DS26</f>
        <v>1.2</v>
      </c>
      <c r="FC26">
        <v>0.5</v>
      </c>
      <c r="FD26">
        <f>'TEA Revised Non EYZ'!DT26</f>
        <v>1406.4515484627877</v>
      </c>
      <c r="FE26">
        <f>'TEA Revised Non EYZ'!DU26</f>
        <v>706.79490200313717</v>
      </c>
      <c r="FF26">
        <f>'TEA Revised Non EYZ'!DV26</f>
        <v>0.7</v>
      </c>
      <c r="FG26">
        <f>'TEA Revised Non EYZ'!DW26</f>
        <v>33024.331428945443</v>
      </c>
      <c r="FH26">
        <f>'TEA Revised Non EYZ'!DX26</f>
        <v>24915.659383376755</v>
      </c>
      <c r="FI26">
        <f>'TEA Revised Non EYZ'!DY26</f>
        <v>10548.968690542577</v>
      </c>
      <c r="FJ26">
        <f>'TEA Revised Non EYZ'!DZ26</f>
        <v>5588.0830181845758</v>
      </c>
      <c r="FK26">
        <f>'TEA Revised Non EYZ'!EA26</f>
        <v>5626.1166349560426</v>
      </c>
      <c r="FL26">
        <f>'TEA Revised Non EYZ'!EB26</f>
        <v>850.62189651029416</v>
      </c>
      <c r="FM26">
        <f>'TEA Revised Non EYZ'!EC26</f>
        <v>38587.712258303472</v>
      </c>
      <c r="FN26">
        <f>'TEA Revised Non EYZ'!ED26</f>
        <v>34930.115508714101</v>
      </c>
      <c r="FO26">
        <f>'TEA Revised Non EYZ'!EE26</f>
        <v>14788.960195221691</v>
      </c>
      <c r="FP26">
        <f>'TEA Revised Non EYZ'!EF26</f>
        <v>7838.4575238279431</v>
      </c>
      <c r="FQ26">
        <f>'TEA Revised Non EYZ'!EG26</f>
        <v>7887.4454374515717</v>
      </c>
      <c r="FR26">
        <f>'TEA Revised Non EYZ'!EH26</f>
        <v>427.46955673149739</v>
      </c>
      <c r="FS26">
        <f>'TEA Revised Non EYZ'!EI26</f>
        <v>185013.94153276595</v>
      </c>
      <c r="FT26">
        <f>EG26*EH26</f>
        <v>2787.6854243457824</v>
      </c>
      <c r="FU26">
        <f>EG26*EI26</f>
        <v>4532.8892329408245</v>
      </c>
      <c r="FV26">
        <f>FC26*(FT26+FU26)/(3.6*10^6)*3600*7200*0.07</f>
        <v>1844.7848136362252</v>
      </c>
      <c r="FW26">
        <f>('CAPEX+OPEX'!$C$39/7/100+0.03)*EL26</f>
        <v>100602.06207251917</v>
      </c>
      <c r="FX26">
        <f>('CAPEX+OPEX'!$C$39/7/100+0.03)*EM26</f>
        <v>163583.02123963129</v>
      </c>
      <c r="FY26">
        <f>SUM(FV26:FX26)</f>
        <v>266029.86812578666</v>
      </c>
      <c r="FZ26">
        <f>FY26+FA26+FS26+EU26</f>
        <v>23605761.207418226</v>
      </c>
      <c r="GA26">
        <f>FZ26+EO26</f>
        <v>24603330.754175335</v>
      </c>
      <c r="GB26">
        <f>GA26/(BK26*60*7200)</f>
        <v>0.56952154523554022</v>
      </c>
      <c r="GC26">
        <f>'TEA Revised Non EYZ'!EM26/'TEA Revised Non EYZ'!EK26*GA26</f>
        <v>1905.2239556906136</v>
      </c>
      <c r="GD26">
        <f>'TEA Revised Non EYZ'!EN26/'TEA Revised Non EYZ'!EK26*GA26</f>
        <v>3491.8545672232312</v>
      </c>
    </row>
    <row r="27" spans="1:186">
      <c r="A27">
        <f>'TEA Revised Non EYZ'!A27</f>
        <v>5</v>
      </c>
      <c r="B27">
        <f>'TEA Revised Non EYZ'!B27</f>
        <v>1.54143585092054E-3</v>
      </c>
      <c r="C27">
        <f>'TEA Revised Non EYZ'!C27</f>
        <v>1.54143585092054E-3</v>
      </c>
      <c r="D27">
        <f>'TEA Revised Non EYZ'!D27</f>
        <v>3.4254130020456501E-4</v>
      </c>
      <c r="E27">
        <f>'TEA Revised Non EYZ'!E27</f>
        <v>0</v>
      </c>
      <c r="F27">
        <f>'TEA Revised Non EYZ'!F27</f>
        <v>0</v>
      </c>
      <c r="G27">
        <f>'TEA Revised Non EYZ'!G27</f>
        <v>0</v>
      </c>
      <c r="H27">
        <f>'TEA Revised Non EYZ'!H27</f>
        <v>1.7558377832426001E-5</v>
      </c>
      <c r="I27">
        <f>'TEA Revised Non EYZ'!I27</f>
        <v>1.05063644964669E-7</v>
      </c>
      <c r="J27">
        <f>'TEA Revised Non EYZ'!J27</f>
        <v>3.35605387572801E-4</v>
      </c>
      <c r="K27">
        <f>'TEA Revised Non EYZ'!K27</f>
        <v>0.12557893497872399</v>
      </c>
      <c r="L27">
        <f>'TEA Revised Non EYZ'!L27</f>
        <v>0.12701721899235199</v>
      </c>
      <c r="M27">
        <f>'TEA Revised Non EYZ'!M27</f>
        <v>5.7157122982957897E-4</v>
      </c>
      <c r="N27">
        <f>'TEA Revised Non EYZ'!N27</f>
        <v>-1.88000656708986E-16</v>
      </c>
      <c r="O27">
        <f>'TEA Revised Non EYZ'!O27</f>
        <v>-6.2354635343986299E-15</v>
      </c>
      <c r="P27">
        <f>'TEA Revised Non EYZ'!P27</f>
        <v>-1.51703600853245E-18</v>
      </c>
      <c r="Q27">
        <f>'TEA Revised Non EYZ'!Q27</f>
        <v>0.121348176216534</v>
      </c>
      <c r="R27">
        <f>'TEA Revised Non EYZ'!R27</f>
        <v>97.975160184298204</v>
      </c>
      <c r="S27">
        <f>'TEA Revised Non EYZ'!S27</f>
        <v>500</v>
      </c>
      <c r="T27">
        <f>'TEA Revised Non EYZ'!T27</f>
        <v>95</v>
      </c>
      <c r="U27">
        <f>'TEA Revised Non EYZ'!U27</f>
        <v>1</v>
      </c>
      <c r="V27">
        <f>'TEA Revised Non EYZ'!V27</f>
        <v>0.1</v>
      </c>
      <c r="W27">
        <f>'TEA Revised Non EYZ'!W27</f>
        <v>82.407501388038199</v>
      </c>
      <c r="X27" t="str">
        <f>'TEA Revised Non EYZ'!X27</f>
        <v>ddFc</v>
      </c>
      <c r="Y27">
        <f>'TEA Revised Non EYZ'!Y27</f>
        <v>1</v>
      </c>
      <c r="Z27">
        <f>'TEA Revised Non EYZ'!Z27</f>
        <v>0.28318429382522198</v>
      </c>
      <c r="AA27">
        <f>'TEA Revised Non EYZ'!AA27</f>
        <v>0.56945642916197003</v>
      </c>
      <c r="AB27">
        <f>'TEA Revised Non EYZ'!AB27</f>
        <v>3.7698628972227502E-3</v>
      </c>
      <c r="AC27">
        <f>'TEA Revised Non EYZ'!AC27</f>
        <v>1822.2107908876901</v>
      </c>
      <c r="AD27">
        <f>'TEA Revised Non EYZ'!AD27</f>
        <v>2662.6059073104898</v>
      </c>
      <c r="AE27">
        <f>'TEA Revised Non EYZ'!AE27</f>
        <v>2401.5030938442701</v>
      </c>
      <c r="AF27">
        <f>'TEA Revised Non EYZ'!AF27</f>
        <v>9</v>
      </c>
      <c r="AG27">
        <f>'TEA Revised Non EYZ'!AG27</f>
        <v>1.64912412966352E-3</v>
      </c>
      <c r="AH27">
        <f>'TEA Revised Non EYZ'!AH27</f>
        <v>1.66801192221077E-3</v>
      </c>
      <c r="AI27">
        <f>'TEA Revised Non EYZ'!AI27</f>
        <v>7.5059714998626504E-6</v>
      </c>
      <c r="AJ27">
        <f>'TEA Revised Non EYZ'!AJ27</f>
        <v>0</v>
      </c>
      <c r="AK27">
        <f>'TEA Revised Non EYZ'!AK27</f>
        <v>0</v>
      </c>
      <c r="AL27">
        <f>'TEA Revised Non EYZ'!AL27</f>
        <v>0</v>
      </c>
      <c r="AM27">
        <f>'TEA Revised Non EYZ'!AM27</f>
        <v>1.6121246149811801E-3</v>
      </c>
      <c r="AN27">
        <f>'TEA Revised Non EYZ'!AN27</f>
        <v>7.7392143035352694E-5</v>
      </c>
      <c r="AO27">
        <f>'TEA Revised Non EYZ'!AO27</f>
        <v>7.4565208744733498E-6</v>
      </c>
      <c r="AP27">
        <f>'TEA Revised Non EYZ'!AP27</f>
        <v>1.73325760784225E-3</v>
      </c>
      <c r="AQ27">
        <f>'TEA Revised Non EYZ'!AQ27</f>
        <v>7.4513243137229707E-2</v>
      </c>
      <c r="AR27">
        <f>'TEA Revised Non EYZ'!AR27</f>
        <v>2.3165350520080302E-6</v>
      </c>
      <c r="AS27">
        <f>'TEA Revised Non EYZ'!AS27</f>
        <v>1.36270660554271E-16</v>
      </c>
      <c r="AT27">
        <f>'TEA Revised Non EYZ'!AT27</f>
        <v>-1.76959141784394E-14</v>
      </c>
      <c r="AU27">
        <f>'TEA Revised Non EYZ'!AU27</f>
        <v>-3.3351922298138001E-21</v>
      </c>
      <c r="AV27">
        <f>'TEA Revised Non EYZ'!AV27</f>
        <v>0.19725572433293401</v>
      </c>
      <c r="AW27">
        <f>'TEA Revised Non EYZ'!AW27</f>
        <v>99.341182878322797</v>
      </c>
      <c r="AX27">
        <f>'TEA Revised Non EYZ'!AX27</f>
        <v>500</v>
      </c>
      <c r="AY27">
        <f>'TEA Revised Non EYZ'!AY27</f>
        <v>95</v>
      </c>
      <c r="AZ27">
        <f>'TEA Revised Non EYZ'!AZ27</f>
        <v>0.92405262022284995</v>
      </c>
      <c r="BA27">
        <f>'TEA Revised Non EYZ'!BA27</f>
        <v>0.1</v>
      </c>
      <c r="BB27">
        <f>'TEA Revised Non EYZ'!BB27</f>
        <v>46.8454146690923</v>
      </c>
      <c r="BC27" t="str">
        <f>'TEA Revised Non EYZ'!BC27</f>
        <v>coeFc</v>
      </c>
      <c r="BD27">
        <f>'TEA Revised Non EYZ'!BD27</f>
        <v>1</v>
      </c>
      <c r="BE27">
        <f>'TEA Revised Non EYZ'!BE27</f>
        <v>1.8775014999999999E-2</v>
      </c>
      <c r="BF27">
        <f>'TEA Revised Non EYZ'!BF27</f>
        <v>0.10492961100000001</v>
      </c>
      <c r="BG27">
        <f>'TEA Revised Non EYZ'!BG27</f>
        <v>1.814625E-3</v>
      </c>
      <c r="BH27">
        <f>'TEA Revised Non EYZ'!BH27</f>
        <v>285.1951444</v>
      </c>
      <c r="BI27">
        <f>'TEA Revised Non EYZ'!BI27</f>
        <v>2169.8944889999998</v>
      </c>
      <c r="BJ27">
        <f>'TEA Revised Non EYZ'!BJ27</f>
        <v>866.49409060000005</v>
      </c>
      <c r="BK27">
        <f>'TEA Revised Non EYZ'!BK27</f>
        <v>100</v>
      </c>
      <c r="BL27">
        <f>'TEA Revised Non EYZ'!BL27</f>
        <v>12.134817621653401</v>
      </c>
      <c r="BM27">
        <f>'TEA Revised Non EYZ'!BM27</f>
        <v>92.405262022285001</v>
      </c>
      <c r="BN27">
        <f>'TEA Revised Non EYZ'!BN27</f>
        <v>19.725572433293401</v>
      </c>
      <c r="BO27">
        <f>'TEA Revised Non EYZ'!BO27</f>
        <v>169.88744670314762</v>
      </c>
      <c r="BP27">
        <f>'TEA Revised Non EYZ'!BP27</f>
        <v>433.96259353245483</v>
      </c>
      <c r="BQ27">
        <f>'TEA Revised Non EYZ'!BQ27</f>
        <v>16.988744670314762</v>
      </c>
      <c r="BR27">
        <f>'TEA Revised Non EYZ'!BR27</f>
        <v>43.396259353245483</v>
      </c>
      <c r="BS27">
        <f>'eLLE Bals'!CF27</f>
        <v>7.2808905729920399</v>
      </c>
      <c r="BT27">
        <f>'eLLE Bals'!CG27</f>
        <v>11.835343459976039</v>
      </c>
      <c r="BU27">
        <f>BM27</f>
        <v>92.405262022285001</v>
      </c>
      <c r="BV27">
        <f>BU27*(AM27*2+AN27*2+AO27*3)</f>
        <v>0.31430754272665945</v>
      </c>
      <c r="BW27">
        <f>BN27*BA27*(AP27*2+AQ27*2+AR27*3)</f>
        <v>0.300814883140404</v>
      </c>
      <c r="BX27">
        <f>BV27/(2*V27*BL27+BV27)</f>
        <v>0.11465759315223714</v>
      </c>
      <c r="BY27">
        <f>BU27*BX27</f>
        <v>10.594964938077023</v>
      </c>
      <c r="BZ27">
        <f>BW27/(2*BN27*BA27+BW27)</f>
        <v>7.0847830225362049E-2</v>
      </c>
      <c r="CA27">
        <f>2*BN27*BA27/0.04</f>
        <v>98.627862166467011</v>
      </c>
      <c r="CB27">
        <f>(BS27+BL27)*2</f>
        <v>38.831416389290879</v>
      </c>
      <c r="CC27">
        <f>(BU27+BL27)*2</f>
        <v>209.0801592878768</v>
      </c>
      <c r="CD27">
        <f>(BT27+BN27)*2</f>
        <v>63.121831786538877</v>
      </c>
      <c r="CE27">
        <f>(CA27+BN27)*2</f>
        <v>236.70686919952084</v>
      </c>
      <c r="CF27">
        <f>'TEA Revised Non EYZ'!CB27</f>
        <v>2242.5142964815486</v>
      </c>
      <c r="CG27">
        <f>'TEA Revised Non EYZ'!CC27</f>
        <v>5728.3062346284041</v>
      </c>
      <c r="CH27">
        <f>'TEA Revised Non EYZ'!CD27</f>
        <v>2709.3726906065185</v>
      </c>
      <c r="CI27">
        <f>'TEA Revised Non EYZ'!CE27</f>
        <v>44182.935109815946</v>
      </c>
      <c r="CJ27">
        <f>BL27*V27</f>
        <v>1.2134817621653402</v>
      </c>
      <c r="CK27">
        <f>CJ27/2*1.2</f>
        <v>0.72808905729920415</v>
      </c>
      <c r="CL27">
        <f>'eLLE Bals'!CB27*'Oxidant Feed Composition'!$N$20</f>
        <v>4.0449392072178021E-2</v>
      </c>
      <c r="CM27">
        <f>'eLLE Bals'!CB27*'Oxidant Feed Composition'!$N$21</f>
        <v>2.0224696036089003</v>
      </c>
      <c r="CN27">
        <f>'eLLE Bals'!CB27*'Oxidant Feed Composition'!$N$22</f>
        <v>0.6067408810826701</v>
      </c>
      <c r="CO27">
        <f>CN27/CK27</f>
        <v>0.83333333333333326</v>
      </c>
      <c r="CP27">
        <f>CO27</f>
        <v>0.83333333333333326</v>
      </c>
      <c r="CQ27">
        <f>CL27/CO27</f>
        <v>4.8539270486613627E-2</v>
      </c>
      <c r="CR27">
        <f>CM27/CO27</f>
        <v>2.4269635243306804</v>
      </c>
      <c r="CS27">
        <f>BN27*BA27</f>
        <v>1.9725572433293401</v>
      </c>
      <c r="CT27">
        <f>CS27/2*1.2</f>
        <v>1.183534345997604</v>
      </c>
      <c r="CU27">
        <f>'eLLE Bals'!CC27*'Oxidant Feed Composition'!$N$20</f>
        <v>6.575190811097803E-2</v>
      </c>
      <c r="CV27">
        <f>'eLLE Bals'!CC27*'Oxidant Feed Composition'!$N$21</f>
        <v>3.2875954055489003</v>
      </c>
      <c r="CW27">
        <f>'eLLE Bals'!CC27*'Oxidant Feed Composition'!$N$22</f>
        <v>0.98627862166467006</v>
      </c>
      <c r="CX27">
        <f>CU27/CP27</f>
        <v>7.8902289733173647E-2</v>
      </c>
      <c r="CY27">
        <f>CV27/CP27</f>
        <v>3.9451144866586807</v>
      </c>
      <c r="CZ27">
        <f>CJ27</f>
        <v>1.2134817621653402</v>
      </c>
      <c r="DA27">
        <f>'eLLE Bals'!BQ27</f>
        <v>2.4269635243306804</v>
      </c>
      <c r="DB27">
        <f>'eLLE Bals'!BU27</f>
        <v>6.9430819689317742</v>
      </c>
      <c r="DC27">
        <f>CS27</f>
        <v>1.9725572433293401</v>
      </c>
      <c r="DD27">
        <f>'eLLE Bals'!BX27</f>
        <v>3.9451144866586803</v>
      </c>
      <c r="DE27">
        <f>'eLLE Bals'!CA27</f>
        <v>21.924497000582434</v>
      </c>
      <c r="DF27">
        <f>2*2*(CJ27*'Reagent cost'!$C$36*122.44/1000*1.5+CK27*'Oxidant Feed Composition'!$N$26+CQ27*'Reagent cost'!$C$34+CR27*'Reagent cost'!$C$35)</f>
        <v>123.48528418648351</v>
      </c>
      <c r="DG27">
        <f>2*2*(CS27*'Reagent cost'!$C$36*122.44/1000*1.5+CT27*'Oxidant Feed Composition'!$N$26+CX27*'Reagent cost'!$C$34+CY27*'Reagent cost'!$C$35)</f>
        <v>200.72966843109535</v>
      </c>
      <c r="DH27">
        <f>(AF27+3)*2*(CZ27*'Reagent cost'!$C$38+DA27*'Reagent cost'!$C$39+DB27*'Reagent cost'!$C$36*122.44/1000*1.5)</f>
        <v>2291.0770250460314</v>
      </c>
      <c r="DI27">
        <f>3*2*(DC27*'Reagent cost'!$C$38+DD27*'Reagent cost'!$C$39+DE27*'Reagent cost'!$C$36*122.44/1000*1.5)</f>
        <v>1758.9313967642765</v>
      </c>
      <c r="DJ27">
        <f>7963.6*(CB27/1000)^0.6*1.7*('CAPEX+OPEX'!$G$116/'CAPEX+OPEX'!$G$115)</f>
        <v>2273.7926954959794</v>
      </c>
      <c r="DK27">
        <f>7963.6*(CC27/1000)^0.6*1.7*('CAPEX+OPEX'!$G$116/'CAPEX+OPEX'!$G$115)</f>
        <v>6243.5072626595684</v>
      </c>
      <c r="DL27">
        <f>7963.6*(CD27/1000)^0.6*1.7*('CAPEX+OPEX'!$G$116/'CAPEX+OPEX'!$G$115)</f>
        <v>3043.3274552652783</v>
      </c>
      <c r="DM27">
        <f>7963.6*(CE27/1000)^0.6*1.7*('CAPEX+OPEX'!$G$116/'CAPEX+OPEX'!$G$115)</f>
        <v>6726.1638820022836</v>
      </c>
      <c r="DN27">
        <f>'TEA Revised Non EYZ'!CM27</f>
        <v>39625.826528698344</v>
      </c>
      <c r="DO27">
        <f>'TEA Revised Non EYZ'!CN27</f>
        <v>4586243.4239371875</v>
      </c>
      <c r="DP27">
        <f>'TEA Revised Non EYZ'!CO27</f>
        <v>11794834.586807497</v>
      </c>
      <c r="DQ27">
        <f>'TEA Revised Non EYZ'!CP27</f>
        <v>2275209.1661185985</v>
      </c>
      <c r="DR27">
        <f>'TEA Revised Non EYZ'!CQ27</f>
        <v>14083914.336508472</v>
      </c>
      <c r="DS27">
        <f>'TEA Revised Non EYZ'!CR27</f>
        <v>1662824.8986326549</v>
      </c>
      <c r="DT27">
        <f>'TEA Revised Non EYZ'!CS27</f>
        <v>589054.93036564998</v>
      </c>
      <c r="DU27">
        <f>'TEA Revised Non EYZ'!CT27</f>
        <v>1514922.9606835202</v>
      </c>
      <c r="DV27">
        <f>'TEA Revised Non EYZ'!CU27</f>
        <v>292226.78628879401</v>
      </c>
      <c r="DW27">
        <f>'TEA Revised Non EYZ'!CV27</f>
        <v>1808931.2781495745</v>
      </c>
      <c r="DX27">
        <f>'TEA Revised Non EYZ'!CW27</f>
        <v>213572.44139332071</v>
      </c>
      <c r="DY27">
        <f>'TEA Revised Non EYZ'!CX27</f>
        <v>4418708.3968808586</v>
      </c>
      <c r="DZ27">
        <f>'TEA Revised Non EYZ'!CY27</f>
        <v>756078.12158013834</v>
      </c>
      <c r="EA27">
        <f>'TEA Revised Non EYZ'!CZ27</f>
        <v>1944470.7911046974</v>
      </c>
      <c r="EB27">
        <f>'TEA Revised Non EYZ'!DA27</f>
        <v>375086.03741841484</v>
      </c>
      <c r="EC27">
        <f>'TEA Revised Non EYZ'!DB27</f>
        <v>2321843.5027814927</v>
      </c>
      <c r="ED27">
        <f>'TEA Revised Non EYZ'!DC27</f>
        <v>274129.6982434399</v>
      </c>
      <c r="EE27">
        <f>'TEA Revised Non EYZ'!DD27</f>
        <v>5671608.1511281831</v>
      </c>
      <c r="EF27">
        <v>0.7</v>
      </c>
      <c r="EG27">
        <v>100</v>
      </c>
      <c r="EH27">
        <f>96485*BL27*V27/EF27/EG27/60</f>
        <v>27.876854243457824</v>
      </c>
      <c r="EI27">
        <f>96485*BN27*BA27/EF27/EG27/60</f>
        <v>45.314806100626519</v>
      </c>
      <c r="EJ27">
        <f>EH27*('CAPEX+OPEX'!$O$25+'CAPEX+OPEX'!$O$26)</f>
        <v>888491.09844748781</v>
      </c>
      <c r="EK27">
        <f>EI27*('CAPEX+OPEX'!$O$25+'CAPEX+OPEX'!$O$26)</f>
        <v>1444273.5000391684</v>
      </c>
      <c r="EL27">
        <f>EJ27*1.12/0.6*'CAPEX+OPEX'!$G$116/'CAPEX+OPEX'!$G$115</f>
        <v>1956151.2069656507</v>
      </c>
      <c r="EM27">
        <f>EK27*1.12/0.6*'CAPEX+OPEX'!$G$116/'CAPEX+OPEX'!$G$115</f>
        <v>3179792.5215309313</v>
      </c>
      <c r="EN27">
        <f>EL27+EM27+DY27+EE27+1.15*(SUM(DF27:DM27)+SUM(CF27:CI27))</f>
        <v>15315413.040957214</v>
      </c>
      <c r="EO27">
        <f>EN27/15</f>
        <v>1021027.5360638143</v>
      </c>
      <c r="EP27">
        <f>('eLLE Bals'!CB27+'eLLE Bals'!CC27)*'Oxidant Feed Composition'!$N$28*60*7200</f>
        <v>17711747.771553736</v>
      </c>
      <c r="EQ27" s="53">
        <f>('eLLE Bals'!BR27+'eLLE Bals'!BY27)*'Reagent cost'!$C$38*60*7200*1.5</f>
        <v>763336.11889031273</v>
      </c>
      <c r="ER27">
        <f>'TEA Revised Non EYZ'!DI27</f>
        <v>504921.59999999998</v>
      </c>
      <c r="ES27">
        <f>'TEA Revised Non EYZ'!DJ27</f>
        <v>79.708205311099533</v>
      </c>
      <c r="ET27">
        <f>'TEA Revised Non EYZ'!DK27</f>
        <v>937.84615600844938</v>
      </c>
      <c r="EU27">
        <f>1.2*SUM(EP27:ET27)</f>
        <v>22777227.653766442</v>
      </c>
      <c r="EV27">
        <f>'TEA Revised Non EYZ'!DM27</f>
        <v>0.70639694042110623</v>
      </c>
      <c r="EW27">
        <f>(BS27*CO27+BT27*CP27)/1000*('Oxidant Feed Composition'!$B$11*'Oxidant Feed Composition'!$O$20+'Oxidant Feed Composition'!$D$11*'Oxidant Feed Composition'!$O$21+'Oxidant Feed Composition'!$F$11*'Oxidant Feed Composition'!$O$27-'Oxidant Feed Composition'!$J$15*18.015)</f>
        <v>1.8604004983937681</v>
      </c>
      <c r="EX27">
        <f>(CZ27*BX27+DC27*BZ27)*368.34/1000</f>
        <v>0.10272497932548799</v>
      </c>
      <c r="EY27">
        <f>'TEA Revised Non EYZ'!DP27</f>
        <v>4.999938342565946E-2</v>
      </c>
      <c r="EZ27">
        <f>SUM(EV27:EX27)-EY27</f>
        <v>2.6195230347147032</v>
      </c>
      <c r="FA27">
        <f>EZ27*0.33*60*7200</f>
        <v>373439.20382892806</v>
      </c>
      <c r="FB27">
        <f>'TEA Revised Non EYZ'!DS27</f>
        <v>1.2</v>
      </c>
      <c r="FC27">
        <v>0.5</v>
      </c>
      <c r="FD27">
        <f>'TEA Revised Non EYZ'!DT27</f>
        <v>1406.4874310909718</v>
      </c>
      <c r="FE27">
        <f>'TEA Revised Non EYZ'!DU27</f>
        <v>706.75901790821581</v>
      </c>
      <c r="FF27">
        <f>'TEA Revised Non EYZ'!DV27</f>
        <v>0.7</v>
      </c>
      <c r="FG27">
        <f>'TEA Revised Non EYZ'!DW27</f>
        <v>33024.331428945443</v>
      </c>
      <c r="FH27">
        <f>'TEA Revised Non EYZ'!DX27</f>
        <v>24915.659383376755</v>
      </c>
      <c r="FI27">
        <f>'TEA Revised Non EYZ'!DY27</f>
        <v>10548.968690542577</v>
      </c>
      <c r="FJ27">
        <f>'TEA Revised Non EYZ'!DZ27</f>
        <v>5588.0830181845758</v>
      </c>
      <c r="FK27">
        <f>'TEA Revised Non EYZ'!EA27</f>
        <v>5626.1166349560426</v>
      </c>
      <c r="FL27">
        <f>'TEA Revised Non EYZ'!EB27</f>
        <v>850.64359832381979</v>
      </c>
      <c r="FM27">
        <f>'TEA Revised Non EYZ'!EC27</f>
        <v>41160.226408857045</v>
      </c>
      <c r="FN27">
        <f>'TEA Revised Non EYZ'!ED27</f>
        <v>38811.239454126779</v>
      </c>
      <c r="FO27">
        <f>'TEA Revised Non EYZ'!EE27</f>
        <v>16432.17799469077</v>
      </c>
      <c r="FP27">
        <f>'TEA Revised Non EYZ'!EF27</f>
        <v>8709.3972486977145</v>
      </c>
      <c r="FQ27">
        <f>'TEA Revised Non EYZ'!EG27</f>
        <v>8763.8282638350811</v>
      </c>
      <c r="FR27">
        <f>'TEA Revised Non EYZ'!EH27</f>
        <v>427.44785403088895</v>
      </c>
      <c r="FS27">
        <f>'TEA Revised Non EYZ'!EI27</f>
        <v>194858.1199785675</v>
      </c>
      <c r="FT27">
        <f>EG27*EH27</f>
        <v>2787.6854243457824</v>
      </c>
      <c r="FU27">
        <f>EG27*EI27</f>
        <v>4531.480610062652</v>
      </c>
      <c r="FV27">
        <f>FC27*(FT27+FU27)/(3.6*10^6)*3600*7200*0.07</f>
        <v>1844.4298406709254</v>
      </c>
      <c r="FW27">
        <f>('CAPEX+OPEX'!$C$39/7/100+0.03)*EL27</f>
        <v>100602.06207251917</v>
      </c>
      <c r="FX27">
        <f>('CAPEX+OPEX'!$C$39/7/100+0.03)*EM27</f>
        <v>163532.18682159076</v>
      </c>
      <c r="FY27">
        <f>SUM(FV27:FX27)</f>
        <v>265978.67873478087</v>
      </c>
      <c r="FZ27">
        <f>FY27+FA27+FS27+EU27</f>
        <v>23611503.656308718</v>
      </c>
      <c r="GA27">
        <f>FZ27+EO27</f>
        <v>24632531.192372531</v>
      </c>
      <c r="GB27">
        <f>GA27/(BK27*60*7200)</f>
        <v>0.57019748130491965</v>
      </c>
      <c r="GC27">
        <f>'TEA Revised Non EYZ'!EM27/'TEA Revised Non EYZ'!EK27*GA27</f>
        <v>1907.436462140636</v>
      </c>
      <c r="GD27">
        <f>'TEA Revised Non EYZ'!EN27/'TEA Revised Non EYZ'!EK27*GA27</f>
        <v>3496.1624999700703</v>
      </c>
    </row>
    <row r="28" spans="1:186">
      <c r="A28">
        <f>'TEA Revised Non EYZ'!A28</f>
        <v>5</v>
      </c>
      <c r="B28">
        <f>'TEA Revised Non EYZ'!B28</f>
        <v>1.54143585092054E-3</v>
      </c>
      <c r="C28">
        <f>'TEA Revised Non EYZ'!C28</f>
        <v>1.54143585092054E-3</v>
      </c>
      <c r="D28">
        <f>'TEA Revised Non EYZ'!D28</f>
        <v>3.4254130020456501E-4</v>
      </c>
      <c r="E28">
        <f>'TEA Revised Non EYZ'!E28</f>
        <v>0</v>
      </c>
      <c r="F28">
        <f>'TEA Revised Non EYZ'!F28</f>
        <v>0</v>
      </c>
      <c r="G28">
        <f>'TEA Revised Non EYZ'!G28</f>
        <v>0</v>
      </c>
      <c r="H28">
        <f>'TEA Revised Non EYZ'!H28</f>
        <v>1.7558377832426001E-5</v>
      </c>
      <c r="I28">
        <f>'TEA Revised Non EYZ'!I28</f>
        <v>1.05063644964669E-7</v>
      </c>
      <c r="J28">
        <f>'TEA Revised Non EYZ'!J28</f>
        <v>3.35605387572801E-4</v>
      </c>
      <c r="K28">
        <f>'TEA Revised Non EYZ'!K28</f>
        <v>0.12557893497872399</v>
      </c>
      <c r="L28">
        <f>'TEA Revised Non EYZ'!L28</f>
        <v>0.12701721899235199</v>
      </c>
      <c r="M28">
        <f>'TEA Revised Non EYZ'!M28</f>
        <v>5.7157122982957897E-4</v>
      </c>
      <c r="N28">
        <f>'TEA Revised Non EYZ'!N28</f>
        <v>-1.88000656708986E-16</v>
      </c>
      <c r="O28">
        <f>'TEA Revised Non EYZ'!O28</f>
        <v>-6.2354635343986299E-15</v>
      </c>
      <c r="P28">
        <f>'TEA Revised Non EYZ'!P28</f>
        <v>-1.51703600853245E-18</v>
      </c>
      <c r="Q28">
        <f>'TEA Revised Non EYZ'!Q28</f>
        <v>0.121348176216534</v>
      </c>
      <c r="R28">
        <f>'TEA Revised Non EYZ'!R28</f>
        <v>97.975160184298204</v>
      </c>
      <c r="S28">
        <f>'TEA Revised Non EYZ'!S28</f>
        <v>500</v>
      </c>
      <c r="T28">
        <f>'TEA Revised Non EYZ'!T28</f>
        <v>95</v>
      </c>
      <c r="U28">
        <f>'TEA Revised Non EYZ'!U28</f>
        <v>1</v>
      </c>
      <c r="V28">
        <f>'TEA Revised Non EYZ'!V28</f>
        <v>0.1</v>
      </c>
      <c r="W28">
        <f>'TEA Revised Non EYZ'!W28</f>
        <v>82.407501388038199</v>
      </c>
      <c r="X28" t="str">
        <f>'TEA Revised Non EYZ'!X28</f>
        <v>ddFc</v>
      </c>
      <c r="Y28">
        <f>'TEA Revised Non EYZ'!Y28</f>
        <v>1</v>
      </c>
      <c r="Z28">
        <f>'TEA Revised Non EYZ'!Z28</f>
        <v>0.28318429382522198</v>
      </c>
      <c r="AA28">
        <f>'TEA Revised Non EYZ'!AA28</f>
        <v>0.56945642916197003</v>
      </c>
      <c r="AB28">
        <f>'TEA Revised Non EYZ'!AB28</f>
        <v>3.7698628972227502E-3</v>
      </c>
      <c r="AC28">
        <f>'TEA Revised Non EYZ'!AC28</f>
        <v>1822.2107908876901</v>
      </c>
      <c r="AD28">
        <f>'TEA Revised Non EYZ'!AD28</f>
        <v>2662.6059073104898</v>
      </c>
      <c r="AE28">
        <f>'TEA Revised Non EYZ'!AE28</f>
        <v>2401.5030938442701</v>
      </c>
      <c r="AF28">
        <f>'TEA Revised Non EYZ'!AF28</f>
        <v>10</v>
      </c>
      <c r="AG28">
        <f>'TEA Revised Non EYZ'!AG28</f>
        <v>1.64912412966352E-3</v>
      </c>
      <c r="AH28">
        <f>'TEA Revised Non EYZ'!AH28</f>
        <v>1.66801192221077E-3</v>
      </c>
      <c r="AI28">
        <f>'TEA Revised Non EYZ'!AI28</f>
        <v>7.5059714998626504E-6</v>
      </c>
      <c r="AJ28">
        <f>'TEA Revised Non EYZ'!AJ28</f>
        <v>0</v>
      </c>
      <c r="AK28">
        <f>'TEA Revised Non EYZ'!AK28</f>
        <v>0</v>
      </c>
      <c r="AL28">
        <f>'TEA Revised Non EYZ'!AL28</f>
        <v>0</v>
      </c>
      <c r="AM28">
        <f>'TEA Revised Non EYZ'!AM28</f>
        <v>1.6121362331363101E-3</v>
      </c>
      <c r="AN28">
        <f>'TEA Revised Non EYZ'!AN28</f>
        <v>7.7392739668893999E-5</v>
      </c>
      <c r="AO28">
        <f>'TEA Revised Non EYZ'!AO28</f>
        <v>7.4565357583961302E-6</v>
      </c>
      <c r="AP28">
        <f>'TEA Revised Non EYZ'!AP28</f>
        <v>1.73286538721668E-3</v>
      </c>
      <c r="AQ28">
        <f>'TEA Revised Non EYZ'!AQ28</f>
        <v>7.4519753455558904E-2</v>
      </c>
      <c r="AR28">
        <f>'TEA Revised Non EYZ'!AR28</f>
        <v>2.3160410123781799E-6</v>
      </c>
      <c r="AS28">
        <f>'TEA Revised Non EYZ'!AS28</f>
        <v>1.6048882329425901E-14</v>
      </c>
      <c r="AT28">
        <f>'TEA Revised Non EYZ'!AT28</f>
        <v>-1.6442669708433E-12</v>
      </c>
      <c r="AU28">
        <f>'TEA Revised Non EYZ'!AU28</f>
        <v>1.7745340244977501E-19</v>
      </c>
      <c r="AV28">
        <f>'TEA Revised Non EYZ'!AV28</f>
        <v>0.19723841758619901</v>
      </c>
      <c r="AW28">
        <f>'TEA Revised Non EYZ'!AW28</f>
        <v>99.341381172744505</v>
      </c>
      <c r="AX28">
        <f>'TEA Revised Non EYZ'!AX28</f>
        <v>500</v>
      </c>
      <c r="AY28">
        <f>'TEA Revised Non EYZ'!AY28</f>
        <v>95</v>
      </c>
      <c r="AZ28">
        <f>'TEA Revised Non EYZ'!AZ28</f>
        <v>0.92405262022284995</v>
      </c>
      <c r="BA28">
        <f>'TEA Revised Non EYZ'!BA28</f>
        <v>0.1</v>
      </c>
      <c r="BB28">
        <f>'TEA Revised Non EYZ'!BB28</f>
        <v>46.849525134676597</v>
      </c>
      <c r="BC28" t="str">
        <f>'TEA Revised Non EYZ'!BC28</f>
        <v>coeFc</v>
      </c>
      <c r="BD28">
        <f>'TEA Revised Non EYZ'!BD28</f>
        <v>1</v>
      </c>
      <c r="BE28">
        <f>'TEA Revised Non EYZ'!BE28</f>
        <v>1.8775014999999999E-2</v>
      </c>
      <c r="BF28">
        <f>'TEA Revised Non EYZ'!BF28</f>
        <v>0.10492961100000001</v>
      </c>
      <c r="BG28">
        <f>'TEA Revised Non EYZ'!BG28</f>
        <v>1.814625E-3</v>
      </c>
      <c r="BH28">
        <f>'TEA Revised Non EYZ'!BH28</f>
        <v>285.1951444</v>
      </c>
      <c r="BI28">
        <f>'TEA Revised Non EYZ'!BI28</f>
        <v>2169.8944889999998</v>
      </c>
      <c r="BJ28">
        <f>'TEA Revised Non EYZ'!BJ28</f>
        <v>866.49409060000005</v>
      </c>
      <c r="BK28">
        <f>'TEA Revised Non EYZ'!BK28</f>
        <v>100</v>
      </c>
      <c r="BL28">
        <f>'TEA Revised Non EYZ'!BL28</f>
        <v>12.134817621653401</v>
      </c>
      <c r="BM28">
        <f>'TEA Revised Non EYZ'!BM28</f>
        <v>92.405262022285001</v>
      </c>
      <c r="BN28">
        <f>'TEA Revised Non EYZ'!BN28</f>
        <v>19.723841758619901</v>
      </c>
      <c r="BO28">
        <f>'TEA Revised Non EYZ'!BO28</f>
        <v>169.88744670314762</v>
      </c>
      <c r="BP28">
        <f>'TEA Revised Non EYZ'!BP28</f>
        <v>473.37220220687766</v>
      </c>
      <c r="BQ28">
        <f>'TEA Revised Non EYZ'!BQ28</f>
        <v>16.988744670314762</v>
      </c>
      <c r="BR28">
        <f>'TEA Revised Non EYZ'!BR28</f>
        <v>47.337220220687769</v>
      </c>
      <c r="BS28">
        <f>'eLLE Bals'!CF28</f>
        <v>7.2808905729920399</v>
      </c>
      <c r="BT28">
        <f>'eLLE Bals'!CG28</f>
        <v>11.83430505517194</v>
      </c>
      <c r="BU28">
        <f>BM28</f>
        <v>92.405262022285001</v>
      </c>
      <c r="BV28">
        <f>BU28*(AM28*2+AN28*2+AO28*3)</f>
        <v>0.31430980427421323</v>
      </c>
      <c r="BW28">
        <f>BN28*BA28*(AP28*2+AQ28*2+AR28*3)</f>
        <v>0.30081262191498315</v>
      </c>
      <c r="BX28">
        <f>BV28/(2*V28*BL28+BV28)</f>
        <v>0.11465832355877252</v>
      </c>
      <c r="BY28">
        <f>BU28*BX28</f>
        <v>10.595032431484308</v>
      </c>
      <c r="BZ28">
        <f>BW28/(2*BN28*BA28+BW28)</f>
        <v>7.085311145465005E-2</v>
      </c>
      <c r="CA28">
        <f>2*BN28*BA28/0.04</f>
        <v>98.619208793099503</v>
      </c>
      <c r="CB28">
        <f>(BS28+BL28)*2</f>
        <v>38.831416389290879</v>
      </c>
      <c r="CC28">
        <f>(BU28+BL28)*2</f>
        <v>209.0801592878768</v>
      </c>
      <c r="CD28">
        <f>(BT28+BN28)*2</f>
        <v>63.116293627583687</v>
      </c>
      <c r="CE28">
        <f>(CA28+BN28)*2</f>
        <v>236.6861011034388</v>
      </c>
      <c r="CF28">
        <f>'TEA Revised Non EYZ'!CB28</f>
        <v>2242.5142964815486</v>
      </c>
      <c r="CG28">
        <f>'TEA Revised Non EYZ'!CC28</f>
        <v>6248.5130691307859</v>
      </c>
      <c r="CH28">
        <f>'TEA Revised Non EYZ'!CD28</f>
        <v>2709.3726906065185</v>
      </c>
      <c r="CI28">
        <f>'TEA Revised Non EYZ'!CE28</f>
        <v>48195.336659432556</v>
      </c>
      <c r="CJ28">
        <f>BL28*V28</f>
        <v>1.2134817621653402</v>
      </c>
      <c r="CK28">
        <f>CJ28/2*1.2</f>
        <v>0.72808905729920415</v>
      </c>
      <c r="CL28">
        <f>'eLLE Bals'!CB28*'Oxidant Feed Composition'!$N$20</f>
        <v>4.0449392072178021E-2</v>
      </c>
      <c r="CM28">
        <f>'eLLE Bals'!CB28*'Oxidant Feed Composition'!$N$21</f>
        <v>2.0224696036089003</v>
      </c>
      <c r="CN28">
        <f>'eLLE Bals'!CB28*'Oxidant Feed Composition'!$N$22</f>
        <v>0.6067408810826701</v>
      </c>
      <c r="CO28">
        <f>CN28/CK28</f>
        <v>0.83333333333333326</v>
      </c>
      <c r="CP28">
        <f>CO28</f>
        <v>0.83333333333333326</v>
      </c>
      <c r="CQ28">
        <f>CL28/CO28</f>
        <v>4.8539270486613627E-2</v>
      </c>
      <c r="CR28">
        <f>CM28/CO28</f>
        <v>2.4269635243306804</v>
      </c>
      <c r="CS28">
        <f>BN28*BA28</f>
        <v>1.9723841758619902</v>
      </c>
      <c r="CT28">
        <f>CS28/2*1.2</f>
        <v>1.1834305055171941</v>
      </c>
      <c r="CU28">
        <f>'eLLE Bals'!CC28*'Oxidant Feed Composition'!$N$20</f>
        <v>6.5746139195399705E-2</v>
      </c>
      <c r="CV28">
        <f>'eLLE Bals'!CC28*'Oxidant Feed Composition'!$N$21</f>
        <v>3.287306959769984</v>
      </c>
      <c r="CW28">
        <f>'eLLE Bals'!CC28*'Oxidant Feed Composition'!$N$22</f>
        <v>0.98619208793099511</v>
      </c>
      <c r="CX28">
        <f>CU28/CP28</f>
        <v>7.8895367034479649E-2</v>
      </c>
      <c r="CY28">
        <f>CV28/CP28</f>
        <v>3.9447683517239813</v>
      </c>
      <c r="CZ28">
        <f>CJ28</f>
        <v>1.2134817621653402</v>
      </c>
      <c r="DA28">
        <f>'eLLE Bals'!BQ28</f>
        <v>2.4269635243306804</v>
      </c>
      <c r="DB28">
        <f>'eLLE Bals'!BU28</f>
        <v>6.9430145513031434</v>
      </c>
      <c r="DC28">
        <f>CS28</f>
        <v>1.9723841758619902</v>
      </c>
      <c r="DD28">
        <f>'eLLE Bals'!BX28</f>
        <v>3.9447683517239804</v>
      </c>
      <c r="DE28">
        <f>'eLLE Bals'!CA28</f>
        <v>21.920498287853889</v>
      </c>
      <c r="DF28">
        <f>2*2*(CJ28*'Reagent cost'!$C$36*122.44/1000*1.5+CK28*'Oxidant Feed Composition'!$N$26+CQ28*'Reagent cost'!$C$34+CR28*'Reagent cost'!$C$35)</f>
        <v>123.48528418648351</v>
      </c>
      <c r="DG28">
        <f>2*2*(CS28*'Reagent cost'!$C$36*122.44/1000*1.5+CT28*'Oxidant Feed Composition'!$N$26+CX28*'Reagent cost'!$C$34+CY28*'Reagent cost'!$C$35)</f>
        <v>200.71205688879164</v>
      </c>
      <c r="DH28">
        <f>(AF28+3)*2*(CZ28*'Reagent cost'!$C$38+DA28*'Reagent cost'!$C$39+DB28*'Reagent cost'!$C$36*122.44/1000*1.5)</f>
        <v>2481.9773757725093</v>
      </c>
      <c r="DI28">
        <f>3*2*(DC28*'Reagent cost'!$C$38+DD28*'Reagent cost'!$C$39+DE28*'Reagent cost'!$C$36*122.44/1000*1.5)</f>
        <v>1758.6155864239167</v>
      </c>
      <c r="DJ28">
        <f>7963.6*(CB28/1000)^0.6*1.7*('CAPEX+OPEX'!$G$116/'CAPEX+OPEX'!$G$115)</f>
        <v>2273.7926954959794</v>
      </c>
      <c r="DK28">
        <f>7963.6*(CC28/1000)^0.6*1.7*('CAPEX+OPEX'!$G$116/'CAPEX+OPEX'!$G$115)</f>
        <v>6243.5072626595684</v>
      </c>
      <c r="DL28">
        <f>7963.6*(CD28/1000)^0.6*1.7*('CAPEX+OPEX'!$G$116/'CAPEX+OPEX'!$G$115)</f>
        <v>3043.167243878931</v>
      </c>
      <c r="DM28">
        <f>7963.6*(CE28/1000)^0.6*1.7*('CAPEX+OPEX'!$G$116/'CAPEX+OPEX'!$G$115)</f>
        <v>6725.809793243784</v>
      </c>
      <c r="DN28">
        <f>'TEA Revised Non EYZ'!CM28</f>
        <v>39625.826528698344</v>
      </c>
      <c r="DO28">
        <f>'TEA Revised Non EYZ'!CN28</f>
        <v>4586243.4239371875</v>
      </c>
      <c r="DP28">
        <f>'TEA Revised Non EYZ'!CO28</f>
        <v>11794834.586807497</v>
      </c>
      <c r="DQ28">
        <f>'TEA Revised Non EYZ'!CP28</f>
        <v>2275209.1661185985</v>
      </c>
      <c r="DR28">
        <f>'TEA Revised Non EYZ'!CQ28</f>
        <v>14083914.336508472</v>
      </c>
      <c r="DS28">
        <f>'TEA Revised Non EYZ'!CR28</f>
        <v>1662824.8986326549</v>
      </c>
      <c r="DT28">
        <f>'TEA Revised Non EYZ'!CS28</f>
        <v>589054.93036564998</v>
      </c>
      <c r="DU28">
        <f>'TEA Revised Non EYZ'!CT28</f>
        <v>1514922.9606835202</v>
      </c>
      <c r="DV28">
        <f>'TEA Revised Non EYZ'!CU28</f>
        <v>292226.78628879401</v>
      </c>
      <c r="DW28">
        <f>'TEA Revised Non EYZ'!CV28</f>
        <v>1808931.2781495745</v>
      </c>
      <c r="DX28">
        <f>'TEA Revised Non EYZ'!CW28</f>
        <v>213572.44139332071</v>
      </c>
      <c r="DY28">
        <f>'TEA Revised Non EYZ'!CX28</f>
        <v>4418708.3968808586</v>
      </c>
      <c r="DZ28">
        <f>'TEA Revised Non EYZ'!CY28</f>
        <v>800575.47606687353</v>
      </c>
      <c r="EA28">
        <f>'TEA Revised Non EYZ'!CZ28</f>
        <v>2058908.4445842884</v>
      </c>
      <c r="EB28">
        <f>'TEA Revised Non EYZ'!DA28</f>
        <v>397160.92081161588</v>
      </c>
      <c r="EC28">
        <f>'TEA Revised Non EYZ'!DB28</f>
        <v>2458490.6169580934</v>
      </c>
      <c r="ED28">
        <f>'TEA Revised Non EYZ'!DC28</f>
        <v>290263.0130556543</v>
      </c>
      <c r="EE28">
        <f>'TEA Revised Non EYZ'!DD28</f>
        <v>6005398.4714765251</v>
      </c>
      <c r="EF28">
        <v>0.7</v>
      </c>
      <c r="EG28">
        <v>100</v>
      </c>
      <c r="EH28">
        <f>96485*BL28*V28/EF28/EG28/60</f>
        <v>27.876854243457824</v>
      </c>
      <c r="EI28">
        <f>96485*BN28*BA28/EF28/EG28/60</f>
        <v>45.31083028762955</v>
      </c>
      <c r="EJ28">
        <f>EH28*('CAPEX+OPEX'!$O$25+'CAPEX+OPEX'!$O$26)</f>
        <v>888491.09844748781</v>
      </c>
      <c r="EK28">
        <f>EI28*('CAPEX+OPEX'!$O$25+'CAPEX+OPEX'!$O$26)</f>
        <v>1444146.782927329</v>
      </c>
      <c r="EL28">
        <f>EJ28*1.12/0.6*'CAPEX+OPEX'!$G$116/'CAPEX+OPEX'!$G$115</f>
        <v>1956151.2069656507</v>
      </c>
      <c r="EM28">
        <f>EK28*1.12/0.6*'CAPEX+OPEX'!$G$116/'CAPEX+OPEX'!$G$115</f>
        <v>3179513.5341199134</v>
      </c>
      <c r="EN28">
        <f>EL28+EM28+DY28+EE28+1.15*(SUM(DF28:DM28)+SUM(CF28:CI28))</f>
        <v>15654355.434059279</v>
      </c>
      <c r="EO28">
        <f>EN28/15</f>
        <v>1043623.6956039519</v>
      </c>
      <c r="EP28">
        <f>('eLLE Bals'!CB28+'eLLE Bals'!CC28)*'Oxidant Feed Composition'!$N$28*60*7200</f>
        <v>17710785.659249436</v>
      </c>
      <c r="EQ28" s="53">
        <f>('eLLE Bals'!BR28+'eLLE Bals'!BY28)*'Reagent cost'!$C$38*60*7200*1.5</f>
        <v>763333.49537455547</v>
      </c>
      <c r="ER28">
        <f>'TEA Revised Non EYZ'!DI28</f>
        <v>504921.59999999998</v>
      </c>
      <c r="ES28">
        <f>'TEA Revised Non EYZ'!DJ28</f>
        <v>84.910273656123351</v>
      </c>
      <c r="ET28">
        <f>'TEA Revised Non EYZ'!DK28</f>
        <v>1018.0941870007815</v>
      </c>
      <c r="EU28">
        <f>1.2*SUM(EP28:ET28)</f>
        <v>22776172.510901581</v>
      </c>
      <c r="EV28">
        <f>'TEA Revised Non EYZ'!DM28</f>
        <v>0.70639694042110623</v>
      </c>
      <c r="EW28">
        <f>(BS28*CO28+BT28*CP28)/1000*('Oxidant Feed Composition'!$B$11*'Oxidant Feed Composition'!$O$20+'Oxidant Feed Composition'!$D$11*'Oxidant Feed Composition'!$O$21+'Oxidant Feed Composition'!$F$11*'Oxidant Feed Composition'!$O$27-'Oxidant Feed Composition'!$J$15*18.015)</f>
        <v>1.8602994403709507</v>
      </c>
      <c r="EX28">
        <f>(CZ28*BX28+DC28*BZ28)*368.34/1000</f>
        <v>0.10272462626921927</v>
      </c>
      <c r="EY28">
        <f>'TEA Revised Non EYZ'!DP28</f>
        <v>4.999938342565946E-2</v>
      </c>
      <c r="EZ28">
        <f>SUM(EV28:EX28)-EY28</f>
        <v>2.6194216236356169</v>
      </c>
      <c r="FA28">
        <f>EZ28*0.33*60*7200</f>
        <v>373424.74666549359</v>
      </c>
      <c r="FB28">
        <f>'TEA Revised Non EYZ'!DS28</f>
        <v>1.2</v>
      </c>
      <c r="FC28">
        <v>0.5</v>
      </c>
      <c r="FD28">
        <f>'TEA Revised Non EYZ'!DT28</f>
        <v>1406.4975590407691</v>
      </c>
      <c r="FE28">
        <f>'TEA Revised Non EYZ'!DU28</f>
        <v>706.74889069113362</v>
      </c>
      <c r="FF28">
        <f>'TEA Revised Non EYZ'!DV28</f>
        <v>0.7</v>
      </c>
      <c r="FG28">
        <f>'TEA Revised Non EYZ'!DW28</f>
        <v>33024.331428945443</v>
      </c>
      <c r="FH28">
        <f>'TEA Revised Non EYZ'!DX28</f>
        <v>24915.659383376755</v>
      </c>
      <c r="FI28">
        <f>'TEA Revised Non EYZ'!DY28</f>
        <v>10548.968690542577</v>
      </c>
      <c r="FJ28">
        <f>'TEA Revised Non EYZ'!DZ28</f>
        <v>5588.0830181845758</v>
      </c>
      <c r="FK28">
        <f>'TEA Revised Non EYZ'!EA28</f>
        <v>5626.1166349560426</v>
      </c>
      <c r="FL28">
        <f>'TEA Revised Non EYZ'!EB28</f>
        <v>850.64972370785733</v>
      </c>
      <c r="FM28">
        <f>'TEA Revised Non EYZ'!EC28</f>
        <v>43732.740559410609</v>
      </c>
      <c r="FN28">
        <f>'TEA Revised Non EYZ'!ED28</f>
        <v>42692.363399539456</v>
      </c>
      <c r="FO28">
        <f>'TEA Revised Non EYZ'!EE28</f>
        <v>18075.395794159842</v>
      </c>
      <c r="FP28">
        <f>'TEA Revised Non EYZ'!EF28</f>
        <v>9580.336973567486</v>
      </c>
      <c r="FQ28">
        <f>'TEA Revised Non EYZ'!EG28</f>
        <v>9640.2110902185887</v>
      </c>
      <c r="FR28">
        <f>'TEA Revised Non EYZ'!EH28</f>
        <v>427.44172908999764</v>
      </c>
      <c r="FS28">
        <f>'TEA Revised Non EYZ'!EI28</f>
        <v>204702.29842569926</v>
      </c>
      <c r="FT28">
        <f>EG28*EH28</f>
        <v>2787.6854243457824</v>
      </c>
      <c r="FU28">
        <f>EG28*EI28</f>
        <v>4531.0830287629551</v>
      </c>
      <c r="FV28">
        <f>FC28*(FT28+FU28)/(3.6*10^6)*3600*7200*0.07</f>
        <v>1844.3296501834022</v>
      </c>
      <c r="FW28">
        <f>('CAPEX+OPEX'!$C$39/7/100+0.03)*EL28</f>
        <v>100602.06207251917</v>
      </c>
      <c r="FX28">
        <f>('CAPEX+OPEX'!$C$39/7/100+0.03)*EM28</f>
        <v>163517.83889759553</v>
      </c>
      <c r="FY28">
        <f>SUM(FV28:FX28)</f>
        <v>265964.23062029807</v>
      </c>
      <c r="FZ28">
        <f>FY28+FA28+FS28+EU28</f>
        <v>23620263.786613073</v>
      </c>
      <c r="GA28">
        <f>FZ28+EO28</f>
        <v>24663887.482217025</v>
      </c>
      <c r="GB28">
        <f>GA28/(BK28*60*7200)</f>
        <v>0.57092332134761636</v>
      </c>
      <c r="GC28">
        <f>'TEA Revised Non EYZ'!EM28/'TEA Revised Non EYZ'!EK28*GA28</f>
        <v>1909.8507927170197</v>
      </c>
      <c r="GD28">
        <f>'TEA Revised Non EYZ'!EN28/'TEA Revised Non EYZ'!EK28*GA28</f>
        <v>3500.6592243379828</v>
      </c>
    </row>
    <row r="29" spans="1:186">
      <c r="A29">
        <f>'TEA Revised Non EYZ'!A29</f>
        <v>5</v>
      </c>
      <c r="B29">
        <f>'TEA Revised Non EYZ'!B29</f>
        <v>1.54143585092054E-3</v>
      </c>
      <c r="C29">
        <f>'TEA Revised Non EYZ'!C29</f>
        <v>1.54143585092054E-3</v>
      </c>
      <c r="D29">
        <f>'TEA Revised Non EYZ'!D29</f>
        <v>3.4254130020456501E-4</v>
      </c>
      <c r="E29">
        <f>'TEA Revised Non EYZ'!E29</f>
        <v>0</v>
      </c>
      <c r="F29">
        <f>'TEA Revised Non EYZ'!F29</f>
        <v>0</v>
      </c>
      <c r="G29">
        <f>'TEA Revised Non EYZ'!G29</f>
        <v>0</v>
      </c>
      <c r="H29">
        <f>'TEA Revised Non EYZ'!H29</f>
        <v>1.7558377832426001E-5</v>
      </c>
      <c r="I29">
        <f>'TEA Revised Non EYZ'!I29</f>
        <v>1.05063644964669E-7</v>
      </c>
      <c r="J29">
        <f>'TEA Revised Non EYZ'!J29</f>
        <v>3.35605387572801E-4</v>
      </c>
      <c r="K29">
        <f>'TEA Revised Non EYZ'!K29</f>
        <v>0.12557893497872399</v>
      </c>
      <c r="L29">
        <f>'TEA Revised Non EYZ'!L29</f>
        <v>0.12701721899235199</v>
      </c>
      <c r="M29">
        <f>'TEA Revised Non EYZ'!M29</f>
        <v>5.7157122982957897E-4</v>
      </c>
      <c r="N29">
        <f>'TEA Revised Non EYZ'!N29</f>
        <v>-1.88000656708986E-16</v>
      </c>
      <c r="O29">
        <f>'TEA Revised Non EYZ'!O29</f>
        <v>-6.2354635343986299E-15</v>
      </c>
      <c r="P29">
        <f>'TEA Revised Non EYZ'!P29</f>
        <v>-1.51703600853245E-18</v>
      </c>
      <c r="Q29">
        <f>'TEA Revised Non EYZ'!Q29</f>
        <v>0.121348176216534</v>
      </c>
      <c r="R29">
        <f>'TEA Revised Non EYZ'!R29</f>
        <v>97.975160184298204</v>
      </c>
      <c r="S29">
        <f>'TEA Revised Non EYZ'!S29</f>
        <v>500</v>
      </c>
      <c r="T29">
        <f>'TEA Revised Non EYZ'!T29</f>
        <v>95</v>
      </c>
      <c r="U29">
        <f>'TEA Revised Non EYZ'!U29</f>
        <v>1</v>
      </c>
      <c r="V29">
        <f>'TEA Revised Non EYZ'!V29</f>
        <v>0.1</v>
      </c>
      <c r="W29">
        <f>'TEA Revised Non EYZ'!W29</f>
        <v>82.407501388038199</v>
      </c>
      <c r="X29" t="str">
        <f>'TEA Revised Non EYZ'!X29</f>
        <v>ddFc</v>
      </c>
      <c r="Y29">
        <f>'TEA Revised Non EYZ'!Y29</f>
        <v>1</v>
      </c>
      <c r="Z29">
        <f>'TEA Revised Non EYZ'!Z29</f>
        <v>0.28318429382522198</v>
      </c>
      <c r="AA29">
        <f>'TEA Revised Non EYZ'!AA29</f>
        <v>0.56945642916197003</v>
      </c>
      <c r="AB29">
        <f>'TEA Revised Non EYZ'!AB29</f>
        <v>3.7698628972227502E-3</v>
      </c>
      <c r="AC29">
        <f>'TEA Revised Non EYZ'!AC29</f>
        <v>1822.2107908876901</v>
      </c>
      <c r="AD29">
        <f>'TEA Revised Non EYZ'!AD29</f>
        <v>2662.6059073104898</v>
      </c>
      <c r="AE29">
        <f>'TEA Revised Non EYZ'!AE29</f>
        <v>2401.5030938442701</v>
      </c>
      <c r="AF29">
        <f>'TEA Revised Non EYZ'!AF29</f>
        <v>11</v>
      </c>
      <c r="AG29">
        <f>'TEA Revised Non EYZ'!AG29</f>
        <v>1.64912412966352E-3</v>
      </c>
      <c r="AH29">
        <f>'TEA Revised Non EYZ'!AH29</f>
        <v>1.66801192221077E-3</v>
      </c>
      <c r="AI29">
        <f>'TEA Revised Non EYZ'!AI29</f>
        <v>7.5059714998626504E-6</v>
      </c>
      <c r="AJ29">
        <f>'TEA Revised Non EYZ'!AJ29</f>
        <v>0</v>
      </c>
      <c r="AK29">
        <f>'TEA Revised Non EYZ'!AK29</f>
        <v>0</v>
      </c>
      <c r="AL29">
        <f>'TEA Revised Non EYZ'!AL29</f>
        <v>0</v>
      </c>
      <c r="AM29">
        <f>'TEA Revised Non EYZ'!AM29</f>
        <v>1.6121395083820099E-3</v>
      </c>
      <c r="AN29">
        <f>'TEA Revised Non EYZ'!AN29</f>
        <v>7.7392907855296494E-5</v>
      </c>
      <c r="AO29">
        <f>'TEA Revised Non EYZ'!AO29</f>
        <v>7.4565399542604097E-6</v>
      </c>
      <c r="AP29">
        <f>'TEA Revised Non EYZ'!AP29</f>
        <v>1.73275480734907E-3</v>
      </c>
      <c r="AQ29">
        <f>'TEA Revised Non EYZ'!AQ29</f>
        <v>7.4521588927651899E-2</v>
      </c>
      <c r="AR29">
        <f>'TEA Revised Non EYZ'!AR29</f>
        <v>2.3159017264239102E-6</v>
      </c>
      <c r="AS29">
        <f>'TEA Revised Non EYZ'!AS29</f>
        <v>3.11708124589582E-19</v>
      </c>
      <c r="AT29">
        <f>'TEA Revised Non EYZ'!AT29</f>
        <v>-5.4210108624275199E-18</v>
      </c>
      <c r="AU29">
        <f>'TEA Revised Non EYZ'!AU29</f>
        <v>1.34334131478611E-21</v>
      </c>
      <c r="AV29">
        <f>'TEA Revised Non EYZ'!AV29</f>
        <v>0.197233538514378</v>
      </c>
      <c r="AW29">
        <f>'TEA Revised Non EYZ'!AW29</f>
        <v>99.3414370730938</v>
      </c>
      <c r="AX29">
        <f>'TEA Revised Non EYZ'!AX29</f>
        <v>500</v>
      </c>
      <c r="AY29">
        <f>'TEA Revised Non EYZ'!AY29</f>
        <v>95</v>
      </c>
      <c r="AZ29">
        <f>'TEA Revised Non EYZ'!AZ29</f>
        <v>0.92405262022284995</v>
      </c>
      <c r="BA29">
        <f>'TEA Revised Non EYZ'!BA29</f>
        <v>0.1</v>
      </c>
      <c r="BB29">
        <f>'TEA Revised Non EYZ'!BB29</f>
        <v>46.850684076505999</v>
      </c>
      <c r="BC29" t="str">
        <f>'TEA Revised Non EYZ'!BC29</f>
        <v>coeFc</v>
      </c>
      <c r="BD29">
        <f>'TEA Revised Non EYZ'!BD29</f>
        <v>1</v>
      </c>
      <c r="BE29">
        <f>'TEA Revised Non EYZ'!BE29</f>
        <v>1.8775014999999999E-2</v>
      </c>
      <c r="BF29">
        <f>'TEA Revised Non EYZ'!BF29</f>
        <v>0.10492961100000001</v>
      </c>
      <c r="BG29">
        <f>'TEA Revised Non EYZ'!BG29</f>
        <v>1.814625E-3</v>
      </c>
      <c r="BH29">
        <f>'TEA Revised Non EYZ'!BH29</f>
        <v>285.1951444</v>
      </c>
      <c r="BI29">
        <f>'TEA Revised Non EYZ'!BI29</f>
        <v>2169.8944889999998</v>
      </c>
      <c r="BJ29">
        <f>'TEA Revised Non EYZ'!BJ29</f>
        <v>866.49409060000005</v>
      </c>
      <c r="BK29">
        <f>'TEA Revised Non EYZ'!BK29</f>
        <v>100</v>
      </c>
      <c r="BL29">
        <f>'TEA Revised Non EYZ'!BL29</f>
        <v>12.134817621653401</v>
      </c>
      <c r="BM29">
        <f>'TEA Revised Non EYZ'!BM29</f>
        <v>92.405262022285001</v>
      </c>
      <c r="BN29">
        <f>'TEA Revised Non EYZ'!BN29</f>
        <v>19.7233538514378</v>
      </c>
      <c r="BO29">
        <f>'TEA Revised Non EYZ'!BO29</f>
        <v>169.88744670314762</v>
      </c>
      <c r="BP29">
        <f>'TEA Revised Non EYZ'!BP29</f>
        <v>512.80720013738278</v>
      </c>
      <c r="BQ29">
        <f>'TEA Revised Non EYZ'!BQ29</f>
        <v>16.988744670314762</v>
      </c>
      <c r="BR29">
        <f>'TEA Revised Non EYZ'!BR29</f>
        <v>51.280720013738282</v>
      </c>
      <c r="BS29">
        <f>'eLLE Bals'!CF29</f>
        <v>7.2808905729920399</v>
      </c>
      <c r="BT29">
        <f>'eLLE Bals'!CG29</f>
        <v>11.834012310862679</v>
      </c>
      <c r="BU29">
        <f>BM29</f>
        <v>92.405262022285001</v>
      </c>
      <c r="BV29">
        <f>BU29*(AM29*2+AN29*2+AO29*3)</f>
        <v>0.31431044181986439</v>
      </c>
      <c r="BW29">
        <f>BN29*BA29*(AP29*2+AQ29*2+AR29*3)</f>
        <v>0.30081198404368931</v>
      </c>
      <c r="BX29">
        <f>BV29/(2*V29*BL29+BV29)</f>
        <v>0.1146585294651294</v>
      </c>
      <c r="BY29">
        <f>BU29*BX29</f>
        <v>10.595051458315167</v>
      </c>
      <c r="BZ29">
        <f>BW29/(2*BN29*BA29+BW29)</f>
        <v>7.0854600395396802E-2</v>
      </c>
      <c r="CA29">
        <f>2*BN29*BA29/0.04</f>
        <v>98.616769257189006</v>
      </c>
      <c r="CB29">
        <f>(BS29+BL29)*2</f>
        <v>38.831416389290879</v>
      </c>
      <c r="CC29">
        <f>(BU29+BL29)*2</f>
        <v>209.0801592878768</v>
      </c>
      <c r="CD29">
        <f>(BT29+BN29)*2</f>
        <v>63.114732324600958</v>
      </c>
      <c r="CE29">
        <f>(CA29+BN29)*2</f>
        <v>236.68024621725363</v>
      </c>
      <c r="CF29">
        <f>'TEA Revised Non EYZ'!CB29</f>
        <v>2242.5142964815486</v>
      </c>
      <c r="CG29">
        <f>'TEA Revised Non EYZ'!CC29</f>
        <v>6769.0550418134535</v>
      </c>
      <c r="CH29">
        <f>'TEA Revised Non EYZ'!CD29</f>
        <v>2709.3726906065185</v>
      </c>
      <c r="CI29">
        <f>'TEA Revised Non EYZ'!CE29</f>
        <v>52210.323159620224</v>
      </c>
      <c r="CJ29">
        <f>BL29*V29</f>
        <v>1.2134817621653402</v>
      </c>
      <c r="CK29">
        <f>CJ29/2*1.2</f>
        <v>0.72808905729920415</v>
      </c>
      <c r="CL29">
        <f>'eLLE Bals'!CB29*'Oxidant Feed Composition'!$N$20</f>
        <v>4.0449392072178021E-2</v>
      </c>
      <c r="CM29">
        <f>'eLLE Bals'!CB29*'Oxidant Feed Composition'!$N$21</f>
        <v>2.0224696036089003</v>
      </c>
      <c r="CN29">
        <f>'eLLE Bals'!CB29*'Oxidant Feed Composition'!$N$22</f>
        <v>0.6067408810826701</v>
      </c>
      <c r="CO29">
        <f>CN29/CK29</f>
        <v>0.83333333333333326</v>
      </c>
      <c r="CP29">
        <f>CO29</f>
        <v>0.83333333333333326</v>
      </c>
      <c r="CQ29">
        <f>CL29/CO29</f>
        <v>4.8539270486613627E-2</v>
      </c>
      <c r="CR29">
        <f>CM29/CO29</f>
        <v>2.4269635243306804</v>
      </c>
      <c r="CS29">
        <f>BN29*BA29</f>
        <v>1.9723353851437802</v>
      </c>
      <c r="CT29">
        <f>CS29/2*1.2</f>
        <v>1.183401231086268</v>
      </c>
      <c r="CU29">
        <f>'eLLE Bals'!CC29*'Oxidant Feed Composition'!$N$20</f>
        <v>6.5744512838126032E-2</v>
      </c>
      <c r="CV29">
        <f>'eLLE Bals'!CC29*'Oxidant Feed Composition'!$N$21</f>
        <v>3.2872256419063004</v>
      </c>
      <c r="CW29">
        <f>'eLLE Bals'!CC29*'Oxidant Feed Composition'!$N$22</f>
        <v>0.98616769257189008</v>
      </c>
      <c r="CX29">
        <f>CU29/CP29</f>
        <v>7.8893415405751247E-2</v>
      </c>
      <c r="CY29">
        <f>CV29/CP29</f>
        <v>3.9446707702875607</v>
      </c>
      <c r="CZ29">
        <f>CJ29</f>
        <v>1.2134817621653402</v>
      </c>
      <c r="DA29">
        <f>'eLLE Bals'!BQ29</f>
        <v>2.4269635243306804</v>
      </c>
      <c r="DB29">
        <f>'eLLE Bals'!BU29</f>
        <v>6.942995542774308</v>
      </c>
      <c r="DC29">
        <f>CS29</f>
        <v>1.9723353851437802</v>
      </c>
      <c r="DD29">
        <f>'eLLE Bals'!BX29</f>
        <v>3.9446707702875603</v>
      </c>
      <c r="DE29">
        <f>'eLLE Bals'!CA29</f>
        <v>21.919371075367582</v>
      </c>
      <c r="DF29">
        <f>2*2*(CJ29*'Reagent cost'!$C$36*122.44/1000*1.5+CK29*'Oxidant Feed Composition'!$N$26+CQ29*'Reagent cost'!$C$34+CR29*'Reagent cost'!$C$35)</f>
        <v>123.48528418648351</v>
      </c>
      <c r="DG29">
        <f>2*2*(CS29*'Reagent cost'!$C$36*122.44/1000*1.5+CT29*'Oxidant Feed Composition'!$N$26+CX29*'Reagent cost'!$C$34+CY29*'Reagent cost'!$C$35)</f>
        <v>200.70709188981789</v>
      </c>
      <c r="DH29">
        <f>(AF29+3)*2*(CZ29*'Reagent cost'!$C$38+DA29*'Reagent cost'!$C$39+DB29*'Reagent cost'!$C$36*122.44/1000*1.5)</f>
        <v>2672.8918091962319</v>
      </c>
      <c r="DI29">
        <f>3*2*(DC29*'Reagent cost'!$C$38+DD29*'Reagent cost'!$C$39+DE29*'Reagent cost'!$C$36*122.44/1000*1.5)</f>
        <v>1758.5265613256156</v>
      </c>
      <c r="DJ29">
        <f>7963.6*(CB29/1000)^0.6*1.7*('CAPEX+OPEX'!$G$116/'CAPEX+OPEX'!$G$115)</f>
        <v>2273.7926954959794</v>
      </c>
      <c r="DK29">
        <f>7963.6*(CC29/1000)^0.6*1.7*('CAPEX+OPEX'!$G$116/'CAPEX+OPEX'!$G$115)</f>
        <v>6243.5072626595684</v>
      </c>
      <c r="DL29">
        <f>7963.6*(CD29/1000)^0.6*1.7*('CAPEX+OPEX'!$G$116/'CAPEX+OPEX'!$G$115)</f>
        <v>3043.1220764966729</v>
      </c>
      <c r="DM29">
        <f>7963.6*(CE29/1000)^0.6*1.7*('CAPEX+OPEX'!$G$116/'CAPEX+OPEX'!$G$115)</f>
        <v>6725.7099672409468</v>
      </c>
      <c r="DN29">
        <f>'TEA Revised Non EYZ'!CM29</f>
        <v>39625.826528698344</v>
      </c>
      <c r="DO29">
        <f>'TEA Revised Non EYZ'!CN29</f>
        <v>4586243.4239371875</v>
      </c>
      <c r="DP29">
        <f>'TEA Revised Non EYZ'!CO29</f>
        <v>11794834.586807497</v>
      </c>
      <c r="DQ29">
        <f>'TEA Revised Non EYZ'!CP29</f>
        <v>2275209.1661185985</v>
      </c>
      <c r="DR29">
        <f>'TEA Revised Non EYZ'!CQ29</f>
        <v>14083914.336508472</v>
      </c>
      <c r="DS29">
        <f>'TEA Revised Non EYZ'!CR29</f>
        <v>1662824.8986326549</v>
      </c>
      <c r="DT29">
        <f>'TEA Revised Non EYZ'!CS29</f>
        <v>589054.93036564998</v>
      </c>
      <c r="DU29">
        <f>'TEA Revised Non EYZ'!CT29</f>
        <v>1514922.9606835202</v>
      </c>
      <c r="DV29">
        <f>'TEA Revised Non EYZ'!CU29</f>
        <v>292226.78628879401</v>
      </c>
      <c r="DW29">
        <f>'TEA Revised Non EYZ'!CV29</f>
        <v>1808931.2781495745</v>
      </c>
      <c r="DX29">
        <f>'TEA Revised Non EYZ'!CW29</f>
        <v>213572.44139332071</v>
      </c>
      <c r="DY29">
        <f>'TEA Revised Non EYZ'!CX29</f>
        <v>4418708.3968808586</v>
      </c>
      <c r="DZ29">
        <f>'TEA Revised Non EYZ'!CY29</f>
        <v>843481.2225111227</v>
      </c>
      <c r="EA29">
        <f>'TEA Revised Non EYZ'!CZ29</f>
        <v>2169252.8234918904</v>
      </c>
      <c r="EB29">
        <f>'TEA Revised Non EYZ'!DA29</f>
        <v>418446.21654616104</v>
      </c>
      <c r="EC29">
        <f>'TEA Revised Non EYZ'!DB29</f>
        <v>2590250.0552623947</v>
      </c>
      <c r="ED29">
        <f>'TEA Revised Non EYZ'!DC29</f>
        <v>305819.26179499162</v>
      </c>
      <c r="EE29">
        <f>'TEA Revised Non EYZ'!DD29</f>
        <v>6327249.579606561</v>
      </c>
      <c r="EF29">
        <v>0.7</v>
      </c>
      <c r="EG29">
        <v>100</v>
      </c>
      <c r="EH29">
        <f>96485*BL29*V29/EF29/EG29/60</f>
        <v>27.876854243457824</v>
      </c>
      <c r="EI29">
        <f>96485*BN29*BA29/EF29/EG29/60</f>
        <v>45.309709437047054</v>
      </c>
      <c r="EJ29">
        <f>EH29*('CAPEX+OPEX'!$O$25+'CAPEX+OPEX'!$O$26)</f>
        <v>888491.09844748781</v>
      </c>
      <c r="EK29">
        <f>EI29*('CAPEX+OPEX'!$O$25+'CAPEX+OPEX'!$O$26)</f>
        <v>1444111.0591775638</v>
      </c>
      <c r="EL29">
        <f>EJ29*1.12/0.6*'CAPEX+OPEX'!$G$116/'CAPEX+OPEX'!$G$115</f>
        <v>1956151.2069656507</v>
      </c>
      <c r="EM29">
        <f>EK29*1.12/0.6*'CAPEX+OPEX'!$G$116/'CAPEX+OPEX'!$G$115</f>
        <v>3179434.88273405</v>
      </c>
      <c r="EN29">
        <f>EL29+EM29+DY29+EE29+1.15*(SUM(DF29:DM29)+SUM(CF29:CI29))</f>
        <v>15981563.025314685</v>
      </c>
      <c r="EO29">
        <f>EN29/15</f>
        <v>1065437.5350209789</v>
      </c>
      <c r="EP29">
        <f>('eLLE Bals'!CB29+'eLLE Bals'!CC29)*'Oxidant Feed Composition'!$N$28*60*7200</f>
        <v>17710514.423117977</v>
      </c>
      <c r="EQ29" s="53">
        <f>('eLLE Bals'!BR29+'eLLE Bals'!BY29)*'Reagent cost'!$C$38*60*7200*1.5</f>
        <v>763332.75521125621</v>
      </c>
      <c r="ER29">
        <f>'TEA Revised Non EYZ'!DI29</f>
        <v>504921.59999999998</v>
      </c>
      <c r="ES29">
        <f>'TEA Revised Non EYZ'!DJ29</f>
        <v>90.115693382950013</v>
      </c>
      <c r="ET29">
        <f>'TEA Revised Non EYZ'!DK29</f>
        <v>1098.3939170045348</v>
      </c>
      <c r="EU29">
        <f>1.2*SUM(EP29:ET29)</f>
        <v>22775948.745527547</v>
      </c>
      <c r="EV29">
        <f>'TEA Revised Non EYZ'!DM29</f>
        <v>0.70639694042110623</v>
      </c>
      <c r="EW29">
        <f>(BS29*CO29+BT29*CP29)/1000*('Oxidant Feed Composition'!$B$11*'Oxidant Feed Composition'!$O$20+'Oxidant Feed Composition'!$D$11*'Oxidant Feed Composition'!$O$21+'Oxidant Feed Composition'!$F$11*'Oxidant Feed Composition'!$O$27-'Oxidant Feed Composition'!$J$15*18.015)</f>
        <v>1.8602709503630386</v>
      </c>
      <c r="EX29">
        <f>(CZ29*BX29+DC29*BZ29)*368.34/1000</f>
        <v>0.10272452666269243</v>
      </c>
      <c r="EY29">
        <f>'TEA Revised Non EYZ'!DP29</f>
        <v>4.999938342565946E-2</v>
      </c>
      <c r="EZ29">
        <f>SUM(EV29:EX29)-EY29</f>
        <v>2.619393034021178</v>
      </c>
      <c r="FA29">
        <f>EZ29*0.33*60*7200</f>
        <v>373420.67093005916</v>
      </c>
      <c r="FB29">
        <f>'TEA Revised Non EYZ'!DS29</f>
        <v>1.2</v>
      </c>
      <c r="FC29">
        <v>0.5</v>
      </c>
      <c r="FD29">
        <f>'TEA Revised Non EYZ'!DT29</f>
        <v>1406.5004141824479</v>
      </c>
      <c r="FE29">
        <f>'TEA Revised Non EYZ'!DU29</f>
        <v>706.74603480874009</v>
      </c>
      <c r="FF29">
        <f>'TEA Revised Non EYZ'!DV29</f>
        <v>0.7</v>
      </c>
      <c r="FG29">
        <f>'TEA Revised Non EYZ'!DW29</f>
        <v>33024.331428945443</v>
      </c>
      <c r="FH29">
        <f>'TEA Revised Non EYZ'!DX29</f>
        <v>24915.659383376755</v>
      </c>
      <c r="FI29">
        <f>'TEA Revised Non EYZ'!DY29</f>
        <v>10548.968690542577</v>
      </c>
      <c r="FJ29">
        <f>'TEA Revised Non EYZ'!DZ29</f>
        <v>5588.0830181845758</v>
      </c>
      <c r="FK29">
        <f>'TEA Revised Non EYZ'!EA29</f>
        <v>5626.1166349560426</v>
      </c>
      <c r="FL29">
        <f>'TEA Revised Non EYZ'!EB29</f>
        <v>850.6514504975446</v>
      </c>
      <c r="FM29">
        <f>'TEA Revised Non EYZ'!EC29</f>
        <v>46305.254709964174</v>
      </c>
      <c r="FN29">
        <f>'TEA Revised Non EYZ'!ED29</f>
        <v>46573.487344952133</v>
      </c>
      <c r="FO29">
        <f>'TEA Revised Non EYZ'!EE29</f>
        <v>19718.613593628921</v>
      </c>
      <c r="FP29">
        <f>'TEA Revised Non EYZ'!EF29</f>
        <v>10451.276698437257</v>
      </c>
      <c r="FQ29">
        <f>'TEA Revised Non EYZ'!EG29</f>
        <v>10516.593916602096</v>
      </c>
      <c r="FR29">
        <f>'TEA Revised Non EYZ'!EH29</f>
        <v>427.44000185232608</v>
      </c>
      <c r="FS29">
        <f>'TEA Revised Non EYZ'!EI29</f>
        <v>214546.47687193981</v>
      </c>
      <c r="FT29">
        <f>EG29*EH29</f>
        <v>2787.6854243457824</v>
      </c>
      <c r="FU29">
        <f>EG29*EI29</f>
        <v>4530.9709437047059</v>
      </c>
      <c r="FV29">
        <f>FC29*(FT29+FU29)/(3.6*10^6)*3600*7200*0.07</f>
        <v>1844.3014047487231</v>
      </c>
      <c r="FW29">
        <f>('CAPEX+OPEX'!$C$39/7/100+0.03)*EL29</f>
        <v>100602.06207251917</v>
      </c>
      <c r="FX29">
        <f>('CAPEX+OPEX'!$C$39/7/100+0.03)*EM29</f>
        <v>163513.79396917971</v>
      </c>
      <c r="FY29">
        <f>SUM(FV29:FX29)</f>
        <v>265960.15744644759</v>
      </c>
      <c r="FZ29">
        <f>FY29+FA29+FS29+EU29</f>
        <v>23629876.050775994</v>
      </c>
      <c r="GA29">
        <f>FZ29+EO29</f>
        <v>24695313.585796971</v>
      </c>
      <c r="GB29">
        <f>GA29/(BK29*60*7200)</f>
        <v>0.57165077744900394</v>
      </c>
      <c r="GC29">
        <f>'TEA Revised Non EYZ'!EM29/'TEA Revised Non EYZ'!EK29*GA29</f>
        <v>1912.2803911922167</v>
      </c>
      <c r="GD29">
        <f>'TEA Revised Non EYZ'!EN29/'TEA Revised Non EYZ'!EK29*GA29</f>
        <v>3505.1327331177372</v>
      </c>
    </row>
    <row r="30" spans="1:186">
      <c r="A30">
        <f>'TEA Revised Non EYZ'!A30</f>
        <v>5</v>
      </c>
      <c r="B30">
        <f>'TEA Revised Non EYZ'!B30</f>
        <v>1.54143585092054E-3</v>
      </c>
      <c r="C30">
        <f>'TEA Revised Non EYZ'!C30</f>
        <v>1.54143585092054E-3</v>
      </c>
      <c r="D30">
        <f>'TEA Revised Non EYZ'!D30</f>
        <v>3.4254130020456501E-4</v>
      </c>
      <c r="E30">
        <f>'TEA Revised Non EYZ'!E30</f>
        <v>0</v>
      </c>
      <c r="F30">
        <f>'TEA Revised Non EYZ'!F30</f>
        <v>0</v>
      </c>
      <c r="G30">
        <f>'TEA Revised Non EYZ'!G30</f>
        <v>0</v>
      </c>
      <c r="H30">
        <f>'TEA Revised Non EYZ'!H30</f>
        <v>1.7558377832426001E-5</v>
      </c>
      <c r="I30">
        <f>'TEA Revised Non EYZ'!I30</f>
        <v>1.05063644964669E-7</v>
      </c>
      <c r="J30">
        <f>'TEA Revised Non EYZ'!J30</f>
        <v>3.35605387572801E-4</v>
      </c>
      <c r="K30">
        <f>'TEA Revised Non EYZ'!K30</f>
        <v>0.12557893497872399</v>
      </c>
      <c r="L30">
        <f>'TEA Revised Non EYZ'!L30</f>
        <v>0.12701721899235199</v>
      </c>
      <c r="M30">
        <f>'TEA Revised Non EYZ'!M30</f>
        <v>5.7157122982957897E-4</v>
      </c>
      <c r="N30">
        <f>'TEA Revised Non EYZ'!N30</f>
        <v>-1.88000656708986E-16</v>
      </c>
      <c r="O30">
        <f>'TEA Revised Non EYZ'!O30</f>
        <v>-6.2354635343986299E-15</v>
      </c>
      <c r="P30">
        <f>'TEA Revised Non EYZ'!P30</f>
        <v>-1.51703600853245E-18</v>
      </c>
      <c r="Q30">
        <f>'TEA Revised Non EYZ'!Q30</f>
        <v>0.121348176216534</v>
      </c>
      <c r="R30">
        <f>'TEA Revised Non EYZ'!R30</f>
        <v>97.975160184298204</v>
      </c>
      <c r="S30">
        <f>'TEA Revised Non EYZ'!S30</f>
        <v>500</v>
      </c>
      <c r="T30">
        <f>'TEA Revised Non EYZ'!T30</f>
        <v>95</v>
      </c>
      <c r="U30">
        <f>'TEA Revised Non EYZ'!U30</f>
        <v>1</v>
      </c>
      <c r="V30">
        <f>'TEA Revised Non EYZ'!V30</f>
        <v>0.1</v>
      </c>
      <c r="W30">
        <f>'TEA Revised Non EYZ'!W30</f>
        <v>82.407501388038199</v>
      </c>
      <c r="X30" t="str">
        <f>'TEA Revised Non EYZ'!X30</f>
        <v>ddFc</v>
      </c>
      <c r="Y30">
        <f>'TEA Revised Non EYZ'!Y30</f>
        <v>1</v>
      </c>
      <c r="Z30">
        <f>'TEA Revised Non EYZ'!Z30</f>
        <v>0.28318429382522198</v>
      </c>
      <c r="AA30">
        <f>'TEA Revised Non EYZ'!AA30</f>
        <v>0.56945642916197003</v>
      </c>
      <c r="AB30">
        <f>'TEA Revised Non EYZ'!AB30</f>
        <v>3.7698628972227502E-3</v>
      </c>
      <c r="AC30">
        <f>'TEA Revised Non EYZ'!AC30</f>
        <v>1822.2107908876901</v>
      </c>
      <c r="AD30">
        <f>'TEA Revised Non EYZ'!AD30</f>
        <v>2662.6059073104898</v>
      </c>
      <c r="AE30">
        <f>'TEA Revised Non EYZ'!AE30</f>
        <v>2401.5030938442701</v>
      </c>
      <c r="AF30">
        <f>'TEA Revised Non EYZ'!AF30</f>
        <v>12</v>
      </c>
      <c r="AG30">
        <f>'TEA Revised Non EYZ'!AG30</f>
        <v>1.64912412966352E-3</v>
      </c>
      <c r="AH30">
        <f>'TEA Revised Non EYZ'!AH30</f>
        <v>1.66801192221077E-3</v>
      </c>
      <c r="AI30">
        <f>'TEA Revised Non EYZ'!AI30</f>
        <v>7.5059714998626504E-6</v>
      </c>
      <c r="AJ30">
        <f>'TEA Revised Non EYZ'!AJ30</f>
        <v>0</v>
      </c>
      <c r="AK30">
        <f>'TEA Revised Non EYZ'!AK30</f>
        <v>0</v>
      </c>
      <c r="AL30">
        <f>'TEA Revised Non EYZ'!AL30</f>
        <v>0</v>
      </c>
      <c r="AM30">
        <f>'TEA Revised Non EYZ'!AM30</f>
        <v>1.6121404312672901E-3</v>
      </c>
      <c r="AN30">
        <f>'TEA Revised Non EYZ'!AN30</f>
        <v>7.73929552459276E-5</v>
      </c>
      <c r="AO30">
        <f>'TEA Revised Non EYZ'!AO30</f>
        <v>7.4565411365620697E-6</v>
      </c>
      <c r="AP30">
        <f>'TEA Revised Non EYZ'!AP30</f>
        <v>1.73272364681595E-3</v>
      </c>
      <c r="AQ30">
        <f>'TEA Revised Non EYZ'!AQ30</f>
        <v>7.4522106149284603E-2</v>
      </c>
      <c r="AR30">
        <f>'TEA Revised Non EYZ'!AR30</f>
        <v>2.3158624767325598E-6</v>
      </c>
      <c r="AS30">
        <f>'TEA Revised Non EYZ'!AS30</f>
        <v>1.9933395754324901E-15</v>
      </c>
      <c r="AT30">
        <f>'TEA Revised Non EYZ'!AT30</f>
        <v>-2.0379531395775499E-13</v>
      </c>
      <c r="AU30">
        <f>'TEA Revised Non EYZ'!AU30</f>
        <v>-4.3741310791804103E-21</v>
      </c>
      <c r="AV30">
        <f>'TEA Revised Non EYZ'!AV30</f>
        <v>0.19723216376352101</v>
      </c>
      <c r="AW30">
        <f>'TEA Revised Non EYZ'!AW30</f>
        <v>99.341452824574603</v>
      </c>
      <c r="AX30">
        <f>'TEA Revised Non EYZ'!AX30</f>
        <v>500</v>
      </c>
      <c r="AY30">
        <f>'TEA Revised Non EYZ'!AY30</f>
        <v>95</v>
      </c>
      <c r="AZ30">
        <f>'TEA Revised Non EYZ'!AZ30</f>
        <v>0.92405262022284995</v>
      </c>
      <c r="BA30">
        <f>'TEA Revised Non EYZ'!BA30</f>
        <v>0.1</v>
      </c>
      <c r="BB30">
        <f>'TEA Revised Non EYZ'!BB30</f>
        <v>46.851010635911102</v>
      </c>
      <c r="BC30" t="str">
        <f>'TEA Revised Non EYZ'!BC30</f>
        <v>coeFc</v>
      </c>
      <c r="BD30">
        <f>'TEA Revised Non EYZ'!BD30</f>
        <v>1</v>
      </c>
      <c r="BE30">
        <f>'TEA Revised Non EYZ'!BE30</f>
        <v>1.8775014999999999E-2</v>
      </c>
      <c r="BF30">
        <f>'TEA Revised Non EYZ'!BF30</f>
        <v>0.10492961100000001</v>
      </c>
      <c r="BG30">
        <f>'TEA Revised Non EYZ'!BG30</f>
        <v>1.814625E-3</v>
      </c>
      <c r="BH30">
        <f>'TEA Revised Non EYZ'!BH30</f>
        <v>285.1951444</v>
      </c>
      <c r="BI30">
        <f>'TEA Revised Non EYZ'!BI30</f>
        <v>2169.8944889999998</v>
      </c>
      <c r="BJ30">
        <f>'TEA Revised Non EYZ'!BJ30</f>
        <v>866.49409060000005</v>
      </c>
      <c r="BK30">
        <f>'TEA Revised Non EYZ'!BK30</f>
        <v>100</v>
      </c>
      <c r="BL30">
        <f>'TEA Revised Non EYZ'!BL30</f>
        <v>12.134817621653401</v>
      </c>
      <c r="BM30">
        <f>'TEA Revised Non EYZ'!BM30</f>
        <v>92.405262022285001</v>
      </c>
      <c r="BN30">
        <f>'TEA Revised Non EYZ'!BN30</f>
        <v>19.723216376352102</v>
      </c>
      <c r="BO30">
        <f>'TEA Revised Non EYZ'!BO30</f>
        <v>169.88744670314762</v>
      </c>
      <c r="BP30">
        <f>'TEA Revised Non EYZ'!BP30</f>
        <v>552.25005853785888</v>
      </c>
      <c r="BQ30">
        <f>'TEA Revised Non EYZ'!BQ30</f>
        <v>16.988744670314762</v>
      </c>
      <c r="BR30">
        <f>'TEA Revised Non EYZ'!BR30</f>
        <v>55.225005853785888</v>
      </c>
      <c r="BS30">
        <f>'eLLE Bals'!CF30</f>
        <v>7.2808905729920399</v>
      </c>
      <c r="BT30">
        <f>'eLLE Bals'!CG30</f>
        <v>11.833929825811261</v>
      </c>
      <c r="BU30">
        <f>BM30</f>
        <v>92.405262022285001</v>
      </c>
      <c r="BV30">
        <f>BU30*(AM30*2+AN30*2+AO30*3)</f>
        <v>0.3143106214648167</v>
      </c>
      <c r="BW30">
        <f>BN30*BA30*(AP30*2+AQ30*2+AR30*3)</f>
        <v>0.3008118044390965</v>
      </c>
      <c r="BX30">
        <f>BV30/(2*V30*BL30+BV30)</f>
        <v>0.11465858748454584</v>
      </c>
      <c r="BY30">
        <f>BU30*BX30</f>
        <v>10.595056819614546</v>
      </c>
      <c r="BZ30">
        <f>BW30/(2*BN30*BA30+BW30)</f>
        <v>7.0855019966358637E-2</v>
      </c>
      <c r="CA30">
        <f>2*BN30*BA30/0.04</f>
        <v>98.616081881760522</v>
      </c>
      <c r="CB30">
        <f>(BS30+BL30)*2</f>
        <v>38.831416389290879</v>
      </c>
      <c r="CC30">
        <f>(BU30+BL30)*2</f>
        <v>209.0801592878768</v>
      </c>
      <c r="CD30">
        <f>(BT30+BN30)*2</f>
        <v>63.114292404326726</v>
      </c>
      <c r="CE30">
        <f>(CA30+BN30)*2</f>
        <v>236.67859651622524</v>
      </c>
      <c r="CF30">
        <f>'TEA Revised Non EYZ'!CB30</f>
        <v>2242.5142964815486</v>
      </c>
      <c r="CG30">
        <f>'TEA Revised Non EYZ'!CC30</f>
        <v>7289.7007726997381</v>
      </c>
      <c r="CH30">
        <f>'TEA Revised Non EYZ'!CD30</f>
        <v>2709.3726906065185</v>
      </c>
      <c r="CI30">
        <f>'TEA Revised Non EYZ'!CE30</f>
        <v>56226.109956054243</v>
      </c>
      <c r="CJ30">
        <f>BL30*V30</f>
        <v>1.2134817621653402</v>
      </c>
      <c r="CK30">
        <f>CJ30/2*1.2</f>
        <v>0.72808905729920415</v>
      </c>
      <c r="CL30">
        <f>'eLLE Bals'!CB30*'Oxidant Feed Composition'!$N$20</f>
        <v>4.0449392072178021E-2</v>
      </c>
      <c r="CM30">
        <f>'eLLE Bals'!CB30*'Oxidant Feed Composition'!$N$21</f>
        <v>2.0224696036089003</v>
      </c>
      <c r="CN30">
        <f>'eLLE Bals'!CB30*'Oxidant Feed Composition'!$N$22</f>
        <v>0.6067408810826701</v>
      </c>
      <c r="CO30">
        <f>CN30/CK30</f>
        <v>0.83333333333333326</v>
      </c>
      <c r="CP30">
        <f>CO30</f>
        <v>0.83333333333333326</v>
      </c>
      <c r="CQ30">
        <f>CL30/CO30</f>
        <v>4.8539270486613627E-2</v>
      </c>
      <c r="CR30">
        <f>CM30/CO30</f>
        <v>2.4269635243306804</v>
      </c>
      <c r="CS30">
        <f>BN30*BA30</f>
        <v>1.9723216376352104</v>
      </c>
      <c r="CT30">
        <f>CS30/2*1.2</f>
        <v>1.1833929825811262</v>
      </c>
      <c r="CU30">
        <f>'eLLE Bals'!CC30*'Oxidant Feed Composition'!$N$20</f>
        <v>6.574405458784037E-2</v>
      </c>
      <c r="CV30">
        <f>'eLLE Bals'!CC30*'Oxidant Feed Composition'!$N$21</f>
        <v>3.2872027293920172</v>
      </c>
      <c r="CW30">
        <f>'eLLE Bals'!CC30*'Oxidant Feed Composition'!$N$22</f>
        <v>0.9861608188176052</v>
      </c>
      <c r="CX30">
        <f>CU30/CP30</f>
        <v>7.8892865505408458E-2</v>
      </c>
      <c r="CY30">
        <f>CV30/CP30</f>
        <v>3.9446432752704208</v>
      </c>
      <c r="CZ30">
        <f>CJ30</f>
        <v>1.2134817621653402</v>
      </c>
      <c r="DA30">
        <f>'eLLE Bals'!BQ30</f>
        <v>2.4269635243306804</v>
      </c>
      <c r="DB30">
        <f>'eLLE Bals'!BU30</f>
        <v>6.9429901876644786</v>
      </c>
      <c r="DC30">
        <f>CS30</f>
        <v>1.9723216376352104</v>
      </c>
      <c r="DD30">
        <f>'eLLE Bals'!BX30</f>
        <v>3.9446432752704208</v>
      </c>
      <c r="DE30">
        <f>'eLLE Bals'!CA30</f>
        <v>21.919053460551211</v>
      </c>
      <c r="DF30">
        <f>2*2*(CJ30*'Reagent cost'!$C$36*122.44/1000*1.5+CK30*'Oxidant Feed Composition'!$N$26+CQ30*'Reagent cost'!$C$34+CR30*'Reagent cost'!$C$35)</f>
        <v>123.48528418648351</v>
      </c>
      <c r="DG30">
        <f>2*2*(CS30*'Reagent cost'!$C$36*122.44/1000*1.5+CT30*'Oxidant Feed Composition'!$N$26+CX30*'Reagent cost'!$C$34+CY30*'Reagent cost'!$C$35)</f>
        <v>200.70569292771108</v>
      </c>
      <c r="DH30">
        <f>(AF30+3)*2*(CZ30*'Reagent cost'!$C$38+DA30*'Reagent cost'!$C$39+DB30*'Reagent cost'!$C$36*122.44/1000*1.5)</f>
        <v>2863.8105690258967</v>
      </c>
      <c r="DI30">
        <f>3*2*(DC30*'Reagent cost'!$C$38+DD30*'Reagent cost'!$C$39+DE30*'Reagent cost'!$C$36*122.44/1000*1.5)</f>
        <v>1758.5014767184184</v>
      </c>
      <c r="DJ30">
        <f>7963.6*(CB30/1000)^0.6*1.7*('CAPEX+OPEX'!$G$116/'CAPEX+OPEX'!$G$115)</f>
        <v>2273.7926954959794</v>
      </c>
      <c r="DK30">
        <f>7963.6*(CC30/1000)^0.6*1.7*('CAPEX+OPEX'!$G$116/'CAPEX+OPEX'!$G$115)</f>
        <v>6243.5072626595684</v>
      </c>
      <c r="DL30">
        <f>7963.6*(CD30/1000)^0.6*1.7*('CAPEX+OPEX'!$G$116/'CAPEX+OPEX'!$G$115)</f>
        <v>3043.1093498360469</v>
      </c>
      <c r="DM30">
        <f>7963.6*(CE30/1000)^0.6*1.7*('CAPEX+OPEX'!$G$116/'CAPEX+OPEX'!$G$115)</f>
        <v>6725.681839605556</v>
      </c>
      <c r="DN30">
        <f>'TEA Revised Non EYZ'!CM30</f>
        <v>39625.826528698344</v>
      </c>
      <c r="DO30">
        <f>'TEA Revised Non EYZ'!CN30</f>
        <v>4586243.4239371875</v>
      </c>
      <c r="DP30">
        <f>'TEA Revised Non EYZ'!CO30</f>
        <v>11794834.586807497</v>
      </c>
      <c r="DQ30">
        <f>'TEA Revised Non EYZ'!CP30</f>
        <v>2275209.1661185985</v>
      </c>
      <c r="DR30">
        <f>'TEA Revised Non EYZ'!CQ30</f>
        <v>14083914.336508472</v>
      </c>
      <c r="DS30">
        <f>'TEA Revised Non EYZ'!CR30</f>
        <v>1662824.8986326549</v>
      </c>
      <c r="DT30">
        <f>'TEA Revised Non EYZ'!CS30</f>
        <v>589054.93036564998</v>
      </c>
      <c r="DU30">
        <f>'TEA Revised Non EYZ'!CT30</f>
        <v>1514922.9606835202</v>
      </c>
      <c r="DV30">
        <f>'TEA Revised Non EYZ'!CU30</f>
        <v>292226.78628879401</v>
      </c>
      <c r="DW30">
        <f>'TEA Revised Non EYZ'!CV30</f>
        <v>1808931.2781495745</v>
      </c>
      <c r="DX30">
        <f>'TEA Revised Non EYZ'!CW30</f>
        <v>213572.44139332071</v>
      </c>
      <c r="DY30">
        <f>'TEA Revised Non EYZ'!CX30</f>
        <v>4418708.3968808586</v>
      </c>
      <c r="DZ30">
        <f>'TEA Revised Non EYZ'!CY30</f>
        <v>884978.42390710395</v>
      </c>
      <c r="EA30">
        <f>'TEA Revised Non EYZ'!CZ30</f>
        <v>2275974.7265915852</v>
      </c>
      <c r="EB30">
        <f>'TEA Revised Non EYZ'!DA30</f>
        <v>439032.74112783116</v>
      </c>
      <c r="EC30">
        <f>'TEA Revised Non EYZ'!DB30</f>
        <v>2717683.9866179414</v>
      </c>
      <c r="ED30">
        <f>'TEA Revised Non EYZ'!DC30</f>
        <v>320864.81723687309</v>
      </c>
      <c r="EE30">
        <f>'TEA Revised Non EYZ'!DD30</f>
        <v>6638534.6954813348</v>
      </c>
      <c r="EF30">
        <v>0.7</v>
      </c>
      <c r="EG30">
        <v>100</v>
      </c>
      <c r="EH30">
        <f>96485*BL30*V30/EF30/EG30/60</f>
        <v>27.876854243457824</v>
      </c>
      <c r="EI30">
        <f>96485*BN30*BA30/EF30/EG30/60</f>
        <v>45.309393620769832</v>
      </c>
      <c r="EJ30">
        <f>EH30*('CAPEX+OPEX'!$O$25+'CAPEX+OPEX'!$O$26)</f>
        <v>888491.09844748781</v>
      </c>
      <c r="EK30">
        <f>EI30*('CAPEX+OPEX'!$O$25+'CAPEX+OPEX'!$O$26)</f>
        <v>1444100.993481176</v>
      </c>
      <c r="EL30">
        <f>EJ30*1.12/0.6*'CAPEX+OPEX'!$G$116/'CAPEX+OPEX'!$G$115</f>
        <v>1956151.2069656507</v>
      </c>
      <c r="EM30">
        <f>EK30*1.12/0.6*'CAPEX+OPEX'!$G$116/'CAPEX+OPEX'!$G$115</f>
        <v>3179412.7215394448</v>
      </c>
      <c r="EN30">
        <f>EL30+EM30+DY30+EE30+1.15*(SUM(DF30:DM30)+SUM(CF30:CI30))</f>
        <v>16298262.35653653</v>
      </c>
      <c r="EO30">
        <f>EN30/15</f>
        <v>1086550.8237691021</v>
      </c>
      <c r="EP30">
        <f>('eLLE Bals'!CB30+'eLLE Bals'!CC30)*'Oxidant Feed Composition'!$N$28*60*7200</f>
        <v>17710437.998314686</v>
      </c>
      <c r="EQ30" s="53">
        <f>('eLLE Bals'!BR30+'eLLE Bals'!BY30)*'Reagent cost'!$C$38*60*7200*1.5</f>
        <v>763332.54680988577</v>
      </c>
      <c r="ER30">
        <f>'TEA Revised Non EYZ'!DI30</f>
        <v>504921.59999999998</v>
      </c>
      <c r="ES30">
        <f>'TEA Revised Non EYZ'!DJ30</f>
        <v>95.322150691812865</v>
      </c>
      <c r="ET30">
        <f>'TEA Revised Non EYZ'!DK30</f>
        <v>1178.7096529332152</v>
      </c>
      <c r="EU30">
        <f>1.2*SUM(EP30:ET30)</f>
        <v>22775959.412313838</v>
      </c>
      <c r="EV30">
        <f>'TEA Revised Non EYZ'!DM30</f>
        <v>0.70639694042110623</v>
      </c>
      <c r="EW30">
        <f>(BS30*CO30+BT30*CP30)/1000*('Oxidant Feed Composition'!$B$11*'Oxidant Feed Composition'!$O$20+'Oxidant Feed Composition'!$D$11*'Oxidant Feed Composition'!$O$21+'Oxidant Feed Composition'!$F$11*'Oxidant Feed Composition'!$O$27-'Oxidant Feed Composition'!$J$15*18.015)</f>
        <v>1.8602629228807162</v>
      </c>
      <c r="EX30">
        <f>(CZ30*BX30+DC30*BZ30)*368.34/1000</f>
        <v>0.10272449861734524</v>
      </c>
      <c r="EY30">
        <f>'TEA Revised Non EYZ'!DP30</f>
        <v>4.999938342565946E-2</v>
      </c>
      <c r="EZ30">
        <f>SUM(EV30:EX30)-EY30</f>
        <v>2.6193849784935086</v>
      </c>
      <c r="FA30">
        <f>EZ30*0.33*60*7200</f>
        <v>373419.52253403462</v>
      </c>
      <c r="FB30">
        <f>'TEA Revised Non EYZ'!DS30</f>
        <v>1.2</v>
      </c>
      <c r="FC30">
        <v>0.5</v>
      </c>
      <c r="FD30">
        <f>'TEA Revised Non EYZ'!DT30</f>
        <v>1406.5012186924448</v>
      </c>
      <c r="FE30">
        <f>'TEA Revised Non EYZ'!DU30</f>
        <v>706.74523039054441</v>
      </c>
      <c r="FF30">
        <f>'TEA Revised Non EYZ'!DV30</f>
        <v>0.7</v>
      </c>
      <c r="FG30">
        <f>'TEA Revised Non EYZ'!DW30</f>
        <v>33024.331428945443</v>
      </c>
      <c r="FH30">
        <f>'TEA Revised Non EYZ'!DX30</f>
        <v>24915.659383376755</v>
      </c>
      <c r="FI30">
        <f>'TEA Revised Non EYZ'!DY30</f>
        <v>10548.968690542577</v>
      </c>
      <c r="FJ30">
        <f>'TEA Revised Non EYZ'!DZ30</f>
        <v>5588.0830181845758</v>
      </c>
      <c r="FK30">
        <f>'TEA Revised Non EYZ'!EA30</f>
        <v>5626.1166349560426</v>
      </c>
      <c r="FL30">
        <f>'TEA Revised Non EYZ'!EB30</f>
        <v>850.65193706519062</v>
      </c>
      <c r="FM30">
        <f>'TEA Revised Non EYZ'!EC30</f>
        <v>48877.768860517739</v>
      </c>
      <c r="FN30">
        <f>'TEA Revised Non EYZ'!ED30</f>
        <v>50454.611290364817</v>
      </c>
      <c r="FO30">
        <f>'TEA Revised Non EYZ'!EE30</f>
        <v>21361.831393098</v>
      </c>
      <c r="FP30">
        <f>'TEA Revised Non EYZ'!EF30</f>
        <v>11322.216423307031</v>
      </c>
      <c r="FQ30">
        <f>'TEA Revised Non EYZ'!EG30</f>
        <v>11392.976742985606</v>
      </c>
      <c r="FR30">
        <f>'TEA Revised Non EYZ'!EH30</f>
        <v>427.4395153402013</v>
      </c>
      <c r="FS30">
        <f>'TEA Revised Non EYZ'!EI30</f>
        <v>224390.65531868394</v>
      </c>
      <c r="FT30">
        <f>EG30*EH30</f>
        <v>2787.6854243457824</v>
      </c>
      <c r="FU30">
        <f>EG30*EI30</f>
        <v>4530.9393620769833</v>
      </c>
      <c r="FV30">
        <f>FC30*(FT30+FU30)/(3.6*10^6)*3600*7200*0.07</f>
        <v>1844.2934461785371</v>
      </c>
      <c r="FW30">
        <f>('CAPEX+OPEX'!$C$39/7/100+0.03)*EL30</f>
        <v>100602.06207251917</v>
      </c>
      <c r="FX30">
        <f>('CAPEX+OPEX'!$C$39/7/100+0.03)*EM30</f>
        <v>163512.65425060003</v>
      </c>
      <c r="FY30">
        <f>SUM(FV30:FX30)</f>
        <v>265959.00976929773</v>
      </c>
      <c r="FZ30">
        <f>FY30+FA30+FS30+EU30</f>
        <v>23639728.599935852</v>
      </c>
      <c r="GA30">
        <f>FZ30+EO30</f>
        <v>24726279.423704956</v>
      </c>
      <c r="GB30">
        <f>GA30/(BK30*60*7200)</f>
        <v>0.57236757925242954</v>
      </c>
      <c r="GC30">
        <f>'TEA Revised Non EYZ'!EM30/'TEA Revised Non EYZ'!EK30*GA30</f>
        <v>1914.6771331853938</v>
      </c>
      <c r="GD30">
        <f>'TEA Revised Non EYZ'!EN30/'TEA Revised Non EYZ'!EK30*GA30</f>
        <v>3509.531555877963</v>
      </c>
    </row>
    <row r="31" spans="1:186">
      <c r="A31">
        <f>'TEA Revised Non EYZ'!A31</f>
        <v>5</v>
      </c>
      <c r="B31">
        <f>'TEA Revised Non EYZ'!B31</f>
        <v>1.54143585092054E-3</v>
      </c>
      <c r="C31">
        <f>'TEA Revised Non EYZ'!C31</f>
        <v>1.54143585092054E-3</v>
      </c>
      <c r="D31">
        <f>'TEA Revised Non EYZ'!D31</f>
        <v>3.4254130020456501E-4</v>
      </c>
      <c r="E31">
        <f>'TEA Revised Non EYZ'!E31</f>
        <v>0</v>
      </c>
      <c r="F31">
        <f>'TEA Revised Non EYZ'!F31</f>
        <v>0</v>
      </c>
      <c r="G31">
        <f>'TEA Revised Non EYZ'!G31</f>
        <v>0</v>
      </c>
      <c r="H31">
        <f>'TEA Revised Non EYZ'!H31</f>
        <v>1.7558377832426001E-5</v>
      </c>
      <c r="I31">
        <f>'TEA Revised Non EYZ'!I31</f>
        <v>1.05063644964669E-7</v>
      </c>
      <c r="J31">
        <f>'TEA Revised Non EYZ'!J31</f>
        <v>3.35605387572801E-4</v>
      </c>
      <c r="K31">
        <f>'TEA Revised Non EYZ'!K31</f>
        <v>0.12557893497872399</v>
      </c>
      <c r="L31">
        <f>'TEA Revised Non EYZ'!L31</f>
        <v>0.12701721899235199</v>
      </c>
      <c r="M31">
        <f>'TEA Revised Non EYZ'!M31</f>
        <v>5.7157122982957897E-4</v>
      </c>
      <c r="N31">
        <f>'TEA Revised Non EYZ'!N31</f>
        <v>-1.88000656708986E-16</v>
      </c>
      <c r="O31">
        <f>'TEA Revised Non EYZ'!O31</f>
        <v>-6.2354635343986299E-15</v>
      </c>
      <c r="P31">
        <f>'TEA Revised Non EYZ'!P31</f>
        <v>-1.51703600853245E-18</v>
      </c>
      <c r="Q31">
        <f>'TEA Revised Non EYZ'!Q31</f>
        <v>0.121348176216534</v>
      </c>
      <c r="R31">
        <f>'TEA Revised Non EYZ'!R31</f>
        <v>97.975160184298204</v>
      </c>
      <c r="S31">
        <f>'TEA Revised Non EYZ'!S31</f>
        <v>500</v>
      </c>
      <c r="T31">
        <f>'TEA Revised Non EYZ'!T31</f>
        <v>95</v>
      </c>
      <c r="U31">
        <f>'TEA Revised Non EYZ'!U31</f>
        <v>1</v>
      </c>
      <c r="V31">
        <f>'TEA Revised Non EYZ'!V31</f>
        <v>0.1</v>
      </c>
      <c r="W31">
        <f>'TEA Revised Non EYZ'!W31</f>
        <v>82.407501388038199</v>
      </c>
      <c r="X31" t="str">
        <f>'TEA Revised Non EYZ'!X31</f>
        <v>ddFc</v>
      </c>
      <c r="Y31">
        <f>'TEA Revised Non EYZ'!Y31</f>
        <v>1</v>
      </c>
      <c r="Z31">
        <f>'TEA Revised Non EYZ'!Z31</f>
        <v>0.28318429382522198</v>
      </c>
      <c r="AA31">
        <f>'TEA Revised Non EYZ'!AA31</f>
        <v>0.56945642916197003</v>
      </c>
      <c r="AB31">
        <f>'TEA Revised Non EYZ'!AB31</f>
        <v>3.7698628972227502E-3</v>
      </c>
      <c r="AC31">
        <f>'TEA Revised Non EYZ'!AC31</f>
        <v>1822.2107908876901</v>
      </c>
      <c r="AD31">
        <f>'TEA Revised Non EYZ'!AD31</f>
        <v>2662.6059073104898</v>
      </c>
      <c r="AE31">
        <f>'TEA Revised Non EYZ'!AE31</f>
        <v>2401.5030938442701</v>
      </c>
      <c r="AF31">
        <f>'TEA Revised Non EYZ'!AF31</f>
        <v>13</v>
      </c>
      <c r="AG31">
        <f>'TEA Revised Non EYZ'!AG31</f>
        <v>1.64912412966352E-3</v>
      </c>
      <c r="AH31">
        <f>'TEA Revised Non EYZ'!AH31</f>
        <v>1.66801192221077E-3</v>
      </c>
      <c r="AI31">
        <f>'TEA Revised Non EYZ'!AI31</f>
        <v>7.5059714998626504E-6</v>
      </c>
      <c r="AJ31">
        <f>'TEA Revised Non EYZ'!AJ31</f>
        <v>0</v>
      </c>
      <c r="AK31">
        <f>'TEA Revised Non EYZ'!AK31</f>
        <v>0</v>
      </c>
      <c r="AL31">
        <f>'TEA Revised Non EYZ'!AL31</f>
        <v>0</v>
      </c>
      <c r="AM31">
        <f>'TEA Revised Non EYZ'!AM31</f>
        <v>1.61214069129301E-3</v>
      </c>
      <c r="AN31">
        <f>'TEA Revised Non EYZ'!AN31</f>
        <v>7.7392968598377306E-5</v>
      </c>
      <c r="AO31">
        <f>'TEA Revised Non EYZ'!AO31</f>
        <v>7.4565414696759002E-6</v>
      </c>
      <c r="AP31">
        <f>'TEA Revised Non EYZ'!AP31</f>
        <v>1.73271486747767E-3</v>
      </c>
      <c r="AQ31">
        <f>'TEA Revised Non EYZ'!AQ31</f>
        <v>7.4522251874090506E-2</v>
      </c>
      <c r="AR31">
        <f>'TEA Revised Non EYZ'!AR31</f>
        <v>2.3158514183141602E-6</v>
      </c>
      <c r="AS31">
        <f>'TEA Revised Non EYZ'!AS31</f>
        <v>2.9341221292888898E-18</v>
      </c>
      <c r="AT31">
        <f>'TEA Revised Non EYZ'!AT31</f>
        <v>-2.4871597836817398E-16</v>
      </c>
      <c r="AU31">
        <f>'TEA Revised Non EYZ'!AU31</f>
        <v>-1.16467030247466E-21</v>
      </c>
      <c r="AV31">
        <f>'TEA Revised Non EYZ'!AV31</f>
        <v>0.19723177640219999</v>
      </c>
      <c r="AW31">
        <f>'TEA Revised Non EYZ'!AW31</f>
        <v>99.341457262558706</v>
      </c>
      <c r="AX31">
        <f>'TEA Revised Non EYZ'!AX31</f>
        <v>500</v>
      </c>
      <c r="AY31">
        <f>'TEA Revised Non EYZ'!AY31</f>
        <v>95</v>
      </c>
      <c r="AZ31">
        <f>'TEA Revised Non EYZ'!AZ31</f>
        <v>0.92405262022284995</v>
      </c>
      <c r="BA31">
        <f>'TEA Revised Non EYZ'!BA31</f>
        <v>0.1</v>
      </c>
      <c r="BB31">
        <f>'TEA Revised Non EYZ'!BB31</f>
        <v>46.851102650847501</v>
      </c>
      <c r="BC31" t="str">
        <f>'TEA Revised Non EYZ'!BC31</f>
        <v>coeFc</v>
      </c>
      <c r="BD31">
        <f>'TEA Revised Non EYZ'!BD31</f>
        <v>1</v>
      </c>
      <c r="BE31">
        <f>'TEA Revised Non EYZ'!BE31</f>
        <v>1.8775014999999999E-2</v>
      </c>
      <c r="BF31">
        <f>'TEA Revised Non EYZ'!BF31</f>
        <v>0.10492961100000001</v>
      </c>
      <c r="BG31">
        <f>'TEA Revised Non EYZ'!BG31</f>
        <v>1.814625E-3</v>
      </c>
      <c r="BH31">
        <f>'TEA Revised Non EYZ'!BH31</f>
        <v>285.1951444</v>
      </c>
      <c r="BI31">
        <f>'TEA Revised Non EYZ'!BI31</f>
        <v>2169.8944889999998</v>
      </c>
      <c r="BJ31">
        <f>'TEA Revised Non EYZ'!BJ31</f>
        <v>866.49409060000005</v>
      </c>
      <c r="BK31">
        <f>'TEA Revised Non EYZ'!BK31</f>
        <v>100</v>
      </c>
      <c r="BL31">
        <f>'TEA Revised Non EYZ'!BL31</f>
        <v>12.134817621653401</v>
      </c>
      <c r="BM31">
        <f>'TEA Revised Non EYZ'!BM31</f>
        <v>92.405262022285001</v>
      </c>
      <c r="BN31">
        <f>'TEA Revised Non EYZ'!BN31</f>
        <v>19.723177640219998</v>
      </c>
      <c r="BO31">
        <f>'TEA Revised Non EYZ'!BO31</f>
        <v>169.88744670314762</v>
      </c>
      <c r="BP31">
        <f>'TEA Revised Non EYZ'!BP31</f>
        <v>591.69532920659992</v>
      </c>
      <c r="BQ31">
        <f>'TEA Revised Non EYZ'!BQ31</f>
        <v>16.988744670314762</v>
      </c>
      <c r="BR31">
        <f>'TEA Revised Non EYZ'!BR31</f>
        <v>59.169532920659996</v>
      </c>
      <c r="BS31">
        <f>'eLLE Bals'!CF31</f>
        <v>7.2808905729920399</v>
      </c>
      <c r="BT31">
        <f>'eLLE Bals'!CG31</f>
        <v>11.833906584131999</v>
      </c>
      <c r="BU31">
        <f>BM31</f>
        <v>92.405262022285001</v>
      </c>
      <c r="BV31">
        <f>BU31*(AM31*2+AN31*2+AO31*3)</f>
        <v>0.31431067208032387</v>
      </c>
      <c r="BW31">
        <f>BN31*BA31*(AP31*2+AQ31*2+AR31*3)</f>
        <v>0.30081175378327696</v>
      </c>
      <c r="BX31">
        <f>BV31/(2*V31*BL31+BV31)</f>
        <v>0.11465860383169008</v>
      </c>
      <c r="BY31">
        <f>BU31*BX31</f>
        <v>10.595058330176693</v>
      </c>
      <c r="BZ31">
        <f>BW31/(2*BN31*BA31+BW31)</f>
        <v>7.0855138178468918E-2</v>
      </c>
      <c r="CA31">
        <f>2*BN31*BA31/0.04</f>
        <v>98.615888201099992</v>
      </c>
      <c r="CB31">
        <f>(BS31+BL31)*2</f>
        <v>38.831416389290879</v>
      </c>
      <c r="CC31">
        <f>(BU31+BL31)*2</f>
        <v>209.0801592878768</v>
      </c>
      <c r="CD31">
        <f>(BT31+BN31)*2</f>
        <v>63.114168448703992</v>
      </c>
      <c r="CE31">
        <f>(CA31+BN31)*2</f>
        <v>236.67813168263999</v>
      </c>
      <c r="CF31">
        <f>'TEA Revised Non EYZ'!CB31</f>
        <v>2242.5142964815486</v>
      </c>
      <c r="CG31">
        <f>'TEA Revised Non EYZ'!CC31</f>
        <v>7810.3783455271196</v>
      </c>
      <c r="CH31">
        <f>'TEA Revised Non EYZ'!CD31</f>
        <v>2709.3726906065185</v>
      </c>
      <c r="CI31">
        <f>'TEA Revised Non EYZ'!CE31</f>
        <v>60242.142352210001</v>
      </c>
      <c r="CJ31">
        <f>BL31*V31</f>
        <v>1.2134817621653402</v>
      </c>
      <c r="CK31">
        <f>CJ31/2*1.2</f>
        <v>0.72808905729920415</v>
      </c>
      <c r="CL31">
        <f>'eLLE Bals'!CB31*'Oxidant Feed Composition'!$N$20</f>
        <v>4.0449392072178021E-2</v>
      </c>
      <c r="CM31">
        <f>'eLLE Bals'!CB31*'Oxidant Feed Composition'!$N$21</f>
        <v>2.0224696036089003</v>
      </c>
      <c r="CN31">
        <f>'eLLE Bals'!CB31*'Oxidant Feed Composition'!$N$22</f>
        <v>0.6067408810826701</v>
      </c>
      <c r="CO31">
        <f>CN31/CK31</f>
        <v>0.83333333333333326</v>
      </c>
      <c r="CP31">
        <f>CO31</f>
        <v>0.83333333333333326</v>
      </c>
      <c r="CQ31">
        <f>CL31/CO31</f>
        <v>4.8539270486613627E-2</v>
      </c>
      <c r="CR31">
        <f>CM31/CO31</f>
        <v>2.4269635243306804</v>
      </c>
      <c r="CS31">
        <f>BN31*BA31</f>
        <v>1.9723177640219998</v>
      </c>
      <c r="CT31">
        <f>CS31/2*1.2</f>
        <v>1.1833906584131999</v>
      </c>
      <c r="CU31">
        <f>'eLLE Bals'!CC31*'Oxidant Feed Composition'!$N$20</f>
        <v>6.5743925467400016E-2</v>
      </c>
      <c r="CV31">
        <f>'eLLE Bals'!CC31*'Oxidant Feed Composition'!$N$21</f>
        <v>3.2871962733699998</v>
      </c>
      <c r="CW31">
        <f>'eLLE Bals'!CC31*'Oxidant Feed Composition'!$N$22</f>
        <v>0.98615888201099988</v>
      </c>
      <c r="CX31">
        <f>CU31/CP31</f>
        <v>7.8892710560880028E-2</v>
      </c>
      <c r="CY31">
        <f>CV31/CP31</f>
        <v>3.944635528044</v>
      </c>
      <c r="CZ31">
        <f>CJ31</f>
        <v>1.2134817621653402</v>
      </c>
      <c r="DA31">
        <f>'eLLE Bals'!BQ31</f>
        <v>2.4269635243306804</v>
      </c>
      <c r="DB31">
        <f>'eLLE Bals'!BU31</f>
        <v>6.9429886784481578</v>
      </c>
      <c r="DC31">
        <f>CS31</f>
        <v>1.9723177640219998</v>
      </c>
      <c r="DD31">
        <f>'eLLE Bals'!BX31</f>
        <v>3.9446355280439995</v>
      </c>
      <c r="DE31">
        <f>'eLLE Bals'!CA31</f>
        <v>21.918963971325024</v>
      </c>
      <c r="DF31">
        <f>2*2*(CJ31*'Reagent cost'!$C$36*122.44/1000*1.5+CK31*'Oxidant Feed Composition'!$N$26+CQ31*'Reagent cost'!$C$34+CR31*'Reagent cost'!$C$35)</f>
        <v>123.48528418648351</v>
      </c>
      <c r="DG31">
        <f>2*2*(CS31*'Reagent cost'!$C$36*122.44/1000*1.5+CT31*'Oxidant Feed Composition'!$N$26+CX31*'Reagent cost'!$C$34+CY31*'Reagent cost'!$C$35)</f>
        <v>200.70529874442536</v>
      </c>
      <c r="DH31">
        <f>(AF31+3)*2*(CZ31*'Reagent cost'!$C$38+DA31*'Reagent cost'!$C$39+DB31*'Reagent cost'!$C$36*122.44/1000*1.5)</f>
        <v>3054.7306472391388</v>
      </c>
      <c r="DI31">
        <f>3*2*(DC31*'Reagent cost'!$C$38+DD31*'Reagent cost'!$C$39+DE31*'Reagent cost'!$C$36*122.44/1000*1.5)</f>
        <v>1758.4944090261761</v>
      </c>
      <c r="DJ31">
        <f>7963.6*(CB31/1000)^0.6*1.7*('CAPEX+OPEX'!$G$116/'CAPEX+OPEX'!$G$115)</f>
        <v>2273.7926954959794</v>
      </c>
      <c r="DK31">
        <f>7963.6*(CC31/1000)^0.6*1.7*('CAPEX+OPEX'!$G$116/'CAPEX+OPEX'!$G$115)</f>
        <v>6243.5072626595684</v>
      </c>
      <c r="DL31">
        <f>7963.6*(CD31/1000)^0.6*1.7*('CAPEX+OPEX'!$G$116/'CAPEX+OPEX'!$G$115)</f>
        <v>3043.1057638590996</v>
      </c>
      <c r="DM31">
        <f>7963.6*(CE31/1000)^0.6*1.7*('CAPEX+OPEX'!$G$116/'CAPEX+OPEX'!$G$115)</f>
        <v>6725.673914113152</v>
      </c>
      <c r="DN31">
        <f>'TEA Revised Non EYZ'!CM31</f>
        <v>39625.826528698344</v>
      </c>
      <c r="DO31">
        <f>'TEA Revised Non EYZ'!CN31</f>
        <v>4586243.4239371875</v>
      </c>
      <c r="DP31">
        <f>'TEA Revised Non EYZ'!CO31</f>
        <v>11794834.586807497</v>
      </c>
      <c r="DQ31">
        <f>'TEA Revised Non EYZ'!CP31</f>
        <v>2275209.1661185985</v>
      </c>
      <c r="DR31">
        <f>'TEA Revised Non EYZ'!CQ31</f>
        <v>14083914.336508472</v>
      </c>
      <c r="DS31">
        <f>'TEA Revised Non EYZ'!CR31</f>
        <v>1662824.8986326549</v>
      </c>
      <c r="DT31">
        <f>'TEA Revised Non EYZ'!CS31</f>
        <v>589054.93036564998</v>
      </c>
      <c r="DU31">
        <f>'TEA Revised Non EYZ'!CT31</f>
        <v>1514922.9606835202</v>
      </c>
      <c r="DV31">
        <f>'TEA Revised Non EYZ'!CU31</f>
        <v>292226.78628879401</v>
      </c>
      <c r="DW31">
        <f>'TEA Revised Non EYZ'!CV31</f>
        <v>1808931.2781495745</v>
      </c>
      <c r="DX31">
        <f>'TEA Revised Non EYZ'!CW31</f>
        <v>213572.44139332071</v>
      </c>
      <c r="DY31">
        <f>'TEA Revised Non EYZ'!CX31</f>
        <v>4418708.3968808586</v>
      </c>
      <c r="DZ31">
        <f>'TEA Revised Non EYZ'!CY31</f>
        <v>925216.76281415427</v>
      </c>
      <c r="EA31">
        <f>'TEA Revised Non EYZ'!CZ31</f>
        <v>2379459.1053272258</v>
      </c>
      <c r="EB31">
        <f>'TEA Revised Non EYZ'!DA31</f>
        <v>458994.7512193307</v>
      </c>
      <c r="EC31">
        <f>'TEA Revised Non EYZ'!DB31</f>
        <v>2841252.0718295593</v>
      </c>
      <c r="ED31">
        <f>'TEA Revised Non EYZ'!DC31</f>
        <v>335453.94948071335</v>
      </c>
      <c r="EE31">
        <f>'TEA Revised Non EYZ'!DD31</f>
        <v>6940376.6406709841</v>
      </c>
      <c r="EF31">
        <v>0.7</v>
      </c>
      <c r="EG31">
        <v>100</v>
      </c>
      <c r="EH31">
        <f>96485*BL31*V31/EF31/EG31/60</f>
        <v>27.876854243457824</v>
      </c>
      <c r="EI31">
        <f>96485*BN31*BA31/EF31/EG31/60</f>
        <v>45.309304633729205</v>
      </c>
      <c r="EJ31">
        <f>EH31*('CAPEX+OPEX'!$O$25+'CAPEX+OPEX'!$O$26)</f>
        <v>888491.09844748781</v>
      </c>
      <c r="EK31">
        <f>EI31*('CAPEX+OPEX'!$O$25+'CAPEX+OPEX'!$O$26)</f>
        <v>1444098.1572862172</v>
      </c>
      <c r="EL31">
        <f>EJ31*1.12/0.6*'CAPEX+OPEX'!$G$116/'CAPEX+OPEX'!$G$115</f>
        <v>1956151.2069656507</v>
      </c>
      <c r="EM31">
        <f>EK31*1.12/0.6*'CAPEX+OPEX'!$G$116/'CAPEX+OPEX'!$G$115</f>
        <v>3179406.4772155555</v>
      </c>
      <c r="EN31">
        <f>EL31+EM31+DY31+EE31+1.15*(SUM(DF31:DM31)+SUM(CF31:CI31))</f>
        <v>16605534.81013722</v>
      </c>
      <c r="EO31">
        <f>EN31/15</f>
        <v>1107035.654009148</v>
      </c>
      <c r="EP31">
        <f>('eLLE Bals'!CB31+'eLLE Bals'!CC31)*'Oxidant Feed Composition'!$N$28*60*7200</f>
        <v>17710416.464221716</v>
      </c>
      <c r="EQ31" s="53">
        <f>('eLLE Bals'!BR31+'eLLE Bals'!BY31)*'Reagent cost'!$C$38*60*7200*1.5</f>
        <v>763332.48802783201</v>
      </c>
      <c r="ER31">
        <f>'TEA Revised Non EYZ'!DI31</f>
        <v>504921.59999999998</v>
      </c>
      <c r="ES31">
        <f>'TEA Revised Non EYZ'!DJ31</f>
        <v>100.52892642008669</v>
      </c>
      <c r="ET31">
        <f>'TEA Revised Non EYZ'!DK31</f>
        <v>1259.0303008563305</v>
      </c>
      <c r="EU31">
        <f>1.2*SUM(EP31:ET31)</f>
        <v>22776036.133772191</v>
      </c>
      <c r="EV31">
        <f>'TEA Revised Non EYZ'!DM31</f>
        <v>0.70639694042110623</v>
      </c>
      <c r="EW31">
        <f>(BS31*CO31+BT31*CP31)/1000*('Oxidant Feed Composition'!$B$11*'Oxidant Feed Composition'!$O$20+'Oxidant Feed Composition'!$D$11*'Oxidant Feed Composition'!$O$21+'Oxidant Feed Composition'!$F$11*'Oxidant Feed Composition'!$O$27-'Oxidant Feed Composition'!$J$15*18.015)</f>
        <v>1.8602606609900318</v>
      </c>
      <c r="EX31">
        <f>(CZ31*BX31+DC31*BZ31)*368.34/1000</f>
        <v>0.10272449070682571</v>
      </c>
      <c r="EY31">
        <f>'TEA Revised Non EYZ'!DP31</f>
        <v>4.999938342565946E-2</v>
      </c>
      <c r="EZ31">
        <f>SUM(EV31:EX31)-EY31</f>
        <v>2.6193827086923043</v>
      </c>
      <c r="FA31">
        <f>EZ31*0.33*60*7200</f>
        <v>373419.19895117491</v>
      </c>
      <c r="FB31">
        <f>'TEA Revised Non EYZ'!DS31</f>
        <v>1.2</v>
      </c>
      <c r="FC31">
        <v>0.5</v>
      </c>
      <c r="FD31">
        <f>'TEA Revised Non EYZ'!DT31</f>
        <v>1406.5014453655667</v>
      </c>
      <c r="FE31">
        <f>'TEA Revised Non EYZ'!DU31</f>
        <v>706.74500362572746</v>
      </c>
      <c r="FF31">
        <f>'TEA Revised Non EYZ'!DV31</f>
        <v>0.7</v>
      </c>
      <c r="FG31">
        <f>'TEA Revised Non EYZ'!DW31</f>
        <v>33024.331428945443</v>
      </c>
      <c r="FH31">
        <f>'TEA Revised Non EYZ'!DX31</f>
        <v>24915.659383376755</v>
      </c>
      <c r="FI31">
        <f>'TEA Revised Non EYZ'!DY31</f>
        <v>10548.968690542577</v>
      </c>
      <c r="FJ31">
        <f>'TEA Revised Non EYZ'!DZ31</f>
        <v>5588.0830181845758</v>
      </c>
      <c r="FK31">
        <f>'TEA Revised Non EYZ'!EA31</f>
        <v>5626.1166349560426</v>
      </c>
      <c r="FL31">
        <f>'TEA Revised Non EYZ'!EB31</f>
        <v>850.65207415709494</v>
      </c>
      <c r="FM31">
        <f>'TEA Revised Non EYZ'!EC31</f>
        <v>51450.283011071304</v>
      </c>
      <c r="FN31">
        <f>'TEA Revised Non EYZ'!ED31</f>
        <v>54335.73523577748</v>
      </c>
      <c r="FO31">
        <f>'TEA Revised Non EYZ'!EE31</f>
        <v>23005.049192567072</v>
      </c>
      <c r="FP31">
        <f>'TEA Revised Non EYZ'!EF31</f>
        <v>12193.156148176799</v>
      </c>
      <c r="FQ31">
        <f>'TEA Revised Non EYZ'!EG31</f>
        <v>12269.359569369111</v>
      </c>
      <c r="FR31">
        <f>'TEA Revised Non EYZ'!EH31</f>
        <v>427.43937819284008</v>
      </c>
      <c r="FS31">
        <f>'TEA Revised Non EYZ'!EI31</f>
        <v>234234.8337653171</v>
      </c>
      <c r="FT31">
        <f>EG31*EH31</f>
        <v>2787.6854243457824</v>
      </c>
      <c r="FU31">
        <f>EG31*EI31</f>
        <v>4530.9304633729207</v>
      </c>
      <c r="FV31">
        <f>FC31*(FT31+FU31)/(3.6*10^6)*3600*7200*0.07</f>
        <v>1844.2912037051135</v>
      </c>
      <c r="FW31">
        <f>('CAPEX+OPEX'!$C$39/7/100+0.03)*EL31</f>
        <v>100602.06207251917</v>
      </c>
      <c r="FX31">
        <f>('CAPEX+OPEX'!$C$39/7/100+0.03)*EM31</f>
        <v>163512.33311394285</v>
      </c>
      <c r="FY31">
        <f>SUM(FV31:FX31)</f>
        <v>265958.6863901671</v>
      </c>
      <c r="FZ31">
        <f>FY31+FA31+FS31+EU31</f>
        <v>23649648.85287885</v>
      </c>
      <c r="GA31">
        <f>FZ31+EO31</f>
        <v>24756684.506887998</v>
      </c>
      <c r="GB31">
        <f>GA31/(BK31*60*7200)</f>
        <v>0.57307140062240736</v>
      </c>
      <c r="GC31">
        <f>'TEA Revised Non EYZ'!EM31/'TEA Revised Non EYZ'!EK31*GA31</f>
        <v>1917.0312387359195</v>
      </c>
      <c r="GD31">
        <f>'TEA Revised Non EYZ'!EN31/'TEA Revised Non EYZ'!EK31*GA31</f>
        <v>3513.848149435184</v>
      </c>
    </row>
    <row r="32" spans="1:186">
      <c r="A32">
        <f>'TEA Revised Non EYZ'!A32</f>
        <v>6</v>
      </c>
      <c r="B32">
        <f>'TEA Revised Non EYZ'!B32</f>
        <v>1.54143585092054E-3</v>
      </c>
      <c r="C32">
        <f>'TEA Revised Non EYZ'!C32</f>
        <v>1.54143585092054E-3</v>
      </c>
      <c r="D32">
        <f>'TEA Revised Non EYZ'!D32</f>
        <v>3.4254130020456501E-4</v>
      </c>
      <c r="E32">
        <f>'TEA Revised Non EYZ'!E32</f>
        <v>0</v>
      </c>
      <c r="F32">
        <f>'TEA Revised Non EYZ'!F32</f>
        <v>0</v>
      </c>
      <c r="G32">
        <f>'TEA Revised Non EYZ'!G32</f>
        <v>0</v>
      </c>
      <c r="H32">
        <f>'TEA Revised Non EYZ'!H32</f>
        <v>1.7693893431643E-5</v>
      </c>
      <c r="I32">
        <f>'TEA Revised Non EYZ'!I32</f>
        <v>3.7175600603836103E-8</v>
      </c>
      <c r="J32">
        <f>'TEA Revised Non EYZ'!J32</f>
        <v>3.36890310328726E-4</v>
      </c>
      <c r="K32">
        <f>'TEA Revised Non EYZ'!K32</f>
        <v>0.133710118829723</v>
      </c>
      <c r="L32">
        <f>'TEA Revised Non EYZ'!L32</f>
        <v>0.13525951632913</v>
      </c>
      <c r="M32">
        <f>'TEA Revised Non EYZ'!M32</f>
        <v>4.9588089642288804E-4</v>
      </c>
      <c r="N32">
        <f>'TEA Revised Non EYZ'!N32</f>
        <v>-1.72886878424538E-14</v>
      </c>
      <c r="O32">
        <f>'TEA Revised Non EYZ'!O32</f>
        <v>-1.05961268405396E-12</v>
      </c>
      <c r="P32">
        <f>'TEA Revised Non EYZ'!P32</f>
        <v>-9.6595637304880395E-18</v>
      </c>
      <c r="Q32">
        <f>'TEA Revised Non EYZ'!Q32</f>
        <v>0.11395861217105201</v>
      </c>
      <c r="R32">
        <f>'TEA Revised Non EYZ'!R32</f>
        <v>98.3502748800029</v>
      </c>
      <c r="S32">
        <f>'TEA Revised Non EYZ'!S32</f>
        <v>500</v>
      </c>
      <c r="T32">
        <f>'TEA Revised Non EYZ'!T32</f>
        <v>95</v>
      </c>
      <c r="U32">
        <f>'TEA Revised Non EYZ'!U32</f>
        <v>1</v>
      </c>
      <c r="V32">
        <f>'TEA Revised Non EYZ'!V32</f>
        <v>0.1</v>
      </c>
      <c r="W32">
        <f>'TEA Revised Non EYZ'!W32</f>
        <v>87.751156402202497</v>
      </c>
      <c r="X32" t="str">
        <f>'TEA Revised Non EYZ'!X32</f>
        <v>ddFc</v>
      </c>
      <c r="Y32">
        <f>'TEA Revised Non EYZ'!Y32</f>
        <v>1</v>
      </c>
      <c r="Z32">
        <f>'TEA Revised Non EYZ'!Z32</f>
        <v>0.28318429382522198</v>
      </c>
      <c r="AA32">
        <f>'TEA Revised Non EYZ'!AA32</f>
        <v>0.56945642916197003</v>
      </c>
      <c r="AB32">
        <f>'TEA Revised Non EYZ'!AB32</f>
        <v>3.7698628972227502E-3</v>
      </c>
      <c r="AC32">
        <f>'TEA Revised Non EYZ'!AC32</f>
        <v>1822.2107908876901</v>
      </c>
      <c r="AD32">
        <f>'TEA Revised Non EYZ'!AD32</f>
        <v>2662.6059073104898</v>
      </c>
      <c r="AE32">
        <f>'TEA Revised Non EYZ'!AE32</f>
        <v>2401.5030938442701</v>
      </c>
      <c r="AF32">
        <f>'TEA Revised Non EYZ'!AF32</f>
        <v>4</v>
      </c>
      <c r="AG32">
        <f>'TEA Revised Non EYZ'!AG32</f>
        <v>1.64951815726537E-3</v>
      </c>
      <c r="AH32">
        <f>'TEA Revised Non EYZ'!AH32</f>
        <v>1.6686323374819601E-3</v>
      </c>
      <c r="AI32">
        <f>'TEA Revised Non EYZ'!AI32</f>
        <v>6.1174468293775103E-6</v>
      </c>
      <c r="AJ32">
        <f>'TEA Revised Non EYZ'!AJ32</f>
        <v>0</v>
      </c>
      <c r="AK32">
        <f>'TEA Revised Non EYZ'!AK32</f>
        <v>0</v>
      </c>
      <c r="AL32">
        <f>'TEA Revised Non EYZ'!AL32</f>
        <v>0</v>
      </c>
      <c r="AM32">
        <f>'TEA Revised Non EYZ'!AM32</f>
        <v>1.60449551819817E-3</v>
      </c>
      <c r="AN32">
        <f>'TEA Revised Non EYZ'!AN32</f>
        <v>7.8378352599036395E-5</v>
      </c>
      <c r="AO32">
        <f>'TEA Revised Non EYZ'!AO32</f>
        <v>6.0687799409797502E-6</v>
      </c>
      <c r="AP32">
        <f>'TEA Revised Non EYZ'!AP32</f>
        <v>1.98992535233798E-3</v>
      </c>
      <c r="AQ32">
        <f>'TEA Revised Non EYZ'!AQ32</f>
        <v>7.0286566630574296E-2</v>
      </c>
      <c r="AR32">
        <f>'TEA Revised Non EYZ'!AR32</f>
        <v>2.1509950778718299E-6</v>
      </c>
      <c r="AS32">
        <f>'TEA Revised Non EYZ'!AS32</f>
        <v>-1.0218998498963401E-14</v>
      </c>
      <c r="AT32">
        <f>'TEA Revised Non EYZ'!AT32</f>
        <v>-1.31525649746389E-13</v>
      </c>
      <c r="AU32">
        <f>'TEA Revised Non EYZ'!AU32</f>
        <v>-3.7253567811428197E-18</v>
      </c>
      <c r="AV32">
        <f>'TEA Revised Non EYZ'!AV32</f>
        <v>0.20900106017960299</v>
      </c>
      <c r="AW32">
        <f>'TEA Revised Non EYZ'!AW32</f>
        <v>99.204457517079604</v>
      </c>
      <c r="AX32">
        <f>'TEA Revised Non EYZ'!AX32</f>
        <v>500</v>
      </c>
      <c r="AY32">
        <f>'TEA Revised Non EYZ'!AY32</f>
        <v>95</v>
      </c>
      <c r="AZ32">
        <f>'TEA Revised Non EYZ'!AZ32</f>
        <v>0.92374973309314701</v>
      </c>
      <c r="BA32">
        <f>'TEA Revised Non EYZ'!BA32</f>
        <v>0.1</v>
      </c>
      <c r="BB32">
        <f>'TEA Revised Non EYZ'!BB32</f>
        <v>44.198327620889899</v>
      </c>
      <c r="BC32" t="str">
        <f>'TEA Revised Non EYZ'!BC32</f>
        <v>coeFc</v>
      </c>
      <c r="BD32">
        <f>'TEA Revised Non EYZ'!BD32</f>
        <v>1</v>
      </c>
      <c r="BE32">
        <f>'TEA Revised Non EYZ'!BE32</f>
        <v>1.8775014999999999E-2</v>
      </c>
      <c r="BF32">
        <f>'TEA Revised Non EYZ'!BF32</f>
        <v>0.10492961100000001</v>
      </c>
      <c r="BG32">
        <f>'TEA Revised Non EYZ'!BG32</f>
        <v>1.814625E-3</v>
      </c>
      <c r="BH32">
        <f>'TEA Revised Non EYZ'!BH32</f>
        <v>285.1951444</v>
      </c>
      <c r="BI32">
        <f>'TEA Revised Non EYZ'!BI32</f>
        <v>2169.8944889999998</v>
      </c>
      <c r="BJ32">
        <f>'TEA Revised Non EYZ'!BJ32</f>
        <v>866.49409060000005</v>
      </c>
      <c r="BK32">
        <f>'TEA Revised Non EYZ'!BK32</f>
        <v>100</v>
      </c>
      <c r="BL32">
        <f>'TEA Revised Non EYZ'!BL32</f>
        <v>11.395861217105201</v>
      </c>
      <c r="BM32">
        <f>'TEA Revised Non EYZ'!BM32</f>
        <v>92.374973309314697</v>
      </c>
      <c r="BN32">
        <f>'TEA Revised Non EYZ'!BN32</f>
        <v>20.900106017960297</v>
      </c>
      <c r="BO32">
        <f>'TEA Revised Non EYZ'!BO32</f>
        <v>182.33377947368322</v>
      </c>
      <c r="BP32">
        <f>'TEA Revised Non EYZ'!BP32</f>
        <v>250.80127221552357</v>
      </c>
      <c r="BQ32">
        <f>'TEA Revised Non EYZ'!BQ32</f>
        <v>18.233377947368322</v>
      </c>
      <c r="BR32">
        <f>'TEA Revised Non EYZ'!BR32</f>
        <v>25.08012722155236</v>
      </c>
      <c r="BS32">
        <f>'eLLE Bals'!CF32</f>
        <v>6.8375167302631192</v>
      </c>
      <c r="BT32">
        <f>'eLLE Bals'!CG32</f>
        <v>12.540063610776178</v>
      </c>
      <c r="BU32">
        <f>BM32</f>
        <v>92.374973309314697</v>
      </c>
      <c r="BV32">
        <f>BU32*(AM32*2+AN32*2+AO32*3)</f>
        <v>0.31259266795087443</v>
      </c>
      <c r="BW32">
        <f>BN32*BA32*(AP32*2+AQ32*2+AR32*3)</f>
        <v>0.30213075581737631</v>
      </c>
      <c r="BX32">
        <f>BV32/(2*V32*BL32+BV32)</f>
        <v>0.12060996218418893</v>
      </c>
      <c r="BY32">
        <f>BU32*BX32</f>
        <v>11.141342037601907</v>
      </c>
      <c r="BZ32">
        <f>BW32/(2*BN32*BA32+BW32)</f>
        <v>6.7407521778263119E-2</v>
      </c>
      <c r="CA32">
        <f>2*BN32*BA32/0.04</f>
        <v>104.50053008980149</v>
      </c>
      <c r="CB32">
        <f>(BS32+BL32)*2</f>
        <v>36.466755894736643</v>
      </c>
      <c r="CC32">
        <f>(BU32+BL32)*2</f>
        <v>207.54166905283981</v>
      </c>
      <c r="CD32">
        <f>(BT32+BN32)*2</f>
        <v>66.880339257472954</v>
      </c>
      <c r="CE32">
        <f>(CA32+BN32)*2</f>
        <v>250.80127221552357</v>
      </c>
      <c r="CF32">
        <f>'TEA Revised Non EYZ'!CB32</f>
        <v>2406.8058890526186</v>
      </c>
      <c r="CG32">
        <f>'TEA Revised Non EYZ'!CC32</f>
        <v>3310.5767932449112</v>
      </c>
      <c r="CH32">
        <f>'TEA Revised Non EYZ'!CD32</f>
        <v>2907.8673690603878</v>
      </c>
      <c r="CI32">
        <f>'TEA Revised Non EYZ'!CE32</f>
        <v>25534.773044739486</v>
      </c>
      <c r="CJ32">
        <f>BL32*V32</f>
        <v>1.1395861217105201</v>
      </c>
      <c r="CK32">
        <f>CJ32/2*1.2</f>
        <v>0.68375167302631201</v>
      </c>
      <c r="CL32">
        <f>'eLLE Bals'!CB32*'Oxidant Feed Composition'!$N$20</f>
        <v>3.7986204057017352E-2</v>
      </c>
      <c r="CM32">
        <f>'eLLE Bals'!CB32*'Oxidant Feed Composition'!$N$21</f>
        <v>1.8993102028508668</v>
      </c>
      <c r="CN32">
        <f>'eLLE Bals'!CB32*'Oxidant Feed Composition'!$N$22</f>
        <v>0.56979306085526005</v>
      </c>
      <c r="CO32">
        <f>CN32/CK32</f>
        <v>0.83333333333333337</v>
      </c>
      <c r="CP32">
        <f>CO32</f>
        <v>0.83333333333333337</v>
      </c>
      <c r="CQ32">
        <f>CL32/CO32</f>
        <v>4.5583444868420822E-2</v>
      </c>
      <c r="CR32">
        <f>CM32/CO32</f>
        <v>2.2791722434210402</v>
      </c>
      <c r="CS32">
        <f>BN32*BA32</f>
        <v>2.0900106017960298</v>
      </c>
      <c r="CT32">
        <f>CS32/2*1.2</f>
        <v>1.2540063610776178</v>
      </c>
      <c r="CU32">
        <f>'eLLE Bals'!CC32*'Oxidant Feed Composition'!$N$20</f>
        <v>6.966702005986769E-2</v>
      </c>
      <c r="CV32">
        <f>'eLLE Bals'!CC32*'Oxidant Feed Composition'!$N$21</f>
        <v>3.4833510029933832</v>
      </c>
      <c r="CW32">
        <f>'eLLE Bals'!CC32*'Oxidant Feed Composition'!$N$22</f>
        <v>1.0450053008980149</v>
      </c>
      <c r="CX32">
        <f>CU32/CP32</f>
        <v>8.360042407184122E-2</v>
      </c>
      <c r="CY32">
        <f>CV32/CP32</f>
        <v>4.1800212035920596</v>
      </c>
      <c r="CZ32">
        <f>CJ32</f>
        <v>1.1395861217105201</v>
      </c>
      <c r="DA32">
        <f>'eLLE Bals'!BQ32</f>
        <v>2.2791722434210402</v>
      </c>
      <c r="DB32">
        <f>'eLLE Bals'!BU32</f>
        <v>6.0297656298858753</v>
      </c>
      <c r="DC32">
        <f>CS32</f>
        <v>2.0900106017960298</v>
      </c>
      <c r="DD32">
        <f>'eLLE Bals'!BX32</f>
        <v>4.1800212035920596</v>
      </c>
      <c r="DE32">
        <f>'eLLE Bals'!CA32</f>
        <v>24.735567371972483</v>
      </c>
      <c r="DF32">
        <f>2*2*(CJ32*'Reagent cost'!$C$36*122.44/1000*1.5+CK32*'Oxidant Feed Composition'!$N$26+CQ32*'Reagent cost'!$C$34+CR32*'Reagent cost'!$C$35)</f>
        <v>115.96557977376703</v>
      </c>
      <c r="DG32">
        <f>2*2*(CS32*'Reagent cost'!$C$36*122.44/1000*1.5+CT32*'Oxidant Feed Composition'!$N$26+CX32*'Reagent cost'!$C$34+CY32*'Reagent cost'!$C$35)</f>
        <v>212.68185576602122</v>
      </c>
      <c r="DH32">
        <f>(AF32+3)*2*(CZ32*'Reagent cost'!$C$38+DA32*'Reagent cost'!$C$39+DB32*'Reagent cost'!$C$36*122.44/1000*1.5)</f>
        <v>1166.009109309877</v>
      </c>
      <c r="DI32">
        <f>3*2*(DC32*'Reagent cost'!$C$38+DD32*'Reagent cost'!$C$39+DE32*'Reagent cost'!$C$36*122.44/1000*1.5)</f>
        <v>1980.8314630496839</v>
      </c>
      <c r="DJ32">
        <f>7963.6*(CB32/1000)^0.6*1.7*('CAPEX+OPEX'!$G$116/'CAPEX+OPEX'!$G$115)</f>
        <v>2189.6727102460782</v>
      </c>
      <c r="DK32">
        <f>7963.6*(CC32/1000)^0.6*1.7*('CAPEX+OPEX'!$G$116/'CAPEX+OPEX'!$G$115)</f>
        <v>6215.9013146876341</v>
      </c>
      <c r="DL32">
        <f>7963.6*(CD32/1000)^0.6*1.7*('CAPEX+OPEX'!$G$116/'CAPEX+OPEX'!$G$115)</f>
        <v>3150.7939894739484</v>
      </c>
      <c r="DM32">
        <f>7963.6*(CE32/1000)^0.6*1.7*('CAPEX+OPEX'!$G$116/'CAPEX+OPEX'!$G$115)</f>
        <v>6963.6794078678058</v>
      </c>
      <c r="DN32">
        <f>'TEA Revised Non EYZ'!CM32</f>
        <v>39625.826528698344</v>
      </c>
      <c r="DO32">
        <f>'TEA Revised Non EYZ'!CN32</f>
        <v>4586243.4239371875</v>
      </c>
      <c r="DP32">
        <f>'TEA Revised Non EYZ'!CO32</f>
        <v>11794834.586807497</v>
      </c>
      <c r="DQ32">
        <f>'TEA Revised Non EYZ'!CP32</f>
        <v>2275209.1661185985</v>
      </c>
      <c r="DR32">
        <f>'TEA Revised Non EYZ'!CQ32</f>
        <v>14083914.336508472</v>
      </c>
      <c r="DS32">
        <f>'TEA Revised Non EYZ'!CR32</f>
        <v>1662824.8986326549</v>
      </c>
      <c r="DT32">
        <f>'TEA Revised Non EYZ'!CS32</f>
        <v>646135.89638675924</v>
      </c>
      <c r="DU32">
        <f>'TEA Revised Non EYZ'!CT32</f>
        <v>1661722.9645298459</v>
      </c>
      <c r="DV32">
        <f>'TEA Revised Non EYZ'!CU32</f>
        <v>320544.32748695416</v>
      </c>
      <c r="DW32">
        <f>'TEA Revised Non EYZ'!CV32</f>
        <v>1984221.4582325809</v>
      </c>
      <c r="DX32">
        <f>'TEA Revised Non EYZ'!CW32</f>
        <v>234268.17050410178</v>
      </c>
      <c r="DY32">
        <f>'TEA Revised Non EYZ'!CX32</f>
        <v>4846892.8171402421</v>
      </c>
      <c r="DZ32">
        <f>'TEA Revised Non EYZ'!CY32</f>
        <v>498707.80181552708</v>
      </c>
      <c r="EA32">
        <f>'TEA Revised Non EYZ'!CZ32</f>
        <v>1282569.5205935668</v>
      </c>
      <c r="EB32">
        <f>'TEA Revised Non EYZ'!DA32</f>
        <v>247406.09187539818</v>
      </c>
      <c r="EC32">
        <f>'TEA Revised Non EYZ'!DB32</f>
        <v>1531483.8987958883</v>
      </c>
      <c r="ED32">
        <f>'TEA Revised Non EYZ'!DC32</f>
        <v>180815.46776889433</v>
      </c>
      <c r="EE32">
        <f>'TEA Revised Non EYZ'!DD32</f>
        <v>3740982.7808492747</v>
      </c>
      <c r="EF32">
        <v>0.7</v>
      </c>
      <c r="EG32">
        <v>100</v>
      </c>
      <c r="EH32">
        <f>96485*BL32*V32/EF32/EG32/60</f>
        <v>26.179277846009416</v>
      </c>
      <c r="EI32">
        <f>96485*BN32*BA32/EF32/EG32/60</f>
        <v>48.013017360545227</v>
      </c>
      <c r="EJ32">
        <f>EH32*('CAPEX+OPEX'!$O$25+'CAPEX+OPEX'!$O$26)</f>
        <v>834385.9435080121</v>
      </c>
      <c r="EK32">
        <f>EI32*('CAPEX+OPEX'!$O$25+'CAPEX+OPEX'!$O$26)</f>
        <v>1530270.8893152974</v>
      </c>
      <c r="EL32">
        <f>EJ32*1.12/0.6*'CAPEX+OPEX'!$G$116/'CAPEX+OPEX'!$G$115</f>
        <v>1837030.3015082346</v>
      </c>
      <c r="EM32">
        <f>EK32*1.12/0.6*'CAPEX+OPEX'!$G$116/'CAPEX+OPEX'!$G$115</f>
        <v>3369129.1362953805</v>
      </c>
      <c r="EN32">
        <f>EL32+EM32+DY32+EE32+1.15*(SUM(DF32:DM32)+SUM(CF32:CI32))</f>
        <v>13858613.928098345</v>
      </c>
      <c r="EO32">
        <f>EN32/15</f>
        <v>923907.59520655638</v>
      </c>
      <c r="EP32">
        <f>('eLLE Bals'!CB32+'eLLE Bals'!CC32)*'Oxidant Feed Composition'!$N$28*60*7200</f>
        <v>17953892.740149595</v>
      </c>
      <c r="EQ32" s="53">
        <f>('eLLE Bals'!BR32+'eLLE Bals'!BY32)*'Reagent cost'!$C$38*60*7200*1.5</f>
        <v>761807.66188287025</v>
      </c>
      <c r="ER32">
        <f>'TEA Revised Non EYZ'!DI32</f>
        <v>504921.59999999998</v>
      </c>
      <c r="ES32">
        <f>'TEA Revised Non EYZ'!DJ32</f>
        <v>57.1738268229753</v>
      </c>
      <c r="ET32">
        <f>'TEA Revised Non EYZ'!DK32</f>
        <v>568.85280827599752</v>
      </c>
      <c r="EU32">
        <f>1.2*SUM(EP32:ET32)</f>
        <v>23065497.634401072</v>
      </c>
      <c r="EV32">
        <f>'TEA Revised Non EYZ'!DM32</f>
        <v>0.70639694042110623</v>
      </c>
      <c r="EW32">
        <f>(BS32*CO32+BT32*CP32)/1000*('Oxidant Feed Composition'!$B$11*'Oxidant Feed Composition'!$O$20+'Oxidant Feed Composition'!$D$11*'Oxidant Feed Composition'!$O$21+'Oxidant Feed Composition'!$F$11*'Oxidant Feed Composition'!$O$27-'Oxidant Feed Composition'!$J$15*18.015)</f>
        <v>1.8858348387010977</v>
      </c>
      <c r="EX32">
        <f>(CZ32*BX32+DC32*BZ32)*368.34/1000</f>
        <v>0.1025192891837485</v>
      </c>
      <c r="EY32">
        <f>'TEA Revised Non EYZ'!DP32</f>
        <v>4.999938342565946E-2</v>
      </c>
      <c r="EZ32">
        <f>SUM(EV32:EX32)-EY32</f>
        <v>2.6447516848802932</v>
      </c>
      <c r="FA32">
        <f>EZ32*0.33*60*7200</f>
        <v>377035.8001965346</v>
      </c>
      <c r="FB32">
        <f>'TEA Revised Non EYZ'!DS32</f>
        <v>1.2</v>
      </c>
      <c r="FC32">
        <v>0.5</v>
      </c>
      <c r="FD32">
        <f>'TEA Revised Non EYZ'!DT32</f>
        <v>1399.085634031785</v>
      </c>
      <c r="FE32">
        <f>'TEA Revised Non EYZ'!DU32</f>
        <v>713.18193969377842</v>
      </c>
      <c r="FF32">
        <f>'TEA Revised Non EYZ'!DV32</f>
        <v>0.7</v>
      </c>
      <c r="FG32">
        <f>'TEA Revised Non EYZ'!DW32</f>
        <v>35776.359048024235</v>
      </c>
      <c r="FH32">
        <f>'TEA Revised Non EYZ'!DX32</f>
        <v>29068.269280606211</v>
      </c>
      <c r="FI32">
        <f>'TEA Revised Non EYZ'!DY32</f>
        <v>12307.130138966339</v>
      </c>
      <c r="FJ32">
        <f>'TEA Revised Non EYZ'!DZ32</f>
        <v>6519.4301878820042</v>
      </c>
      <c r="FK32">
        <f>'TEA Revised Non EYZ'!EA32</f>
        <v>6563.8027407820491</v>
      </c>
      <c r="FL32">
        <f>'TEA Revised Non EYZ'!EB32</f>
        <v>846.16699146242365</v>
      </c>
      <c r="FM32">
        <f>'TEA Revised Non EYZ'!EC32</f>
        <v>28289.73423978344</v>
      </c>
      <c r="FN32">
        <f>'TEA Revised Non EYZ'!ED32</f>
        <v>19400.174755088523</v>
      </c>
      <c r="FO32">
        <f>'TEA Revised Non EYZ'!EE32</f>
        <v>8213.783666468933</v>
      </c>
      <c r="FP32">
        <f>'TEA Revised Non EYZ'!EF32</f>
        <v>4353.4867414415085</v>
      </c>
      <c r="FQ32">
        <f>'TEA Revised Non EYZ'!EG32</f>
        <v>4380.6846221167634</v>
      </c>
      <c r="FR32">
        <f>'TEA Revised Non EYZ'!EH32</f>
        <v>431.33243712679723</v>
      </c>
      <c r="FS32">
        <f>'TEA Revised Non EYZ'!EI32</f>
        <v>156150.35484974924</v>
      </c>
      <c r="FT32">
        <f>EG32*EH32</f>
        <v>2617.9277846009418</v>
      </c>
      <c r="FU32">
        <f>EG32*EI32</f>
        <v>4801.3017360545227</v>
      </c>
      <c r="FV32">
        <f>FC32*(FT32+FU32)/(3.6*10^6)*3600*7200*0.07</f>
        <v>1869.645839205177</v>
      </c>
      <c r="FW32">
        <f>('CAPEX+OPEX'!$C$39/7/100+0.03)*EL32</f>
        <v>94475.844077566348</v>
      </c>
      <c r="FX32">
        <f>('CAPEX+OPEX'!$C$39/7/100+0.03)*EM32</f>
        <v>173269.49843804815</v>
      </c>
      <c r="FY32">
        <f>SUM(FV32:FX32)</f>
        <v>269614.98835481965</v>
      </c>
      <c r="FZ32">
        <f>FY32+FA32+FS32+EU32</f>
        <v>23868298.777802177</v>
      </c>
      <c r="GA32">
        <f>FZ32+EO32</f>
        <v>24792206.373008732</v>
      </c>
      <c r="GB32">
        <f>GA32/(BK32*60*7200)</f>
        <v>0.57389366604186876</v>
      </c>
      <c r="GC32">
        <f>'TEA Revised Non EYZ'!EM32/'TEA Revised Non EYZ'!EK32*GA32</f>
        <v>1929.5333691412498</v>
      </c>
      <c r="GD32">
        <f>'TEA Revised Non EYZ'!EN32/'TEA Revised Non EYZ'!EK32*GA32</f>
        <v>3489.8029656695257</v>
      </c>
    </row>
    <row r="33" spans="1:186">
      <c r="A33">
        <f>'TEA Revised Non EYZ'!A33</f>
        <v>6</v>
      </c>
      <c r="B33">
        <f>'TEA Revised Non EYZ'!B33</f>
        <v>1.54143585092054E-3</v>
      </c>
      <c r="C33">
        <f>'TEA Revised Non EYZ'!C33</f>
        <v>1.54143585092054E-3</v>
      </c>
      <c r="D33">
        <f>'TEA Revised Non EYZ'!D33</f>
        <v>3.4254130020456501E-4</v>
      </c>
      <c r="E33">
        <f>'TEA Revised Non EYZ'!E33</f>
        <v>0</v>
      </c>
      <c r="F33">
        <f>'TEA Revised Non EYZ'!F33</f>
        <v>0</v>
      </c>
      <c r="G33">
        <f>'TEA Revised Non EYZ'!G33</f>
        <v>0</v>
      </c>
      <c r="H33">
        <f>'TEA Revised Non EYZ'!H33</f>
        <v>1.7693893431643E-5</v>
      </c>
      <c r="I33">
        <f>'TEA Revised Non EYZ'!I33</f>
        <v>3.7175600603836103E-8</v>
      </c>
      <c r="J33">
        <f>'TEA Revised Non EYZ'!J33</f>
        <v>3.36890310328726E-4</v>
      </c>
      <c r="K33">
        <f>'TEA Revised Non EYZ'!K33</f>
        <v>0.133710118829723</v>
      </c>
      <c r="L33">
        <f>'TEA Revised Non EYZ'!L33</f>
        <v>0.13525951632913</v>
      </c>
      <c r="M33">
        <f>'TEA Revised Non EYZ'!M33</f>
        <v>4.9588089642288804E-4</v>
      </c>
      <c r="N33">
        <f>'TEA Revised Non EYZ'!N33</f>
        <v>-1.72886878424538E-14</v>
      </c>
      <c r="O33">
        <f>'TEA Revised Non EYZ'!O33</f>
        <v>-1.05961268405396E-12</v>
      </c>
      <c r="P33">
        <f>'TEA Revised Non EYZ'!P33</f>
        <v>-9.6595637304880395E-18</v>
      </c>
      <c r="Q33">
        <f>'TEA Revised Non EYZ'!Q33</f>
        <v>0.11395861217105201</v>
      </c>
      <c r="R33">
        <f>'TEA Revised Non EYZ'!R33</f>
        <v>98.3502748800029</v>
      </c>
      <c r="S33">
        <f>'TEA Revised Non EYZ'!S33</f>
        <v>500</v>
      </c>
      <c r="T33">
        <f>'TEA Revised Non EYZ'!T33</f>
        <v>95</v>
      </c>
      <c r="U33">
        <f>'TEA Revised Non EYZ'!U33</f>
        <v>1</v>
      </c>
      <c r="V33">
        <f>'TEA Revised Non EYZ'!V33</f>
        <v>0.1</v>
      </c>
      <c r="W33">
        <f>'TEA Revised Non EYZ'!W33</f>
        <v>87.751156402202497</v>
      </c>
      <c r="X33" t="str">
        <f>'TEA Revised Non EYZ'!X33</f>
        <v>ddFc</v>
      </c>
      <c r="Y33">
        <f>'TEA Revised Non EYZ'!Y33</f>
        <v>1</v>
      </c>
      <c r="Z33">
        <f>'TEA Revised Non EYZ'!Z33</f>
        <v>0.28318429382522198</v>
      </c>
      <c r="AA33">
        <f>'TEA Revised Non EYZ'!AA33</f>
        <v>0.56945642916197003</v>
      </c>
      <c r="AB33">
        <f>'TEA Revised Non EYZ'!AB33</f>
        <v>3.7698628972227502E-3</v>
      </c>
      <c r="AC33">
        <f>'TEA Revised Non EYZ'!AC33</f>
        <v>1822.2107908876901</v>
      </c>
      <c r="AD33">
        <f>'TEA Revised Non EYZ'!AD33</f>
        <v>2662.6059073104898</v>
      </c>
      <c r="AE33">
        <f>'TEA Revised Non EYZ'!AE33</f>
        <v>2401.5030938442701</v>
      </c>
      <c r="AF33">
        <f>'TEA Revised Non EYZ'!AF33</f>
        <v>5</v>
      </c>
      <c r="AG33">
        <f>'TEA Revised Non EYZ'!AG33</f>
        <v>1.64951815726537E-3</v>
      </c>
      <c r="AH33">
        <f>'TEA Revised Non EYZ'!AH33</f>
        <v>1.6686323374819601E-3</v>
      </c>
      <c r="AI33">
        <f>'TEA Revised Non EYZ'!AI33</f>
        <v>6.1174468293775103E-6</v>
      </c>
      <c r="AJ33">
        <f>'TEA Revised Non EYZ'!AJ33</f>
        <v>0</v>
      </c>
      <c r="AK33">
        <f>'TEA Revised Non EYZ'!AK33</f>
        <v>0</v>
      </c>
      <c r="AL33">
        <f>'TEA Revised Non EYZ'!AL33</f>
        <v>0</v>
      </c>
      <c r="AM33">
        <f>'TEA Revised Non EYZ'!AM33</f>
        <v>1.6101609638428101E-3</v>
      </c>
      <c r="AN33">
        <f>'TEA Revised Non EYZ'!AN33</f>
        <v>7.8670620175806696E-5</v>
      </c>
      <c r="AO33">
        <f>'TEA Revised Non EYZ'!AO33</f>
        <v>6.0746937584639903E-6</v>
      </c>
      <c r="AP33">
        <f>'TEA Revised Non EYZ'!AP33</f>
        <v>1.81262020813318E-3</v>
      </c>
      <c r="AQ33">
        <f>'TEA Revised Non EYZ'!AQ33</f>
        <v>7.3226683315541802E-2</v>
      </c>
      <c r="AR33">
        <f>'TEA Revised Non EYZ'!AR33</f>
        <v>1.96901947416695E-6</v>
      </c>
      <c r="AS33">
        <f>'TEA Revised Non EYZ'!AS33</f>
        <v>-5.6209106379795297E-17</v>
      </c>
      <c r="AT33">
        <f>'TEA Revised Non EYZ'!AT33</f>
        <v>1.07336015076064E-16</v>
      </c>
      <c r="AU33">
        <f>'TEA Revised Non EYZ'!AU33</f>
        <v>-4.8360287332300198E-20</v>
      </c>
      <c r="AV33">
        <f>'TEA Revised Non EYZ'!AV33</f>
        <v>0.200572611715987</v>
      </c>
      <c r="AW33">
        <f>'TEA Revised Non EYZ'!AW33</f>
        <v>99.301128851529697</v>
      </c>
      <c r="AX33">
        <f>'TEA Revised Non EYZ'!AX33</f>
        <v>500</v>
      </c>
      <c r="AY33">
        <f>'TEA Revised Non EYZ'!AY33</f>
        <v>95</v>
      </c>
      <c r="AZ33">
        <f>'TEA Revised Non EYZ'!AZ33</f>
        <v>0.92374973309314701</v>
      </c>
      <c r="BA33">
        <f>'TEA Revised Non EYZ'!BA33</f>
        <v>0.1</v>
      </c>
      <c r="BB33">
        <f>'TEA Revised Non EYZ'!BB33</f>
        <v>46.055626697486701</v>
      </c>
      <c r="BC33" t="str">
        <f>'TEA Revised Non EYZ'!BC33</f>
        <v>coeFc</v>
      </c>
      <c r="BD33">
        <f>'TEA Revised Non EYZ'!BD33</f>
        <v>1</v>
      </c>
      <c r="BE33">
        <f>'TEA Revised Non EYZ'!BE33</f>
        <v>1.8775014999999999E-2</v>
      </c>
      <c r="BF33">
        <f>'TEA Revised Non EYZ'!BF33</f>
        <v>0.10492961100000001</v>
      </c>
      <c r="BG33">
        <f>'TEA Revised Non EYZ'!BG33</f>
        <v>1.814625E-3</v>
      </c>
      <c r="BH33">
        <f>'TEA Revised Non EYZ'!BH33</f>
        <v>285.1951444</v>
      </c>
      <c r="BI33">
        <f>'TEA Revised Non EYZ'!BI33</f>
        <v>2169.8944889999998</v>
      </c>
      <c r="BJ33">
        <f>'TEA Revised Non EYZ'!BJ33</f>
        <v>866.49409060000005</v>
      </c>
      <c r="BK33">
        <f>'TEA Revised Non EYZ'!BK33</f>
        <v>100</v>
      </c>
      <c r="BL33">
        <f>'TEA Revised Non EYZ'!BL33</f>
        <v>11.395861217105201</v>
      </c>
      <c r="BM33">
        <f>'TEA Revised Non EYZ'!BM33</f>
        <v>92.374973309314697</v>
      </c>
      <c r="BN33">
        <f>'TEA Revised Non EYZ'!BN33</f>
        <v>20.0572611715987</v>
      </c>
      <c r="BO33">
        <f>'TEA Revised Non EYZ'!BO33</f>
        <v>182.33377947368322</v>
      </c>
      <c r="BP33">
        <f>'TEA Revised Non EYZ'!BP33</f>
        <v>280.80165640238181</v>
      </c>
      <c r="BQ33">
        <f>'TEA Revised Non EYZ'!BQ33</f>
        <v>18.233377947368322</v>
      </c>
      <c r="BR33">
        <f>'TEA Revised Non EYZ'!BR33</f>
        <v>28.080165640238182</v>
      </c>
      <c r="BS33">
        <f>'eLLE Bals'!CF33</f>
        <v>6.8375167302631192</v>
      </c>
      <c r="BT33">
        <f>'eLLE Bals'!CG33</f>
        <v>12.034356702959217</v>
      </c>
      <c r="BU33">
        <f>BM33</f>
        <v>92.374973309314697</v>
      </c>
      <c r="BV33">
        <f>BU33*(AM33*2+AN33*2+AO33*3)</f>
        <v>0.31369499401669587</v>
      </c>
      <c r="BW33">
        <f>BN33*BA33*(AP33*2+AQ33*2+AR33*3)</f>
        <v>0.30102842972319671</v>
      </c>
      <c r="BX33">
        <f>BV33/(2*V33*BL33+BV33)</f>
        <v>0.12098382419559914</v>
      </c>
      <c r="BY33">
        <f>BU33*BX33</f>
        <v>11.175877530927291</v>
      </c>
      <c r="BZ33">
        <f>BW33/(2*BN33*BA33+BW33)</f>
        <v>6.9804006829095794E-2</v>
      </c>
      <c r="CA33">
        <f>2*BN33*BA33/0.04</f>
        <v>100.2863058579935</v>
      </c>
      <c r="CB33">
        <f>(BS33+BL33)*2</f>
        <v>36.466755894736643</v>
      </c>
      <c r="CC33">
        <f>(BU33+BL33)*2</f>
        <v>207.54166905283981</v>
      </c>
      <c r="CD33">
        <f>(BT33+BN33)*2</f>
        <v>64.183235749115838</v>
      </c>
      <c r="CE33">
        <f>(CA33+BN33)*2</f>
        <v>240.68713405918439</v>
      </c>
      <c r="CF33">
        <f>'TEA Revised Non EYZ'!CB33</f>
        <v>2406.8058890526186</v>
      </c>
      <c r="CG33">
        <f>'TEA Revised Non EYZ'!CC33</f>
        <v>3706.58186451144</v>
      </c>
      <c r="CH33">
        <f>'TEA Revised Non EYZ'!CD33</f>
        <v>2907.8673690603878</v>
      </c>
      <c r="CI33">
        <f>'TEA Revised Non EYZ'!CE33</f>
        <v>28589.195355676231</v>
      </c>
      <c r="CJ33">
        <f>BL33*V33</f>
        <v>1.1395861217105201</v>
      </c>
      <c r="CK33">
        <f>CJ33/2*1.2</f>
        <v>0.68375167302631201</v>
      </c>
      <c r="CL33">
        <f>'eLLE Bals'!CB33*'Oxidant Feed Composition'!$N$20</f>
        <v>3.7986204057017352E-2</v>
      </c>
      <c r="CM33">
        <f>'eLLE Bals'!CB33*'Oxidant Feed Composition'!$N$21</f>
        <v>1.8993102028508668</v>
      </c>
      <c r="CN33">
        <f>'eLLE Bals'!CB33*'Oxidant Feed Composition'!$N$22</f>
        <v>0.56979306085526005</v>
      </c>
      <c r="CO33">
        <f>CN33/CK33</f>
        <v>0.83333333333333337</v>
      </c>
      <c r="CP33">
        <f>CO33</f>
        <v>0.83333333333333337</v>
      </c>
      <c r="CQ33">
        <f>CL33/CO33</f>
        <v>4.5583444868420822E-2</v>
      </c>
      <c r="CR33">
        <f>CM33/CO33</f>
        <v>2.2791722434210402</v>
      </c>
      <c r="CS33">
        <f>BN33*BA33</f>
        <v>2.0057261171598699</v>
      </c>
      <c r="CT33">
        <f>CS33/2*1.2</f>
        <v>1.2034356702959219</v>
      </c>
      <c r="CU33">
        <f>'eLLE Bals'!CC33*'Oxidant Feed Composition'!$N$20</f>
        <v>6.6857537238662348E-2</v>
      </c>
      <c r="CV33">
        <f>'eLLE Bals'!CC33*'Oxidant Feed Composition'!$N$21</f>
        <v>3.3428768619331164</v>
      </c>
      <c r="CW33">
        <f>'eLLE Bals'!CC33*'Oxidant Feed Composition'!$N$22</f>
        <v>1.002863058579935</v>
      </c>
      <c r="CX33">
        <f>CU33/CP33</f>
        <v>8.0229044686394815E-2</v>
      </c>
      <c r="CY33">
        <f>CV33/CP33</f>
        <v>4.0114522343197399</v>
      </c>
      <c r="CZ33">
        <f>CJ33</f>
        <v>1.1395861217105201</v>
      </c>
      <c r="DA33">
        <f>'eLLE Bals'!BQ33</f>
        <v>2.2791722434210402</v>
      </c>
      <c r="DB33">
        <f>'eLLE Bals'!BU33</f>
        <v>6.0005679728101518</v>
      </c>
      <c r="DC33">
        <f>CS33</f>
        <v>2.0057261171598699</v>
      </c>
      <c r="DD33">
        <f>'eLLE Bals'!BX33</f>
        <v>4.0114522343197399</v>
      </c>
      <c r="DE33">
        <f>'eLLE Bals'!CA33</f>
        <v>22.71650339934849</v>
      </c>
      <c r="DF33">
        <f>2*2*(CJ33*'Reagent cost'!$C$36*122.44/1000*1.5+CK33*'Oxidant Feed Composition'!$N$26+CQ33*'Reagent cost'!$C$34+CR33*'Reagent cost'!$C$35)</f>
        <v>115.96557977376703</v>
      </c>
      <c r="DG33">
        <f>2*2*(CS33*'Reagent cost'!$C$36*122.44/1000*1.5+CT33*'Oxidant Feed Composition'!$N$26+CX33*'Reagent cost'!$C$34+CY33*'Reagent cost'!$C$35)</f>
        <v>204.10497075438687</v>
      </c>
      <c r="DH33">
        <f>(AF33+3)*2*(CZ33*'Reagent cost'!$C$38+DA33*'Reagent cost'!$C$39+DB33*'Reagent cost'!$C$36*122.44/1000*1.5)</f>
        <v>1326.5227090872881</v>
      </c>
      <c r="DI33">
        <f>3*2*(DC33*'Reagent cost'!$C$38+DD33*'Reagent cost'!$C$39+DE33*'Reagent cost'!$C$36*122.44/1000*1.5)</f>
        <v>1821.4527969300243</v>
      </c>
      <c r="DJ33">
        <f>7963.6*(CB33/1000)^0.6*1.7*('CAPEX+OPEX'!$G$116/'CAPEX+OPEX'!$G$115)</f>
        <v>2189.6727102460782</v>
      </c>
      <c r="DK33">
        <f>7963.6*(CC33/1000)^0.6*1.7*('CAPEX+OPEX'!$G$116/'CAPEX+OPEX'!$G$115)</f>
        <v>6215.9013146876341</v>
      </c>
      <c r="DL33">
        <f>7963.6*(CD33/1000)^0.6*1.7*('CAPEX+OPEX'!$G$116/'CAPEX+OPEX'!$G$115)</f>
        <v>3073.9294278872244</v>
      </c>
      <c r="DM33">
        <f>7963.6*(CE33/1000)^0.6*1.7*('CAPEX+OPEX'!$G$116/'CAPEX+OPEX'!$G$115)</f>
        <v>6793.7983662940214</v>
      </c>
      <c r="DN33">
        <f>'TEA Revised Non EYZ'!CM33</f>
        <v>39625.826528698344</v>
      </c>
      <c r="DO33">
        <f>'TEA Revised Non EYZ'!CN33</f>
        <v>4586243.4239371875</v>
      </c>
      <c r="DP33">
        <f>'TEA Revised Non EYZ'!CO33</f>
        <v>11794834.586807497</v>
      </c>
      <c r="DQ33">
        <f>'TEA Revised Non EYZ'!CP33</f>
        <v>2275209.1661185985</v>
      </c>
      <c r="DR33">
        <f>'TEA Revised Non EYZ'!CQ33</f>
        <v>14083914.336508472</v>
      </c>
      <c r="DS33">
        <f>'TEA Revised Non EYZ'!CR33</f>
        <v>1662824.8986326549</v>
      </c>
      <c r="DT33">
        <f>'TEA Revised Non EYZ'!CS33</f>
        <v>646135.89638675924</v>
      </c>
      <c r="DU33">
        <f>'TEA Revised Non EYZ'!CT33</f>
        <v>1661722.9645298459</v>
      </c>
      <c r="DV33">
        <f>'TEA Revised Non EYZ'!CU33</f>
        <v>320544.32748695416</v>
      </c>
      <c r="DW33">
        <f>'TEA Revised Non EYZ'!CV33</f>
        <v>1984221.4582325809</v>
      </c>
      <c r="DX33">
        <f>'TEA Revised Non EYZ'!CW33</f>
        <v>234268.17050410178</v>
      </c>
      <c r="DY33">
        <f>'TEA Revised Non EYZ'!CX33</f>
        <v>4846892.8171402421</v>
      </c>
      <c r="DZ33">
        <f>'TEA Revised Non EYZ'!CY33</f>
        <v>556358.73376691749</v>
      </c>
      <c r="EA33">
        <f>'TEA Revised Non EYZ'!CZ33</f>
        <v>1430835.35458591</v>
      </c>
      <c r="EB33">
        <f>'TEA Revised Non EYZ'!DA33</f>
        <v>276006.38991594099</v>
      </c>
      <c r="EC33">
        <f>'TEA Revised Non EYZ'!DB33</f>
        <v>1708524.3896659126</v>
      </c>
      <c r="ED33">
        <f>'TEA Revised Non EYZ'!DC33</f>
        <v>201717.84826134806</v>
      </c>
      <c r="EE33">
        <f>'TEA Revised Non EYZ'!DD33</f>
        <v>4173442.7161960285</v>
      </c>
      <c r="EF33">
        <v>0.7</v>
      </c>
      <c r="EG33">
        <v>100</v>
      </c>
      <c r="EH33">
        <f>96485*BL33*V33/EF33/EG33/60</f>
        <v>26.179277846009416</v>
      </c>
      <c r="EI33">
        <f>96485*BN33*BA33/EF33/EG33/60</f>
        <v>46.076782003373829</v>
      </c>
      <c r="EJ33">
        <f>EH33*('CAPEX+OPEX'!$O$25+'CAPEX+OPEX'!$O$26)</f>
        <v>834385.9435080121</v>
      </c>
      <c r="EK33">
        <f>EI33*('CAPEX+OPEX'!$O$25+'CAPEX+OPEX'!$O$26)</f>
        <v>1468559.1960115307</v>
      </c>
      <c r="EL33">
        <f>EJ33*1.12/0.6*'CAPEX+OPEX'!$G$116/'CAPEX+OPEX'!$G$115</f>
        <v>1837030.3015082346</v>
      </c>
      <c r="EM33">
        <f>EK33*1.12/0.6*'CAPEX+OPEX'!$G$116/'CAPEX+OPEX'!$G$115</f>
        <v>3233261.254725161</v>
      </c>
      <c r="EN33">
        <f>EL33+EM33+DY33+EE33+1.15*(SUM(DF33:DM33)+SUM(CF33:CI33))</f>
        <v>14158881.657676723</v>
      </c>
      <c r="EO33">
        <f>EN33/15</f>
        <v>943925.4438451149</v>
      </c>
      <c r="EP33">
        <f>('eLLE Bals'!CB33+'eLLE Bals'!CC33)*'Oxidant Feed Composition'!$N$28*60*7200</f>
        <v>17485340.556589846</v>
      </c>
      <c r="EQ33" s="53">
        <f>('eLLE Bals'!BR33+'eLLE Bals'!BY33)*'Reagent cost'!$C$38*60*7200*1.5</f>
        <v>760579.61948802543</v>
      </c>
      <c r="ER33">
        <f>'TEA Revised Non EYZ'!DI33</f>
        <v>504921.59999999998</v>
      </c>
      <c r="ES33">
        <f>'TEA Revised Non EYZ'!DJ33</f>
        <v>61.133877535640586</v>
      </c>
      <c r="ET33">
        <f>'TEA Revised Non EYZ'!DK33</f>
        <v>629.94125449473233</v>
      </c>
      <c r="EU33">
        <f>1.2*SUM(EP33:ET33)</f>
        <v>22501839.421451885</v>
      </c>
      <c r="EV33">
        <f>'TEA Revised Non EYZ'!DM33</f>
        <v>0.70639694042110623</v>
      </c>
      <c r="EW33">
        <f>(BS33*CO33+BT33*CP33)/1000*('Oxidant Feed Composition'!$B$11*'Oxidant Feed Composition'!$O$20+'Oxidant Feed Composition'!$D$11*'Oxidant Feed Composition'!$O$21+'Oxidant Feed Composition'!$F$11*'Oxidant Feed Composition'!$O$27-'Oxidant Feed Composition'!$J$15*18.015)</f>
        <v>1.8366192148642424</v>
      </c>
      <c r="EX33">
        <f>(CZ33*BX33+DC33*BZ33)*368.34/1000</f>
        <v>0.10235402695325868</v>
      </c>
      <c r="EY33">
        <f>'TEA Revised Non EYZ'!DP33</f>
        <v>4.999938342565946E-2</v>
      </c>
      <c r="EZ33">
        <f>SUM(EV33:EX33)-EY33</f>
        <v>2.5953707988129482</v>
      </c>
      <c r="FA33">
        <f>EZ33*0.33*60*7200</f>
        <v>369996.06107877393</v>
      </c>
      <c r="FB33">
        <f>'TEA Revised Non EYZ'!DS33</f>
        <v>1.2</v>
      </c>
      <c r="FC33">
        <v>0.5</v>
      </c>
      <c r="FD33">
        <f>'TEA Revised Non EYZ'!DT33</f>
        <v>1404.0224885653424</v>
      </c>
      <c r="FE33">
        <f>'TEA Revised Non EYZ'!DU33</f>
        <v>708.24508509040857</v>
      </c>
      <c r="FF33">
        <f>'TEA Revised Non EYZ'!DV33</f>
        <v>0.7</v>
      </c>
      <c r="FG33">
        <f>'TEA Revised Non EYZ'!DW33</f>
        <v>35776.359048024235</v>
      </c>
      <c r="FH33">
        <f>'TEA Revised Non EYZ'!DX33</f>
        <v>29068.269280606211</v>
      </c>
      <c r="FI33">
        <f>'TEA Revised Non EYZ'!DY33</f>
        <v>12307.130138966339</v>
      </c>
      <c r="FJ33">
        <f>'TEA Revised Non EYZ'!DZ33</f>
        <v>6519.4301878820042</v>
      </c>
      <c r="FK33">
        <f>'TEA Revised Non EYZ'!EA33</f>
        <v>6563.8027407820491</v>
      </c>
      <c r="FL33">
        <f>'TEA Revised Non EYZ'!EB33</f>
        <v>849.15280108431921</v>
      </c>
      <c r="FM33">
        <f>'TEA Revised Non EYZ'!EC33</f>
        <v>30861.528261581931</v>
      </c>
      <c r="FN33">
        <f>'TEA Revised Non EYZ'!ED33</f>
        <v>23280.20970610623</v>
      </c>
      <c r="FO33">
        <f>'TEA Revised Non EYZ'!EE33</f>
        <v>9856.54039976272</v>
      </c>
      <c r="FP33">
        <f>'TEA Revised Non EYZ'!EF33</f>
        <v>5224.1840897298107</v>
      </c>
      <c r="FQ33">
        <f>'TEA Revised Non EYZ'!EG33</f>
        <v>5256.8215465401163</v>
      </c>
      <c r="FR33">
        <f>'TEA Revised Non EYZ'!EH33</f>
        <v>428.34662746267912</v>
      </c>
      <c r="FS33">
        <f>'TEA Revised Non EYZ'!EI33</f>
        <v>165991.77482852867</v>
      </c>
      <c r="FT33">
        <f>EG33*EH33</f>
        <v>2617.9277846009418</v>
      </c>
      <c r="FU33">
        <f>EG33*EI33</f>
        <v>4607.6782003373828</v>
      </c>
      <c r="FV33">
        <f>FC33*(FT33+FU33)/(3.6*10^6)*3600*7200*0.07</f>
        <v>1820.8527082044579</v>
      </c>
      <c r="FW33">
        <f>('CAPEX+OPEX'!$C$39/7/100+0.03)*EL33</f>
        <v>94475.844077566348</v>
      </c>
      <c r="FX33">
        <f>('CAPEX+OPEX'!$C$39/7/100+0.03)*EM33</f>
        <v>166282.00738586541</v>
      </c>
      <c r="FY33">
        <f>SUM(FV33:FX33)</f>
        <v>262578.7041716362</v>
      </c>
      <c r="FZ33">
        <f>FY33+FA33+FS33+EU33</f>
        <v>23300405.961530823</v>
      </c>
      <c r="GA33">
        <f>FZ33+EO33</f>
        <v>24244331.405375939</v>
      </c>
      <c r="GB33">
        <f>GA33/(BK33*60*7200)</f>
        <v>0.56121137512444308</v>
      </c>
      <c r="GC33">
        <f>'TEA Revised Non EYZ'!EM33/'TEA Revised Non EYZ'!EK33*GA33</f>
        <v>1880.2537727435667</v>
      </c>
      <c r="GD33">
        <f>'TEA Revised Non EYZ'!EN33/'TEA Revised Non EYZ'!EK33*GA33</f>
        <v>3434.6182300917399</v>
      </c>
    </row>
    <row r="34" spans="1:186">
      <c r="A34">
        <f>'TEA Revised Non EYZ'!A34</f>
        <v>6</v>
      </c>
      <c r="B34">
        <f>'TEA Revised Non EYZ'!B34</f>
        <v>1.54143585092054E-3</v>
      </c>
      <c r="C34">
        <f>'TEA Revised Non EYZ'!C34</f>
        <v>1.54143585092054E-3</v>
      </c>
      <c r="D34">
        <f>'TEA Revised Non EYZ'!D34</f>
        <v>3.4254130020456501E-4</v>
      </c>
      <c r="E34">
        <f>'TEA Revised Non EYZ'!E34</f>
        <v>0</v>
      </c>
      <c r="F34">
        <f>'TEA Revised Non EYZ'!F34</f>
        <v>0</v>
      </c>
      <c r="G34">
        <f>'TEA Revised Non EYZ'!G34</f>
        <v>0</v>
      </c>
      <c r="H34">
        <f>'TEA Revised Non EYZ'!H34</f>
        <v>1.7693893431643E-5</v>
      </c>
      <c r="I34">
        <f>'TEA Revised Non EYZ'!I34</f>
        <v>3.7175600603836103E-8</v>
      </c>
      <c r="J34">
        <f>'TEA Revised Non EYZ'!J34</f>
        <v>3.36890310328726E-4</v>
      </c>
      <c r="K34">
        <f>'TEA Revised Non EYZ'!K34</f>
        <v>0.133710118829723</v>
      </c>
      <c r="L34">
        <f>'TEA Revised Non EYZ'!L34</f>
        <v>0.13525951632913</v>
      </c>
      <c r="M34">
        <f>'TEA Revised Non EYZ'!M34</f>
        <v>4.9588089642288804E-4</v>
      </c>
      <c r="N34">
        <f>'TEA Revised Non EYZ'!N34</f>
        <v>-1.72886878424538E-14</v>
      </c>
      <c r="O34">
        <f>'TEA Revised Non EYZ'!O34</f>
        <v>-1.05961268405396E-12</v>
      </c>
      <c r="P34">
        <f>'TEA Revised Non EYZ'!P34</f>
        <v>-9.6595637304880395E-18</v>
      </c>
      <c r="Q34">
        <f>'TEA Revised Non EYZ'!Q34</f>
        <v>0.11395861217105201</v>
      </c>
      <c r="R34">
        <f>'TEA Revised Non EYZ'!R34</f>
        <v>98.3502748800029</v>
      </c>
      <c r="S34">
        <f>'TEA Revised Non EYZ'!S34</f>
        <v>500</v>
      </c>
      <c r="T34">
        <f>'TEA Revised Non EYZ'!T34</f>
        <v>95</v>
      </c>
      <c r="U34">
        <f>'TEA Revised Non EYZ'!U34</f>
        <v>1</v>
      </c>
      <c r="V34">
        <f>'TEA Revised Non EYZ'!V34</f>
        <v>0.1</v>
      </c>
      <c r="W34">
        <f>'TEA Revised Non EYZ'!W34</f>
        <v>87.751156402202497</v>
      </c>
      <c r="X34" t="str">
        <f>'TEA Revised Non EYZ'!X34</f>
        <v>ddFc</v>
      </c>
      <c r="Y34">
        <f>'TEA Revised Non EYZ'!Y34</f>
        <v>1</v>
      </c>
      <c r="Z34">
        <f>'TEA Revised Non EYZ'!Z34</f>
        <v>0.28318429382522198</v>
      </c>
      <c r="AA34">
        <f>'TEA Revised Non EYZ'!AA34</f>
        <v>0.56945642916197003</v>
      </c>
      <c r="AB34">
        <f>'TEA Revised Non EYZ'!AB34</f>
        <v>3.7698628972227502E-3</v>
      </c>
      <c r="AC34">
        <f>'TEA Revised Non EYZ'!AC34</f>
        <v>1822.2107908876901</v>
      </c>
      <c r="AD34">
        <f>'TEA Revised Non EYZ'!AD34</f>
        <v>2662.6059073104898</v>
      </c>
      <c r="AE34">
        <f>'TEA Revised Non EYZ'!AE34</f>
        <v>2401.5030938442701</v>
      </c>
      <c r="AF34">
        <f>'TEA Revised Non EYZ'!AF34</f>
        <v>6</v>
      </c>
      <c r="AG34">
        <f>'TEA Revised Non EYZ'!AG34</f>
        <v>1.64951815726537E-3</v>
      </c>
      <c r="AH34">
        <f>'TEA Revised Non EYZ'!AH34</f>
        <v>1.6686323374819601E-3</v>
      </c>
      <c r="AI34">
        <f>'TEA Revised Non EYZ'!AI34</f>
        <v>6.1174468293775103E-6</v>
      </c>
      <c r="AJ34">
        <f>'TEA Revised Non EYZ'!AJ34</f>
        <v>0</v>
      </c>
      <c r="AK34">
        <f>'TEA Revised Non EYZ'!AK34</f>
        <v>0</v>
      </c>
      <c r="AL34">
        <f>'TEA Revised Non EYZ'!AL34</f>
        <v>0</v>
      </c>
      <c r="AM34">
        <f>'TEA Revised Non EYZ'!AM34</f>
        <v>1.6118646916441E-3</v>
      </c>
      <c r="AN34">
        <f>'TEA Revised Non EYZ'!AN34</f>
        <v>7.8758511932156396E-5</v>
      </c>
      <c r="AO34">
        <f>'TEA Revised Non EYZ'!AO34</f>
        <v>6.0764721178985501E-6</v>
      </c>
      <c r="AP34">
        <f>'TEA Revised Non EYZ'!AP34</f>
        <v>1.75634842896041E-3</v>
      </c>
      <c r="AQ34">
        <f>'TEA Revised Non EYZ'!AQ34</f>
        <v>7.4159771210348502E-2</v>
      </c>
      <c r="AR34">
        <f>'TEA Revised Non EYZ'!AR34</f>
        <v>1.91126816471642E-6</v>
      </c>
      <c r="AS34">
        <f>'TEA Revised Non EYZ'!AS34</f>
        <v>-2.6427427954334101E-18</v>
      </c>
      <c r="AT34">
        <f>'TEA Revised Non EYZ'!AT34</f>
        <v>-2.7300210703185002E-16</v>
      </c>
      <c r="AU34">
        <f>'TEA Revised Non EYZ'!AU34</f>
        <v>-2.0447904742310799E-21</v>
      </c>
      <c r="AV34">
        <f>'TEA Revised Non EYZ'!AV34</f>
        <v>0.19803803302439801</v>
      </c>
      <c r="AW34">
        <f>'TEA Revised Non EYZ'!AW34</f>
        <v>99.330199139906</v>
      </c>
      <c r="AX34">
        <f>'TEA Revised Non EYZ'!AX34</f>
        <v>500</v>
      </c>
      <c r="AY34">
        <f>'TEA Revised Non EYZ'!AY34</f>
        <v>95</v>
      </c>
      <c r="AZ34">
        <f>'TEA Revised Non EYZ'!AZ34</f>
        <v>0.92374973309314701</v>
      </c>
      <c r="BA34">
        <f>'TEA Revised Non EYZ'!BA34</f>
        <v>0.1</v>
      </c>
      <c r="BB34">
        <f>'TEA Revised Non EYZ'!BB34</f>
        <v>46.645067060393401</v>
      </c>
      <c r="BC34" t="str">
        <f>'TEA Revised Non EYZ'!BC34</f>
        <v>coeFc</v>
      </c>
      <c r="BD34">
        <f>'TEA Revised Non EYZ'!BD34</f>
        <v>1</v>
      </c>
      <c r="BE34">
        <f>'TEA Revised Non EYZ'!BE34</f>
        <v>1.8775014999999999E-2</v>
      </c>
      <c r="BF34">
        <f>'TEA Revised Non EYZ'!BF34</f>
        <v>0.10492961100000001</v>
      </c>
      <c r="BG34">
        <f>'TEA Revised Non EYZ'!BG34</f>
        <v>1.814625E-3</v>
      </c>
      <c r="BH34">
        <f>'TEA Revised Non EYZ'!BH34</f>
        <v>285.1951444</v>
      </c>
      <c r="BI34">
        <f>'TEA Revised Non EYZ'!BI34</f>
        <v>2169.8944889999998</v>
      </c>
      <c r="BJ34">
        <f>'TEA Revised Non EYZ'!BJ34</f>
        <v>866.49409060000005</v>
      </c>
      <c r="BK34">
        <f>'TEA Revised Non EYZ'!BK34</f>
        <v>100</v>
      </c>
      <c r="BL34">
        <f>'TEA Revised Non EYZ'!BL34</f>
        <v>11.395861217105201</v>
      </c>
      <c r="BM34">
        <f>'TEA Revised Non EYZ'!BM34</f>
        <v>92.374973309314697</v>
      </c>
      <c r="BN34">
        <f>'TEA Revised Non EYZ'!BN34</f>
        <v>19.8038033024398</v>
      </c>
      <c r="BO34">
        <f>'TEA Revised Non EYZ'!BO34</f>
        <v>182.33377947368322</v>
      </c>
      <c r="BP34">
        <f>'TEA Revised Non EYZ'!BP34</f>
        <v>316.8608528390368</v>
      </c>
      <c r="BQ34">
        <f>'TEA Revised Non EYZ'!BQ34</f>
        <v>18.233377947368322</v>
      </c>
      <c r="BR34">
        <f>'TEA Revised Non EYZ'!BR34</f>
        <v>31.68608528390368</v>
      </c>
      <c r="BS34">
        <f>'eLLE Bals'!CF34</f>
        <v>6.8375167302631192</v>
      </c>
      <c r="BT34">
        <f>'eLLE Bals'!CG34</f>
        <v>11.88228198146388</v>
      </c>
      <c r="BU34">
        <f>BM34</f>
        <v>92.374973309314697</v>
      </c>
      <c r="BV34">
        <f>BU34*(AM34*2+AN34*2+AO34*3)</f>
        <v>0.31402648846204662</v>
      </c>
      <c r="BW34">
        <f>BN34*BA34*(AP34*2+AQ34*2+AR34*3)</f>
        <v>0.30069693527790986</v>
      </c>
      <c r="BX34">
        <f>BV34/(2*V34*BL34+BV34)</f>
        <v>0.12109619081681873</v>
      </c>
      <c r="BY34">
        <f>BU34*BX34</f>
        <v>11.186257394563309</v>
      </c>
      <c r="BZ34">
        <f>BW34/(2*BN34*BA34+BW34)</f>
        <v>7.0561991647336481E-2</v>
      </c>
      <c r="CA34">
        <f>2*BN34*BA34/0.04</f>
        <v>99.019016512199002</v>
      </c>
      <c r="CB34">
        <f>(BS34+BL34)*2</f>
        <v>36.466755894736643</v>
      </c>
      <c r="CC34">
        <f>(BU34+BL34)*2</f>
        <v>207.54166905283981</v>
      </c>
      <c r="CD34">
        <f>(BT34+BN34)*2</f>
        <v>63.372170567807359</v>
      </c>
      <c r="CE34">
        <f>(CA34+BN34)*2</f>
        <v>237.64563962927761</v>
      </c>
      <c r="CF34">
        <f>'TEA Revised Non EYZ'!CB34</f>
        <v>2406.8058890526186</v>
      </c>
      <c r="CG34">
        <f>'TEA Revised Non EYZ'!CC34</f>
        <v>4182.5632574752863</v>
      </c>
      <c r="CH34">
        <f>'TEA Revised Non EYZ'!CD34</f>
        <v>2907.8673690603878</v>
      </c>
      <c r="CI34">
        <f>'TEA Revised Non EYZ'!CE34</f>
        <v>32260.482144023998</v>
      </c>
      <c r="CJ34">
        <f>BL34*V34</f>
        <v>1.1395861217105201</v>
      </c>
      <c r="CK34">
        <f>CJ34/2*1.2</f>
        <v>0.68375167302631201</v>
      </c>
      <c r="CL34">
        <f>'eLLE Bals'!CB34*'Oxidant Feed Composition'!$N$20</f>
        <v>3.7986204057017352E-2</v>
      </c>
      <c r="CM34">
        <f>'eLLE Bals'!CB34*'Oxidant Feed Composition'!$N$21</f>
        <v>1.8993102028508668</v>
      </c>
      <c r="CN34">
        <f>'eLLE Bals'!CB34*'Oxidant Feed Composition'!$N$22</f>
        <v>0.56979306085526005</v>
      </c>
      <c r="CO34">
        <f>CN34/CK34</f>
        <v>0.83333333333333337</v>
      </c>
      <c r="CP34">
        <f>CO34</f>
        <v>0.83333333333333337</v>
      </c>
      <c r="CQ34">
        <f>CL34/CO34</f>
        <v>4.5583444868420822E-2</v>
      </c>
      <c r="CR34">
        <f>CM34/CO34</f>
        <v>2.2791722434210402</v>
      </c>
      <c r="CS34">
        <f>BN34*BA34</f>
        <v>1.98038033024398</v>
      </c>
      <c r="CT34">
        <f>CS34/2*1.2</f>
        <v>1.188228198146388</v>
      </c>
      <c r="CU34">
        <f>'eLLE Bals'!CC34*'Oxidant Feed Composition'!$N$20</f>
        <v>6.6012677674799361E-2</v>
      </c>
      <c r="CV34">
        <f>'eLLE Bals'!CC34*'Oxidant Feed Composition'!$N$21</f>
        <v>3.3006338837399669</v>
      </c>
      <c r="CW34">
        <f>'eLLE Bals'!CC34*'Oxidant Feed Composition'!$N$22</f>
        <v>0.99019016512198998</v>
      </c>
      <c r="CX34">
        <f>CU34/CP34</f>
        <v>7.921521320975923E-2</v>
      </c>
      <c r="CY34">
        <f>CV34/CP34</f>
        <v>3.9607606604879599</v>
      </c>
      <c r="CZ34">
        <f>CJ34</f>
        <v>1.1395861217105201</v>
      </c>
      <c r="DA34">
        <f>'eLLE Bals'!BQ34</f>
        <v>2.2791722434210402</v>
      </c>
      <c r="DB34">
        <f>'eLLE Bals'!BU34</f>
        <v>5.9918276658891516</v>
      </c>
      <c r="DC34">
        <f>CS34</f>
        <v>1.98038033024398</v>
      </c>
      <c r="DD34">
        <f>'eLLE Bals'!BX34</f>
        <v>3.9607606604879599</v>
      </c>
      <c r="DE34">
        <f>'eLLE Bals'!CA34</f>
        <v>22.124681472751973</v>
      </c>
      <c r="DF34">
        <f>2*2*(CJ34*'Reagent cost'!$C$36*122.44/1000*1.5+CK34*'Oxidant Feed Composition'!$N$26+CQ34*'Reagent cost'!$C$34+CR34*'Reagent cost'!$C$35)</f>
        <v>115.96557977376703</v>
      </c>
      <c r="DG34">
        <f>2*2*(CS34*'Reagent cost'!$C$36*122.44/1000*1.5+CT34*'Oxidant Feed Composition'!$N$26+CX34*'Reagent cost'!$C$34+CY34*'Reagent cost'!$C$35)</f>
        <v>201.52575465256939</v>
      </c>
      <c r="DH34">
        <f>(AF34+3)*2*(CZ34*'Reagent cost'!$C$38+DA34*'Reagent cost'!$C$39+DB34*'Reagent cost'!$C$36*122.44/1000*1.5)</f>
        <v>1490.2975247824961</v>
      </c>
      <c r="DI34">
        <f>3*2*(DC34*'Reagent cost'!$C$38+DD34*'Reagent cost'!$C$39+DE34*'Reagent cost'!$C$36*122.44/1000*1.5)</f>
        <v>1774.7190714747985</v>
      </c>
      <c r="DJ34">
        <f>7963.6*(CB34/1000)^0.6*1.7*('CAPEX+OPEX'!$G$116/'CAPEX+OPEX'!$G$115)</f>
        <v>2189.6727102460782</v>
      </c>
      <c r="DK34">
        <f>7963.6*(CC34/1000)^0.6*1.7*('CAPEX+OPEX'!$G$116/'CAPEX+OPEX'!$G$115)</f>
        <v>6215.9013146876341</v>
      </c>
      <c r="DL34">
        <f>7963.6*(CD34/1000)^0.6*1.7*('CAPEX+OPEX'!$G$116/'CAPEX+OPEX'!$G$115)</f>
        <v>3050.5635541858655</v>
      </c>
      <c r="DM34">
        <f>7963.6*(CE34/1000)^0.6*1.7*('CAPEX+OPEX'!$G$116/'CAPEX+OPEX'!$G$115)</f>
        <v>6742.1566359604703</v>
      </c>
      <c r="DN34">
        <f>'TEA Revised Non EYZ'!CM34</f>
        <v>39625.826528698344</v>
      </c>
      <c r="DO34">
        <f>'TEA Revised Non EYZ'!CN34</f>
        <v>4586243.4239371875</v>
      </c>
      <c r="DP34">
        <f>'TEA Revised Non EYZ'!CO34</f>
        <v>11794834.586807497</v>
      </c>
      <c r="DQ34">
        <f>'TEA Revised Non EYZ'!CP34</f>
        <v>2275209.1661185985</v>
      </c>
      <c r="DR34">
        <f>'TEA Revised Non EYZ'!CQ34</f>
        <v>14083914.336508472</v>
      </c>
      <c r="DS34">
        <f>'TEA Revised Non EYZ'!CR34</f>
        <v>1662824.8986326549</v>
      </c>
      <c r="DT34">
        <f>'TEA Revised Non EYZ'!CS34</f>
        <v>646135.89638675924</v>
      </c>
      <c r="DU34">
        <f>'TEA Revised Non EYZ'!CT34</f>
        <v>1661722.9645298459</v>
      </c>
      <c r="DV34">
        <f>'TEA Revised Non EYZ'!CU34</f>
        <v>320544.32748695416</v>
      </c>
      <c r="DW34">
        <f>'TEA Revised Non EYZ'!CV34</f>
        <v>1984221.4582325809</v>
      </c>
      <c r="DX34">
        <f>'TEA Revised Non EYZ'!CW34</f>
        <v>234268.17050410178</v>
      </c>
      <c r="DY34">
        <f>'TEA Revised Non EYZ'!CX34</f>
        <v>4846892.8171402421</v>
      </c>
      <c r="DZ34">
        <f>'TEA Revised Non EYZ'!CY34</f>
        <v>610271.35267664073</v>
      </c>
      <c r="EA34">
        <f>'TEA Revised Non EYZ'!CZ34</f>
        <v>1569487.0490997343</v>
      </c>
      <c r="EB34">
        <f>'TEA Revised Non EYZ'!DA34</f>
        <v>302752.13220965426</v>
      </c>
      <c r="EC34">
        <f>'TEA Revised Non EYZ'!DB34</f>
        <v>1874084.8791982206</v>
      </c>
      <c r="ED34">
        <f>'TEA Revised Non EYZ'!DC34</f>
        <v>221264.83623971866</v>
      </c>
      <c r="EE34">
        <f>'TEA Revised Non EYZ'!DD34</f>
        <v>4577860.2494239686</v>
      </c>
      <c r="EF34">
        <v>0.7</v>
      </c>
      <c r="EG34">
        <v>100</v>
      </c>
      <c r="EH34">
        <f>96485*BL34*V34/EF34/EG34/60</f>
        <v>26.179277846009416</v>
      </c>
      <c r="EI34">
        <f>96485*BN34*BA34/EF34/EG34/60</f>
        <v>45.494522896092967</v>
      </c>
      <c r="EJ34">
        <f>EH34*('CAPEX+OPEX'!$O$25+'CAPEX+OPEX'!$O$26)</f>
        <v>834385.9435080121</v>
      </c>
      <c r="EK34">
        <f>EI34*('CAPEX+OPEX'!$O$25+'CAPEX+OPEX'!$O$26)</f>
        <v>1450001.433744275</v>
      </c>
      <c r="EL34">
        <f>EJ34*1.12/0.6*'CAPEX+OPEX'!$G$116/'CAPEX+OPEX'!$G$115</f>
        <v>1837030.3015082346</v>
      </c>
      <c r="EM34">
        <f>EK34*1.12/0.6*'CAPEX+OPEX'!$G$116/'CAPEX+OPEX'!$G$115</f>
        <v>3192403.4575889762</v>
      </c>
      <c r="EN34">
        <f>EL34+EM34+DY34+EE34+1.15*(SUM(DF34:DM34)+SUM(CF34:CI34))</f>
        <v>14527256.124587603</v>
      </c>
      <c r="EO34">
        <f>EN34/15</f>
        <v>968483.74163917347</v>
      </c>
      <c r="EP34">
        <f>('eLLE Bals'!CB34+'eLLE Bals'!CC34)*'Oxidant Feed Composition'!$N$28*60*7200</f>
        <v>17344438.896518648</v>
      </c>
      <c r="EQ34" s="53">
        <f>('eLLE Bals'!BR34+'eLLE Bals'!BY34)*'Reagent cost'!$C$38*60*7200*1.5</f>
        <v>760196.18691939325</v>
      </c>
      <c r="ER34">
        <f>'TEA Revised Non EYZ'!DI34</f>
        <v>504921.59999999998</v>
      </c>
      <c r="ES34">
        <f>'TEA Revised Non EYZ'!DJ34</f>
        <v>65.893691465279048</v>
      </c>
      <c r="ET34">
        <f>'TEA Revised Non EYZ'!DK34</f>
        <v>703.36699026168776</v>
      </c>
      <c r="EU34">
        <f>1.2*SUM(EP34:ET34)</f>
        <v>22332391.132943723</v>
      </c>
      <c r="EV34">
        <f>'TEA Revised Non EYZ'!DM34</f>
        <v>0.70639694042110623</v>
      </c>
      <c r="EW34">
        <f>(BS34*CO34+BT34*CP34)/1000*('Oxidant Feed Composition'!$B$11*'Oxidant Feed Composition'!$O$20+'Oxidant Feed Composition'!$D$11*'Oxidant Feed Composition'!$O$21+'Oxidant Feed Composition'!$F$11*'Oxidant Feed Composition'!$O$27-'Oxidant Feed Composition'!$J$15*18.015)</f>
        <v>1.8218192345346915</v>
      </c>
      <c r="EX34">
        <f>(CZ34*BX34+DC34*BZ34)*368.34/1000</f>
        <v>0.10230242700703486</v>
      </c>
      <c r="EY34">
        <f>'TEA Revised Non EYZ'!DP34</f>
        <v>4.999938342565946E-2</v>
      </c>
      <c r="EZ34">
        <f>SUM(EV34:EX34)-EY34</f>
        <v>2.5805192185371735</v>
      </c>
      <c r="FA34">
        <f>EZ34*0.33*60*7200</f>
        <v>367878.81979465944</v>
      </c>
      <c r="FB34">
        <f>'TEA Revised Non EYZ'!DS34</f>
        <v>1.2</v>
      </c>
      <c r="FC34">
        <v>0.5</v>
      </c>
      <c r="FD34">
        <f>'TEA Revised Non EYZ'!DT34</f>
        <v>1405.5071126003013</v>
      </c>
      <c r="FE34">
        <f>'TEA Revised Non EYZ'!DU34</f>
        <v>706.76046105556952</v>
      </c>
      <c r="FF34">
        <f>'TEA Revised Non EYZ'!DV34</f>
        <v>0.7</v>
      </c>
      <c r="FG34">
        <f>'TEA Revised Non EYZ'!DW34</f>
        <v>35776.359048024235</v>
      </c>
      <c r="FH34">
        <f>'TEA Revised Non EYZ'!DX34</f>
        <v>29068.269280606211</v>
      </c>
      <c r="FI34">
        <f>'TEA Revised Non EYZ'!DY34</f>
        <v>12307.130138966339</v>
      </c>
      <c r="FJ34">
        <f>'TEA Revised Non EYZ'!DZ34</f>
        <v>6519.4301878820042</v>
      </c>
      <c r="FK34">
        <f>'TEA Revised Non EYZ'!EA34</f>
        <v>6563.8027407820491</v>
      </c>
      <c r="FL34">
        <f>'TEA Revised Non EYZ'!EB34</f>
        <v>850.05070170066233</v>
      </c>
      <c r="FM34">
        <f>'TEA Revised Non EYZ'!EC34</f>
        <v>33433.322283380425</v>
      </c>
      <c r="FN34">
        <f>'TEA Revised Non EYZ'!ED34</f>
        <v>27160.244657123931</v>
      </c>
      <c r="FO34">
        <f>'TEA Revised Non EYZ'!EE34</f>
        <v>11499.297133056505</v>
      </c>
      <c r="FP34">
        <f>'TEA Revised Non EYZ'!EF34</f>
        <v>6094.881438018112</v>
      </c>
      <c r="FQ34">
        <f>'TEA Revised Non EYZ'!EG34</f>
        <v>6132.9584709634682</v>
      </c>
      <c r="FR34">
        <f>'TEA Revised Non EYZ'!EH34</f>
        <v>427.44872684640848</v>
      </c>
      <c r="FS34">
        <f>'TEA Revised Non EYZ'!EI34</f>
        <v>175833.19480735034</v>
      </c>
      <c r="FT34">
        <f>EG34*EH34</f>
        <v>2617.9277846009418</v>
      </c>
      <c r="FU34">
        <f>EG34*EI34</f>
        <v>4549.4522896092967</v>
      </c>
      <c r="FV34">
        <f>FC34*(FT34+FU34)/(3.6*10^6)*3600*7200*0.07</f>
        <v>1806.1797787009803</v>
      </c>
      <c r="FW34">
        <f>('CAPEX+OPEX'!$C$39/7/100+0.03)*EL34</f>
        <v>94475.844077566348</v>
      </c>
      <c r="FX34">
        <f>('CAPEX+OPEX'!$C$39/7/100+0.03)*EM34</f>
        <v>164180.74924743306</v>
      </c>
      <c r="FY34">
        <f>SUM(FV34:FX34)</f>
        <v>260462.7731037004</v>
      </c>
      <c r="FZ34">
        <f>FY34+FA34+FS34+EU34</f>
        <v>23136565.920649432</v>
      </c>
      <c r="GA34">
        <f>FZ34+EO34</f>
        <v>24105049.662288606</v>
      </c>
      <c r="GB34">
        <f>GA34/(BK34*60*7200)</f>
        <v>0.55798726070112514</v>
      </c>
      <c r="GC34">
        <f>'TEA Revised Non EYZ'!EM34/'TEA Revised Non EYZ'!EK34*GA34</f>
        <v>1867.4757756672395</v>
      </c>
      <c r="GD34">
        <f>'TEA Revised Non EYZ'!EN34/'TEA Revised Non EYZ'!EK34*GA34</f>
        <v>3421.5001061536677</v>
      </c>
    </row>
    <row r="35" spans="1:186">
      <c r="A35">
        <f>'TEA Revised Non EYZ'!A35</f>
        <v>6</v>
      </c>
      <c r="B35">
        <f>'TEA Revised Non EYZ'!B35</f>
        <v>1.54143585092054E-3</v>
      </c>
      <c r="C35">
        <f>'TEA Revised Non EYZ'!C35</f>
        <v>1.54143585092054E-3</v>
      </c>
      <c r="D35">
        <f>'TEA Revised Non EYZ'!D35</f>
        <v>3.4254130020456501E-4</v>
      </c>
      <c r="E35">
        <f>'TEA Revised Non EYZ'!E35</f>
        <v>0</v>
      </c>
      <c r="F35">
        <f>'TEA Revised Non EYZ'!F35</f>
        <v>0</v>
      </c>
      <c r="G35">
        <f>'TEA Revised Non EYZ'!G35</f>
        <v>0</v>
      </c>
      <c r="H35">
        <f>'TEA Revised Non EYZ'!H35</f>
        <v>1.7693893431643E-5</v>
      </c>
      <c r="I35">
        <f>'TEA Revised Non EYZ'!I35</f>
        <v>3.7175600603836103E-8</v>
      </c>
      <c r="J35">
        <f>'TEA Revised Non EYZ'!J35</f>
        <v>3.36890310328726E-4</v>
      </c>
      <c r="K35">
        <f>'TEA Revised Non EYZ'!K35</f>
        <v>0.133710118829723</v>
      </c>
      <c r="L35">
        <f>'TEA Revised Non EYZ'!L35</f>
        <v>0.13525951632913</v>
      </c>
      <c r="M35">
        <f>'TEA Revised Non EYZ'!M35</f>
        <v>4.9588089642288804E-4</v>
      </c>
      <c r="N35">
        <f>'TEA Revised Non EYZ'!N35</f>
        <v>-1.72886878424538E-14</v>
      </c>
      <c r="O35">
        <f>'TEA Revised Non EYZ'!O35</f>
        <v>-1.05961268405396E-12</v>
      </c>
      <c r="P35">
        <f>'TEA Revised Non EYZ'!P35</f>
        <v>-9.6595637304880395E-18</v>
      </c>
      <c r="Q35">
        <f>'TEA Revised Non EYZ'!Q35</f>
        <v>0.11395861217105201</v>
      </c>
      <c r="R35">
        <f>'TEA Revised Non EYZ'!R35</f>
        <v>98.3502748800029</v>
      </c>
      <c r="S35">
        <f>'TEA Revised Non EYZ'!S35</f>
        <v>500</v>
      </c>
      <c r="T35">
        <f>'TEA Revised Non EYZ'!T35</f>
        <v>95</v>
      </c>
      <c r="U35">
        <f>'TEA Revised Non EYZ'!U35</f>
        <v>1</v>
      </c>
      <c r="V35">
        <f>'TEA Revised Non EYZ'!V35</f>
        <v>0.1</v>
      </c>
      <c r="W35">
        <f>'TEA Revised Non EYZ'!W35</f>
        <v>87.751156402202497</v>
      </c>
      <c r="X35" t="str">
        <f>'TEA Revised Non EYZ'!X35</f>
        <v>ddFc</v>
      </c>
      <c r="Y35">
        <f>'TEA Revised Non EYZ'!Y35</f>
        <v>1</v>
      </c>
      <c r="Z35">
        <f>'TEA Revised Non EYZ'!Z35</f>
        <v>0.28318429382522198</v>
      </c>
      <c r="AA35">
        <f>'TEA Revised Non EYZ'!AA35</f>
        <v>0.56945642916197003</v>
      </c>
      <c r="AB35">
        <f>'TEA Revised Non EYZ'!AB35</f>
        <v>3.7698628972227502E-3</v>
      </c>
      <c r="AC35">
        <f>'TEA Revised Non EYZ'!AC35</f>
        <v>1822.2107908876901</v>
      </c>
      <c r="AD35">
        <f>'TEA Revised Non EYZ'!AD35</f>
        <v>2662.6059073104898</v>
      </c>
      <c r="AE35">
        <f>'TEA Revised Non EYZ'!AE35</f>
        <v>2401.5030938442701</v>
      </c>
      <c r="AF35">
        <f>'TEA Revised Non EYZ'!AF35</f>
        <v>7</v>
      </c>
      <c r="AG35">
        <f>'TEA Revised Non EYZ'!AG35</f>
        <v>1.64951815726537E-3</v>
      </c>
      <c r="AH35">
        <f>'TEA Revised Non EYZ'!AH35</f>
        <v>1.6686323374819601E-3</v>
      </c>
      <c r="AI35">
        <f>'TEA Revised Non EYZ'!AI35</f>
        <v>6.1174468293775103E-6</v>
      </c>
      <c r="AJ35">
        <f>'TEA Revised Non EYZ'!AJ35</f>
        <v>0</v>
      </c>
      <c r="AK35">
        <f>'TEA Revised Non EYZ'!AK35</f>
        <v>0</v>
      </c>
      <c r="AL35">
        <f>'TEA Revised Non EYZ'!AL35</f>
        <v>0</v>
      </c>
      <c r="AM35">
        <f>'TEA Revised Non EYZ'!AM35</f>
        <v>1.61236068920583E-3</v>
      </c>
      <c r="AN35">
        <f>'TEA Revised Non EYZ'!AN35</f>
        <v>7.8784098873371198E-5</v>
      </c>
      <c r="AO35">
        <f>'TEA Revised Non EYZ'!AO35</f>
        <v>6.0769898417647796E-6</v>
      </c>
      <c r="AP35">
        <f>'TEA Revised Non EYZ'!AP35</f>
        <v>1.7396945907611301E-3</v>
      </c>
      <c r="AQ35">
        <f>'TEA Revised Non EYZ'!AQ35</f>
        <v>7.4435921644561601E-2</v>
      </c>
      <c r="AR35">
        <f>'TEA Revised Non EYZ'!AR35</f>
        <v>1.8941764922222101E-6</v>
      </c>
      <c r="AS35">
        <f>'TEA Revised Non EYZ'!AS35</f>
        <v>2.4732006807109899E-16</v>
      </c>
      <c r="AT35">
        <f>'TEA Revised Non EYZ'!AT35</f>
        <v>-7.0015824735203402E-14</v>
      </c>
      <c r="AU35">
        <f>'TEA Revised Non EYZ'!AU35</f>
        <v>-9.2578054156934797E-21</v>
      </c>
      <c r="AV35">
        <f>'TEA Revised Non EYZ'!AV35</f>
        <v>0.197300154776898</v>
      </c>
      <c r="AW35">
        <f>'TEA Revised Non EYZ'!AW35</f>
        <v>99.338662210867994</v>
      </c>
      <c r="AX35">
        <f>'TEA Revised Non EYZ'!AX35</f>
        <v>500</v>
      </c>
      <c r="AY35">
        <f>'TEA Revised Non EYZ'!AY35</f>
        <v>95</v>
      </c>
      <c r="AZ35">
        <f>'TEA Revised Non EYZ'!AZ35</f>
        <v>0.92374973309314701</v>
      </c>
      <c r="BA35">
        <f>'TEA Revised Non EYZ'!BA35</f>
        <v>0.1</v>
      </c>
      <c r="BB35">
        <f>'TEA Revised Non EYZ'!BB35</f>
        <v>46.819513858856197</v>
      </c>
      <c r="BC35" t="str">
        <f>'TEA Revised Non EYZ'!BC35</f>
        <v>coeFc</v>
      </c>
      <c r="BD35">
        <f>'TEA Revised Non EYZ'!BD35</f>
        <v>1</v>
      </c>
      <c r="BE35">
        <f>'TEA Revised Non EYZ'!BE35</f>
        <v>1.8775014999999999E-2</v>
      </c>
      <c r="BF35">
        <f>'TEA Revised Non EYZ'!BF35</f>
        <v>0.10492961100000001</v>
      </c>
      <c r="BG35">
        <f>'TEA Revised Non EYZ'!BG35</f>
        <v>1.814625E-3</v>
      </c>
      <c r="BH35">
        <f>'TEA Revised Non EYZ'!BH35</f>
        <v>285.1951444</v>
      </c>
      <c r="BI35">
        <f>'TEA Revised Non EYZ'!BI35</f>
        <v>2169.8944889999998</v>
      </c>
      <c r="BJ35">
        <f>'TEA Revised Non EYZ'!BJ35</f>
        <v>866.49409060000005</v>
      </c>
      <c r="BK35">
        <f>'TEA Revised Non EYZ'!BK35</f>
        <v>100</v>
      </c>
      <c r="BL35">
        <f>'TEA Revised Non EYZ'!BL35</f>
        <v>11.395861217105201</v>
      </c>
      <c r="BM35">
        <f>'TEA Revised Non EYZ'!BM35</f>
        <v>92.374973309314697</v>
      </c>
      <c r="BN35">
        <f>'TEA Revised Non EYZ'!BN35</f>
        <v>19.7300154776898</v>
      </c>
      <c r="BO35">
        <f>'TEA Revised Non EYZ'!BO35</f>
        <v>182.33377947368322</v>
      </c>
      <c r="BP35">
        <f>'TEA Revised Non EYZ'!BP35</f>
        <v>355.14027859841639</v>
      </c>
      <c r="BQ35">
        <f>'TEA Revised Non EYZ'!BQ35</f>
        <v>18.233377947368322</v>
      </c>
      <c r="BR35">
        <f>'TEA Revised Non EYZ'!BR35</f>
        <v>35.51402785984164</v>
      </c>
      <c r="BS35">
        <f>'eLLE Bals'!CF35</f>
        <v>6.8375167302631192</v>
      </c>
      <c r="BT35">
        <f>'eLLE Bals'!CG35</f>
        <v>11.838009286613881</v>
      </c>
      <c r="BU35">
        <f>BM35</f>
        <v>92.374973309314697</v>
      </c>
      <c r="BV35">
        <f>BU35*(AM35*2+AN35*2+AO35*3)</f>
        <v>0.31412299464530774</v>
      </c>
      <c r="BW35">
        <f>BN35*BA35*(AP35*2+AQ35*2+AR35*3)</f>
        <v>0.30060042910854795</v>
      </c>
      <c r="BX35">
        <f>BV35/(2*V35*BL35+BV35)</f>
        <v>0.12112889810399255</v>
      </c>
      <c r="BY35">
        <f>BU35*BX35</f>
        <v>11.189278729343011</v>
      </c>
      <c r="BZ35">
        <f>BW35/(2*BN35*BA35+BW35)</f>
        <v>7.0786082892814975E-2</v>
      </c>
      <c r="CA35">
        <f>2*BN35*BA35/0.04</f>
        <v>98.650077388449006</v>
      </c>
      <c r="CB35">
        <f>(BS35+BL35)*2</f>
        <v>36.466755894736643</v>
      </c>
      <c r="CC35">
        <f>(BU35+BL35)*2</f>
        <v>207.54166905283981</v>
      </c>
      <c r="CD35">
        <f>(BT35+BN35)*2</f>
        <v>63.136049528607359</v>
      </c>
      <c r="CE35">
        <f>(CA35+BN35)*2</f>
        <v>236.76018573227762</v>
      </c>
      <c r="CF35">
        <f>'TEA Revised Non EYZ'!CB35</f>
        <v>2406.8058890526186</v>
      </c>
      <c r="CG35">
        <f>'TEA Revised Non EYZ'!CC35</f>
        <v>4687.8516774990967</v>
      </c>
      <c r="CH35">
        <f>'TEA Revised Non EYZ'!CD35</f>
        <v>2907.8673690603878</v>
      </c>
      <c r="CI35">
        <f>'TEA Revised Non EYZ'!CE35</f>
        <v>36157.816636844051</v>
      </c>
      <c r="CJ35">
        <f>BL35*V35</f>
        <v>1.1395861217105201</v>
      </c>
      <c r="CK35">
        <f>CJ35/2*1.2</f>
        <v>0.68375167302631201</v>
      </c>
      <c r="CL35">
        <f>'eLLE Bals'!CB35*'Oxidant Feed Composition'!$N$20</f>
        <v>3.7986204057017352E-2</v>
      </c>
      <c r="CM35">
        <f>'eLLE Bals'!CB35*'Oxidant Feed Composition'!$N$21</f>
        <v>1.8993102028508668</v>
      </c>
      <c r="CN35">
        <f>'eLLE Bals'!CB35*'Oxidant Feed Composition'!$N$22</f>
        <v>0.56979306085526005</v>
      </c>
      <c r="CO35">
        <f>CN35/CK35</f>
        <v>0.83333333333333337</v>
      </c>
      <c r="CP35">
        <f>CO35</f>
        <v>0.83333333333333337</v>
      </c>
      <c r="CQ35">
        <f>CL35/CO35</f>
        <v>4.5583444868420822E-2</v>
      </c>
      <c r="CR35">
        <f>CM35/CO35</f>
        <v>2.2791722434210402</v>
      </c>
      <c r="CS35">
        <f>BN35*BA35</f>
        <v>1.9730015477689802</v>
      </c>
      <c r="CT35">
        <f>CS35/2*1.2</f>
        <v>1.183800928661388</v>
      </c>
      <c r="CU35">
        <f>'eLLE Bals'!CC35*'Oxidant Feed Composition'!$N$20</f>
        <v>6.5766718258966031E-2</v>
      </c>
      <c r="CV35">
        <f>'eLLE Bals'!CC35*'Oxidant Feed Composition'!$N$21</f>
        <v>3.2883359129483005</v>
      </c>
      <c r="CW35">
        <f>'eLLE Bals'!CC35*'Oxidant Feed Composition'!$N$22</f>
        <v>0.98650077388449009</v>
      </c>
      <c r="CX35">
        <f>CU35/CP35</f>
        <v>7.8920061910759232E-2</v>
      </c>
      <c r="CY35">
        <f>CV35/CP35</f>
        <v>3.9460030955379604</v>
      </c>
      <c r="CZ35">
        <f>CJ35</f>
        <v>1.1395861217105201</v>
      </c>
      <c r="DA35">
        <f>'eLLE Bals'!BQ35</f>
        <v>2.2791722434210402</v>
      </c>
      <c r="DB35">
        <f>'eLLE Bals'!BU35</f>
        <v>5.9892866147247075</v>
      </c>
      <c r="DC35">
        <f>CS35</f>
        <v>1.9730015477689802</v>
      </c>
      <c r="DD35">
        <f>'eLLE Bals'!BX35</f>
        <v>3.9460030955379604</v>
      </c>
      <c r="DE35">
        <f>'eLLE Bals'!CA35</f>
        <v>21.953727780049782</v>
      </c>
      <c r="DF35">
        <f>2*2*(CJ35*'Reagent cost'!$C$36*122.44/1000*1.5+CK35*'Oxidant Feed Composition'!$N$26+CQ35*'Reagent cost'!$C$34+CR35*'Reagent cost'!$C$35)</f>
        <v>115.96557977376703</v>
      </c>
      <c r="DG35">
        <f>2*2*(CS35*'Reagent cost'!$C$36*122.44/1000*1.5+CT35*'Oxidant Feed Composition'!$N$26+CX35*'Reagent cost'!$C$34+CY35*'Reagent cost'!$C$35)</f>
        <v>200.77488135617168</v>
      </c>
      <c r="DH35">
        <f>(AF35+3)*2*(CZ35*'Reagent cost'!$C$38+DA35*'Reagent cost'!$C$39+DB35*'Reagent cost'!$C$36*122.44/1000*1.5)</f>
        <v>1655.2269864583466</v>
      </c>
      <c r="DI35">
        <f>3*2*(DC35*'Reagent cost'!$C$38+DD35*'Reagent cost'!$C$39+DE35*'Reagent cost'!$C$36*122.44/1000*1.5)</f>
        <v>1761.2180315078156</v>
      </c>
      <c r="DJ35">
        <f>7963.6*(CB35/1000)^0.6*1.7*('CAPEX+OPEX'!$G$116/'CAPEX+OPEX'!$G$115)</f>
        <v>2189.6727102460782</v>
      </c>
      <c r="DK35">
        <f>7963.6*(CC35/1000)^0.6*1.7*('CAPEX+OPEX'!$G$116/'CAPEX+OPEX'!$G$115)</f>
        <v>6215.9013146876341</v>
      </c>
      <c r="DL35">
        <f>7963.6*(CD35/1000)^0.6*1.7*('CAPEX+OPEX'!$G$116/'CAPEX+OPEX'!$G$115)</f>
        <v>3043.7387294113364</v>
      </c>
      <c r="DM35">
        <f>7963.6*(CE35/1000)^0.6*1.7*('CAPEX+OPEX'!$G$116/'CAPEX+OPEX'!$G$115)</f>
        <v>6727.0728533001402</v>
      </c>
      <c r="DN35">
        <f>'TEA Revised Non EYZ'!CM35</f>
        <v>39625.826528698344</v>
      </c>
      <c r="DO35">
        <f>'TEA Revised Non EYZ'!CN35</f>
        <v>4586243.4239371875</v>
      </c>
      <c r="DP35">
        <f>'TEA Revised Non EYZ'!CO35</f>
        <v>11794834.586807497</v>
      </c>
      <c r="DQ35">
        <f>'TEA Revised Non EYZ'!CP35</f>
        <v>2275209.1661185985</v>
      </c>
      <c r="DR35">
        <f>'TEA Revised Non EYZ'!CQ35</f>
        <v>14083914.336508472</v>
      </c>
      <c r="DS35">
        <f>'TEA Revised Non EYZ'!CR35</f>
        <v>1662824.8986326549</v>
      </c>
      <c r="DT35">
        <f>'TEA Revised Non EYZ'!CS35</f>
        <v>646135.89638675924</v>
      </c>
      <c r="DU35">
        <f>'TEA Revised Non EYZ'!CT35</f>
        <v>1661722.9645298459</v>
      </c>
      <c r="DV35">
        <f>'TEA Revised Non EYZ'!CU35</f>
        <v>320544.32748695416</v>
      </c>
      <c r="DW35">
        <f>'TEA Revised Non EYZ'!CV35</f>
        <v>1984221.4582325809</v>
      </c>
      <c r="DX35">
        <f>'TEA Revised Non EYZ'!CW35</f>
        <v>234268.17050410178</v>
      </c>
      <c r="DY35">
        <f>'TEA Revised Non EYZ'!CX35</f>
        <v>4846892.8171402421</v>
      </c>
      <c r="DZ35">
        <f>'TEA Revised Non EYZ'!CY35</f>
        <v>661177.63088250696</v>
      </c>
      <c r="EA35">
        <f>'TEA Revised Non EYZ'!CZ35</f>
        <v>1700407.0800196673</v>
      </c>
      <c r="EB35">
        <f>'TEA Revised Non EYZ'!DA35</f>
        <v>328006.44605231972</v>
      </c>
      <c r="EC35">
        <f>'TEA Revised Non EYZ'!DB35</f>
        <v>2030413.1843422146</v>
      </c>
      <c r="ED35">
        <f>'TEA Revised Non EYZ'!DC35</f>
        <v>239721.8214175282</v>
      </c>
      <c r="EE35">
        <f>'TEA Revised Non EYZ'!DD35</f>
        <v>4959726.1627142364</v>
      </c>
      <c r="EF35">
        <v>0.7</v>
      </c>
      <c r="EG35">
        <v>100</v>
      </c>
      <c r="EH35">
        <f>96485*BL35*V35/EF35/EG35/60</f>
        <v>26.179277846009416</v>
      </c>
      <c r="EI35">
        <f>96485*BN35*BA35/EF35/EG35/60</f>
        <v>45.325012937259544</v>
      </c>
      <c r="EJ35">
        <f>EH35*('CAPEX+OPEX'!$O$25+'CAPEX+OPEX'!$O$26)</f>
        <v>834385.9435080121</v>
      </c>
      <c r="EK35">
        <f>EI35*('CAPEX+OPEX'!$O$25+'CAPEX+OPEX'!$O$26)</f>
        <v>1444598.8123363361</v>
      </c>
      <c r="EL35">
        <f>EJ35*1.12/0.6*'CAPEX+OPEX'!$G$116/'CAPEX+OPEX'!$G$115</f>
        <v>1837030.3015082346</v>
      </c>
      <c r="EM35">
        <f>EK35*1.12/0.6*'CAPEX+OPEX'!$G$116/'CAPEX+OPEX'!$G$115</f>
        <v>3180508.7471001656</v>
      </c>
      <c r="EN35">
        <f>EL35+EM35+DY35+EE35+1.15*(SUM(DF35:DM35)+SUM(CF35:CI35))</f>
        <v>14902438.428020956</v>
      </c>
      <c r="EO35">
        <f>EN35/15</f>
        <v>993495.89520139701</v>
      </c>
      <c r="EP35">
        <f>('eLLE Bals'!CB35+'eLLE Bals'!CC35)*'Oxidant Feed Composition'!$N$28*60*7200</f>
        <v>17303418.954881728</v>
      </c>
      <c r="EQ35" s="53">
        <f>('eLLE Bals'!BR35+'eLLE Bals'!BY35)*'Reagent cost'!$C$38*60*7200*1.5</f>
        <v>760083.26443828281</v>
      </c>
      <c r="ER35">
        <f>'TEA Revised Non EYZ'!DI35</f>
        <v>504921.59999999998</v>
      </c>
      <c r="ES35">
        <f>'TEA Revised Non EYZ'!DJ35</f>
        <v>70.946575665517159</v>
      </c>
      <c r="ET35">
        <f>'TEA Revised Non EYZ'!DK35</f>
        <v>781.31368011808888</v>
      </c>
      <c r="EU35">
        <f>1.2*SUM(EP35:ET35)</f>
        <v>22283131.295490954</v>
      </c>
      <c r="EV35">
        <f>'TEA Revised Non EYZ'!DM35</f>
        <v>0.70639694042110623</v>
      </c>
      <c r="EW35">
        <f>(BS35*CO35+BT35*CP35)/1000*('Oxidant Feed Composition'!$B$11*'Oxidant Feed Composition'!$O$20+'Oxidant Feed Composition'!$D$11*'Oxidant Feed Composition'!$O$21+'Oxidant Feed Composition'!$F$11*'Oxidant Feed Composition'!$O$27-'Oxidant Feed Composition'!$J$15*18.015)</f>
        <v>1.8175105959491769</v>
      </c>
      <c r="EX35">
        <f>(CZ35*BX35+DC35*BZ35)*368.34/1000</f>
        <v>0.10228723060894701</v>
      </c>
      <c r="EY35">
        <f>'TEA Revised Non EYZ'!DP35</f>
        <v>4.999938342565946E-2</v>
      </c>
      <c r="EZ35">
        <f>SUM(EV35:EX35)-EY35</f>
        <v>2.5761953835535709</v>
      </c>
      <c r="FA35">
        <f>EZ35*0.33*60*7200</f>
        <v>367262.41387939709</v>
      </c>
      <c r="FB35">
        <f>'TEA Revised Non EYZ'!DS35</f>
        <v>1.2</v>
      </c>
      <c r="FC35">
        <v>0.5</v>
      </c>
      <c r="FD35">
        <f>'TEA Revised Non EYZ'!DT35</f>
        <v>1405.9393233749126</v>
      </c>
      <c r="FE35">
        <f>'TEA Revised Non EYZ'!DU35</f>
        <v>706.32825031277434</v>
      </c>
      <c r="FF35">
        <f>'TEA Revised Non EYZ'!DV35</f>
        <v>0.7</v>
      </c>
      <c r="FG35">
        <f>'TEA Revised Non EYZ'!DW35</f>
        <v>35776.359048024235</v>
      </c>
      <c r="FH35">
        <f>'TEA Revised Non EYZ'!DX35</f>
        <v>29068.269280606211</v>
      </c>
      <c r="FI35">
        <f>'TEA Revised Non EYZ'!DY35</f>
        <v>12307.130138966339</v>
      </c>
      <c r="FJ35">
        <f>'TEA Revised Non EYZ'!DZ35</f>
        <v>6519.4301878820042</v>
      </c>
      <c r="FK35">
        <f>'TEA Revised Non EYZ'!EA35</f>
        <v>6563.8027407820491</v>
      </c>
      <c r="FL35">
        <f>'TEA Revised Non EYZ'!EB35</f>
        <v>850.31210277714717</v>
      </c>
      <c r="FM35">
        <f>'TEA Revised Non EYZ'!EC35</f>
        <v>36005.116305178919</v>
      </c>
      <c r="FN35">
        <f>'TEA Revised Non EYZ'!ED35</f>
        <v>31040.279608141645</v>
      </c>
      <c r="FO35">
        <f>'TEA Revised Non EYZ'!EE35</f>
        <v>13142.053866350294</v>
      </c>
      <c r="FP35">
        <f>'TEA Revised Non EYZ'!EF35</f>
        <v>6965.5787863064152</v>
      </c>
      <c r="FQ35">
        <f>'TEA Revised Non EYZ'!EG35</f>
        <v>7009.0953953868229</v>
      </c>
      <c r="FR35">
        <f>'TEA Revised Non EYZ'!EH35</f>
        <v>427.18732578916593</v>
      </c>
      <c r="FS35">
        <f>'TEA Revised Non EYZ'!EI35</f>
        <v>185674.61478619123</v>
      </c>
      <c r="FT35">
        <f>EG35*EH35</f>
        <v>2617.9277846009418</v>
      </c>
      <c r="FU35">
        <f>EG35*EI35</f>
        <v>4532.5012937259544</v>
      </c>
      <c r="FV35">
        <f>FC35*(FT35+FU35)/(3.6*10^6)*3600*7200*0.07</f>
        <v>1801.908127738378</v>
      </c>
      <c r="FW35">
        <f>('CAPEX+OPEX'!$C$39/7/100+0.03)*EL35</f>
        <v>94475.844077566348</v>
      </c>
      <c r="FX35">
        <f>('CAPEX+OPEX'!$C$39/7/100+0.03)*EM35</f>
        <v>163569.02127943709</v>
      </c>
      <c r="FY35">
        <f>SUM(FV35:FX35)</f>
        <v>259846.7734847418</v>
      </c>
      <c r="FZ35">
        <f>FY35+FA35+FS35+EU35</f>
        <v>23095915.097641286</v>
      </c>
      <c r="GA35">
        <f>FZ35+EO35</f>
        <v>24089410.992842682</v>
      </c>
      <c r="GB35">
        <f>GA35/(BK35*60*7200)</f>
        <v>0.55762525446395095</v>
      </c>
      <c r="GC35">
        <f>'TEA Revised Non EYZ'!EM35/'TEA Revised Non EYZ'!EK35*GA35</f>
        <v>1865.6900796586979</v>
      </c>
      <c r="GD35">
        <f>'TEA Revised Non EYZ'!EN35/'TEA Revised Non EYZ'!EK35*GA35</f>
        <v>3421.2092473045527</v>
      </c>
    </row>
    <row r="36" spans="1:186">
      <c r="A36">
        <f>'TEA Revised Non EYZ'!A36</f>
        <v>6</v>
      </c>
      <c r="B36">
        <f>'TEA Revised Non EYZ'!B36</f>
        <v>1.54143585092054E-3</v>
      </c>
      <c r="C36">
        <f>'TEA Revised Non EYZ'!C36</f>
        <v>1.54143585092054E-3</v>
      </c>
      <c r="D36">
        <f>'TEA Revised Non EYZ'!D36</f>
        <v>3.4254130020456501E-4</v>
      </c>
      <c r="E36">
        <f>'TEA Revised Non EYZ'!E36</f>
        <v>0</v>
      </c>
      <c r="F36">
        <f>'TEA Revised Non EYZ'!F36</f>
        <v>0</v>
      </c>
      <c r="G36">
        <f>'TEA Revised Non EYZ'!G36</f>
        <v>0</v>
      </c>
      <c r="H36">
        <f>'TEA Revised Non EYZ'!H36</f>
        <v>1.7693893431643E-5</v>
      </c>
      <c r="I36">
        <f>'TEA Revised Non EYZ'!I36</f>
        <v>3.7175600603836103E-8</v>
      </c>
      <c r="J36">
        <f>'TEA Revised Non EYZ'!J36</f>
        <v>3.36890310328726E-4</v>
      </c>
      <c r="K36">
        <f>'TEA Revised Non EYZ'!K36</f>
        <v>0.133710118829723</v>
      </c>
      <c r="L36">
        <f>'TEA Revised Non EYZ'!L36</f>
        <v>0.13525951632913</v>
      </c>
      <c r="M36">
        <f>'TEA Revised Non EYZ'!M36</f>
        <v>4.9588089642288804E-4</v>
      </c>
      <c r="N36">
        <f>'TEA Revised Non EYZ'!N36</f>
        <v>-1.72886878424538E-14</v>
      </c>
      <c r="O36">
        <f>'TEA Revised Non EYZ'!O36</f>
        <v>-1.05961268405396E-12</v>
      </c>
      <c r="P36">
        <f>'TEA Revised Non EYZ'!P36</f>
        <v>-9.6595637304880395E-18</v>
      </c>
      <c r="Q36">
        <f>'TEA Revised Non EYZ'!Q36</f>
        <v>0.11395861217105201</v>
      </c>
      <c r="R36">
        <f>'TEA Revised Non EYZ'!R36</f>
        <v>98.3502748800029</v>
      </c>
      <c r="S36">
        <f>'TEA Revised Non EYZ'!S36</f>
        <v>500</v>
      </c>
      <c r="T36">
        <f>'TEA Revised Non EYZ'!T36</f>
        <v>95</v>
      </c>
      <c r="U36">
        <f>'TEA Revised Non EYZ'!U36</f>
        <v>1</v>
      </c>
      <c r="V36">
        <f>'TEA Revised Non EYZ'!V36</f>
        <v>0.1</v>
      </c>
      <c r="W36">
        <f>'TEA Revised Non EYZ'!W36</f>
        <v>87.751156402202497</v>
      </c>
      <c r="X36" t="str">
        <f>'TEA Revised Non EYZ'!X36</f>
        <v>ddFc</v>
      </c>
      <c r="Y36">
        <f>'TEA Revised Non EYZ'!Y36</f>
        <v>1</v>
      </c>
      <c r="Z36">
        <f>'TEA Revised Non EYZ'!Z36</f>
        <v>0.28318429382522198</v>
      </c>
      <c r="AA36">
        <f>'TEA Revised Non EYZ'!AA36</f>
        <v>0.56945642916197003</v>
      </c>
      <c r="AB36">
        <f>'TEA Revised Non EYZ'!AB36</f>
        <v>3.7698628972227502E-3</v>
      </c>
      <c r="AC36">
        <f>'TEA Revised Non EYZ'!AC36</f>
        <v>1822.2107908876901</v>
      </c>
      <c r="AD36">
        <f>'TEA Revised Non EYZ'!AD36</f>
        <v>2662.6059073104898</v>
      </c>
      <c r="AE36">
        <f>'TEA Revised Non EYZ'!AE36</f>
        <v>2401.5030938442701</v>
      </c>
      <c r="AF36">
        <f>'TEA Revised Non EYZ'!AF36</f>
        <v>8</v>
      </c>
      <c r="AG36">
        <f>'TEA Revised Non EYZ'!AG36</f>
        <v>1.64951815726537E-3</v>
      </c>
      <c r="AH36">
        <f>'TEA Revised Non EYZ'!AH36</f>
        <v>1.6686323374819601E-3</v>
      </c>
      <c r="AI36">
        <f>'TEA Revised Non EYZ'!AI36</f>
        <v>6.1174468293775103E-6</v>
      </c>
      <c r="AJ36">
        <f>'TEA Revised Non EYZ'!AJ36</f>
        <v>0</v>
      </c>
      <c r="AK36">
        <f>'TEA Revised Non EYZ'!AK36</f>
        <v>0</v>
      </c>
      <c r="AL36">
        <f>'TEA Revised Non EYZ'!AL36</f>
        <v>0</v>
      </c>
      <c r="AM36">
        <f>'TEA Revised Non EYZ'!AM36</f>
        <v>1.6125021937551699E-3</v>
      </c>
      <c r="AN36">
        <f>'TEA Revised Non EYZ'!AN36</f>
        <v>7.8791398968760994E-5</v>
      </c>
      <c r="AO36">
        <f>'TEA Revised Non EYZ'!AO36</f>
        <v>6.0771375446680096E-6</v>
      </c>
      <c r="AP36">
        <f>'TEA Revised Non EYZ'!AP36</f>
        <v>1.73492050588017E-3</v>
      </c>
      <c r="AQ36">
        <f>'TEA Revised Non EYZ'!AQ36</f>
        <v>7.4515084509212501E-2</v>
      </c>
      <c r="AR36">
        <f>'TEA Revised Non EYZ'!AR36</f>
        <v>1.8892768957738701E-6</v>
      </c>
      <c r="AS36">
        <f>'TEA Revised Non EYZ'!AS36</f>
        <v>7.2525806974615906E-15</v>
      </c>
      <c r="AT36">
        <f>'TEA Revised Non EYZ'!AT36</f>
        <v>-1.73205959123901E-12</v>
      </c>
      <c r="AU36">
        <f>'TEA Revised Non EYZ'!AU36</f>
        <v>4.3225150089571002E-20</v>
      </c>
      <c r="AV36">
        <f>'TEA Revised Non EYZ'!AV36</f>
        <v>0.19708964352883601</v>
      </c>
      <c r="AW36">
        <f>'TEA Revised Non EYZ'!AW36</f>
        <v>99.341076664272293</v>
      </c>
      <c r="AX36">
        <f>'TEA Revised Non EYZ'!AX36</f>
        <v>500</v>
      </c>
      <c r="AY36">
        <f>'TEA Revised Non EYZ'!AY36</f>
        <v>95</v>
      </c>
      <c r="AZ36">
        <f>'TEA Revised Non EYZ'!AZ36</f>
        <v>0.92374973309314701</v>
      </c>
      <c r="BA36">
        <f>'TEA Revised Non EYZ'!BA36</f>
        <v>0.1</v>
      </c>
      <c r="BB36">
        <f>'TEA Revised Non EYZ'!BB36</f>
        <v>46.869521734052398</v>
      </c>
      <c r="BC36" t="str">
        <f>'TEA Revised Non EYZ'!BC36</f>
        <v>coeFc</v>
      </c>
      <c r="BD36">
        <f>'TEA Revised Non EYZ'!BD36</f>
        <v>1</v>
      </c>
      <c r="BE36">
        <f>'TEA Revised Non EYZ'!BE36</f>
        <v>1.8775014999999999E-2</v>
      </c>
      <c r="BF36">
        <f>'TEA Revised Non EYZ'!BF36</f>
        <v>0.10492961100000001</v>
      </c>
      <c r="BG36">
        <f>'TEA Revised Non EYZ'!BG36</f>
        <v>1.814625E-3</v>
      </c>
      <c r="BH36">
        <f>'TEA Revised Non EYZ'!BH36</f>
        <v>285.1951444</v>
      </c>
      <c r="BI36">
        <f>'TEA Revised Non EYZ'!BI36</f>
        <v>2169.8944889999998</v>
      </c>
      <c r="BJ36">
        <f>'TEA Revised Non EYZ'!BJ36</f>
        <v>866.49409060000005</v>
      </c>
      <c r="BK36">
        <f>'TEA Revised Non EYZ'!BK36</f>
        <v>100</v>
      </c>
      <c r="BL36">
        <f>'TEA Revised Non EYZ'!BL36</f>
        <v>11.395861217105201</v>
      </c>
      <c r="BM36">
        <f>'TEA Revised Non EYZ'!BM36</f>
        <v>92.374973309314697</v>
      </c>
      <c r="BN36">
        <f>'TEA Revised Non EYZ'!BN36</f>
        <v>19.708964352883601</v>
      </c>
      <c r="BO36">
        <f>'TEA Revised Non EYZ'!BO36</f>
        <v>182.33377947368322</v>
      </c>
      <c r="BP36">
        <f>'TEA Revised Non EYZ'!BP36</f>
        <v>394.17928705767201</v>
      </c>
      <c r="BQ36">
        <f>'TEA Revised Non EYZ'!BQ36</f>
        <v>18.233377947368322</v>
      </c>
      <c r="BR36">
        <f>'TEA Revised Non EYZ'!BR36</f>
        <v>39.417928705767203</v>
      </c>
      <c r="BS36">
        <f>'eLLE Bals'!CF36</f>
        <v>6.8375167302631192</v>
      </c>
      <c r="BT36">
        <f>'eLLE Bals'!CG36</f>
        <v>11.82537861173016</v>
      </c>
      <c r="BU36">
        <f>BM36</f>
        <v>92.374973309314697</v>
      </c>
      <c r="BV36">
        <f>BU36*(AM36*2+AN36*2+AO36*3)</f>
        <v>0.31415052722763337</v>
      </c>
      <c r="BW36">
        <f>BN36*BA36*(AP36*2+AQ36*2+AR36*3)</f>
        <v>0.30057289685722893</v>
      </c>
      <c r="BX36">
        <f>BV36/(2*V36*BL36+BV36)</f>
        <v>0.12113822883260082</v>
      </c>
      <c r="BY36">
        <f>BU36*BX36</f>
        <v>11.190140655149158</v>
      </c>
      <c r="BZ36">
        <f>BW36/(2*BN36*BA36+BW36)</f>
        <v>7.0850302245163171E-2</v>
      </c>
      <c r="CA36">
        <f>2*BN36*BA36/0.04</f>
        <v>98.544821764418003</v>
      </c>
      <c r="CB36">
        <f>(BS36+BL36)*2</f>
        <v>36.466755894736643</v>
      </c>
      <c r="CC36">
        <f>(BU36+BL36)*2</f>
        <v>207.54166905283981</v>
      </c>
      <c r="CD36">
        <f>(BT36+BN36)*2</f>
        <v>63.068685929227527</v>
      </c>
      <c r="CE36">
        <f>(CA36+BN36)*2</f>
        <v>236.5075722346032</v>
      </c>
      <c r="CF36">
        <f>'TEA Revised Non EYZ'!CB36</f>
        <v>2406.8058890526186</v>
      </c>
      <c r="CG36">
        <f>'TEA Revised Non EYZ'!CC36</f>
        <v>5203.1665891612702</v>
      </c>
      <c r="CH36">
        <f>'TEA Revised Non EYZ'!CD36</f>
        <v>2907.8673690603878</v>
      </c>
      <c r="CI36">
        <f>'TEA Revised Non EYZ'!CE36</f>
        <v>40132.486350808351</v>
      </c>
      <c r="CJ36">
        <f>BL36*V36</f>
        <v>1.1395861217105201</v>
      </c>
      <c r="CK36">
        <f>CJ36/2*1.2</f>
        <v>0.68375167302631201</v>
      </c>
      <c r="CL36">
        <f>'eLLE Bals'!CB36*'Oxidant Feed Composition'!$N$20</f>
        <v>3.7986204057017352E-2</v>
      </c>
      <c r="CM36">
        <f>'eLLE Bals'!CB36*'Oxidant Feed Composition'!$N$21</f>
        <v>1.8993102028508668</v>
      </c>
      <c r="CN36">
        <f>'eLLE Bals'!CB36*'Oxidant Feed Composition'!$N$22</f>
        <v>0.56979306085526005</v>
      </c>
      <c r="CO36">
        <f>CN36/CK36</f>
        <v>0.83333333333333337</v>
      </c>
      <c r="CP36">
        <f>CO36</f>
        <v>0.83333333333333337</v>
      </c>
      <c r="CQ36">
        <f>CL36/CO36</f>
        <v>4.5583444868420822E-2</v>
      </c>
      <c r="CR36">
        <f>CM36/CO36</f>
        <v>2.2791722434210402</v>
      </c>
      <c r="CS36">
        <f>BN36*BA36</f>
        <v>1.9708964352883602</v>
      </c>
      <c r="CT36">
        <f>CS36/2*1.2</f>
        <v>1.1825378611730162</v>
      </c>
      <c r="CU36">
        <f>'eLLE Bals'!CC36*'Oxidant Feed Composition'!$N$20</f>
        <v>6.5696547842945374E-2</v>
      </c>
      <c r="CV36">
        <f>'eLLE Bals'!CC36*'Oxidant Feed Composition'!$N$21</f>
        <v>3.284827392147267</v>
      </c>
      <c r="CW36">
        <f>'eLLE Bals'!CC36*'Oxidant Feed Composition'!$N$22</f>
        <v>0.98544821764418011</v>
      </c>
      <c r="CX36">
        <f>CU36/CP36</f>
        <v>7.8835857411534441E-2</v>
      </c>
      <c r="CY36">
        <f>CV36/CP36</f>
        <v>3.9417928705767205</v>
      </c>
      <c r="CZ36">
        <f>CJ36</f>
        <v>1.1395861217105201</v>
      </c>
      <c r="DA36">
        <f>'eLLE Bals'!BQ36</f>
        <v>2.2791722434210402</v>
      </c>
      <c r="DB36">
        <f>'eLLE Bals'!BU36</f>
        <v>5.9885619580710756</v>
      </c>
      <c r="DC36">
        <f>CS36</f>
        <v>1.9708964352883602</v>
      </c>
      <c r="DD36">
        <f>'eLLE Bals'!BX36</f>
        <v>3.9417928705767205</v>
      </c>
      <c r="DE36">
        <f>'eLLE Bals'!CA36</f>
        <v>21.905066904524411</v>
      </c>
      <c r="DF36">
        <f>2*2*(CJ36*'Reagent cost'!$C$36*122.44/1000*1.5+CK36*'Oxidant Feed Composition'!$N$26+CQ36*'Reagent cost'!$C$34+CR36*'Reagent cost'!$C$35)</f>
        <v>115.96557977376703</v>
      </c>
      <c r="DG36">
        <f>2*2*(CS36*'Reagent cost'!$C$36*122.44/1000*1.5+CT36*'Oxidant Feed Composition'!$N$26+CX36*'Reagent cost'!$C$34+CY36*'Reagent cost'!$C$35)</f>
        <v>200.56066271604149</v>
      </c>
      <c r="DH36">
        <f>(AF36+3)*2*(CZ36*'Reagent cost'!$C$38+DA36*'Reagent cost'!$C$39+DB36*'Reagent cost'!$C$36*122.44/1000*1.5)</f>
        <v>1820.5429104714165</v>
      </c>
      <c r="DI36">
        <f>3*2*(DC36*'Reagent cost'!$C$38+DD36*'Reagent cost'!$C$39+DE36*'Reagent cost'!$C$36*122.44/1000*1.5)</f>
        <v>1757.3749187162334</v>
      </c>
      <c r="DJ36">
        <f>7963.6*(CB36/1000)^0.6*1.7*('CAPEX+OPEX'!$G$116/'CAPEX+OPEX'!$G$115)</f>
        <v>2189.6727102460782</v>
      </c>
      <c r="DK36">
        <f>7963.6*(CC36/1000)^0.6*1.7*('CAPEX+OPEX'!$G$116/'CAPEX+OPEX'!$G$115)</f>
        <v>6215.9013146876341</v>
      </c>
      <c r="DL36">
        <f>7963.6*(CD36/1000)^0.6*1.7*('CAPEX+OPEX'!$G$116/'CAPEX+OPEX'!$G$115)</f>
        <v>3041.7897860771859</v>
      </c>
      <c r="DM36">
        <f>7963.6*(CE36/1000)^0.6*1.7*('CAPEX+OPEX'!$G$116/'CAPEX+OPEX'!$G$115)</f>
        <v>6722.76542583631</v>
      </c>
      <c r="DN36">
        <f>'TEA Revised Non EYZ'!CM36</f>
        <v>39625.826528698344</v>
      </c>
      <c r="DO36">
        <f>'TEA Revised Non EYZ'!CN36</f>
        <v>4586243.4239371875</v>
      </c>
      <c r="DP36">
        <f>'TEA Revised Non EYZ'!CO36</f>
        <v>11794834.586807497</v>
      </c>
      <c r="DQ36">
        <f>'TEA Revised Non EYZ'!CP36</f>
        <v>2275209.1661185985</v>
      </c>
      <c r="DR36">
        <f>'TEA Revised Non EYZ'!CQ36</f>
        <v>14083914.336508472</v>
      </c>
      <c r="DS36">
        <f>'TEA Revised Non EYZ'!CR36</f>
        <v>1662824.8986326549</v>
      </c>
      <c r="DT36">
        <f>'TEA Revised Non EYZ'!CS36</f>
        <v>646135.89638675924</v>
      </c>
      <c r="DU36">
        <f>'TEA Revised Non EYZ'!CT36</f>
        <v>1661722.9645298459</v>
      </c>
      <c r="DV36">
        <f>'TEA Revised Non EYZ'!CU36</f>
        <v>320544.32748695416</v>
      </c>
      <c r="DW36">
        <f>'TEA Revised Non EYZ'!CV36</f>
        <v>1984221.4582325809</v>
      </c>
      <c r="DX36">
        <f>'TEA Revised Non EYZ'!CW36</f>
        <v>234268.17050410178</v>
      </c>
      <c r="DY36">
        <f>'TEA Revised Non EYZ'!CX36</f>
        <v>4846892.8171402421</v>
      </c>
      <c r="DZ36">
        <f>'TEA Revised Non EYZ'!CY36</f>
        <v>709593.56018346804</v>
      </c>
      <c r="EA36">
        <f>'TEA Revised Non EYZ'!CZ36</f>
        <v>1824922.4676004604</v>
      </c>
      <c r="EB36">
        <f>'TEA Revised Non EYZ'!DA36</f>
        <v>352025.31202806637</v>
      </c>
      <c r="EC36">
        <f>'TEA Revised Non EYZ'!DB36</f>
        <v>2179093.8664966309</v>
      </c>
      <c r="ED36">
        <f>'TEA Revised Non EYZ'!DC36</f>
        <v>257275.88588603889</v>
      </c>
      <c r="EE36">
        <f>'TEA Revised Non EYZ'!DD36</f>
        <v>5322911.0921946643</v>
      </c>
      <c r="EF36">
        <v>0.7</v>
      </c>
      <c r="EG36">
        <v>100</v>
      </c>
      <c r="EH36">
        <f>96485*BL36*V36/EF36/EG36/60</f>
        <v>26.179277846009416</v>
      </c>
      <c r="EI36">
        <f>96485*BN36*BA36/EF36/EG36/60</f>
        <v>45.276652990189866</v>
      </c>
      <c r="EJ36">
        <f>EH36*('CAPEX+OPEX'!$O$25+'CAPEX+OPEX'!$O$26)</f>
        <v>834385.9435080121</v>
      </c>
      <c r="EK36">
        <f>EI36*('CAPEX+OPEX'!$O$25+'CAPEX+OPEX'!$O$26)</f>
        <v>1443057.4841033313</v>
      </c>
      <c r="EL36">
        <f>EJ36*1.12/0.6*'CAPEX+OPEX'!$G$116/'CAPEX+OPEX'!$G$115</f>
        <v>1837030.3015082346</v>
      </c>
      <c r="EM36">
        <f>EK36*1.12/0.6*'CAPEX+OPEX'!$G$116/'CAPEX+OPEX'!$G$115</f>
        <v>3177115.2735036481</v>
      </c>
      <c r="EN36">
        <f>EL36+EM36+DY36+EE36+1.15*(SUM(DF36:DM36)+SUM(CF36:CI36))</f>
        <v>15267571.618779387</v>
      </c>
      <c r="EO36">
        <f>EN36/15</f>
        <v>1017838.1079186258</v>
      </c>
      <c r="EP36">
        <f>('eLLE Bals'!CB36+'eLLE Bals'!CC36)*'Oxidant Feed Composition'!$N$28*60*7200</f>
        <v>17291716.266614825</v>
      </c>
      <c r="EQ36" s="53">
        <f>('eLLE Bals'!BR36+'eLLE Bals'!BY36)*'Reagent cost'!$C$38*60*7200*1.5</f>
        <v>760050.93997189566</v>
      </c>
      <c r="ER36">
        <f>'TEA Revised Non EYZ'!DI36</f>
        <v>504921.59999999998</v>
      </c>
      <c r="ES36">
        <f>'TEA Revised Non EYZ'!DJ36</f>
        <v>76.099724782138892</v>
      </c>
      <c r="ET36">
        <f>'TEA Revised Non EYZ'!DK36</f>
        <v>860.80707439737489</v>
      </c>
      <c r="EU36">
        <f>1.2*SUM(EP36:ET36)</f>
        <v>22269150.856063079</v>
      </c>
      <c r="EV36">
        <f>'TEA Revised Non EYZ'!DM36</f>
        <v>0.70639694042110623</v>
      </c>
      <c r="EW36">
        <f>(BS36*CO36+BT36*CP36)/1000*('Oxidant Feed Composition'!$B$11*'Oxidant Feed Composition'!$O$20+'Oxidant Feed Composition'!$D$11*'Oxidant Feed Composition'!$O$21+'Oxidant Feed Composition'!$F$11*'Oxidant Feed Composition'!$O$27-'Oxidant Feed Composition'!$J$15*18.015)</f>
        <v>1.8162813729856897</v>
      </c>
      <c r="EX36">
        <f>(CZ36*BX36+DC36*BZ36)*368.34/1000</f>
        <v>0.10228288058533469</v>
      </c>
      <c r="EY36">
        <f>'TEA Revised Non EYZ'!DP36</f>
        <v>4.999938342565946E-2</v>
      </c>
      <c r="EZ36">
        <f>SUM(EV36:EX36)-EY36</f>
        <v>2.5749618105664713</v>
      </c>
      <c r="FA36">
        <f>EZ36*0.33*60*7200</f>
        <v>367086.55571435619</v>
      </c>
      <c r="FB36">
        <f>'TEA Revised Non EYZ'!DS36</f>
        <v>1.2</v>
      </c>
      <c r="FC36">
        <v>0.5</v>
      </c>
      <c r="FD36">
        <f>'TEA Revised Non EYZ'!DT36</f>
        <v>1406.0626301487753</v>
      </c>
      <c r="FE36">
        <f>'TEA Revised Non EYZ'!DU36</f>
        <v>706.20494429610153</v>
      </c>
      <c r="FF36">
        <f>'TEA Revised Non EYZ'!DV36</f>
        <v>0.7</v>
      </c>
      <c r="FG36">
        <f>'TEA Revised Non EYZ'!DW36</f>
        <v>35776.359048024235</v>
      </c>
      <c r="FH36">
        <f>'TEA Revised Non EYZ'!DX36</f>
        <v>29068.269280606211</v>
      </c>
      <c r="FI36">
        <f>'TEA Revised Non EYZ'!DY36</f>
        <v>12307.130138966339</v>
      </c>
      <c r="FJ36">
        <f>'TEA Revised Non EYZ'!DZ36</f>
        <v>6519.4301878820042</v>
      </c>
      <c r="FK36">
        <f>'TEA Revised Non EYZ'!EA36</f>
        <v>6563.8027407820491</v>
      </c>
      <c r="FL36">
        <f>'TEA Revised Non EYZ'!EB36</f>
        <v>850.38667871397934</v>
      </c>
      <c r="FM36">
        <f>'TEA Revised Non EYZ'!EC36</f>
        <v>38576.910326977413</v>
      </c>
      <c r="FN36">
        <f>'TEA Revised Non EYZ'!ED36</f>
        <v>34920.314559159349</v>
      </c>
      <c r="FO36">
        <f>'TEA Revised Non EYZ'!EE36</f>
        <v>14784.810599644079</v>
      </c>
      <c r="FP36">
        <f>'TEA Revised Non EYZ'!EF36</f>
        <v>7836.2761345947165</v>
      </c>
      <c r="FQ36">
        <f>'TEA Revised Non EYZ'!EG36</f>
        <v>7885.2323198101749</v>
      </c>
      <c r="FR36">
        <f>'TEA Revised Non EYZ'!EH36</f>
        <v>427.11275031028225</v>
      </c>
      <c r="FS36">
        <f>'TEA Revised Non EYZ'!EI36</f>
        <v>195516.03476547083</v>
      </c>
      <c r="FT36">
        <f>EG36*EH36</f>
        <v>2617.9277846009418</v>
      </c>
      <c r="FU36">
        <f>EG36*EI36</f>
        <v>4527.6652990189868</v>
      </c>
      <c r="FV36">
        <f>FC36*(FT36+FU36)/(3.6*10^6)*3600*7200*0.07</f>
        <v>1800.6894570722222</v>
      </c>
      <c r="FW36">
        <f>('CAPEX+OPEX'!$C$39/7/100+0.03)*EL36</f>
        <v>94475.844077566348</v>
      </c>
      <c r="FX36">
        <f>('CAPEX+OPEX'!$C$39/7/100+0.03)*EM36</f>
        <v>163394.49978018762</v>
      </c>
      <c r="FY36">
        <f>SUM(FV36:FX36)</f>
        <v>259671.0333148262</v>
      </c>
      <c r="FZ36">
        <f>FY36+FA36+FS36+EU36</f>
        <v>23091424.479857732</v>
      </c>
      <c r="GA36">
        <f>FZ36+EO36</f>
        <v>24109262.587776359</v>
      </c>
      <c r="GB36">
        <f>GA36/(BK36*60*7200)</f>
        <v>0.55808478212445278</v>
      </c>
      <c r="GC36">
        <f>'TEA Revised Non EYZ'!EM36/'TEA Revised Non EYZ'!EK36*GA36</f>
        <v>1867.0636912003777</v>
      </c>
      <c r="GD36">
        <f>'TEA Revised Non EYZ'!EN36/'TEA Revised Non EYZ'!EK36*GA36</f>
        <v>3424.5797514046044</v>
      </c>
    </row>
    <row r="37" spans="1:186">
      <c r="A37">
        <f>'TEA Revised Non EYZ'!A37</f>
        <v>6</v>
      </c>
      <c r="B37">
        <f>'TEA Revised Non EYZ'!B37</f>
        <v>1.54143585092054E-3</v>
      </c>
      <c r="C37">
        <f>'TEA Revised Non EYZ'!C37</f>
        <v>1.54143585092054E-3</v>
      </c>
      <c r="D37">
        <f>'TEA Revised Non EYZ'!D37</f>
        <v>3.4254130020456501E-4</v>
      </c>
      <c r="E37">
        <f>'TEA Revised Non EYZ'!E37</f>
        <v>0</v>
      </c>
      <c r="F37">
        <f>'TEA Revised Non EYZ'!F37</f>
        <v>0</v>
      </c>
      <c r="G37">
        <f>'TEA Revised Non EYZ'!G37</f>
        <v>0</v>
      </c>
      <c r="H37">
        <f>'TEA Revised Non EYZ'!H37</f>
        <v>1.7693893431643E-5</v>
      </c>
      <c r="I37">
        <f>'TEA Revised Non EYZ'!I37</f>
        <v>3.7175600603836103E-8</v>
      </c>
      <c r="J37">
        <f>'TEA Revised Non EYZ'!J37</f>
        <v>3.36890310328726E-4</v>
      </c>
      <c r="K37">
        <f>'TEA Revised Non EYZ'!K37</f>
        <v>0.133710118829723</v>
      </c>
      <c r="L37">
        <f>'TEA Revised Non EYZ'!L37</f>
        <v>0.13525951632913</v>
      </c>
      <c r="M37">
        <f>'TEA Revised Non EYZ'!M37</f>
        <v>4.9588089642288804E-4</v>
      </c>
      <c r="N37">
        <f>'TEA Revised Non EYZ'!N37</f>
        <v>-1.72886878424538E-14</v>
      </c>
      <c r="O37">
        <f>'TEA Revised Non EYZ'!O37</f>
        <v>-1.05961268405396E-12</v>
      </c>
      <c r="P37">
        <f>'TEA Revised Non EYZ'!P37</f>
        <v>-9.6595637304880395E-18</v>
      </c>
      <c r="Q37">
        <f>'TEA Revised Non EYZ'!Q37</f>
        <v>0.11395861217105201</v>
      </c>
      <c r="R37">
        <f>'TEA Revised Non EYZ'!R37</f>
        <v>98.3502748800029</v>
      </c>
      <c r="S37">
        <f>'TEA Revised Non EYZ'!S37</f>
        <v>500</v>
      </c>
      <c r="T37">
        <f>'TEA Revised Non EYZ'!T37</f>
        <v>95</v>
      </c>
      <c r="U37">
        <f>'TEA Revised Non EYZ'!U37</f>
        <v>1</v>
      </c>
      <c r="V37">
        <f>'TEA Revised Non EYZ'!V37</f>
        <v>0.1</v>
      </c>
      <c r="W37">
        <f>'TEA Revised Non EYZ'!W37</f>
        <v>87.751156402202497</v>
      </c>
      <c r="X37" t="str">
        <f>'TEA Revised Non EYZ'!X37</f>
        <v>ddFc</v>
      </c>
      <c r="Y37">
        <f>'TEA Revised Non EYZ'!Y37</f>
        <v>1</v>
      </c>
      <c r="Z37">
        <f>'TEA Revised Non EYZ'!Z37</f>
        <v>0.28318429382522198</v>
      </c>
      <c r="AA37">
        <f>'TEA Revised Non EYZ'!AA37</f>
        <v>0.56945642916197003</v>
      </c>
      <c r="AB37">
        <f>'TEA Revised Non EYZ'!AB37</f>
        <v>3.7698628972227502E-3</v>
      </c>
      <c r="AC37">
        <f>'TEA Revised Non EYZ'!AC37</f>
        <v>1822.2107908876901</v>
      </c>
      <c r="AD37">
        <f>'TEA Revised Non EYZ'!AD37</f>
        <v>2662.6059073104898</v>
      </c>
      <c r="AE37">
        <f>'TEA Revised Non EYZ'!AE37</f>
        <v>2401.5030938442701</v>
      </c>
      <c r="AF37">
        <f>'TEA Revised Non EYZ'!AF37</f>
        <v>9</v>
      </c>
      <c r="AG37">
        <f>'TEA Revised Non EYZ'!AG37</f>
        <v>1.64951815726537E-3</v>
      </c>
      <c r="AH37">
        <f>'TEA Revised Non EYZ'!AH37</f>
        <v>1.6686323374819601E-3</v>
      </c>
      <c r="AI37">
        <f>'TEA Revised Non EYZ'!AI37</f>
        <v>6.1174468293775103E-6</v>
      </c>
      <c r="AJ37">
        <f>'TEA Revised Non EYZ'!AJ37</f>
        <v>0</v>
      </c>
      <c r="AK37">
        <f>'TEA Revised Non EYZ'!AK37</f>
        <v>0</v>
      </c>
      <c r="AL37">
        <f>'TEA Revised Non EYZ'!AL37</f>
        <v>0</v>
      </c>
      <c r="AM37">
        <f>'TEA Revised Non EYZ'!AM37</f>
        <v>1.6125422035540001E-3</v>
      </c>
      <c r="AN37">
        <f>'TEA Revised Non EYZ'!AN37</f>
        <v>7.8793462951453095E-5</v>
      </c>
      <c r="AO37">
        <f>'TEA Revised Non EYZ'!AO37</f>
        <v>6.0771793070157197E-6</v>
      </c>
      <c r="AP37">
        <f>'TEA Revised Non EYZ'!AP37</f>
        <v>1.7335688061823E-3</v>
      </c>
      <c r="AQ37">
        <f>'TEA Revised Non EYZ'!AQ37</f>
        <v>7.4537498106893293E-2</v>
      </c>
      <c r="AR37">
        <f>'TEA Revised Non EYZ'!AR37</f>
        <v>1.8878896596870901E-6</v>
      </c>
      <c r="AS37">
        <f>'TEA Revised Non EYZ'!AS37</f>
        <v>6.1243870218274895E-17</v>
      </c>
      <c r="AT37">
        <f>'TEA Revised Non EYZ'!AT37</f>
        <v>-7.9610797121265604E-15</v>
      </c>
      <c r="AU37">
        <f>'TEA Revised Non EYZ'!AU37</f>
        <v>8.7350272685599704E-22</v>
      </c>
      <c r="AV37">
        <f>'TEA Revised Non EYZ'!AV37</f>
        <v>0.19703012219574401</v>
      </c>
      <c r="AW37">
        <f>'TEA Revised Non EYZ'!AW37</f>
        <v>99.341759340376896</v>
      </c>
      <c r="AX37">
        <f>'TEA Revised Non EYZ'!AX37</f>
        <v>500</v>
      </c>
      <c r="AY37">
        <f>'TEA Revised Non EYZ'!AY37</f>
        <v>95</v>
      </c>
      <c r="AZ37">
        <f>'TEA Revised Non EYZ'!AZ37</f>
        <v>0.92374973309314701</v>
      </c>
      <c r="BA37">
        <f>'TEA Revised Non EYZ'!BA37</f>
        <v>0.1</v>
      </c>
      <c r="BB37">
        <f>'TEA Revised Non EYZ'!BB37</f>
        <v>46.883680667640498</v>
      </c>
      <c r="BC37" t="str">
        <f>'TEA Revised Non EYZ'!BC37</f>
        <v>coeFc</v>
      </c>
      <c r="BD37">
        <f>'TEA Revised Non EYZ'!BD37</f>
        <v>1</v>
      </c>
      <c r="BE37">
        <f>'TEA Revised Non EYZ'!BE37</f>
        <v>1.8775014999999999E-2</v>
      </c>
      <c r="BF37">
        <f>'TEA Revised Non EYZ'!BF37</f>
        <v>0.10492961100000001</v>
      </c>
      <c r="BG37">
        <f>'TEA Revised Non EYZ'!BG37</f>
        <v>1.814625E-3</v>
      </c>
      <c r="BH37">
        <f>'TEA Revised Non EYZ'!BH37</f>
        <v>285.1951444</v>
      </c>
      <c r="BI37">
        <f>'TEA Revised Non EYZ'!BI37</f>
        <v>2169.8944889999998</v>
      </c>
      <c r="BJ37">
        <f>'TEA Revised Non EYZ'!BJ37</f>
        <v>866.49409060000005</v>
      </c>
      <c r="BK37">
        <f>'TEA Revised Non EYZ'!BK37</f>
        <v>100</v>
      </c>
      <c r="BL37">
        <f>'TEA Revised Non EYZ'!BL37</f>
        <v>11.395861217105201</v>
      </c>
      <c r="BM37">
        <f>'TEA Revised Non EYZ'!BM37</f>
        <v>92.374973309314697</v>
      </c>
      <c r="BN37">
        <f>'TEA Revised Non EYZ'!BN37</f>
        <v>19.703012219574401</v>
      </c>
      <c r="BO37">
        <f>'TEA Revised Non EYZ'!BO37</f>
        <v>182.33377947368322</v>
      </c>
      <c r="BP37">
        <f>'TEA Revised Non EYZ'!BP37</f>
        <v>433.46626883063681</v>
      </c>
      <c r="BQ37">
        <f>'TEA Revised Non EYZ'!BQ37</f>
        <v>18.233377947368322</v>
      </c>
      <c r="BR37">
        <f>'TEA Revised Non EYZ'!BR37</f>
        <v>43.346626883063685</v>
      </c>
      <c r="BS37">
        <f>'eLLE Bals'!CF37</f>
        <v>6.8375167302631192</v>
      </c>
      <c r="BT37">
        <f>'eLLE Bals'!CG37</f>
        <v>11.82180733174464</v>
      </c>
      <c r="BU37">
        <f>BM37</f>
        <v>92.374973309314697</v>
      </c>
      <c r="BV37">
        <f>BU37*(AM37*2+AN37*2+AO37*3)</f>
        <v>0.31415831192991095</v>
      </c>
      <c r="BW37">
        <f>BN37*BA37*(AP37*2+AQ37*2+AR37*3)</f>
        <v>0.30056511181157125</v>
      </c>
      <c r="BX37">
        <f>BV37/(2*V37*BL37+BV37)</f>
        <v>0.12114086701430796</v>
      </c>
      <c r="BY37">
        <f>BU37*BX37</f>
        <v>11.190384357113938</v>
      </c>
      <c r="BZ37">
        <f>BW37/(2*BN37*BA37+BW37)</f>
        <v>7.086848323305367E-2</v>
      </c>
      <c r="CA37">
        <f>2*BN37*BA37/0.04</f>
        <v>98.515061097872007</v>
      </c>
      <c r="CB37">
        <f>(BS37+BL37)*2</f>
        <v>36.466755894736643</v>
      </c>
      <c r="CC37">
        <f>(BU37+BL37)*2</f>
        <v>207.54166905283981</v>
      </c>
      <c r="CD37">
        <f>(BT37+BN37)*2</f>
        <v>63.049639102638082</v>
      </c>
      <c r="CE37">
        <f>(CA37+BN37)*2</f>
        <v>236.43614663489282</v>
      </c>
      <c r="CF37">
        <f>'TEA Revised Non EYZ'!CB37</f>
        <v>2406.8058890526186</v>
      </c>
      <c r="CG37">
        <f>'TEA Revised Non EYZ'!CC37</f>
        <v>5721.7547485644063</v>
      </c>
      <c r="CH37">
        <f>'TEA Revised Non EYZ'!CD37</f>
        <v>2907.8673690603878</v>
      </c>
      <c r="CI37">
        <f>'TEA Revised Non EYZ'!CE37</f>
        <v>44132.402915519386</v>
      </c>
      <c r="CJ37">
        <f>BL37*V37</f>
        <v>1.1395861217105201</v>
      </c>
      <c r="CK37">
        <f>CJ37/2*1.2</f>
        <v>0.68375167302631201</v>
      </c>
      <c r="CL37">
        <f>'eLLE Bals'!CB37*'Oxidant Feed Composition'!$N$20</f>
        <v>3.7986204057017352E-2</v>
      </c>
      <c r="CM37">
        <f>'eLLE Bals'!CB37*'Oxidant Feed Composition'!$N$21</f>
        <v>1.8993102028508668</v>
      </c>
      <c r="CN37">
        <f>'eLLE Bals'!CB37*'Oxidant Feed Composition'!$N$22</f>
        <v>0.56979306085526005</v>
      </c>
      <c r="CO37">
        <f>CN37/CK37</f>
        <v>0.83333333333333337</v>
      </c>
      <c r="CP37">
        <f>CO37</f>
        <v>0.83333333333333337</v>
      </c>
      <c r="CQ37">
        <f>CL37/CO37</f>
        <v>4.5583444868420822E-2</v>
      </c>
      <c r="CR37">
        <f>CM37/CO37</f>
        <v>2.2791722434210402</v>
      </c>
      <c r="CS37">
        <f>BN37*BA37</f>
        <v>1.9703012219574401</v>
      </c>
      <c r="CT37">
        <f>CS37/2*1.2</f>
        <v>1.182180733174464</v>
      </c>
      <c r="CU37">
        <f>'eLLE Bals'!CC37*'Oxidant Feed Composition'!$N$20</f>
        <v>6.5676707398581363E-2</v>
      </c>
      <c r="CV37">
        <f>'eLLE Bals'!CC37*'Oxidant Feed Composition'!$N$21</f>
        <v>3.2838353699290672</v>
      </c>
      <c r="CW37">
        <f>'eLLE Bals'!CC37*'Oxidant Feed Composition'!$N$22</f>
        <v>0.98515061097872003</v>
      </c>
      <c r="CX37">
        <f>CU37/CP37</f>
        <v>7.8812048878297639E-2</v>
      </c>
      <c r="CY37">
        <f>CV37/CP37</f>
        <v>3.9406024439148806</v>
      </c>
      <c r="CZ37">
        <f>CJ37</f>
        <v>1.1395861217105201</v>
      </c>
      <c r="DA37">
        <f>'eLLE Bals'!BQ37</f>
        <v>2.2791722434210402</v>
      </c>
      <c r="DB37">
        <f>'eLLE Bals'!BU37</f>
        <v>5.9883570848289978</v>
      </c>
      <c r="DC37">
        <f>CS37</f>
        <v>1.9703012219574401</v>
      </c>
      <c r="DD37">
        <f>'eLLE Bals'!BX37</f>
        <v>3.9406024439148801</v>
      </c>
      <c r="DE37">
        <f>'eLLE Bals'!CA37</f>
        <v>21.891317181412226</v>
      </c>
      <c r="DF37">
        <f>2*2*(CJ37*'Reagent cost'!$C$36*122.44/1000*1.5+CK37*'Oxidant Feed Composition'!$N$26+CQ37*'Reagent cost'!$C$34+CR37*'Reagent cost'!$C$35)</f>
        <v>115.96557977376703</v>
      </c>
      <c r="DG37">
        <f>2*2*(CS37*'Reagent cost'!$C$36*122.44/1000*1.5+CT37*'Oxidant Feed Composition'!$N$26+CX37*'Reagent cost'!$C$34+CY37*'Reagent cost'!$C$35)</f>
        <v>200.50009313056285</v>
      </c>
      <c r="DH37">
        <f>(AF37+3)*2*(CZ37*'Reagent cost'!$C$38+DA37*'Reagent cost'!$C$39+DB37*'Reagent cost'!$C$36*122.44/1000*1.5)</f>
        <v>1985.9830381403158</v>
      </c>
      <c r="DI37">
        <f>3*2*(DC37*'Reagent cost'!$C$38+DD37*'Reagent cost'!$C$39+DE37*'Reagent cost'!$C$36*122.44/1000*1.5)</f>
        <v>1756.2889900028179</v>
      </c>
      <c r="DJ37">
        <f>7963.6*(CB37/1000)^0.6*1.7*('CAPEX+OPEX'!$G$116/'CAPEX+OPEX'!$G$115)</f>
        <v>2189.6727102460782</v>
      </c>
      <c r="DK37">
        <f>7963.6*(CC37/1000)^0.6*1.7*('CAPEX+OPEX'!$G$116/'CAPEX+OPEX'!$G$115)</f>
        <v>6215.9013146876341</v>
      </c>
      <c r="DL37">
        <f>7963.6*(CD37/1000)^0.6*1.7*('CAPEX+OPEX'!$G$116/'CAPEX+OPEX'!$G$115)</f>
        <v>3041.2385780576142</v>
      </c>
      <c r="DM37">
        <f>7963.6*(CE37/1000)^0.6*1.7*('CAPEX+OPEX'!$G$116/'CAPEX+OPEX'!$G$115)</f>
        <v>6721.5471818164979</v>
      </c>
      <c r="DN37">
        <f>'TEA Revised Non EYZ'!CM37</f>
        <v>39625.826528698344</v>
      </c>
      <c r="DO37">
        <f>'TEA Revised Non EYZ'!CN37</f>
        <v>4586243.4239371875</v>
      </c>
      <c r="DP37">
        <f>'TEA Revised Non EYZ'!CO37</f>
        <v>11794834.586807497</v>
      </c>
      <c r="DQ37">
        <f>'TEA Revised Non EYZ'!CP37</f>
        <v>2275209.1661185985</v>
      </c>
      <c r="DR37">
        <f>'TEA Revised Non EYZ'!CQ37</f>
        <v>14083914.336508472</v>
      </c>
      <c r="DS37">
        <f>'TEA Revised Non EYZ'!CR37</f>
        <v>1662824.8986326549</v>
      </c>
      <c r="DT37">
        <f>'TEA Revised Non EYZ'!CS37</f>
        <v>646135.89638675924</v>
      </c>
      <c r="DU37">
        <f>'TEA Revised Non EYZ'!CT37</f>
        <v>1661722.9645298459</v>
      </c>
      <c r="DV37">
        <f>'TEA Revised Non EYZ'!CU37</f>
        <v>320544.32748695416</v>
      </c>
      <c r="DW37">
        <f>'TEA Revised Non EYZ'!CV37</f>
        <v>1984221.4582325809</v>
      </c>
      <c r="DX37">
        <f>'TEA Revised Non EYZ'!CW37</f>
        <v>234268.17050410178</v>
      </c>
      <c r="DY37">
        <f>'TEA Revised Non EYZ'!CX37</f>
        <v>4846892.8171402421</v>
      </c>
      <c r="DZ37">
        <f>'TEA Revised Non EYZ'!CY37</f>
        <v>755899.67705977859</v>
      </c>
      <c r="EA37">
        <f>'TEA Revised Non EYZ'!CZ37</f>
        <v>1944011.8700649682</v>
      </c>
      <c r="EB37">
        <f>'TEA Revised Non EYZ'!DA37</f>
        <v>374997.51211113459</v>
      </c>
      <c r="EC37">
        <f>'TEA Revised Non EYZ'!DB37</f>
        <v>2321295.5167488609</v>
      </c>
      <c r="ED37">
        <f>'TEA Revised Non EYZ'!DC37</f>
        <v>274064.99997864</v>
      </c>
      <c r="EE37">
        <f>'TEA Revised Non EYZ'!DD37</f>
        <v>5670269.5759633826</v>
      </c>
      <c r="EF37">
        <v>0.7</v>
      </c>
      <c r="EG37">
        <v>100</v>
      </c>
      <c r="EH37">
        <f>96485*BL37*V37/EF37/EG37/60</f>
        <v>26.179277846009416</v>
      </c>
      <c r="EI37">
        <f>96485*BN37*BA37/EF37/EG37/60</f>
        <v>45.262979381086573</v>
      </c>
      <c r="EJ37">
        <f>EH37*('CAPEX+OPEX'!$O$25+'CAPEX+OPEX'!$O$26)</f>
        <v>834385.9435080121</v>
      </c>
      <c r="EK37">
        <f>EI37*('CAPEX+OPEX'!$O$25+'CAPEX+OPEX'!$O$26)</f>
        <v>1442621.6788339913</v>
      </c>
      <c r="EL37">
        <f>EJ37*1.12/0.6*'CAPEX+OPEX'!$G$116/'CAPEX+OPEX'!$G$115</f>
        <v>1837030.3015082346</v>
      </c>
      <c r="EM37">
        <f>EK37*1.12/0.6*'CAPEX+OPEX'!$G$116/'CAPEX+OPEX'!$G$115</f>
        <v>3176155.78048778</v>
      </c>
      <c r="EN37">
        <f>EL37+EM37+DY37+EE37+1.15*(SUM(DF37:DM37)+SUM(CF37:CI37))</f>
        <v>15619353.792768897</v>
      </c>
      <c r="EO37">
        <f>EN37/15</f>
        <v>1041290.2528512598</v>
      </c>
      <c r="EP37">
        <f>('eLLE Bals'!CB37+'eLLE Bals'!CC37)*'Oxidant Feed Composition'!$N$28*60*7200</f>
        <v>17288407.371661142</v>
      </c>
      <c r="EQ37" s="53">
        <f>('eLLE Bals'!BR37+'eLLE Bals'!BY37)*'Reagent cost'!$C$38*60*7200*1.5</f>
        <v>760041.79102122923</v>
      </c>
      <c r="ER37">
        <f>'TEA Revised Non EYZ'!DI37</f>
        <v>504921.59999999998</v>
      </c>
      <c r="ES37">
        <f>'TEA Revised Non EYZ'!DJ37</f>
        <v>81.28560637617025</v>
      </c>
      <c r="ET37">
        <f>'TEA Revised Non EYZ'!DK37</f>
        <v>940.80540569159552</v>
      </c>
      <c r="EU37">
        <f>1.2*SUM(EP37:ET37)</f>
        <v>22265271.424433324</v>
      </c>
      <c r="EV37">
        <f>'TEA Revised Non EYZ'!DM37</f>
        <v>0.70639694042110623</v>
      </c>
      <c r="EW37">
        <f>(BS37*CO37+BT37*CP37)/1000*('Oxidant Feed Composition'!$B$11*'Oxidant Feed Composition'!$O$20+'Oxidant Feed Composition'!$D$11*'Oxidant Feed Composition'!$O$21+'Oxidant Feed Composition'!$F$11*'Oxidant Feed Composition'!$O$27-'Oxidant Feed Composition'!$J$15*18.015)</f>
        <v>1.8159338144104229</v>
      </c>
      <c r="EX37">
        <f>(CZ37*BX37+DC37*BZ37)*368.34/1000</f>
        <v>0.10228164937703101</v>
      </c>
      <c r="EY37">
        <f>'TEA Revised Non EYZ'!DP37</f>
        <v>4.999938342565946E-2</v>
      </c>
      <c r="EZ37">
        <f>SUM(EV37:EX37)-EY37</f>
        <v>2.5746130207829006</v>
      </c>
      <c r="FA37">
        <f>EZ37*0.33*60*7200</f>
        <v>367036.83224281034</v>
      </c>
      <c r="FB37">
        <f>'TEA Revised Non EYZ'!DS37</f>
        <v>1.2</v>
      </c>
      <c r="FC37">
        <v>0.5</v>
      </c>
      <c r="FD37">
        <f>'TEA Revised Non EYZ'!DT37</f>
        <v>1406.097494568138</v>
      </c>
      <c r="FE37">
        <f>'TEA Revised Non EYZ'!DU37</f>
        <v>706.1700790912098</v>
      </c>
      <c r="FF37">
        <f>'TEA Revised Non EYZ'!DV37</f>
        <v>0.7</v>
      </c>
      <c r="FG37">
        <f>'TEA Revised Non EYZ'!DW37</f>
        <v>35776.359048024235</v>
      </c>
      <c r="FH37">
        <f>'TEA Revised Non EYZ'!DX37</f>
        <v>29068.269280606211</v>
      </c>
      <c r="FI37">
        <f>'TEA Revised Non EYZ'!DY37</f>
        <v>12307.130138966339</v>
      </c>
      <c r="FJ37">
        <f>'TEA Revised Non EYZ'!DZ37</f>
        <v>6519.4301878820042</v>
      </c>
      <c r="FK37">
        <f>'TEA Revised Non EYZ'!EA37</f>
        <v>6563.8027407820491</v>
      </c>
      <c r="FL37">
        <f>'TEA Revised Non EYZ'!EB37</f>
        <v>850.4077647148099</v>
      </c>
      <c r="FM37">
        <f>'TEA Revised Non EYZ'!EC37</f>
        <v>41148.704348775907</v>
      </c>
      <c r="FN37">
        <f>'TEA Revised Non EYZ'!ED37</f>
        <v>38800.349510177053</v>
      </c>
      <c r="FO37">
        <f>'TEA Revised Non EYZ'!EE37</f>
        <v>16427.567332937866</v>
      </c>
      <c r="FP37">
        <f>'TEA Revised Non EYZ'!EF37</f>
        <v>8706.9734828830187</v>
      </c>
      <c r="FQ37">
        <f>'TEA Revised Non EYZ'!EG37</f>
        <v>8761.3692442335268</v>
      </c>
      <c r="FR37">
        <f>'TEA Revised Non EYZ'!EH37</f>
        <v>427.09166383436366</v>
      </c>
      <c r="FS37">
        <f>'TEA Revised Non EYZ'!EI37</f>
        <v>205357.45474381739</v>
      </c>
      <c r="FT37">
        <f>EG37*EH37</f>
        <v>2617.9277846009418</v>
      </c>
      <c r="FU37">
        <f>EG37*EI37</f>
        <v>4526.297938108657</v>
      </c>
      <c r="FV37">
        <f>FC37*(FT37+FU37)/(3.6*10^6)*3600*7200*0.07</f>
        <v>1800.3448821228192</v>
      </c>
      <c r="FW37">
        <f>('CAPEX+OPEX'!$C$39/7/100+0.03)*EL37</f>
        <v>94475.844077566348</v>
      </c>
      <c r="FX37">
        <f>('CAPEX+OPEX'!$C$39/7/100+0.03)*EM37</f>
        <v>163345.15442508581</v>
      </c>
      <c r="FY37">
        <f>SUM(FV37:FX37)</f>
        <v>259621.34338477498</v>
      </c>
      <c r="FZ37">
        <f>FY37+FA37+FS37+EU37</f>
        <v>23097287.054804727</v>
      </c>
      <c r="GA37">
        <f>FZ37+EO37</f>
        <v>24138577.307655986</v>
      </c>
      <c r="GB37">
        <f>GA37/(BK37*60*7200)</f>
        <v>0.55876336360314782</v>
      </c>
      <c r="GC37">
        <f>'TEA Revised Non EYZ'!EM37/'TEA Revised Non EYZ'!EK37*GA37</f>
        <v>1869.2874912504469</v>
      </c>
      <c r="GD37">
        <f>'TEA Revised Non EYZ'!EN37/'TEA Revised Non EYZ'!EK37*GA37</f>
        <v>3428.899798995561</v>
      </c>
    </row>
    <row r="38" spans="1:186">
      <c r="A38">
        <f>'TEA Revised Non EYZ'!A38</f>
        <v>6</v>
      </c>
      <c r="B38">
        <f>'TEA Revised Non EYZ'!B38</f>
        <v>1.54143585092054E-3</v>
      </c>
      <c r="C38">
        <f>'TEA Revised Non EYZ'!C38</f>
        <v>1.54143585092054E-3</v>
      </c>
      <c r="D38">
        <f>'TEA Revised Non EYZ'!D38</f>
        <v>3.4254130020456501E-4</v>
      </c>
      <c r="E38">
        <f>'TEA Revised Non EYZ'!E38</f>
        <v>0</v>
      </c>
      <c r="F38">
        <f>'TEA Revised Non EYZ'!F38</f>
        <v>0</v>
      </c>
      <c r="G38">
        <f>'TEA Revised Non EYZ'!G38</f>
        <v>0</v>
      </c>
      <c r="H38">
        <f>'TEA Revised Non EYZ'!H38</f>
        <v>1.7693893431643E-5</v>
      </c>
      <c r="I38">
        <f>'TEA Revised Non EYZ'!I38</f>
        <v>3.7175600603836103E-8</v>
      </c>
      <c r="J38">
        <f>'TEA Revised Non EYZ'!J38</f>
        <v>3.36890310328726E-4</v>
      </c>
      <c r="K38">
        <f>'TEA Revised Non EYZ'!K38</f>
        <v>0.133710118829723</v>
      </c>
      <c r="L38">
        <f>'TEA Revised Non EYZ'!L38</f>
        <v>0.13525951632913</v>
      </c>
      <c r="M38">
        <f>'TEA Revised Non EYZ'!M38</f>
        <v>4.9588089642288804E-4</v>
      </c>
      <c r="N38">
        <f>'TEA Revised Non EYZ'!N38</f>
        <v>-1.72886878424538E-14</v>
      </c>
      <c r="O38">
        <f>'TEA Revised Non EYZ'!O38</f>
        <v>-1.05961268405396E-12</v>
      </c>
      <c r="P38">
        <f>'TEA Revised Non EYZ'!P38</f>
        <v>-9.6595637304880395E-18</v>
      </c>
      <c r="Q38">
        <f>'TEA Revised Non EYZ'!Q38</f>
        <v>0.11395861217105201</v>
      </c>
      <c r="R38">
        <f>'TEA Revised Non EYZ'!R38</f>
        <v>98.3502748800029</v>
      </c>
      <c r="S38">
        <f>'TEA Revised Non EYZ'!S38</f>
        <v>500</v>
      </c>
      <c r="T38">
        <f>'TEA Revised Non EYZ'!T38</f>
        <v>95</v>
      </c>
      <c r="U38">
        <f>'TEA Revised Non EYZ'!U38</f>
        <v>1</v>
      </c>
      <c r="V38">
        <f>'TEA Revised Non EYZ'!V38</f>
        <v>0.1</v>
      </c>
      <c r="W38">
        <f>'TEA Revised Non EYZ'!W38</f>
        <v>87.751156402202497</v>
      </c>
      <c r="X38" t="str">
        <f>'TEA Revised Non EYZ'!X38</f>
        <v>ddFc</v>
      </c>
      <c r="Y38">
        <f>'TEA Revised Non EYZ'!Y38</f>
        <v>1</v>
      </c>
      <c r="Z38">
        <f>'TEA Revised Non EYZ'!Z38</f>
        <v>0.28318429382522198</v>
      </c>
      <c r="AA38">
        <f>'TEA Revised Non EYZ'!AA38</f>
        <v>0.56945642916197003</v>
      </c>
      <c r="AB38">
        <f>'TEA Revised Non EYZ'!AB38</f>
        <v>3.7698628972227502E-3</v>
      </c>
      <c r="AC38">
        <f>'TEA Revised Non EYZ'!AC38</f>
        <v>1822.2107908876901</v>
      </c>
      <c r="AD38">
        <f>'TEA Revised Non EYZ'!AD38</f>
        <v>2662.6059073104898</v>
      </c>
      <c r="AE38">
        <f>'TEA Revised Non EYZ'!AE38</f>
        <v>2401.5030938442701</v>
      </c>
      <c r="AF38">
        <f>'TEA Revised Non EYZ'!AF38</f>
        <v>10</v>
      </c>
      <c r="AG38">
        <f>'TEA Revised Non EYZ'!AG38</f>
        <v>1.64951815726537E-3</v>
      </c>
      <c r="AH38">
        <f>'TEA Revised Non EYZ'!AH38</f>
        <v>1.6686323374819601E-3</v>
      </c>
      <c r="AI38">
        <f>'TEA Revised Non EYZ'!AI38</f>
        <v>6.1174468293775103E-6</v>
      </c>
      <c r="AJ38">
        <f>'TEA Revised Non EYZ'!AJ38</f>
        <v>0</v>
      </c>
      <c r="AK38">
        <f>'TEA Revised Non EYZ'!AK38</f>
        <v>0</v>
      </c>
      <c r="AL38">
        <f>'TEA Revised Non EYZ'!AL38</f>
        <v>0</v>
      </c>
      <c r="AM38">
        <f>'TEA Revised Non EYZ'!AM38</f>
        <v>1.61255347742774E-3</v>
      </c>
      <c r="AN38">
        <f>'TEA Revised Non EYZ'!AN38</f>
        <v>7.8794044578505199E-5</v>
      </c>
      <c r="AO38">
        <f>'TEA Revised Non EYZ'!AO38</f>
        <v>6.07719107473002E-6</v>
      </c>
      <c r="AP38">
        <f>'TEA Revised Non EYZ'!AP38</f>
        <v>1.7331877781333199E-3</v>
      </c>
      <c r="AQ38">
        <f>'TEA Revised Non EYZ'!AQ38</f>
        <v>7.4543816233418506E-2</v>
      </c>
      <c r="AR38">
        <f>'TEA Revised Non EYZ'!AR38</f>
        <v>1.88749861433376E-6</v>
      </c>
      <c r="AS38">
        <f>'TEA Revised Non EYZ'!AS38</f>
        <v>9.0192949137902997E-15</v>
      </c>
      <c r="AT38">
        <f>'TEA Revised Non EYZ'!AT38</f>
        <v>-9.3119934506391495E-13</v>
      </c>
      <c r="AU38">
        <f>'TEA Revised Non EYZ'!AU38</f>
        <v>9.0473706678599895E-20</v>
      </c>
      <c r="AV38">
        <f>'TEA Revised Non EYZ'!AV38</f>
        <v>0.19701335051902499</v>
      </c>
      <c r="AW38">
        <f>'TEA Revised Non EYZ'!AW38</f>
        <v>99.341951703541199</v>
      </c>
      <c r="AX38">
        <f>'TEA Revised Non EYZ'!AX38</f>
        <v>500</v>
      </c>
      <c r="AY38">
        <f>'TEA Revised Non EYZ'!AY38</f>
        <v>95</v>
      </c>
      <c r="AZ38">
        <f>'TEA Revised Non EYZ'!AZ38</f>
        <v>0.92374973309314701</v>
      </c>
      <c r="BA38">
        <f>'TEA Revised Non EYZ'!BA38</f>
        <v>0.1</v>
      </c>
      <c r="BB38">
        <f>'TEA Revised Non EYZ'!BB38</f>
        <v>46.887671858762701</v>
      </c>
      <c r="BC38" t="str">
        <f>'TEA Revised Non EYZ'!BC38</f>
        <v>coeFc</v>
      </c>
      <c r="BD38">
        <f>'TEA Revised Non EYZ'!BD38</f>
        <v>1</v>
      </c>
      <c r="BE38">
        <f>'TEA Revised Non EYZ'!BE38</f>
        <v>1.8775014999999999E-2</v>
      </c>
      <c r="BF38">
        <f>'TEA Revised Non EYZ'!BF38</f>
        <v>0.10492961100000001</v>
      </c>
      <c r="BG38">
        <f>'TEA Revised Non EYZ'!BG38</f>
        <v>1.814625E-3</v>
      </c>
      <c r="BH38">
        <f>'TEA Revised Non EYZ'!BH38</f>
        <v>285.1951444</v>
      </c>
      <c r="BI38">
        <f>'TEA Revised Non EYZ'!BI38</f>
        <v>2169.8944889999998</v>
      </c>
      <c r="BJ38">
        <f>'TEA Revised Non EYZ'!BJ38</f>
        <v>866.49409060000005</v>
      </c>
      <c r="BK38">
        <f>'TEA Revised Non EYZ'!BK38</f>
        <v>100</v>
      </c>
      <c r="BL38">
        <f>'TEA Revised Non EYZ'!BL38</f>
        <v>11.395861217105201</v>
      </c>
      <c r="BM38">
        <f>'TEA Revised Non EYZ'!BM38</f>
        <v>92.374973309314697</v>
      </c>
      <c r="BN38">
        <f>'TEA Revised Non EYZ'!BN38</f>
        <v>19.7013350519025</v>
      </c>
      <c r="BO38">
        <f>'TEA Revised Non EYZ'!BO38</f>
        <v>182.33377947368322</v>
      </c>
      <c r="BP38">
        <f>'TEA Revised Non EYZ'!BP38</f>
        <v>472.83204124565998</v>
      </c>
      <c r="BQ38">
        <f>'TEA Revised Non EYZ'!BQ38</f>
        <v>18.233377947368322</v>
      </c>
      <c r="BR38">
        <f>'TEA Revised Non EYZ'!BR38</f>
        <v>47.283204124565998</v>
      </c>
      <c r="BS38">
        <f>'eLLE Bals'!CF38</f>
        <v>6.8375167302631192</v>
      </c>
      <c r="BT38">
        <f>'eLLE Bals'!CG38</f>
        <v>11.820801031141499</v>
      </c>
      <c r="BU38">
        <f>BM38</f>
        <v>92.374973309314697</v>
      </c>
      <c r="BV38">
        <f>BU38*(AM38*2+AN38*2+AO38*3)</f>
        <v>0.31416050549417629</v>
      </c>
      <c r="BW38">
        <f>BN38*BA38*(AP38*2+AQ38*2+AR38*3)</f>
        <v>0.30056291843016203</v>
      </c>
      <c r="BX38">
        <f>BV38/(2*V38*BL38+BV38)</f>
        <v>0.12114161039519079</v>
      </c>
      <c r="BY38">
        <f>BU38*BX38</f>
        <v>11.19045302690315</v>
      </c>
      <c r="BZ38">
        <f>BW38/(2*BN38*BA38+BW38)</f>
        <v>7.0873608108697403E-2</v>
      </c>
      <c r="CA38">
        <f>2*BN38*BA38/0.04</f>
        <v>98.506675259512505</v>
      </c>
      <c r="CB38">
        <f>(BS38+BL38)*2</f>
        <v>36.466755894736643</v>
      </c>
      <c r="CC38">
        <f>(BU38+BL38)*2</f>
        <v>207.54166905283981</v>
      </c>
      <c r="CD38">
        <f>(BT38+BN38)*2</f>
        <v>63.044272166088</v>
      </c>
      <c r="CE38">
        <f>(CA38+BN38)*2</f>
        <v>236.41602062283002</v>
      </c>
      <c r="CF38">
        <f>'TEA Revised Non EYZ'!CB38</f>
        <v>2406.8058890526186</v>
      </c>
      <c r="CG38">
        <f>'TEA Revised Non EYZ'!CC38</f>
        <v>6241.382944442712</v>
      </c>
      <c r="CH38">
        <f>'TEA Revised Non EYZ'!CD38</f>
        <v>2907.8673690603878</v>
      </c>
      <c r="CI38">
        <f>'TEA Revised Non EYZ'!CE38</f>
        <v>48140.341374000076</v>
      </c>
      <c r="CJ38">
        <f>BL38*V38</f>
        <v>1.1395861217105201</v>
      </c>
      <c r="CK38">
        <f>CJ38/2*1.2</f>
        <v>0.68375167302631201</v>
      </c>
      <c r="CL38">
        <f>'eLLE Bals'!CB38*'Oxidant Feed Composition'!$N$20</f>
        <v>3.7986204057017352E-2</v>
      </c>
      <c r="CM38">
        <f>'eLLE Bals'!CB38*'Oxidant Feed Composition'!$N$21</f>
        <v>1.8993102028508668</v>
      </c>
      <c r="CN38">
        <f>'eLLE Bals'!CB38*'Oxidant Feed Composition'!$N$22</f>
        <v>0.56979306085526005</v>
      </c>
      <c r="CO38">
        <f>CN38/CK38</f>
        <v>0.83333333333333337</v>
      </c>
      <c r="CP38">
        <f>CO38</f>
        <v>0.83333333333333337</v>
      </c>
      <c r="CQ38">
        <f>CL38/CO38</f>
        <v>4.5583444868420822E-2</v>
      </c>
      <c r="CR38">
        <f>CM38/CO38</f>
        <v>2.2791722434210402</v>
      </c>
      <c r="CS38">
        <f>BN38*BA38</f>
        <v>1.9701335051902502</v>
      </c>
      <c r="CT38">
        <f>CS38/2*1.2</f>
        <v>1.1820801031141501</v>
      </c>
      <c r="CU38">
        <f>'eLLE Bals'!CC38*'Oxidant Feed Composition'!$N$20</f>
        <v>6.5671116839675026E-2</v>
      </c>
      <c r="CV38">
        <f>'eLLE Bals'!CC38*'Oxidant Feed Composition'!$N$21</f>
        <v>3.2835558419837505</v>
      </c>
      <c r="CW38">
        <f>'eLLE Bals'!CC38*'Oxidant Feed Composition'!$N$22</f>
        <v>0.98506675259512511</v>
      </c>
      <c r="CX38">
        <f>CU38/CP38</f>
        <v>7.8805340207610028E-2</v>
      </c>
      <c r="CY38">
        <f>CV38/CP38</f>
        <v>3.9402670103805004</v>
      </c>
      <c r="CZ38">
        <f>CJ38</f>
        <v>1.1395861217105201</v>
      </c>
      <c r="DA38">
        <f>'eLLE Bals'!BQ38</f>
        <v>2.2791722434210402</v>
      </c>
      <c r="DB38">
        <f>'eLLE Bals'!BU38</f>
        <v>5.9882993597495586</v>
      </c>
      <c r="DC38">
        <f>CS38</f>
        <v>1.9701335051902502</v>
      </c>
      <c r="DD38">
        <f>'eLLE Bals'!BX38</f>
        <v>3.9402670103805004</v>
      </c>
      <c r="DE38">
        <f>'eLLE Bals'!CA38</f>
        <v>21.887443530533087</v>
      </c>
      <c r="DF38">
        <f>2*2*(CJ38*'Reagent cost'!$C$36*122.44/1000*1.5+CK38*'Oxidant Feed Composition'!$N$26+CQ38*'Reagent cost'!$C$34+CR38*'Reagent cost'!$C$35)</f>
        <v>115.96557977376703</v>
      </c>
      <c r="DG38">
        <f>2*2*(CS38*'Reagent cost'!$C$36*122.44/1000*1.5+CT38*'Oxidant Feed Composition'!$N$26+CX38*'Reagent cost'!$C$34+CY38*'Reagent cost'!$C$35)</f>
        <v>200.48302608159267</v>
      </c>
      <c r="DH38">
        <f>(AF38+3)*2*(CZ38*'Reagent cost'!$C$38+DA38*'Reagent cost'!$C$39+DB38*'Reagent cost'!$C$36*122.44/1000*1.5)</f>
        <v>2151.4621584968613</v>
      </c>
      <c r="DI38">
        <f>3*2*(DC38*'Reagent cost'!$C$38+DD38*'Reagent cost'!$C$39+DE38*'Reagent cost'!$C$36*122.44/1000*1.5)</f>
        <v>1755.9830551371169</v>
      </c>
      <c r="DJ38">
        <f>7963.6*(CB38/1000)^0.6*1.7*('CAPEX+OPEX'!$G$116/'CAPEX+OPEX'!$G$115)</f>
        <v>2189.6727102460782</v>
      </c>
      <c r="DK38">
        <f>7963.6*(CC38/1000)^0.6*1.7*('CAPEX+OPEX'!$G$116/'CAPEX+OPEX'!$G$115)</f>
        <v>6215.9013146876341</v>
      </c>
      <c r="DL38">
        <f>7963.6*(CD38/1000)^0.6*1.7*('CAPEX+OPEX'!$G$116/'CAPEX+OPEX'!$G$115)</f>
        <v>3041.0832488985457</v>
      </c>
      <c r="DM38">
        <f>7963.6*(CE38/1000)^0.6*1.7*('CAPEX+OPEX'!$G$116/'CAPEX+OPEX'!$G$115)</f>
        <v>6721.2038834383548</v>
      </c>
      <c r="DN38">
        <f>'TEA Revised Non EYZ'!CM38</f>
        <v>39625.826528698344</v>
      </c>
      <c r="DO38">
        <f>'TEA Revised Non EYZ'!CN38</f>
        <v>4586243.4239371875</v>
      </c>
      <c r="DP38">
        <f>'TEA Revised Non EYZ'!CO38</f>
        <v>11794834.586807497</v>
      </c>
      <c r="DQ38">
        <f>'TEA Revised Non EYZ'!CP38</f>
        <v>2275209.1661185985</v>
      </c>
      <c r="DR38">
        <f>'TEA Revised Non EYZ'!CQ38</f>
        <v>14083914.336508472</v>
      </c>
      <c r="DS38">
        <f>'TEA Revised Non EYZ'!CR38</f>
        <v>1662824.8986326549</v>
      </c>
      <c r="DT38">
        <f>'TEA Revised Non EYZ'!CS38</f>
        <v>646135.89638675924</v>
      </c>
      <c r="DU38">
        <f>'TEA Revised Non EYZ'!CT38</f>
        <v>1661722.9645298459</v>
      </c>
      <c r="DV38">
        <f>'TEA Revised Non EYZ'!CU38</f>
        <v>320544.32748695416</v>
      </c>
      <c r="DW38">
        <f>'TEA Revised Non EYZ'!CV38</f>
        <v>1984221.4582325809</v>
      </c>
      <c r="DX38">
        <f>'TEA Revised Non EYZ'!CW38</f>
        <v>234268.17050410178</v>
      </c>
      <c r="DY38">
        <f>'TEA Revised Non EYZ'!CX38</f>
        <v>4846892.8171402421</v>
      </c>
      <c r="DZ38">
        <f>'TEA Revised Non EYZ'!CY38</f>
        <v>800386.52957740228</v>
      </c>
      <c r="EA38">
        <f>'TEA Revised Non EYZ'!CZ38</f>
        <v>2058422.5147321052</v>
      </c>
      <c r="EB38">
        <f>'TEA Revised Non EYZ'!DA38</f>
        <v>397067.18553744635</v>
      </c>
      <c r="EC38">
        <f>'TEA Revised Non EYZ'!DB38</f>
        <v>2457910.3803840801</v>
      </c>
      <c r="ED38">
        <f>'TEA Revised Non EYZ'!DC38</f>
        <v>290194.50711339182</v>
      </c>
      <c r="EE38">
        <f>'TEA Revised Non EYZ'!DD38</f>
        <v>6003981.117344426</v>
      </c>
      <c r="EF38">
        <v>0.7</v>
      </c>
      <c r="EG38">
        <v>100</v>
      </c>
      <c r="EH38">
        <f>96485*BL38*V38/EF38/EG38/60</f>
        <v>26.179277846009416</v>
      </c>
      <c r="EI38">
        <f>96485*BN38*BA38/EF38/EG38/60</f>
        <v>45.259126487686025</v>
      </c>
      <c r="EJ38">
        <f>EH38*('CAPEX+OPEX'!$O$25+'CAPEX+OPEX'!$O$26)</f>
        <v>834385.9435080121</v>
      </c>
      <c r="EK38">
        <f>EI38*('CAPEX+OPEX'!$O$25+'CAPEX+OPEX'!$O$26)</f>
        <v>1442498.8794155291</v>
      </c>
      <c r="EL38">
        <f>EJ38*1.12/0.6*'CAPEX+OPEX'!$G$116/'CAPEX+OPEX'!$G$115</f>
        <v>1837030.3015082346</v>
      </c>
      <c r="EM38">
        <f>EK38*1.12/0.6*'CAPEX+OPEX'!$G$116/'CAPEX+OPEX'!$G$115</f>
        <v>3175885.4184874641</v>
      </c>
      <c r="EN38">
        <f>EL38+EM38+DY38+EE38+1.15*(SUM(DF38:DM38)+SUM(CF38:CI38))</f>
        <v>15958191.029916679</v>
      </c>
      <c r="EO38">
        <f>EN38/15</f>
        <v>1063879.4019944454</v>
      </c>
      <c r="EP38">
        <f>('eLLE Bals'!CB38+'eLLE Bals'!CC38)*'Oxidant Feed Composition'!$N$28*60*7200</f>
        <v>17287475.004834365</v>
      </c>
      <c r="EQ38" s="53">
        <f>('eLLE Bals'!BR38+'eLLE Bals'!BY38)*'Reagent cost'!$C$38*60*7200*1.5</f>
        <v>760039.21269288566</v>
      </c>
      <c r="ER38">
        <f>'TEA Revised Non EYZ'!DI38</f>
        <v>504921.59999999998</v>
      </c>
      <c r="ES38">
        <f>'TEA Revised Non EYZ'!DJ38</f>
        <v>86.481888334953311</v>
      </c>
      <c r="ET38">
        <f>'TEA Revised Non EYZ'!DK38</f>
        <v>1020.9641748612094</v>
      </c>
      <c r="EU38">
        <f>1.2*SUM(EP38:ET38)</f>
        <v>22264251.916308541</v>
      </c>
      <c r="EV38">
        <f>'TEA Revised Non EYZ'!DM38</f>
        <v>0.70639694042110623</v>
      </c>
      <c r="EW38">
        <f>(BS38*CO38+BT38*CP38)/1000*('Oxidant Feed Composition'!$B$11*'Oxidant Feed Composition'!$O$20+'Oxidant Feed Composition'!$D$11*'Oxidant Feed Composition'!$O$21+'Oxidant Feed Composition'!$F$11*'Oxidant Feed Composition'!$O$27-'Oxidant Feed Composition'!$J$15*18.015)</f>
        <v>1.8158358807828898</v>
      </c>
      <c r="EX38">
        <f>(CZ38*BX38+DC38*BZ38)*368.34/1000</f>
        <v>0.10228130240180054</v>
      </c>
      <c r="EY38">
        <f>'TEA Revised Non EYZ'!DP38</f>
        <v>4.999938342565946E-2</v>
      </c>
      <c r="EZ38">
        <f>SUM(EV38:EX38)-EY38</f>
        <v>2.5745147401801374</v>
      </c>
      <c r="FA38">
        <f>EZ38*0.33*60*7200</f>
        <v>367022.82136008039</v>
      </c>
      <c r="FB38">
        <f>'TEA Revised Non EYZ'!DS38</f>
        <v>1.2</v>
      </c>
      <c r="FC38">
        <v>0.5</v>
      </c>
      <c r="FD38">
        <f>'TEA Revised Non EYZ'!DT38</f>
        <v>1406.1073186061401</v>
      </c>
      <c r="FE38">
        <f>'TEA Revised Non EYZ'!DU38</f>
        <v>706.16025546916046</v>
      </c>
      <c r="FF38">
        <f>'TEA Revised Non EYZ'!DV38</f>
        <v>0.7</v>
      </c>
      <c r="FG38">
        <f>'TEA Revised Non EYZ'!DW38</f>
        <v>35776.359048024235</v>
      </c>
      <c r="FH38">
        <f>'TEA Revised Non EYZ'!DX38</f>
        <v>29068.269280606211</v>
      </c>
      <c r="FI38">
        <f>'TEA Revised Non EYZ'!DY38</f>
        <v>12307.130138966339</v>
      </c>
      <c r="FJ38">
        <f>'TEA Revised Non EYZ'!DZ38</f>
        <v>6519.4301878820042</v>
      </c>
      <c r="FK38">
        <f>'TEA Revised Non EYZ'!EA38</f>
        <v>6563.8027407820491</v>
      </c>
      <c r="FL38">
        <f>'TEA Revised Non EYZ'!EB38</f>
        <v>850.41370629299365</v>
      </c>
      <c r="FM38">
        <f>'TEA Revised Non EYZ'!EC38</f>
        <v>43720.498370574402</v>
      </c>
      <c r="FN38">
        <f>'TEA Revised Non EYZ'!ED38</f>
        <v>42680.384461194757</v>
      </c>
      <c r="FO38">
        <f>'TEA Revised Non EYZ'!EE38</f>
        <v>18070.324066231653</v>
      </c>
      <c r="FP38">
        <f>'TEA Revised Non EYZ'!EF38</f>
        <v>9577.6708311713192</v>
      </c>
      <c r="FQ38">
        <f>'TEA Revised Non EYZ'!EG38</f>
        <v>9637.5061686568788</v>
      </c>
      <c r="FR38">
        <f>'TEA Revised Non EYZ'!EH38</f>
        <v>427.0857225077483</v>
      </c>
      <c r="FS38">
        <f>'TEA Revised Non EYZ'!EI38</f>
        <v>215198.87472289061</v>
      </c>
      <c r="FT38">
        <f>EG38*EH38</f>
        <v>2617.9277846009418</v>
      </c>
      <c r="FU38">
        <f>EG38*EI38</f>
        <v>4525.9126487686026</v>
      </c>
      <c r="FV38">
        <f>FC38*(FT38+FU38)/(3.6*10^6)*3600*7200*0.07</f>
        <v>1800.2477892091254</v>
      </c>
      <c r="FW38">
        <f>('CAPEX+OPEX'!$C$39/7/100+0.03)*EL38</f>
        <v>94475.844077566348</v>
      </c>
      <c r="FX38">
        <f>('CAPEX+OPEX'!$C$39/7/100+0.03)*EM38</f>
        <v>163331.25009364099</v>
      </c>
      <c r="FY38">
        <f>SUM(FV38:FX38)</f>
        <v>259607.34196041647</v>
      </c>
      <c r="FZ38">
        <f>FY38+FA38+FS38+EU38</f>
        <v>23106080.954351928</v>
      </c>
      <c r="GA38">
        <f>FZ38+EO38</f>
        <v>24169960.356346373</v>
      </c>
      <c r="GB38">
        <f>GA38/(BK38*60*7200)</f>
        <v>0.55948982306357342</v>
      </c>
      <c r="GC38">
        <f>'TEA Revised Non EYZ'!EM38/'TEA Revised Non EYZ'!EK38*GA38</f>
        <v>1871.7047030068582</v>
      </c>
      <c r="GD38">
        <f>'TEA Revised Non EYZ'!EN38/'TEA Revised Non EYZ'!EK38*GA38</f>
        <v>3433.4018122520142</v>
      </c>
    </row>
    <row r="39" spans="1:186">
      <c r="A39">
        <f>'TEA Revised Non EYZ'!A39</f>
        <v>6</v>
      </c>
      <c r="B39">
        <f>'TEA Revised Non EYZ'!B39</f>
        <v>1.54143585092054E-3</v>
      </c>
      <c r="C39">
        <f>'TEA Revised Non EYZ'!C39</f>
        <v>1.54143585092054E-3</v>
      </c>
      <c r="D39">
        <f>'TEA Revised Non EYZ'!D39</f>
        <v>3.4254130020456501E-4</v>
      </c>
      <c r="E39">
        <f>'TEA Revised Non EYZ'!E39</f>
        <v>0</v>
      </c>
      <c r="F39">
        <f>'TEA Revised Non EYZ'!F39</f>
        <v>0</v>
      </c>
      <c r="G39">
        <f>'TEA Revised Non EYZ'!G39</f>
        <v>0</v>
      </c>
      <c r="H39">
        <f>'TEA Revised Non EYZ'!H39</f>
        <v>1.7693893431643E-5</v>
      </c>
      <c r="I39">
        <f>'TEA Revised Non EYZ'!I39</f>
        <v>3.7175600603836103E-8</v>
      </c>
      <c r="J39">
        <f>'TEA Revised Non EYZ'!J39</f>
        <v>3.36890310328726E-4</v>
      </c>
      <c r="K39">
        <f>'TEA Revised Non EYZ'!K39</f>
        <v>0.133710118829723</v>
      </c>
      <c r="L39">
        <f>'TEA Revised Non EYZ'!L39</f>
        <v>0.13525951632913</v>
      </c>
      <c r="M39">
        <f>'TEA Revised Non EYZ'!M39</f>
        <v>4.9588089642288804E-4</v>
      </c>
      <c r="N39">
        <f>'TEA Revised Non EYZ'!N39</f>
        <v>-1.72886878424538E-14</v>
      </c>
      <c r="O39">
        <f>'TEA Revised Non EYZ'!O39</f>
        <v>-1.05961268405396E-12</v>
      </c>
      <c r="P39">
        <f>'TEA Revised Non EYZ'!P39</f>
        <v>-9.6595637304880395E-18</v>
      </c>
      <c r="Q39">
        <f>'TEA Revised Non EYZ'!Q39</f>
        <v>0.11395861217105201</v>
      </c>
      <c r="R39">
        <f>'TEA Revised Non EYZ'!R39</f>
        <v>98.3502748800029</v>
      </c>
      <c r="S39">
        <f>'TEA Revised Non EYZ'!S39</f>
        <v>500</v>
      </c>
      <c r="T39">
        <f>'TEA Revised Non EYZ'!T39</f>
        <v>95</v>
      </c>
      <c r="U39">
        <f>'TEA Revised Non EYZ'!U39</f>
        <v>1</v>
      </c>
      <c r="V39">
        <f>'TEA Revised Non EYZ'!V39</f>
        <v>0.1</v>
      </c>
      <c r="W39">
        <f>'TEA Revised Non EYZ'!W39</f>
        <v>87.751156402202497</v>
      </c>
      <c r="X39" t="str">
        <f>'TEA Revised Non EYZ'!X39</f>
        <v>ddFc</v>
      </c>
      <c r="Y39">
        <f>'TEA Revised Non EYZ'!Y39</f>
        <v>1</v>
      </c>
      <c r="Z39">
        <f>'TEA Revised Non EYZ'!Z39</f>
        <v>0.28318429382522198</v>
      </c>
      <c r="AA39">
        <f>'TEA Revised Non EYZ'!AA39</f>
        <v>0.56945642916197003</v>
      </c>
      <c r="AB39">
        <f>'TEA Revised Non EYZ'!AB39</f>
        <v>3.7698628972227502E-3</v>
      </c>
      <c r="AC39">
        <f>'TEA Revised Non EYZ'!AC39</f>
        <v>1822.2107908876901</v>
      </c>
      <c r="AD39">
        <f>'TEA Revised Non EYZ'!AD39</f>
        <v>2662.6059073104898</v>
      </c>
      <c r="AE39">
        <f>'TEA Revised Non EYZ'!AE39</f>
        <v>2401.5030938442701</v>
      </c>
      <c r="AF39">
        <f>'TEA Revised Non EYZ'!AF39</f>
        <v>11</v>
      </c>
      <c r="AG39">
        <f>'TEA Revised Non EYZ'!AG39</f>
        <v>1.64951815726537E-3</v>
      </c>
      <c r="AH39">
        <f>'TEA Revised Non EYZ'!AH39</f>
        <v>1.6686323374819601E-3</v>
      </c>
      <c r="AI39">
        <f>'TEA Revised Non EYZ'!AI39</f>
        <v>6.1174468293775103E-6</v>
      </c>
      <c r="AJ39">
        <f>'TEA Revised Non EYZ'!AJ39</f>
        <v>0</v>
      </c>
      <c r="AK39">
        <f>'TEA Revised Non EYZ'!AK39</f>
        <v>0</v>
      </c>
      <c r="AL39">
        <f>'TEA Revised Non EYZ'!AL39</f>
        <v>0</v>
      </c>
      <c r="AM39">
        <f>'TEA Revised Non EYZ'!AM39</f>
        <v>1.61255664991154E-3</v>
      </c>
      <c r="AN39">
        <f>'TEA Revised Non EYZ'!AN39</f>
        <v>7.87942082405777E-5</v>
      </c>
      <c r="AO39">
        <f>'TEA Revised Non EYZ'!AO39</f>
        <v>6.0771943863253104E-6</v>
      </c>
      <c r="AP39">
        <f>'TEA Revised Non EYZ'!AP39</f>
        <v>1.7330805296501401E-3</v>
      </c>
      <c r="AQ39">
        <f>'TEA Revised Non EYZ'!AQ39</f>
        <v>7.4545594606665405E-2</v>
      </c>
      <c r="AR39">
        <f>'TEA Revised Non EYZ'!AR39</f>
        <v>1.8873885461363599E-6</v>
      </c>
      <c r="AS39">
        <f>'TEA Revised Non EYZ'!AS39</f>
        <v>1.4982685366893601E-13</v>
      </c>
      <c r="AT39">
        <f>'TEA Revised Non EYZ'!AT39</f>
        <v>-1.2832369715443101E-11</v>
      </c>
      <c r="AU39">
        <f>'TEA Revised Non EYZ'!AU39</f>
        <v>1.70440234344306E-18</v>
      </c>
      <c r="AV39">
        <f>'TEA Revised Non EYZ'!AV39</f>
        <v>0.19700863184865999</v>
      </c>
      <c r="AW39">
        <f>'TEA Revised Non EYZ'!AW39</f>
        <v>99.342005837158993</v>
      </c>
      <c r="AX39">
        <f>'TEA Revised Non EYZ'!AX39</f>
        <v>500</v>
      </c>
      <c r="AY39">
        <f>'TEA Revised Non EYZ'!AY39</f>
        <v>95</v>
      </c>
      <c r="AZ39">
        <f>'TEA Revised Non EYZ'!AZ39</f>
        <v>0.92374973309314701</v>
      </c>
      <c r="BA39">
        <f>'TEA Revised Non EYZ'!BA39</f>
        <v>0.1</v>
      </c>
      <c r="BB39">
        <f>'TEA Revised Non EYZ'!BB39</f>
        <v>46.888794893147498</v>
      </c>
      <c r="BC39" t="str">
        <f>'TEA Revised Non EYZ'!BC39</f>
        <v>coeFc</v>
      </c>
      <c r="BD39">
        <f>'TEA Revised Non EYZ'!BD39</f>
        <v>1</v>
      </c>
      <c r="BE39">
        <f>'TEA Revised Non EYZ'!BE39</f>
        <v>1.8775014999999999E-2</v>
      </c>
      <c r="BF39">
        <f>'TEA Revised Non EYZ'!BF39</f>
        <v>0.10492961100000001</v>
      </c>
      <c r="BG39">
        <f>'TEA Revised Non EYZ'!BG39</f>
        <v>1.814625E-3</v>
      </c>
      <c r="BH39">
        <f>'TEA Revised Non EYZ'!BH39</f>
        <v>285.1951444</v>
      </c>
      <c r="BI39">
        <f>'TEA Revised Non EYZ'!BI39</f>
        <v>2169.8944889999998</v>
      </c>
      <c r="BJ39">
        <f>'TEA Revised Non EYZ'!BJ39</f>
        <v>866.49409060000005</v>
      </c>
      <c r="BK39">
        <f>'TEA Revised Non EYZ'!BK39</f>
        <v>100</v>
      </c>
      <c r="BL39">
        <f>'TEA Revised Non EYZ'!BL39</f>
        <v>11.395861217105201</v>
      </c>
      <c r="BM39">
        <f>'TEA Revised Non EYZ'!BM39</f>
        <v>92.374973309314697</v>
      </c>
      <c r="BN39">
        <f>'TEA Revised Non EYZ'!BN39</f>
        <v>19.700863184865998</v>
      </c>
      <c r="BO39">
        <f>'TEA Revised Non EYZ'!BO39</f>
        <v>182.33377947368322</v>
      </c>
      <c r="BP39">
        <f>'TEA Revised Non EYZ'!BP39</f>
        <v>512.22244280651591</v>
      </c>
      <c r="BQ39">
        <f>'TEA Revised Non EYZ'!BQ39</f>
        <v>18.233377947368322</v>
      </c>
      <c r="BR39">
        <f>'TEA Revised Non EYZ'!BR39</f>
        <v>51.222244280651594</v>
      </c>
      <c r="BS39">
        <f>'eLLE Bals'!CF39</f>
        <v>6.8375167302631192</v>
      </c>
      <c r="BT39">
        <f>'eLLE Bals'!CG39</f>
        <v>11.820517910919598</v>
      </c>
      <c r="BU39">
        <f>BM39</f>
        <v>92.374973309314697</v>
      </c>
      <c r="BV39">
        <f>BU39*(AM39*2+AN39*2+AO39*3)</f>
        <v>0.31416112276467373</v>
      </c>
      <c r="BW39">
        <f>BN39*BA39*(AP39*2+AQ39*2+AR39*3)</f>
        <v>0.30056230351173574</v>
      </c>
      <c r="BX39">
        <f>BV39/(2*V39*BL39+BV39)</f>
        <v>0.12114181958285727</v>
      </c>
      <c r="BY39">
        <f>BU39*BX39</f>
        <v>11.190472350608257</v>
      </c>
      <c r="BZ39">
        <f>BW39/(2*BN39*BA39+BW39)</f>
        <v>7.0875050605583453E-2</v>
      </c>
      <c r="CA39">
        <f>2*BN39*BA39/0.04</f>
        <v>98.504315924330001</v>
      </c>
      <c r="CB39">
        <f>(BS39+BL39)*2</f>
        <v>36.466755894736643</v>
      </c>
      <c r="CC39">
        <f>(BU39+BL39)*2</f>
        <v>207.54166905283981</v>
      </c>
      <c r="CD39">
        <f>(BT39+BN39)*2</f>
        <v>63.042762191571192</v>
      </c>
      <c r="CE39">
        <f>(CA39+BN39)*2</f>
        <v>236.41035821839199</v>
      </c>
      <c r="CF39">
        <f>'TEA Revised Non EYZ'!CB39</f>
        <v>2406.8058890526186</v>
      </c>
      <c r="CG39">
        <f>'TEA Revised Non EYZ'!CC39</f>
        <v>6761.3362450460099</v>
      </c>
      <c r="CH39">
        <f>'TEA Revised Non EYZ'!CD39</f>
        <v>2907.8673690603878</v>
      </c>
      <c r="CI39">
        <f>'TEA Revised Non EYZ'!CE39</f>
        <v>52150.787394119398</v>
      </c>
      <c r="CJ39">
        <f>BL39*V39</f>
        <v>1.1395861217105201</v>
      </c>
      <c r="CK39">
        <f>CJ39/2*1.2</f>
        <v>0.68375167302631201</v>
      </c>
      <c r="CL39">
        <f>'eLLE Bals'!CB39*'Oxidant Feed Composition'!$N$20</f>
        <v>3.7986204057017352E-2</v>
      </c>
      <c r="CM39">
        <f>'eLLE Bals'!CB39*'Oxidant Feed Composition'!$N$21</f>
        <v>1.8993102028508668</v>
      </c>
      <c r="CN39">
        <f>'eLLE Bals'!CB39*'Oxidant Feed Composition'!$N$22</f>
        <v>0.56979306085526005</v>
      </c>
      <c r="CO39">
        <f>CN39/CK39</f>
        <v>0.83333333333333337</v>
      </c>
      <c r="CP39">
        <f>CO39</f>
        <v>0.83333333333333337</v>
      </c>
      <c r="CQ39">
        <f>CL39/CO39</f>
        <v>4.5583444868420822E-2</v>
      </c>
      <c r="CR39">
        <f>CM39/CO39</f>
        <v>2.2791722434210402</v>
      </c>
      <c r="CS39">
        <f>BN39*BA39</f>
        <v>1.9700863184866</v>
      </c>
      <c r="CT39">
        <f>CS39/2*1.2</f>
        <v>1.1820517910919599</v>
      </c>
      <c r="CU39">
        <f>'eLLE Bals'!CC39*'Oxidant Feed Composition'!$N$20</f>
        <v>6.5669543949553363E-2</v>
      </c>
      <c r="CV39">
        <f>'eLLE Bals'!CC39*'Oxidant Feed Composition'!$N$21</f>
        <v>3.2834771974776666</v>
      </c>
      <c r="CW39">
        <f>'eLLE Bals'!CC39*'Oxidant Feed Composition'!$N$22</f>
        <v>0.98504315924329999</v>
      </c>
      <c r="CX39">
        <f>CU39/CP39</f>
        <v>7.8803452739464028E-2</v>
      </c>
      <c r="CY39">
        <f>CV39/CP39</f>
        <v>3.9401726369732</v>
      </c>
      <c r="CZ39">
        <f>CJ39</f>
        <v>1.1395861217105201</v>
      </c>
      <c r="DA39">
        <f>'eLLE Bals'!BQ39</f>
        <v>2.2791722434210402</v>
      </c>
      <c r="DB39">
        <f>'eLLE Bals'!BU39</f>
        <v>5.9882831327081965</v>
      </c>
      <c r="DC39">
        <f>CS39</f>
        <v>1.9700863184866</v>
      </c>
      <c r="DD39">
        <f>'eLLE Bals'!BX39</f>
        <v>3.9401726369732</v>
      </c>
      <c r="DE39">
        <f>'eLLE Bals'!CA39</f>
        <v>21.886353557031292</v>
      </c>
      <c r="DF39">
        <f>2*2*(CJ39*'Reagent cost'!$C$36*122.44/1000*1.5+CK39*'Oxidant Feed Composition'!$N$26+CQ39*'Reagent cost'!$C$34+CR39*'Reagent cost'!$C$35)</f>
        <v>115.96557977376703</v>
      </c>
      <c r="DG39">
        <f>2*2*(CS39*'Reagent cost'!$C$36*122.44/1000*1.5+CT39*'Oxidant Feed Composition'!$N$26+CX39*'Reagent cost'!$C$34+CY39*'Reagent cost'!$C$35)</f>
        <v>200.47822430896468</v>
      </c>
      <c r="DH39">
        <f>(AF39+3)*2*(CZ39*'Reagent cost'!$C$38+DA39*'Reagent cost'!$C$39+DB39*'Reagent cost'!$C$36*122.44/1000*1.5)</f>
        <v>2316.953354568222</v>
      </c>
      <c r="DI39">
        <f>3*2*(DC39*'Reagent cost'!$C$38+DD39*'Reagent cost'!$C$39+DE39*'Reagent cost'!$C$36*122.44/1000*1.5)</f>
        <v>1755.8969708929619</v>
      </c>
      <c r="DJ39">
        <f>7963.6*(CB39/1000)^0.6*1.7*('CAPEX+OPEX'!$G$116/'CAPEX+OPEX'!$G$115)</f>
        <v>2189.6727102460782</v>
      </c>
      <c r="DK39">
        <f>7963.6*(CC39/1000)^0.6*1.7*('CAPEX+OPEX'!$G$116/'CAPEX+OPEX'!$G$115)</f>
        <v>6215.9013146876341</v>
      </c>
      <c r="DL39">
        <f>7963.6*(CD39/1000)^0.6*1.7*('CAPEX+OPEX'!$G$116/'CAPEX+OPEX'!$G$115)</f>
        <v>3041.0395464648595</v>
      </c>
      <c r="DM39">
        <f>7963.6*(CE39/1000)^0.6*1.7*('CAPEX+OPEX'!$G$116/'CAPEX+OPEX'!$G$115)</f>
        <v>6721.1072951693195</v>
      </c>
      <c r="DN39">
        <f>'TEA Revised Non EYZ'!CM39</f>
        <v>39625.826528698344</v>
      </c>
      <c r="DO39">
        <f>'TEA Revised Non EYZ'!CN39</f>
        <v>4586243.4239371875</v>
      </c>
      <c r="DP39">
        <f>'TEA Revised Non EYZ'!CO39</f>
        <v>11794834.586807497</v>
      </c>
      <c r="DQ39">
        <f>'TEA Revised Non EYZ'!CP39</f>
        <v>2275209.1661185985</v>
      </c>
      <c r="DR39">
        <f>'TEA Revised Non EYZ'!CQ39</f>
        <v>14083914.336508472</v>
      </c>
      <c r="DS39">
        <f>'TEA Revised Non EYZ'!CR39</f>
        <v>1662824.8986326549</v>
      </c>
      <c r="DT39">
        <f>'TEA Revised Non EYZ'!CS39</f>
        <v>646135.89638675924</v>
      </c>
      <c r="DU39">
        <f>'TEA Revised Non EYZ'!CT39</f>
        <v>1661722.9645298459</v>
      </c>
      <c r="DV39">
        <f>'TEA Revised Non EYZ'!CU39</f>
        <v>320544.32748695416</v>
      </c>
      <c r="DW39">
        <f>'TEA Revised Non EYZ'!CV39</f>
        <v>1984221.4582325809</v>
      </c>
      <c r="DX39">
        <f>'TEA Revised Non EYZ'!CW39</f>
        <v>234268.17050410178</v>
      </c>
      <c r="DY39">
        <f>'TEA Revised Non EYZ'!CX39</f>
        <v>4846892.8171402421</v>
      </c>
      <c r="DZ39">
        <f>'TEA Revised Non EYZ'!CY39</f>
        <v>843282.14969326498</v>
      </c>
      <c r="EA39">
        <f>'TEA Revised Non EYZ'!CZ39</f>
        <v>2168740.8508946435</v>
      </c>
      <c r="EB39">
        <f>'TEA Revised Non EYZ'!DA39</f>
        <v>418347.45765832032</v>
      </c>
      <c r="EC39">
        <f>'TEA Revised Non EYZ'!DB39</f>
        <v>2589638.7217036909</v>
      </c>
      <c r="ED39">
        <f>'TEA Revised Non EYZ'!DC39</f>
        <v>305747.08437055594</v>
      </c>
      <c r="EE39">
        <f>'TEA Revised Non EYZ'!DD39</f>
        <v>6325756.264320476</v>
      </c>
      <c r="EF39">
        <v>0.7</v>
      </c>
      <c r="EG39">
        <v>100</v>
      </c>
      <c r="EH39">
        <f>96485*BL39*V39/EF39/EG39/60</f>
        <v>26.179277846009416</v>
      </c>
      <c r="EI39">
        <f>96485*BN39*BA39/EF39/EG39/60</f>
        <v>45.258042485518949</v>
      </c>
      <c r="EJ39">
        <f>EH39*('CAPEX+OPEX'!$O$25+'CAPEX+OPEX'!$O$26)</f>
        <v>834385.9435080121</v>
      </c>
      <c r="EK39">
        <f>EI39*('CAPEX+OPEX'!$O$25+'CAPEX+OPEX'!$O$26)</f>
        <v>1442464.33009846</v>
      </c>
      <c r="EL39">
        <f>EJ39*1.12/0.6*'CAPEX+OPEX'!$G$116/'CAPEX+OPEX'!$G$115</f>
        <v>1837030.3015082346</v>
      </c>
      <c r="EM39">
        <f>EK39*1.12/0.6*'CAPEX+OPEX'!$G$116/'CAPEX+OPEX'!$G$115</f>
        <v>3175809.3527976638</v>
      </c>
      <c r="EN39">
        <f>EL39+EM39+DY39+EE39+1.15*(SUM(DF39:DM39)+SUM(CF39:CI39))</f>
        <v>16285290.119444016</v>
      </c>
      <c r="EO39">
        <f>EN39/15</f>
        <v>1085686.0079629344</v>
      </c>
      <c r="EP39">
        <f>('eLLE Bals'!CB39+'eLLE Bals'!CC39)*'Oxidant Feed Composition'!$N$28*60*7200</f>
        <v>17287212.685700234</v>
      </c>
      <c r="EQ39" s="53">
        <f>('eLLE Bals'!BR39+'eLLE Bals'!BY39)*'Reagent cost'!$C$38*60*7200*1.5</f>
        <v>760038.48993435176</v>
      </c>
      <c r="ER39">
        <f>'TEA Revised Non EYZ'!DI39</f>
        <v>504921.59999999998</v>
      </c>
      <c r="ES39">
        <f>'TEA Revised Non EYZ'!DJ39</f>
        <v>91.68142134098629</v>
      </c>
      <c r="ET39">
        <f>'TEA Revised Non EYZ'!DK39</f>
        <v>1101.1730952635958</v>
      </c>
      <c r="EU39">
        <f>1.2*SUM(EP39:ET39)</f>
        <v>22264038.756181426</v>
      </c>
      <c r="EV39">
        <f>'TEA Revised Non EYZ'!DM39</f>
        <v>0.70639694042110623</v>
      </c>
      <c r="EW39">
        <f>(BS39*CO39+BT39*CP39)/1000*('Oxidant Feed Composition'!$B$11*'Oxidant Feed Composition'!$O$20+'Oxidant Feed Composition'!$D$11*'Oxidant Feed Composition'!$O$21+'Oxidant Feed Composition'!$F$11*'Oxidant Feed Composition'!$O$27-'Oxidant Feed Composition'!$J$15*18.015)</f>
        <v>1.8158083273954904</v>
      </c>
      <c r="EX39">
        <f>(CZ39*BX39+DC39*BZ39)*368.34/1000</f>
        <v>0.10228120513749769</v>
      </c>
      <c r="EY39">
        <f>'TEA Revised Non EYZ'!DP39</f>
        <v>4.999938342565946E-2</v>
      </c>
      <c r="EZ39">
        <f>SUM(EV39:EX39)-EY39</f>
        <v>2.5744870895284349</v>
      </c>
      <c r="FA39">
        <f>EZ39*0.33*60*7200</f>
        <v>367018.87948317372</v>
      </c>
      <c r="FB39">
        <f>'TEA Revised Non EYZ'!DS39</f>
        <v>1.2</v>
      </c>
      <c r="FC39">
        <v>0.5</v>
      </c>
      <c r="FD39">
        <f>'TEA Revised Non EYZ'!DT39</f>
        <v>1406.1100831005861</v>
      </c>
      <c r="FE39">
        <f>'TEA Revised Non EYZ'!DU39</f>
        <v>706.15749631334222</v>
      </c>
      <c r="FF39">
        <f>'TEA Revised Non EYZ'!DV39</f>
        <v>0.7</v>
      </c>
      <c r="FG39">
        <f>'TEA Revised Non EYZ'!DW39</f>
        <v>35776.359048024235</v>
      </c>
      <c r="FH39">
        <f>'TEA Revised Non EYZ'!DX39</f>
        <v>29068.269280606211</v>
      </c>
      <c r="FI39">
        <f>'TEA Revised Non EYZ'!DY39</f>
        <v>12307.130138966339</v>
      </c>
      <c r="FJ39">
        <f>'TEA Revised Non EYZ'!DZ39</f>
        <v>6519.4301878820042</v>
      </c>
      <c r="FK39">
        <f>'TEA Revised Non EYZ'!EA39</f>
        <v>6563.8027407820491</v>
      </c>
      <c r="FL39">
        <f>'TEA Revised Non EYZ'!EB39</f>
        <v>850.41537825923444</v>
      </c>
      <c r="FM39">
        <f>'TEA Revised Non EYZ'!EC39</f>
        <v>46292.292392372896</v>
      </c>
      <c r="FN39">
        <f>'TEA Revised Non EYZ'!ED39</f>
        <v>46560.419412212461</v>
      </c>
      <c r="FO39">
        <f>'TEA Revised Non EYZ'!EE39</f>
        <v>19713.08079952544</v>
      </c>
      <c r="FP39">
        <f>'TEA Revised Non EYZ'!EF39</f>
        <v>10448.368179459621</v>
      </c>
      <c r="FQ39">
        <f>'TEA Revised Non EYZ'!EG39</f>
        <v>10513.643093080233</v>
      </c>
      <c r="FR39">
        <f>'TEA Revised Non EYZ'!EH39</f>
        <v>427.08405377030942</v>
      </c>
      <c r="FS39">
        <f>'TEA Revised Non EYZ'!EI39</f>
        <v>225040.29470494101</v>
      </c>
      <c r="FT39">
        <f>EG39*EH39</f>
        <v>2617.9277846009418</v>
      </c>
      <c r="FU39">
        <f>EG39*EI39</f>
        <v>4525.8042485518945</v>
      </c>
      <c r="FV39">
        <f>FC39*(FT39+FU39)/(3.6*10^6)*3600*7200*0.07</f>
        <v>1800.2204723545151</v>
      </c>
      <c r="FW39">
        <f>('CAPEX+OPEX'!$C$39/7/100+0.03)*EL39</f>
        <v>94475.844077566348</v>
      </c>
      <c r="FX39">
        <f>('CAPEX+OPEX'!$C$39/7/100+0.03)*EM39</f>
        <v>163327.33814387984</v>
      </c>
      <c r="FY39">
        <f>SUM(FV39:FX39)</f>
        <v>259603.40269380069</v>
      </c>
      <c r="FZ39">
        <f>FY39+FA39+FS39+EU39</f>
        <v>23115701.333063342</v>
      </c>
      <c r="GA39">
        <f>FZ39+EO39</f>
        <v>24201387.341026276</v>
      </c>
      <c r="GB39">
        <f>GA39/(BK39*60*7200)</f>
        <v>0.56021729956079347</v>
      </c>
      <c r="GC39">
        <f>'TEA Revised Non EYZ'!EM39/'TEA Revised Non EYZ'!EK39*GA39</f>
        <v>1874.1346992749864</v>
      </c>
      <c r="GD39">
        <f>'TEA Revised Non EYZ'!EN39/'TEA Revised Non EYZ'!EK39*GA39</f>
        <v>3437.8784734147357</v>
      </c>
    </row>
    <row r="40" spans="1:186">
      <c r="A40">
        <f>'TEA Revised Non EYZ'!A40</f>
        <v>6</v>
      </c>
      <c r="B40">
        <f>'TEA Revised Non EYZ'!B40</f>
        <v>1.54143585092054E-3</v>
      </c>
      <c r="C40">
        <f>'TEA Revised Non EYZ'!C40</f>
        <v>1.54143585092054E-3</v>
      </c>
      <c r="D40">
        <f>'TEA Revised Non EYZ'!D40</f>
        <v>3.4254130020456501E-4</v>
      </c>
      <c r="E40">
        <f>'TEA Revised Non EYZ'!E40</f>
        <v>0</v>
      </c>
      <c r="F40">
        <f>'TEA Revised Non EYZ'!F40</f>
        <v>0</v>
      </c>
      <c r="G40">
        <f>'TEA Revised Non EYZ'!G40</f>
        <v>0</v>
      </c>
      <c r="H40">
        <f>'TEA Revised Non EYZ'!H40</f>
        <v>1.7693893431643E-5</v>
      </c>
      <c r="I40">
        <f>'TEA Revised Non EYZ'!I40</f>
        <v>3.7175600603836103E-8</v>
      </c>
      <c r="J40">
        <f>'TEA Revised Non EYZ'!J40</f>
        <v>3.36890310328726E-4</v>
      </c>
      <c r="K40">
        <f>'TEA Revised Non EYZ'!K40</f>
        <v>0.133710118829723</v>
      </c>
      <c r="L40">
        <f>'TEA Revised Non EYZ'!L40</f>
        <v>0.13525951632913</v>
      </c>
      <c r="M40">
        <f>'TEA Revised Non EYZ'!M40</f>
        <v>4.9588089642288804E-4</v>
      </c>
      <c r="N40">
        <f>'TEA Revised Non EYZ'!N40</f>
        <v>-1.72886878424538E-14</v>
      </c>
      <c r="O40">
        <f>'TEA Revised Non EYZ'!O40</f>
        <v>-1.05961268405396E-12</v>
      </c>
      <c r="P40">
        <f>'TEA Revised Non EYZ'!P40</f>
        <v>-9.6595637304880395E-18</v>
      </c>
      <c r="Q40">
        <f>'TEA Revised Non EYZ'!Q40</f>
        <v>0.11395861217105201</v>
      </c>
      <c r="R40">
        <f>'TEA Revised Non EYZ'!R40</f>
        <v>98.3502748800029</v>
      </c>
      <c r="S40">
        <f>'TEA Revised Non EYZ'!S40</f>
        <v>500</v>
      </c>
      <c r="T40">
        <f>'TEA Revised Non EYZ'!T40</f>
        <v>95</v>
      </c>
      <c r="U40">
        <f>'TEA Revised Non EYZ'!U40</f>
        <v>1</v>
      </c>
      <c r="V40">
        <f>'TEA Revised Non EYZ'!V40</f>
        <v>0.1</v>
      </c>
      <c r="W40">
        <f>'TEA Revised Non EYZ'!W40</f>
        <v>87.751156402202497</v>
      </c>
      <c r="X40" t="str">
        <f>'TEA Revised Non EYZ'!X40</f>
        <v>ddFc</v>
      </c>
      <c r="Y40">
        <f>'TEA Revised Non EYZ'!Y40</f>
        <v>1</v>
      </c>
      <c r="Z40">
        <f>'TEA Revised Non EYZ'!Z40</f>
        <v>0.28318429382522198</v>
      </c>
      <c r="AA40">
        <f>'TEA Revised Non EYZ'!AA40</f>
        <v>0.56945642916197003</v>
      </c>
      <c r="AB40">
        <f>'TEA Revised Non EYZ'!AB40</f>
        <v>3.7698628972227502E-3</v>
      </c>
      <c r="AC40">
        <f>'TEA Revised Non EYZ'!AC40</f>
        <v>1822.2107908876901</v>
      </c>
      <c r="AD40">
        <f>'TEA Revised Non EYZ'!AD40</f>
        <v>2662.6059073104898</v>
      </c>
      <c r="AE40">
        <f>'TEA Revised Non EYZ'!AE40</f>
        <v>2401.5030938442701</v>
      </c>
      <c r="AF40">
        <f>'TEA Revised Non EYZ'!AF40</f>
        <v>12</v>
      </c>
      <c r="AG40">
        <f>'TEA Revised Non EYZ'!AG40</f>
        <v>1.64951815726537E-3</v>
      </c>
      <c r="AH40">
        <f>'TEA Revised Non EYZ'!AH40</f>
        <v>1.6686323374819601E-3</v>
      </c>
      <c r="AI40">
        <f>'TEA Revised Non EYZ'!AI40</f>
        <v>6.1174468293775103E-6</v>
      </c>
      <c r="AJ40">
        <f>'TEA Revised Non EYZ'!AJ40</f>
        <v>0</v>
      </c>
      <c r="AK40">
        <f>'TEA Revised Non EYZ'!AK40</f>
        <v>0</v>
      </c>
      <c r="AL40">
        <f>'TEA Revised Non EYZ'!AL40</f>
        <v>0</v>
      </c>
      <c r="AM40">
        <f>'TEA Revised Non EYZ'!AM40</f>
        <v>1.6125575429752001E-3</v>
      </c>
      <c r="AN40">
        <f>'TEA Revised Non EYZ'!AN40</f>
        <v>7.8794254311918995E-5</v>
      </c>
      <c r="AO40">
        <f>'TEA Revised Non EYZ'!AO40</f>
        <v>6.0771953183527996E-6</v>
      </c>
      <c r="AP40">
        <f>'TEA Revised Non EYZ'!AP40</f>
        <v>1.7330503585533999E-3</v>
      </c>
      <c r="AQ40">
        <f>'TEA Revised Non EYZ'!AQ40</f>
        <v>7.4546094895645801E-2</v>
      </c>
      <c r="AR40">
        <f>'TEA Revised Non EYZ'!AR40</f>
        <v>1.8873575819805E-6</v>
      </c>
      <c r="AS40">
        <f>'TEA Revised Non EYZ'!AS40</f>
        <v>7.3561084524067997E-16</v>
      </c>
      <c r="AT40">
        <f>'TEA Revised Non EYZ'!AT40</f>
        <v>-7.3104283043745598E-14</v>
      </c>
      <c r="AU40">
        <f>'TEA Revised Non EYZ'!AU40</f>
        <v>-3.93076227085198E-21</v>
      </c>
      <c r="AV40">
        <f>'TEA Revised Non EYZ'!AV40</f>
        <v>0.197007302276343</v>
      </c>
      <c r="AW40">
        <f>'TEA Revised Non EYZ'!AW40</f>
        <v>99.342021072722403</v>
      </c>
      <c r="AX40">
        <f>'TEA Revised Non EYZ'!AX40</f>
        <v>500</v>
      </c>
      <c r="AY40">
        <f>'TEA Revised Non EYZ'!AY40</f>
        <v>95</v>
      </c>
      <c r="AZ40">
        <f>'TEA Revised Non EYZ'!AZ40</f>
        <v>0.92374973309314701</v>
      </c>
      <c r="BA40">
        <f>'TEA Revised Non EYZ'!BA40</f>
        <v>0.1</v>
      </c>
      <c r="BB40">
        <f>'TEA Revised Non EYZ'!BB40</f>
        <v>46.889111338492199</v>
      </c>
      <c r="BC40" t="str">
        <f>'TEA Revised Non EYZ'!BC40</f>
        <v>coeFc</v>
      </c>
      <c r="BD40">
        <f>'TEA Revised Non EYZ'!BD40</f>
        <v>1</v>
      </c>
      <c r="BE40">
        <f>'TEA Revised Non EYZ'!BE40</f>
        <v>1.8775014999999999E-2</v>
      </c>
      <c r="BF40">
        <f>'TEA Revised Non EYZ'!BF40</f>
        <v>0.10492961100000001</v>
      </c>
      <c r="BG40">
        <f>'TEA Revised Non EYZ'!BG40</f>
        <v>1.814625E-3</v>
      </c>
      <c r="BH40">
        <f>'TEA Revised Non EYZ'!BH40</f>
        <v>285.1951444</v>
      </c>
      <c r="BI40">
        <f>'TEA Revised Non EYZ'!BI40</f>
        <v>2169.8944889999998</v>
      </c>
      <c r="BJ40">
        <f>'TEA Revised Non EYZ'!BJ40</f>
        <v>866.49409060000005</v>
      </c>
      <c r="BK40">
        <f>'TEA Revised Non EYZ'!BK40</f>
        <v>100</v>
      </c>
      <c r="BL40">
        <f>'TEA Revised Non EYZ'!BL40</f>
        <v>11.395861217105201</v>
      </c>
      <c r="BM40">
        <f>'TEA Revised Non EYZ'!BM40</f>
        <v>92.374973309314697</v>
      </c>
      <c r="BN40">
        <f>'TEA Revised Non EYZ'!BN40</f>
        <v>19.700730227634299</v>
      </c>
      <c r="BO40">
        <f>'TEA Revised Non EYZ'!BO40</f>
        <v>182.33377947368322</v>
      </c>
      <c r="BP40">
        <f>'TEA Revised Non EYZ'!BP40</f>
        <v>551.62044637376039</v>
      </c>
      <c r="BQ40">
        <f>'TEA Revised Non EYZ'!BQ40</f>
        <v>18.233377947368322</v>
      </c>
      <c r="BR40">
        <f>'TEA Revised Non EYZ'!BR40</f>
        <v>55.162044637376042</v>
      </c>
      <c r="BS40">
        <f>'eLLE Bals'!CF40</f>
        <v>6.8375167302631192</v>
      </c>
      <c r="BT40">
        <f>'eLLE Bals'!CG40</f>
        <v>11.820438136580579</v>
      </c>
      <c r="BU40">
        <f>BM40</f>
        <v>92.374973309314697</v>
      </c>
      <c r="BV40">
        <f>BU40*(AM40*2+AN40*2+AO40*3)</f>
        <v>0.31416129652810315</v>
      </c>
      <c r="BW40">
        <f>BN40*BA40*(AP40*2+AQ40*2+AR40*3)</f>
        <v>0.30056212722627162</v>
      </c>
      <c r="BX40">
        <f>BV40/(2*V40*BL40+BV40)</f>
        <v>0.12114187846977216</v>
      </c>
      <c r="BY40">
        <f>BU40*BX40</f>
        <v>11.190477790285447</v>
      </c>
      <c r="BZ40">
        <f>BW40/(2*BN40*BA40+BW40)</f>
        <v>7.0875456405466872E-2</v>
      </c>
      <c r="CA40">
        <f>2*BN40*BA40/0.04</f>
        <v>98.503651138171492</v>
      </c>
      <c r="CB40">
        <f>(BS40+BL40)*2</f>
        <v>36.466755894736643</v>
      </c>
      <c r="CC40">
        <f>(BU40+BL40)*2</f>
        <v>207.54166905283981</v>
      </c>
      <c r="CD40">
        <f>(BT40+BN40)*2</f>
        <v>63.04233672842976</v>
      </c>
      <c r="CE40">
        <f>(CA40+BN40)*2</f>
        <v>236.40876273161157</v>
      </c>
      <c r="CF40">
        <f>'TEA Revised Non EYZ'!CB40</f>
        <v>2406.8058890526186</v>
      </c>
      <c r="CG40">
        <f>'TEA Revised Non EYZ'!CC40</f>
        <v>7281.3898921336377</v>
      </c>
      <c r="CH40">
        <f>'TEA Revised Non EYZ'!CD40</f>
        <v>2907.8673690603878</v>
      </c>
      <c r="CI40">
        <f>'TEA Revised Non EYZ'!CE40</f>
        <v>56162.007395590961</v>
      </c>
      <c r="CJ40">
        <f>BL40*V40</f>
        <v>1.1395861217105201</v>
      </c>
      <c r="CK40">
        <f>CJ40/2*1.2</f>
        <v>0.68375167302631201</v>
      </c>
      <c r="CL40">
        <f>'eLLE Bals'!CB40*'Oxidant Feed Composition'!$N$20</f>
        <v>3.7986204057017352E-2</v>
      </c>
      <c r="CM40">
        <f>'eLLE Bals'!CB40*'Oxidant Feed Composition'!$N$21</f>
        <v>1.8993102028508668</v>
      </c>
      <c r="CN40">
        <f>'eLLE Bals'!CB40*'Oxidant Feed Composition'!$N$22</f>
        <v>0.56979306085526005</v>
      </c>
      <c r="CO40">
        <f>CN40/CK40</f>
        <v>0.83333333333333337</v>
      </c>
      <c r="CP40">
        <f>CO40</f>
        <v>0.83333333333333337</v>
      </c>
      <c r="CQ40">
        <f>CL40/CO40</f>
        <v>4.5583444868420822E-2</v>
      </c>
      <c r="CR40">
        <f>CM40/CO40</f>
        <v>2.2791722434210402</v>
      </c>
      <c r="CS40">
        <f>BN40*BA40</f>
        <v>1.97007302276343</v>
      </c>
      <c r="CT40">
        <f>CS40/2*1.2</f>
        <v>1.182043813658058</v>
      </c>
      <c r="CU40">
        <f>'eLLE Bals'!CC40*'Oxidant Feed Composition'!$N$20</f>
        <v>6.5669100758781032E-2</v>
      </c>
      <c r="CV40">
        <f>'eLLE Bals'!CC40*'Oxidant Feed Composition'!$N$21</f>
        <v>3.2834550379390501</v>
      </c>
      <c r="CW40">
        <f>'eLLE Bals'!CC40*'Oxidant Feed Composition'!$N$22</f>
        <v>0.985036511381715</v>
      </c>
      <c r="CX40">
        <f>CU40/CP40</f>
        <v>7.8802920910537241E-2</v>
      </c>
      <c r="CY40">
        <f>CV40/CP40</f>
        <v>3.94014604552686</v>
      </c>
      <c r="CZ40">
        <f>CJ40</f>
        <v>1.1395861217105201</v>
      </c>
      <c r="DA40">
        <f>'eLLE Bals'!BQ40</f>
        <v>2.2791722434210402</v>
      </c>
      <c r="DB40">
        <f>'eLLE Bals'!BU40</f>
        <v>5.9882785416603301</v>
      </c>
      <c r="DC40">
        <f>CS40</f>
        <v>1.97007302276343</v>
      </c>
      <c r="DD40">
        <f>'eLLE Bals'!BX40</f>
        <v>3.94014604552686</v>
      </c>
      <c r="DE40">
        <f>'eLLE Bals'!CA40</f>
        <v>21.886046700962265</v>
      </c>
      <c r="DF40">
        <f>2*2*(CJ40*'Reagent cost'!$C$36*122.44/1000*1.5+CK40*'Oxidant Feed Composition'!$N$26+CQ40*'Reagent cost'!$C$34+CR40*'Reagent cost'!$C$35)</f>
        <v>115.96557977376703</v>
      </c>
      <c r="DG40">
        <f>2*2*(CS40*'Reagent cost'!$C$36*122.44/1000*1.5+CT40*'Oxidant Feed Composition'!$N$26+CX40*'Reagent cost'!$C$34+CY40*'Reagent cost'!$C$35)</f>
        <v>200.47687132105401</v>
      </c>
      <c r="DH40">
        <f>(AF40+3)*2*(CZ40*'Reagent cost'!$C$38+DA40*'Reagent cost'!$C$39+DB40*'Reagent cost'!$C$36*122.44/1000*1.5)</f>
        <v>2482.4482363654106</v>
      </c>
      <c r="DI40">
        <f>3*2*(DC40*'Reagent cost'!$C$38+DD40*'Reagent cost'!$C$39+DE40*'Reagent cost'!$C$36*122.44/1000*1.5)</f>
        <v>1755.8727356193835</v>
      </c>
      <c r="DJ40">
        <f>7963.6*(CB40/1000)^0.6*1.7*('CAPEX+OPEX'!$G$116/'CAPEX+OPEX'!$G$115)</f>
        <v>2189.6727102460782</v>
      </c>
      <c r="DK40">
        <f>7963.6*(CC40/1000)^0.6*1.7*('CAPEX+OPEX'!$G$116/'CAPEX+OPEX'!$G$115)</f>
        <v>6215.9013146876341</v>
      </c>
      <c r="DL40">
        <f>7963.6*(CD40/1000)^0.6*1.7*('CAPEX+OPEX'!$G$116/'CAPEX+OPEX'!$G$115)</f>
        <v>3041.0272324233424</v>
      </c>
      <c r="DM40">
        <f>7963.6*(CE40/1000)^0.6*1.7*('CAPEX+OPEX'!$G$116/'CAPEX+OPEX'!$G$115)</f>
        <v>6721.0800794777724</v>
      </c>
      <c r="DN40">
        <f>'TEA Revised Non EYZ'!CM40</f>
        <v>39625.826528698344</v>
      </c>
      <c r="DO40">
        <f>'TEA Revised Non EYZ'!CN40</f>
        <v>4586243.4239371875</v>
      </c>
      <c r="DP40">
        <f>'TEA Revised Non EYZ'!CO40</f>
        <v>11794834.586807497</v>
      </c>
      <c r="DQ40">
        <f>'TEA Revised Non EYZ'!CP40</f>
        <v>2275209.1661185985</v>
      </c>
      <c r="DR40">
        <f>'TEA Revised Non EYZ'!CQ40</f>
        <v>14083914.336508472</v>
      </c>
      <c r="DS40">
        <f>'TEA Revised Non EYZ'!CR40</f>
        <v>1662824.8986326549</v>
      </c>
      <c r="DT40">
        <f>'TEA Revised Non EYZ'!CS40</f>
        <v>646135.89638675924</v>
      </c>
      <c r="DU40">
        <f>'TEA Revised Non EYZ'!CT40</f>
        <v>1661722.9645298459</v>
      </c>
      <c r="DV40">
        <f>'TEA Revised Non EYZ'!CU40</f>
        <v>320544.32748695416</v>
      </c>
      <c r="DW40">
        <f>'TEA Revised Non EYZ'!CV40</f>
        <v>1984221.4582325809</v>
      </c>
      <c r="DX40">
        <f>'TEA Revised Non EYZ'!CW40</f>
        <v>234268.17050410178</v>
      </c>
      <c r="DY40">
        <f>'TEA Revised Non EYZ'!CX40</f>
        <v>4846892.8171402421</v>
      </c>
      <c r="DZ40">
        <f>'TEA Revised Non EYZ'!CY40</f>
        <v>884769.55719627661</v>
      </c>
      <c r="EA40">
        <f>'TEA Revised Non EYZ'!CZ40</f>
        <v>2275437.5662018773</v>
      </c>
      <c r="EB40">
        <f>'TEA Revised Non EYZ'!DA40</f>
        <v>438929.12354563072</v>
      </c>
      <c r="EC40">
        <f>'TEA Revised Non EYZ'!DB40</f>
        <v>2717042.5769518763</v>
      </c>
      <c r="ED40">
        <f>'TEA Revised Non EYZ'!DC40</f>
        <v>320789.08886069356</v>
      </c>
      <c r="EE40">
        <f>'TEA Revised Non EYZ'!DD40</f>
        <v>6636967.9127563545</v>
      </c>
      <c r="EF40">
        <v>0.7</v>
      </c>
      <c r="EG40">
        <v>100</v>
      </c>
      <c r="EH40">
        <f>96485*BL40*V40/EF40/EG40/60</f>
        <v>26.179277846009416</v>
      </c>
      <c r="EI40">
        <f>96485*BN40*BA40/EF40/EG40/60</f>
        <v>45.257737047935613</v>
      </c>
      <c r="EJ40">
        <f>EH40*('CAPEX+OPEX'!$O$25+'CAPEX+OPEX'!$O$26)</f>
        <v>834385.9435080121</v>
      </c>
      <c r="EK40">
        <f>EI40*('CAPEX+OPEX'!$O$25+'CAPEX+OPEX'!$O$26)</f>
        <v>1442454.5951918038</v>
      </c>
      <c r="EL40">
        <f>EJ40*1.12/0.6*'CAPEX+OPEX'!$G$116/'CAPEX+OPEX'!$G$115</f>
        <v>1837030.3015082346</v>
      </c>
      <c r="EM40">
        <f>EK40*1.12/0.6*'CAPEX+OPEX'!$G$116/'CAPEX+OPEX'!$G$115</f>
        <v>3175787.9198880508</v>
      </c>
      <c r="EN40">
        <f>EL40+EM40+DY40+EE40+1.15*(SUM(DF40:DM40)+SUM(CF40:CI40))</f>
        <v>16601881.543894494</v>
      </c>
      <c r="EO40">
        <f>EN40/15</f>
        <v>1106792.1029262997</v>
      </c>
      <c r="EP40">
        <f>('eLLE Bals'!CB40+'eLLE Bals'!CC40)*'Oxidant Feed Composition'!$N$28*60*7200</f>
        <v>17287138.772450957</v>
      </c>
      <c r="EQ40" s="53">
        <f>('eLLE Bals'!BR40+'eLLE Bals'!BY40)*'Reagent cost'!$C$38*60*7200*1.5</f>
        <v>760038.28253721143</v>
      </c>
      <c r="ER40">
        <f>'TEA Revised Non EYZ'!DI40</f>
        <v>504921.59999999998</v>
      </c>
      <c r="ES40">
        <f>'TEA Revised Non EYZ'!DJ40</f>
        <v>96.881957811862563</v>
      </c>
      <c r="ET40">
        <f>'TEA Revised Non EYZ'!DK40</f>
        <v>1181.3974952930271</v>
      </c>
      <c r="EU40">
        <f>1.2*SUM(EP40:ET40)</f>
        <v>22264052.321329527</v>
      </c>
      <c r="EV40">
        <f>'TEA Revised Non EYZ'!DM40</f>
        <v>0.70639694042110623</v>
      </c>
      <c r="EW40">
        <f>(BS40*CO40+BT40*CP40)/1000*('Oxidant Feed Composition'!$B$11*'Oxidant Feed Composition'!$O$20+'Oxidant Feed Composition'!$D$11*'Oxidant Feed Composition'!$O$21+'Oxidant Feed Composition'!$F$11*'Oxidant Feed Composition'!$O$27-'Oxidant Feed Composition'!$J$15*18.015)</f>
        <v>1.8158005637209185</v>
      </c>
      <c r="EX40">
        <f>(CZ40*BX40+DC40*BZ40)*368.34/1000</f>
        <v>0.10228117722729348</v>
      </c>
      <c r="EY40">
        <f>'TEA Revised Non EYZ'!DP40</f>
        <v>4.999938342565946E-2</v>
      </c>
      <c r="EZ40">
        <f>SUM(EV40:EX40)-EY40</f>
        <v>2.5744792979436588</v>
      </c>
      <c r="FA40">
        <f>EZ40*0.33*60*7200</f>
        <v>367017.76871484797</v>
      </c>
      <c r="FB40">
        <f>'TEA Revised Non EYZ'!DS40</f>
        <v>1.2</v>
      </c>
      <c r="FC40">
        <v>0.5</v>
      </c>
      <c r="FD40">
        <f>'TEA Revised Non EYZ'!DT40</f>
        <v>1406.1108613138913</v>
      </c>
      <c r="FE40">
        <f>'TEA Revised Non EYZ'!DU40</f>
        <v>706.15671237476283</v>
      </c>
      <c r="FF40">
        <f>'TEA Revised Non EYZ'!DV40</f>
        <v>0.7</v>
      </c>
      <c r="FG40">
        <f>'TEA Revised Non EYZ'!DW40</f>
        <v>35776.359048024235</v>
      </c>
      <c r="FH40">
        <f>'TEA Revised Non EYZ'!DX40</f>
        <v>29068.269280606211</v>
      </c>
      <c r="FI40">
        <f>'TEA Revised Non EYZ'!DY40</f>
        <v>12307.130138966339</v>
      </c>
      <c r="FJ40">
        <f>'TEA Revised Non EYZ'!DZ40</f>
        <v>6519.4301878820042</v>
      </c>
      <c r="FK40">
        <f>'TEA Revised Non EYZ'!EA40</f>
        <v>6563.8027407820491</v>
      </c>
      <c r="FL40">
        <f>'TEA Revised Non EYZ'!EB40</f>
        <v>850.41584892264143</v>
      </c>
      <c r="FM40">
        <f>'TEA Revised Non EYZ'!EC40</f>
        <v>48864.08641417139</v>
      </c>
      <c r="FN40">
        <f>'TEA Revised Non EYZ'!ED40</f>
        <v>50440.454363230172</v>
      </c>
      <c r="FO40">
        <f>'TEA Revised Non EYZ'!EE40</f>
        <v>21355.837532819231</v>
      </c>
      <c r="FP40">
        <f>'TEA Revised Non EYZ'!EF40</f>
        <v>11319.065527747925</v>
      </c>
      <c r="FQ40">
        <f>'TEA Revised Non EYZ'!EG40</f>
        <v>11389.780017503586</v>
      </c>
      <c r="FR40">
        <f>'TEA Revised Non EYZ'!EH40</f>
        <v>427.08357964425659</v>
      </c>
      <c r="FS40">
        <f>'TEA Revised Non EYZ'!EI40</f>
        <v>234881.71468030007</v>
      </c>
      <c r="FT40">
        <f>EG40*EH40</f>
        <v>2617.9277846009418</v>
      </c>
      <c r="FU40">
        <f>EG40*EI40</f>
        <v>4525.7737047935616</v>
      </c>
      <c r="FV40">
        <f>FC40*(FT40+FU40)/(3.6*10^6)*3600*7200*0.07</f>
        <v>1800.2127753274151</v>
      </c>
      <c r="FW40">
        <f>('CAPEX+OPEX'!$C$39/7/100+0.03)*EL40</f>
        <v>94475.844077566348</v>
      </c>
      <c r="FX40">
        <f>('CAPEX+OPEX'!$C$39/7/100+0.03)*EM40</f>
        <v>163326.23587995689</v>
      </c>
      <c r="FY40">
        <f>SUM(FV40:FX40)</f>
        <v>259602.29273285065</v>
      </c>
      <c r="FZ40">
        <f>FY40+FA40+FS40+EU40</f>
        <v>23125554.097457524</v>
      </c>
      <c r="GA40">
        <f>FZ40+EO40</f>
        <v>24232346.200383823</v>
      </c>
      <c r="GB40">
        <f>GA40/(BK40*60*7200)</f>
        <v>0.56093393982369966</v>
      </c>
      <c r="GC40">
        <f>'TEA Revised Non EYZ'!EM40/'TEA Revised Non EYZ'!EK40*GA40</f>
        <v>1876.5310875101204</v>
      </c>
      <c r="GD40">
        <f>'TEA Revised Non EYZ'!EN40/'TEA Revised Non EYZ'!EK40*GA40</f>
        <v>3442.2797960222492</v>
      </c>
    </row>
    <row r="41" spans="1:186">
      <c r="A41">
        <f>'TEA Revised Non EYZ'!A41</f>
        <v>6</v>
      </c>
      <c r="B41">
        <f>'TEA Revised Non EYZ'!B41</f>
        <v>1.54143585092054E-3</v>
      </c>
      <c r="C41">
        <f>'TEA Revised Non EYZ'!C41</f>
        <v>1.54143585092054E-3</v>
      </c>
      <c r="D41">
        <f>'TEA Revised Non EYZ'!D41</f>
        <v>3.4254130020456501E-4</v>
      </c>
      <c r="E41">
        <f>'TEA Revised Non EYZ'!E41</f>
        <v>0</v>
      </c>
      <c r="F41">
        <f>'TEA Revised Non EYZ'!F41</f>
        <v>0</v>
      </c>
      <c r="G41">
        <f>'TEA Revised Non EYZ'!G41</f>
        <v>0</v>
      </c>
      <c r="H41">
        <f>'TEA Revised Non EYZ'!H41</f>
        <v>1.7693893431643E-5</v>
      </c>
      <c r="I41">
        <f>'TEA Revised Non EYZ'!I41</f>
        <v>3.7175600603836103E-8</v>
      </c>
      <c r="J41">
        <f>'TEA Revised Non EYZ'!J41</f>
        <v>3.36890310328726E-4</v>
      </c>
      <c r="K41">
        <f>'TEA Revised Non EYZ'!K41</f>
        <v>0.133710118829723</v>
      </c>
      <c r="L41">
        <f>'TEA Revised Non EYZ'!L41</f>
        <v>0.13525951632913</v>
      </c>
      <c r="M41">
        <f>'TEA Revised Non EYZ'!M41</f>
        <v>4.9588089642288804E-4</v>
      </c>
      <c r="N41">
        <f>'TEA Revised Non EYZ'!N41</f>
        <v>-1.72886878424538E-14</v>
      </c>
      <c r="O41">
        <f>'TEA Revised Non EYZ'!O41</f>
        <v>-1.05961268405396E-12</v>
      </c>
      <c r="P41">
        <f>'TEA Revised Non EYZ'!P41</f>
        <v>-9.6595637304880395E-18</v>
      </c>
      <c r="Q41">
        <f>'TEA Revised Non EYZ'!Q41</f>
        <v>0.11395861217105201</v>
      </c>
      <c r="R41">
        <f>'TEA Revised Non EYZ'!R41</f>
        <v>98.3502748800029</v>
      </c>
      <c r="S41">
        <f>'TEA Revised Non EYZ'!S41</f>
        <v>500</v>
      </c>
      <c r="T41">
        <f>'TEA Revised Non EYZ'!T41</f>
        <v>95</v>
      </c>
      <c r="U41">
        <f>'TEA Revised Non EYZ'!U41</f>
        <v>1</v>
      </c>
      <c r="V41">
        <f>'TEA Revised Non EYZ'!V41</f>
        <v>0.1</v>
      </c>
      <c r="W41">
        <f>'TEA Revised Non EYZ'!W41</f>
        <v>87.751156402202497</v>
      </c>
      <c r="X41" t="str">
        <f>'TEA Revised Non EYZ'!X41</f>
        <v>ddFc</v>
      </c>
      <c r="Y41">
        <f>'TEA Revised Non EYZ'!Y41</f>
        <v>1</v>
      </c>
      <c r="Z41">
        <f>'TEA Revised Non EYZ'!Z41</f>
        <v>0.28318429382522198</v>
      </c>
      <c r="AA41">
        <f>'TEA Revised Non EYZ'!AA41</f>
        <v>0.56945642916197003</v>
      </c>
      <c r="AB41">
        <f>'TEA Revised Non EYZ'!AB41</f>
        <v>3.7698628972227502E-3</v>
      </c>
      <c r="AC41">
        <f>'TEA Revised Non EYZ'!AC41</f>
        <v>1822.2107908876901</v>
      </c>
      <c r="AD41">
        <f>'TEA Revised Non EYZ'!AD41</f>
        <v>2662.6059073104898</v>
      </c>
      <c r="AE41">
        <f>'TEA Revised Non EYZ'!AE41</f>
        <v>2401.5030938442701</v>
      </c>
      <c r="AF41">
        <f>'TEA Revised Non EYZ'!AF41</f>
        <v>13</v>
      </c>
      <c r="AG41">
        <f>'TEA Revised Non EYZ'!AG41</f>
        <v>1.64951815726537E-3</v>
      </c>
      <c r="AH41">
        <f>'TEA Revised Non EYZ'!AH41</f>
        <v>1.6686323374819601E-3</v>
      </c>
      <c r="AI41">
        <f>'TEA Revised Non EYZ'!AI41</f>
        <v>6.1174468293775103E-6</v>
      </c>
      <c r="AJ41">
        <f>'TEA Revised Non EYZ'!AJ41</f>
        <v>0</v>
      </c>
      <c r="AK41">
        <f>'TEA Revised Non EYZ'!AK41</f>
        <v>0</v>
      </c>
      <c r="AL41">
        <f>'TEA Revised Non EYZ'!AL41</f>
        <v>0</v>
      </c>
      <c r="AM41">
        <f>'TEA Revised Non EYZ'!AM41</f>
        <v>1.6125577940565899E-3</v>
      </c>
      <c r="AN41">
        <f>'TEA Revised Non EYZ'!AN41</f>
        <v>7.87942672646522E-5</v>
      </c>
      <c r="AO41">
        <f>'TEA Revised Non EYZ'!AO41</f>
        <v>6.0771955804315697E-6</v>
      </c>
      <c r="AP41">
        <f>'TEA Revised Non EYZ'!AP41</f>
        <v>1.73304187149951E-3</v>
      </c>
      <c r="AQ41">
        <f>'TEA Revised Non EYZ'!AQ41</f>
        <v>7.4546235626165996E-2</v>
      </c>
      <c r="AR41">
        <f>'TEA Revised Non EYZ'!AR41</f>
        <v>1.8873488718012801E-6</v>
      </c>
      <c r="AS41">
        <f>'TEA Revised Non EYZ'!AS41</f>
        <v>3.5914196963582301E-19</v>
      </c>
      <c r="AT41">
        <f>'TEA Revised Non EYZ'!AT41</f>
        <v>-3.7730235602495499E-17</v>
      </c>
      <c r="AU41">
        <f>'TEA Revised Non EYZ'!AU41</f>
        <v>-5.6910026143648304E-22</v>
      </c>
      <c r="AV41">
        <f>'TEA Revised Non EYZ'!AV41</f>
        <v>0.197006928745454</v>
      </c>
      <c r="AW41">
        <f>'TEA Revised Non EYZ'!AW41</f>
        <v>99.342025356842598</v>
      </c>
      <c r="AX41">
        <f>'TEA Revised Non EYZ'!AX41</f>
        <v>500</v>
      </c>
      <c r="AY41">
        <f>'TEA Revised Non EYZ'!AY41</f>
        <v>95</v>
      </c>
      <c r="AZ41">
        <f>'TEA Revised Non EYZ'!AZ41</f>
        <v>0.92374973309314701</v>
      </c>
      <c r="BA41">
        <f>'TEA Revised Non EYZ'!BA41</f>
        <v>0.1</v>
      </c>
      <c r="BB41">
        <f>'TEA Revised Non EYZ'!BB41</f>
        <v>46.889200241616201</v>
      </c>
      <c r="BC41" t="str">
        <f>'TEA Revised Non EYZ'!BC41</f>
        <v>coeFc</v>
      </c>
      <c r="BD41">
        <f>'TEA Revised Non EYZ'!BD41</f>
        <v>1</v>
      </c>
      <c r="BE41">
        <f>'TEA Revised Non EYZ'!BE41</f>
        <v>1.8775014999999999E-2</v>
      </c>
      <c r="BF41">
        <f>'TEA Revised Non EYZ'!BF41</f>
        <v>0.10492961100000001</v>
      </c>
      <c r="BG41">
        <f>'TEA Revised Non EYZ'!BG41</f>
        <v>1.814625E-3</v>
      </c>
      <c r="BH41">
        <f>'TEA Revised Non EYZ'!BH41</f>
        <v>285.1951444</v>
      </c>
      <c r="BI41">
        <f>'TEA Revised Non EYZ'!BI41</f>
        <v>2169.8944889999998</v>
      </c>
      <c r="BJ41">
        <f>'TEA Revised Non EYZ'!BJ41</f>
        <v>866.49409060000005</v>
      </c>
      <c r="BK41">
        <f>'TEA Revised Non EYZ'!BK41</f>
        <v>100</v>
      </c>
      <c r="BL41">
        <f>'TEA Revised Non EYZ'!BL41</f>
        <v>11.395861217105201</v>
      </c>
      <c r="BM41">
        <f>'TEA Revised Non EYZ'!BM41</f>
        <v>92.374973309314697</v>
      </c>
      <c r="BN41">
        <f>'TEA Revised Non EYZ'!BN41</f>
        <v>19.7006928745454</v>
      </c>
      <c r="BO41">
        <f>'TEA Revised Non EYZ'!BO41</f>
        <v>182.33377947368322</v>
      </c>
      <c r="BP41">
        <f>'TEA Revised Non EYZ'!BP41</f>
        <v>591.02078623636203</v>
      </c>
      <c r="BQ41">
        <f>'TEA Revised Non EYZ'!BQ41</f>
        <v>18.233377947368322</v>
      </c>
      <c r="BR41">
        <f>'TEA Revised Non EYZ'!BR41</f>
        <v>59.102078623636203</v>
      </c>
      <c r="BS41">
        <f>'eLLE Bals'!CF41</f>
        <v>6.8375167302631192</v>
      </c>
      <c r="BT41">
        <f>'eLLE Bals'!CG41</f>
        <v>11.820415724727239</v>
      </c>
      <c r="BU41">
        <f>BM41</f>
        <v>92.374973309314697</v>
      </c>
      <c r="BV41">
        <f>BU41*(AM41*2+AN41*2+AO41*3)</f>
        <v>0.31416134538102181</v>
      </c>
      <c r="BW41">
        <f>BN41*BA41*(AP41*2+AQ41*2+AR41*3)</f>
        <v>0.30056207835888715</v>
      </c>
      <c r="BX41">
        <f>BV41/(2*V41*BL41+BV41)</f>
        <v>0.12114189502559995</v>
      </c>
      <c r="BY41">
        <f>BU41*BX41</f>
        <v>11.190479319629599</v>
      </c>
      <c r="BZ41">
        <f>BW41/(2*BN41*BA41+BW41)</f>
        <v>7.0875570556310816E-2</v>
      </c>
      <c r="CA41">
        <f>2*BN41*BA41/0.04</f>
        <v>98.503464372726995</v>
      </c>
      <c r="CB41">
        <f>(BS41+BL41)*2</f>
        <v>36.466755894736643</v>
      </c>
      <c r="CC41">
        <f>(BU41+BL41)*2</f>
        <v>207.54166905283981</v>
      </c>
      <c r="CD41">
        <f>(BT41+BN41)*2</f>
        <v>63.042217198545274</v>
      </c>
      <c r="CE41">
        <f>(CA41+BN41)*2</f>
        <v>236.40831449454478</v>
      </c>
      <c r="CF41">
        <f>'TEA Revised Non EYZ'!CB41</f>
        <v>2406.8058890526186</v>
      </c>
      <c r="CG41">
        <f>'TEA Revised Non EYZ'!CC41</f>
        <v>7801.4743783199792</v>
      </c>
      <c r="CH41">
        <f>'TEA Revised Non EYZ'!CD41</f>
        <v>2907.8673690603878</v>
      </c>
      <c r="CI41">
        <f>'TEA Revised Non EYZ'!CE41</f>
        <v>60173.465261771846</v>
      </c>
      <c r="CJ41">
        <f>BL41*V41</f>
        <v>1.1395861217105201</v>
      </c>
      <c r="CK41">
        <f>CJ41/2*1.2</f>
        <v>0.68375167302631201</v>
      </c>
      <c r="CL41">
        <f>'eLLE Bals'!CB41*'Oxidant Feed Composition'!$N$20</f>
        <v>3.7986204057017352E-2</v>
      </c>
      <c r="CM41">
        <f>'eLLE Bals'!CB41*'Oxidant Feed Composition'!$N$21</f>
        <v>1.8993102028508668</v>
      </c>
      <c r="CN41">
        <f>'eLLE Bals'!CB41*'Oxidant Feed Composition'!$N$22</f>
        <v>0.56979306085526005</v>
      </c>
      <c r="CO41">
        <f>CN41/CK41</f>
        <v>0.83333333333333337</v>
      </c>
      <c r="CP41">
        <f>CO41</f>
        <v>0.83333333333333337</v>
      </c>
      <c r="CQ41">
        <f>CL41/CO41</f>
        <v>4.5583444868420822E-2</v>
      </c>
      <c r="CR41">
        <f>CM41/CO41</f>
        <v>2.2791722434210402</v>
      </c>
      <c r="CS41">
        <f>BN41*BA41</f>
        <v>1.97006928745454</v>
      </c>
      <c r="CT41">
        <f>CS41/2*1.2</f>
        <v>1.182041572472724</v>
      </c>
      <c r="CU41">
        <f>'eLLE Bals'!CC41*'Oxidant Feed Composition'!$N$20</f>
        <v>6.5668976248484695E-2</v>
      </c>
      <c r="CV41">
        <f>'eLLE Bals'!CC41*'Oxidant Feed Composition'!$N$21</f>
        <v>3.2834488124242336</v>
      </c>
      <c r="CW41">
        <f>'eLLE Bals'!CC41*'Oxidant Feed Composition'!$N$22</f>
        <v>0.98503464372727001</v>
      </c>
      <c r="CX41">
        <f>CU41/CP41</f>
        <v>7.8802771498181629E-2</v>
      </c>
      <c r="CY41">
        <f>CV41/CP41</f>
        <v>3.94013857490908</v>
      </c>
      <c r="CZ41">
        <f>CJ41</f>
        <v>1.1395861217105201</v>
      </c>
      <c r="DA41">
        <f>'eLLE Bals'!BQ41</f>
        <v>2.2791722434210402</v>
      </c>
      <c r="DB41">
        <f>'eLLE Bals'!BU41</f>
        <v>5.9882772559449577</v>
      </c>
      <c r="DC41">
        <f>CS41</f>
        <v>1.97006928745454</v>
      </c>
      <c r="DD41">
        <f>'eLLE Bals'!BX41</f>
        <v>3.94013857490908</v>
      </c>
      <c r="DE41">
        <f>'eLLE Bals'!CA41</f>
        <v>21.885960436406055</v>
      </c>
      <c r="DF41">
        <f>2*2*(CJ41*'Reagent cost'!$C$36*122.44/1000*1.5+CK41*'Oxidant Feed Composition'!$N$26+CQ41*'Reagent cost'!$C$34+CR41*'Reagent cost'!$C$35)</f>
        <v>115.96557977376703</v>
      </c>
      <c r="DG41">
        <f>2*2*(CS41*'Reagent cost'!$C$36*122.44/1000*1.5+CT41*'Oxidant Feed Composition'!$N$26+CX41*'Reagent cost'!$C$34+CY41*'Reagent cost'!$C$35)</f>
        <v>200.47649121177324</v>
      </c>
      <c r="DH41">
        <f>(AF41+3)*2*(CZ41*'Reagent cost'!$C$38+DA41*'Reagent cost'!$C$39+DB41*'Reagent cost'!$C$36*122.44/1000*1.5)</f>
        <v>2647.9442518302826</v>
      </c>
      <c r="DI41">
        <f>3*2*(DC41*'Reagent cost'!$C$38+DD41*'Reagent cost'!$C$39+DE41*'Reagent cost'!$C$36*122.44/1000*1.5)</f>
        <v>1755.8659225713805</v>
      </c>
      <c r="DJ41">
        <f>7963.6*(CB41/1000)^0.6*1.7*('CAPEX+OPEX'!$G$116/'CAPEX+OPEX'!$G$115)</f>
        <v>2189.6727102460782</v>
      </c>
      <c r="DK41">
        <f>7963.6*(CC41/1000)^0.6*1.7*('CAPEX+OPEX'!$G$116/'CAPEX+OPEX'!$G$115)</f>
        <v>6215.9013146876341</v>
      </c>
      <c r="DL41">
        <f>7963.6*(CD41/1000)^0.6*1.7*('CAPEX+OPEX'!$G$116/'CAPEX+OPEX'!$G$115)</f>
        <v>3041.0237729027358</v>
      </c>
      <c r="DM41">
        <f>7963.6*(CE41/1000)^0.6*1.7*('CAPEX+OPEX'!$G$116/'CAPEX+OPEX'!$G$115)</f>
        <v>6721.0724334709284</v>
      </c>
      <c r="DN41">
        <f>'TEA Revised Non EYZ'!CM41</f>
        <v>39625.826528698344</v>
      </c>
      <c r="DO41">
        <f>'TEA Revised Non EYZ'!CN41</f>
        <v>4586243.4239371875</v>
      </c>
      <c r="DP41">
        <f>'TEA Revised Non EYZ'!CO41</f>
        <v>11794834.586807497</v>
      </c>
      <c r="DQ41">
        <f>'TEA Revised Non EYZ'!CP41</f>
        <v>2275209.1661185985</v>
      </c>
      <c r="DR41">
        <f>'TEA Revised Non EYZ'!CQ41</f>
        <v>14083914.336508472</v>
      </c>
      <c r="DS41">
        <f>'TEA Revised Non EYZ'!CR41</f>
        <v>1662824.8986326549</v>
      </c>
      <c r="DT41">
        <f>'TEA Revised Non EYZ'!CS41</f>
        <v>646135.89638675924</v>
      </c>
      <c r="DU41">
        <f>'TEA Revised Non EYZ'!CT41</f>
        <v>1661722.9645298459</v>
      </c>
      <c r="DV41">
        <f>'TEA Revised Non EYZ'!CU41</f>
        <v>320544.32748695416</v>
      </c>
      <c r="DW41">
        <f>'TEA Revised Non EYZ'!CV41</f>
        <v>1984221.4582325809</v>
      </c>
      <c r="DX41">
        <f>'TEA Revised Non EYZ'!CW41</f>
        <v>234268.17050410178</v>
      </c>
      <c r="DY41">
        <f>'TEA Revised Non EYZ'!CX41</f>
        <v>4846892.8171402421</v>
      </c>
      <c r="DZ41">
        <f>'TEA Revised Non EYZ'!CY41</f>
        <v>924998.39931869402</v>
      </c>
      <c r="EA41">
        <f>'TEA Revised Non EYZ'!CZ41</f>
        <v>2378897.5212439853</v>
      </c>
      <c r="EB41">
        <f>'TEA Revised Non EYZ'!DA41</f>
        <v>458886.42233651923</v>
      </c>
      <c r="EC41">
        <f>'TEA Revised Non EYZ'!DB41</f>
        <v>2840581.498447381</v>
      </c>
      <c r="ED41">
        <f>'TEA Revised Non EYZ'!DC41</f>
        <v>335374.77787475183</v>
      </c>
      <c r="EE41">
        <f>'TEA Revised Non EYZ'!DD41</f>
        <v>6938738.6192213316</v>
      </c>
      <c r="EF41">
        <v>0.7</v>
      </c>
      <c r="EG41">
        <v>100</v>
      </c>
      <c r="EH41">
        <f>96485*BL41*V41/EF41/EG41/60</f>
        <v>26.179277846009416</v>
      </c>
      <c r="EI41">
        <f>96485*BN41*BA41/EF41/EG41/60</f>
        <v>45.257651238107449</v>
      </c>
      <c r="EJ41">
        <f>EH41*('CAPEX+OPEX'!$O$25+'CAPEX+OPEX'!$O$26)</f>
        <v>834385.9435080121</v>
      </c>
      <c r="EK41">
        <f>EI41*('CAPEX+OPEX'!$O$25+'CAPEX+OPEX'!$O$26)</f>
        <v>1442451.8602609606</v>
      </c>
      <c r="EL41">
        <f>EJ41*1.12/0.6*'CAPEX+OPEX'!$G$116/'CAPEX+OPEX'!$G$115</f>
        <v>1837030.3015082346</v>
      </c>
      <c r="EM41">
        <f>EK41*1.12/0.6*'CAPEX+OPEX'!$G$116/'CAPEX+OPEX'!$G$115</f>
        <v>3175781.8985128454</v>
      </c>
      <c r="EN41">
        <f>EL41+EM41+DY41+EE41+1.15*(SUM(DF41:DM41)+SUM(CF41:CI41))</f>
        <v>16909047.802063789</v>
      </c>
      <c r="EO41">
        <f>EN41/15</f>
        <v>1127269.8534709192</v>
      </c>
      <c r="EP41">
        <f>('eLLE Bals'!CB41+'eLLE Bals'!CC41)*'Oxidant Feed Composition'!$N$28*60*7200</f>
        <v>17287118.00721588</v>
      </c>
      <c r="EQ41" s="53">
        <f>('eLLE Bals'!BR41+'eLLE Bals'!BY41)*'Reagent cost'!$C$38*60*7200*1.5</f>
        <v>760038.22508613707</v>
      </c>
      <c r="ER41">
        <f>'TEA Revised Non EYZ'!DI41</f>
        <v>504921.59999999998</v>
      </c>
      <c r="ES41">
        <f>'TEA Revised Non EYZ'!DJ41</f>
        <v>102.08280267372598</v>
      </c>
      <c r="ET41">
        <f>'TEA Revised Non EYZ'!DK41</f>
        <v>1261.6266526166448</v>
      </c>
      <c r="EU41">
        <f>1.2*SUM(EP41:ET41)</f>
        <v>22264129.850108769</v>
      </c>
      <c r="EV41">
        <f>'TEA Revised Non EYZ'!DM41</f>
        <v>0.70639694042110623</v>
      </c>
      <c r="EW41">
        <f>(BS41*CO41+BT41*CP41)/1000*('Oxidant Feed Composition'!$B$11*'Oxidant Feed Composition'!$O$20+'Oxidant Feed Composition'!$D$11*'Oxidant Feed Composition'!$O$21+'Oxidant Feed Composition'!$F$11*'Oxidant Feed Composition'!$O$27-'Oxidant Feed Composition'!$J$15*18.015)</f>
        <v>1.8157983825892661</v>
      </c>
      <c r="EX41">
        <f>(CZ41*BX41+DC41*BZ41)*368.34/1000</f>
        <v>0.10228116949588884</v>
      </c>
      <c r="EY41">
        <f>'TEA Revised Non EYZ'!DP41</f>
        <v>4.999938342565946E-2</v>
      </c>
      <c r="EZ41">
        <f>SUM(EV41:EX41)-EY41</f>
        <v>2.5744771090806018</v>
      </c>
      <c r="FA41">
        <f>EZ41*0.33*60*7200</f>
        <v>367017.45667053066</v>
      </c>
      <c r="FB41">
        <f>'TEA Revised Non EYZ'!DS41</f>
        <v>1.2</v>
      </c>
      <c r="FC41">
        <v>0.5</v>
      </c>
      <c r="FD41">
        <f>'TEA Revised Non EYZ'!DT41</f>
        <v>1406.1110801055565</v>
      </c>
      <c r="FE41">
        <f>'TEA Revised Non EYZ'!DU41</f>
        <v>706.15649355020639</v>
      </c>
      <c r="FF41">
        <f>'TEA Revised Non EYZ'!DV41</f>
        <v>0.7</v>
      </c>
      <c r="FG41">
        <f>'TEA Revised Non EYZ'!DW41</f>
        <v>35776.359048024235</v>
      </c>
      <c r="FH41">
        <f>'TEA Revised Non EYZ'!DX41</f>
        <v>29068.269280606211</v>
      </c>
      <c r="FI41">
        <f>'TEA Revised Non EYZ'!DY41</f>
        <v>12307.130138966339</v>
      </c>
      <c r="FJ41">
        <f>'TEA Revised Non EYZ'!DZ41</f>
        <v>6519.4301878820042</v>
      </c>
      <c r="FK41">
        <f>'TEA Revised Non EYZ'!EA41</f>
        <v>6563.8027407820491</v>
      </c>
      <c r="FL41">
        <f>'TEA Revised Non EYZ'!EB41</f>
        <v>850.4159812478407</v>
      </c>
      <c r="FM41">
        <f>'TEA Revised Non EYZ'!EC41</f>
        <v>51435.880435969884</v>
      </c>
      <c r="FN41">
        <f>'TEA Revised Non EYZ'!ED41</f>
        <v>54320.489314247861</v>
      </c>
      <c r="FO41">
        <f>'TEA Revised Non EYZ'!EE41</f>
        <v>22998.59426611301</v>
      </c>
      <c r="FP41">
        <f>'TEA Revised Non EYZ'!EF41</f>
        <v>12189.762876036224</v>
      </c>
      <c r="FQ41">
        <f>'TEA Revised Non EYZ'!EG41</f>
        <v>12265.916941926936</v>
      </c>
      <c r="FR41">
        <f>'TEA Revised Non EYZ'!EH41</f>
        <v>427.08344729916485</v>
      </c>
      <c r="FS41">
        <f>'TEA Revised Non EYZ'!EI41</f>
        <v>244723.13465910175</v>
      </c>
      <c r="FT41">
        <f>EG41*EH41</f>
        <v>2617.9277846009418</v>
      </c>
      <c r="FU41">
        <f>EG41*EI41</f>
        <v>4525.7651238107446</v>
      </c>
      <c r="FV41">
        <f>FC41*(FT41+FU41)/(3.6*10^6)*3600*7200*0.07</f>
        <v>1800.2106129197452</v>
      </c>
      <c r="FW41">
        <f>('CAPEX+OPEX'!$C$39/7/100+0.03)*EL41</f>
        <v>94475.844077566348</v>
      </c>
      <c r="FX41">
        <f>('CAPEX+OPEX'!$C$39/7/100+0.03)*EM41</f>
        <v>163325.92620923204</v>
      </c>
      <c r="FY41">
        <f>SUM(FV41:FX41)</f>
        <v>259601.98089971812</v>
      </c>
      <c r="FZ41">
        <f>FY41+FA41+FS41+EU41</f>
        <v>23135472.422338121</v>
      </c>
      <c r="GA41">
        <f>FZ41+EO41</f>
        <v>24262742.275809038</v>
      </c>
      <c r="GB41">
        <f>GA41/(BK41*60*7200)</f>
        <v>0.56163755268076476</v>
      </c>
      <c r="GC41">
        <f>'TEA Revised Non EYZ'!EM41/'TEA Revised Non EYZ'!EK41*GA41</f>
        <v>1878.8846396797112</v>
      </c>
      <c r="GD41">
        <f>'TEA Revised Non EYZ'!EN41/'TEA Revised Non EYZ'!EK41*GA41</f>
        <v>3446.5986372645725</v>
      </c>
    </row>
    <row r="42" spans="1:186">
      <c r="A42">
        <f>'TEA Revised Non EYZ'!A42</f>
        <v>7</v>
      </c>
      <c r="B42">
        <f>'TEA Revised Non EYZ'!B42</f>
        <v>1.54143585092054E-3</v>
      </c>
      <c r="C42">
        <f>'TEA Revised Non EYZ'!C42</f>
        <v>1.54143585092054E-3</v>
      </c>
      <c r="D42">
        <f>'TEA Revised Non EYZ'!D42</f>
        <v>3.4254130020456501E-4</v>
      </c>
      <c r="E42">
        <f>'TEA Revised Non EYZ'!E42</f>
        <v>0</v>
      </c>
      <c r="F42">
        <f>'TEA Revised Non EYZ'!F42</f>
        <v>0</v>
      </c>
      <c r="G42">
        <f>'TEA Revised Non EYZ'!G42</f>
        <v>0</v>
      </c>
      <c r="H42">
        <f>'TEA Revised Non EYZ'!H42</f>
        <v>1.7744466230058299E-5</v>
      </c>
      <c r="I42">
        <f>'TEA Revised Non EYZ'!I42</f>
        <v>1.2927742824924801E-8</v>
      </c>
      <c r="J42">
        <f>'TEA Revised Non EYZ'!J42</f>
        <v>3.3739048286900598E-4</v>
      </c>
      <c r="K42">
        <f>'TEA Revised Non EYZ'!K42</f>
        <v>0.13716795306346499</v>
      </c>
      <c r="L42">
        <f>'TEA Revised Non EYZ'!L42</f>
        <v>0.138764207307677</v>
      </c>
      <c r="M42">
        <f>'TEA Revised Non EYZ'!M42</f>
        <v>4.6369433969460899E-4</v>
      </c>
      <c r="N42">
        <f>'TEA Revised Non EYZ'!N42</f>
        <v>-1.1037178115902399E-16</v>
      </c>
      <c r="O42">
        <f>'TEA Revised Non EYZ'!O42</f>
        <v>-5.3700533603207003E-15</v>
      </c>
      <c r="P42">
        <f>'TEA Revised Non EYZ'!P42</f>
        <v>-3.4304834363799101E-19</v>
      </c>
      <c r="Q42">
        <f>'TEA Revised Non EYZ'!Q42</f>
        <v>0.111082169753281</v>
      </c>
      <c r="R42">
        <f>'TEA Revised Non EYZ'!R42</f>
        <v>98.496293050653193</v>
      </c>
      <c r="S42">
        <f>'TEA Revised Non EYZ'!S42</f>
        <v>500</v>
      </c>
      <c r="T42">
        <f>'TEA Revised Non EYZ'!T42</f>
        <v>95</v>
      </c>
      <c r="U42">
        <f>'TEA Revised Non EYZ'!U42</f>
        <v>1</v>
      </c>
      <c r="V42">
        <f>'TEA Revised Non EYZ'!V42</f>
        <v>0.1</v>
      </c>
      <c r="W42">
        <f>'TEA Revised Non EYZ'!W42</f>
        <v>90.023448607553206</v>
      </c>
      <c r="X42" t="str">
        <f>'TEA Revised Non EYZ'!X42</f>
        <v>ddFc</v>
      </c>
      <c r="Y42">
        <f>'TEA Revised Non EYZ'!Y42</f>
        <v>1</v>
      </c>
      <c r="Z42">
        <f>'TEA Revised Non EYZ'!Z42</f>
        <v>0.28318429382522198</v>
      </c>
      <c r="AA42">
        <f>'TEA Revised Non EYZ'!AA42</f>
        <v>0.56945642916197003</v>
      </c>
      <c r="AB42">
        <f>'TEA Revised Non EYZ'!AB42</f>
        <v>3.7698628972227502E-3</v>
      </c>
      <c r="AC42">
        <f>'TEA Revised Non EYZ'!AC42</f>
        <v>1822.2107908876901</v>
      </c>
      <c r="AD42">
        <f>'TEA Revised Non EYZ'!AD42</f>
        <v>2662.6059073104898</v>
      </c>
      <c r="AE42">
        <f>'TEA Revised Non EYZ'!AE42</f>
        <v>2401.5030938442701</v>
      </c>
      <c r="AF42">
        <f>'TEA Revised Non EYZ'!AF42</f>
        <v>4</v>
      </c>
      <c r="AG42">
        <f>'TEA Revised Non EYZ'!AG42</f>
        <v>1.64967327652189E-3</v>
      </c>
      <c r="AH42">
        <f>'TEA Revised Non EYZ'!AH42</f>
        <v>1.66887089455438E-3</v>
      </c>
      <c r="AI42">
        <f>'TEA Revised Non EYZ'!AI42</f>
        <v>5.5766973522943398E-6</v>
      </c>
      <c r="AJ42">
        <f>'TEA Revised Non EYZ'!AJ42</f>
        <v>0</v>
      </c>
      <c r="AK42">
        <f>'TEA Revised Non EYZ'!AK42</f>
        <v>0</v>
      </c>
      <c r="AL42">
        <f>'TEA Revised Non EYZ'!AL42</f>
        <v>0</v>
      </c>
      <c r="AM42">
        <f>'TEA Revised Non EYZ'!AM42</f>
        <v>1.6047223792851101E-3</v>
      </c>
      <c r="AN42">
        <f>'TEA Revised Non EYZ'!AN42</f>
        <v>7.8926667299838998E-5</v>
      </c>
      <c r="AO42">
        <f>'TEA Revised Non EYZ'!AO42</f>
        <v>5.5324052965634797E-6</v>
      </c>
      <c r="AP42">
        <f>'TEA Revised Non EYZ'!AP42</f>
        <v>1.9882830340612E-3</v>
      </c>
      <c r="AQ42">
        <f>'TEA Revised Non EYZ'!AQ42</f>
        <v>7.0326941752228797E-2</v>
      </c>
      <c r="AR42">
        <f>'TEA Revised Non EYZ'!AR42</f>
        <v>1.9591409371835302E-6</v>
      </c>
      <c r="AS42">
        <f>'TEA Revised Non EYZ'!AS42</f>
        <v>-9.7615058397559906E-15</v>
      </c>
      <c r="AT42">
        <f>'TEA Revised Non EYZ'!AT42</f>
        <v>-1.25855922905593E-13</v>
      </c>
      <c r="AU42">
        <f>'TEA Revised Non EYZ'!AU42</f>
        <v>-3.2733654421091398E-18</v>
      </c>
      <c r="AV42">
        <f>'TEA Revised Non EYZ'!AV42</f>
        <v>0.20881381645079999</v>
      </c>
      <c r="AW42">
        <f>'TEA Revised Non EYZ'!AW42</f>
        <v>99.205765474925002</v>
      </c>
      <c r="AX42">
        <f>'TEA Revised Non EYZ'!AX42</f>
        <v>500</v>
      </c>
      <c r="AY42">
        <f>'TEA Revised Non EYZ'!AY42</f>
        <v>95</v>
      </c>
      <c r="AZ42">
        <f>'TEA Revised Non EYZ'!AZ42</f>
        <v>0.92363221637625403</v>
      </c>
      <c r="BA42">
        <f>'TEA Revised Non EYZ'!BA42</f>
        <v>0.1</v>
      </c>
      <c r="BB42">
        <f>'TEA Revised Non EYZ'!BB42</f>
        <v>44.232332518757197</v>
      </c>
      <c r="BC42" t="str">
        <f>'TEA Revised Non EYZ'!BC42</f>
        <v>coeFc</v>
      </c>
      <c r="BD42">
        <f>'TEA Revised Non EYZ'!BD42</f>
        <v>1</v>
      </c>
      <c r="BE42">
        <f>'TEA Revised Non EYZ'!BE42</f>
        <v>1.8775014999999999E-2</v>
      </c>
      <c r="BF42">
        <f>'TEA Revised Non EYZ'!BF42</f>
        <v>0.10492961100000001</v>
      </c>
      <c r="BG42">
        <f>'TEA Revised Non EYZ'!BG42</f>
        <v>1.814625E-3</v>
      </c>
      <c r="BH42">
        <f>'TEA Revised Non EYZ'!BH42</f>
        <v>285.1951444</v>
      </c>
      <c r="BI42">
        <f>'TEA Revised Non EYZ'!BI42</f>
        <v>2169.8944889999998</v>
      </c>
      <c r="BJ42">
        <f>'TEA Revised Non EYZ'!BJ42</f>
        <v>866.49409060000005</v>
      </c>
      <c r="BK42">
        <f>'TEA Revised Non EYZ'!BK42</f>
        <v>100</v>
      </c>
      <c r="BL42">
        <f>'TEA Revised Non EYZ'!BL42</f>
        <v>11.1082169753281</v>
      </c>
      <c r="BM42">
        <f>'TEA Revised Non EYZ'!BM42</f>
        <v>92.363221637625401</v>
      </c>
      <c r="BN42">
        <f>'TEA Revised Non EYZ'!BN42</f>
        <v>20.881381645079998</v>
      </c>
      <c r="BO42">
        <f>'TEA Revised Non EYZ'!BO42</f>
        <v>199.94790555590581</v>
      </c>
      <c r="BP42">
        <f>'TEA Revised Non EYZ'!BP42</f>
        <v>250.57657974095997</v>
      </c>
      <c r="BQ42">
        <f>'TEA Revised Non EYZ'!BQ42</f>
        <v>19.994790555590583</v>
      </c>
      <c r="BR42">
        <f>'TEA Revised Non EYZ'!BR42</f>
        <v>25.057657974095999</v>
      </c>
      <c r="BS42">
        <f>'eLLE Bals'!CF42</f>
        <v>6.6649301851968596</v>
      </c>
      <c r="BT42">
        <f>'eLLE Bals'!CG42</f>
        <v>12.528828987047998</v>
      </c>
      <c r="BU42">
        <f>BM42</f>
        <v>92.363221637625401</v>
      </c>
      <c r="BV42">
        <f>BU42*(AM42*2+AN42*2+AO42*3)</f>
        <v>0.31254747242919168</v>
      </c>
      <c r="BW42">
        <f>BN42*BA42*(AP42*2+AQ42*2+AR42*3)</f>
        <v>0.30202063437333582</v>
      </c>
      <c r="BX42">
        <f>BV42/(2*V42*BL42+BV42)</f>
        <v>0.12333225426629454</v>
      </c>
      <c r="BY42">
        <f>BU42*BX42</f>
        <v>11.391364335865735</v>
      </c>
      <c r="BZ42">
        <f>BW42/(2*BN42*BA42+BW42)</f>
        <v>6.7440957319801265E-2</v>
      </c>
      <c r="CA42">
        <f>2*BN42*BA42/0.04</f>
        <v>104.40690822539999</v>
      </c>
      <c r="CB42">
        <f>(BS42+BL42)*2</f>
        <v>35.54629432104992</v>
      </c>
      <c r="CC42">
        <f>(BU42+BL42)*2</f>
        <v>206.94287722590701</v>
      </c>
      <c r="CD42">
        <f>(BT42+BN42)*2</f>
        <v>66.820421264255998</v>
      </c>
      <c r="CE42">
        <f>(CA42+BN42)*2</f>
        <v>250.57657974095997</v>
      </c>
      <c r="CF42">
        <f>'TEA Revised Non EYZ'!CB42</f>
        <v>2639.3123533379567</v>
      </c>
      <c r="CG42">
        <f>'TEA Revised Non EYZ'!CC42</f>
        <v>3307.6108525806717</v>
      </c>
      <c r="CH42">
        <f>'TEA Revised Non EYZ'!CD42</f>
        <v>3188.7782491883527</v>
      </c>
      <c r="CI42">
        <f>'TEA Revised Non EYZ'!CE42</f>
        <v>25511.896480788433</v>
      </c>
      <c r="CJ42">
        <f>BL42*V42</f>
        <v>1.11082169753281</v>
      </c>
      <c r="CK42">
        <f>CJ42/2*1.2</f>
        <v>0.66649301851968601</v>
      </c>
      <c r="CL42">
        <f>'eLLE Bals'!CB42*'Oxidant Feed Composition'!$N$20</f>
        <v>3.7027389917760348E-2</v>
      </c>
      <c r="CM42">
        <f>'eLLE Bals'!CB42*'Oxidant Feed Composition'!$N$21</f>
        <v>1.8513694958880169</v>
      </c>
      <c r="CN42">
        <f>'eLLE Bals'!CB42*'Oxidant Feed Composition'!$N$22</f>
        <v>0.55541084876640501</v>
      </c>
      <c r="CO42">
        <f>CN42/CK42</f>
        <v>0.83333333333333337</v>
      </c>
      <c r="CP42">
        <f>CO42</f>
        <v>0.83333333333333337</v>
      </c>
      <c r="CQ42">
        <f>CL42/CO42</f>
        <v>4.4432867901312414E-2</v>
      </c>
      <c r="CR42">
        <f>CM42/CO42</f>
        <v>2.22164339506562</v>
      </c>
      <c r="CS42">
        <f>BN42*BA42</f>
        <v>2.0881381645079999</v>
      </c>
      <c r="CT42">
        <f>CS42/2*1.2</f>
        <v>1.2528828987048</v>
      </c>
      <c r="CU42">
        <f>'eLLE Bals'!CC42*'Oxidant Feed Composition'!$N$20</f>
        <v>6.9604605483600021E-2</v>
      </c>
      <c r="CV42">
        <f>'eLLE Bals'!CC42*'Oxidant Feed Composition'!$N$21</f>
        <v>3.4802302741800002</v>
      </c>
      <c r="CW42">
        <f>'eLLE Bals'!CC42*'Oxidant Feed Composition'!$N$22</f>
        <v>1.044069082254</v>
      </c>
      <c r="CX42">
        <f>CU42/CP42</f>
        <v>8.3525526580320017E-2</v>
      </c>
      <c r="CY42">
        <f>CV42/CP42</f>
        <v>4.1762763290159999</v>
      </c>
      <c r="CZ42">
        <f>CJ42</f>
        <v>1.11082169753281</v>
      </c>
      <c r="DA42">
        <f>'eLLE Bals'!BQ42</f>
        <v>2.22164339506562</v>
      </c>
      <c r="DB42">
        <f>'eLLE Bals'!BU42</f>
        <v>5.6742761217325999</v>
      </c>
      <c r="DC42">
        <f>CS42</f>
        <v>2.0881381645079999</v>
      </c>
      <c r="DD42">
        <f>'eLLE Bals'!BX42</f>
        <v>4.1762763290159999</v>
      </c>
      <c r="DE42">
        <f>'eLLE Bals'!CA42</f>
        <v>24.698048785372904</v>
      </c>
      <c r="DF42">
        <f>2*2*(CJ42*'Reagent cost'!$C$36*122.44/1000*1.5+CK42*'Oxidant Feed Composition'!$N$26+CQ42*'Reagent cost'!$C$34+CR42*'Reagent cost'!$C$35)</f>
        <v>113.03847925623893</v>
      </c>
      <c r="DG42">
        <f>2*2*(CS42*'Reagent cost'!$C$36*122.44/1000*1.5+CT42*'Oxidant Feed Composition'!$N$26+CX42*'Reagent cost'!$C$34+CY42*'Reagent cost'!$C$35)</f>
        <v>212.49131441810584</v>
      </c>
      <c r="DH42">
        <f>(AF42+3)*2*(CZ42*'Reagent cost'!$C$38+DA42*'Reagent cost'!$C$39+DB42*'Reagent cost'!$C$36*122.44/1000*1.5)</f>
        <v>1099.6638716980499</v>
      </c>
      <c r="DI42">
        <f>3*2*(DC42*'Reagent cost'!$C$38+DD42*'Reagent cost'!$C$39+DE42*'Reagent cost'!$C$36*122.44/1000*1.5)</f>
        <v>1977.8616709299797</v>
      </c>
      <c r="DJ42">
        <f>7963.6*(CB42/1000)^0.6*1.7*('CAPEX+OPEX'!$G$116/'CAPEX+OPEX'!$G$115)</f>
        <v>2156.3414312027717</v>
      </c>
      <c r="DK42">
        <f>7963.6*(CC42/1000)^0.6*1.7*('CAPEX+OPEX'!$G$116/'CAPEX+OPEX'!$G$115)</f>
        <v>6205.1347590783025</v>
      </c>
      <c r="DL42">
        <f>7963.6*(CD42/1000)^0.6*1.7*('CAPEX+OPEX'!$G$116/'CAPEX+OPEX'!$G$115)</f>
        <v>3149.1000109774004</v>
      </c>
      <c r="DM42">
        <f>7963.6*(CE42/1000)^0.6*1.7*('CAPEX+OPEX'!$G$116/'CAPEX+OPEX'!$G$115)</f>
        <v>6959.9354870614361</v>
      </c>
      <c r="DN42">
        <f>'TEA Revised Non EYZ'!CM42</f>
        <v>39625.826528698344</v>
      </c>
      <c r="DO42">
        <f>'TEA Revised Non EYZ'!CN42</f>
        <v>4586243.4239371875</v>
      </c>
      <c r="DP42">
        <f>'TEA Revised Non EYZ'!CO42</f>
        <v>11794834.586807497</v>
      </c>
      <c r="DQ42">
        <f>'TEA Revised Non EYZ'!CP42</f>
        <v>2275209.1661185985</v>
      </c>
      <c r="DR42">
        <f>'TEA Revised Non EYZ'!CQ42</f>
        <v>14083914.336508472</v>
      </c>
      <c r="DS42">
        <f>'TEA Revised Non EYZ'!CR42</f>
        <v>1662824.8986326549</v>
      </c>
      <c r="DT42">
        <f>'TEA Revised Non EYZ'!CS42</f>
        <v>700033.84449786716</v>
      </c>
      <c r="DU42">
        <f>'TEA Revised Non EYZ'!CT42</f>
        <v>1800336.9288957189</v>
      </c>
      <c r="DV42">
        <f>'TEA Revised Non EYZ'!CU42</f>
        <v>347282.79168127343</v>
      </c>
      <c r="DW42">
        <f>'TEA Revised Non EYZ'!CV42</f>
        <v>2149736.8951473436</v>
      </c>
      <c r="DX42">
        <f>'TEA Revised Non EYZ'!CW42</f>
        <v>253809.83932102245</v>
      </c>
      <c r="DY42">
        <f>'TEA Revised Non EYZ'!CX42</f>
        <v>5251200.2995432261</v>
      </c>
      <c r="DZ42">
        <f>'TEA Revised Non EYZ'!CY42</f>
        <v>498662.12122409587</v>
      </c>
      <c r="EA42">
        <f>'TEA Revised Non EYZ'!CZ42</f>
        <v>1282452.0399084061</v>
      </c>
      <c r="EB42">
        <f>'TEA Revised Non EYZ'!DA42</f>
        <v>247383.42999491547</v>
      </c>
      <c r="EC42">
        <f>'TEA Revised Non EYZ'!DB42</f>
        <v>1531343.6180743722</v>
      </c>
      <c r="ED42">
        <f>'TEA Revised Non EYZ'!DC42</f>
        <v>180798.90545028303</v>
      </c>
      <c r="EE42">
        <f>'TEA Revised Non EYZ'!DD42</f>
        <v>3740640.1146520725</v>
      </c>
      <c r="EF42">
        <v>0.7</v>
      </c>
      <c r="EG42">
        <v>100</v>
      </c>
      <c r="EH42">
        <f>96485*BL42*V42/EF42/EG42/60</f>
        <v>25.518483687250757</v>
      </c>
      <c r="EI42">
        <f>96485*BN42*BA42/EF42/EG42/60</f>
        <v>47.970002572036755</v>
      </c>
      <c r="EJ42">
        <f>EH42*('CAPEX+OPEX'!$O$25+'CAPEX+OPEX'!$O$26)</f>
        <v>813325.1120800561</v>
      </c>
      <c r="EK42">
        <f>EI42*('CAPEX+OPEX'!$O$25+'CAPEX+OPEX'!$O$26)</f>
        <v>1528899.9219759554</v>
      </c>
      <c r="EL42">
        <f>EJ42*1.12/0.6*'CAPEX+OPEX'!$G$116/'CAPEX+OPEX'!$G$115</f>
        <v>1790661.6086879191</v>
      </c>
      <c r="EM42">
        <f>EK42*1.12/0.6*'CAPEX+OPEX'!$G$116/'CAPEX+OPEX'!$G$115</f>
        <v>3366110.7386769345</v>
      </c>
      <c r="EN42">
        <f>EL42+EM42+DY42+EE42+1.15*(SUM(DF42:DM42)+SUM(CF42:CI42))</f>
        <v>14213612.101264749</v>
      </c>
      <c r="EO42">
        <f>EN42/15</f>
        <v>947574.1400843166</v>
      </c>
      <c r="EP42">
        <f>('eLLE Bals'!CB42+'eLLE Bals'!CC42)*'Oxidant Feed Composition'!$N$28*60*7200</f>
        <v>17783577.071742088</v>
      </c>
      <c r="EQ42" s="53">
        <f>('eLLE Bals'!BR42+'eLLE Bals'!BY42)*'Reagent cost'!$C$38*60*7200*1.5</f>
        <v>760434.48349802685</v>
      </c>
      <c r="ER42">
        <f>'TEA Revised Non EYZ'!DI42</f>
        <v>504921.59999999998</v>
      </c>
      <c r="ES42">
        <f>'TEA Revised Non EYZ'!DJ42</f>
        <v>59.46923205918629</v>
      </c>
      <c r="ET42">
        <f>'TEA Revised Non EYZ'!DK42</f>
        <v>574.01349459953576</v>
      </c>
      <c r="EU42">
        <f>1.2*SUM(EP42:ET42)</f>
        <v>22859479.965560127</v>
      </c>
      <c r="EV42">
        <f>'TEA Revised Non EYZ'!DM42</f>
        <v>0.70639694042110623</v>
      </c>
      <c r="EW42">
        <f>(BS42*CO42+BT42*CP42)/1000*('Oxidant Feed Composition'!$B$11*'Oxidant Feed Composition'!$O$20+'Oxidant Feed Composition'!$D$11*'Oxidant Feed Composition'!$O$21+'Oxidant Feed Composition'!$F$11*'Oxidant Feed Composition'!$O$27-'Oxidant Feed Composition'!$J$15*18.015)</f>
        <v>1.8679452798344967</v>
      </c>
      <c r="EX42">
        <f>(CZ42*BX42+DC42*BZ42)*368.34/1000</f>
        <v>0.10233449546352166</v>
      </c>
      <c r="EY42">
        <f>'TEA Revised Non EYZ'!DP42</f>
        <v>4.999938342565946E-2</v>
      </c>
      <c r="EZ42">
        <f>SUM(EV42:EX42)-EY42</f>
        <v>2.6266773322934651</v>
      </c>
      <c r="FA42">
        <f>EZ42*0.33*60*7200</f>
        <v>374459.12049175642</v>
      </c>
      <c r="FB42">
        <f>'TEA Revised Non EYZ'!DS42</f>
        <v>1.2</v>
      </c>
      <c r="FC42">
        <v>0.5</v>
      </c>
      <c r="FD42">
        <f>'TEA Revised Non EYZ'!DT42</f>
        <v>1398.9914479268402</v>
      </c>
      <c r="FE42">
        <f>'TEA Revised Non EYZ'!DU42</f>
        <v>712.89608624945879</v>
      </c>
      <c r="FF42">
        <f>'TEA Revised Non EYZ'!DV42</f>
        <v>0.7</v>
      </c>
      <c r="FG42">
        <f>'TEA Revised Non EYZ'!DW42</f>
        <v>38528.386667103026</v>
      </c>
      <c r="FH42">
        <f>'TEA Revised Non EYZ'!DX42</f>
        <v>33220.879177835675</v>
      </c>
      <c r="FI42">
        <f>'TEA Revised Non EYZ'!DY42</f>
        <v>14065.291587390104</v>
      </c>
      <c r="FJ42">
        <f>'TEA Revised Non EYZ'!DZ42</f>
        <v>7450.7773575794354</v>
      </c>
      <c r="FK42">
        <f>'TEA Revised Non EYZ'!EA42</f>
        <v>7501.4888466080574</v>
      </c>
      <c r="FL42">
        <f>'TEA Revised Non EYZ'!EB42</f>
        <v>846.11002770615301</v>
      </c>
      <c r="FM42">
        <f>'TEA Revised Non EYZ'!EC42</f>
        <v>28286.660719414074</v>
      </c>
      <c r="FN42">
        <f>'TEA Revised Non EYZ'!ED42</f>
        <v>19398.062099470691</v>
      </c>
      <c r="FO42">
        <f>'TEA Revised Non EYZ'!EE42</f>
        <v>8212.8891953404127</v>
      </c>
      <c r="FP42">
        <f>'TEA Revised Non EYZ'!EF42</f>
        <v>4353.0165286796973</v>
      </c>
      <c r="FQ42">
        <f>'TEA Revised Non EYZ'!EG42</f>
        <v>4380.2075708482198</v>
      </c>
      <c r="FR42">
        <f>'TEA Revised Non EYZ'!EH42</f>
        <v>431.1595529636727</v>
      </c>
      <c r="FS42">
        <f>'TEA Revised Non EYZ'!EI42</f>
        <v>166674.92933093925</v>
      </c>
      <c r="FT42">
        <f>EG42*EH42</f>
        <v>2551.8483687250759</v>
      </c>
      <c r="FU42">
        <f>EG42*EI42</f>
        <v>4797.0002572036756</v>
      </c>
      <c r="FV42">
        <f>FC42*(FT42+FU42)/(3.6*10^6)*3600*7200*0.07</f>
        <v>1851.9098537340456</v>
      </c>
      <c r="FW42">
        <f>('CAPEX+OPEX'!$C$39/7/100+0.03)*EL42</f>
        <v>92091.168446807264</v>
      </c>
      <c r="FX42">
        <f>('CAPEX+OPEX'!$C$39/7/100+0.03)*EM42</f>
        <v>173114.26656052805</v>
      </c>
      <c r="FY42">
        <f>SUM(FV42:FX42)</f>
        <v>267057.34486106934</v>
      </c>
      <c r="FZ42">
        <f>FY42+FA42+FS42+EU42</f>
        <v>23667671.36024389</v>
      </c>
      <c r="GA42">
        <f>FZ42+EO42</f>
        <v>24615245.500328206</v>
      </c>
      <c r="GB42">
        <f>GA42/(BK42*60*7200)</f>
        <v>0.56979734954463435</v>
      </c>
      <c r="GC42">
        <f>'TEA Revised Non EYZ'!EM42/'TEA Revised Non EYZ'!EK42*GA42</f>
        <v>1915.7224851556171</v>
      </c>
      <c r="GD42">
        <f>'TEA Revised Non EYZ'!EN42/'TEA Revised Non EYZ'!EK42*GA42</f>
        <v>3466.2575501410051</v>
      </c>
    </row>
    <row r="43" spans="1:186">
      <c r="A43">
        <f>'TEA Revised Non EYZ'!A43</f>
        <v>7</v>
      </c>
      <c r="B43">
        <f>'TEA Revised Non EYZ'!B43</f>
        <v>1.54143585092054E-3</v>
      </c>
      <c r="C43">
        <f>'TEA Revised Non EYZ'!C43</f>
        <v>1.54143585092054E-3</v>
      </c>
      <c r="D43">
        <f>'TEA Revised Non EYZ'!D43</f>
        <v>3.4254130020456501E-4</v>
      </c>
      <c r="E43">
        <f>'TEA Revised Non EYZ'!E43</f>
        <v>0</v>
      </c>
      <c r="F43">
        <f>'TEA Revised Non EYZ'!F43</f>
        <v>0</v>
      </c>
      <c r="G43">
        <f>'TEA Revised Non EYZ'!G43</f>
        <v>0</v>
      </c>
      <c r="H43">
        <f>'TEA Revised Non EYZ'!H43</f>
        <v>1.7744466230058299E-5</v>
      </c>
      <c r="I43">
        <f>'TEA Revised Non EYZ'!I43</f>
        <v>1.2927742824924801E-8</v>
      </c>
      <c r="J43">
        <f>'TEA Revised Non EYZ'!J43</f>
        <v>3.3739048286900598E-4</v>
      </c>
      <c r="K43">
        <f>'TEA Revised Non EYZ'!K43</f>
        <v>0.13716795306346499</v>
      </c>
      <c r="L43">
        <f>'TEA Revised Non EYZ'!L43</f>
        <v>0.138764207307677</v>
      </c>
      <c r="M43">
        <f>'TEA Revised Non EYZ'!M43</f>
        <v>4.6369433969460899E-4</v>
      </c>
      <c r="N43">
        <f>'TEA Revised Non EYZ'!N43</f>
        <v>-1.1037178115902399E-16</v>
      </c>
      <c r="O43">
        <f>'TEA Revised Non EYZ'!O43</f>
        <v>-5.3700533603207003E-15</v>
      </c>
      <c r="P43">
        <f>'TEA Revised Non EYZ'!P43</f>
        <v>-3.4304834363799101E-19</v>
      </c>
      <c r="Q43">
        <f>'TEA Revised Non EYZ'!Q43</f>
        <v>0.111082169753281</v>
      </c>
      <c r="R43">
        <f>'TEA Revised Non EYZ'!R43</f>
        <v>98.496293050653193</v>
      </c>
      <c r="S43">
        <f>'TEA Revised Non EYZ'!S43</f>
        <v>500</v>
      </c>
      <c r="T43">
        <f>'TEA Revised Non EYZ'!T43</f>
        <v>95</v>
      </c>
      <c r="U43">
        <f>'TEA Revised Non EYZ'!U43</f>
        <v>1</v>
      </c>
      <c r="V43">
        <f>'TEA Revised Non EYZ'!V43</f>
        <v>0.1</v>
      </c>
      <c r="W43">
        <f>'TEA Revised Non EYZ'!W43</f>
        <v>90.023448607553206</v>
      </c>
      <c r="X43" t="str">
        <f>'TEA Revised Non EYZ'!X43</f>
        <v>ddFc</v>
      </c>
      <c r="Y43">
        <f>'TEA Revised Non EYZ'!Y43</f>
        <v>1</v>
      </c>
      <c r="Z43">
        <f>'TEA Revised Non EYZ'!Z43</f>
        <v>0.28318429382522198</v>
      </c>
      <c r="AA43">
        <f>'TEA Revised Non EYZ'!AA43</f>
        <v>0.56945642916197003</v>
      </c>
      <c r="AB43">
        <f>'TEA Revised Non EYZ'!AB43</f>
        <v>3.7698628972227502E-3</v>
      </c>
      <c r="AC43">
        <f>'TEA Revised Non EYZ'!AC43</f>
        <v>1822.2107908876901</v>
      </c>
      <c r="AD43">
        <f>'TEA Revised Non EYZ'!AD43</f>
        <v>2662.6059073104898</v>
      </c>
      <c r="AE43">
        <f>'TEA Revised Non EYZ'!AE43</f>
        <v>2401.5030938442701</v>
      </c>
      <c r="AF43">
        <f>'TEA Revised Non EYZ'!AF43</f>
        <v>5</v>
      </c>
      <c r="AG43">
        <f>'TEA Revised Non EYZ'!AG43</f>
        <v>1.64967327652189E-3</v>
      </c>
      <c r="AH43">
        <f>'TEA Revised Non EYZ'!AH43</f>
        <v>1.66887089455438E-3</v>
      </c>
      <c r="AI43">
        <f>'TEA Revised Non EYZ'!AI43</f>
        <v>5.5766973522943398E-6</v>
      </c>
      <c r="AJ43">
        <f>'TEA Revised Non EYZ'!AJ43</f>
        <v>0</v>
      </c>
      <c r="AK43">
        <f>'TEA Revised Non EYZ'!AK43</f>
        <v>0</v>
      </c>
      <c r="AL43">
        <f>'TEA Revised Non EYZ'!AL43</f>
        <v>0</v>
      </c>
      <c r="AM43">
        <f>'TEA Revised Non EYZ'!AM43</f>
        <v>1.6103462731678301E-3</v>
      </c>
      <c r="AN43">
        <f>'TEA Revised Non EYZ'!AN43</f>
        <v>7.9217310821158102E-5</v>
      </c>
      <c r="AO43">
        <f>'TEA Revised Non EYZ'!AO43</f>
        <v>5.5377562230767902E-6</v>
      </c>
      <c r="AP43">
        <f>'TEA Revised Non EYZ'!AP43</f>
        <v>1.8120934755895301E-3</v>
      </c>
      <c r="AQ43">
        <f>'TEA Revised Non EYZ'!AQ43</f>
        <v>7.3247403612026599E-2</v>
      </c>
      <c r="AR43">
        <f>'TEA Revised Non EYZ'!AR43</f>
        <v>1.7943133259324499E-6</v>
      </c>
      <c r="AS43">
        <f>'TEA Revised Non EYZ'!AS43</f>
        <v>-4.8687453808177097E-17</v>
      </c>
      <c r="AT43">
        <f>'TEA Revised Non EYZ'!AT43</f>
        <v>1.6631661325927601E-16</v>
      </c>
      <c r="AU43">
        <f>'TEA Revised Non EYZ'!AU43</f>
        <v>-3.9301005263619403E-20</v>
      </c>
      <c r="AV43">
        <f>'TEA Revised Non EYZ'!AV43</f>
        <v>0.200451509597636</v>
      </c>
      <c r="AW43">
        <f>'TEA Revised Non EYZ'!AW43</f>
        <v>99.301717006365394</v>
      </c>
      <c r="AX43">
        <f>'TEA Revised Non EYZ'!AX43</f>
        <v>500</v>
      </c>
      <c r="AY43">
        <f>'TEA Revised Non EYZ'!AY43</f>
        <v>95</v>
      </c>
      <c r="AZ43">
        <f>'TEA Revised Non EYZ'!AZ43</f>
        <v>0.92363221637625403</v>
      </c>
      <c r="BA43">
        <f>'TEA Revised Non EYZ'!BA43</f>
        <v>0.1</v>
      </c>
      <c r="BB43">
        <f>'TEA Revised Non EYZ'!BB43</f>
        <v>46.0775884517032</v>
      </c>
      <c r="BC43" t="str">
        <f>'TEA Revised Non EYZ'!BC43</f>
        <v>coeFc</v>
      </c>
      <c r="BD43">
        <f>'TEA Revised Non EYZ'!BD43</f>
        <v>1</v>
      </c>
      <c r="BE43">
        <f>'TEA Revised Non EYZ'!BE43</f>
        <v>1.8775014999999999E-2</v>
      </c>
      <c r="BF43">
        <f>'TEA Revised Non EYZ'!BF43</f>
        <v>0.10492961100000001</v>
      </c>
      <c r="BG43">
        <f>'TEA Revised Non EYZ'!BG43</f>
        <v>1.814625E-3</v>
      </c>
      <c r="BH43">
        <f>'TEA Revised Non EYZ'!BH43</f>
        <v>285.1951444</v>
      </c>
      <c r="BI43">
        <f>'TEA Revised Non EYZ'!BI43</f>
        <v>2169.8944889999998</v>
      </c>
      <c r="BJ43">
        <f>'TEA Revised Non EYZ'!BJ43</f>
        <v>866.49409060000005</v>
      </c>
      <c r="BK43">
        <f>'TEA Revised Non EYZ'!BK43</f>
        <v>100</v>
      </c>
      <c r="BL43">
        <f>'TEA Revised Non EYZ'!BL43</f>
        <v>11.1082169753281</v>
      </c>
      <c r="BM43">
        <f>'TEA Revised Non EYZ'!BM43</f>
        <v>92.363221637625401</v>
      </c>
      <c r="BN43">
        <f>'TEA Revised Non EYZ'!BN43</f>
        <v>20.0451509597636</v>
      </c>
      <c r="BO43">
        <f>'TEA Revised Non EYZ'!BO43</f>
        <v>199.94790555590581</v>
      </c>
      <c r="BP43">
        <f>'TEA Revised Non EYZ'!BP43</f>
        <v>280.63211343669042</v>
      </c>
      <c r="BQ43">
        <f>'TEA Revised Non EYZ'!BQ43</f>
        <v>19.994790555590583</v>
      </c>
      <c r="BR43">
        <f>'TEA Revised Non EYZ'!BR43</f>
        <v>28.063211343669042</v>
      </c>
      <c r="BS43">
        <f>'eLLE Bals'!CF43</f>
        <v>6.6649301851968596</v>
      </c>
      <c r="BT43">
        <f>'eLLE Bals'!CG43</f>
        <v>12.027090575858159</v>
      </c>
      <c r="BU43">
        <f>BM43</f>
        <v>92.363221637625401</v>
      </c>
      <c r="BV43">
        <f>BU43*(AM43*2+AN43*2+AO43*3)</f>
        <v>0.31364152657389283</v>
      </c>
      <c r="BW43">
        <f>BN43*BA43*(AP43*2+AQ43*2+AR43*3)</f>
        <v>0.30092658020148655</v>
      </c>
      <c r="BX43">
        <f>BV43/(2*V43*BL43+BV43)</f>
        <v>0.12371056361234056</v>
      </c>
      <c r="BY43">
        <f>BU43*BX43</f>
        <v>11.426306205842167</v>
      </c>
      <c r="BZ43">
        <f>BW43/(2*BN43*BA43+BW43)</f>
        <v>6.9821252534529976E-2</v>
      </c>
      <c r="CA43">
        <f>2*BN43*BA43/0.04</f>
        <v>100.22575479881802</v>
      </c>
      <c r="CB43">
        <f>(BS43+BL43)*2</f>
        <v>35.54629432104992</v>
      </c>
      <c r="CC43">
        <f>(BU43+BL43)*2</f>
        <v>206.94287722590701</v>
      </c>
      <c r="CD43">
        <f>(BT43+BN43)*2</f>
        <v>64.144483071243513</v>
      </c>
      <c r="CE43">
        <f>(CA43+BN43)*2</f>
        <v>240.54181151716324</v>
      </c>
      <c r="CF43">
        <f>'TEA Revised Non EYZ'!CB43</f>
        <v>2639.3123533379567</v>
      </c>
      <c r="CG43">
        <f>'TEA Revised Non EYZ'!CC43</f>
        <v>3704.3438973643133</v>
      </c>
      <c r="CH43">
        <f>'TEA Revised Non EYZ'!CD43</f>
        <v>3188.7782491883527</v>
      </c>
      <c r="CI43">
        <f>'TEA Revised Non EYZ'!CE43</f>
        <v>28571.933716163727</v>
      </c>
      <c r="CJ43">
        <f>BL43*V43</f>
        <v>1.11082169753281</v>
      </c>
      <c r="CK43">
        <f>CJ43/2*1.2</f>
        <v>0.66649301851968601</v>
      </c>
      <c r="CL43">
        <f>'eLLE Bals'!CB43*'Oxidant Feed Composition'!$N$20</f>
        <v>3.7027389917760348E-2</v>
      </c>
      <c r="CM43">
        <f>'eLLE Bals'!CB43*'Oxidant Feed Composition'!$N$21</f>
        <v>1.8513694958880169</v>
      </c>
      <c r="CN43">
        <f>'eLLE Bals'!CB43*'Oxidant Feed Composition'!$N$22</f>
        <v>0.55541084876640501</v>
      </c>
      <c r="CO43">
        <f>CN43/CK43</f>
        <v>0.83333333333333337</v>
      </c>
      <c r="CP43">
        <f>CO43</f>
        <v>0.83333333333333337</v>
      </c>
      <c r="CQ43">
        <f>CL43/CO43</f>
        <v>4.4432867901312414E-2</v>
      </c>
      <c r="CR43">
        <f>CM43/CO43</f>
        <v>2.22164339506562</v>
      </c>
      <c r="CS43">
        <f>BN43*BA43</f>
        <v>2.0045150959763602</v>
      </c>
      <c r="CT43">
        <f>CS43/2*1.2</f>
        <v>1.2027090575858161</v>
      </c>
      <c r="CU43">
        <f>'eLLE Bals'!CC43*'Oxidant Feed Composition'!$N$20</f>
        <v>6.6817169865878698E-2</v>
      </c>
      <c r="CV43">
        <f>'eLLE Bals'!CC43*'Oxidant Feed Composition'!$N$21</f>
        <v>3.3408584932939336</v>
      </c>
      <c r="CW43">
        <f>'eLLE Bals'!CC43*'Oxidant Feed Composition'!$N$22</f>
        <v>1.0022575479881801</v>
      </c>
      <c r="CX43">
        <f>CU43/CP43</f>
        <v>8.018060383905444E-2</v>
      </c>
      <c r="CY43">
        <f>CV43/CP43</f>
        <v>4.0090301919527205</v>
      </c>
      <c r="CZ43">
        <f>CJ43</f>
        <v>1.11082169753281</v>
      </c>
      <c r="DA43">
        <f>'eLLE Bals'!BQ43</f>
        <v>2.22164339506562</v>
      </c>
      <c r="DB43">
        <f>'eLLE Bals'!BU43</f>
        <v>5.6467333290792912</v>
      </c>
      <c r="DC43">
        <f>CS43</f>
        <v>2.0045150959763602</v>
      </c>
      <c r="DD43">
        <f>'eLLE Bals'!BX43</f>
        <v>4.0090301919527205</v>
      </c>
      <c r="DE43">
        <f>'eLLE Bals'!CA43</f>
        <v>22.695694710093456</v>
      </c>
      <c r="DF43">
        <f>2*2*(CJ43*'Reagent cost'!$C$36*122.44/1000*1.5+CK43*'Oxidant Feed Composition'!$N$26+CQ43*'Reagent cost'!$C$34+CR43*'Reagent cost'!$C$35)</f>
        <v>113.03847925623893</v>
      </c>
      <c r="DG43">
        <f>2*2*(CS43*'Reagent cost'!$C$36*122.44/1000*1.5+CT43*'Oxidant Feed Composition'!$N$26+CX43*'Reagent cost'!$C$34+CY43*'Reagent cost'!$C$35)</f>
        <v>203.98173586148275</v>
      </c>
      <c r="DH43">
        <f>(AF43+3)*2*(CZ43*'Reagent cost'!$C$38+DA43*'Reagent cost'!$C$39+DB43*'Reagent cost'!$C$36*122.44/1000*1.5)</f>
        <v>1251.0429996852622</v>
      </c>
      <c r="DI43">
        <f>3*2*(DC43*'Reagent cost'!$C$38+DD43*'Reagent cost'!$C$39+DE43*'Reagent cost'!$C$36*122.44/1000*1.5)</f>
        <v>1819.8010661682968</v>
      </c>
      <c r="DJ43">
        <f>7963.6*(CB43/1000)^0.6*1.7*('CAPEX+OPEX'!$G$116/'CAPEX+OPEX'!$G$115)</f>
        <v>2156.3414312027717</v>
      </c>
      <c r="DK43">
        <f>7963.6*(CC43/1000)^0.6*1.7*('CAPEX+OPEX'!$G$116/'CAPEX+OPEX'!$G$115)</f>
        <v>6205.1347590783025</v>
      </c>
      <c r="DL43">
        <f>7963.6*(CD43/1000)^0.6*1.7*('CAPEX+OPEX'!$G$116/'CAPEX+OPEX'!$G$115)</f>
        <v>3072.8157035530007</v>
      </c>
      <c r="DM43">
        <f>7963.6*(CE43/1000)^0.6*1.7*('CAPEX+OPEX'!$G$116/'CAPEX+OPEX'!$G$115)</f>
        <v>6791.3368853980364</v>
      </c>
      <c r="DN43">
        <f>'TEA Revised Non EYZ'!CM43</f>
        <v>39625.826528698344</v>
      </c>
      <c r="DO43">
        <f>'TEA Revised Non EYZ'!CN43</f>
        <v>4586243.4239371875</v>
      </c>
      <c r="DP43">
        <f>'TEA Revised Non EYZ'!CO43</f>
        <v>11794834.586807497</v>
      </c>
      <c r="DQ43">
        <f>'TEA Revised Non EYZ'!CP43</f>
        <v>2275209.1661185985</v>
      </c>
      <c r="DR43">
        <f>'TEA Revised Non EYZ'!CQ43</f>
        <v>14083914.336508472</v>
      </c>
      <c r="DS43">
        <f>'TEA Revised Non EYZ'!CR43</f>
        <v>1662824.8986326549</v>
      </c>
      <c r="DT43">
        <f>'TEA Revised Non EYZ'!CS43</f>
        <v>700033.84449786716</v>
      </c>
      <c r="DU43">
        <f>'TEA Revised Non EYZ'!CT43</f>
        <v>1800336.9288957189</v>
      </c>
      <c r="DV43">
        <f>'TEA Revised Non EYZ'!CU43</f>
        <v>347282.79168127343</v>
      </c>
      <c r="DW43">
        <f>'TEA Revised Non EYZ'!CV43</f>
        <v>2149736.8951473436</v>
      </c>
      <c r="DX43">
        <f>'TEA Revised Non EYZ'!CW43</f>
        <v>253809.83932102245</v>
      </c>
      <c r="DY43">
        <f>'TEA Revised Non EYZ'!CX43</f>
        <v>5251200.2995432261</v>
      </c>
      <c r="DZ43">
        <f>'TEA Revised Non EYZ'!CY43</f>
        <v>556307.77247071592</v>
      </c>
      <c r="EA43">
        <f>'TEA Revised Non EYZ'!CZ43</f>
        <v>1430704.293060503</v>
      </c>
      <c r="EB43">
        <f>'TEA Revised Non EYZ'!DA43</f>
        <v>275981.10830798495</v>
      </c>
      <c r="EC43">
        <f>'TEA Revised Non EYZ'!DB43</f>
        <v>1708367.8924057726</v>
      </c>
      <c r="ED43">
        <f>'TEA Revised Non EYZ'!DC43</f>
        <v>201699.37132840801</v>
      </c>
      <c r="EE43">
        <f>'TEA Revised Non EYZ'!DD43</f>
        <v>4173060.4375733845</v>
      </c>
      <c r="EF43">
        <v>0.7</v>
      </c>
      <c r="EG43">
        <v>100</v>
      </c>
      <c r="EH43">
        <f>96485*BL43*V43/EF43/EG43/60</f>
        <v>25.518483687250757</v>
      </c>
      <c r="EI43">
        <f>96485*BN43*BA43/EF43/EG43/60</f>
        <v>46.048961675066458</v>
      </c>
      <c r="EJ43">
        <f>EH43*('CAPEX+OPEX'!$O$25+'CAPEX+OPEX'!$O$26)</f>
        <v>813325.1120800561</v>
      </c>
      <c r="EK43">
        <f>EI43*('CAPEX+OPEX'!$O$25+'CAPEX+OPEX'!$O$26)</f>
        <v>1467672.5065077182</v>
      </c>
      <c r="EL43">
        <f>EJ43*1.12/0.6*'CAPEX+OPEX'!$G$116/'CAPEX+OPEX'!$G$115</f>
        <v>1790661.6086879191</v>
      </c>
      <c r="EM43">
        <f>EK43*1.12/0.6*'CAPEX+OPEX'!$G$116/'CAPEX+OPEX'!$G$115</f>
        <v>3231309.070008717</v>
      </c>
      <c r="EN43">
        <f>EL43+EM43+DY43+EE43+1.15*(SUM(DF43:DM43)+SUM(CF43:CI43))</f>
        <v>14514906.956280943</v>
      </c>
      <c r="EO43">
        <f>EN43/15</f>
        <v>967660.46375206287</v>
      </c>
      <c r="EP43">
        <f>('eLLE Bals'!CB43+'eLLE Bals'!CC43)*'Oxidant Feed Composition'!$N$28*60*7200</f>
        <v>17318701.815927133</v>
      </c>
      <c r="EQ43" s="53">
        <f>('eLLE Bals'!BR43+'eLLE Bals'!BY43)*'Reagent cost'!$C$38*60*7200*1.5</f>
        <v>759208.13739431743</v>
      </c>
      <c r="ER43">
        <f>'TEA Revised Non EYZ'!DI43</f>
        <v>504921.59999999998</v>
      </c>
      <c r="ES43">
        <f>'TEA Revised Non EYZ'!DJ43</f>
        <v>63.4365625070227</v>
      </c>
      <c r="ET43">
        <f>'TEA Revised Non EYZ'!DK43</f>
        <v>635.21423930704157</v>
      </c>
      <c r="EU43">
        <f>1.2*SUM(EP43:ET43)</f>
        <v>22300236.244947918</v>
      </c>
      <c r="EV43">
        <f>'TEA Revised Non EYZ'!DM43</f>
        <v>0.70639694042110623</v>
      </c>
      <c r="EW43">
        <f>(BS43*CO43+BT43*CP43)/1000*('Oxidant Feed Composition'!$B$11*'Oxidant Feed Composition'!$O$20+'Oxidant Feed Composition'!$D$11*'Oxidant Feed Composition'!$O$21+'Oxidant Feed Composition'!$F$11*'Oxidant Feed Composition'!$O$27-'Oxidant Feed Composition'!$J$15*18.015)</f>
        <v>1.8191158718752167</v>
      </c>
      <c r="EX43">
        <f>(CZ43*BX43+DC43*BZ43)*368.34/1000</f>
        <v>0.10216946150923616</v>
      </c>
      <c r="EY43">
        <f>'TEA Revised Non EYZ'!DP43</f>
        <v>4.999938342565946E-2</v>
      </c>
      <c r="EZ43">
        <f>SUM(EV43:EX43)-EY43</f>
        <v>2.5776828903798998</v>
      </c>
      <c r="FA43">
        <f>EZ43*0.33*60*7200</f>
        <v>367474.47285255854</v>
      </c>
      <c r="FB43">
        <f>'TEA Revised Non EYZ'!DS43</f>
        <v>1.2</v>
      </c>
      <c r="FC43">
        <v>0.5</v>
      </c>
      <c r="FD43">
        <f>'TEA Revised Non EYZ'!DT43</f>
        <v>1403.8913606805047</v>
      </c>
      <c r="FE43">
        <f>'TEA Revised Non EYZ'!DU43</f>
        <v>707.99617342896511</v>
      </c>
      <c r="FF43">
        <f>'TEA Revised Non EYZ'!DV43</f>
        <v>0.7</v>
      </c>
      <c r="FG43">
        <f>'TEA Revised Non EYZ'!DW43</f>
        <v>38528.386667103026</v>
      </c>
      <c r="FH43">
        <f>'TEA Revised Non EYZ'!DX43</f>
        <v>33220.879177835675</v>
      </c>
      <c r="FI43">
        <f>'TEA Revised Non EYZ'!DY43</f>
        <v>14065.291587390104</v>
      </c>
      <c r="FJ43">
        <f>'TEA Revised Non EYZ'!DZ43</f>
        <v>7450.7773575794354</v>
      </c>
      <c r="FK43">
        <f>'TEA Revised Non EYZ'!EA43</f>
        <v>7501.4888466080574</v>
      </c>
      <c r="FL43">
        <f>'TEA Revised Non EYZ'!EB43</f>
        <v>849.07349493956929</v>
      </c>
      <c r="FM43">
        <f>'TEA Revised Non EYZ'!EC43</f>
        <v>30858.175330269896</v>
      </c>
      <c r="FN43">
        <f>'TEA Revised Non EYZ'!ED43</f>
        <v>23277.674519364831</v>
      </c>
      <c r="FO43">
        <f>'TEA Revised Non EYZ'!EE43</f>
        <v>9855.4670344084952</v>
      </c>
      <c r="FP43">
        <f>'TEA Revised Non EYZ'!EF43</f>
        <v>5223.6198344156373</v>
      </c>
      <c r="FQ43">
        <f>'TEA Revised Non EYZ'!EG43</f>
        <v>5256.2490850178647</v>
      </c>
      <c r="FR43">
        <f>'TEA Revised Non EYZ'!EH43</f>
        <v>428.19608568983807</v>
      </c>
      <c r="FS43">
        <f>'TEA Revised Non EYZ'!EI43</f>
        <v>176515.27902062246</v>
      </c>
      <c r="FT43">
        <f>EG43*EH43</f>
        <v>2551.8483687250759</v>
      </c>
      <c r="FU43">
        <f>EG43*EI43</f>
        <v>4604.8961675066457</v>
      </c>
      <c r="FV43">
        <f>FC43*(FT43+FU43)/(3.6*10^6)*3600*7200*0.07</f>
        <v>1803.4996231303937</v>
      </c>
      <c r="FW43">
        <f>('CAPEX+OPEX'!$C$39/7/100+0.03)*EL43</f>
        <v>92091.168446807264</v>
      </c>
      <c r="FX43">
        <f>('CAPEX+OPEX'!$C$39/7/100+0.03)*EM43</f>
        <v>166181.60931473403</v>
      </c>
      <c r="FY43">
        <f>SUM(FV43:FX43)</f>
        <v>260076.27738467167</v>
      </c>
      <c r="FZ43">
        <f>FY43+FA43+FS43+EU43</f>
        <v>23104302.27420577</v>
      </c>
      <c r="GA43">
        <f>FZ43+EO43</f>
        <v>24071962.737957831</v>
      </c>
      <c r="GB43">
        <f>GA43/(BK43*60*7200)</f>
        <v>0.55722135967494979</v>
      </c>
      <c r="GC43">
        <f>'TEA Revised Non EYZ'!EM43/'TEA Revised Non EYZ'!EK43*GA43</f>
        <v>1866.8976030497636</v>
      </c>
      <c r="GD43">
        <f>'TEA Revised Non EYZ'!EN43/'TEA Revised Non EYZ'!EK43*GA43</f>
        <v>3411.3867558220045</v>
      </c>
    </row>
    <row r="44" spans="1:186">
      <c r="A44">
        <f>'TEA Revised Non EYZ'!A44</f>
        <v>7</v>
      </c>
      <c r="B44">
        <f>'TEA Revised Non EYZ'!B44</f>
        <v>1.54143585092054E-3</v>
      </c>
      <c r="C44">
        <f>'TEA Revised Non EYZ'!C44</f>
        <v>1.54143585092054E-3</v>
      </c>
      <c r="D44">
        <f>'TEA Revised Non EYZ'!D44</f>
        <v>3.4254130020456501E-4</v>
      </c>
      <c r="E44">
        <f>'TEA Revised Non EYZ'!E44</f>
        <v>0</v>
      </c>
      <c r="F44">
        <f>'TEA Revised Non EYZ'!F44</f>
        <v>0</v>
      </c>
      <c r="G44">
        <f>'TEA Revised Non EYZ'!G44</f>
        <v>0</v>
      </c>
      <c r="H44">
        <f>'TEA Revised Non EYZ'!H44</f>
        <v>1.7744466230058299E-5</v>
      </c>
      <c r="I44">
        <f>'TEA Revised Non EYZ'!I44</f>
        <v>1.2927742824924801E-8</v>
      </c>
      <c r="J44">
        <f>'TEA Revised Non EYZ'!J44</f>
        <v>3.3739048286900598E-4</v>
      </c>
      <c r="K44">
        <f>'TEA Revised Non EYZ'!K44</f>
        <v>0.13716795306346499</v>
      </c>
      <c r="L44">
        <f>'TEA Revised Non EYZ'!L44</f>
        <v>0.138764207307677</v>
      </c>
      <c r="M44">
        <f>'TEA Revised Non EYZ'!M44</f>
        <v>4.6369433969460899E-4</v>
      </c>
      <c r="N44">
        <f>'TEA Revised Non EYZ'!N44</f>
        <v>-1.1037178115902399E-16</v>
      </c>
      <c r="O44">
        <f>'TEA Revised Non EYZ'!O44</f>
        <v>-5.3700533603207003E-15</v>
      </c>
      <c r="P44">
        <f>'TEA Revised Non EYZ'!P44</f>
        <v>-3.4304834363799101E-19</v>
      </c>
      <c r="Q44">
        <f>'TEA Revised Non EYZ'!Q44</f>
        <v>0.111082169753281</v>
      </c>
      <c r="R44">
        <f>'TEA Revised Non EYZ'!R44</f>
        <v>98.496293050653193</v>
      </c>
      <c r="S44">
        <f>'TEA Revised Non EYZ'!S44</f>
        <v>500</v>
      </c>
      <c r="T44">
        <f>'TEA Revised Non EYZ'!T44</f>
        <v>95</v>
      </c>
      <c r="U44">
        <f>'TEA Revised Non EYZ'!U44</f>
        <v>1</v>
      </c>
      <c r="V44">
        <f>'TEA Revised Non EYZ'!V44</f>
        <v>0.1</v>
      </c>
      <c r="W44">
        <f>'TEA Revised Non EYZ'!W44</f>
        <v>90.023448607553206</v>
      </c>
      <c r="X44" t="str">
        <f>'TEA Revised Non EYZ'!X44</f>
        <v>ddFc</v>
      </c>
      <c r="Y44">
        <f>'TEA Revised Non EYZ'!Y44</f>
        <v>1</v>
      </c>
      <c r="Z44">
        <f>'TEA Revised Non EYZ'!Z44</f>
        <v>0.28318429382522198</v>
      </c>
      <c r="AA44">
        <f>'TEA Revised Non EYZ'!AA44</f>
        <v>0.56945642916197003</v>
      </c>
      <c r="AB44">
        <f>'TEA Revised Non EYZ'!AB44</f>
        <v>3.7698628972227502E-3</v>
      </c>
      <c r="AC44">
        <f>'TEA Revised Non EYZ'!AC44</f>
        <v>1822.2107908876901</v>
      </c>
      <c r="AD44">
        <f>'TEA Revised Non EYZ'!AD44</f>
        <v>2662.6059073104898</v>
      </c>
      <c r="AE44">
        <f>'TEA Revised Non EYZ'!AE44</f>
        <v>2401.5030938442701</v>
      </c>
      <c r="AF44">
        <f>'TEA Revised Non EYZ'!AF44</f>
        <v>6</v>
      </c>
      <c r="AG44">
        <f>'TEA Revised Non EYZ'!AG44</f>
        <v>1.64967327652189E-3</v>
      </c>
      <c r="AH44">
        <f>'TEA Revised Non EYZ'!AH44</f>
        <v>1.66887089455438E-3</v>
      </c>
      <c r="AI44">
        <f>'TEA Revised Non EYZ'!AI44</f>
        <v>5.5766973522943398E-6</v>
      </c>
      <c r="AJ44">
        <f>'TEA Revised Non EYZ'!AJ44</f>
        <v>0</v>
      </c>
      <c r="AK44">
        <f>'TEA Revised Non EYZ'!AK44</f>
        <v>0</v>
      </c>
      <c r="AL44">
        <f>'TEA Revised Non EYZ'!AL44</f>
        <v>0</v>
      </c>
      <c r="AM44">
        <f>'TEA Revised Non EYZ'!AM44</f>
        <v>1.6120355192372701E-3</v>
      </c>
      <c r="AN44">
        <f>'TEA Revised Non EYZ'!AN44</f>
        <v>7.9304611498975396E-5</v>
      </c>
      <c r="AO44">
        <f>'TEA Revised Non EYZ'!AO44</f>
        <v>5.5393634244761098E-6</v>
      </c>
      <c r="AP44">
        <f>'TEA Revised Non EYZ'!AP44</f>
        <v>1.7562637605677701E-3</v>
      </c>
      <c r="AQ44">
        <f>'TEA Revised Non EYZ'!AQ44</f>
        <v>7.4172795069579203E-2</v>
      </c>
      <c r="AR44">
        <f>'TEA Revised Non EYZ'!AR44</f>
        <v>1.7420863833882601E-6</v>
      </c>
      <c r="AS44">
        <f>'TEA Revised Non EYZ'!AS44</f>
        <v>-2.1751806085490402E-18</v>
      </c>
      <c r="AT44">
        <f>'TEA Revised Non EYZ'!AT44</f>
        <v>-1.83013326715553E-16</v>
      </c>
      <c r="AU44">
        <f>'TEA Revised Non EYZ'!AU44</f>
        <v>-3.08372932359768E-21</v>
      </c>
      <c r="AV44">
        <f>'TEA Revised Non EYZ'!AV44</f>
        <v>0.197939773972164</v>
      </c>
      <c r="AW44">
        <f>'TEA Revised Non EYZ'!AW44</f>
        <v>99.330536956557793</v>
      </c>
      <c r="AX44">
        <f>'TEA Revised Non EYZ'!AX44</f>
        <v>500</v>
      </c>
      <c r="AY44">
        <f>'TEA Revised Non EYZ'!AY44</f>
        <v>95</v>
      </c>
      <c r="AZ44">
        <f>'TEA Revised Non EYZ'!AZ44</f>
        <v>0.92363221637625403</v>
      </c>
      <c r="BA44">
        <f>'TEA Revised Non EYZ'!BA44</f>
        <v>0.1</v>
      </c>
      <c r="BB44">
        <f>'TEA Revised Non EYZ'!BB44</f>
        <v>46.6622850901175</v>
      </c>
      <c r="BC44" t="str">
        <f>'TEA Revised Non EYZ'!BC44</f>
        <v>coeFc</v>
      </c>
      <c r="BD44">
        <f>'TEA Revised Non EYZ'!BD44</f>
        <v>1</v>
      </c>
      <c r="BE44">
        <f>'TEA Revised Non EYZ'!BE44</f>
        <v>1.8775014999999999E-2</v>
      </c>
      <c r="BF44">
        <f>'TEA Revised Non EYZ'!BF44</f>
        <v>0.10492961100000001</v>
      </c>
      <c r="BG44">
        <f>'TEA Revised Non EYZ'!BG44</f>
        <v>1.814625E-3</v>
      </c>
      <c r="BH44">
        <f>'TEA Revised Non EYZ'!BH44</f>
        <v>285.1951444</v>
      </c>
      <c r="BI44">
        <f>'TEA Revised Non EYZ'!BI44</f>
        <v>2169.8944889999998</v>
      </c>
      <c r="BJ44">
        <f>'TEA Revised Non EYZ'!BJ44</f>
        <v>866.49409060000005</v>
      </c>
      <c r="BK44">
        <f>'TEA Revised Non EYZ'!BK44</f>
        <v>100</v>
      </c>
      <c r="BL44">
        <f>'TEA Revised Non EYZ'!BL44</f>
        <v>11.1082169753281</v>
      </c>
      <c r="BM44">
        <f>'TEA Revised Non EYZ'!BM44</f>
        <v>92.363221637625401</v>
      </c>
      <c r="BN44">
        <f>'TEA Revised Non EYZ'!BN44</f>
        <v>19.793977397216402</v>
      </c>
      <c r="BO44">
        <f>'TEA Revised Non EYZ'!BO44</f>
        <v>199.94790555590581</v>
      </c>
      <c r="BP44">
        <f>'TEA Revised Non EYZ'!BP44</f>
        <v>316.70363835546243</v>
      </c>
      <c r="BQ44">
        <f>'TEA Revised Non EYZ'!BQ44</f>
        <v>19.994790555590583</v>
      </c>
      <c r="BR44">
        <f>'TEA Revised Non EYZ'!BR44</f>
        <v>31.670363835546244</v>
      </c>
      <c r="BS44">
        <f>'eLLE Bals'!CF44</f>
        <v>6.6649301851968596</v>
      </c>
      <c r="BT44">
        <f>'eLLE Bals'!CG44</f>
        <v>11.87638643832984</v>
      </c>
      <c r="BU44">
        <f>BM44</f>
        <v>92.363221637625401</v>
      </c>
      <c r="BV44">
        <f>BU44*(AM44*2+AN44*2+AO44*3)</f>
        <v>0.31397014707472309</v>
      </c>
      <c r="BW44">
        <f>BN44*BA44*(AP44*2+AQ44*2+AR44*3)</f>
        <v>0.30059795970071779</v>
      </c>
      <c r="BX44">
        <f>BV44/(2*V44*BL44+BV44)</f>
        <v>0.12382413244634156</v>
      </c>
      <c r="BY44">
        <f>BU44*BX44</f>
        <v>11.436795789228128</v>
      </c>
      <c r="BZ44">
        <f>BW44/(2*BN44*BA44+BW44)</f>
        <v>7.0572949880189584E-2</v>
      </c>
      <c r="CA44">
        <f>2*BN44*BA44/0.04</f>
        <v>98.969886986082017</v>
      </c>
      <c r="CB44">
        <f>(BS44+BL44)*2</f>
        <v>35.54629432104992</v>
      </c>
      <c r="CC44">
        <f>(BU44+BL44)*2</f>
        <v>206.94287722590701</v>
      </c>
      <c r="CD44">
        <f>(BT44+BN44)*2</f>
        <v>63.34072767109248</v>
      </c>
      <c r="CE44">
        <f>(CA44+BN44)*2</f>
        <v>237.52772876659685</v>
      </c>
      <c r="CF44">
        <f>'TEA Revised Non EYZ'!CB44</f>
        <v>2639.3123533379567</v>
      </c>
      <c r="CG44">
        <f>'TEA Revised Non EYZ'!CC44</f>
        <v>4180.4880262921042</v>
      </c>
      <c r="CH44">
        <f>'TEA Revised Non EYZ'!CD44</f>
        <v>3188.7782491883527</v>
      </c>
      <c r="CI44">
        <f>'TEA Revised Non EYZ'!CE44</f>
        <v>32244.475701465093</v>
      </c>
      <c r="CJ44">
        <f>BL44*V44</f>
        <v>1.11082169753281</v>
      </c>
      <c r="CK44">
        <f>CJ44/2*1.2</f>
        <v>0.66649301851968601</v>
      </c>
      <c r="CL44">
        <f>'eLLE Bals'!CB44*'Oxidant Feed Composition'!$N$20</f>
        <v>3.7027389917760348E-2</v>
      </c>
      <c r="CM44">
        <f>'eLLE Bals'!CB44*'Oxidant Feed Composition'!$N$21</f>
        <v>1.8513694958880169</v>
      </c>
      <c r="CN44">
        <f>'eLLE Bals'!CB44*'Oxidant Feed Composition'!$N$22</f>
        <v>0.55541084876640501</v>
      </c>
      <c r="CO44">
        <f>CN44/CK44</f>
        <v>0.83333333333333337</v>
      </c>
      <c r="CP44">
        <f>CO44</f>
        <v>0.83333333333333337</v>
      </c>
      <c r="CQ44">
        <f>CL44/CO44</f>
        <v>4.4432867901312414E-2</v>
      </c>
      <c r="CR44">
        <f>CM44/CO44</f>
        <v>2.22164339506562</v>
      </c>
      <c r="CS44">
        <f>BN44*BA44</f>
        <v>1.9793977397216402</v>
      </c>
      <c r="CT44">
        <f>CS44/2*1.2</f>
        <v>1.187638643832984</v>
      </c>
      <c r="CU44">
        <f>'eLLE Bals'!CC44*'Oxidant Feed Composition'!$N$20</f>
        <v>6.5979924657388042E-2</v>
      </c>
      <c r="CV44">
        <f>'eLLE Bals'!CC44*'Oxidant Feed Composition'!$N$21</f>
        <v>3.2989962328694005</v>
      </c>
      <c r="CW44">
        <f>'eLLE Bals'!CC44*'Oxidant Feed Composition'!$N$22</f>
        <v>0.98969886986082012</v>
      </c>
      <c r="CX44">
        <f>CU44/CP44</f>
        <v>7.9175909588865653E-2</v>
      </c>
      <c r="CY44">
        <f>CV44/CP44</f>
        <v>3.9587954794432805</v>
      </c>
      <c r="CZ44">
        <f>CJ44</f>
        <v>1.11082169753281</v>
      </c>
      <c r="DA44">
        <f>'eLLE Bals'!BQ44</f>
        <v>2.22164339506562</v>
      </c>
      <c r="DB44">
        <f>'eLLE Bals'!BU44</f>
        <v>5.6384978011994429</v>
      </c>
      <c r="DC44">
        <f>CS44</f>
        <v>1.9793977397216402</v>
      </c>
      <c r="DD44">
        <f>'eLLE Bals'!BX44</f>
        <v>3.9587954794432805</v>
      </c>
      <c r="DE44">
        <f>'eLLE Bals'!CA44</f>
        <v>22.109348269210262</v>
      </c>
      <c r="DF44">
        <f>2*2*(CJ44*'Reagent cost'!$C$36*122.44/1000*1.5+CK44*'Oxidant Feed Composition'!$N$26+CQ44*'Reagent cost'!$C$34+CR44*'Reagent cost'!$C$35)</f>
        <v>113.03847925623893</v>
      </c>
      <c r="DG44">
        <f>2*2*(CS44*'Reagent cost'!$C$36*122.44/1000*1.5+CT44*'Oxidant Feed Composition'!$N$26+CX44*'Reagent cost'!$C$34+CY44*'Reagent cost'!$C$35)</f>
        <v>201.42576512353551</v>
      </c>
      <c r="DH44">
        <f>(AF44+3)*2*(CZ44*'Reagent cost'!$C$38+DA44*'Reagent cost'!$C$39+DB44*'Reagent cost'!$C$36*122.44/1000*1.5)</f>
        <v>1405.5006980489175</v>
      </c>
      <c r="DI44">
        <f>3*2*(DC44*'Reagent cost'!$C$38+DD44*'Reagent cost'!$C$39+DE44*'Reagent cost'!$C$36*122.44/1000*1.5)</f>
        <v>1773.4995548820293</v>
      </c>
      <c r="DJ44">
        <f>7963.6*(CB44/1000)^0.6*1.7*('CAPEX+OPEX'!$G$116/'CAPEX+OPEX'!$G$115)</f>
        <v>2156.3414312027717</v>
      </c>
      <c r="DK44">
        <f>7963.6*(CC44/1000)^0.6*1.7*('CAPEX+OPEX'!$G$116/'CAPEX+OPEX'!$G$115)</f>
        <v>6205.1347590783025</v>
      </c>
      <c r="DL44">
        <f>7963.6*(CD44/1000)^0.6*1.7*('CAPEX+OPEX'!$G$116/'CAPEX+OPEX'!$G$115)</f>
        <v>3049.6553188421171</v>
      </c>
      <c r="DM44">
        <f>7963.6*(CE44/1000)^0.6*1.7*('CAPEX+OPEX'!$G$116/'CAPEX+OPEX'!$G$115)</f>
        <v>6740.1493134310076</v>
      </c>
      <c r="DN44">
        <f>'TEA Revised Non EYZ'!CM44</f>
        <v>39625.826528698344</v>
      </c>
      <c r="DO44">
        <f>'TEA Revised Non EYZ'!CN44</f>
        <v>4586243.4239371875</v>
      </c>
      <c r="DP44">
        <f>'TEA Revised Non EYZ'!CO44</f>
        <v>11794834.586807497</v>
      </c>
      <c r="DQ44">
        <f>'TEA Revised Non EYZ'!CP44</f>
        <v>2275209.1661185985</v>
      </c>
      <c r="DR44">
        <f>'TEA Revised Non EYZ'!CQ44</f>
        <v>14083914.336508472</v>
      </c>
      <c r="DS44">
        <f>'TEA Revised Non EYZ'!CR44</f>
        <v>1662824.8986326549</v>
      </c>
      <c r="DT44">
        <f>'TEA Revised Non EYZ'!CS44</f>
        <v>700033.84449786716</v>
      </c>
      <c r="DU44">
        <f>'TEA Revised Non EYZ'!CT44</f>
        <v>1800336.9288957189</v>
      </c>
      <c r="DV44">
        <f>'TEA Revised Non EYZ'!CU44</f>
        <v>347282.79168127343</v>
      </c>
      <c r="DW44">
        <f>'TEA Revised Non EYZ'!CV44</f>
        <v>2149736.8951473436</v>
      </c>
      <c r="DX44">
        <f>'TEA Revised Non EYZ'!CW44</f>
        <v>253809.83932102245</v>
      </c>
      <c r="DY44">
        <f>'TEA Revised Non EYZ'!CX44</f>
        <v>5251200.2995432261</v>
      </c>
      <c r="DZ44">
        <f>'TEA Revised Non EYZ'!CY44</f>
        <v>610215.4530973233</v>
      </c>
      <c r="EA44">
        <f>'TEA Revised Non EYZ'!CZ44</f>
        <v>1569343.2873691465</v>
      </c>
      <c r="EB44">
        <f>'TEA Revised Non EYZ'!DA44</f>
        <v>302724.40074765182</v>
      </c>
      <c r="EC44">
        <f>'TEA Revised Non EYZ'!DB44</f>
        <v>1873913.2169435648</v>
      </c>
      <c r="ED44">
        <f>'TEA Revised Non EYZ'!DC44</f>
        <v>221244.56884356888</v>
      </c>
      <c r="EE44">
        <f>'TEA Revised Non EYZ'!DD44</f>
        <v>4577440.9270012556</v>
      </c>
      <c r="EF44">
        <v>0.7</v>
      </c>
      <c r="EG44">
        <v>100</v>
      </c>
      <c r="EH44">
        <f>96485*BL44*V44/EF44/EG44/60</f>
        <v>25.518483687250757</v>
      </c>
      <c r="EI44">
        <f>96485*BN44*BA44/EF44/EG44/60</f>
        <v>45.471950218343444</v>
      </c>
      <c r="EJ44">
        <f>EH44*('CAPEX+OPEX'!$O$25+'CAPEX+OPEX'!$O$26)</f>
        <v>813325.1120800561</v>
      </c>
      <c r="EK44">
        <f>EI44*('CAPEX+OPEX'!$O$25+'CAPEX+OPEX'!$O$26)</f>
        <v>1449281.9973590423</v>
      </c>
      <c r="EL44">
        <f>EJ44*1.12/0.6*'CAPEX+OPEX'!$G$116/'CAPEX+OPEX'!$G$115</f>
        <v>1790661.6086879191</v>
      </c>
      <c r="EM44">
        <f>EK44*1.12/0.6*'CAPEX+OPEX'!$G$116/'CAPEX+OPEX'!$G$115</f>
        <v>3190819.5066008712</v>
      </c>
      <c r="EN44">
        <f>EL44+EM44+DY44+EE44+1.15*(SUM(DF44:DM44)+SUM(CF44:CI44))</f>
        <v>14883604.811430942</v>
      </c>
      <c r="EO44">
        <f>EN44/15</f>
        <v>992240.32076206279</v>
      </c>
      <c r="EP44">
        <f>('eLLE Bals'!CB44+'eLLE Bals'!CC44)*'Oxidant Feed Composition'!$N$28*60*7200</f>
        <v>17179070.041832522</v>
      </c>
      <c r="EQ44" s="53">
        <f>('eLLE Bals'!BR44+'eLLE Bals'!BY44)*'Reagent cost'!$C$38*60*7200*1.5</f>
        <v>758825.86889266118</v>
      </c>
      <c r="ER44">
        <f>'TEA Revised Non EYZ'!DI44</f>
        <v>504921.59999999998</v>
      </c>
      <c r="ES44">
        <f>'TEA Revised Non EYZ'!DJ44</f>
        <v>68.198003796300611</v>
      </c>
      <c r="ET44">
        <f>'TEA Revised Non EYZ'!DK44</f>
        <v>708.66507901306886</v>
      </c>
      <c r="EU44">
        <f>1.2*SUM(EP44:ET44)</f>
        <v>22132313.248569589</v>
      </c>
      <c r="EV44">
        <f>'TEA Revised Non EYZ'!DM44</f>
        <v>0.70639694042110623</v>
      </c>
      <c r="EW44">
        <f>(BS44*CO44+BT44*CP44)/1000*('Oxidant Feed Composition'!$B$11*'Oxidant Feed Composition'!$O$20+'Oxidant Feed Composition'!$D$11*'Oxidant Feed Composition'!$O$21+'Oxidant Feed Composition'!$F$11*'Oxidant Feed Composition'!$O$27-'Oxidant Feed Composition'!$J$15*18.015)</f>
        <v>1.8044492773940988</v>
      </c>
      <c r="EX44">
        <f>(CZ44*BX44+DC44*BZ44)*368.34/1000</f>
        <v>0.1021180182158328</v>
      </c>
      <c r="EY44">
        <f>'TEA Revised Non EYZ'!DP44</f>
        <v>4.999938342565946E-2</v>
      </c>
      <c r="EZ44">
        <f>SUM(EV44:EX44)-EY44</f>
        <v>2.5629648526053783</v>
      </c>
      <c r="FA44">
        <f>EZ44*0.33*60*7200</f>
        <v>365376.26938742277</v>
      </c>
      <c r="FB44">
        <f>'TEA Revised Non EYZ'!DS44</f>
        <v>1.2</v>
      </c>
      <c r="FC44">
        <v>0.5</v>
      </c>
      <c r="FD44">
        <f>'TEA Revised Non EYZ'!DT44</f>
        <v>1405.3631449818135</v>
      </c>
      <c r="FE44">
        <f>'TEA Revised Non EYZ'!DU44</f>
        <v>706.52438912777689</v>
      </c>
      <c r="FF44">
        <f>'TEA Revised Non EYZ'!DV44</f>
        <v>0.7</v>
      </c>
      <c r="FG44">
        <f>'TEA Revised Non EYZ'!DW44</f>
        <v>38528.386667103026</v>
      </c>
      <c r="FH44">
        <f>'TEA Revised Non EYZ'!DX44</f>
        <v>33220.879177835675</v>
      </c>
      <c r="FI44">
        <f>'TEA Revised Non EYZ'!DY44</f>
        <v>14065.291587390104</v>
      </c>
      <c r="FJ44">
        <f>'TEA Revised Non EYZ'!DZ44</f>
        <v>7450.7773575794354</v>
      </c>
      <c r="FK44">
        <f>'TEA Revised Non EYZ'!EA44</f>
        <v>7501.4888466080574</v>
      </c>
      <c r="FL44">
        <f>'TEA Revised Non EYZ'!EB44</f>
        <v>849.96363008500089</v>
      </c>
      <c r="FM44">
        <f>'TEA Revised Non EYZ'!EC44</f>
        <v>33429.689941125718</v>
      </c>
      <c r="FN44">
        <f>'TEA Revised Non EYZ'!ED44</f>
        <v>27157.286939258967</v>
      </c>
      <c r="FO44">
        <f>'TEA Revised Non EYZ'!EE44</f>
        <v>11498.044873476576</v>
      </c>
      <c r="FP44">
        <f>'TEA Revised Non EYZ'!EF44</f>
        <v>6094.2231401515764</v>
      </c>
      <c r="FQ44">
        <f>'TEA Revised Non EYZ'!EG44</f>
        <v>6132.2905991875077</v>
      </c>
      <c r="FR44">
        <f>'TEA Revised Non EYZ'!EH44</f>
        <v>427.30595054447951</v>
      </c>
      <c r="FS44">
        <f>'TEA Revised Non EYZ'!EI44</f>
        <v>186355.62871034618</v>
      </c>
      <c r="FT44">
        <f>EG44*EH44</f>
        <v>2551.8483687250759</v>
      </c>
      <c r="FU44">
        <f>EG44*EI44</f>
        <v>4547.1950218343445</v>
      </c>
      <c r="FV44">
        <f>FC44*(FT44+FU44)/(3.6*10^6)*3600*7200*0.07</f>
        <v>1788.9589344209737</v>
      </c>
      <c r="FW44">
        <f>('CAPEX+OPEX'!$C$39/7/100+0.03)*EL44</f>
        <v>92091.168446807264</v>
      </c>
      <c r="FX44">
        <f>('CAPEX+OPEX'!$C$39/7/100+0.03)*EM44</f>
        <v>164099.28891090196</v>
      </c>
      <c r="FY44">
        <f>SUM(FV44:FX44)</f>
        <v>257979.41629213019</v>
      </c>
      <c r="FZ44">
        <f>FY44+FA44+FS44+EU44</f>
        <v>22942024.562959488</v>
      </c>
      <c r="GA44">
        <f>FZ44+EO44</f>
        <v>23934264.883721553</v>
      </c>
      <c r="GB44">
        <f>GA44/(BK44*60*7200)</f>
        <v>0.55403390934540631</v>
      </c>
      <c r="GC44">
        <f>'TEA Revised Non EYZ'!EM44/'TEA Revised Non EYZ'!EK44*GA44</f>
        <v>1854.2732566870732</v>
      </c>
      <c r="GD44">
        <f>'TEA Revised Non EYZ'!EN44/'TEA Revised Non EYZ'!EK44*GA44</f>
        <v>3398.3871628656084</v>
      </c>
    </row>
    <row r="45" spans="1:186">
      <c r="A45">
        <f>'TEA Revised Non EYZ'!A45</f>
        <v>7</v>
      </c>
      <c r="B45">
        <f>'TEA Revised Non EYZ'!B45</f>
        <v>1.54143585092054E-3</v>
      </c>
      <c r="C45">
        <f>'TEA Revised Non EYZ'!C45</f>
        <v>1.54143585092054E-3</v>
      </c>
      <c r="D45">
        <f>'TEA Revised Non EYZ'!D45</f>
        <v>3.4254130020456501E-4</v>
      </c>
      <c r="E45">
        <f>'TEA Revised Non EYZ'!E45</f>
        <v>0</v>
      </c>
      <c r="F45">
        <f>'TEA Revised Non EYZ'!F45</f>
        <v>0</v>
      </c>
      <c r="G45">
        <f>'TEA Revised Non EYZ'!G45</f>
        <v>0</v>
      </c>
      <c r="H45">
        <f>'TEA Revised Non EYZ'!H45</f>
        <v>1.7744466230058299E-5</v>
      </c>
      <c r="I45">
        <f>'TEA Revised Non EYZ'!I45</f>
        <v>1.2927742824924801E-8</v>
      </c>
      <c r="J45">
        <f>'TEA Revised Non EYZ'!J45</f>
        <v>3.3739048286900598E-4</v>
      </c>
      <c r="K45">
        <f>'TEA Revised Non EYZ'!K45</f>
        <v>0.13716795306346499</v>
      </c>
      <c r="L45">
        <f>'TEA Revised Non EYZ'!L45</f>
        <v>0.138764207307677</v>
      </c>
      <c r="M45">
        <f>'TEA Revised Non EYZ'!M45</f>
        <v>4.6369433969460899E-4</v>
      </c>
      <c r="N45">
        <f>'TEA Revised Non EYZ'!N45</f>
        <v>-1.1037178115902399E-16</v>
      </c>
      <c r="O45">
        <f>'TEA Revised Non EYZ'!O45</f>
        <v>-5.3700533603207003E-15</v>
      </c>
      <c r="P45">
        <f>'TEA Revised Non EYZ'!P45</f>
        <v>-3.4304834363799101E-19</v>
      </c>
      <c r="Q45">
        <f>'TEA Revised Non EYZ'!Q45</f>
        <v>0.111082169753281</v>
      </c>
      <c r="R45">
        <f>'TEA Revised Non EYZ'!R45</f>
        <v>98.496293050653193</v>
      </c>
      <c r="S45">
        <f>'TEA Revised Non EYZ'!S45</f>
        <v>500</v>
      </c>
      <c r="T45">
        <f>'TEA Revised Non EYZ'!T45</f>
        <v>95</v>
      </c>
      <c r="U45">
        <f>'TEA Revised Non EYZ'!U45</f>
        <v>1</v>
      </c>
      <c r="V45">
        <f>'TEA Revised Non EYZ'!V45</f>
        <v>0.1</v>
      </c>
      <c r="W45">
        <f>'TEA Revised Non EYZ'!W45</f>
        <v>90.023448607553206</v>
      </c>
      <c r="X45" t="str">
        <f>'TEA Revised Non EYZ'!X45</f>
        <v>ddFc</v>
      </c>
      <c r="Y45">
        <f>'TEA Revised Non EYZ'!Y45</f>
        <v>1</v>
      </c>
      <c r="Z45">
        <f>'TEA Revised Non EYZ'!Z45</f>
        <v>0.28318429382522198</v>
      </c>
      <c r="AA45">
        <f>'TEA Revised Non EYZ'!AA45</f>
        <v>0.56945642916197003</v>
      </c>
      <c r="AB45">
        <f>'TEA Revised Non EYZ'!AB45</f>
        <v>3.7698628972227502E-3</v>
      </c>
      <c r="AC45">
        <f>'TEA Revised Non EYZ'!AC45</f>
        <v>1822.2107908876901</v>
      </c>
      <c r="AD45">
        <f>'TEA Revised Non EYZ'!AD45</f>
        <v>2662.6059073104898</v>
      </c>
      <c r="AE45">
        <f>'TEA Revised Non EYZ'!AE45</f>
        <v>2401.5030938442701</v>
      </c>
      <c r="AF45">
        <f>'TEA Revised Non EYZ'!AF45</f>
        <v>7</v>
      </c>
      <c r="AG45">
        <f>'TEA Revised Non EYZ'!AG45</f>
        <v>1.64967327652189E-3</v>
      </c>
      <c r="AH45">
        <f>'TEA Revised Non EYZ'!AH45</f>
        <v>1.66887089455438E-3</v>
      </c>
      <c r="AI45">
        <f>'TEA Revised Non EYZ'!AI45</f>
        <v>5.5766973522943398E-6</v>
      </c>
      <c r="AJ45">
        <f>'TEA Revised Non EYZ'!AJ45</f>
        <v>0</v>
      </c>
      <c r="AK45">
        <f>'TEA Revised Non EYZ'!AK45</f>
        <v>0</v>
      </c>
      <c r="AL45">
        <f>'TEA Revised Non EYZ'!AL45</f>
        <v>0</v>
      </c>
      <c r="AM45">
        <f>'TEA Revised Non EYZ'!AM45</f>
        <v>1.6125268282720601E-3</v>
      </c>
      <c r="AN45">
        <f>'TEA Revised Non EYZ'!AN45</f>
        <v>7.9330002196474706E-5</v>
      </c>
      <c r="AO45">
        <f>'TEA Revised Non EYZ'!AO45</f>
        <v>5.5398308704750104E-6</v>
      </c>
      <c r="AP45">
        <f>'TEA Revised Non EYZ'!AP45</f>
        <v>1.7397589915908601E-3</v>
      </c>
      <c r="AQ45">
        <f>'TEA Revised Non EYZ'!AQ45</f>
        <v>7.4446365407150494E-2</v>
      </c>
      <c r="AR45">
        <f>'TEA Revised Non EYZ'!AR45</f>
        <v>1.7266467254719899E-6</v>
      </c>
      <c r="AS45">
        <f>'TEA Revised Non EYZ'!AS45</f>
        <v>-4.8721335126067302E-18</v>
      </c>
      <c r="AT45">
        <f>'TEA Revised Non EYZ'!AT45</f>
        <v>-2.21068822969794E-15</v>
      </c>
      <c r="AU45">
        <f>'TEA Revised Non EYZ'!AU45</f>
        <v>-5.2476338060364E-21</v>
      </c>
      <c r="AV45">
        <f>'TEA Revised Non EYZ'!AV45</f>
        <v>0.19720924848406601</v>
      </c>
      <c r="AW45">
        <f>'TEA Revised Non EYZ'!AW45</f>
        <v>99.338919086147698</v>
      </c>
      <c r="AX45">
        <f>'TEA Revised Non EYZ'!AX45</f>
        <v>500</v>
      </c>
      <c r="AY45">
        <f>'TEA Revised Non EYZ'!AY45</f>
        <v>95</v>
      </c>
      <c r="AZ45">
        <f>'TEA Revised Non EYZ'!AZ45</f>
        <v>0.92363221637625403</v>
      </c>
      <c r="BA45">
        <f>'TEA Revised Non EYZ'!BA45</f>
        <v>0.1</v>
      </c>
      <c r="BB45">
        <f>'TEA Revised Non EYZ'!BB45</f>
        <v>46.835136966250197</v>
      </c>
      <c r="BC45" t="str">
        <f>'TEA Revised Non EYZ'!BC45</f>
        <v>coeFc</v>
      </c>
      <c r="BD45">
        <f>'TEA Revised Non EYZ'!BD45</f>
        <v>1</v>
      </c>
      <c r="BE45">
        <f>'TEA Revised Non EYZ'!BE45</f>
        <v>1.8775014999999999E-2</v>
      </c>
      <c r="BF45">
        <f>'TEA Revised Non EYZ'!BF45</f>
        <v>0.10492961100000001</v>
      </c>
      <c r="BG45">
        <f>'TEA Revised Non EYZ'!BG45</f>
        <v>1.814625E-3</v>
      </c>
      <c r="BH45">
        <f>'TEA Revised Non EYZ'!BH45</f>
        <v>285.1951444</v>
      </c>
      <c r="BI45">
        <f>'TEA Revised Non EYZ'!BI45</f>
        <v>2169.8944889999998</v>
      </c>
      <c r="BJ45">
        <f>'TEA Revised Non EYZ'!BJ45</f>
        <v>866.49409060000005</v>
      </c>
      <c r="BK45">
        <f>'TEA Revised Non EYZ'!BK45</f>
        <v>100</v>
      </c>
      <c r="BL45">
        <f>'TEA Revised Non EYZ'!BL45</f>
        <v>11.1082169753281</v>
      </c>
      <c r="BM45">
        <f>'TEA Revised Non EYZ'!BM45</f>
        <v>92.363221637625401</v>
      </c>
      <c r="BN45">
        <f>'TEA Revised Non EYZ'!BN45</f>
        <v>19.7209248484066</v>
      </c>
      <c r="BO45">
        <f>'TEA Revised Non EYZ'!BO45</f>
        <v>199.94790555590581</v>
      </c>
      <c r="BP45">
        <f>'TEA Revised Non EYZ'!BP45</f>
        <v>354.97664727131883</v>
      </c>
      <c r="BQ45">
        <f>'TEA Revised Non EYZ'!BQ45</f>
        <v>19.994790555590583</v>
      </c>
      <c r="BR45">
        <f>'TEA Revised Non EYZ'!BR45</f>
        <v>35.497664727131884</v>
      </c>
      <c r="BS45">
        <f>'eLLE Bals'!CF45</f>
        <v>6.6649301851968596</v>
      </c>
      <c r="BT45">
        <f>'eLLE Bals'!CG45</f>
        <v>11.83255490904396</v>
      </c>
      <c r="BU45">
        <f>BM45</f>
        <v>92.363221637625401</v>
      </c>
      <c r="BV45">
        <f>BU45*(AM45*2+AN45*2+AO45*3)</f>
        <v>0.31406572470296529</v>
      </c>
      <c r="BW45">
        <f>BN45*BA45*(AP45*2+AQ45*2+AR45*3)</f>
        <v>0.30050238207288077</v>
      </c>
      <c r="BX45">
        <f>BV45/(2*V45*BL45+BV45)</f>
        <v>0.12385715784767444</v>
      </c>
      <c r="BY45">
        <f>BU45*BX45</f>
        <v>11.439846121691108</v>
      </c>
      <c r="BZ45">
        <f>BW45/(2*BN45*BA45+BW45)</f>
        <v>7.0794938983831684E-2</v>
      </c>
      <c r="CA45">
        <f>2*BN45*BA45/0.04</f>
        <v>98.604624242032997</v>
      </c>
      <c r="CB45">
        <f>(BS45+BL45)*2</f>
        <v>35.54629432104992</v>
      </c>
      <c r="CC45">
        <f>(BU45+BL45)*2</f>
        <v>206.94287722590701</v>
      </c>
      <c r="CD45">
        <f>(BT45+BN45)*2</f>
        <v>63.106959514901121</v>
      </c>
      <c r="CE45">
        <f>(CA45+BN45)*2</f>
        <v>236.65109818087919</v>
      </c>
      <c r="CF45">
        <f>'TEA Revised Non EYZ'!CB45</f>
        <v>2639.3123533379567</v>
      </c>
      <c r="CG45">
        <f>'TEA Revised Non EYZ'!CC45</f>
        <v>4685.6917439814088</v>
      </c>
      <c r="CH45">
        <f>'TEA Revised Non EYZ'!CD45</f>
        <v>3188.7782491883527</v>
      </c>
      <c r="CI45">
        <f>'TEA Revised Non EYZ'!CE45</f>
        <v>36141.156877650901</v>
      </c>
      <c r="CJ45">
        <f>BL45*V45</f>
        <v>1.11082169753281</v>
      </c>
      <c r="CK45">
        <f>CJ45/2*1.2</f>
        <v>0.66649301851968601</v>
      </c>
      <c r="CL45">
        <f>'eLLE Bals'!CB45*'Oxidant Feed Composition'!$N$20</f>
        <v>3.7027389917760348E-2</v>
      </c>
      <c r="CM45">
        <f>'eLLE Bals'!CB45*'Oxidant Feed Composition'!$N$21</f>
        <v>1.8513694958880169</v>
      </c>
      <c r="CN45">
        <f>'eLLE Bals'!CB45*'Oxidant Feed Composition'!$N$22</f>
        <v>0.55541084876640501</v>
      </c>
      <c r="CO45">
        <f>CN45/CK45</f>
        <v>0.83333333333333337</v>
      </c>
      <c r="CP45">
        <f>CO45</f>
        <v>0.83333333333333337</v>
      </c>
      <c r="CQ45">
        <f>CL45/CO45</f>
        <v>4.4432867901312414E-2</v>
      </c>
      <c r="CR45">
        <f>CM45/CO45</f>
        <v>2.22164339506562</v>
      </c>
      <c r="CS45">
        <f>BN45*BA45</f>
        <v>1.97209248484066</v>
      </c>
      <c r="CT45">
        <f>CS45/2*1.2</f>
        <v>1.183255490904396</v>
      </c>
      <c r="CU45">
        <f>'eLLE Bals'!CC45*'Oxidant Feed Composition'!$N$20</f>
        <v>6.5736416161355365E-2</v>
      </c>
      <c r="CV45">
        <f>'eLLE Bals'!CC45*'Oxidant Feed Composition'!$N$21</f>
        <v>3.286820808067767</v>
      </c>
      <c r="CW45">
        <f>'eLLE Bals'!CC45*'Oxidant Feed Composition'!$N$22</f>
        <v>0.98604624242033001</v>
      </c>
      <c r="CX45">
        <f>CU45/CP45</f>
        <v>7.8883699393626439E-2</v>
      </c>
      <c r="CY45">
        <f>CV45/CP45</f>
        <v>3.94418496968132</v>
      </c>
      <c r="CZ45">
        <f>CJ45</f>
        <v>1.11082169753281</v>
      </c>
      <c r="DA45">
        <f>'eLLE Bals'!BQ45</f>
        <v>2.22164339506562</v>
      </c>
      <c r="DB45">
        <f>'eLLE Bals'!BU45</f>
        <v>5.6361057743299128</v>
      </c>
      <c r="DC45">
        <f>CS45</f>
        <v>1.97209248484066</v>
      </c>
      <c r="DD45">
        <f>'eLLE Bals'!BX45</f>
        <v>3.94418496968132</v>
      </c>
      <c r="DE45">
        <f>'eLLE Bals'!CA45</f>
        <v>21.940127440339936</v>
      </c>
      <c r="DF45">
        <f>2*2*(CJ45*'Reagent cost'!$C$36*122.44/1000*1.5+CK45*'Oxidant Feed Composition'!$N$26+CQ45*'Reagent cost'!$C$34+CR45*'Reagent cost'!$C$35)</f>
        <v>113.03847925623893</v>
      </c>
      <c r="DG45">
        <f>2*2*(CS45*'Reagent cost'!$C$36*122.44/1000*1.5+CT45*'Oxidant Feed Composition'!$N$26+CX45*'Reagent cost'!$C$34+CY45*'Reagent cost'!$C$35)</f>
        <v>200.68237407872672</v>
      </c>
      <c r="DH45">
        <f>(AF45+3)*2*(CZ45*'Reagent cost'!$C$38+DA45*'Reagent cost'!$C$39+DB45*'Reagent cost'!$C$36*122.44/1000*1.5)</f>
        <v>1561.0469471960532</v>
      </c>
      <c r="DI45">
        <f>3*2*(DC45*'Reagent cost'!$C$38+DD45*'Reagent cost'!$C$39+DE45*'Reagent cost'!$C$36*122.44/1000*1.5)</f>
        <v>1760.1353336640161</v>
      </c>
      <c r="DJ45">
        <f>7963.6*(CB45/1000)^0.6*1.7*('CAPEX+OPEX'!$G$116/'CAPEX+OPEX'!$G$115)</f>
        <v>2156.3414312027717</v>
      </c>
      <c r="DK45">
        <f>7963.6*(CC45/1000)^0.6*1.7*('CAPEX+OPEX'!$G$116/'CAPEX+OPEX'!$G$115)</f>
        <v>6205.1347590783025</v>
      </c>
      <c r="DL45">
        <f>7963.6*(CD45/1000)^0.6*1.7*('CAPEX+OPEX'!$G$116/'CAPEX+OPEX'!$G$115)</f>
        <v>3042.8972080018357</v>
      </c>
      <c r="DM45">
        <f>7963.6*(CE45/1000)^0.6*1.7*('CAPEX+OPEX'!$G$116/'CAPEX+OPEX'!$G$115)</f>
        <v>6725.2129775576441</v>
      </c>
      <c r="DN45">
        <f>'TEA Revised Non EYZ'!CM45</f>
        <v>39625.826528698344</v>
      </c>
      <c r="DO45">
        <f>'TEA Revised Non EYZ'!CN45</f>
        <v>4586243.4239371875</v>
      </c>
      <c r="DP45">
        <f>'TEA Revised Non EYZ'!CO45</f>
        <v>11794834.586807497</v>
      </c>
      <c r="DQ45">
        <f>'TEA Revised Non EYZ'!CP45</f>
        <v>2275209.1661185985</v>
      </c>
      <c r="DR45">
        <f>'TEA Revised Non EYZ'!CQ45</f>
        <v>14083914.336508472</v>
      </c>
      <c r="DS45">
        <f>'TEA Revised Non EYZ'!CR45</f>
        <v>1662824.8986326549</v>
      </c>
      <c r="DT45">
        <f>'TEA Revised Non EYZ'!CS45</f>
        <v>700033.84449786716</v>
      </c>
      <c r="DU45">
        <f>'TEA Revised Non EYZ'!CT45</f>
        <v>1800336.9288957189</v>
      </c>
      <c r="DV45">
        <f>'TEA Revised Non EYZ'!CU45</f>
        <v>347282.79168127343</v>
      </c>
      <c r="DW45">
        <f>'TEA Revised Non EYZ'!CV45</f>
        <v>2149736.8951473436</v>
      </c>
      <c r="DX45">
        <f>'TEA Revised Non EYZ'!CW45</f>
        <v>253809.83932102245</v>
      </c>
      <c r="DY45">
        <f>'TEA Revised Non EYZ'!CX45</f>
        <v>5251200.2995432261</v>
      </c>
      <c r="DZ45">
        <f>'TEA Revised Non EYZ'!CY45</f>
        <v>661117.06839459355</v>
      </c>
      <c r="EA45">
        <f>'TEA Revised Non EYZ'!CZ45</f>
        <v>1700251.3262881106</v>
      </c>
      <c r="EB45">
        <f>'TEA Revised Non EYZ'!DA45</f>
        <v>327976.40134799713</v>
      </c>
      <c r="EC45">
        <f>'TEA Revised Non EYZ'!DB45</f>
        <v>2030227.2027418208</v>
      </c>
      <c r="ED45">
        <f>'TEA Revised Non EYZ'!DC45</f>
        <v>239699.86340014514</v>
      </c>
      <c r="EE45">
        <f>'TEA Revised Non EYZ'!DD45</f>
        <v>4959271.8621726679</v>
      </c>
      <c r="EF45">
        <v>0.7</v>
      </c>
      <c r="EG45">
        <v>100</v>
      </c>
      <c r="EH45">
        <f>96485*BL45*V45/EF45/EG45/60</f>
        <v>25.518483687250757</v>
      </c>
      <c r="EI45">
        <f>96485*BN45*BA45/EF45/EG45/60</f>
        <v>45.304129380916926</v>
      </c>
      <c r="EJ45">
        <f>EH45*('CAPEX+OPEX'!$O$25+'CAPEX+OPEX'!$O$26)</f>
        <v>813325.1120800561</v>
      </c>
      <c r="EK45">
        <f>EI45*('CAPEX+OPEX'!$O$25+'CAPEX+OPEX'!$O$26)</f>
        <v>1443933.2116285842</v>
      </c>
      <c r="EL45">
        <f>EJ45*1.12/0.6*'CAPEX+OPEX'!$G$116/'CAPEX+OPEX'!$G$115</f>
        <v>1790661.6086879191</v>
      </c>
      <c r="EM45">
        <f>EK45*1.12/0.6*'CAPEX+OPEX'!$G$116/'CAPEX+OPEX'!$G$115</f>
        <v>3179043.3237210219</v>
      </c>
      <c r="EN45">
        <f>EL45+EM45+DY45+EE45+1.15*(SUM(DF45:DM45)+SUM(CF45:CI45))</f>
        <v>15258859.437169159</v>
      </c>
      <c r="EO45">
        <f>EN45/15</f>
        <v>1017257.2958112772</v>
      </c>
      <c r="EP45">
        <f>('eLLE Bals'!CB45+'eLLE Bals'!CC45)*'Oxidant Feed Composition'!$N$28*60*7200</f>
        <v>17138458.852943845</v>
      </c>
      <c r="EQ45" s="53">
        <f>('eLLE Bals'!BR45+'eLLE Bals'!BY45)*'Reagent cost'!$C$38*60*7200*1.5</f>
        <v>758713.41563439928</v>
      </c>
      <c r="ER45">
        <f>'TEA Revised Non EYZ'!DI45</f>
        <v>504921.59999999998</v>
      </c>
      <c r="ES45">
        <f>'TEA Revised Non EYZ'!DJ45</f>
        <v>73.250040973193663</v>
      </c>
      <c r="ET45">
        <f>'TEA Revised Non EYZ'!DK45</f>
        <v>786.59870253678514</v>
      </c>
      <c r="EU45">
        <f>1.2*SUM(EP45:ET45)</f>
        <v>22083544.460786108</v>
      </c>
      <c r="EV45">
        <f>'TEA Revised Non EYZ'!DM45</f>
        <v>0.70639694042110623</v>
      </c>
      <c r="EW45">
        <f>(BS45*CO45+BT45*CP45)/1000*('Oxidant Feed Composition'!$B$11*'Oxidant Feed Composition'!$O$20+'Oxidant Feed Composition'!$D$11*'Oxidant Feed Composition'!$O$21+'Oxidant Feed Composition'!$F$11*'Oxidant Feed Composition'!$O$27-'Oxidant Feed Composition'!$J$15*18.015)</f>
        <v>1.8001835732398088</v>
      </c>
      <c r="EX45">
        <f>(CZ45*BX45+DC45*BZ45)*368.34/1000</f>
        <v>0.10210288496280813</v>
      </c>
      <c r="EY45">
        <f>'TEA Revised Non EYZ'!DP45</f>
        <v>4.999938342565946E-2</v>
      </c>
      <c r="EZ45">
        <f>SUM(EV45:EX45)-EY45</f>
        <v>2.5586840151980641</v>
      </c>
      <c r="FA45">
        <f>EZ45*0.33*60*7200</f>
        <v>364765.99320663605</v>
      </c>
      <c r="FB45">
        <f>'TEA Revised Non EYZ'!DS45</f>
        <v>1.2</v>
      </c>
      <c r="FC45">
        <v>0.5</v>
      </c>
      <c r="FD45">
        <f>'TEA Revised Non EYZ'!DT45</f>
        <v>1405.7912061949582</v>
      </c>
      <c r="FE45">
        <f>'TEA Revised Non EYZ'!DU45</f>
        <v>706.09632791556498</v>
      </c>
      <c r="FF45">
        <f>'TEA Revised Non EYZ'!DV45</f>
        <v>0.7</v>
      </c>
      <c r="FG45">
        <f>'TEA Revised Non EYZ'!DW45</f>
        <v>38528.386667103026</v>
      </c>
      <c r="FH45">
        <f>'TEA Revised Non EYZ'!DX45</f>
        <v>33220.879177835675</v>
      </c>
      <c r="FI45">
        <f>'TEA Revised Non EYZ'!DY45</f>
        <v>14065.291587390104</v>
      </c>
      <c r="FJ45">
        <f>'TEA Revised Non EYZ'!DZ45</f>
        <v>7450.7773575794354</v>
      </c>
      <c r="FK45">
        <f>'TEA Revised Non EYZ'!EA45</f>
        <v>7501.4888466080574</v>
      </c>
      <c r="FL45">
        <f>'TEA Revised Non EYZ'!EB45</f>
        <v>850.2225215067109</v>
      </c>
      <c r="FM45">
        <f>'TEA Revised Non EYZ'!EC45</f>
        <v>36001.204551981551</v>
      </c>
      <c r="FN45">
        <f>'TEA Revised Non EYZ'!ED45</f>
        <v>31036.899359153111</v>
      </c>
      <c r="FO45">
        <f>'TEA Revised Non EYZ'!EE45</f>
        <v>13140.622712544662</v>
      </c>
      <c r="FP45">
        <f>'TEA Revised Non EYZ'!EF45</f>
        <v>6964.8264458875174</v>
      </c>
      <c r="FQ45">
        <f>'TEA Revised Non EYZ'!EG45</f>
        <v>7008.3321133571535</v>
      </c>
      <c r="FR45">
        <f>'TEA Revised Non EYZ'!EH45</f>
        <v>427.04705912333372</v>
      </c>
      <c r="FS45">
        <f>'TEA Revised Non EYZ'!EI45</f>
        <v>196195.97840007034</v>
      </c>
      <c r="FT45">
        <f>EG45*EH45</f>
        <v>2551.8483687250759</v>
      </c>
      <c r="FU45">
        <f>EG45*EI45</f>
        <v>4530.4129380916929</v>
      </c>
      <c r="FV45">
        <f>FC45*(FT45+FU45)/(3.6*10^6)*3600*7200*0.07</f>
        <v>1784.7298493178259</v>
      </c>
      <c r="FW45">
        <f>('CAPEX+OPEX'!$C$39/7/100+0.03)*EL45</f>
        <v>92091.168446807264</v>
      </c>
      <c r="FX45">
        <f>('CAPEX+OPEX'!$C$39/7/100+0.03)*EM45</f>
        <v>163493.6566485097</v>
      </c>
      <c r="FY45">
        <f>SUM(FV45:FX45)</f>
        <v>257369.55494463479</v>
      </c>
      <c r="FZ45">
        <f>FY45+FA45+FS45+EU45</f>
        <v>22901875.987337448</v>
      </c>
      <c r="GA45">
        <f>FZ45+EO45</f>
        <v>23919133.283148725</v>
      </c>
      <c r="GB45">
        <f>GA45/(BK45*60*7200)</f>
        <v>0.55368364081362786</v>
      </c>
      <c r="GC45">
        <f>'TEA Revised Non EYZ'!EM45/'TEA Revised Non EYZ'!EK45*GA45</f>
        <v>1852.5363251767865</v>
      </c>
      <c r="GD45">
        <f>'TEA Revised Non EYZ'!EN45/'TEA Revised Non EYZ'!EK45*GA45</f>
        <v>3398.1368381640555</v>
      </c>
    </row>
    <row r="46" spans="1:186">
      <c r="A46">
        <f>'TEA Revised Non EYZ'!A46</f>
        <v>7</v>
      </c>
      <c r="B46">
        <f>'TEA Revised Non EYZ'!B46</f>
        <v>1.54143585092054E-3</v>
      </c>
      <c r="C46">
        <f>'TEA Revised Non EYZ'!C46</f>
        <v>1.54143585092054E-3</v>
      </c>
      <c r="D46">
        <f>'TEA Revised Non EYZ'!D46</f>
        <v>3.4254130020456501E-4</v>
      </c>
      <c r="E46">
        <f>'TEA Revised Non EYZ'!E46</f>
        <v>0</v>
      </c>
      <c r="F46">
        <f>'TEA Revised Non EYZ'!F46</f>
        <v>0</v>
      </c>
      <c r="G46">
        <f>'TEA Revised Non EYZ'!G46</f>
        <v>0</v>
      </c>
      <c r="H46">
        <f>'TEA Revised Non EYZ'!H46</f>
        <v>1.7744466230058299E-5</v>
      </c>
      <c r="I46">
        <f>'TEA Revised Non EYZ'!I46</f>
        <v>1.2927742824924801E-8</v>
      </c>
      <c r="J46">
        <f>'TEA Revised Non EYZ'!J46</f>
        <v>3.3739048286900598E-4</v>
      </c>
      <c r="K46">
        <f>'TEA Revised Non EYZ'!K46</f>
        <v>0.13716795306346499</v>
      </c>
      <c r="L46">
        <f>'TEA Revised Non EYZ'!L46</f>
        <v>0.138764207307677</v>
      </c>
      <c r="M46">
        <f>'TEA Revised Non EYZ'!M46</f>
        <v>4.6369433969460899E-4</v>
      </c>
      <c r="N46">
        <f>'TEA Revised Non EYZ'!N46</f>
        <v>-1.1037178115902399E-16</v>
      </c>
      <c r="O46">
        <f>'TEA Revised Non EYZ'!O46</f>
        <v>-5.3700533603207003E-15</v>
      </c>
      <c r="P46">
        <f>'TEA Revised Non EYZ'!P46</f>
        <v>-3.4304834363799101E-19</v>
      </c>
      <c r="Q46">
        <f>'TEA Revised Non EYZ'!Q46</f>
        <v>0.111082169753281</v>
      </c>
      <c r="R46">
        <f>'TEA Revised Non EYZ'!R46</f>
        <v>98.496293050653193</v>
      </c>
      <c r="S46">
        <f>'TEA Revised Non EYZ'!S46</f>
        <v>500</v>
      </c>
      <c r="T46">
        <f>'TEA Revised Non EYZ'!T46</f>
        <v>95</v>
      </c>
      <c r="U46">
        <f>'TEA Revised Non EYZ'!U46</f>
        <v>1</v>
      </c>
      <c r="V46">
        <f>'TEA Revised Non EYZ'!V46</f>
        <v>0.1</v>
      </c>
      <c r="W46">
        <f>'TEA Revised Non EYZ'!W46</f>
        <v>90.023448607553206</v>
      </c>
      <c r="X46" t="str">
        <f>'TEA Revised Non EYZ'!X46</f>
        <v>ddFc</v>
      </c>
      <c r="Y46">
        <f>'TEA Revised Non EYZ'!Y46</f>
        <v>1</v>
      </c>
      <c r="Z46">
        <f>'TEA Revised Non EYZ'!Z46</f>
        <v>0.28318429382522198</v>
      </c>
      <c r="AA46">
        <f>'TEA Revised Non EYZ'!AA46</f>
        <v>0.56945642916197003</v>
      </c>
      <c r="AB46">
        <f>'TEA Revised Non EYZ'!AB46</f>
        <v>3.7698628972227502E-3</v>
      </c>
      <c r="AC46">
        <f>'TEA Revised Non EYZ'!AC46</f>
        <v>1822.2107908876901</v>
      </c>
      <c r="AD46">
        <f>'TEA Revised Non EYZ'!AD46</f>
        <v>2662.6059073104898</v>
      </c>
      <c r="AE46">
        <f>'TEA Revised Non EYZ'!AE46</f>
        <v>2401.5030938442701</v>
      </c>
      <c r="AF46">
        <f>'TEA Revised Non EYZ'!AF46</f>
        <v>8</v>
      </c>
      <c r="AG46">
        <f>'TEA Revised Non EYZ'!AG46</f>
        <v>1.64967327652189E-3</v>
      </c>
      <c r="AH46">
        <f>'TEA Revised Non EYZ'!AH46</f>
        <v>1.66887089455438E-3</v>
      </c>
      <c r="AI46">
        <f>'TEA Revised Non EYZ'!AI46</f>
        <v>5.5766973522943398E-6</v>
      </c>
      <c r="AJ46">
        <f>'TEA Revised Non EYZ'!AJ46</f>
        <v>0</v>
      </c>
      <c r="AK46">
        <f>'TEA Revised Non EYZ'!AK46</f>
        <v>0</v>
      </c>
      <c r="AL46">
        <f>'TEA Revised Non EYZ'!AL46</f>
        <v>0</v>
      </c>
      <c r="AM46">
        <f>'TEA Revised Non EYZ'!AM46</f>
        <v>1.6126668855832699E-3</v>
      </c>
      <c r="AN46">
        <f>'TEA Revised Non EYZ'!AN46</f>
        <v>7.9337240379229206E-5</v>
      </c>
      <c r="AO46">
        <f>'TEA Revised Non EYZ'!AO46</f>
        <v>5.5399641251523699E-6</v>
      </c>
      <c r="AP46">
        <f>'TEA Revised Non EYZ'!AP46</f>
        <v>1.7350315599837401E-3</v>
      </c>
      <c r="AQ46">
        <f>'TEA Revised Non EYZ'!AQ46</f>
        <v>7.4524723667687906E-2</v>
      </c>
      <c r="AR46">
        <f>'TEA Revised Non EYZ'!AR46</f>
        <v>1.7222243722089301E-6</v>
      </c>
      <c r="AS46">
        <f>'TEA Revised Non EYZ'!AS46</f>
        <v>5.7278333009773403E-15</v>
      </c>
      <c r="AT46">
        <f>'TEA Revised Non EYZ'!AT46</f>
        <v>-1.34509916226155E-12</v>
      </c>
      <c r="AU46">
        <f>'TEA Revised Non EYZ'!AU46</f>
        <v>2.7085201977436299E-20</v>
      </c>
      <c r="AV46">
        <f>'TEA Revised Non EYZ'!AV46</f>
        <v>0.19700099793756001</v>
      </c>
      <c r="AW46">
        <f>'TEA Revised Non EYZ'!AW46</f>
        <v>99.341308577076504</v>
      </c>
      <c r="AX46">
        <f>'TEA Revised Non EYZ'!AX46</f>
        <v>500</v>
      </c>
      <c r="AY46">
        <f>'TEA Revised Non EYZ'!AY46</f>
        <v>95</v>
      </c>
      <c r="AZ46">
        <f>'TEA Revised Non EYZ'!AZ46</f>
        <v>0.92363221637625403</v>
      </c>
      <c r="BA46">
        <f>'TEA Revised Non EYZ'!BA46</f>
        <v>0.1</v>
      </c>
      <c r="BB46">
        <f>'TEA Revised Non EYZ'!BB46</f>
        <v>46.884646577729498</v>
      </c>
      <c r="BC46" t="str">
        <f>'TEA Revised Non EYZ'!BC46</f>
        <v>coeFc</v>
      </c>
      <c r="BD46">
        <f>'TEA Revised Non EYZ'!BD46</f>
        <v>1</v>
      </c>
      <c r="BE46">
        <f>'TEA Revised Non EYZ'!BE46</f>
        <v>1.8775014999999999E-2</v>
      </c>
      <c r="BF46">
        <f>'TEA Revised Non EYZ'!BF46</f>
        <v>0.10492961100000001</v>
      </c>
      <c r="BG46">
        <f>'TEA Revised Non EYZ'!BG46</f>
        <v>1.814625E-3</v>
      </c>
      <c r="BH46">
        <f>'TEA Revised Non EYZ'!BH46</f>
        <v>285.1951444</v>
      </c>
      <c r="BI46">
        <f>'TEA Revised Non EYZ'!BI46</f>
        <v>2169.8944889999998</v>
      </c>
      <c r="BJ46">
        <f>'TEA Revised Non EYZ'!BJ46</f>
        <v>866.49409060000005</v>
      </c>
      <c r="BK46">
        <f>'TEA Revised Non EYZ'!BK46</f>
        <v>100</v>
      </c>
      <c r="BL46">
        <f>'TEA Revised Non EYZ'!BL46</f>
        <v>11.1082169753281</v>
      </c>
      <c r="BM46">
        <f>'TEA Revised Non EYZ'!BM46</f>
        <v>92.363221637625401</v>
      </c>
      <c r="BN46">
        <f>'TEA Revised Non EYZ'!BN46</f>
        <v>19.700099793756003</v>
      </c>
      <c r="BO46">
        <f>'TEA Revised Non EYZ'!BO46</f>
        <v>199.94790555590581</v>
      </c>
      <c r="BP46">
        <f>'TEA Revised Non EYZ'!BP46</f>
        <v>394.00199587512009</v>
      </c>
      <c r="BQ46">
        <f>'TEA Revised Non EYZ'!BQ46</f>
        <v>19.994790555590583</v>
      </c>
      <c r="BR46">
        <f>'TEA Revised Non EYZ'!BR46</f>
        <v>39.400199587512013</v>
      </c>
      <c r="BS46">
        <f>'eLLE Bals'!CF46</f>
        <v>6.6649301851968596</v>
      </c>
      <c r="BT46">
        <f>'eLLE Bals'!CG46</f>
        <v>11.820059876253602</v>
      </c>
      <c r="BU46">
        <f>BM46</f>
        <v>92.363221637625401</v>
      </c>
      <c r="BV46">
        <f>BU46*(AM46*2+AN46*2+AO46*3)</f>
        <v>0.31409297099916972</v>
      </c>
      <c r="BW46">
        <f>BN46*BA46*(AP46*2+AQ46*2+AR46*3)</f>
        <v>0.30047513604410742</v>
      </c>
      <c r="BX46">
        <f>BV46/(2*V46*BL46+BV46)</f>
        <v>0.12386657193650251</v>
      </c>
      <c r="BY46">
        <f>BU46*BX46</f>
        <v>11.440715637264052</v>
      </c>
      <c r="BZ46">
        <f>BW46/(2*BN46*BA46+BW46)</f>
        <v>7.0858503388650088E-2</v>
      </c>
      <c r="CA46">
        <f>2*BN46*BA46/0.04</f>
        <v>98.500498968780008</v>
      </c>
      <c r="CB46">
        <f>(BS46+BL46)*2</f>
        <v>35.54629432104992</v>
      </c>
      <c r="CC46">
        <f>(BU46+BL46)*2</f>
        <v>206.94287722590701</v>
      </c>
      <c r="CD46">
        <f>(BT46+BN46)*2</f>
        <v>63.040319340019209</v>
      </c>
      <c r="CE46">
        <f>(CA46+BN46)*2</f>
        <v>236.40119752507201</v>
      </c>
      <c r="CF46">
        <f>'TEA Revised Non EYZ'!CB46</f>
        <v>2639.3123533379567</v>
      </c>
      <c r="CG46">
        <f>'TEA Revised Non EYZ'!CC46</f>
        <v>5200.8263455515853</v>
      </c>
      <c r="CH46">
        <f>'TEA Revised Non EYZ'!CD46</f>
        <v>3188.7782491883527</v>
      </c>
      <c r="CI46">
        <f>'TEA Revised Non EYZ'!CE46</f>
        <v>40114.435843849977</v>
      </c>
      <c r="CJ46">
        <f>BL46*V46</f>
        <v>1.11082169753281</v>
      </c>
      <c r="CK46">
        <f>CJ46/2*1.2</f>
        <v>0.66649301851968601</v>
      </c>
      <c r="CL46">
        <f>'eLLE Bals'!CB46*'Oxidant Feed Composition'!$N$20</f>
        <v>3.7027389917760348E-2</v>
      </c>
      <c r="CM46">
        <f>'eLLE Bals'!CB46*'Oxidant Feed Composition'!$N$21</f>
        <v>1.8513694958880169</v>
      </c>
      <c r="CN46">
        <f>'eLLE Bals'!CB46*'Oxidant Feed Composition'!$N$22</f>
        <v>0.55541084876640501</v>
      </c>
      <c r="CO46">
        <f>CN46/CK46</f>
        <v>0.83333333333333337</v>
      </c>
      <c r="CP46">
        <f>CO46</f>
        <v>0.83333333333333337</v>
      </c>
      <c r="CQ46">
        <f>CL46/CO46</f>
        <v>4.4432867901312414E-2</v>
      </c>
      <c r="CR46">
        <f>CM46/CO46</f>
        <v>2.22164339506562</v>
      </c>
      <c r="CS46">
        <f>BN46*BA46</f>
        <v>1.9700099793756003</v>
      </c>
      <c r="CT46">
        <f>CS46/2*1.2</f>
        <v>1.1820059876253601</v>
      </c>
      <c r="CU46">
        <f>'eLLE Bals'!CC46*'Oxidant Feed Composition'!$N$20</f>
        <v>6.5666999312520041E-2</v>
      </c>
      <c r="CV46">
        <f>'eLLE Bals'!CC46*'Oxidant Feed Composition'!$N$21</f>
        <v>3.2833499656260008</v>
      </c>
      <c r="CW46">
        <f>'eLLE Bals'!CC46*'Oxidant Feed Composition'!$N$22</f>
        <v>0.98500498968780015</v>
      </c>
      <c r="CX46">
        <f>CU46/CP46</f>
        <v>7.8800399175024044E-2</v>
      </c>
      <c r="CY46">
        <f>CV46/CP46</f>
        <v>3.9400199587512006</v>
      </c>
      <c r="CZ46">
        <f>CJ46</f>
        <v>1.11082169753281</v>
      </c>
      <c r="DA46">
        <f>'eLLE Bals'!BQ46</f>
        <v>2.22164339506562</v>
      </c>
      <c r="DB46">
        <f>'eLLE Bals'!BU46</f>
        <v>5.6354241482287257</v>
      </c>
      <c r="DC46">
        <f>CS46</f>
        <v>1.9700099793756003</v>
      </c>
      <c r="DD46">
        <f>'eLLE Bals'!BX46</f>
        <v>3.9400199587512006</v>
      </c>
      <c r="DE46">
        <f>'eLLE Bals'!CA46</f>
        <v>21.891996426589657</v>
      </c>
      <c r="DF46">
        <f>2*2*(CJ46*'Reagent cost'!$C$36*122.44/1000*1.5+CK46*'Oxidant Feed Composition'!$N$26+CQ46*'Reagent cost'!$C$34+CR46*'Reagent cost'!$C$35)</f>
        <v>113.03847925623893</v>
      </c>
      <c r="DG46">
        <f>2*2*(CS46*'Reagent cost'!$C$36*122.44/1000*1.5+CT46*'Oxidant Feed Composition'!$N$26+CX46*'Reagent cost'!$C$34+CY46*'Reagent cost'!$C$35)</f>
        <v>200.47045595421045</v>
      </c>
      <c r="DH46">
        <f>(AF46+3)*2*(CZ46*'Reagent cost'!$C$38+DA46*'Reagent cost'!$C$39+DB46*'Reagent cost'!$C$36*122.44/1000*1.5)</f>
        <v>1716.9571456862384</v>
      </c>
      <c r="DI46">
        <f>3*2*(DC46*'Reagent cost'!$C$38+DD46*'Reagent cost'!$C$39+DE46*'Reagent cost'!$C$36*122.44/1000*1.5)</f>
        <v>1756.3340595821041</v>
      </c>
      <c r="DJ46">
        <f>7963.6*(CB46/1000)^0.6*1.7*('CAPEX+OPEX'!$G$116/'CAPEX+OPEX'!$G$115)</f>
        <v>2156.3414312027717</v>
      </c>
      <c r="DK46">
        <f>7963.6*(CC46/1000)^0.6*1.7*('CAPEX+OPEX'!$G$116/'CAPEX+OPEX'!$G$115)</f>
        <v>6205.1347590783025</v>
      </c>
      <c r="DL46">
        <f>7963.6*(CD46/1000)^0.6*1.7*('CAPEX+OPEX'!$G$116/'CAPEX+OPEX'!$G$115)</f>
        <v>3040.9688433532851</v>
      </c>
      <c r="DM46">
        <f>7963.6*(CE46/1000)^0.6*1.7*('CAPEX+OPEX'!$G$116/'CAPEX+OPEX'!$G$115)</f>
        <v>6720.9510317627646</v>
      </c>
      <c r="DN46">
        <f>'TEA Revised Non EYZ'!CM46</f>
        <v>39625.826528698344</v>
      </c>
      <c r="DO46">
        <f>'TEA Revised Non EYZ'!CN46</f>
        <v>4586243.4239371875</v>
      </c>
      <c r="DP46">
        <f>'TEA Revised Non EYZ'!CO46</f>
        <v>11794834.586807497</v>
      </c>
      <c r="DQ46">
        <f>'TEA Revised Non EYZ'!CP46</f>
        <v>2275209.1661185985</v>
      </c>
      <c r="DR46">
        <f>'TEA Revised Non EYZ'!CQ46</f>
        <v>14083914.336508472</v>
      </c>
      <c r="DS46">
        <f>'TEA Revised Non EYZ'!CR46</f>
        <v>1662824.8986326549</v>
      </c>
      <c r="DT46">
        <f>'TEA Revised Non EYZ'!CS46</f>
        <v>700033.84449786716</v>
      </c>
      <c r="DU46">
        <f>'TEA Revised Non EYZ'!CT46</f>
        <v>1800336.9288957189</v>
      </c>
      <c r="DV46">
        <f>'TEA Revised Non EYZ'!CU46</f>
        <v>347282.79168127343</v>
      </c>
      <c r="DW46">
        <f>'TEA Revised Non EYZ'!CV46</f>
        <v>2149736.8951473436</v>
      </c>
      <c r="DX46">
        <f>'TEA Revised Non EYZ'!CW46</f>
        <v>253809.83932102245</v>
      </c>
      <c r="DY46">
        <f>'TEA Revised Non EYZ'!CX46</f>
        <v>5251200.2995432261</v>
      </c>
      <c r="DZ46">
        <f>'TEA Revised Non EYZ'!CY46</f>
        <v>709528.56289770885</v>
      </c>
      <c r="EA46">
        <f>'TEA Revised Non EYZ'!CZ46</f>
        <v>1824755.3085198672</v>
      </c>
      <c r="EB46">
        <f>'TEA Revised Non EYZ'!DA46</f>
        <v>351993.06724586396</v>
      </c>
      <c r="EC46">
        <f>'TEA Revised Non EYZ'!DB46</f>
        <v>2178894.2660567677</v>
      </c>
      <c r="ED46">
        <f>'TEA Revised Non EYZ'!DC46</f>
        <v>257252.31995307075</v>
      </c>
      <c r="EE46">
        <f>'TEA Revised Non EYZ'!DD46</f>
        <v>5322423.5246732784</v>
      </c>
      <c r="EF46">
        <v>0.7</v>
      </c>
      <c r="EG46">
        <v>100</v>
      </c>
      <c r="EH46">
        <f>96485*BL46*V46/EF46/EG46/60</f>
        <v>25.518483687250757</v>
      </c>
      <c r="EI46">
        <f>96485*BN46*BA46/EF46/EG46/60</f>
        <v>45.256288776203533</v>
      </c>
      <c r="EJ46">
        <f>EH46*('CAPEX+OPEX'!$O$25+'CAPEX+OPEX'!$O$26)</f>
        <v>813325.1120800561</v>
      </c>
      <c r="EK46">
        <f>EI46*('CAPEX+OPEX'!$O$25+'CAPEX+OPEX'!$O$26)</f>
        <v>1442408.435875159</v>
      </c>
      <c r="EL46">
        <f>EJ46*1.12/0.6*'CAPEX+OPEX'!$G$116/'CAPEX+OPEX'!$G$115</f>
        <v>1790661.6086879191</v>
      </c>
      <c r="EM46">
        <f>EK46*1.12/0.6*'CAPEX+OPEX'!$G$116/'CAPEX+OPEX'!$G$115</f>
        <v>3175686.2929802225</v>
      </c>
      <c r="EN46">
        <f>EL46+EM46+DY46+EE46+1.15*(SUM(DF46:DM46)+SUM(CF46:CI46))</f>
        <v>15623983.307232121</v>
      </c>
      <c r="EO46">
        <f>EN46/15</f>
        <v>1041598.8871488081</v>
      </c>
      <c r="EP46">
        <f>('eLLE Bals'!CB46+'eLLE Bals'!CC46)*'Oxidant Feed Composition'!$N$28*60*7200</f>
        <v>17126881.841028295</v>
      </c>
      <c r="EQ46" s="53">
        <f>('eLLE Bals'!BR46+'eLLE Bals'!BY46)*'Reagent cost'!$C$38*60*7200*1.5</f>
        <v>758681.25222843385</v>
      </c>
      <c r="ER46">
        <f>'TEA Revised Non EYZ'!DI46</f>
        <v>504921.59999999998</v>
      </c>
      <c r="ES46">
        <f>'TEA Revised Non EYZ'!DJ46</f>
        <v>78.401386988895425</v>
      </c>
      <c r="ET46">
        <f>'TEA Revised Non EYZ'!DK46</f>
        <v>866.06428186076664</v>
      </c>
      <c r="EU46">
        <f>1.2*SUM(EP46:ET46)</f>
        <v>22069714.990710698</v>
      </c>
      <c r="EV46">
        <f>'TEA Revised Non EYZ'!DM46</f>
        <v>0.70639694042110623</v>
      </c>
      <c r="EW46">
        <f>(BS46*CO46+BT46*CP46)/1000*('Oxidant Feed Composition'!$B$11*'Oxidant Feed Composition'!$O$20+'Oxidant Feed Composition'!$D$11*'Oxidant Feed Composition'!$O$21+'Oxidant Feed Composition'!$F$11*'Oxidant Feed Composition'!$O$27-'Oxidant Feed Composition'!$J$15*18.015)</f>
        <v>1.7989675510258862</v>
      </c>
      <c r="EX46">
        <f>(CZ46*BX46+DC46*BZ46)*368.34/1000</f>
        <v>0.10209855661369548</v>
      </c>
      <c r="EY46">
        <f>'TEA Revised Non EYZ'!DP46</f>
        <v>4.999938342565946E-2</v>
      </c>
      <c r="EZ46">
        <f>SUM(EV46:EX46)-EY46</f>
        <v>2.5574636646350286</v>
      </c>
      <c r="FA46">
        <f>EZ46*0.33*60*7200</f>
        <v>364592.02003036969</v>
      </c>
      <c r="FB46">
        <f>'TEA Revised Non EYZ'!DS46</f>
        <v>1.2</v>
      </c>
      <c r="FC46">
        <v>0.5</v>
      </c>
      <c r="FD46">
        <f>'TEA Revised Non EYZ'!DT46</f>
        <v>1405.9132334970786</v>
      </c>
      <c r="FE46">
        <f>'TEA Revised Non EYZ'!DU46</f>
        <v>705.97430122516892</v>
      </c>
      <c r="FF46">
        <f>'TEA Revised Non EYZ'!DV46</f>
        <v>0.7</v>
      </c>
      <c r="FG46">
        <f>'TEA Revised Non EYZ'!DW46</f>
        <v>38528.386667103026</v>
      </c>
      <c r="FH46">
        <f>'TEA Revised Non EYZ'!DX46</f>
        <v>33220.879177835675</v>
      </c>
      <c r="FI46">
        <f>'TEA Revised Non EYZ'!DY46</f>
        <v>14065.291587390104</v>
      </c>
      <c r="FJ46">
        <f>'TEA Revised Non EYZ'!DZ46</f>
        <v>7450.7773575794354</v>
      </c>
      <c r="FK46">
        <f>'TEA Revised Non EYZ'!EA46</f>
        <v>7501.4888466080574</v>
      </c>
      <c r="FL46">
        <f>'TEA Revised Non EYZ'!EB46</f>
        <v>850.29632361903327</v>
      </c>
      <c r="FM46">
        <f>'TEA Revised Non EYZ'!EC46</f>
        <v>38572.719162837369</v>
      </c>
      <c r="FN46">
        <f>'TEA Revised Non EYZ'!ED46</f>
        <v>34916.511779047243</v>
      </c>
      <c r="FO46">
        <f>'TEA Revised Non EYZ'!EE46</f>
        <v>14783.200551612743</v>
      </c>
      <c r="FP46">
        <f>'TEA Revised Non EYZ'!EF46</f>
        <v>7835.4297516234565</v>
      </c>
      <c r="FQ46">
        <f>'TEA Revised Non EYZ'!EG46</f>
        <v>7884.3736275267966</v>
      </c>
      <c r="FR46">
        <f>'TEA Revised Non EYZ'!EH46</f>
        <v>426.9732573809822</v>
      </c>
      <c r="FS46">
        <f>'TEA Revised Non EYZ'!EI46</f>
        <v>206036.32809016391</v>
      </c>
      <c r="FT46">
        <f>EG46*EH46</f>
        <v>2551.8483687250759</v>
      </c>
      <c r="FU46">
        <f>EG46*EI46</f>
        <v>4525.6288776203537</v>
      </c>
      <c r="FV46">
        <f>FC46*(FT46+FU46)/(3.6*10^6)*3600*7200*0.07</f>
        <v>1783.5242660790486</v>
      </c>
      <c r="FW46">
        <f>('CAPEX+OPEX'!$C$39/7/100+0.03)*EL46</f>
        <v>92091.168446807264</v>
      </c>
      <c r="FX46">
        <f>('CAPEX+OPEX'!$C$39/7/100+0.03)*EM46</f>
        <v>163321.00935326857</v>
      </c>
      <c r="FY46">
        <f>SUM(FV46:FX46)</f>
        <v>257195.70206615489</v>
      </c>
      <c r="FZ46">
        <f>FY46+FA46+FS46+EU46</f>
        <v>22897539.040897388</v>
      </c>
      <c r="GA46">
        <f>FZ46+EO46</f>
        <v>23939137.928046197</v>
      </c>
      <c r="GB46">
        <f>GA46/(BK46*60*7200)</f>
        <v>0.5541467112973657</v>
      </c>
      <c r="GC46">
        <f>'TEA Revised Non EYZ'!EM46/'TEA Revised Non EYZ'!EK46*GA46</f>
        <v>1853.9246533587866</v>
      </c>
      <c r="GD46">
        <f>'TEA Revised Non EYZ'!EN46/'TEA Revised Non EYZ'!EK46*GA46</f>
        <v>3401.5208067494691</v>
      </c>
    </row>
    <row r="47" spans="1:186">
      <c r="A47">
        <f>'TEA Revised Non EYZ'!A47</f>
        <v>7</v>
      </c>
      <c r="B47">
        <f>'TEA Revised Non EYZ'!B47</f>
        <v>1.54143585092054E-3</v>
      </c>
      <c r="C47">
        <f>'TEA Revised Non EYZ'!C47</f>
        <v>1.54143585092054E-3</v>
      </c>
      <c r="D47">
        <f>'TEA Revised Non EYZ'!D47</f>
        <v>3.4254130020456501E-4</v>
      </c>
      <c r="E47">
        <f>'TEA Revised Non EYZ'!E47</f>
        <v>0</v>
      </c>
      <c r="F47">
        <f>'TEA Revised Non EYZ'!F47</f>
        <v>0</v>
      </c>
      <c r="G47">
        <f>'TEA Revised Non EYZ'!G47</f>
        <v>0</v>
      </c>
      <c r="H47">
        <f>'TEA Revised Non EYZ'!H47</f>
        <v>1.7744466230058299E-5</v>
      </c>
      <c r="I47">
        <f>'TEA Revised Non EYZ'!I47</f>
        <v>1.2927742824924801E-8</v>
      </c>
      <c r="J47">
        <f>'TEA Revised Non EYZ'!J47</f>
        <v>3.3739048286900598E-4</v>
      </c>
      <c r="K47">
        <f>'TEA Revised Non EYZ'!K47</f>
        <v>0.13716795306346499</v>
      </c>
      <c r="L47">
        <f>'TEA Revised Non EYZ'!L47</f>
        <v>0.138764207307677</v>
      </c>
      <c r="M47">
        <f>'TEA Revised Non EYZ'!M47</f>
        <v>4.6369433969460899E-4</v>
      </c>
      <c r="N47">
        <f>'TEA Revised Non EYZ'!N47</f>
        <v>-1.1037178115902399E-16</v>
      </c>
      <c r="O47">
        <f>'TEA Revised Non EYZ'!O47</f>
        <v>-5.3700533603207003E-15</v>
      </c>
      <c r="P47">
        <f>'TEA Revised Non EYZ'!P47</f>
        <v>-3.4304834363799101E-19</v>
      </c>
      <c r="Q47">
        <f>'TEA Revised Non EYZ'!Q47</f>
        <v>0.111082169753281</v>
      </c>
      <c r="R47">
        <f>'TEA Revised Non EYZ'!R47</f>
        <v>98.496293050653193</v>
      </c>
      <c r="S47">
        <f>'TEA Revised Non EYZ'!S47</f>
        <v>500</v>
      </c>
      <c r="T47">
        <f>'TEA Revised Non EYZ'!T47</f>
        <v>95</v>
      </c>
      <c r="U47">
        <f>'TEA Revised Non EYZ'!U47</f>
        <v>1</v>
      </c>
      <c r="V47">
        <f>'TEA Revised Non EYZ'!V47</f>
        <v>0.1</v>
      </c>
      <c r="W47">
        <f>'TEA Revised Non EYZ'!W47</f>
        <v>90.023448607553206</v>
      </c>
      <c r="X47" t="str">
        <f>'TEA Revised Non EYZ'!X47</f>
        <v>ddFc</v>
      </c>
      <c r="Y47">
        <f>'TEA Revised Non EYZ'!Y47</f>
        <v>1</v>
      </c>
      <c r="Z47">
        <f>'TEA Revised Non EYZ'!Z47</f>
        <v>0.28318429382522198</v>
      </c>
      <c r="AA47">
        <f>'TEA Revised Non EYZ'!AA47</f>
        <v>0.56945642916197003</v>
      </c>
      <c r="AB47">
        <f>'TEA Revised Non EYZ'!AB47</f>
        <v>3.7698628972227502E-3</v>
      </c>
      <c r="AC47">
        <f>'TEA Revised Non EYZ'!AC47</f>
        <v>1822.2107908876901</v>
      </c>
      <c r="AD47">
        <f>'TEA Revised Non EYZ'!AD47</f>
        <v>2662.6059073104898</v>
      </c>
      <c r="AE47">
        <f>'TEA Revised Non EYZ'!AE47</f>
        <v>2401.5030938442701</v>
      </c>
      <c r="AF47">
        <f>'TEA Revised Non EYZ'!AF47</f>
        <v>9</v>
      </c>
      <c r="AG47">
        <f>'TEA Revised Non EYZ'!AG47</f>
        <v>1.64967327652189E-3</v>
      </c>
      <c r="AH47">
        <f>'TEA Revised Non EYZ'!AH47</f>
        <v>1.66887089455438E-3</v>
      </c>
      <c r="AI47">
        <f>'TEA Revised Non EYZ'!AI47</f>
        <v>5.5766973522943398E-6</v>
      </c>
      <c r="AJ47">
        <f>'TEA Revised Non EYZ'!AJ47</f>
        <v>0</v>
      </c>
      <c r="AK47">
        <f>'TEA Revised Non EYZ'!AK47</f>
        <v>0</v>
      </c>
      <c r="AL47">
        <f>'TEA Revised Non EYZ'!AL47</f>
        <v>0</v>
      </c>
      <c r="AM47">
        <f>'TEA Revised Non EYZ'!AM47</f>
        <v>1.6127064588001699E-3</v>
      </c>
      <c r="AN47">
        <f>'TEA Revised Non EYZ'!AN47</f>
        <v>7.9339285496144799E-5</v>
      </c>
      <c r="AO47">
        <f>'TEA Revised Non EYZ'!AO47</f>
        <v>5.5400017762774897E-6</v>
      </c>
      <c r="AP47">
        <f>'TEA Revised Non EYZ'!AP47</f>
        <v>1.7336940135680801E-3</v>
      </c>
      <c r="AQ47">
        <f>'TEA Revised Non EYZ'!AQ47</f>
        <v>7.4546893805151004E-2</v>
      </c>
      <c r="AR47">
        <f>'TEA Revised Non EYZ'!AR47</f>
        <v>1.7209731425580199E-6</v>
      </c>
      <c r="AS47">
        <f>'TEA Revised Non EYZ'!AS47</f>
        <v>4.4438736544749601E-17</v>
      </c>
      <c r="AT47">
        <f>'TEA Revised Non EYZ'!AT47</f>
        <v>-5.7289242794133999E-15</v>
      </c>
      <c r="AU47">
        <f>'TEA Revised Non EYZ'!AU47</f>
        <v>-1.43598554339205E-21</v>
      </c>
      <c r="AV47">
        <f>'TEA Revised Non EYZ'!AV47</f>
        <v>0.19694215655956099</v>
      </c>
      <c r="AW47">
        <f>'TEA Revised Non EYZ'!AW47</f>
        <v>99.341983728025795</v>
      </c>
      <c r="AX47">
        <f>'TEA Revised Non EYZ'!AX47</f>
        <v>500</v>
      </c>
      <c r="AY47">
        <f>'TEA Revised Non EYZ'!AY47</f>
        <v>95</v>
      </c>
      <c r="AZ47">
        <f>'TEA Revised Non EYZ'!AZ47</f>
        <v>0.92363221637625403</v>
      </c>
      <c r="BA47">
        <f>'TEA Revised Non EYZ'!BA47</f>
        <v>0.1</v>
      </c>
      <c r="BB47">
        <f>'TEA Revised Non EYZ'!BB47</f>
        <v>46.898654534480997</v>
      </c>
      <c r="BC47" t="str">
        <f>'TEA Revised Non EYZ'!BC47</f>
        <v>coeFc</v>
      </c>
      <c r="BD47">
        <f>'TEA Revised Non EYZ'!BD47</f>
        <v>1</v>
      </c>
      <c r="BE47">
        <f>'TEA Revised Non EYZ'!BE47</f>
        <v>1.8775014999999999E-2</v>
      </c>
      <c r="BF47">
        <f>'TEA Revised Non EYZ'!BF47</f>
        <v>0.10492961100000001</v>
      </c>
      <c r="BG47">
        <f>'TEA Revised Non EYZ'!BG47</f>
        <v>1.814625E-3</v>
      </c>
      <c r="BH47">
        <f>'TEA Revised Non EYZ'!BH47</f>
        <v>285.1951444</v>
      </c>
      <c r="BI47">
        <f>'TEA Revised Non EYZ'!BI47</f>
        <v>2169.8944889999998</v>
      </c>
      <c r="BJ47">
        <f>'TEA Revised Non EYZ'!BJ47</f>
        <v>866.49409060000005</v>
      </c>
      <c r="BK47">
        <f>'TEA Revised Non EYZ'!BK47</f>
        <v>100</v>
      </c>
      <c r="BL47">
        <f>'TEA Revised Non EYZ'!BL47</f>
        <v>11.1082169753281</v>
      </c>
      <c r="BM47">
        <f>'TEA Revised Non EYZ'!BM47</f>
        <v>92.363221637625401</v>
      </c>
      <c r="BN47">
        <f>'TEA Revised Non EYZ'!BN47</f>
        <v>19.6942156559561</v>
      </c>
      <c r="BO47">
        <f>'TEA Revised Non EYZ'!BO47</f>
        <v>199.94790555590581</v>
      </c>
      <c r="BP47">
        <f>'TEA Revised Non EYZ'!BP47</f>
        <v>433.2727444310342</v>
      </c>
      <c r="BQ47">
        <f>'TEA Revised Non EYZ'!BQ47</f>
        <v>19.994790555590583</v>
      </c>
      <c r="BR47">
        <f>'TEA Revised Non EYZ'!BR47</f>
        <v>43.32727444310342</v>
      </c>
      <c r="BS47">
        <f>'eLLE Bals'!CF47</f>
        <v>6.6649301851968596</v>
      </c>
      <c r="BT47">
        <f>'eLLE Bals'!CG47</f>
        <v>11.81652939357366</v>
      </c>
      <c r="BU47">
        <f>BM47</f>
        <v>92.363221637625401</v>
      </c>
      <c r="BV47">
        <f>BU47*(AM47*2+AN47*2+AO47*3)</f>
        <v>0.3141006694386882</v>
      </c>
      <c r="BW47">
        <f>BN47*BA47*(AP47*2+AQ47*2+AR47*3)</f>
        <v>0.30046743733785264</v>
      </c>
      <c r="BX47">
        <f>BV47/(2*V47*BL47+BV47)</f>
        <v>0.12386923185013514</v>
      </c>
      <c r="BY47">
        <f>BU47*BX47</f>
        <v>11.440961315456439</v>
      </c>
      <c r="BZ47">
        <f>BW47/(2*BN47*BA47+BW47)</f>
        <v>7.0876486277839948E-2</v>
      </c>
      <c r="CA47">
        <f>2*BN47*BA47/0.04</f>
        <v>98.4710782797805</v>
      </c>
      <c r="CB47">
        <f>(BS47+BL47)*2</f>
        <v>35.54629432104992</v>
      </c>
      <c r="CC47">
        <f>(BU47+BL47)*2</f>
        <v>206.94287722590701</v>
      </c>
      <c r="CD47">
        <f>(BT47+BN47)*2</f>
        <v>63.02149009905952</v>
      </c>
      <c r="CE47">
        <f>(CA47+BN47)*2</f>
        <v>236.3305878714732</v>
      </c>
      <c r="CF47">
        <f>'TEA Revised Non EYZ'!CB47</f>
        <v>2639.3123533379567</v>
      </c>
      <c r="CG47">
        <f>'TEA Revised Non EYZ'!CC47</f>
        <v>5719.2002264896519</v>
      </c>
      <c r="CH47">
        <f>'TEA Revised Non EYZ'!CD47</f>
        <v>3188.7782491883527</v>
      </c>
      <c r="CI47">
        <f>'TEA Revised Non EYZ'!CE47</f>
        <v>44112.69965971521</v>
      </c>
      <c r="CJ47">
        <f>BL47*V47</f>
        <v>1.11082169753281</v>
      </c>
      <c r="CK47">
        <f>CJ47/2*1.2</f>
        <v>0.66649301851968601</v>
      </c>
      <c r="CL47">
        <f>'eLLE Bals'!CB47*'Oxidant Feed Composition'!$N$20</f>
        <v>3.7027389917760348E-2</v>
      </c>
      <c r="CM47">
        <f>'eLLE Bals'!CB47*'Oxidant Feed Composition'!$N$21</f>
        <v>1.8513694958880169</v>
      </c>
      <c r="CN47">
        <f>'eLLE Bals'!CB47*'Oxidant Feed Composition'!$N$22</f>
        <v>0.55541084876640501</v>
      </c>
      <c r="CO47">
        <f>CN47/CK47</f>
        <v>0.83333333333333337</v>
      </c>
      <c r="CP47">
        <f>CO47</f>
        <v>0.83333333333333337</v>
      </c>
      <c r="CQ47">
        <f>CL47/CO47</f>
        <v>4.4432867901312414E-2</v>
      </c>
      <c r="CR47">
        <f>CM47/CO47</f>
        <v>2.22164339506562</v>
      </c>
      <c r="CS47">
        <f>BN47*BA47</f>
        <v>1.96942156559561</v>
      </c>
      <c r="CT47">
        <f>CS47/2*1.2</f>
        <v>1.181652939357366</v>
      </c>
      <c r="CU47">
        <f>'eLLE Bals'!CC47*'Oxidant Feed Composition'!$N$20</f>
        <v>6.564738551985369E-2</v>
      </c>
      <c r="CV47">
        <f>'eLLE Bals'!CC47*'Oxidant Feed Composition'!$N$21</f>
        <v>3.2823692759926835</v>
      </c>
      <c r="CW47">
        <f>'eLLE Bals'!CC47*'Oxidant Feed Composition'!$N$22</f>
        <v>0.984710782797805</v>
      </c>
      <c r="CX47">
        <f>CU47/CP47</f>
        <v>7.8776862623824426E-2</v>
      </c>
      <c r="CY47">
        <f>CV47/CP47</f>
        <v>3.93884313119122</v>
      </c>
      <c r="CZ47">
        <f>CJ47</f>
        <v>1.11082169753281</v>
      </c>
      <c r="DA47">
        <f>'eLLE Bals'!BQ47</f>
        <v>2.22164339506562</v>
      </c>
      <c r="DB47">
        <f>'eLLE Bals'!BU47</f>
        <v>5.6352315738162755</v>
      </c>
      <c r="DC47">
        <f>CS47</f>
        <v>1.96942156559561</v>
      </c>
      <c r="DD47">
        <f>'eLLE Bals'!BX47</f>
        <v>3.93884313119122</v>
      </c>
      <c r="DE47">
        <f>'eLLE Bals'!CA47</f>
        <v>21.878405735426242</v>
      </c>
      <c r="DF47">
        <f>2*2*(CJ47*'Reagent cost'!$C$36*122.44/1000*1.5+CK47*'Oxidant Feed Composition'!$N$26+CQ47*'Reagent cost'!$C$34+CR47*'Reagent cost'!$C$35)</f>
        <v>113.03847925623893</v>
      </c>
      <c r="DG47">
        <f>2*2*(CS47*'Reagent cost'!$C$36*122.44/1000*1.5+CT47*'Oxidant Feed Composition'!$N$26+CX47*'Reagent cost'!$C$34+CY47*'Reagent cost'!$C$35)</f>
        <v>200.41057829876743</v>
      </c>
      <c r="DH47">
        <f>(AF47+3)*2*(CZ47*'Reagent cost'!$C$38+DA47*'Reagent cost'!$C$39+DB47*'Reagent cost'!$C$36*122.44/1000*1.5)</f>
        <v>1872.9842140475066</v>
      </c>
      <c r="DI47">
        <f>3*2*(DC47*'Reagent cost'!$C$38+DD47*'Reagent cost'!$C$39+DE47*'Reagent cost'!$C$36*122.44/1000*1.5)</f>
        <v>1755.260688661489</v>
      </c>
      <c r="DJ47">
        <f>7963.6*(CB47/1000)^0.6*1.7*('CAPEX+OPEX'!$G$116/'CAPEX+OPEX'!$G$115)</f>
        <v>2156.3414312027717</v>
      </c>
      <c r="DK47">
        <f>7963.6*(CC47/1000)^0.6*1.7*('CAPEX+OPEX'!$G$116/'CAPEX+OPEX'!$G$115)</f>
        <v>6205.1347590783025</v>
      </c>
      <c r="DL47">
        <f>7963.6*(CD47/1000)^0.6*1.7*('CAPEX+OPEX'!$G$116/'CAPEX+OPEX'!$G$115)</f>
        <v>3040.4238344763421</v>
      </c>
      <c r="DM47">
        <f>7963.6*(CE47/1000)^0.6*1.7*('CAPEX+OPEX'!$G$116/'CAPEX+OPEX'!$G$115)</f>
        <v>6719.7464886837342</v>
      </c>
      <c r="DN47">
        <f>'TEA Revised Non EYZ'!CM47</f>
        <v>39625.826528698344</v>
      </c>
      <c r="DO47">
        <f>'TEA Revised Non EYZ'!CN47</f>
        <v>4586243.4239371875</v>
      </c>
      <c r="DP47">
        <f>'TEA Revised Non EYZ'!CO47</f>
        <v>11794834.586807497</v>
      </c>
      <c r="DQ47">
        <f>'TEA Revised Non EYZ'!CP47</f>
        <v>2275209.1661185985</v>
      </c>
      <c r="DR47">
        <f>'TEA Revised Non EYZ'!CQ47</f>
        <v>14083914.336508472</v>
      </c>
      <c r="DS47">
        <f>'TEA Revised Non EYZ'!CR47</f>
        <v>1662824.8986326549</v>
      </c>
      <c r="DT47">
        <f>'TEA Revised Non EYZ'!CS47</f>
        <v>700033.84449786716</v>
      </c>
      <c r="DU47">
        <f>'TEA Revised Non EYZ'!CT47</f>
        <v>1800336.9288957189</v>
      </c>
      <c r="DV47">
        <f>'TEA Revised Non EYZ'!CU47</f>
        <v>347282.79168127343</v>
      </c>
      <c r="DW47">
        <f>'TEA Revised Non EYZ'!CV47</f>
        <v>2149736.8951473436</v>
      </c>
      <c r="DX47">
        <f>'TEA Revised Non EYZ'!CW47</f>
        <v>253809.83932102245</v>
      </c>
      <c r="DY47">
        <f>'TEA Revised Non EYZ'!CX47</f>
        <v>5251200.2995432261</v>
      </c>
      <c r="DZ47">
        <f>'TEA Revised Non EYZ'!CY47</f>
        <v>755830.43823057832</v>
      </c>
      <c r="EA47">
        <f>'TEA Revised Non EYZ'!CZ47</f>
        <v>1943833.8026442246</v>
      </c>
      <c r="EB47">
        <f>'TEA Revised Non EYZ'!DA47</f>
        <v>374963.16312345862</v>
      </c>
      <c r="EC47">
        <f>'TEA Revised Non EYZ'!DB47</f>
        <v>2321082.8909352971</v>
      </c>
      <c r="ED47">
        <f>'TEA Revised Non EYZ'!DC47</f>
        <v>274039.89619794104</v>
      </c>
      <c r="EE47">
        <f>'TEA Revised Non EYZ'!DD47</f>
        <v>5669750.1911314996</v>
      </c>
      <c r="EF47">
        <v>0.7</v>
      </c>
      <c r="EG47">
        <v>100</v>
      </c>
      <c r="EH47">
        <f>96485*BL47*V47/EF47/EG47/60</f>
        <v>25.518483687250757</v>
      </c>
      <c r="EI47">
        <f>96485*BN47*BA47/EF47/EG47/60</f>
        <v>45.242771370593452</v>
      </c>
      <c r="EJ47">
        <f>EH47*('CAPEX+OPEX'!$O$25+'CAPEX+OPEX'!$O$26)</f>
        <v>813325.1120800561</v>
      </c>
      <c r="EK47">
        <f>EI47*('CAPEX+OPEX'!$O$25+'CAPEX+OPEX'!$O$26)</f>
        <v>1441977.6091235545</v>
      </c>
      <c r="EL47">
        <f>EJ47*1.12/0.6*'CAPEX+OPEX'!$G$116/'CAPEX+OPEX'!$G$115</f>
        <v>1790661.6086879191</v>
      </c>
      <c r="EM47">
        <f>EK47*1.12/0.6*'CAPEX+OPEX'!$G$116/'CAPEX+OPEX'!$G$115</f>
        <v>3174737.760944711</v>
      </c>
      <c r="EN47">
        <f>EL47+EM47+DY47+EE47+1.15*(SUM(DF47:DM47)+SUM(CF47:CI47))</f>
        <v>15975731.690914156</v>
      </c>
      <c r="EO47">
        <f>EN47/15</f>
        <v>1065048.7793942771</v>
      </c>
      <c r="EP47">
        <f>('eLLE Bals'!CB47+'eLLE Bals'!CC47)*'Oxidant Feed Composition'!$N$28*60*7200</f>
        <v>17123610.745966837</v>
      </c>
      <c r="EQ47" s="53">
        <f>('eLLE Bals'!BR47+'eLLE Bals'!BY47)*'Reagent cost'!$C$38*60*7200*1.5</f>
        <v>758672.15540891688</v>
      </c>
      <c r="ER47">
        <f>'TEA Revised Non EYZ'!DI47</f>
        <v>504921.59999999998</v>
      </c>
      <c r="ES47">
        <f>'TEA Revised Non EYZ'!DJ47</f>
        <v>83.585125798276096</v>
      </c>
      <c r="ET47">
        <f>'TEA Revised Non EYZ'!DK47</f>
        <v>946.02955817807128</v>
      </c>
      <c r="EU47">
        <f>1.2*SUM(EP47:ET47)</f>
        <v>22065880.939271674</v>
      </c>
      <c r="EV47">
        <f>'TEA Revised Non EYZ'!DM47</f>
        <v>0.70639694042110623</v>
      </c>
      <c r="EW47">
        <f>(BS47*CO47+BT47*CP47)/1000*('Oxidant Feed Composition'!$B$11*'Oxidant Feed Composition'!$O$20+'Oxidant Feed Composition'!$D$11*'Oxidant Feed Composition'!$O$21+'Oxidant Feed Composition'!$F$11*'Oxidant Feed Composition'!$O$27-'Oxidant Feed Composition'!$J$15*18.015)</f>
        <v>1.7986239628627569</v>
      </c>
      <c r="EX47">
        <f>(CZ47*BX47+DC47*BZ47)*368.34/1000</f>
        <v>0.10209733242087447</v>
      </c>
      <c r="EY47">
        <f>'TEA Revised Non EYZ'!DP47</f>
        <v>4.999938342565946E-2</v>
      </c>
      <c r="EZ47">
        <f>SUM(EV47:EX47)-EY47</f>
        <v>2.5571188522790784</v>
      </c>
      <c r="FA47">
        <f>EZ47*0.33*60*7200</f>
        <v>364542.86358090542</v>
      </c>
      <c r="FB47">
        <f>'TEA Revised Non EYZ'!DS47</f>
        <v>1.2</v>
      </c>
      <c r="FC47">
        <v>0.5</v>
      </c>
      <c r="FD47">
        <f>'TEA Revised Non EYZ'!DT47</f>
        <v>1405.9477123179286</v>
      </c>
      <c r="FE47">
        <f>'TEA Revised Non EYZ'!DU47</f>
        <v>705.93982179416889</v>
      </c>
      <c r="FF47">
        <f>'TEA Revised Non EYZ'!DV47</f>
        <v>0.7</v>
      </c>
      <c r="FG47">
        <f>'TEA Revised Non EYZ'!DW47</f>
        <v>38528.386667103026</v>
      </c>
      <c r="FH47">
        <f>'TEA Revised Non EYZ'!DX47</f>
        <v>33220.879177835675</v>
      </c>
      <c r="FI47">
        <f>'TEA Revised Non EYZ'!DY47</f>
        <v>14065.291587390104</v>
      </c>
      <c r="FJ47">
        <f>'TEA Revised Non EYZ'!DZ47</f>
        <v>7450.7773575794354</v>
      </c>
      <c r="FK47">
        <f>'TEA Revised Non EYZ'!EA47</f>
        <v>7501.4888466080574</v>
      </c>
      <c r="FL47">
        <f>'TEA Revised Non EYZ'!EB47</f>
        <v>850.31717640988325</v>
      </c>
      <c r="FM47">
        <f>'TEA Revised Non EYZ'!EC47</f>
        <v>41144.233773693195</v>
      </c>
      <c r="FN47">
        <f>'TEA Revised Non EYZ'!ED47</f>
        <v>38796.12419894139</v>
      </c>
      <c r="FO47">
        <f>'TEA Revised Non EYZ'!EE47</f>
        <v>16425.778390680825</v>
      </c>
      <c r="FP47">
        <f>'TEA Revised Non EYZ'!EF47</f>
        <v>8706.0330573593965</v>
      </c>
      <c r="FQ47">
        <f>'TEA Revised Non EYZ'!EG47</f>
        <v>8760.4151416964414</v>
      </c>
      <c r="FR47">
        <f>'TEA Revised Non EYZ'!EH47</f>
        <v>426.95240422111334</v>
      </c>
      <c r="FS47">
        <f>'TEA Revised Non EYZ'!EI47</f>
        <v>215876.67777951853</v>
      </c>
      <c r="FT47">
        <f>EG47*EH47</f>
        <v>2551.8483687250759</v>
      </c>
      <c r="FU47">
        <f>EG47*EI47</f>
        <v>4524.2771370593455</v>
      </c>
      <c r="FV47">
        <f>FC47*(FT47+FU47)/(3.6*10^6)*3600*7200*0.07</f>
        <v>1783.1836274576742</v>
      </c>
      <c r="FW47">
        <f>('CAPEX+OPEX'!$C$39/7/100+0.03)*EL47</f>
        <v>92091.168446807264</v>
      </c>
      <c r="FX47">
        <f>('CAPEX+OPEX'!$C$39/7/100+0.03)*EM47</f>
        <v>163272.227705728</v>
      </c>
      <c r="FY47">
        <f>SUM(FV47:FX47)</f>
        <v>257146.57977999293</v>
      </c>
      <c r="FZ47">
        <f>FY47+FA47+FS47+EU47</f>
        <v>22903447.06041209</v>
      </c>
      <c r="GA47">
        <f>FZ47+EO47</f>
        <v>23968495.839806367</v>
      </c>
      <c r="GB47">
        <f>GA47/(BK47*60*7200)</f>
        <v>0.55482629258811034</v>
      </c>
      <c r="GC47">
        <f>'TEA Revised Non EYZ'!EM47/'TEA Revised Non EYZ'!EK47*GA47</f>
        <v>1856.1526754004346</v>
      </c>
      <c r="GD47">
        <f>'TEA Revised Non EYZ'!EN47/'TEA Revised Non EYZ'!EK47*GA47</f>
        <v>3405.8456352048552</v>
      </c>
    </row>
    <row r="48" spans="1:186">
      <c r="A48">
        <f>'TEA Revised Non EYZ'!A48</f>
        <v>7</v>
      </c>
      <c r="B48">
        <f>'TEA Revised Non EYZ'!B48</f>
        <v>1.54143585092054E-3</v>
      </c>
      <c r="C48">
        <f>'TEA Revised Non EYZ'!C48</f>
        <v>1.54143585092054E-3</v>
      </c>
      <c r="D48">
        <f>'TEA Revised Non EYZ'!D48</f>
        <v>3.4254130020456501E-4</v>
      </c>
      <c r="E48">
        <f>'TEA Revised Non EYZ'!E48</f>
        <v>0</v>
      </c>
      <c r="F48">
        <f>'TEA Revised Non EYZ'!F48</f>
        <v>0</v>
      </c>
      <c r="G48">
        <f>'TEA Revised Non EYZ'!G48</f>
        <v>0</v>
      </c>
      <c r="H48">
        <f>'TEA Revised Non EYZ'!H48</f>
        <v>1.7744466230058299E-5</v>
      </c>
      <c r="I48">
        <f>'TEA Revised Non EYZ'!I48</f>
        <v>1.2927742824924801E-8</v>
      </c>
      <c r="J48">
        <f>'TEA Revised Non EYZ'!J48</f>
        <v>3.3739048286900598E-4</v>
      </c>
      <c r="K48">
        <f>'TEA Revised Non EYZ'!K48</f>
        <v>0.13716795306346499</v>
      </c>
      <c r="L48">
        <f>'TEA Revised Non EYZ'!L48</f>
        <v>0.138764207307677</v>
      </c>
      <c r="M48">
        <f>'TEA Revised Non EYZ'!M48</f>
        <v>4.6369433969460899E-4</v>
      </c>
      <c r="N48">
        <f>'TEA Revised Non EYZ'!N48</f>
        <v>-1.1037178115902399E-16</v>
      </c>
      <c r="O48">
        <f>'TEA Revised Non EYZ'!O48</f>
        <v>-5.3700533603207003E-15</v>
      </c>
      <c r="P48">
        <f>'TEA Revised Non EYZ'!P48</f>
        <v>-3.4304834363799101E-19</v>
      </c>
      <c r="Q48">
        <f>'TEA Revised Non EYZ'!Q48</f>
        <v>0.111082169753281</v>
      </c>
      <c r="R48">
        <f>'TEA Revised Non EYZ'!R48</f>
        <v>98.496293050653193</v>
      </c>
      <c r="S48">
        <f>'TEA Revised Non EYZ'!S48</f>
        <v>500</v>
      </c>
      <c r="T48">
        <f>'TEA Revised Non EYZ'!T48</f>
        <v>95</v>
      </c>
      <c r="U48">
        <f>'TEA Revised Non EYZ'!U48</f>
        <v>1</v>
      </c>
      <c r="V48">
        <f>'TEA Revised Non EYZ'!V48</f>
        <v>0.1</v>
      </c>
      <c r="W48">
        <f>'TEA Revised Non EYZ'!W48</f>
        <v>90.023448607553206</v>
      </c>
      <c r="X48" t="str">
        <f>'TEA Revised Non EYZ'!X48</f>
        <v>ddFc</v>
      </c>
      <c r="Y48">
        <f>'TEA Revised Non EYZ'!Y48</f>
        <v>1</v>
      </c>
      <c r="Z48">
        <f>'TEA Revised Non EYZ'!Z48</f>
        <v>0.28318429382522198</v>
      </c>
      <c r="AA48">
        <f>'TEA Revised Non EYZ'!AA48</f>
        <v>0.56945642916197003</v>
      </c>
      <c r="AB48">
        <f>'TEA Revised Non EYZ'!AB48</f>
        <v>3.7698628972227502E-3</v>
      </c>
      <c r="AC48">
        <f>'TEA Revised Non EYZ'!AC48</f>
        <v>1822.2107908876901</v>
      </c>
      <c r="AD48">
        <f>'TEA Revised Non EYZ'!AD48</f>
        <v>2662.6059073104898</v>
      </c>
      <c r="AE48">
        <f>'TEA Revised Non EYZ'!AE48</f>
        <v>2401.5030938442701</v>
      </c>
      <c r="AF48">
        <f>'TEA Revised Non EYZ'!AF48</f>
        <v>10</v>
      </c>
      <c r="AG48">
        <f>'TEA Revised Non EYZ'!AG48</f>
        <v>1.64967327652189E-3</v>
      </c>
      <c r="AH48">
        <f>'TEA Revised Non EYZ'!AH48</f>
        <v>1.66887089455438E-3</v>
      </c>
      <c r="AI48">
        <f>'TEA Revised Non EYZ'!AI48</f>
        <v>5.5766973522943398E-6</v>
      </c>
      <c r="AJ48">
        <f>'TEA Revised Non EYZ'!AJ48</f>
        <v>0</v>
      </c>
      <c r="AK48">
        <f>'TEA Revised Non EYZ'!AK48</f>
        <v>0</v>
      </c>
      <c r="AL48">
        <f>'TEA Revised Non EYZ'!AL48</f>
        <v>0</v>
      </c>
      <c r="AM48">
        <f>'TEA Revised Non EYZ'!AM48</f>
        <v>1.6127176023782901E-3</v>
      </c>
      <c r="AN48">
        <f>'TEA Revised Non EYZ'!AN48</f>
        <v>7.93398614299424E-5</v>
      </c>
      <c r="AO48">
        <f>'TEA Revised Non EYZ'!AO48</f>
        <v>5.5400123786141803E-6</v>
      </c>
      <c r="AP48">
        <f>'TEA Revised Non EYZ'!AP48</f>
        <v>1.73331722315182E-3</v>
      </c>
      <c r="AQ48">
        <f>'TEA Revised Non EYZ'!AQ48</f>
        <v>7.4553139192579998E-2</v>
      </c>
      <c r="AR48">
        <f>'TEA Revised Non EYZ'!AR48</f>
        <v>1.72062066779231E-6</v>
      </c>
      <c r="AS48">
        <f>'TEA Revised Non EYZ'!AS48</f>
        <v>7.0422590285265596E-15</v>
      </c>
      <c r="AT48">
        <f>'TEA Revised Non EYZ'!AT48</f>
        <v>-7.2813760229606304E-13</v>
      </c>
      <c r="AU48">
        <f>'TEA Revised Non EYZ'!AU48</f>
        <v>6.7531025208829095E-20</v>
      </c>
      <c r="AV48">
        <f>'TEA Revised Non EYZ'!AV48</f>
        <v>0.19692558727263099</v>
      </c>
      <c r="AW48">
        <f>'TEA Revised Non EYZ'!AW48</f>
        <v>99.342173846585595</v>
      </c>
      <c r="AX48">
        <f>'TEA Revised Non EYZ'!AX48</f>
        <v>500</v>
      </c>
      <c r="AY48">
        <f>'TEA Revised Non EYZ'!AY48</f>
        <v>95</v>
      </c>
      <c r="AZ48">
        <f>'TEA Revised Non EYZ'!AZ48</f>
        <v>0.92363221637625403</v>
      </c>
      <c r="BA48">
        <f>'TEA Revised Non EYZ'!BA48</f>
        <v>0.1</v>
      </c>
      <c r="BB48">
        <f>'TEA Revised Non EYZ'!BB48</f>
        <v>46.9026005796566</v>
      </c>
      <c r="BC48" t="str">
        <f>'TEA Revised Non EYZ'!BC48</f>
        <v>coeFc</v>
      </c>
      <c r="BD48">
        <f>'TEA Revised Non EYZ'!BD48</f>
        <v>1</v>
      </c>
      <c r="BE48">
        <f>'TEA Revised Non EYZ'!BE48</f>
        <v>1.8775014999999999E-2</v>
      </c>
      <c r="BF48">
        <f>'TEA Revised Non EYZ'!BF48</f>
        <v>0.10492961100000001</v>
      </c>
      <c r="BG48">
        <f>'TEA Revised Non EYZ'!BG48</f>
        <v>1.814625E-3</v>
      </c>
      <c r="BH48">
        <f>'TEA Revised Non EYZ'!BH48</f>
        <v>285.1951444</v>
      </c>
      <c r="BI48">
        <f>'TEA Revised Non EYZ'!BI48</f>
        <v>2169.8944889999998</v>
      </c>
      <c r="BJ48">
        <f>'TEA Revised Non EYZ'!BJ48</f>
        <v>866.49409060000005</v>
      </c>
      <c r="BK48">
        <f>'TEA Revised Non EYZ'!BK48</f>
        <v>100</v>
      </c>
      <c r="BL48">
        <f>'TEA Revised Non EYZ'!BL48</f>
        <v>11.1082169753281</v>
      </c>
      <c r="BM48">
        <f>'TEA Revised Non EYZ'!BM48</f>
        <v>92.363221637625401</v>
      </c>
      <c r="BN48">
        <f>'TEA Revised Non EYZ'!BN48</f>
        <v>19.692558727263098</v>
      </c>
      <c r="BO48">
        <f>'TEA Revised Non EYZ'!BO48</f>
        <v>199.94790555590581</v>
      </c>
      <c r="BP48">
        <f>'TEA Revised Non EYZ'!BP48</f>
        <v>472.62140945431435</v>
      </c>
      <c r="BQ48">
        <f>'TEA Revised Non EYZ'!BQ48</f>
        <v>19.994790555590583</v>
      </c>
      <c r="BR48">
        <f>'TEA Revised Non EYZ'!BR48</f>
        <v>47.26214094543144</v>
      </c>
      <c r="BS48">
        <f>'eLLE Bals'!CF48</f>
        <v>6.6649301851968596</v>
      </c>
      <c r="BT48">
        <f>'eLLE Bals'!CG48</f>
        <v>11.815535236357858</v>
      </c>
      <c r="BU48">
        <f>BM48</f>
        <v>92.363221637625401</v>
      </c>
      <c r="BV48">
        <f>BU48*(AM48*2+AN48*2+AO48*3)</f>
        <v>0.31410283728023963</v>
      </c>
      <c r="BW48">
        <f>BN48*BA48*(AP48*2+AQ48*2+AR48*3)</f>
        <v>0.30046526963938347</v>
      </c>
      <c r="BX48">
        <f>BV48/(2*V48*BL48+BV48)</f>
        <v>0.12386998086541888</v>
      </c>
      <c r="BY48">
        <f>BU48*BX48</f>
        <v>11.441030496921101</v>
      </c>
      <c r="BZ48">
        <f>BW48/(2*BN48*BA48+BW48)</f>
        <v>7.0881551980498794E-2</v>
      </c>
      <c r="CA48">
        <f>2*BN48*BA48/0.04</f>
        <v>98.462793636315496</v>
      </c>
      <c r="CB48">
        <f>(BS48+BL48)*2</f>
        <v>35.54629432104992</v>
      </c>
      <c r="CC48">
        <f>(BU48+BL48)*2</f>
        <v>206.94287722590701</v>
      </c>
      <c r="CD48">
        <f>(BT48+BN48)*2</f>
        <v>63.016187927241916</v>
      </c>
      <c r="CE48">
        <f>(CA48+BN48)*2</f>
        <v>236.3107047271572</v>
      </c>
      <c r="CF48">
        <f>'TEA Revised Non EYZ'!CB48</f>
        <v>2639.3123533379567</v>
      </c>
      <c r="CG48">
        <f>'TEA Revised Non EYZ'!CC48</f>
        <v>6238.6026047969499</v>
      </c>
      <c r="CH48">
        <f>'TEA Revised Non EYZ'!CD48</f>
        <v>3188.7782491883527</v>
      </c>
      <c r="CI48">
        <f>'TEA Revised Non EYZ'!CE48</f>
        <v>48118.896367200447</v>
      </c>
      <c r="CJ48">
        <f>BL48*V48</f>
        <v>1.11082169753281</v>
      </c>
      <c r="CK48">
        <f>CJ48/2*1.2</f>
        <v>0.66649301851968601</v>
      </c>
      <c r="CL48">
        <f>'eLLE Bals'!CB48*'Oxidant Feed Composition'!$N$20</f>
        <v>3.7027389917760348E-2</v>
      </c>
      <c r="CM48">
        <f>'eLLE Bals'!CB48*'Oxidant Feed Composition'!$N$21</f>
        <v>1.8513694958880169</v>
      </c>
      <c r="CN48">
        <f>'eLLE Bals'!CB48*'Oxidant Feed Composition'!$N$22</f>
        <v>0.55541084876640501</v>
      </c>
      <c r="CO48">
        <f>CN48/CK48</f>
        <v>0.83333333333333337</v>
      </c>
      <c r="CP48">
        <f>CO48</f>
        <v>0.83333333333333337</v>
      </c>
      <c r="CQ48">
        <f>CL48/CO48</f>
        <v>4.4432867901312414E-2</v>
      </c>
      <c r="CR48">
        <f>CM48/CO48</f>
        <v>2.22164339506562</v>
      </c>
      <c r="CS48">
        <f>BN48*BA48</f>
        <v>1.9692558727263099</v>
      </c>
      <c r="CT48">
        <f>CS48/2*1.2</f>
        <v>1.1815535236357859</v>
      </c>
      <c r="CU48">
        <f>'eLLE Bals'!CC48*'Oxidant Feed Composition'!$N$20</f>
        <v>6.5641862424210357E-2</v>
      </c>
      <c r="CV48">
        <f>'eLLE Bals'!CC48*'Oxidant Feed Composition'!$N$21</f>
        <v>3.2820931212105164</v>
      </c>
      <c r="CW48">
        <f>'eLLE Bals'!CC48*'Oxidant Feed Composition'!$N$22</f>
        <v>0.98462793636315493</v>
      </c>
      <c r="CX48">
        <f>CU48/CP48</f>
        <v>7.8770234909052425E-2</v>
      </c>
      <c r="CY48">
        <f>CV48/CP48</f>
        <v>3.9385117454526197</v>
      </c>
      <c r="CZ48">
        <f>CJ48</f>
        <v>1.11082169753281</v>
      </c>
      <c r="DA48">
        <f>'eLLE Bals'!BQ48</f>
        <v>2.22164339506562</v>
      </c>
      <c r="DB48">
        <f>'eLLE Bals'!BU48</f>
        <v>5.6351773490843637</v>
      </c>
      <c r="DC48">
        <f>CS48</f>
        <v>1.9692558727263099</v>
      </c>
      <c r="DD48">
        <f>'eLLE Bals'!BX48</f>
        <v>3.9385117454526197</v>
      </c>
      <c r="DE48">
        <f>'eLLE Bals'!CA48</f>
        <v>21.874579377667025</v>
      </c>
      <c r="DF48">
        <f>2*2*(CJ48*'Reagent cost'!$C$36*122.44/1000*1.5+CK48*'Oxidant Feed Composition'!$N$26+CQ48*'Reagent cost'!$C$34+CR48*'Reagent cost'!$C$35)</f>
        <v>113.03847925623893</v>
      </c>
      <c r="DG48">
        <f>2*2*(CS48*'Reagent cost'!$C$36*122.44/1000*1.5+CT48*'Oxidant Feed Composition'!$N$26+CX48*'Reagent cost'!$C$34+CY48*'Reagent cost'!$C$35)</f>
        <v>200.39371720394823</v>
      </c>
      <c r="DH48">
        <f>(AF48+3)*2*(CZ48*'Reagent cost'!$C$38+DA48*'Reagent cost'!$C$39+DB48*'Reagent cost'!$C$36*122.44/1000*1.5)</f>
        <v>2029.0479461231423</v>
      </c>
      <c r="DI48">
        <f>3*2*(DC48*'Reagent cost'!$C$38+DD48*'Reagent cost'!$C$39+DE48*'Reagent cost'!$C$36*122.44/1000*1.5)</f>
        <v>1754.9584882971085</v>
      </c>
      <c r="DJ48">
        <f>7963.6*(CB48/1000)^0.6*1.7*('CAPEX+OPEX'!$G$116/'CAPEX+OPEX'!$G$115)</f>
        <v>2156.3414312027717</v>
      </c>
      <c r="DK48">
        <f>7963.6*(CC48/1000)^0.6*1.7*('CAPEX+OPEX'!$G$116/'CAPEX+OPEX'!$G$115)</f>
        <v>6205.1347590783025</v>
      </c>
      <c r="DL48">
        <f>7963.6*(CD48/1000)^0.6*1.7*('CAPEX+OPEX'!$G$116/'CAPEX+OPEX'!$G$115)</f>
        <v>3040.2703523468736</v>
      </c>
      <c r="DM48">
        <f>7963.6*(CE48/1000)^0.6*1.7*('CAPEX+OPEX'!$G$116/'CAPEX+OPEX'!$G$115)</f>
        <v>6719.4072724899679</v>
      </c>
      <c r="DN48">
        <f>'TEA Revised Non EYZ'!CM48</f>
        <v>39625.826528698344</v>
      </c>
      <c r="DO48">
        <f>'TEA Revised Non EYZ'!CN48</f>
        <v>4586243.4239371875</v>
      </c>
      <c r="DP48">
        <f>'TEA Revised Non EYZ'!CO48</f>
        <v>11794834.586807497</v>
      </c>
      <c r="DQ48">
        <f>'TEA Revised Non EYZ'!CP48</f>
        <v>2275209.1661185985</v>
      </c>
      <c r="DR48">
        <f>'TEA Revised Non EYZ'!CQ48</f>
        <v>14083914.336508472</v>
      </c>
      <c r="DS48">
        <f>'TEA Revised Non EYZ'!CR48</f>
        <v>1662824.8986326549</v>
      </c>
      <c r="DT48">
        <f>'TEA Revised Non EYZ'!CS48</f>
        <v>700033.84449786716</v>
      </c>
      <c r="DU48">
        <f>'TEA Revised Non EYZ'!CT48</f>
        <v>1800336.9288957189</v>
      </c>
      <c r="DV48">
        <f>'TEA Revised Non EYZ'!CU48</f>
        <v>347282.79168127343</v>
      </c>
      <c r="DW48">
        <f>'TEA Revised Non EYZ'!CV48</f>
        <v>2149736.8951473436</v>
      </c>
      <c r="DX48">
        <f>'TEA Revised Non EYZ'!CW48</f>
        <v>253809.83932102245</v>
      </c>
      <c r="DY48">
        <f>'TEA Revised Non EYZ'!CX48</f>
        <v>5251200.2995432261</v>
      </c>
      <c r="DZ48">
        <f>'TEA Revised Non EYZ'!CY48</f>
        <v>800313.21584557055</v>
      </c>
      <c r="EA48">
        <f>'TEA Revised Non EYZ'!CZ48</f>
        <v>2058233.9675356387</v>
      </c>
      <c r="EB48">
        <f>'TEA Revised Non EYZ'!DA48</f>
        <v>397030.81501385069</v>
      </c>
      <c r="EC48">
        <f>'TEA Revised Non EYZ'!DB48</f>
        <v>2457685.2409347831</v>
      </c>
      <c r="ED48">
        <f>'TEA Revised Non EYZ'!DC48</f>
        <v>290167.92590357957</v>
      </c>
      <c r="EE48">
        <f>'TEA Revised Non EYZ'!DD48</f>
        <v>6003431.1652334221</v>
      </c>
      <c r="EF48">
        <v>0.7</v>
      </c>
      <c r="EG48">
        <v>100</v>
      </c>
      <c r="EH48">
        <f>96485*BL48*V48/EF48/EG48/60</f>
        <v>25.518483687250757</v>
      </c>
      <c r="EI48">
        <f>96485*BN48*BA48/EF48/EG48/60</f>
        <v>45.238964971428096</v>
      </c>
      <c r="EJ48">
        <f>EH48*('CAPEX+OPEX'!$O$25+'CAPEX+OPEX'!$O$26)</f>
        <v>813325.1120800561</v>
      </c>
      <c r="EK48">
        <f>EI48*('CAPEX+OPEX'!$O$25+'CAPEX+OPEX'!$O$26)</f>
        <v>1441856.2915693563</v>
      </c>
      <c r="EL48">
        <f>EJ48*1.12/0.6*'CAPEX+OPEX'!$G$116/'CAPEX+OPEX'!$G$115</f>
        <v>1790661.6086879191</v>
      </c>
      <c r="EM48">
        <f>EK48*1.12/0.6*'CAPEX+OPEX'!$G$116/'CAPEX+OPEX'!$G$115</f>
        <v>3174470.6614988246</v>
      </c>
      <c r="EN48">
        <f>EL48+EM48+DY48+EE48+1.15*(SUM(DF48:DM48)+SUM(CF48:CI48))</f>
        <v>16314528.544286991</v>
      </c>
      <c r="EO48">
        <f>EN48/15</f>
        <v>1087635.2362857994</v>
      </c>
      <c r="EP48">
        <f>('eLLE Bals'!CB48+'eLLE Bals'!CC48)*'Oxidant Feed Composition'!$N$28*60*7200</f>
        <v>17122689.630342219</v>
      </c>
      <c r="EQ48" s="53">
        <f>('eLLE Bals'!BR48+'eLLE Bals'!BY48)*'Reagent cost'!$C$38*60*7200*1.5</f>
        <v>758669.5933824263</v>
      </c>
      <c r="ER48">
        <f>'TEA Revised Non EYZ'!DI48</f>
        <v>504921.59999999998</v>
      </c>
      <c r="ES48">
        <f>'TEA Revised Non EYZ'!DJ48</f>
        <v>88.779149581349074</v>
      </c>
      <c r="ET48">
        <f>'TEA Revised Non EYZ'!DK48</f>
        <v>1026.1534923277761</v>
      </c>
      <c r="EU48">
        <f>1.2*SUM(EP48:ET48)</f>
        <v>22064874.907639865</v>
      </c>
      <c r="EV48">
        <f>'TEA Revised Non EYZ'!DM48</f>
        <v>0.70639694042110623</v>
      </c>
      <c r="EW48">
        <f>(BS48*CO48+BT48*CP48)/1000*('Oxidant Feed Composition'!$B$11*'Oxidant Feed Composition'!$O$20+'Oxidant Feed Composition'!$D$11*'Oxidant Feed Composition'!$O$21+'Oxidant Feed Composition'!$F$11*'Oxidant Feed Composition'!$O$27-'Oxidant Feed Composition'!$J$15*18.015)</f>
        <v>1.7985272110351445</v>
      </c>
      <c r="EX48">
        <f>(CZ48*BX48+DC48*BZ48)*368.34/1000</f>
        <v>0.10209698763944491</v>
      </c>
      <c r="EY48">
        <f>'TEA Revised Non EYZ'!DP48</f>
        <v>4.999938342565946E-2</v>
      </c>
      <c r="EZ48">
        <f>SUM(EV48:EX48)-EY48</f>
        <v>2.5570217556700361</v>
      </c>
      <c r="FA48">
        <f>EZ48*0.33*60*7200</f>
        <v>364529.02148832043</v>
      </c>
      <c r="FB48">
        <f>'TEA Revised Non EYZ'!DS48</f>
        <v>1.2</v>
      </c>
      <c r="FC48">
        <v>0.5</v>
      </c>
      <c r="FD48">
        <f>'TEA Revised Non EYZ'!DT48</f>
        <v>1405.9574213625024</v>
      </c>
      <c r="FE48">
        <f>'TEA Revised Non EYZ'!DU48</f>
        <v>705.93011307507709</v>
      </c>
      <c r="FF48">
        <f>'TEA Revised Non EYZ'!DV48</f>
        <v>0.7</v>
      </c>
      <c r="FG48">
        <f>'TEA Revised Non EYZ'!DW48</f>
        <v>38528.386667103026</v>
      </c>
      <c r="FH48">
        <f>'TEA Revised Non EYZ'!DX48</f>
        <v>33220.879177835675</v>
      </c>
      <c r="FI48">
        <f>'TEA Revised Non EYZ'!DY48</f>
        <v>14065.291587390104</v>
      </c>
      <c r="FJ48">
        <f>'TEA Revised Non EYZ'!DZ48</f>
        <v>7450.7773575794354</v>
      </c>
      <c r="FK48">
        <f>'TEA Revised Non EYZ'!EA48</f>
        <v>7501.4888466080574</v>
      </c>
      <c r="FL48">
        <f>'TEA Revised Non EYZ'!EB48</f>
        <v>850.32304844004148</v>
      </c>
      <c r="FM48">
        <f>'TEA Revised Non EYZ'!EC48</f>
        <v>43715.748384549021</v>
      </c>
      <c r="FN48">
        <f>'TEA Revised Non EYZ'!ED48</f>
        <v>42675.736618835523</v>
      </c>
      <c r="FO48">
        <f>'TEA Revised Non EYZ'!EE48</f>
        <v>18068.356229748908</v>
      </c>
      <c r="FP48">
        <f>'TEA Revised Non EYZ'!EF48</f>
        <v>9576.6363630953347</v>
      </c>
      <c r="FQ48">
        <f>'TEA Revised Non EYZ'!EG48</f>
        <v>9636.4566558660845</v>
      </c>
      <c r="FR48">
        <f>'TEA Revised Non EYZ'!EH48</f>
        <v>426.94653238780671</v>
      </c>
      <c r="FS48">
        <f>'TEA Revised Non EYZ'!EI48</f>
        <v>225717.02746943905</v>
      </c>
      <c r="FT48">
        <f>EG48*EH48</f>
        <v>2551.8483687250759</v>
      </c>
      <c r="FU48">
        <f>EG48*EI48</f>
        <v>4523.8964971428095</v>
      </c>
      <c r="FV48">
        <f>FC48*(FT48+FU48)/(3.6*10^6)*3600*7200*0.07</f>
        <v>1783.0877061987076</v>
      </c>
      <c r="FW48">
        <f>('CAPEX+OPEX'!$C$39/7/100+0.03)*EL48</f>
        <v>92091.168446807264</v>
      </c>
      <c r="FX48">
        <f>('CAPEX+OPEX'!$C$39/7/100+0.03)*EM48</f>
        <v>163258.49116279668</v>
      </c>
      <c r="FY48">
        <f>SUM(FV48:FX48)</f>
        <v>257132.74731580267</v>
      </c>
      <c r="FZ48">
        <f>FY48+FA48+FS48+EU48</f>
        <v>22912253.703913428</v>
      </c>
      <c r="GA48">
        <f>FZ48+EO48</f>
        <v>23999888.940199226</v>
      </c>
      <c r="GB48">
        <f>GA48/(BK48*60*7200)</f>
        <v>0.5555529847268339</v>
      </c>
      <c r="GC48">
        <f>'TEA Revised Non EYZ'!EM48/'TEA Revised Non EYZ'!EK48*GA48</f>
        <v>1858.570956430601</v>
      </c>
      <c r="GD48">
        <f>'TEA Revised Non EYZ'!EN48/'TEA Revised Non EYZ'!EK48*GA48</f>
        <v>3410.3497328511012</v>
      </c>
    </row>
    <row r="49" spans="1:186">
      <c r="A49">
        <f>'TEA Revised Non EYZ'!A49</f>
        <v>7</v>
      </c>
      <c r="B49">
        <f>'TEA Revised Non EYZ'!B49</f>
        <v>1.54143585092054E-3</v>
      </c>
      <c r="C49">
        <f>'TEA Revised Non EYZ'!C49</f>
        <v>1.54143585092054E-3</v>
      </c>
      <c r="D49">
        <f>'TEA Revised Non EYZ'!D49</f>
        <v>3.4254130020456501E-4</v>
      </c>
      <c r="E49">
        <f>'TEA Revised Non EYZ'!E49</f>
        <v>0</v>
      </c>
      <c r="F49">
        <f>'TEA Revised Non EYZ'!F49</f>
        <v>0</v>
      </c>
      <c r="G49">
        <f>'TEA Revised Non EYZ'!G49</f>
        <v>0</v>
      </c>
      <c r="H49">
        <f>'TEA Revised Non EYZ'!H49</f>
        <v>1.7744466230058299E-5</v>
      </c>
      <c r="I49">
        <f>'TEA Revised Non EYZ'!I49</f>
        <v>1.2927742824924801E-8</v>
      </c>
      <c r="J49">
        <f>'TEA Revised Non EYZ'!J49</f>
        <v>3.3739048286900598E-4</v>
      </c>
      <c r="K49">
        <f>'TEA Revised Non EYZ'!K49</f>
        <v>0.13716795306346499</v>
      </c>
      <c r="L49">
        <f>'TEA Revised Non EYZ'!L49</f>
        <v>0.138764207307677</v>
      </c>
      <c r="M49">
        <f>'TEA Revised Non EYZ'!M49</f>
        <v>4.6369433969460899E-4</v>
      </c>
      <c r="N49">
        <f>'TEA Revised Non EYZ'!N49</f>
        <v>-1.1037178115902399E-16</v>
      </c>
      <c r="O49">
        <f>'TEA Revised Non EYZ'!O49</f>
        <v>-5.3700533603207003E-15</v>
      </c>
      <c r="P49">
        <f>'TEA Revised Non EYZ'!P49</f>
        <v>-3.4304834363799101E-19</v>
      </c>
      <c r="Q49">
        <f>'TEA Revised Non EYZ'!Q49</f>
        <v>0.111082169753281</v>
      </c>
      <c r="R49">
        <f>'TEA Revised Non EYZ'!R49</f>
        <v>98.496293050653193</v>
      </c>
      <c r="S49">
        <f>'TEA Revised Non EYZ'!S49</f>
        <v>500</v>
      </c>
      <c r="T49">
        <f>'TEA Revised Non EYZ'!T49</f>
        <v>95</v>
      </c>
      <c r="U49">
        <f>'TEA Revised Non EYZ'!U49</f>
        <v>1</v>
      </c>
      <c r="V49">
        <f>'TEA Revised Non EYZ'!V49</f>
        <v>0.1</v>
      </c>
      <c r="W49">
        <f>'TEA Revised Non EYZ'!W49</f>
        <v>90.023448607553206</v>
      </c>
      <c r="X49" t="str">
        <f>'TEA Revised Non EYZ'!X49</f>
        <v>ddFc</v>
      </c>
      <c r="Y49">
        <f>'TEA Revised Non EYZ'!Y49</f>
        <v>1</v>
      </c>
      <c r="Z49">
        <f>'TEA Revised Non EYZ'!Z49</f>
        <v>0.28318429382522198</v>
      </c>
      <c r="AA49">
        <f>'TEA Revised Non EYZ'!AA49</f>
        <v>0.56945642916197003</v>
      </c>
      <c r="AB49">
        <f>'TEA Revised Non EYZ'!AB49</f>
        <v>3.7698628972227502E-3</v>
      </c>
      <c r="AC49">
        <f>'TEA Revised Non EYZ'!AC49</f>
        <v>1822.2107908876901</v>
      </c>
      <c r="AD49">
        <f>'TEA Revised Non EYZ'!AD49</f>
        <v>2662.6059073104898</v>
      </c>
      <c r="AE49">
        <f>'TEA Revised Non EYZ'!AE49</f>
        <v>2401.5030938442701</v>
      </c>
      <c r="AF49">
        <f>'TEA Revised Non EYZ'!AF49</f>
        <v>11</v>
      </c>
      <c r="AG49">
        <f>'TEA Revised Non EYZ'!AG49</f>
        <v>1.64967327652189E-3</v>
      </c>
      <c r="AH49">
        <f>'TEA Revised Non EYZ'!AH49</f>
        <v>1.66887089455438E-3</v>
      </c>
      <c r="AI49">
        <f>'TEA Revised Non EYZ'!AI49</f>
        <v>5.5766973522943398E-6</v>
      </c>
      <c r="AJ49">
        <f>'TEA Revised Non EYZ'!AJ49</f>
        <v>0</v>
      </c>
      <c r="AK49">
        <f>'TEA Revised Non EYZ'!AK49</f>
        <v>0</v>
      </c>
      <c r="AL49">
        <f>'TEA Revised Non EYZ'!AL49</f>
        <v>0</v>
      </c>
      <c r="AM49">
        <f>'TEA Revised Non EYZ'!AM49</f>
        <v>1.6127207366253499E-3</v>
      </c>
      <c r="AN49">
        <f>'TEA Revised Non EYZ'!AN49</f>
        <v>7.9340023409112399E-5</v>
      </c>
      <c r="AO49">
        <f>'TEA Revised Non EYZ'!AO49</f>
        <v>5.5400153606251003E-6</v>
      </c>
      <c r="AP49">
        <f>'TEA Revised Non EYZ'!AP49</f>
        <v>1.7332112363545699E-3</v>
      </c>
      <c r="AQ49">
        <f>'TEA Revised Non EYZ'!AQ49</f>
        <v>7.4554895947902003E-2</v>
      </c>
      <c r="AR49">
        <f>'TEA Revised Non EYZ'!AR49</f>
        <v>1.7205215207154199E-6</v>
      </c>
      <c r="AS49">
        <f>'TEA Revised Non EYZ'!AS49</f>
        <v>2.2210084791272899E-15</v>
      </c>
      <c r="AT49">
        <f>'TEA Revised Non EYZ'!AT49</f>
        <v>-2.21852267459632E-13</v>
      </c>
      <c r="AU49">
        <f>'TEA Revised Non EYZ'!AU49</f>
        <v>1.5524525736395199E-20</v>
      </c>
      <c r="AV49">
        <f>'TEA Revised Non EYZ'!AV49</f>
        <v>0.19692092693176799</v>
      </c>
      <c r="AW49">
        <f>'TEA Revised Non EYZ'!AW49</f>
        <v>99.3422273192906</v>
      </c>
      <c r="AX49">
        <f>'TEA Revised Non EYZ'!AX49</f>
        <v>500</v>
      </c>
      <c r="AY49">
        <f>'TEA Revised Non EYZ'!AY49</f>
        <v>95</v>
      </c>
      <c r="AZ49">
        <f>'TEA Revised Non EYZ'!AZ49</f>
        <v>0.92363221637625403</v>
      </c>
      <c r="BA49">
        <f>'TEA Revised Non EYZ'!BA49</f>
        <v>0.1</v>
      </c>
      <c r="BB49">
        <f>'TEA Revised Non EYZ'!BB49</f>
        <v>46.903710579032897</v>
      </c>
      <c r="BC49" t="str">
        <f>'TEA Revised Non EYZ'!BC49</f>
        <v>coeFc</v>
      </c>
      <c r="BD49">
        <f>'TEA Revised Non EYZ'!BD49</f>
        <v>1</v>
      </c>
      <c r="BE49">
        <f>'TEA Revised Non EYZ'!BE49</f>
        <v>1.8775014999999999E-2</v>
      </c>
      <c r="BF49">
        <f>'TEA Revised Non EYZ'!BF49</f>
        <v>0.10492961100000001</v>
      </c>
      <c r="BG49">
        <f>'TEA Revised Non EYZ'!BG49</f>
        <v>1.814625E-3</v>
      </c>
      <c r="BH49">
        <f>'TEA Revised Non EYZ'!BH49</f>
        <v>285.1951444</v>
      </c>
      <c r="BI49">
        <f>'TEA Revised Non EYZ'!BI49</f>
        <v>2169.8944889999998</v>
      </c>
      <c r="BJ49">
        <f>'TEA Revised Non EYZ'!BJ49</f>
        <v>866.49409060000005</v>
      </c>
      <c r="BK49">
        <f>'TEA Revised Non EYZ'!BK49</f>
        <v>100</v>
      </c>
      <c r="BL49">
        <f>'TEA Revised Non EYZ'!BL49</f>
        <v>11.1082169753281</v>
      </c>
      <c r="BM49">
        <f>'TEA Revised Non EYZ'!BM49</f>
        <v>92.363221637625401</v>
      </c>
      <c r="BN49">
        <f>'TEA Revised Non EYZ'!BN49</f>
        <v>19.6920926931768</v>
      </c>
      <c r="BO49">
        <f>'TEA Revised Non EYZ'!BO49</f>
        <v>199.94790555590581</v>
      </c>
      <c r="BP49">
        <f>'TEA Revised Non EYZ'!BP49</f>
        <v>511.99441002259681</v>
      </c>
      <c r="BQ49">
        <f>'TEA Revised Non EYZ'!BQ49</f>
        <v>19.994790555590583</v>
      </c>
      <c r="BR49">
        <f>'TEA Revised Non EYZ'!BR49</f>
        <v>51.199441002259682</v>
      </c>
      <c r="BS49">
        <f>'eLLE Bals'!CF49</f>
        <v>6.6649301851968596</v>
      </c>
      <c r="BT49">
        <f>'eLLE Bals'!CG49</f>
        <v>11.81525561590608</v>
      </c>
      <c r="BU49">
        <f>BM49</f>
        <v>92.363221637625401</v>
      </c>
      <c r="BV49">
        <f>BU49*(AM49*2+AN49*2+AO49*3)</f>
        <v>0.31410344700667164</v>
      </c>
      <c r="BW49">
        <f>BN49*BA49*(AP49*2+AQ49*2+AR49*3)</f>
        <v>0.30046465981265746</v>
      </c>
      <c r="BX49">
        <f>BV49/(2*V49*BL49+BV49)</f>
        <v>0.12387019153299092</v>
      </c>
      <c r="BY49">
        <f>BU49*BX49</f>
        <v>11.44104995485675</v>
      </c>
      <c r="BZ49">
        <f>BW49/(2*BN49*BA49+BW49)</f>
        <v>7.0882976894165561E-2</v>
      </c>
      <c r="CA49">
        <f>2*BN49*BA49/0.04</f>
        <v>98.460463465884004</v>
      </c>
      <c r="CB49">
        <f>(BS49+BL49)*2</f>
        <v>35.54629432104992</v>
      </c>
      <c r="CC49">
        <f>(BU49+BL49)*2</f>
        <v>206.94287722590701</v>
      </c>
      <c r="CD49">
        <f>(BT49+BN49)*2</f>
        <v>63.014696618165758</v>
      </c>
      <c r="CE49">
        <f>(CA49+BN49)*2</f>
        <v>236.30511231812162</v>
      </c>
      <c r="CF49">
        <f>'TEA Revised Non EYZ'!CB49</f>
        <v>2639.3123533379567</v>
      </c>
      <c r="CG49">
        <f>'TEA Revised Non EYZ'!CC49</f>
        <v>6758.3262122982787</v>
      </c>
      <c r="CH49">
        <f>'TEA Revised Non EYZ'!CD49</f>
        <v>3188.7782491883527</v>
      </c>
      <c r="CI49">
        <f>'TEA Revised Non EYZ'!CE49</f>
        <v>52127.570744009543</v>
      </c>
      <c r="CJ49">
        <f>BL49*V49</f>
        <v>1.11082169753281</v>
      </c>
      <c r="CK49">
        <f>CJ49/2*1.2</f>
        <v>0.66649301851968601</v>
      </c>
      <c r="CL49">
        <f>'eLLE Bals'!CB49*'Oxidant Feed Composition'!$N$20</f>
        <v>3.7027389917760348E-2</v>
      </c>
      <c r="CM49">
        <f>'eLLE Bals'!CB49*'Oxidant Feed Composition'!$N$21</f>
        <v>1.8513694958880169</v>
      </c>
      <c r="CN49">
        <f>'eLLE Bals'!CB49*'Oxidant Feed Composition'!$N$22</f>
        <v>0.55541084876640501</v>
      </c>
      <c r="CO49">
        <f>CN49/CK49</f>
        <v>0.83333333333333337</v>
      </c>
      <c r="CP49">
        <f>CO49</f>
        <v>0.83333333333333337</v>
      </c>
      <c r="CQ49">
        <f>CL49/CO49</f>
        <v>4.4432867901312414E-2</v>
      </c>
      <c r="CR49">
        <f>CM49/CO49</f>
        <v>2.22164339506562</v>
      </c>
      <c r="CS49">
        <f>BN49*BA49</f>
        <v>1.9692092693176801</v>
      </c>
      <c r="CT49">
        <f>CS49/2*1.2</f>
        <v>1.181525561590608</v>
      </c>
      <c r="CU49">
        <f>'eLLE Bals'!CC49*'Oxidant Feed Composition'!$N$20</f>
        <v>6.5640308977256034E-2</v>
      </c>
      <c r="CV49">
        <f>'eLLE Bals'!CC49*'Oxidant Feed Composition'!$N$21</f>
        <v>3.2820154488628002</v>
      </c>
      <c r="CW49">
        <f>'eLLE Bals'!CC49*'Oxidant Feed Composition'!$N$22</f>
        <v>0.98460463465884007</v>
      </c>
      <c r="CX49">
        <f>CU49/CP49</f>
        <v>7.8768370772707236E-2</v>
      </c>
      <c r="CY49">
        <f>CV49/CP49</f>
        <v>3.9384185386353598</v>
      </c>
      <c r="CZ49">
        <f>CJ49</f>
        <v>1.11082169753281</v>
      </c>
      <c r="DA49">
        <f>'eLLE Bals'!BQ49</f>
        <v>2.22164339506562</v>
      </c>
      <c r="DB49">
        <f>'eLLE Bals'!BU49</f>
        <v>5.6351620969941907</v>
      </c>
      <c r="DC49">
        <f>CS49</f>
        <v>1.9692092693176801</v>
      </c>
      <c r="DD49">
        <f>'eLLE Bals'!BX49</f>
        <v>3.9384185386353603</v>
      </c>
      <c r="DE49">
        <f>'eLLE Bals'!CA49</f>
        <v>21.873503228034352</v>
      </c>
      <c r="DF49">
        <f>2*2*(CJ49*'Reagent cost'!$C$36*122.44/1000*1.5+CK49*'Oxidant Feed Composition'!$N$26+CQ49*'Reagent cost'!$C$34+CR49*'Reagent cost'!$C$35)</f>
        <v>113.03847925623893</v>
      </c>
      <c r="DG49">
        <f>2*2*(CS49*'Reagent cost'!$C$36*122.44/1000*1.5+CT49*'Oxidant Feed Composition'!$N$26+CX49*'Reagent cost'!$C$34+CY49*'Reagent cost'!$C$35)</f>
        <v>200.38897478808497</v>
      </c>
      <c r="DH49">
        <f>(AF49+3)*2*(CZ49*'Reagent cost'!$C$38+DA49*'Reagent cost'!$C$39+DB49*'Reagent cost'!$C$36*122.44/1000*1.5)</f>
        <v>2185.1230183847647</v>
      </c>
      <c r="DI49">
        <f>3*2*(DC49*'Reagent cost'!$C$38+DD49*'Reagent cost'!$C$39+DE49*'Reagent cost'!$C$36*122.44/1000*1.5)</f>
        <v>1754.8734954329739</v>
      </c>
      <c r="DJ49">
        <f>7963.6*(CB49/1000)^0.6*1.7*('CAPEX+OPEX'!$G$116/'CAPEX+OPEX'!$G$115)</f>
        <v>2156.3414312027717</v>
      </c>
      <c r="DK49">
        <f>7963.6*(CC49/1000)^0.6*1.7*('CAPEX+OPEX'!$G$116/'CAPEX+OPEX'!$G$115)</f>
        <v>6205.1347590783025</v>
      </c>
      <c r="DL49">
        <f>7963.6*(CD49/1000)^0.6*1.7*('CAPEX+OPEX'!$G$116/'CAPEX+OPEX'!$G$115)</f>
        <v>3040.2271824467625</v>
      </c>
      <c r="DM49">
        <f>7963.6*(CE49/1000)^0.6*1.7*('CAPEX+OPEX'!$G$116/'CAPEX+OPEX'!$G$115)</f>
        <v>6719.3118611919108</v>
      </c>
      <c r="DN49">
        <f>'TEA Revised Non EYZ'!CM49</f>
        <v>39625.826528698344</v>
      </c>
      <c r="DO49">
        <f>'TEA Revised Non EYZ'!CN49</f>
        <v>4586243.4239371875</v>
      </c>
      <c r="DP49">
        <f>'TEA Revised Non EYZ'!CO49</f>
        <v>11794834.586807497</v>
      </c>
      <c r="DQ49">
        <f>'TEA Revised Non EYZ'!CP49</f>
        <v>2275209.1661185985</v>
      </c>
      <c r="DR49">
        <f>'TEA Revised Non EYZ'!CQ49</f>
        <v>14083914.336508472</v>
      </c>
      <c r="DS49">
        <f>'TEA Revised Non EYZ'!CR49</f>
        <v>1662824.8986326549</v>
      </c>
      <c r="DT49">
        <f>'TEA Revised Non EYZ'!CS49</f>
        <v>700033.84449786716</v>
      </c>
      <c r="DU49">
        <f>'TEA Revised Non EYZ'!CT49</f>
        <v>1800336.9288957189</v>
      </c>
      <c r="DV49">
        <f>'TEA Revised Non EYZ'!CU49</f>
        <v>347282.79168127343</v>
      </c>
      <c r="DW49">
        <f>'TEA Revised Non EYZ'!CV49</f>
        <v>2149736.8951473436</v>
      </c>
      <c r="DX49">
        <f>'TEA Revised Non EYZ'!CW49</f>
        <v>253809.83932102245</v>
      </c>
      <c r="DY49">
        <f>'TEA Revised Non EYZ'!CX49</f>
        <v>5251200.2995432261</v>
      </c>
      <c r="DZ49">
        <f>'TEA Revised Non EYZ'!CY49</f>
        <v>843204.90681236121</v>
      </c>
      <c r="EA49">
        <f>'TEA Revised Non EYZ'!CZ49</f>
        <v>2168542.1987693524</v>
      </c>
      <c r="EB49">
        <f>'TEA Revised Non EYZ'!DA49</f>
        <v>418309.13790631329</v>
      </c>
      <c r="EC49">
        <f>'TEA Revised Non EYZ'!DB49</f>
        <v>2589401.5162138832</v>
      </c>
      <c r="ED49">
        <f>'TEA Revised Non EYZ'!DC49</f>
        <v>305719.07857720047</v>
      </c>
      <c r="EE49">
        <f>'TEA Revised Non EYZ'!DD49</f>
        <v>6325176.8382791113</v>
      </c>
      <c r="EF49">
        <v>0.7</v>
      </c>
      <c r="EG49">
        <v>100</v>
      </c>
      <c r="EH49">
        <f>96485*BL49*V49/EF49/EG49/60</f>
        <v>25.518483687250757</v>
      </c>
      <c r="EI49">
        <f>96485*BN49*BA49/EF49/EG49/60</f>
        <v>45.237894369075327</v>
      </c>
      <c r="EJ49">
        <f>EH49*('CAPEX+OPEX'!$O$25+'CAPEX+OPEX'!$O$26)</f>
        <v>813325.1120800561</v>
      </c>
      <c r="EK49">
        <f>EI49*('CAPEX+OPEX'!$O$25+'CAPEX+OPEX'!$O$26)</f>
        <v>1441822.1693311688</v>
      </c>
      <c r="EL49">
        <f>EJ49*1.12/0.6*'CAPEX+OPEX'!$G$116/'CAPEX+OPEX'!$G$115</f>
        <v>1790661.6086879191</v>
      </c>
      <c r="EM49">
        <f>EK49*1.12/0.6*'CAPEX+OPEX'!$G$116/'CAPEX+OPEX'!$G$115</f>
        <v>3174395.5360895419</v>
      </c>
      <c r="EN49">
        <f>EL49+EM49+DY49+EE49+1.15*(SUM(DF49:DM49)+SUM(CF49:CI49))</f>
        <v>16641585.973374506</v>
      </c>
      <c r="EO49">
        <f>EN49/15</f>
        <v>1109439.0648916338</v>
      </c>
      <c r="EP49">
        <f>('eLLE Bals'!CB49+'eLLE Bals'!CC49)*'Oxidant Feed Composition'!$N$28*60*7200</f>
        <v>17122430.553847075</v>
      </c>
      <c r="EQ49" s="53">
        <f>('eLLE Bals'!BR49+'eLLE Bals'!BY49)*'Reagent cost'!$C$38*60*7200*1.5</f>
        <v>758668.87255786499</v>
      </c>
      <c r="ER49">
        <f>'TEA Revised Non EYZ'!DI49</f>
        <v>504921.59999999998</v>
      </c>
      <c r="ES49">
        <f>'TEA Revised Non EYZ'!DJ49</f>
        <v>93.976385656362368</v>
      </c>
      <c r="ET49">
        <f>'TEA Revised Non EYZ'!DK49</f>
        <v>1106.3269798639581</v>
      </c>
      <c r="EU49">
        <f>1.2*SUM(EP49:ET49)</f>
        <v>22064665.595724553</v>
      </c>
      <c r="EV49">
        <f>'TEA Revised Non EYZ'!DM49</f>
        <v>0.70639694042110623</v>
      </c>
      <c r="EW49">
        <f>(BS49*CO49+BT49*CP49)/1000*('Oxidant Feed Composition'!$B$11*'Oxidant Feed Composition'!$O$20+'Oxidant Feed Composition'!$D$11*'Oxidant Feed Composition'!$O$21+'Oxidant Feed Composition'!$F$11*'Oxidant Feed Composition'!$O$27-'Oxidant Feed Composition'!$J$15*18.015)</f>
        <v>1.7984999982469485</v>
      </c>
      <c r="EX49">
        <f>(CZ49*BX49+DC49*BZ49)*368.34/1000</f>
        <v>0.10209689063540392</v>
      </c>
      <c r="EY49">
        <f>'TEA Revised Non EYZ'!DP49</f>
        <v>4.999938342565946E-2</v>
      </c>
      <c r="EZ49">
        <f>SUM(EV49:EX49)-EY49</f>
        <v>2.5569944458777996</v>
      </c>
      <c r="FA49">
        <f>EZ49*0.33*60*7200</f>
        <v>364525.12820433913</v>
      </c>
      <c r="FB49">
        <f>'TEA Revised Non EYZ'!DS49</f>
        <v>1.2</v>
      </c>
      <c r="FC49">
        <v>0.5</v>
      </c>
      <c r="FD49">
        <f>'TEA Revised Non EYZ'!DT49</f>
        <v>1405.9601521286265</v>
      </c>
      <c r="FE49">
        <f>'TEA Revised Non EYZ'!DU49</f>
        <v>705.927382080764</v>
      </c>
      <c r="FF49">
        <f>'TEA Revised Non EYZ'!DV49</f>
        <v>0.7</v>
      </c>
      <c r="FG49">
        <f>'TEA Revised Non EYZ'!DW49</f>
        <v>38528.386667103026</v>
      </c>
      <c r="FH49">
        <f>'TEA Revised Non EYZ'!DX49</f>
        <v>33220.879177835675</v>
      </c>
      <c r="FI49">
        <f>'TEA Revised Non EYZ'!DY49</f>
        <v>14065.291587390104</v>
      </c>
      <c r="FJ49">
        <f>'TEA Revised Non EYZ'!DZ49</f>
        <v>7450.7773575794354</v>
      </c>
      <c r="FK49">
        <f>'TEA Revised Non EYZ'!EA49</f>
        <v>7501.4888466080574</v>
      </c>
      <c r="FL49">
        <f>'TEA Revised Non EYZ'!EB49</f>
        <v>850.3247000073934</v>
      </c>
      <c r="FM49">
        <f>'TEA Revised Non EYZ'!EC49</f>
        <v>46287.262995404846</v>
      </c>
      <c r="FN49">
        <f>'TEA Revised Non EYZ'!ED49</f>
        <v>46555.349038729662</v>
      </c>
      <c r="FO49">
        <f>'TEA Revised Non EYZ'!EE49</f>
        <v>19710.93406881699</v>
      </c>
      <c r="FP49">
        <f>'TEA Revised Non EYZ'!EF49</f>
        <v>10447.239668831275</v>
      </c>
      <c r="FQ49">
        <f>'TEA Revised Non EYZ'!EG49</f>
        <v>10512.498170035729</v>
      </c>
      <c r="FR49">
        <f>'TEA Revised Non EYZ'!EH49</f>
        <v>426.94488068244613</v>
      </c>
      <c r="FS49">
        <f>'TEA Revised Non EYZ'!EI49</f>
        <v>235557.37715902465</v>
      </c>
      <c r="FT49">
        <f>EG49*EH49</f>
        <v>2551.8483687250759</v>
      </c>
      <c r="FU49">
        <f>EG49*EI49</f>
        <v>4523.7894369075329</v>
      </c>
      <c r="FV49">
        <f>FC49*(FT49+FU49)/(3.6*10^6)*3600*7200*0.07</f>
        <v>1783.0607270194173</v>
      </c>
      <c r="FW49">
        <f>('CAPEX+OPEX'!$C$39/7/100+0.03)*EL49</f>
        <v>92091.168446807264</v>
      </c>
      <c r="FX49">
        <f>('CAPEX+OPEX'!$C$39/7/100+0.03)*EM49</f>
        <v>163254.62757031928</v>
      </c>
      <c r="FY49">
        <f>SUM(FV49:FX49)</f>
        <v>257128.85674414597</v>
      </c>
      <c r="FZ49">
        <f>FY49+FA49+FS49+EU49</f>
        <v>22921876.957832061</v>
      </c>
      <c r="GA49">
        <f>FZ49+EO49</f>
        <v>24031316.022723693</v>
      </c>
      <c r="GB49">
        <f>GA49/(BK49*60*7200)</f>
        <v>0.55628046348897442</v>
      </c>
      <c r="GC49">
        <f>'TEA Revised Non EYZ'!EM49/'TEA Revised Non EYZ'!EK49*GA49</f>
        <v>1861.0010783775708</v>
      </c>
      <c r="GD49">
        <f>'TEA Revised Non EYZ'!EN49/'TEA Revised Non EYZ'!EK49*GA49</f>
        <v>3414.8276554097215</v>
      </c>
    </row>
    <row r="50" spans="1:186">
      <c r="A50">
        <f>'TEA Revised Non EYZ'!A50</f>
        <v>7</v>
      </c>
      <c r="B50">
        <f>'TEA Revised Non EYZ'!B50</f>
        <v>1.54143585092054E-3</v>
      </c>
      <c r="C50">
        <f>'TEA Revised Non EYZ'!C50</f>
        <v>1.54143585092054E-3</v>
      </c>
      <c r="D50">
        <f>'TEA Revised Non EYZ'!D50</f>
        <v>3.4254130020456501E-4</v>
      </c>
      <c r="E50">
        <f>'TEA Revised Non EYZ'!E50</f>
        <v>0</v>
      </c>
      <c r="F50">
        <f>'TEA Revised Non EYZ'!F50</f>
        <v>0</v>
      </c>
      <c r="G50">
        <f>'TEA Revised Non EYZ'!G50</f>
        <v>0</v>
      </c>
      <c r="H50">
        <f>'TEA Revised Non EYZ'!H50</f>
        <v>1.7744466230058299E-5</v>
      </c>
      <c r="I50">
        <f>'TEA Revised Non EYZ'!I50</f>
        <v>1.2927742824924801E-8</v>
      </c>
      <c r="J50">
        <f>'TEA Revised Non EYZ'!J50</f>
        <v>3.3739048286900598E-4</v>
      </c>
      <c r="K50">
        <f>'TEA Revised Non EYZ'!K50</f>
        <v>0.13716795306346499</v>
      </c>
      <c r="L50">
        <f>'TEA Revised Non EYZ'!L50</f>
        <v>0.138764207307677</v>
      </c>
      <c r="M50">
        <f>'TEA Revised Non EYZ'!M50</f>
        <v>4.6369433969460899E-4</v>
      </c>
      <c r="N50">
        <f>'TEA Revised Non EYZ'!N50</f>
        <v>-1.1037178115902399E-16</v>
      </c>
      <c r="O50">
        <f>'TEA Revised Non EYZ'!O50</f>
        <v>-5.3700533603207003E-15</v>
      </c>
      <c r="P50">
        <f>'TEA Revised Non EYZ'!P50</f>
        <v>-3.4304834363799101E-19</v>
      </c>
      <c r="Q50">
        <f>'TEA Revised Non EYZ'!Q50</f>
        <v>0.111082169753281</v>
      </c>
      <c r="R50">
        <f>'TEA Revised Non EYZ'!R50</f>
        <v>98.496293050653193</v>
      </c>
      <c r="S50">
        <f>'TEA Revised Non EYZ'!S50</f>
        <v>500</v>
      </c>
      <c r="T50">
        <f>'TEA Revised Non EYZ'!T50</f>
        <v>95</v>
      </c>
      <c r="U50">
        <f>'TEA Revised Non EYZ'!U50</f>
        <v>1</v>
      </c>
      <c r="V50">
        <f>'TEA Revised Non EYZ'!V50</f>
        <v>0.1</v>
      </c>
      <c r="W50">
        <f>'TEA Revised Non EYZ'!W50</f>
        <v>90.023448607553206</v>
      </c>
      <c r="X50" t="str">
        <f>'TEA Revised Non EYZ'!X50</f>
        <v>ddFc</v>
      </c>
      <c r="Y50">
        <f>'TEA Revised Non EYZ'!Y50</f>
        <v>1</v>
      </c>
      <c r="Z50">
        <f>'TEA Revised Non EYZ'!Z50</f>
        <v>0.28318429382522198</v>
      </c>
      <c r="AA50">
        <f>'TEA Revised Non EYZ'!AA50</f>
        <v>0.56945642916197003</v>
      </c>
      <c r="AB50">
        <f>'TEA Revised Non EYZ'!AB50</f>
        <v>3.7698628972227502E-3</v>
      </c>
      <c r="AC50">
        <f>'TEA Revised Non EYZ'!AC50</f>
        <v>1822.2107908876901</v>
      </c>
      <c r="AD50">
        <f>'TEA Revised Non EYZ'!AD50</f>
        <v>2662.6059073104898</v>
      </c>
      <c r="AE50">
        <f>'TEA Revised Non EYZ'!AE50</f>
        <v>2401.5030938442701</v>
      </c>
      <c r="AF50">
        <f>'TEA Revised Non EYZ'!AF50</f>
        <v>12</v>
      </c>
      <c r="AG50">
        <f>'TEA Revised Non EYZ'!AG50</f>
        <v>1.64967327652189E-3</v>
      </c>
      <c r="AH50">
        <f>'TEA Revised Non EYZ'!AH50</f>
        <v>1.66887089455438E-3</v>
      </c>
      <c r="AI50">
        <f>'TEA Revised Non EYZ'!AI50</f>
        <v>5.5766973522943398E-6</v>
      </c>
      <c r="AJ50">
        <f>'TEA Revised Non EYZ'!AJ50</f>
        <v>0</v>
      </c>
      <c r="AK50">
        <f>'TEA Revised Non EYZ'!AK50</f>
        <v>0</v>
      </c>
      <c r="AL50">
        <f>'TEA Revised Non EYZ'!AL50</f>
        <v>0</v>
      </c>
      <c r="AM50">
        <f>'TEA Revised Non EYZ'!AM50</f>
        <v>1.6127216178039401E-3</v>
      </c>
      <c r="AN50">
        <f>'TEA Revised Non EYZ'!AN50</f>
        <v>7.9340068948572E-5</v>
      </c>
      <c r="AO50">
        <f>'TEA Revised Non EYZ'!AO50</f>
        <v>5.5400161990028701E-6</v>
      </c>
      <c r="AP50">
        <f>'TEA Revised Non EYZ'!AP50</f>
        <v>1.7331814378101901E-3</v>
      </c>
      <c r="AQ50">
        <f>'TEA Revised Non EYZ'!AQ50</f>
        <v>7.4555389865565105E-2</v>
      </c>
      <c r="AR50">
        <f>'TEA Revised Non EYZ'!AR50</f>
        <v>1.7204936451815799E-6</v>
      </c>
      <c r="AS50">
        <f>'TEA Revised Non EYZ'!AS50</f>
        <v>4.8772157102902604E-16</v>
      </c>
      <c r="AT50">
        <f>'TEA Revised Non EYZ'!AT50</f>
        <v>-4.7916531853431302E-14</v>
      </c>
      <c r="AU50">
        <f>'TEA Revised Non EYZ'!AU50</f>
        <v>-4.0829635035617401E-21</v>
      </c>
      <c r="AV50">
        <f>'TEA Revised Non EYZ'!AV50</f>
        <v>0.19691961669677699</v>
      </c>
      <c r="AW50">
        <f>'TEA Revised Non EYZ'!AW50</f>
        <v>99.342242352879694</v>
      </c>
      <c r="AX50">
        <f>'TEA Revised Non EYZ'!AX50</f>
        <v>500</v>
      </c>
      <c r="AY50">
        <f>'TEA Revised Non EYZ'!AY50</f>
        <v>95</v>
      </c>
      <c r="AZ50">
        <f>'TEA Revised Non EYZ'!AZ50</f>
        <v>0.92363221637625403</v>
      </c>
      <c r="BA50">
        <f>'TEA Revised Non EYZ'!BA50</f>
        <v>0.1</v>
      </c>
      <c r="BB50">
        <f>'TEA Revised Non EYZ'!BB50</f>
        <v>46.904022660093197</v>
      </c>
      <c r="BC50" t="str">
        <f>'TEA Revised Non EYZ'!BC50</f>
        <v>coeFc</v>
      </c>
      <c r="BD50">
        <f>'TEA Revised Non EYZ'!BD50</f>
        <v>1</v>
      </c>
      <c r="BE50">
        <f>'TEA Revised Non EYZ'!BE50</f>
        <v>1.8775014999999999E-2</v>
      </c>
      <c r="BF50">
        <f>'TEA Revised Non EYZ'!BF50</f>
        <v>0.10492961100000001</v>
      </c>
      <c r="BG50">
        <f>'TEA Revised Non EYZ'!BG50</f>
        <v>1.814625E-3</v>
      </c>
      <c r="BH50">
        <f>'TEA Revised Non EYZ'!BH50</f>
        <v>285.1951444</v>
      </c>
      <c r="BI50">
        <f>'TEA Revised Non EYZ'!BI50</f>
        <v>2169.8944889999998</v>
      </c>
      <c r="BJ50">
        <f>'TEA Revised Non EYZ'!BJ50</f>
        <v>866.49409060000005</v>
      </c>
      <c r="BK50">
        <f>'TEA Revised Non EYZ'!BK50</f>
        <v>100</v>
      </c>
      <c r="BL50">
        <f>'TEA Revised Non EYZ'!BL50</f>
        <v>11.1082169753281</v>
      </c>
      <c r="BM50">
        <f>'TEA Revised Non EYZ'!BM50</f>
        <v>92.363221637625401</v>
      </c>
      <c r="BN50">
        <f>'TEA Revised Non EYZ'!BN50</f>
        <v>19.691961669677699</v>
      </c>
      <c r="BO50">
        <f>'TEA Revised Non EYZ'!BO50</f>
        <v>199.94790555590581</v>
      </c>
      <c r="BP50">
        <f>'TEA Revised Non EYZ'!BP50</f>
        <v>551.37492675097553</v>
      </c>
      <c r="BQ50">
        <f>'TEA Revised Non EYZ'!BQ50</f>
        <v>19.994790555590583</v>
      </c>
      <c r="BR50">
        <f>'TEA Revised Non EYZ'!BR50</f>
        <v>55.137492675097555</v>
      </c>
      <c r="BS50">
        <f>'eLLE Bals'!CF50</f>
        <v>6.6649301851968596</v>
      </c>
      <c r="BT50">
        <f>'eLLE Bals'!CG50</f>
        <v>11.815177001806619</v>
      </c>
      <c r="BU50">
        <f>BM50</f>
        <v>92.363221637625401</v>
      </c>
      <c r="BV50">
        <f>BU50*(AM50*2+AN50*2+AO50*3)</f>
        <v>0.3141036184283067</v>
      </c>
      <c r="BW50">
        <f>BN50*BA50*(AP50*2+AQ50*2+AR50*3)</f>
        <v>0.30046448835658224</v>
      </c>
      <c r="BX50">
        <f>BV50/(2*V50*BL50+BV50)</f>
        <v>0.12387025076114085</v>
      </c>
      <c r="BY50">
        <f>BU50*BX50</f>
        <v>11.441055425359488</v>
      </c>
      <c r="BZ50">
        <f>BW50/(2*BN50*BA50+BW50)</f>
        <v>7.0883377512644757E-2</v>
      </c>
      <c r="CA50">
        <f>2*BN50*BA50/0.04</f>
        <v>98.459808348388492</v>
      </c>
      <c r="CB50">
        <f>(BS50+BL50)*2</f>
        <v>35.54629432104992</v>
      </c>
      <c r="CC50">
        <f>(BU50+BL50)*2</f>
        <v>206.94287722590701</v>
      </c>
      <c r="CD50">
        <f>(BT50+BN50)*2</f>
        <v>63.01427734296864</v>
      </c>
      <c r="CE50">
        <f>(CA50+BN50)*2</f>
        <v>236.30354003613238</v>
      </c>
      <c r="CF50">
        <f>'TEA Revised Non EYZ'!CB50</f>
        <v>2639.3123533379567</v>
      </c>
      <c r="CG50">
        <f>'TEA Revised Non EYZ'!CC50</f>
        <v>7278.1490331128771</v>
      </c>
      <c r="CH50">
        <f>'TEA Revised Non EYZ'!CD50</f>
        <v>3188.7782491883527</v>
      </c>
      <c r="CI50">
        <f>'TEA Revised Non EYZ'!CE50</f>
        <v>56137.010361921792</v>
      </c>
      <c r="CJ50">
        <f>BL50*V50</f>
        <v>1.11082169753281</v>
      </c>
      <c r="CK50">
        <f>CJ50/2*1.2</f>
        <v>0.66649301851968601</v>
      </c>
      <c r="CL50">
        <f>'eLLE Bals'!CB50*'Oxidant Feed Composition'!$N$20</f>
        <v>3.7027389917760348E-2</v>
      </c>
      <c r="CM50">
        <f>'eLLE Bals'!CB50*'Oxidant Feed Composition'!$N$21</f>
        <v>1.8513694958880169</v>
      </c>
      <c r="CN50">
        <f>'eLLE Bals'!CB50*'Oxidant Feed Composition'!$N$22</f>
        <v>0.55541084876640501</v>
      </c>
      <c r="CO50">
        <f>CN50/CK50</f>
        <v>0.83333333333333337</v>
      </c>
      <c r="CP50">
        <f>CO50</f>
        <v>0.83333333333333337</v>
      </c>
      <c r="CQ50">
        <f>CL50/CO50</f>
        <v>4.4432867901312414E-2</v>
      </c>
      <c r="CR50">
        <f>CM50/CO50</f>
        <v>2.22164339506562</v>
      </c>
      <c r="CS50">
        <f>BN50*BA50</f>
        <v>1.96919616696777</v>
      </c>
      <c r="CT50">
        <f>CS50/2*1.2</f>
        <v>1.181517700180662</v>
      </c>
      <c r="CU50">
        <f>'eLLE Bals'!CC50*'Oxidant Feed Composition'!$N$20</f>
        <v>6.5639872232259033E-2</v>
      </c>
      <c r="CV50">
        <f>'eLLE Bals'!CC50*'Oxidant Feed Composition'!$N$21</f>
        <v>3.28199361161295</v>
      </c>
      <c r="CW50">
        <f>'eLLE Bals'!CC50*'Oxidant Feed Composition'!$N$22</f>
        <v>0.984598083483885</v>
      </c>
      <c r="CX50">
        <f>CU50/CP50</f>
        <v>7.876784667871084E-2</v>
      </c>
      <c r="CY50">
        <f>CV50/CP50</f>
        <v>3.93839233393554</v>
      </c>
      <c r="CZ50">
        <f>CJ50</f>
        <v>1.11082169753281</v>
      </c>
      <c r="DA50">
        <f>'eLLE Bals'!BQ50</f>
        <v>2.22164339506562</v>
      </c>
      <c r="DB50">
        <f>'eLLE Bals'!BU50</f>
        <v>5.6351578089093737</v>
      </c>
      <c r="DC50">
        <f>CS50</f>
        <v>1.96919616696777</v>
      </c>
      <c r="DD50">
        <f>'eLLE Bals'!BX50</f>
        <v>3.93839233393554</v>
      </c>
      <c r="DE50">
        <f>'eLLE Bals'!CA50</f>
        <v>21.873200678005229</v>
      </c>
      <c r="DF50">
        <f>2*2*(CJ50*'Reagent cost'!$C$36*122.44/1000*1.5+CK50*'Oxidant Feed Composition'!$N$26+CQ50*'Reagent cost'!$C$34+CR50*'Reagent cost'!$C$35)</f>
        <v>113.03847925623893</v>
      </c>
      <c r="DG50">
        <f>2*2*(CS50*'Reagent cost'!$C$36*122.44/1000*1.5+CT50*'Oxidant Feed Composition'!$N$26+CX50*'Reagent cost'!$C$34+CY50*'Reagent cost'!$C$35)</f>
        <v>200.38764147805705</v>
      </c>
      <c r="DH50">
        <f>(AF50+3)*2*(CZ50*'Reagent cost'!$C$38+DA50*'Reagent cost'!$C$39+DB50*'Reagent cost'!$C$36*122.44/1000*1.5)</f>
        <v>2341.201565480972</v>
      </c>
      <c r="DI50">
        <f>3*2*(DC50*'Reagent cost'!$C$38+DD50*'Reagent cost'!$C$39+DE50*'Reagent cost'!$C$36*122.44/1000*1.5)</f>
        <v>1754.8496004291617</v>
      </c>
      <c r="DJ50">
        <f>7963.6*(CB50/1000)^0.6*1.7*('CAPEX+OPEX'!$G$116/'CAPEX+OPEX'!$G$115)</f>
        <v>2156.3414312027717</v>
      </c>
      <c r="DK50">
        <f>7963.6*(CC50/1000)^0.6*1.7*('CAPEX+OPEX'!$G$116/'CAPEX+OPEX'!$G$115)</f>
        <v>6205.1347590783025</v>
      </c>
      <c r="DL50">
        <f>7963.6*(CD50/1000)^0.6*1.7*('CAPEX+OPEX'!$G$116/'CAPEX+OPEX'!$G$115)</f>
        <v>3040.2150453395552</v>
      </c>
      <c r="DM50">
        <f>7963.6*(CE50/1000)^0.6*1.7*('CAPEX+OPEX'!$G$116/'CAPEX+OPEX'!$G$115)</f>
        <v>6719.2850365490385</v>
      </c>
      <c r="DN50">
        <f>'TEA Revised Non EYZ'!CM50</f>
        <v>39625.826528698344</v>
      </c>
      <c r="DO50">
        <f>'TEA Revised Non EYZ'!CN50</f>
        <v>4586243.4239371875</v>
      </c>
      <c r="DP50">
        <f>'TEA Revised Non EYZ'!CO50</f>
        <v>11794834.586807497</v>
      </c>
      <c r="DQ50">
        <f>'TEA Revised Non EYZ'!CP50</f>
        <v>2275209.1661185985</v>
      </c>
      <c r="DR50">
        <f>'TEA Revised Non EYZ'!CQ50</f>
        <v>14083914.336508472</v>
      </c>
      <c r="DS50">
        <f>'TEA Revised Non EYZ'!CR50</f>
        <v>1662824.8986326549</v>
      </c>
      <c r="DT50">
        <f>'TEA Revised Non EYZ'!CS50</f>
        <v>700033.84449786716</v>
      </c>
      <c r="DU50">
        <f>'TEA Revised Non EYZ'!CT50</f>
        <v>1800336.9288957189</v>
      </c>
      <c r="DV50">
        <f>'TEA Revised Non EYZ'!CU50</f>
        <v>347282.79168127343</v>
      </c>
      <c r="DW50">
        <f>'TEA Revised Non EYZ'!CV50</f>
        <v>2149736.8951473436</v>
      </c>
      <c r="DX50">
        <f>'TEA Revised Non EYZ'!CW50</f>
        <v>253809.83932102245</v>
      </c>
      <c r="DY50">
        <f>'TEA Revised Non EYZ'!CX50</f>
        <v>5251200.2995432261</v>
      </c>
      <c r="DZ50">
        <f>'TEA Revised Non EYZ'!CY50</f>
        <v>884688.5141556306</v>
      </c>
      <c r="EA50">
        <f>'TEA Revised Non EYZ'!CZ50</f>
        <v>2275229.140880656</v>
      </c>
      <c r="EB50">
        <f>'TEA Revised Non EYZ'!DA50</f>
        <v>438888.91855608189</v>
      </c>
      <c r="EC50">
        <f>'TEA Revised Non EYZ'!DB50</f>
        <v>2716793.7015354363</v>
      </c>
      <c r="ED50">
        <f>'TEA Revised Non EYZ'!DC50</f>
        <v>320759.70525119215</v>
      </c>
      <c r="EE50">
        <f>'TEA Revised Non EYZ'!DD50</f>
        <v>6636359.9803789966</v>
      </c>
      <c r="EF50">
        <v>0.7</v>
      </c>
      <c r="EG50">
        <v>100</v>
      </c>
      <c r="EH50">
        <f>96485*BL50*V50/EF50/EG50/60</f>
        <v>25.518483687250757</v>
      </c>
      <c r="EI50">
        <f>96485*BN50*BA50/EF50/EG50/60</f>
        <v>45.237593373782218</v>
      </c>
      <c r="EJ50">
        <f>EH50*('CAPEX+OPEX'!$O$25+'CAPEX+OPEX'!$O$26)</f>
        <v>813325.1120800561</v>
      </c>
      <c r="EK50">
        <f>EI50*('CAPEX+OPEX'!$O$25+'CAPEX+OPEX'!$O$26)</f>
        <v>1441812.5760091869</v>
      </c>
      <c r="EL50">
        <f>EJ50*1.12/0.6*'CAPEX+OPEX'!$G$116/'CAPEX+OPEX'!$G$115</f>
        <v>1790661.6086879191</v>
      </c>
      <c r="EM50">
        <f>EK50*1.12/0.6*'CAPEX+OPEX'!$G$116/'CAPEX+OPEX'!$G$115</f>
        <v>3174374.4149005879</v>
      </c>
      <c r="EN50">
        <f>EL50+EM50+DY50+EE50+1.15*(SUM(DF50:DM50)+SUM(CF50:CI50))</f>
        <v>16958136.06260056</v>
      </c>
      <c r="EO50">
        <f>EN50/15</f>
        <v>1130542.4041733707</v>
      </c>
      <c r="EP50">
        <f>('eLLE Bals'!CB50+'eLLE Bals'!CC50)*'Oxidant Feed Composition'!$N$28*60*7200</f>
        <v>17122357.71559355</v>
      </c>
      <c r="EQ50" s="53">
        <f>('eLLE Bals'!BR50+'eLLE Bals'!BY50)*'Reagent cost'!$C$38*60*7200*1.5</f>
        <v>758668.66988948162</v>
      </c>
      <c r="ER50">
        <f>'TEA Revised Non EYZ'!DI50</f>
        <v>504921.59999999998</v>
      </c>
      <c r="ES50">
        <f>'TEA Revised Non EYZ'!DJ50</f>
        <v>99.174613864508345</v>
      </c>
      <c r="ET50">
        <f>'TEA Revised Non EYZ'!DK50</f>
        <v>1186.5157722222029</v>
      </c>
      <c r="EU50">
        <f>1.2*SUM(EP50:ET50)</f>
        <v>22064680.41104294</v>
      </c>
      <c r="EV50">
        <f>'TEA Revised Non EYZ'!DM50</f>
        <v>0.70639694042110623</v>
      </c>
      <c r="EW50">
        <f>(BS50*CO50+BT50*CP50)/1000*('Oxidant Feed Composition'!$B$11*'Oxidant Feed Composition'!$O$20+'Oxidant Feed Composition'!$D$11*'Oxidant Feed Composition'!$O$21+'Oxidant Feed Composition'!$F$11*'Oxidant Feed Composition'!$O$27-'Oxidant Feed Composition'!$J$15*18.015)</f>
        <v>1.7984923474874124</v>
      </c>
      <c r="EX50">
        <f>(CZ50*BX50+DC50*BZ50)*368.34/1000</f>
        <v>0.10209686336156613</v>
      </c>
      <c r="EY50">
        <f>'TEA Revised Non EYZ'!DP50</f>
        <v>4.999938342565946E-2</v>
      </c>
      <c r="EZ50">
        <f>SUM(EV50:EX50)-EY50</f>
        <v>2.5569867678444256</v>
      </c>
      <c r="FA50">
        <f>EZ50*0.33*60*7200</f>
        <v>364524.03362390131</v>
      </c>
      <c r="FB50">
        <f>'TEA Revised Non EYZ'!DS50</f>
        <v>1.2</v>
      </c>
      <c r="FC50">
        <v>0.5</v>
      </c>
      <c r="FD50">
        <f>'TEA Revised Non EYZ'!DT50</f>
        <v>1405.960919870389</v>
      </c>
      <c r="FE50">
        <f>'TEA Revised Non EYZ'!DU50</f>
        <v>705.92661426068241</v>
      </c>
      <c r="FF50">
        <f>'TEA Revised Non EYZ'!DV50</f>
        <v>0.7</v>
      </c>
      <c r="FG50">
        <f>'TEA Revised Non EYZ'!DW50</f>
        <v>38528.386667103026</v>
      </c>
      <c r="FH50">
        <f>'TEA Revised Non EYZ'!DX50</f>
        <v>33220.879177835675</v>
      </c>
      <c r="FI50">
        <f>'TEA Revised Non EYZ'!DY50</f>
        <v>14065.291587390104</v>
      </c>
      <c r="FJ50">
        <f>'TEA Revised Non EYZ'!DZ50</f>
        <v>7450.7773575794354</v>
      </c>
      <c r="FK50">
        <f>'TEA Revised Non EYZ'!EA50</f>
        <v>7501.4888466080574</v>
      </c>
      <c r="FL50">
        <f>'TEA Revised Non EYZ'!EB50</f>
        <v>850.32516433761134</v>
      </c>
      <c r="FM50">
        <f>'TEA Revised Non EYZ'!EC50</f>
        <v>48858.777606260672</v>
      </c>
      <c r="FN50">
        <f>'TEA Revised Non EYZ'!ED50</f>
        <v>50434.961458623809</v>
      </c>
      <c r="FO50">
        <f>'TEA Revised Non EYZ'!EE50</f>
        <v>21353.511907885077</v>
      </c>
      <c r="FP50">
        <f>'TEA Revised Non EYZ'!EF50</f>
        <v>11317.842974567217</v>
      </c>
      <c r="FQ50">
        <f>'TEA Revised Non EYZ'!EG50</f>
        <v>11388.539684205374</v>
      </c>
      <c r="FR50">
        <f>'TEA Revised Non EYZ'!EH50</f>
        <v>426.94441630486074</v>
      </c>
      <c r="FS50">
        <f>'TEA Revised Non EYZ'!EI50</f>
        <v>245397.72684870093</v>
      </c>
      <c r="FT50">
        <f>EG50*EH50</f>
        <v>2551.8483687250759</v>
      </c>
      <c r="FU50">
        <f>EG50*EI50</f>
        <v>4523.759337378222</v>
      </c>
      <c r="FV50">
        <f>FC50*(FT50+FU50)/(3.6*10^6)*3600*7200*0.07</f>
        <v>1783.0531419380313</v>
      </c>
      <c r="FW50">
        <f>('CAPEX+OPEX'!$C$39/7/100+0.03)*EL50</f>
        <v>92091.168446807264</v>
      </c>
      <c r="FX50">
        <f>('CAPEX+OPEX'!$C$39/7/100+0.03)*EM50</f>
        <v>163253.54133774451</v>
      </c>
      <c r="FY50">
        <f>SUM(FV50:FX50)</f>
        <v>257127.76292648981</v>
      </c>
      <c r="FZ50">
        <f>FY50+FA50+FS50+EU50</f>
        <v>22931729.934442032</v>
      </c>
      <c r="GA50">
        <f>FZ50+EO50</f>
        <v>24062272.338615403</v>
      </c>
      <c r="GB50">
        <f>GA50/(BK50*60*7200)</f>
        <v>0.55699704487535651</v>
      </c>
      <c r="GC50">
        <f>'TEA Revised Non EYZ'!EM50/'TEA Revised Non EYZ'!EK50*GA50</f>
        <v>1863.3973378558871</v>
      </c>
      <c r="GD50">
        <f>'TEA Revised Non EYZ'!EN50/'TEA Revised Non EYZ'!EK50*GA50</f>
        <v>3419.2299477498132</v>
      </c>
    </row>
    <row r="51" spans="1:186">
      <c r="A51">
        <f>'TEA Revised Non EYZ'!A51</f>
        <v>7</v>
      </c>
      <c r="B51">
        <f>'TEA Revised Non EYZ'!B51</f>
        <v>1.54143585092054E-3</v>
      </c>
      <c r="C51">
        <f>'TEA Revised Non EYZ'!C51</f>
        <v>1.54143585092054E-3</v>
      </c>
      <c r="D51">
        <f>'TEA Revised Non EYZ'!D51</f>
        <v>3.4254130020456501E-4</v>
      </c>
      <c r="E51">
        <f>'TEA Revised Non EYZ'!E51</f>
        <v>0</v>
      </c>
      <c r="F51">
        <f>'TEA Revised Non EYZ'!F51</f>
        <v>0</v>
      </c>
      <c r="G51">
        <f>'TEA Revised Non EYZ'!G51</f>
        <v>0</v>
      </c>
      <c r="H51">
        <f>'TEA Revised Non EYZ'!H51</f>
        <v>1.7744466230058299E-5</v>
      </c>
      <c r="I51">
        <f>'TEA Revised Non EYZ'!I51</f>
        <v>1.2927742824924801E-8</v>
      </c>
      <c r="J51">
        <f>'TEA Revised Non EYZ'!J51</f>
        <v>3.3739048286900598E-4</v>
      </c>
      <c r="K51">
        <f>'TEA Revised Non EYZ'!K51</f>
        <v>0.13716795306346499</v>
      </c>
      <c r="L51">
        <f>'TEA Revised Non EYZ'!L51</f>
        <v>0.138764207307677</v>
      </c>
      <c r="M51">
        <f>'TEA Revised Non EYZ'!M51</f>
        <v>4.6369433969460899E-4</v>
      </c>
      <c r="N51">
        <f>'TEA Revised Non EYZ'!N51</f>
        <v>-1.1037178115902399E-16</v>
      </c>
      <c r="O51">
        <f>'TEA Revised Non EYZ'!O51</f>
        <v>-5.3700533603207003E-15</v>
      </c>
      <c r="P51">
        <f>'TEA Revised Non EYZ'!P51</f>
        <v>-3.4304834363799101E-19</v>
      </c>
      <c r="Q51">
        <f>'TEA Revised Non EYZ'!Q51</f>
        <v>0.111082169753281</v>
      </c>
      <c r="R51">
        <f>'TEA Revised Non EYZ'!R51</f>
        <v>98.496293050653193</v>
      </c>
      <c r="S51">
        <f>'TEA Revised Non EYZ'!S51</f>
        <v>500</v>
      </c>
      <c r="T51">
        <f>'TEA Revised Non EYZ'!T51</f>
        <v>95</v>
      </c>
      <c r="U51">
        <f>'TEA Revised Non EYZ'!U51</f>
        <v>1</v>
      </c>
      <c r="V51">
        <f>'TEA Revised Non EYZ'!V51</f>
        <v>0.1</v>
      </c>
      <c r="W51">
        <f>'TEA Revised Non EYZ'!W51</f>
        <v>90.023448607553206</v>
      </c>
      <c r="X51" t="str">
        <f>'TEA Revised Non EYZ'!X51</f>
        <v>ddFc</v>
      </c>
      <c r="Y51">
        <f>'TEA Revised Non EYZ'!Y51</f>
        <v>1</v>
      </c>
      <c r="Z51">
        <f>'TEA Revised Non EYZ'!Z51</f>
        <v>0.28318429382522198</v>
      </c>
      <c r="AA51">
        <f>'TEA Revised Non EYZ'!AA51</f>
        <v>0.56945642916197003</v>
      </c>
      <c r="AB51">
        <f>'TEA Revised Non EYZ'!AB51</f>
        <v>3.7698628972227502E-3</v>
      </c>
      <c r="AC51">
        <f>'TEA Revised Non EYZ'!AC51</f>
        <v>1822.2107908876901</v>
      </c>
      <c r="AD51">
        <f>'TEA Revised Non EYZ'!AD51</f>
        <v>2662.6059073104898</v>
      </c>
      <c r="AE51">
        <f>'TEA Revised Non EYZ'!AE51</f>
        <v>2401.5030938442701</v>
      </c>
      <c r="AF51">
        <f>'TEA Revised Non EYZ'!AF51</f>
        <v>13</v>
      </c>
      <c r="AG51">
        <f>'TEA Revised Non EYZ'!AG51</f>
        <v>1.64967327652189E-3</v>
      </c>
      <c r="AH51">
        <f>'TEA Revised Non EYZ'!AH51</f>
        <v>1.66887089455438E-3</v>
      </c>
      <c r="AI51">
        <f>'TEA Revised Non EYZ'!AI51</f>
        <v>5.5766973522943398E-6</v>
      </c>
      <c r="AJ51">
        <f>'TEA Revised Non EYZ'!AJ51</f>
        <v>0</v>
      </c>
      <c r="AK51">
        <f>'TEA Revised Non EYZ'!AK51</f>
        <v>0</v>
      </c>
      <c r="AL51">
        <f>'TEA Revised Non EYZ'!AL51</f>
        <v>0</v>
      </c>
      <c r="AM51">
        <f>'TEA Revised Non EYZ'!AM51</f>
        <v>1.61272186550998E-3</v>
      </c>
      <c r="AN51">
        <f>'TEA Revised Non EYZ'!AN51</f>
        <v>7.93400817500593E-5</v>
      </c>
      <c r="AO51">
        <f>'TEA Revised Non EYZ'!AO51</f>
        <v>5.54001643467726E-6</v>
      </c>
      <c r="AP51">
        <f>'TEA Revised Non EYZ'!AP51</f>
        <v>1.7331730611392299E-3</v>
      </c>
      <c r="AQ51">
        <f>'TEA Revised Non EYZ'!AQ51</f>
        <v>7.4555528710795793E-2</v>
      </c>
      <c r="AR51">
        <f>'TEA Revised Non EYZ'!AR51</f>
        <v>1.7204858090881901E-6</v>
      </c>
      <c r="AS51">
        <f>'TEA Revised Non EYZ'!AS51</f>
        <v>5.6920614055488896E-19</v>
      </c>
      <c r="AT51">
        <f>'TEA Revised Non EYZ'!AT51</f>
        <v>-1.9298798670241899E-17</v>
      </c>
      <c r="AU51">
        <f>'TEA Revised Non EYZ'!AU51</f>
        <v>2.0514079191314999E-22</v>
      </c>
      <c r="AV51">
        <f>'TEA Revised Non EYZ'!AV51</f>
        <v>0.19691924837979699</v>
      </c>
      <c r="AW51">
        <f>'TEA Revised Non EYZ'!AW51</f>
        <v>99.342246578936397</v>
      </c>
      <c r="AX51">
        <f>'TEA Revised Non EYZ'!AX51</f>
        <v>500</v>
      </c>
      <c r="AY51">
        <f>'TEA Revised Non EYZ'!AY51</f>
        <v>95</v>
      </c>
      <c r="AZ51">
        <f>'TEA Revised Non EYZ'!AZ51</f>
        <v>0.92363221637625403</v>
      </c>
      <c r="BA51">
        <f>'TEA Revised Non EYZ'!BA51</f>
        <v>0.1</v>
      </c>
      <c r="BB51">
        <f>'TEA Revised Non EYZ'!BB51</f>
        <v>46.904110389191104</v>
      </c>
      <c r="BC51" t="str">
        <f>'TEA Revised Non EYZ'!BC51</f>
        <v>coeFc</v>
      </c>
      <c r="BD51">
        <f>'TEA Revised Non EYZ'!BD51</f>
        <v>1</v>
      </c>
      <c r="BE51">
        <f>'TEA Revised Non EYZ'!BE51</f>
        <v>1.8775014999999999E-2</v>
      </c>
      <c r="BF51">
        <f>'TEA Revised Non EYZ'!BF51</f>
        <v>0.10492961100000001</v>
      </c>
      <c r="BG51">
        <f>'TEA Revised Non EYZ'!BG51</f>
        <v>1.814625E-3</v>
      </c>
      <c r="BH51">
        <f>'TEA Revised Non EYZ'!BH51</f>
        <v>285.1951444</v>
      </c>
      <c r="BI51">
        <f>'TEA Revised Non EYZ'!BI51</f>
        <v>2169.8944889999998</v>
      </c>
      <c r="BJ51">
        <f>'TEA Revised Non EYZ'!BJ51</f>
        <v>866.49409060000005</v>
      </c>
      <c r="BK51">
        <f>'TEA Revised Non EYZ'!BK51</f>
        <v>100</v>
      </c>
      <c r="BL51">
        <f>'TEA Revised Non EYZ'!BL51</f>
        <v>11.1082169753281</v>
      </c>
      <c r="BM51">
        <f>'TEA Revised Non EYZ'!BM51</f>
        <v>92.363221637625401</v>
      </c>
      <c r="BN51">
        <f>'TEA Revised Non EYZ'!BN51</f>
        <v>19.691924837979698</v>
      </c>
      <c r="BO51">
        <f>'TEA Revised Non EYZ'!BO51</f>
        <v>199.94790555590581</v>
      </c>
      <c r="BP51">
        <f>'TEA Revised Non EYZ'!BP51</f>
        <v>590.75774513939098</v>
      </c>
      <c r="BQ51">
        <f>'TEA Revised Non EYZ'!BQ51</f>
        <v>19.994790555590583</v>
      </c>
      <c r="BR51">
        <f>'TEA Revised Non EYZ'!BR51</f>
        <v>59.075774513939102</v>
      </c>
      <c r="BS51">
        <f>'eLLE Bals'!CF51</f>
        <v>6.6649301851968596</v>
      </c>
      <c r="BT51">
        <f>'eLLE Bals'!CG51</f>
        <v>11.815154902787819</v>
      </c>
      <c r="BU51">
        <f>BM51</f>
        <v>92.363221637625401</v>
      </c>
      <c r="BV51">
        <f>BU51*(AM51*2+AN51*2+AO51*3)</f>
        <v>0.31410366661623862</v>
      </c>
      <c r="BW51">
        <f>BN51*BA51*(AP51*2+AQ51*2+AR51*3)</f>
        <v>0.30046444015916984</v>
      </c>
      <c r="BX51">
        <f>BV51/(2*V51*BL51+BV51)</f>
        <v>0.12387026741062508</v>
      </c>
      <c r="BY51">
        <f>BU51*BX51</f>
        <v>11.441056963159491</v>
      </c>
      <c r="BZ51">
        <f>BW51/(2*BN51*BA51+BW51)</f>
        <v>7.0883490130472807E-2</v>
      </c>
      <c r="CA51">
        <f>2*BN51*BA51/0.04</f>
        <v>98.459624189898491</v>
      </c>
      <c r="CB51">
        <f>(BS51+BL51)*2</f>
        <v>35.54629432104992</v>
      </c>
      <c r="CC51">
        <f>(BU51+BL51)*2</f>
        <v>206.94287722590701</v>
      </c>
      <c r="CD51">
        <f>(BT51+BN51)*2</f>
        <v>63.014159481535032</v>
      </c>
      <c r="CE51">
        <f>(CA51+BN51)*2</f>
        <v>236.30309805575638</v>
      </c>
      <c r="CF51">
        <f>'TEA Revised Non EYZ'!CB51</f>
        <v>2639.3123533379567</v>
      </c>
      <c r="CG51">
        <f>'TEA Revised Non EYZ'!CC51</f>
        <v>7798.0022358399619</v>
      </c>
      <c r="CH51">
        <f>'TEA Revised Non EYZ'!CD51</f>
        <v>3188.7782491883527</v>
      </c>
      <c r="CI51">
        <f>'TEA Revised Non EYZ'!CE51</f>
        <v>60146.684318225351</v>
      </c>
      <c r="CJ51">
        <f>BL51*V51</f>
        <v>1.11082169753281</v>
      </c>
      <c r="CK51">
        <f>CJ51/2*1.2</f>
        <v>0.66649301851968601</v>
      </c>
      <c r="CL51">
        <f>'eLLE Bals'!CB51*'Oxidant Feed Composition'!$N$20</f>
        <v>3.7027389917760348E-2</v>
      </c>
      <c r="CM51">
        <f>'eLLE Bals'!CB51*'Oxidant Feed Composition'!$N$21</f>
        <v>1.8513694958880169</v>
      </c>
      <c r="CN51">
        <f>'eLLE Bals'!CB51*'Oxidant Feed Composition'!$N$22</f>
        <v>0.55541084876640501</v>
      </c>
      <c r="CO51">
        <f>CN51/CK51</f>
        <v>0.83333333333333337</v>
      </c>
      <c r="CP51">
        <f>CO51</f>
        <v>0.83333333333333337</v>
      </c>
      <c r="CQ51">
        <f>CL51/CO51</f>
        <v>4.4432867901312414E-2</v>
      </c>
      <c r="CR51">
        <f>CM51/CO51</f>
        <v>2.22164339506562</v>
      </c>
      <c r="CS51">
        <f>BN51*BA51</f>
        <v>1.96919248379797</v>
      </c>
      <c r="CT51">
        <f>CS51/2*1.2</f>
        <v>1.1815154902787819</v>
      </c>
      <c r="CU51">
        <f>'eLLE Bals'!CC51*'Oxidant Feed Composition'!$N$20</f>
        <v>6.5639749459932353E-2</v>
      </c>
      <c r="CV51">
        <f>'eLLE Bals'!CC51*'Oxidant Feed Composition'!$N$21</f>
        <v>3.2819874729966165</v>
      </c>
      <c r="CW51">
        <f>'eLLE Bals'!CC51*'Oxidant Feed Composition'!$N$22</f>
        <v>0.98459624189898498</v>
      </c>
      <c r="CX51">
        <f>CU51/CP51</f>
        <v>7.8767699351918824E-2</v>
      </c>
      <c r="CY51">
        <f>CV51/CP51</f>
        <v>3.9383849675959395</v>
      </c>
      <c r="CZ51">
        <f>CJ51</f>
        <v>1.11082169753281</v>
      </c>
      <c r="DA51">
        <f>'eLLE Bals'!BQ51</f>
        <v>2.22164339506562</v>
      </c>
      <c r="DB51">
        <f>'eLLE Bals'!BU51</f>
        <v>5.6351566034982188</v>
      </c>
      <c r="DC51">
        <f>CS51</f>
        <v>1.96919248379797</v>
      </c>
      <c r="DD51">
        <f>'eLLE Bals'!BX51</f>
        <v>3.9383849675959399</v>
      </c>
      <c r="DE51">
        <f>'eLLE Bals'!CA51</f>
        <v>21.873115629228174</v>
      </c>
      <c r="DF51">
        <f>2*2*(CJ51*'Reagent cost'!$C$36*122.44/1000*1.5+CK51*'Oxidant Feed Composition'!$N$26+CQ51*'Reagent cost'!$C$34+CR51*'Reagent cost'!$C$35)</f>
        <v>113.03847925623893</v>
      </c>
      <c r="DG51">
        <f>2*2*(CS51*'Reagent cost'!$C$36*122.44/1000*1.5+CT51*'Oxidant Feed Composition'!$N$26+CX51*'Reagent cost'!$C$34+CY51*'Reagent cost'!$C$35)</f>
        <v>200.38726667450942</v>
      </c>
      <c r="DH51">
        <f>(AF51+3)*2*(CZ51*'Reagent cost'!$C$38+DA51*'Reagent cost'!$C$39+DB51*'Reagent cost'!$C$36*122.44/1000*1.5)</f>
        <v>2497.2811695498549</v>
      </c>
      <c r="DI51">
        <f>3*2*(DC51*'Reagent cost'!$C$38+DD51*'Reagent cost'!$C$39+DE51*'Reagent cost'!$C$36*122.44/1000*1.5)</f>
        <v>1754.8428833881067</v>
      </c>
      <c r="DJ51">
        <f>7963.6*(CB51/1000)^0.6*1.7*('CAPEX+OPEX'!$G$116/'CAPEX+OPEX'!$G$115)</f>
        <v>2156.3414312027717</v>
      </c>
      <c r="DK51">
        <f>7963.6*(CC51/1000)^0.6*1.7*('CAPEX+OPEX'!$G$116/'CAPEX+OPEX'!$G$115)</f>
        <v>6205.1347590783025</v>
      </c>
      <c r="DL51">
        <f>7963.6*(CD51/1000)^0.6*1.7*('CAPEX+OPEX'!$G$116/'CAPEX+OPEX'!$G$115)</f>
        <v>3040.2116335009732</v>
      </c>
      <c r="DM51">
        <f>7963.6*(CE51/1000)^0.6*1.7*('CAPEX+OPEX'!$G$116/'CAPEX+OPEX'!$G$115)</f>
        <v>6719.2774959258959</v>
      </c>
      <c r="DN51">
        <f>'TEA Revised Non EYZ'!CM51</f>
        <v>39625.826528698344</v>
      </c>
      <c r="DO51">
        <f>'TEA Revised Non EYZ'!CN51</f>
        <v>4586243.4239371875</v>
      </c>
      <c r="DP51">
        <f>'TEA Revised Non EYZ'!CO51</f>
        <v>11794834.586807497</v>
      </c>
      <c r="DQ51">
        <f>'TEA Revised Non EYZ'!CP51</f>
        <v>2275209.1661185985</v>
      </c>
      <c r="DR51">
        <f>'TEA Revised Non EYZ'!CQ51</f>
        <v>14083914.336508472</v>
      </c>
      <c r="DS51">
        <f>'TEA Revised Non EYZ'!CR51</f>
        <v>1662824.8986326549</v>
      </c>
      <c r="DT51">
        <f>'TEA Revised Non EYZ'!CS51</f>
        <v>700033.84449786716</v>
      </c>
      <c r="DU51">
        <f>'TEA Revised Non EYZ'!CT51</f>
        <v>1800336.9288957189</v>
      </c>
      <c r="DV51">
        <f>'TEA Revised Non EYZ'!CU51</f>
        <v>347282.79168127343</v>
      </c>
      <c r="DW51">
        <f>'TEA Revised Non EYZ'!CV51</f>
        <v>2149736.8951473436</v>
      </c>
      <c r="DX51">
        <f>'TEA Revised Non EYZ'!CW51</f>
        <v>253809.83932102245</v>
      </c>
      <c r="DY51">
        <f>'TEA Revised Non EYZ'!CX51</f>
        <v>5251200.2995432261</v>
      </c>
      <c r="DZ51">
        <f>'TEA Revised Non EYZ'!CY51</f>
        <v>924913.67140026169</v>
      </c>
      <c r="EA51">
        <f>'TEA Revised Non EYZ'!CZ51</f>
        <v>2378679.619207304</v>
      </c>
      <c r="EB51">
        <f>'TEA Revised Non EYZ'!DA51</f>
        <v>458844.38930014853</v>
      </c>
      <c r="EC51">
        <f>'TEA Revised Non EYZ'!DB51</f>
        <v>2840321.3071241546</v>
      </c>
      <c r="ED51">
        <f>'TEA Revised Non EYZ'!DC51</f>
        <v>335344.05824664765</v>
      </c>
      <c r="EE51">
        <f>'TEA Revised Non EYZ'!DD51</f>
        <v>6938103.0452785166</v>
      </c>
      <c r="EF51">
        <v>0.7</v>
      </c>
      <c r="EG51">
        <v>100</v>
      </c>
      <c r="EH51">
        <f>96485*BL51*V51/EF51/EG51/60</f>
        <v>25.518483687250757</v>
      </c>
      <c r="EI51">
        <f>96485*BN51*BA51/EF51/EG51/60</f>
        <v>45.237508761725515</v>
      </c>
      <c r="EJ51">
        <f>EH51*('CAPEX+OPEX'!$O$25+'CAPEX+OPEX'!$O$26)</f>
        <v>813325.1120800561</v>
      </c>
      <c r="EK51">
        <f>EI51*('CAPEX+OPEX'!$O$25+'CAPEX+OPEX'!$O$26)</f>
        <v>1441809.8792537155</v>
      </c>
      <c r="EL51">
        <f>EJ51*1.12/0.6*'CAPEX+OPEX'!$G$116/'CAPEX+OPEX'!$G$115</f>
        <v>1790661.6086879191</v>
      </c>
      <c r="EM51">
        <f>EK51*1.12/0.6*'CAPEX+OPEX'!$G$116/'CAPEX+OPEX'!$G$115</f>
        <v>3174368.4775743959</v>
      </c>
      <c r="EN51">
        <f>EL51+EM51+DY51+EE51+1.15*(SUM(DF51:DM51)+SUM(CF51:CI51))</f>
        <v>17265261.617200501</v>
      </c>
      <c r="EO51">
        <f>EN51/15</f>
        <v>1151017.4411467002</v>
      </c>
      <c r="EP51">
        <f>('eLLE Bals'!CB51+'eLLE Bals'!CC51)*'Oxidant Feed Composition'!$N$28*60*7200</f>
        <v>17122337.24020879</v>
      </c>
      <c r="EQ51" s="53">
        <f>('eLLE Bals'!BR51+'eLLE Bals'!BY51)*'Reagent cost'!$C$38*60*7200*1.5</f>
        <v>758668.61291776004</v>
      </c>
      <c r="ER51">
        <f>'TEA Revised Non EYZ'!DI51</f>
        <v>504921.59999999998</v>
      </c>
      <c r="ES51">
        <f>'TEA Revised Non EYZ'!DJ51</f>
        <v>104.37314589177919</v>
      </c>
      <c r="ET51">
        <f>'TEA Revised Non EYZ'!DK51</f>
        <v>1266.7092513482742</v>
      </c>
      <c r="EU51">
        <f>1.2*SUM(EP51:ET51)</f>
        <v>22064758.242628548</v>
      </c>
      <c r="EV51">
        <f>'TEA Revised Non EYZ'!DM51</f>
        <v>0.70639694042110623</v>
      </c>
      <c r="EW51">
        <f>(BS51*CO51+BT51*CP51)/1000*('Oxidant Feed Composition'!$B$11*'Oxidant Feed Composition'!$O$20+'Oxidant Feed Composition'!$D$11*'Oxidant Feed Composition'!$O$21+'Oxidant Feed Composition'!$F$11*'Oxidant Feed Composition'!$O$27-'Oxidant Feed Composition'!$J$15*18.015)</f>
        <v>1.7984901968009581</v>
      </c>
      <c r="EX51">
        <f>(CZ51*BX51+DC51*BZ51)*368.34/1000</f>
        <v>0.10209685569466978</v>
      </c>
      <c r="EY51">
        <f>'TEA Revised Non EYZ'!DP51</f>
        <v>4.999938342565946E-2</v>
      </c>
      <c r="EZ51">
        <f>SUM(EV51:EX51)-EY51</f>
        <v>2.5569846094910749</v>
      </c>
      <c r="FA51">
        <f>EZ51*0.33*60*7200</f>
        <v>364523.72592904768</v>
      </c>
      <c r="FB51">
        <f>'TEA Revised Non EYZ'!DS51</f>
        <v>1.2</v>
      </c>
      <c r="FC51">
        <v>0.5</v>
      </c>
      <c r="FD51">
        <f>'TEA Revised Non EYZ'!DT51</f>
        <v>1405.9611356884682</v>
      </c>
      <c r="FE51">
        <f>'TEA Revised Non EYZ'!DU51</f>
        <v>705.92639842104836</v>
      </c>
      <c r="FF51">
        <f>'TEA Revised Non EYZ'!DV51</f>
        <v>0.7</v>
      </c>
      <c r="FG51">
        <f>'TEA Revised Non EYZ'!DW51</f>
        <v>38528.386667103026</v>
      </c>
      <c r="FH51">
        <f>'TEA Revised Non EYZ'!DX51</f>
        <v>33220.879177835675</v>
      </c>
      <c r="FI51">
        <f>'TEA Revised Non EYZ'!DY51</f>
        <v>14065.291587390104</v>
      </c>
      <c r="FJ51">
        <f>'TEA Revised Non EYZ'!DZ51</f>
        <v>7450.7773575794354</v>
      </c>
      <c r="FK51">
        <f>'TEA Revised Non EYZ'!EA51</f>
        <v>7501.4888466080574</v>
      </c>
      <c r="FL51">
        <f>'TEA Revised Non EYZ'!EB51</f>
        <v>850.32529486438557</v>
      </c>
      <c r="FM51">
        <f>'TEA Revised Non EYZ'!EC51</f>
        <v>51430.292217116497</v>
      </c>
      <c r="FN51">
        <f>'TEA Revised Non EYZ'!ED51</f>
        <v>54314.573878517935</v>
      </c>
      <c r="FO51">
        <f>'TEA Revised Non EYZ'!EE51</f>
        <v>22996.089746953152</v>
      </c>
      <c r="FP51">
        <f>'TEA Revised Non EYZ'!EF51</f>
        <v>12188.446280303153</v>
      </c>
      <c r="FQ51">
        <f>'TEA Revised Non EYZ'!EG51</f>
        <v>12264.581198375015</v>
      </c>
      <c r="FR51">
        <f>'TEA Revised Non EYZ'!EH51</f>
        <v>426.94428576505004</v>
      </c>
      <c r="FS51">
        <f>'TEA Revised Non EYZ'!EI51</f>
        <v>255238.07653841146</v>
      </c>
      <c r="FT51">
        <f>EG51*EH51</f>
        <v>2551.8483687250759</v>
      </c>
      <c r="FU51">
        <f>EG51*EI51</f>
        <v>4523.7508761725512</v>
      </c>
      <c r="FV51">
        <f>FC51*(FT51+FU51)/(3.6*10^6)*3600*7200*0.07</f>
        <v>1783.0510097142021</v>
      </c>
      <c r="FW51">
        <f>('CAPEX+OPEX'!$C$39/7/100+0.03)*EL51</f>
        <v>92091.168446807264</v>
      </c>
      <c r="FX51">
        <f>('CAPEX+OPEX'!$C$39/7/100+0.03)*EM51</f>
        <v>163253.23598954035</v>
      </c>
      <c r="FY51">
        <f>SUM(FV51:FX51)</f>
        <v>257127.45544606179</v>
      </c>
      <c r="FZ51">
        <f>FY51+FA51+FS51+EU51</f>
        <v>22941647.500542071</v>
      </c>
      <c r="GA51">
        <f>FZ51+EO51</f>
        <v>24092664.941688772</v>
      </c>
      <c r="GB51">
        <f>GA51/(BK51*60*7200)</f>
        <v>0.55770057735390677</v>
      </c>
      <c r="GC51">
        <f>'TEA Revised Non EYZ'!EM51/'TEA Revised Non EYZ'!EK51*GA51</f>
        <v>1865.7506733611342</v>
      </c>
      <c r="GD51">
        <f>'TEA Revised Non EYZ'!EN51/'TEA Revised Non EYZ'!EK51*GA51</f>
        <v>3423.5496777436438</v>
      </c>
    </row>
    <row r="52" spans="1:186">
      <c r="A52">
        <f>'TEA Revised Non EYZ'!A52</f>
        <v>8</v>
      </c>
      <c r="B52">
        <f>'TEA Revised Non EYZ'!B52</f>
        <v>1.54143585092054E-3</v>
      </c>
      <c r="C52">
        <f>'TEA Revised Non EYZ'!C52</f>
        <v>1.54143585092054E-3</v>
      </c>
      <c r="D52">
        <f>'TEA Revised Non EYZ'!D52</f>
        <v>3.4254130020456501E-4</v>
      </c>
      <c r="E52">
        <f>'TEA Revised Non EYZ'!E52</f>
        <v>0</v>
      </c>
      <c r="F52">
        <f>'TEA Revised Non EYZ'!F52</f>
        <v>0</v>
      </c>
      <c r="G52">
        <f>'TEA Revised Non EYZ'!G52</f>
        <v>0</v>
      </c>
      <c r="H52">
        <f>'TEA Revised Non EYZ'!H52</f>
        <v>1.7762434284205799E-5</v>
      </c>
      <c r="I52">
        <f>'TEA Revised Non EYZ'!I52</f>
        <v>4.4591984978445998E-9</v>
      </c>
      <c r="J52">
        <f>'TEA Revised Non EYZ'!J52</f>
        <v>3.37570976171142E-4</v>
      </c>
      <c r="K52">
        <f>'TEA Revised Non EYZ'!K52</f>
        <v>0.13846015972746001</v>
      </c>
      <c r="L52">
        <f>'TEA Revised Non EYZ'!L52</f>
        <v>0.14007387303476199</v>
      </c>
      <c r="M52">
        <f>'TEA Revised Non EYZ'!M52</f>
        <v>4.5166625081916902E-4</v>
      </c>
      <c r="N52">
        <f>'TEA Revised Non EYZ'!N52</f>
        <v>-2.6107588313450902E-16</v>
      </c>
      <c r="O52">
        <f>'TEA Revised Non EYZ'!O52</f>
        <v>-1.18524981496115E-14</v>
      </c>
      <c r="P52">
        <f>'TEA Revised Non EYZ'!P52</f>
        <v>-2.5241581828178102E-19</v>
      </c>
      <c r="Q52">
        <f>'TEA Revised Non EYZ'!Q52</f>
        <v>0.110044175857931</v>
      </c>
      <c r="R52">
        <f>'TEA Revised Non EYZ'!R52</f>
        <v>98.548985471108097</v>
      </c>
      <c r="S52">
        <f>'TEA Revised Non EYZ'!S52</f>
        <v>500</v>
      </c>
      <c r="T52">
        <f>'TEA Revised Non EYZ'!T52</f>
        <v>95</v>
      </c>
      <c r="U52">
        <f>'TEA Revised Non EYZ'!U52</f>
        <v>1</v>
      </c>
      <c r="V52">
        <f>'TEA Revised Non EYZ'!V52</f>
        <v>0.1</v>
      </c>
      <c r="W52">
        <f>'TEA Revised Non EYZ'!W52</f>
        <v>90.872596591664205</v>
      </c>
      <c r="X52" t="str">
        <f>'TEA Revised Non EYZ'!X52</f>
        <v>ddFc</v>
      </c>
      <c r="Y52">
        <f>'TEA Revised Non EYZ'!Y52</f>
        <v>1</v>
      </c>
      <c r="Z52">
        <f>'TEA Revised Non EYZ'!Z52</f>
        <v>0.28318429382522198</v>
      </c>
      <c r="AA52">
        <f>'TEA Revised Non EYZ'!AA52</f>
        <v>0.56945642916197003</v>
      </c>
      <c r="AB52">
        <f>'TEA Revised Non EYZ'!AB52</f>
        <v>3.7698628972227502E-3</v>
      </c>
      <c r="AC52">
        <f>'TEA Revised Non EYZ'!AC52</f>
        <v>1822.2107908876901</v>
      </c>
      <c r="AD52">
        <f>'TEA Revised Non EYZ'!AD52</f>
        <v>2662.6059073104898</v>
      </c>
      <c r="AE52">
        <f>'TEA Revised Non EYZ'!AE52</f>
        <v>2401.5030938442701</v>
      </c>
      <c r="AF52">
        <f>'TEA Revised Non EYZ'!AF52</f>
        <v>4</v>
      </c>
      <c r="AG52">
        <f>'TEA Revised Non EYZ'!AG52</f>
        <v>1.6497294784823999E-3</v>
      </c>
      <c r="AH52">
        <f>'TEA Revised Non EYZ'!AH52</f>
        <v>1.66895660069658E-3</v>
      </c>
      <c r="AI52">
        <f>'TEA Revised Non EYZ'!AI52</f>
        <v>5.38152729188446E-6</v>
      </c>
      <c r="AJ52">
        <f>'TEA Revised Non EYZ'!AJ52</f>
        <v>0</v>
      </c>
      <c r="AK52">
        <f>'TEA Revised Non EYZ'!AK52</f>
        <v>0</v>
      </c>
      <c r="AL52">
        <f>'TEA Revised Non EYZ'!AL52</f>
        <v>0</v>
      </c>
      <c r="AM52">
        <f>'TEA Revised Non EYZ'!AM52</f>
        <v>1.6048042794156499E-3</v>
      </c>
      <c r="AN52">
        <f>'TEA Revised Non EYZ'!AN52</f>
        <v>7.91245725580603E-5</v>
      </c>
      <c r="AO52">
        <f>'TEA Revised Non EYZ'!AO52</f>
        <v>5.33881057128359E-6</v>
      </c>
      <c r="AP52">
        <f>'TEA Revised Non EYZ'!AP52</f>
        <v>1.9876957232607701E-3</v>
      </c>
      <c r="AQ52">
        <f>'TEA Revised Non EYZ'!AQ52</f>
        <v>7.0341420588359904E-2</v>
      </c>
      <c r="AR52">
        <f>'TEA Revised Non EYZ'!AR52</f>
        <v>1.8899825621476501E-6</v>
      </c>
      <c r="AS52">
        <f>'TEA Revised Non EYZ'!AS52</f>
        <v>-9.5823143256984394E-15</v>
      </c>
      <c r="AT52">
        <f>'TEA Revised Non EYZ'!AT52</f>
        <v>-1.23568690002517E-13</v>
      </c>
      <c r="AU52">
        <f>'TEA Revised Non EYZ'!AU52</f>
        <v>-3.11350782564959E-18</v>
      </c>
      <c r="AV52">
        <f>'TEA Revised Non EYZ'!AV52</f>
        <v>0.208746528965852</v>
      </c>
      <c r="AW52">
        <f>'TEA Revised Non EYZ'!AW52</f>
        <v>99.206234247565902</v>
      </c>
      <c r="AX52">
        <f>'TEA Revised Non EYZ'!AX52</f>
        <v>499.99999999999898</v>
      </c>
      <c r="AY52">
        <f>'TEA Revised Non EYZ'!AY52</f>
        <v>95</v>
      </c>
      <c r="AZ52">
        <f>'TEA Revised Non EYZ'!AZ52</f>
        <v>0.92358985913147196</v>
      </c>
      <c r="BA52">
        <f>'TEA Revised Non EYZ'!BA52</f>
        <v>0.1</v>
      </c>
      <c r="BB52">
        <f>'TEA Revised Non EYZ'!BB52</f>
        <v>44.244561272803402</v>
      </c>
      <c r="BC52" t="str">
        <f>'TEA Revised Non EYZ'!BC52</f>
        <v>coeFc</v>
      </c>
      <c r="BD52">
        <f>'TEA Revised Non EYZ'!BD52</f>
        <v>1</v>
      </c>
      <c r="BE52">
        <f>'TEA Revised Non EYZ'!BE52</f>
        <v>1.8775014999999999E-2</v>
      </c>
      <c r="BF52">
        <f>'TEA Revised Non EYZ'!BF52</f>
        <v>0.10492961100000001</v>
      </c>
      <c r="BG52">
        <f>'TEA Revised Non EYZ'!BG52</f>
        <v>1.814625E-3</v>
      </c>
      <c r="BH52">
        <f>'TEA Revised Non EYZ'!BH52</f>
        <v>285.1951444</v>
      </c>
      <c r="BI52">
        <f>'TEA Revised Non EYZ'!BI52</f>
        <v>2169.8944889999998</v>
      </c>
      <c r="BJ52">
        <f>'TEA Revised Non EYZ'!BJ52</f>
        <v>866.49409060000005</v>
      </c>
      <c r="BK52">
        <f>'TEA Revised Non EYZ'!BK52</f>
        <v>100</v>
      </c>
      <c r="BL52">
        <f>'TEA Revised Non EYZ'!BL52</f>
        <v>11.004417585793099</v>
      </c>
      <c r="BM52">
        <f>'TEA Revised Non EYZ'!BM52</f>
        <v>92.358985913147194</v>
      </c>
      <c r="BN52">
        <f>'TEA Revised Non EYZ'!BN52</f>
        <v>20.8746528965852</v>
      </c>
      <c r="BO52">
        <f>'TEA Revised Non EYZ'!BO52</f>
        <v>220.08835171586199</v>
      </c>
      <c r="BP52">
        <f>'TEA Revised Non EYZ'!BP52</f>
        <v>250.49583475902239</v>
      </c>
      <c r="BQ52">
        <f>'TEA Revised Non EYZ'!BQ52</f>
        <v>22.008835171586199</v>
      </c>
      <c r="BR52">
        <f>'TEA Revised Non EYZ'!BR52</f>
        <v>25.049583475902239</v>
      </c>
      <c r="BS52">
        <f>'eLLE Bals'!CF52</f>
        <v>6.6026505514758593</v>
      </c>
      <c r="BT52">
        <f>'eLLE Bals'!CG52</f>
        <v>12.524791737951119</v>
      </c>
      <c r="BU52">
        <f>BM52</f>
        <v>92.358985913147194</v>
      </c>
      <c r="BV52">
        <f>BU52*(AM52*2+AN52*2+AO52*3)</f>
        <v>0.31253118362740245</v>
      </c>
      <c r="BW52">
        <f>BN52*BA52*(AP52*2+AQ52*2+AR52*3)</f>
        <v>0.30198087528335371</v>
      </c>
      <c r="BX52">
        <f>BV52/(2*V52*BL52+BV52)</f>
        <v>0.12434525171260608</v>
      </c>
      <c r="BY52">
        <f>BU52*BX52</f>
        <v>11.484401351291327</v>
      </c>
      <c r="BZ52">
        <f>BW52/(2*BN52*BA52+BW52)</f>
        <v>6.7452947940938965E-2</v>
      </c>
      <c r="CA52">
        <f>2*BN52*BA52/0.04</f>
        <v>104.373264482926</v>
      </c>
      <c r="CB52">
        <f>(BS52+BL52)*2</f>
        <v>35.214136274537921</v>
      </c>
      <c r="CC52">
        <f>(BU52+BL52)*2</f>
        <v>206.7268069978806</v>
      </c>
      <c r="CD52">
        <f>(BT52+BN52)*2</f>
        <v>66.798889269072646</v>
      </c>
      <c r="CE52">
        <f>(CA52+BN52)*2</f>
        <v>250.49583475902242</v>
      </c>
      <c r="CF52">
        <f>'TEA Revised Non EYZ'!CB52</f>
        <v>2905.1662426493785</v>
      </c>
      <c r="CG52">
        <f>'TEA Revised Non EYZ'!CC52</f>
        <v>3306.5450188190953</v>
      </c>
      <c r="CH52">
        <f>'TEA Revised Non EYZ'!CD52</f>
        <v>3509.9789962792502</v>
      </c>
      <c r="CI52">
        <f>'TEA Revised Non EYZ'!CE52</f>
        <v>25503.675610255905</v>
      </c>
      <c r="CJ52">
        <f>BL52*V52</f>
        <v>1.10044175857931</v>
      </c>
      <c r="CK52">
        <f>CJ52/2*1.2</f>
        <v>0.66026505514758604</v>
      </c>
      <c r="CL52">
        <f>'eLLE Bals'!CB52*'Oxidant Feed Composition'!$N$20</f>
        <v>3.668139195264368E-2</v>
      </c>
      <c r="CM52">
        <f>'eLLE Bals'!CB52*'Oxidant Feed Composition'!$N$21</f>
        <v>1.8340695976321835</v>
      </c>
      <c r="CN52">
        <f>'eLLE Bals'!CB52*'Oxidant Feed Composition'!$N$22</f>
        <v>0.55022087928965502</v>
      </c>
      <c r="CO52">
        <f>CN52/CK52</f>
        <v>0.83333333333333326</v>
      </c>
      <c r="CP52">
        <f>CO52</f>
        <v>0.83333333333333326</v>
      </c>
      <c r="CQ52">
        <f>CL52/CO52</f>
        <v>4.4017670343172423E-2</v>
      </c>
      <c r="CR52">
        <f>CM52/CO52</f>
        <v>2.2008835171586205</v>
      </c>
      <c r="CS52">
        <f>BN52*BA52</f>
        <v>2.0874652896585202</v>
      </c>
      <c r="CT52">
        <f>CS52/2*1.2</f>
        <v>1.252479173795112</v>
      </c>
      <c r="CU52">
        <f>'eLLE Bals'!CC52*'Oxidant Feed Composition'!$N$20</f>
        <v>6.9582176321950698E-2</v>
      </c>
      <c r="CV52">
        <f>'eLLE Bals'!CC52*'Oxidant Feed Composition'!$N$21</f>
        <v>3.4791088160975336</v>
      </c>
      <c r="CW52">
        <f>'eLLE Bals'!CC52*'Oxidant Feed Composition'!$N$22</f>
        <v>1.0437326448292601</v>
      </c>
      <c r="CX52">
        <f>CU52/CP52</f>
        <v>8.3498611586340851E-2</v>
      </c>
      <c r="CY52">
        <f>CV52/CP52</f>
        <v>4.1749305793170404</v>
      </c>
      <c r="CZ52">
        <f>CJ52</f>
        <v>1.10044175857931</v>
      </c>
      <c r="DA52">
        <f>'eLLE Bals'!BQ52</f>
        <v>2.2008835171586201</v>
      </c>
      <c r="DB52">
        <f>'eLLE Bals'!BU52</f>
        <v>5.5485643939218185</v>
      </c>
      <c r="DC52">
        <f>CS52</f>
        <v>2.0874652896585202</v>
      </c>
      <c r="DD52">
        <f>'eLLE Bals'!BX52</f>
        <v>4.1749305793170404</v>
      </c>
      <c r="DE52">
        <f>'eLLE Bals'!CA52</f>
        <v>24.684587967613481</v>
      </c>
      <c r="DF52">
        <f>2*2*(CJ52*'Reagent cost'!$C$36*122.44/1000*1.5+CK52*'Oxidant Feed Composition'!$N$26+CQ52*'Reagent cost'!$C$34+CR52*'Reagent cost'!$C$35)</f>
        <v>111.98220486343379</v>
      </c>
      <c r="DG52">
        <f>2*2*(CS52*'Reagent cost'!$C$36*122.44/1000*1.5+CT52*'Oxidant Feed Composition'!$N$26+CX52*'Reagent cost'!$C$34+CY52*'Reagent cost'!$C$35)</f>
        <v>212.42284190817566</v>
      </c>
      <c r="DH52">
        <f>(AF52+3)*2*(CZ52*'Reagent cost'!$C$38+DA52*'Reagent cost'!$C$39+DB52*'Reagent cost'!$C$36*122.44/1000*1.5)</f>
        <v>1076.1892310311896</v>
      </c>
      <c r="DI52">
        <f>3*2*(DC52*'Reagent cost'!$C$38+DD52*'Reagent cost'!$C$39+DE52*'Reagent cost'!$C$36*122.44/1000*1.5)</f>
        <v>1976.7961478192008</v>
      </c>
      <c r="DJ52">
        <f>7963.6*(CB52/1000)^0.6*1.7*('CAPEX+OPEX'!$G$116/'CAPEX+OPEX'!$G$115)</f>
        <v>2144.228934815284</v>
      </c>
      <c r="DK52">
        <f>7963.6*(CC52/1000)^0.6*1.7*('CAPEX+OPEX'!$G$116/'CAPEX+OPEX'!$G$115)</f>
        <v>6201.2466571653367</v>
      </c>
      <c r="DL52">
        <f>7963.6*(CD52/1000)^0.6*1.7*('CAPEX+OPEX'!$G$116/'CAPEX+OPEX'!$G$115)</f>
        <v>3148.491118286343</v>
      </c>
      <c r="DM52">
        <f>7963.6*(CE52/1000)^0.6*1.7*('CAPEX+OPEX'!$G$116/'CAPEX+OPEX'!$G$115)</f>
        <v>6958.5897521424013</v>
      </c>
      <c r="DN52">
        <f>'TEA Revised Non EYZ'!CM52</f>
        <v>39625.826528698344</v>
      </c>
      <c r="DO52">
        <f>'TEA Revised Non EYZ'!CN52</f>
        <v>4586243.4239371875</v>
      </c>
      <c r="DP52">
        <f>'TEA Revised Non EYZ'!CO52</f>
        <v>11794834.586807497</v>
      </c>
      <c r="DQ52">
        <f>'TEA Revised Non EYZ'!CP52</f>
        <v>2275209.1661185985</v>
      </c>
      <c r="DR52">
        <f>'TEA Revised Non EYZ'!CQ52</f>
        <v>14083914.336508472</v>
      </c>
      <c r="DS52">
        <f>'TEA Revised Non EYZ'!CR52</f>
        <v>1662824.8986326549</v>
      </c>
      <c r="DT52">
        <f>'TEA Revised Non EYZ'!CS52</f>
        <v>751295.09040276916</v>
      </c>
      <c r="DU52">
        <f>'TEA Revised Non EYZ'!CT52</f>
        <v>1932169.8606163235</v>
      </c>
      <c r="DV52">
        <f>'TEA Revised Non EYZ'!CU52</f>
        <v>372713.20297186484</v>
      </c>
      <c r="DW52">
        <f>'TEA Revised Non EYZ'!CV52</f>
        <v>2307155.2721002945</v>
      </c>
      <c r="DX52">
        <f>'TEA Revised Non EYZ'!CW52</f>
        <v>272395.52441150707</v>
      </c>
      <c r="DY52">
        <f>'TEA Revised Non EYZ'!CX52</f>
        <v>5635728.9505027588</v>
      </c>
      <c r="DZ52">
        <f>'TEA Revised Non EYZ'!CY52</f>
        <v>498645.65589957108</v>
      </c>
      <c r="EA52">
        <f>'TEA Revised Non EYZ'!CZ52</f>
        <v>1282409.694624644</v>
      </c>
      <c r="EB52">
        <f>'TEA Revised Non EYZ'!DA52</f>
        <v>247375.26164146824</v>
      </c>
      <c r="EC52">
        <f>'TEA Revised Non EYZ'!DB52</f>
        <v>1531293.0546396186</v>
      </c>
      <c r="ED52">
        <f>'TEA Revised Non EYZ'!DC52</f>
        <v>180792.93565124425</v>
      </c>
      <c r="EE52">
        <f>'TEA Revised Non EYZ'!DD52</f>
        <v>3740516.6024565459</v>
      </c>
      <c r="EF52">
        <v>0.7</v>
      </c>
      <c r="EG52">
        <v>100</v>
      </c>
      <c r="EH52">
        <f>96485*BL52*V52/EF52/EG52/60</f>
        <v>25.280029303934459</v>
      </c>
      <c r="EI52">
        <f>96485*BN52*BA52/EF52/EG52/60</f>
        <v>47.954544874452935</v>
      </c>
      <c r="EJ52">
        <f>EH52*('CAPEX+OPEX'!$O$25+'CAPEX+OPEX'!$O$26)</f>
        <v>805725.09397499904</v>
      </c>
      <c r="EK52">
        <f>EI52*('CAPEX+OPEX'!$O$25+'CAPEX+OPEX'!$O$26)</f>
        <v>1528407.2542385641</v>
      </c>
      <c r="EL52">
        <f>EJ52*1.12/0.6*'CAPEX+OPEX'!$G$116/'CAPEX+OPEX'!$G$115</f>
        <v>1773928.987938937</v>
      </c>
      <c r="EM52">
        <f>EK52*1.12/0.6*'CAPEX+OPEX'!$G$116/'CAPEX+OPEX'!$G$115</f>
        <v>3365026.0541023617</v>
      </c>
      <c r="EN52">
        <f>EL52+EM52+DY52+EE52+1.15*(SUM(DF52:DM52)+SUM(CF52:CI52))</f>
        <v>14580814.204670044</v>
      </c>
      <c r="EO52">
        <f>EN52/15</f>
        <v>972054.28031133628</v>
      </c>
      <c r="EP52">
        <f>('eLLE Bals'!CB52+'eLLE Bals'!CC52)*'Oxidant Feed Composition'!$N$28*60*7200</f>
        <v>17722132.547708735</v>
      </c>
      <c r="EQ52" s="53">
        <f>('eLLE Bals'!BR52+'eLLE Bals'!BY52)*'Reagent cost'!$C$38*60*7200*1.5</f>
        <v>759925.97129575105</v>
      </c>
      <c r="ER52">
        <f>'TEA Revised Non EYZ'!DI52</f>
        <v>504921.59999999998</v>
      </c>
      <c r="ES52">
        <f>'TEA Revised Non EYZ'!DJ52</f>
        <v>62.117112614684743</v>
      </c>
      <c r="ET52">
        <f>'TEA Revised Non EYZ'!DK52</f>
        <v>580.27309213070305</v>
      </c>
      <c r="EU52">
        <f>1.2*SUM(EP52:ET52)</f>
        <v>22785147.011051081</v>
      </c>
      <c r="EV52">
        <f>'TEA Revised Non EYZ'!DM52</f>
        <v>0.70639694042110623</v>
      </c>
      <c r="EW52">
        <f>(BS52*CO52+BT52*CP52)/1000*('Oxidant Feed Composition'!$B$11*'Oxidant Feed Composition'!$O$20+'Oxidant Feed Composition'!$D$11*'Oxidant Feed Composition'!$O$21+'Oxidant Feed Composition'!$F$11*'Oxidant Feed Composition'!$O$27-'Oxidant Feed Composition'!$J$15*18.015)</f>
        <v>1.8614912909560635</v>
      </c>
      <c r="EX52">
        <f>(CZ52*BX52+DC52*BZ52)*368.34/1000</f>
        <v>0.10226606308599775</v>
      </c>
      <c r="EY52">
        <f>'TEA Revised Non EYZ'!DP52</f>
        <v>4.999938342565946E-2</v>
      </c>
      <c r="EZ52">
        <f>SUM(EV52:EX52)-EY52</f>
        <v>2.6201549110375084</v>
      </c>
      <c r="FA52">
        <f>EZ52*0.33*60*7200</f>
        <v>373529.28411750722</v>
      </c>
      <c r="FB52">
        <f>'TEA Revised Non EYZ'!DS52</f>
        <v>1.2</v>
      </c>
      <c r="FC52">
        <v>0.5</v>
      </c>
      <c r="FD52">
        <f>'TEA Revised Non EYZ'!DT52</f>
        <v>1398.9575525177422</v>
      </c>
      <c r="FE52">
        <f>'TEA Revised Non EYZ'!DU52</f>
        <v>712.79296950667776</v>
      </c>
      <c r="FF52">
        <f>'TEA Revised Non EYZ'!DV52</f>
        <v>0.7</v>
      </c>
      <c r="FG52">
        <f>'TEA Revised Non EYZ'!DW52</f>
        <v>41280.414286181804</v>
      </c>
      <c r="FH52">
        <f>'TEA Revised Non EYZ'!DX52</f>
        <v>37373.489075065132</v>
      </c>
      <c r="FI52">
        <f>'TEA Revised Non EYZ'!DY52</f>
        <v>15823.453035813865</v>
      </c>
      <c r="FJ52">
        <f>'TEA Revised Non EYZ'!DZ52</f>
        <v>8382.1245272768647</v>
      </c>
      <c r="FK52">
        <f>'TEA Revised Non EYZ'!EA52</f>
        <v>8439.174952434063</v>
      </c>
      <c r="FL52">
        <f>'TEA Revised Non EYZ'!EB52</f>
        <v>846.08952776273043</v>
      </c>
      <c r="FM52">
        <f>'TEA Revised Non EYZ'!EC52</f>
        <v>28285.552898305465</v>
      </c>
      <c r="FN52">
        <f>'TEA Revised Non EYZ'!ED52</f>
        <v>19397.30061303094</v>
      </c>
      <c r="FO52">
        <f>'TEA Revised Non EYZ'!EE52</f>
        <v>8212.5667918074541</v>
      </c>
      <c r="FP52">
        <f>'TEA Revised Non EYZ'!EF52</f>
        <v>4352.8470449002243</v>
      </c>
      <c r="FQ52">
        <f>'TEA Revised Non EYZ'!EG52</f>
        <v>4380.0356222973096</v>
      </c>
      <c r="FR52">
        <f>'TEA Revised Non EYZ'!EH52</f>
        <v>431.09718795763877</v>
      </c>
      <c r="FS52">
        <f>'TEA Revised Non EYZ'!EI52</f>
        <v>177204.1455628335</v>
      </c>
      <c r="FT52">
        <f>EG52*EH52</f>
        <v>2528.0029303934457</v>
      </c>
      <c r="FU52">
        <f>EG52*EI52</f>
        <v>4795.4544874452931</v>
      </c>
      <c r="FV52">
        <f>FC52*(FT52+FU52)/(3.6*10^6)*3600*7200*0.07</f>
        <v>1845.5112692953624</v>
      </c>
      <c r="FW52">
        <f>('CAPEX+OPEX'!$C$39/7/100+0.03)*EL52</f>
        <v>91230.633665431043</v>
      </c>
      <c r="FX52">
        <f>('CAPEX+OPEX'!$C$39/7/100+0.03)*EM52</f>
        <v>173058.48278240717</v>
      </c>
      <c r="FY52">
        <f>SUM(FV52:FX52)</f>
        <v>266134.62771713355</v>
      </c>
      <c r="FZ52">
        <f>FY52+FA52+FS52+EU52</f>
        <v>23602015.068448555</v>
      </c>
      <c r="GA52">
        <f>FZ52+EO52</f>
        <v>24574069.34875989</v>
      </c>
      <c r="GB52">
        <f>GA52/(BK52*60*7200)</f>
        <v>0.56884419788796037</v>
      </c>
      <c r="GC52">
        <f>'TEA Revised Non EYZ'!EM52/'TEA Revised Non EYZ'!EK52*GA52</f>
        <v>1912.5039448133059</v>
      </c>
      <c r="GD52">
        <f>'TEA Revised Non EYZ'!EN52/'TEA Revised Non EYZ'!EK52*GA52</f>
        <v>3460.9507635058444</v>
      </c>
    </row>
    <row r="53" spans="1:186">
      <c r="A53">
        <f>'TEA Revised Non EYZ'!A53</f>
        <v>8</v>
      </c>
      <c r="B53">
        <f>'TEA Revised Non EYZ'!B53</f>
        <v>1.54143585092054E-3</v>
      </c>
      <c r="C53">
        <f>'TEA Revised Non EYZ'!C53</f>
        <v>1.54143585092054E-3</v>
      </c>
      <c r="D53">
        <f>'TEA Revised Non EYZ'!D53</f>
        <v>3.4254130020456501E-4</v>
      </c>
      <c r="E53">
        <f>'TEA Revised Non EYZ'!E53</f>
        <v>0</v>
      </c>
      <c r="F53">
        <f>'TEA Revised Non EYZ'!F53</f>
        <v>0</v>
      </c>
      <c r="G53">
        <f>'TEA Revised Non EYZ'!G53</f>
        <v>0</v>
      </c>
      <c r="H53">
        <f>'TEA Revised Non EYZ'!H53</f>
        <v>1.7762434284205799E-5</v>
      </c>
      <c r="I53">
        <f>'TEA Revised Non EYZ'!I53</f>
        <v>4.4591984978445998E-9</v>
      </c>
      <c r="J53">
        <f>'TEA Revised Non EYZ'!J53</f>
        <v>3.37570976171142E-4</v>
      </c>
      <c r="K53">
        <f>'TEA Revised Non EYZ'!K53</f>
        <v>0.13846015972746001</v>
      </c>
      <c r="L53">
        <f>'TEA Revised Non EYZ'!L53</f>
        <v>0.14007387303476199</v>
      </c>
      <c r="M53">
        <f>'TEA Revised Non EYZ'!M53</f>
        <v>4.5166625081916902E-4</v>
      </c>
      <c r="N53">
        <f>'TEA Revised Non EYZ'!N53</f>
        <v>-2.6107588313450902E-16</v>
      </c>
      <c r="O53">
        <f>'TEA Revised Non EYZ'!O53</f>
        <v>-1.18524981496115E-14</v>
      </c>
      <c r="P53">
        <f>'TEA Revised Non EYZ'!P53</f>
        <v>-2.5241581828178102E-19</v>
      </c>
      <c r="Q53">
        <f>'TEA Revised Non EYZ'!Q53</f>
        <v>0.110044175857931</v>
      </c>
      <c r="R53">
        <f>'TEA Revised Non EYZ'!R53</f>
        <v>98.548985471108097</v>
      </c>
      <c r="S53">
        <f>'TEA Revised Non EYZ'!S53</f>
        <v>500</v>
      </c>
      <c r="T53">
        <f>'TEA Revised Non EYZ'!T53</f>
        <v>95</v>
      </c>
      <c r="U53">
        <f>'TEA Revised Non EYZ'!U53</f>
        <v>1</v>
      </c>
      <c r="V53">
        <f>'TEA Revised Non EYZ'!V53</f>
        <v>0.1</v>
      </c>
      <c r="W53">
        <f>'TEA Revised Non EYZ'!W53</f>
        <v>90.872596591664205</v>
      </c>
      <c r="X53" t="str">
        <f>'TEA Revised Non EYZ'!X53</f>
        <v>ddFc</v>
      </c>
      <c r="Y53">
        <f>'TEA Revised Non EYZ'!Y53</f>
        <v>1</v>
      </c>
      <c r="Z53">
        <f>'TEA Revised Non EYZ'!Z53</f>
        <v>0.28318429382522198</v>
      </c>
      <c r="AA53">
        <f>'TEA Revised Non EYZ'!AA53</f>
        <v>0.56945642916197003</v>
      </c>
      <c r="AB53">
        <f>'TEA Revised Non EYZ'!AB53</f>
        <v>3.7698628972227502E-3</v>
      </c>
      <c r="AC53">
        <f>'TEA Revised Non EYZ'!AC53</f>
        <v>1822.2107908876901</v>
      </c>
      <c r="AD53">
        <f>'TEA Revised Non EYZ'!AD53</f>
        <v>2662.6059073104898</v>
      </c>
      <c r="AE53">
        <f>'TEA Revised Non EYZ'!AE53</f>
        <v>2401.5030938442701</v>
      </c>
      <c r="AF53">
        <f>'TEA Revised Non EYZ'!AF53</f>
        <v>5</v>
      </c>
      <c r="AG53">
        <f>'TEA Revised Non EYZ'!AG53</f>
        <v>1.6497294784823999E-3</v>
      </c>
      <c r="AH53">
        <f>'TEA Revised Non EYZ'!AH53</f>
        <v>1.66895660069658E-3</v>
      </c>
      <c r="AI53">
        <f>'TEA Revised Non EYZ'!AI53</f>
        <v>5.38152729188446E-6</v>
      </c>
      <c r="AJ53">
        <f>'TEA Revised Non EYZ'!AJ53</f>
        <v>0</v>
      </c>
      <c r="AK53">
        <f>'TEA Revised Non EYZ'!AK53</f>
        <v>0</v>
      </c>
      <c r="AL53">
        <f>'TEA Revised Non EYZ'!AL53</f>
        <v>0</v>
      </c>
      <c r="AM53">
        <f>'TEA Revised Non EYZ'!AM53</f>
        <v>1.6104132966485E-3</v>
      </c>
      <c r="AN53">
        <f>'TEA Revised Non EYZ'!AN53</f>
        <v>7.9414634231904594E-5</v>
      </c>
      <c r="AO53">
        <f>'TEA Revised Non EYZ'!AO53</f>
        <v>5.3439603602742398E-6</v>
      </c>
      <c r="AP53">
        <f>'TEA Revised Non EYZ'!AP53</f>
        <v>1.8119059661181E-3</v>
      </c>
      <c r="AQ53">
        <f>'TEA Revised Non EYZ'!AQ53</f>
        <v>7.3254839053204804E-2</v>
      </c>
      <c r="AR53">
        <f>'TEA Revised Non EYZ'!AR53</f>
        <v>1.7312908918998299E-6</v>
      </c>
      <c r="AS53">
        <f>'TEA Revised Non EYZ'!AS53</f>
        <v>-4.56313589344836E-17</v>
      </c>
      <c r="AT53">
        <f>'TEA Revised Non EYZ'!AT53</f>
        <v>1.8236280541206101E-16</v>
      </c>
      <c r="AU53">
        <f>'TEA Revised Non EYZ'!AU53</f>
        <v>-3.5912873474602201E-20</v>
      </c>
      <c r="AV53">
        <f>'TEA Revised Non EYZ'!AV53</f>
        <v>0.20040789930945399</v>
      </c>
      <c r="AW53">
        <f>'TEA Revised Non EYZ'!AW53</f>
        <v>99.301928066649793</v>
      </c>
      <c r="AX53">
        <f>'TEA Revised Non EYZ'!AX53</f>
        <v>499.99999999999898</v>
      </c>
      <c r="AY53">
        <f>'TEA Revised Non EYZ'!AY53</f>
        <v>95</v>
      </c>
      <c r="AZ53">
        <f>'TEA Revised Non EYZ'!AZ53</f>
        <v>0.92358985913147196</v>
      </c>
      <c r="BA53">
        <f>'TEA Revised Non EYZ'!BA53</f>
        <v>0.1</v>
      </c>
      <c r="BB53">
        <f>'TEA Revised Non EYZ'!BB53</f>
        <v>46.085501734905897</v>
      </c>
      <c r="BC53" t="str">
        <f>'TEA Revised Non EYZ'!BC53</f>
        <v>coeFc</v>
      </c>
      <c r="BD53">
        <f>'TEA Revised Non EYZ'!BD53</f>
        <v>1</v>
      </c>
      <c r="BE53">
        <f>'TEA Revised Non EYZ'!BE53</f>
        <v>1.8775014999999999E-2</v>
      </c>
      <c r="BF53">
        <f>'TEA Revised Non EYZ'!BF53</f>
        <v>0.10492961100000001</v>
      </c>
      <c r="BG53">
        <f>'TEA Revised Non EYZ'!BG53</f>
        <v>1.814625E-3</v>
      </c>
      <c r="BH53">
        <f>'TEA Revised Non EYZ'!BH53</f>
        <v>285.1951444</v>
      </c>
      <c r="BI53">
        <f>'TEA Revised Non EYZ'!BI53</f>
        <v>2169.8944889999998</v>
      </c>
      <c r="BJ53">
        <f>'TEA Revised Non EYZ'!BJ53</f>
        <v>866.49409060000005</v>
      </c>
      <c r="BK53">
        <f>'TEA Revised Non EYZ'!BK53</f>
        <v>100</v>
      </c>
      <c r="BL53">
        <f>'TEA Revised Non EYZ'!BL53</f>
        <v>11.004417585793099</v>
      </c>
      <c r="BM53">
        <f>'TEA Revised Non EYZ'!BM53</f>
        <v>92.358985913147194</v>
      </c>
      <c r="BN53">
        <f>'TEA Revised Non EYZ'!BN53</f>
        <v>20.040789930945397</v>
      </c>
      <c r="BO53">
        <f>'TEA Revised Non EYZ'!BO53</f>
        <v>220.08835171586199</v>
      </c>
      <c r="BP53">
        <f>'TEA Revised Non EYZ'!BP53</f>
        <v>280.57105903323554</v>
      </c>
      <c r="BQ53">
        <f>'TEA Revised Non EYZ'!BQ53</f>
        <v>22.008835171586199</v>
      </c>
      <c r="BR53">
        <f>'TEA Revised Non EYZ'!BR53</f>
        <v>28.057105903323556</v>
      </c>
      <c r="BS53">
        <f>'eLLE Bals'!CF53</f>
        <v>6.6026505514758593</v>
      </c>
      <c r="BT53">
        <f>'eLLE Bals'!CG53</f>
        <v>12.024473958567238</v>
      </c>
      <c r="BU53">
        <f>BM53</f>
        <v>92.358985913147194</v>
      </c>
      <c r="BV53">
        <f>BU53*(AM53*2+AN53*2+AO53*3)</f>
        <v>0.31362227640655682</v>
      </c>
      <c r="BW53">
        <f>BN53*BA53*(AP53*2+AQ53*2+AR53*3)</f>
        <v>0.30088978247754061</v>
      </c>
      <c r="BX53">
        <f>BV53/(2*V53*BL53+BV53)</f>
        <v>0.12472521527257624</v>
      </c>
      <c r="BY53">
        <f>BU53*BX53</f>
        <v>11.51949440037412</v>
      </c>
      <c r="BZ53">
        <f>BW53/(2*BN53*BA53+BW53)</f>
        <v>6.9827441845845939E-2</v>
      </c>
      <c r="CA53">
        <f>2*BN53*BA53/0.04</f>
        <v>100.20394965472698</v>
      </c>
      <c r="CB53">
        <f>(BS53+BL53)*2</f>
        <v>35.214136274537921</v>
      </c>
      <c r="CC53">
        <f>(BU53+BL53)*2</f>
        <v>206.7268069978806</v>
      </c>
      <c r="CD53">
        <f>(BT53+BN53)*2</f>
        <v>64.130527779025272</v>
      </c>
      <c r="CE53">
        <f>(CA53+BN53)*2</f>
        <v>240.48947917134475</v>
      </c>
      <c r="CF53">
        <f>'TEA Revised Non EYZ'!CB53</f>
        <v>2905.1662426493785</v>
      </c>
      <c r="CG53">
        <f>'TEA Revised Non EYZ'!CC53</f>
        <v>3703.5379792387093</v>
      </c>
      <c r="CH53">
        <f>'TEA Revised Non EYZ'!CD53</f>
        <v>3509.9789962792502</v>
      </c>
      <c r="CI53">
        <f>'TEA Revised Non EYZ'!CE53</f>
        <v>28565.717598032308</v>
      </c>
      <c r="CJ53">
        <f>BL53*V53</f>
        <v>1.10044175857931</v>
      </c>
      <c r="CK53">
        <f>CJ53/2*1.2</f>
        <v>0.66026505514758604</v>
      </c>
      <c r="CL53">
        <f>'eLLE Bals'!CB53*'Oxidant Feed Composition'!$N$20</f>
        <v>3.668139195264368E-2</v>
      </c>
      <c r="CM53">
        <f>'eLLE Bals'!CB53*'Oxidant Feed Composition'!$N$21</f>
        <v>1.8340695976321835</v>
      </c>
      <c r="CN53">
        <f>'eLLE Bals'!CB53*'Oxidant Feed Composition'!$N$22</f>
        <v>0.55022087928965502</v>
      </c>
      <c r="CO53">
        <f>CN53/CK53</f>
        <v>0.83333333333333326</v>
      </c>
      <c r="CP53">
        <f>CO53</f>
        <v>0.83333333333333326</v>
      </c>
      <c r="CQ53">
        <f>CL53/CO53</f>
        <v>4.4017670343172423E-2</v>
      </c>
      <c r="CR53">
        <f>CM53/CO53</f>
        <v>2.2008835171586205</v>
      </c>
      <c r="CS53">
        <f>BN53*BA53</f>
        <v>2.0040789930945397</v>
      </c>
      <c r="CT53">
        <f>CS53/2*1.2</f>
        <v>1.2024473958567239</v>
      </c>
      <c r="CU53">
        <f>'eLLE Bals'!CC53*'Oxidant Feed Composition'!$N$20</f>
        <v>6.6802633103151349E-2</v>
      </c>
      <c r="CV53">
        <f>'eLLE Bals'!CC53*'Oxidant Feed Composition'!$N$21</f>
        <v>3.3401316551575668</v>
      </c>
      <c r="CW53">
        <f>'eLLE Bals'!CC53*'Oxidant Feed Composition'!$N$22</f>
        <v>1.0020394965472699</v>
      </c>
      <c r="CX53">
        <f>CU53/CP53</f>
        <v>8.016315972378163E-2</v>
      </c>
      <c r="CY53">
        <f>CV53/CP53</f>
        <v>4.0081579861890804</v>
      </c>
      <c r="CZ53">
        <f>CJ53</f>
        <v>1.10044175857931</v>
      </c>
      <c r="DA53">
        <f>'eLLE Bals'!BQ53</f>
        <v>2.2008835171586201</v>
      </c>
      <c r="DB53">
        <f>'eLLE Bals'!BU53</f>
        <v>5.5216040427191979</v>
      </c>
      <c r="DC53">
        <f>CS53</f>
        <v>2.0040789930945397</v>
      </c>
      <c r="DD53">
        <f>'eLLE Bals'!BX53</f>
        <v>4.0081579861890795</v>
      </c>
      <c r="DE53">
        <f>'eLLE Bals'!CA53</f>
        <v>22.688212874211377</v>
      </c>
      <c r="DF53">
        <f>2*2*(CJ53*'Reagent cost'!$C$36*122.44/1000*1.5+CK53*'Oxidant Feed Composition'!$N$26+CQ53*'Reagent cost'!$C$34+CR53*'Reagent cost'!$C$35)</f>
        <v>111.98220486343379</v>
      </c>
      <c r="DG53">
        <f>2*2*(CS53*'Reagent cost'!$C$36*122.44/1000*1.5+CT53*'Oxidant Feed Composition'!$N$26+CX53*'Reagent cost'!$C$34+CY53*'Reagent cost'!$C$35)</f>
        <v>203.93735753625765</v>
      </c>
      <c r="DH53">
        <f>(AF53+3)*2*(CZ53*'Reagent cost'!$C$38+DA53*'Reagent cost'!$C$39+DB53*'Reagent cost'!$C$36*122.44/1000*1.5)</f>
        <v>1224.3357078178626</v>
      </c>
      <c r="DI53">
        <f>3*2*(DC53*'Reagent cost'!$C$38+DD53*'Reagent cost'!$C$39+DE53*'Reagent cost'!$C$36*122.44/1000*1.5)</f>
        <v>1819.2071626032621</v>
      </c>
      <c r="DJ53">
        <f>7963.6*(CB53/1000)^0.6*1.7*('CAPEX+OPEX'!$G$116/'CAPEX+OPEX'!$G$115)</f>
        <v>2144.228934815284</v>
      </c>
      <c r="DK53">
        <f>7963.6*(CC53/1000)^0.6*1.7*('CAPEX+OPEX'!$G$116/'CAPEX+OPEX'!$G$115)</f>
        <v>6201.2466571653367</v>
      </c>
      <c r="DL53">
        <f>7963.6*(CD53/1000)^0.6*1.7*('CAPEX+OPEX'!$G$116/'CAPEX+OPEX'!$G$115)</f>
        <v>3072.4145724960686</v>
      </c>
      <c r="DM53">
        <f>7963.6*(CE53/1000)^0.6*1.7*('CAPEX+OPEX'!$G$116/'CAPEX+OPEX'!$G$115)</f>
        <v>6790.4503316943192</v>
      </c>
      <c r="DN53">
        <f>'TEA Revised Non EYZ'!CM53</f>
        <v>39625.826528698344</v>
      </c>
      <c r="DO53">
        <f>'TEA Revised Non EYZ'!CN53</f>
        <v>4586243.4239371875</v>
      </c>
      <c r="DP53">
        <f>'TEA Revised Non EYZ'!CO53</f>
        <v>11794834.586807497</v>
      </c>
      <c r="DQ53">
        <f>'TEA Revised Non EYZ'!CP53</f>
        <v>2275209.1661185985</v>
      </c>
      <c r="DR53">
        <f>'TEA Revised Non EYZ'!CQ53</f>
        <v>14083914.336508472</v>
      </c>
      <c r="DS53">
        <f>'TEA Revised Non EYZ'!CR53</f>
        <v>1662824.8986326549</v>
      </c>
      <c r="DT53">
        <f>'TEA Revised Non EYZ'!CS53</f>
        <v>751295.09040276916</v>
      </c>
      <c r="DU53">
        <f>'TEA Revised Non EYZ'!CT53</f>
        <v>1932169.8606163235</v>
      </c>
      <c r="DV53">
        <f>'TEA Revised Non EYZ'!CU53</f>
        <v>372713.20297186484</v>
      </c>
      <c r="DW53">
        <f>'TEA Revised Non EYZ'!CV53</f>
        <v>2307155.2721002945</v>
      </c>
      <c r="DX53">
        <f>'TEA Revised Non EYZ'!CW53</f>
        <v>272395.52441150707</v>
      </c>
      <c r="DY53">
        <f>'TEA Revised Non EYZ'!CX53</f>
        <v>5635728.9505027588</v>
      </c>
      <c r="DZ53">
        <f>'TEA Revised Non EYZ'!CY53</f>
        <v>556289.40374443913</v>
      </c>
      <c r="EA53">
        <f>'TEA Revised Non EYZ'!CZ53</f>
        <v>1430657.052635611</v>
      </c>
      <c r="EB53">
        <f>'TEA Revised Non EYZ'!DA53</f>
        <v>275971.99568780069</v>
      </c>
      <c r="EC53">
        <f>'TEA Revised Non EYZ'!DB53</f>
        <v>1708311.4838065251</v>
      </c>
      <c r="ED53">
        <f>'TEA Revised Non EYZ'!DC53</f>
        <v>201692.71141688875</v>
      </c>
      <c r="EE53">
        <f>'TEA Revised Non EYZ'!DD53</f>
        <v>4172922.6472912654</v>
      </c>
      <c r="EF53">
        <v>0.7</v>
      </c>
      <c r="EG53">
        <v>100</v>
      </c>
      <c r="EH53">
        <f>96485*BL53*V53/EF53/EG53/60</f>
        <v>25.280029303934459</v>
      </c>
      <c r="EI53">
        <f>96485*BN53*BA53/EF53/EG53/60</f>
        <v>46.038943249696835</v>
      </c>
      <c r="EJ53">
        <f>EH53*('CAPEX+OPEX'!$O$25+'CAPEX+OPEX'!$O$26)</f>
        <v>805725.09397499904</v>
      </c>
      <c r="EK53">
        <f>EI53*('CAPEX+OPEX'!$O$25+'CAPEX+OPEX'!$O$26)</f>
        <v>1467353.1992543375</v>
      </c>
      <c r="EL53">
        <f>EJ53*1.12/0.6*'CAPEX+OPEX'!$G$116/'CAPEX+OPEX'!$G$115</f>
        <v>1773928.987938937</v>
      </c>
      <c r="EM53">
        <f>EK53*1.12/0.6*'CAPEX+OPEX'!$G$116/'CAPEX+OPEX'!$G$115</f>
        <v>3230606.0654764427</v>
      </c>
      <c r="EN53">
        <f>EL53+EM53+DY53+EE53+1.15*(SUM(DF53:DM53)+SUM(CF53:CI53))</f>
        <v>14882476.685516372</v>
      </c>
      <c r="EO53">
        <f>EN53/15</f>
        <v>992165.11236775818</v>
      </c>
      <c r="EP53">
        <f>('eLLE Bals'!CB53+'eLLE Bals'!CC53)*'Oxidant Feed Composition'!$N$28*60*7200</f>
        <v>17258573.548651256</v>
      </c>
      <c r="EQ53" s="53">
        <f>('eLLE Bals'!BR53+'eLLE Bals'!BY53)*'Reagent cost'!$C$38*60*7200*1.5</f>
        <v>758700.16570131655</v>
      </c>
      <c r="ER53">
        <f>'TEA Revised Non EYZ'!DI53</f>
        <v>504921.59999999998</v>
      </c>
      <c r="ES53">
        <f>'TEA Revised Non EYZ'!DJ53</f>
        <v>66.087042218880882</v>
      </c>
      <c r="ET53">
        <f>'TEA Revised Non EYZ'!DK53</f>
        <v>641.51393188623115</v>
      </c>
      <c r="EU53">
        <f>1.2*SUM(EP53:ET53)</f>
        <v>22227483.498392012</v>
      </c>
      <c r="EV53">
        <f>'TEA Revised Non EYZ'!DM53</f>
        <v>0.70639694042110623</v>
      </c>
      <c r="EW53">
        <f>(BS53*CO53+BT53*CP53)/1000*('Oxidant Feed Composition'!$B$11*'Oxidant Feed Composition'!$O$20+'Oxidant Feed Composition'!$D$11*'Oxidant Feed Composition'!$O$21+'Oxidant Feed Composition'!$F$11*'Oxidant Feed Composition'!$O$27-'Oxidant Feed Composition'!$J$15*18.015)</f>
        <v>1.8128001395234232</v>
      </c>
      <c r="EX53">
        <f>(CZ53*BX53+DC53*BZ53)*368.34/1000</f>
        <v>0.10210110187005472</v>
      </c>
      <c r="EY53">
        <f>'TEA Revised Non EYZ'!DP53</f>
        <v>4.999938342565946E-2</v>
      </c>
      <c r="EZ53">
        <f>SUM(EV53:EX53)-EY53</f>
        <v>2.5712987983889248</v>
      </c>
      <c r="FA53">
        <f>EZ53*0.33*60*7200</f>
        <v>366564.35669832514</v>
      </c>
      <c r="FB53">
        <f>'TEA Revised Non EYZ'!DS53</f>
        <v>1.2</v>
      </c>
      <c r="FC53">
        <v>0.5</v>
      </c>
      <c r="FD53">
        <f>'TEA Revised Non EYZ'!DT53</f>
        <v>1403.844239951464</v>
      </c>
      <c r="FE53">
        <f>'TEA Revised Non EYZ'!DU53</f>
        <v>707.90628200732976</v>
      </c>
      <c r="FF53">
        <f>'TEA Revised Non EYZ'!DV53</f>
        <v>0.7</v>
      </c>
      <c r="FG53">
        <f>'TEA Revised Non EYZ'!DW53</f>
        <v>41280.414286181804</v>
      </c>
      <c r="FH53">
        <f>'TEA Revised Non EYZ'!DX53</f>
        <v>37373.489075065132</v>
      </c>
      <c r="FI53">
        <f>'TEA Revised Non EYZ'!DY53</f>
        <v>15823.453035813865</v>
      </c>
      <c r="FJ53">
        <f>'TEA Revised Non EYZ'!DZ53</f>
        <v>8382.1245272768647</v>
      </c>
      <c r="FK53">
        <f>'TEA Revised Non EYZ'!EA53</f>
        <v>8439.174952434063</v>
      </c>
      <c r="FL53">
        <f>'TEA Revised Non EYZ'!EB53</f>
        <v>849.04499632264549</v>
      </c>
      <c r="FM53">
        <f>'TEA Revised Non EYZ'!EC53</f>
        <v>30856.96679815141</v>
      </c>
      <c r="FN53">
        <f>'TEA Revised Non EYZ'!ED53</f>
        <v>23276.76073563713</v>
      </c>
      <c r="FO53">
        <f>'TEA Revised Non EYZ'!EE53</f>
        <v>9855.0801501689457</v>
      </c>
      <c r="FP53">
        <f>'TEA Revised Non EYZ'!EF53</f>
        <v>5223.4164538802697</v>
      </c>
      <c r="FQ53">
        <f>'TEA Revised Non EYZ'!EG53</f>
        <v>5256.0427467567724</v>
      </c>
      <c r="FR53">
        <f>'TEA Revised Non EYZ'!EH53</f>
        <v>428.14171935803307</v>
      </c>
      <c r="FS53">
        <f>'TEA Revised Non EYZ'!EI53</f>
        <v>187044.10947704694</v>
      </c>
      <c r="FT53">
        <f>EG53*EH53</f>
        <v>2528.0029303934457</v>
      </c>
      <c r="FU53">
        <f>EG53*EI53</f>
        <v>4603.8943249696831</v>
      </c>
      <c r="FV53">
        <f>FC53*(FT53+FU53)/(3.6*10^6)*3600*7200*0.07</f>
        <v>1797.2381083515083</v>
      </c>
      <c r="FW53">
        <f>('CAPEX+OPEX'!$C$39/7/100+0.03)*EL53</f>
        <v>91230.633665431043</v>
      </c>
      <c r="FX53">
        <f>('CAPEX+OPEX'!$C$39/7/100+0.03)*EM53</f>
        <v>166145.45479593135</v>
      </c>
      <c r="FY53">
        <f>SUM(FV53:FX53)</f>
        <v>259173.32656971388</v>
      </c>
      <c r="FZ53">
        <f>FY53+FA53+FS53+EU53</f>
        <v>23040265.291137099</v>
      </c>
      <c r="GA53">
        <f>FZ53+EO53</f>
        <v>24032430.403504856</v>
      </c>
      <c r="GB53">
        <f>GA53/(BK53*60*7200)</f>
        <v>0.55630625934039013</v>
      </c>
      <c r="GC53">
        <f>'TEA Revised Non EYZ'!EM53/'TEA Revised Non EYZ'!EK53*GA53</f>
        <v>1863.8356560330662</v>
      </c>
      <c r="GD53">
        <f>'TEA Revised Non EYZ'!EN53/'TEA Revised Non EYZ'!EK53*GA53</f>
        <v>3406.2127496518174</v>
      </c>
    </row>
    <row r="54" spans="1:186">
      <c r="A54">
        <f>'TEA Revised Non EYZ'!A54</f>
        <v>8</v>
      </c>
      <c r="B54">
        <f>'TEA Revised Non EYZ'!B54</f>
        <v>1.54143585092054E-3</v>
      </c>
      <c r="C54">
        <f>'TEA Revised Non EYZ'!C54</f>
        <v>1.54143585092054E-3</v>
      </c>
      <c r="D54">
        <f>'TEA Revised Non EYZ'!D54</f>
        <v>3.4254130020456501E-4</v>
      </c>
      <c r="E54">
        <f>'TEA Revised Non EYZ'!E54</f>
        <v>0</v>
      </c>
      <c r="F54">
        <f>'TEA Revised Non EYZ'!F54</f>
        <v>0</v>
      </c>
      <c r="G54">
        <f>'TEA Revised Non EYZ'!G54</f>
        <v>0</v>
      </c>
      <c r="H54">
        <f>'TEA Revised Non EYZ'!H54</f>
        <v>1.7762434284205799E-5</v>
      </c>
      <c r="I54">
        <f>'TEA Revised Non EYZ'!I54</f>
        <v>4.4591984978445998E-9</v>
      </c>
      <c r="J54">
        <f>'TEA Revised Non EYZ'!J54</f>
        <v>3.37570976171142E-4</v>
      </c>
      <c r="K54">
        <f>'TEA Revised Non EYZ'!K54</f>
        <v>0.13846015972746001</v>
      </c>
      <c r="L54">
        <f>'TEA Revised Non EYZ'!L54</f>
        <v>0.14007387303476199</v>
      </c>
      <c r="M54">
        <f>'TEA Revised Non EYZ'!M54</f>
        <v>4.5166625081916902E-4</v>
      </c>
      <c r="N54">
        <f>'TEA Revised Non EYZ'!N54</f>
        <v>-2.6107588313450902E-16</v>
      </c>
      <c r="O54">
        <f>'TEA Revised Non EYZ'!O54</f>
        <v>-1.18524981496115E-14</v>
      </c>
      <c r="P54">
        <f>'TEA Revised Non EYZ'!P54</f>
        <v>-2.5241581828178102E-19</v>
      </c>
      <c r="Q54">
        <f>'TEA Revised Non EYZ'!Q54</f>
        <v>0.110044175857931</v>
      </c>
      <c r="R54">
        <f>'TEA Revised Non EYZ'!R54</f>
        <v>98.548985471108097</v>
      </c>
      <c r="S54">
        <f>'TEA Revised Non EYZ'!S54</f>
        <v>500</v>
      </c>
      <c r="T54">
        <f>'TEA Revised Non EYZ'!T54</f>
        <v>95</v>
      </c>
      <c r="U54">
        <f>'TEA Revised Non EYZ'!U54</f>
        <v>1</v>
      </c>
      <c r="V54">
        <f>'TEA Revised Non EYZ'!V54</f>
        <v>0.1</v>
      </c>
      <c r="W54">
        <f>'TEA Revised Non EYZ'!W54</f>
        <v>90.872596591664205</v>
      </c>
      <c r="X54" t="str">
        <f>'TEA Revised Non EYZ'!X54</f>
        <v>ddFc</v>
      </c>
      <c r="Y54">
        <f>'TEA Revised Non EYZ'!Y54</f>
        <v>1</v>
      </c>
      <c r="Z54">
        <f>'TEA Revised Non EYZ'!Z54</f>
        <v>0.28318429382522198</v>
      </c>
      <c r="AA54">
        <f>'TEA Revised Non EYZ'!AA54</f>
        <v>0.56945642916197003</v>
      </c>
      <c r="AB54">
        <f>'TEA Revised Non EYZ'!AB54</f>
        <v>3.7698628972227502E-3</v>
      </c>
      <c r="AC54">
        <f>'TEA Revised Non EYZ'!AC54</f>
        <v>1822.2107908876901</v>
      </c>
      <c r="AD54">
        <f>'TEA Revised Non EYZ'!AD54</f>
        <v>2662.6059073104898</v>
      </c>
      <c r="AE54">
        <f>'TEA Revised Non EYZ'!AE54</f>
        <v>2401.5030938442701</v>
      </c>
      <c r="AF54">
        <f>'TEA Revised Non EYZ'!AF54</f>
        <v>6</v>
      </c>
      <c r="AG54">
        <f>'TEA Revised Non EYZ'!AG54</f>
        <v>1.6497294784823999E-3</v>
      </c>
      <c r="AH54">
        <f>'TEA Revised Non EYZ'!AH54</f>
        <v>1.66895660069658E-3</v>
      </c>
      <c r="AI54">
        <f>'TEA Revised Non EYZ'!AI54</f>
        <v>5.38152729188446E-6</v>
      </c>
      <c r="AJ54">
        <f>'TEA Revised Non EYZ'!AJ54</f>
        <v>0</v>
      </c>
      <c r="AK54">
        <f>'TEA Revised Non EYZ'!AK54</f>
        <v>0</v>
      </c>
      <c r="AL54">
        <f>'TEA Revised Non EYZ'!AL54</f>
        <v>0</v>
      </c>
      <c r="AM54">
        <f>'TEA Revised Non EYZ'!AM54</f>
        <v>1.6120973624594601E-3</v>
      </c>
      <c r="AN54">
        <f>'TEA Revised Non EYZ'!AN54</f>
        <v>7.9501723318735999E-5</v>
      </c>
      <c r="AO54">
        <f>'TEA Revised Non EYZ'!AO54</f>
        <v>5.3455064946735699E-6</v>
      </c>
      <c r="AP54">
        <f>'TEA Revised Non EYZ'!AP54</f>
        <v>1.7562344447916399E-3</v>
      </c>
      <c r="AQ54">
        <f>'TEA Revised Non EYZ'!AQ54</f>
        <v>7.4177476557294494E-2</v>
      </c>
      <c r="AR54">
        <f>'TEA Revised Non EYZ'!AR54</f>
        <v>1.6810366111767E-6</v>
      </c>
      <c r="AS54">
        <f>'TEA Revised Non EYZ'!AS54</f>
        <v>-2.1616280813929698E-18</v>
      </c>
      <c r="AT54">
        <f>'TEA Revised Non EYZ'!AT54</f>
        <v>-1.5872719805187701E-16</v>
      </c>
      <c r="AU54">
        <f>'TEA Revised Non EYZ'!AU54</f>
        <v>-1.13158307797254E-21</v>
      </c>
      <c r="AV54">
        <f>'TEA Revised Non EYZ'!AV54</f>
        <v>0.19790433355595599</v>
      </c>
      <c r="AW54">
        <f>'TEA Revised Non EYZ'!AW54</f>
        <v>99.330658468178498</v>
      </c>
      <c r="AX54">
        <f>'TEA Revised Non EYZ'!AX54</f>
        <v>499.99999999999898</v>
      </c>
      <c r="AY54">
        <f>'TEA Revised Non EYZ'!AY54</f>
        <v>95</v>
      </c>
      <c r="AZ54">
        <f>'TEA Revised Non EYZ'!AZ54</f>
        <v>0.92358985913147196</v>
      </c>
      <c r="BA54">
        <f>'TEA Revised Non EYZ'!BA54</f>
        <v>0.1</v>
      </c>
      <c r="BB54">
        <f>'TEA Revised Non EYZ'!BB54</f>
        <v>46.668501014422198</v>
      </c>
      <c r="BC54" t="str">
        <f>'TEA Revised Non EYZ'!BC54</f>
        <v>coeFc</v>
      </c>
      <c r="BD54">
        <f>'TEA Revised Non EYZ'!BD54</f>
        <v>1</v>
      </c>
      <c r="BE54">
        <f>'TEA Revised Non EYZ'!BE54</f>
        <v>1.8775014999999999E-2</v>
      </c>
      <c r="BF54">
        <f>'TEA Revised Non EYZ'!BF54</f>
        <v>0.10492961100000001</v>
      </c>
      <c r="BG54">
        <f>'TEA Revised Non EYZ'!BG54</f>
        <v>1.814625E-3</v>
      </c>
      <c r="BH54">
        <f>'TEA Revised Non EYZ'!BH54</f>
        <v>285.1951444</v>
      </c>
      <c r="BI54">
        <f>'TEA Revised Non EYZ'!BI54</f>
        <v>2169.8944889999998</v>
      </c>
      <c r="BJ54">
        <f>'TEA Revised Non EYZ'!BJ54</f>
        <v>866.49409060000005</v>
      </c>
      <c r="BK54">
        <f>'TEA Revised Non EYZ'!BK54</f>
        <v>100</v>
      </c>
      <c r="BL54">
        <f>'TEA Revised Non EYZ'!BL54</f>
        <v>11.004417585793099</v>
      </c>
      <c r="BM54">
        <f>'TEA Revised Non EYZ'!BM54</f>
        <v>92.358985913147194</v>
      </c>
      <c r="BN54">
        <f>'TEA Revised Non EYZ'!BN54</f>
        <v>19.790433355595599</v>
      </c>
      <c r="BO54">
        <f>'TEA Revised Non EYZ'!BO54</f>
        <v>220.08835171586199</v>
      </c>
      <c r="BP54">
        <f>'TEA Revised Non EYZ'!BP54</f>
        <v>316.64693368952959</v>
      </c>
      <c r="BQ54">
        <f>'TEA Revised Non EYZ'!BQ54</f>
        <v>22.008835171586199</v>
      </c>
      <c r="BR54">
        <f>'TEA Revised Non EYZ'!BR54</f>
        <v>31.66469336895296</v>
      </c>
      <c r="BS54">
        <f>'eLLE Bals'!CF54</f>
        <v>6.6026505514758593</v>
      </c>
      <c r="BT54">
        <f>'eLLE Bals'!CG54</f>
        <v>11.874260013357359</v>
      </c>
      <c r="BU54">
        <f>BM54</f>
        <v>92.358985913147194</v>
      </c>
      <c r="BV54">
        <f>BU54*(AM54*2+AN54*2+AO54*3)</f>
        <v>0.31394986894528271</v>
      </c>
      <c r="BW54">
        <f>BN54*BA54*(AP54*2+AQ54*2+AR54*3)</f>
        <v>0.30056218993887501</v>
      </c>
      <c r="BX54">
        <f>BV54/(2*V54*BL54+BV54)</f>
        <v>0.12483923216546304</v>
      </c>
      <c r="BY54">
        <f>BU54*BX54</f>
        <v>11.530024884978113</v>
      </c>
      <c r="BZ54">
        <f>BW54/(2*BN54*BA54+BW54)</f>
        <v>7.0576889465407827E-2</v>
      </c>
      <c r="CA54">
        <f>2*BN54*BA54/0.04</f>
        <v>98.952166777977993</v>
      </c>
      <c r="CB54">
        <f>(BS54+BL54)*2</f>
        <v>35.214136274537921</v>
      </c>
      <c r="CC54">
        <f>(BU54+BL54)*2</f>
        <v>206.7268069978806</v>
      </c>
      <c r="CD54">
        <f>(BT54+BN54)*2</f>
        <v>63.329386737905921</v>
      </c>
      <c r="CE54">
        <f>(CA54+BN54)*2</f>
        <v>237.48520026714718</v>
      </c>
      <c r="CF54">
        <f>'TEA Revised Non EYZ'!CB54</f>
        <v>2905.1662426493785</v>
      </c>
      <c r="CG54">
        <f>'TEA Revised Non EYZ'!CC54</f>
        <v>4179.7395247017912</v>
      </c>
      <c r="CH54">
        <f>'TEA Revised Non EYZ'!CD54</f>
        <v>3509.9789962792502</v>
      </c>
      <c r="CI54">
        <f>'TEA Revised Non EYZ'!CE54</f>
        <v>32238.702442173457</v>
      </c>
      <c r="CJ54">
        <f>BL54*V54</f>
        <v>1.10044175857931</v>
      </c>
      <c r="CK54">
        <f>CJ54/2*1.2</f>
        <v>0.66026505514758604</v>
      </c>
      <c r="CL54">
        <f>'eLLE Bals'!CB54*'Oxidant Feed Composition'!$N$20</f>
        <v>3.668139195264368E-2</v>
      </c>
      <c r="CM54">
        <f>'eLLE Bals'!CB54*'Oxidant Feed Composition'!$N$21</f>
        <v>1.8340695976321835</v>
      </c>
      <c r="CN54">
        <f>'eLLE Bals'!CB54*'Oxidant Feed Composition'!$N$22</f>
        <v>0.55022087928965502</v>
      </c>
      <c r="CO54">
        <f>CN54/CK54</f>
        <v>0.83333333333333326</v>
      </c>
      <c r="CP54">
        <f>CO54</f>
        <v>0.83333333333333326</v>
      </c>
      <c r="CQ54">
        <f>CL54/CO54</f>
        <v>4.4017670343172423E-2</v>
      </c>
      <c r="CR54">
        <f>CM54/CO54</f>
        <v>2.2008835171586205</v>
      </c>
      <c r="CS54">
        <f>BN54*BA54</f>
        <v>1.97904333555956</v>
      </c>
      <c r="CT54">
        <f>CS54/2*1.2</f>
        <v>1.1874260013357361</v>
      </c>
      <c r="CU54">
        <f>'eLLE Bals'!CC54*'Oxidant Feed Composition'!$N$20</f>
        <v>6.5968111185318701E-2</v>
      </c>
      <c r="CV54">
        <f>'eLLE Bals'!CC54*'Oxidant Feed Composition'!$N$21</f>
        <v>3.2984055592659334</v>
      </c>
      <c r="CW54">
        <f>'eLLE Bals'!CC54*'Oxidant Feed Composition'!$N$22</f>
        <v>0.98952166777978001</v>
      </c>
      <c r="CX54">
        <f>CU54/CP54</f>
        <v>7.9161733422382446E-2</v>
      </c>
      <c r="CY54">
        <f>CV54/CP54</f>
        <v>3.9580866711191205</v>
      </c>
      <c r="CZ54">
        <f>CJ54</f>
        <v>1.10044175857931</v>
      </c>
      <c r="DA54">
        <f>'eLLE Bals'!BQ54</f>
        <v>2.2008835171586201</v>
      </c>
      <c r="DB54">
        <f>'eLLE Bals'!BU54</f>
        <v>5.5135459749984346</v>
      </c>
      <c r="DC54">
        <f>CS54</f>
        <v>1.97904333555956</v>
      </c>
      <c r="DD54">
        <f>'eLLE Bals'!BX54</f>
        <v>3.95808667111912</v>
      </c>
      <c r="DE54">
        <f>'eLLE Bals'!CA54</f>
        <v>22.103824341834482</v>
      </c>
      <c r="DF54">
        <f>2*2*(CJ54*'Reagent cost'!$C$36*122.44/1000*1.5+CK54*'Oxidant Feed Composition'!$N$26+CQ54*'Reagent cost'!$C$34+CR54*'Reagent cost'!$C$35)</f>
        <v>111.98220486343379</v>
      </c>
      <c r="DG54">
        <f>2*2*(CS54*'Reagent cost'!$C$36*122.44/1000*1.5+CT54*'Oxidant Feed Composition'!$N$26+CX54*'Reagent cost'!$C$34+CY54*'Reagent cost'!$C$35)</f>
        <v>201.3897005529455</v>
      </c>
      <c r="DH54">
        <f>(AF54+3)*2*(CZ54*'Reagent cost'!$C$38+DA54*'Reagent cost'!$C$39+DB54*'Reagent cost'!$C$36*122.44/1000*1.5)</f>
        <v>1375.4964247678768</v>
      </c>
      <c r="DI54">
        <f>3*2*(DC54*'Reagent cost'!$C$38+DD54*'Reagent cost'!$C$39+DE54*'Reagent cost'!$C$36*122.44/1000*1.5)</f>
        <v>1773.0602016805683</v>
      </c>
      <c r="DJ54">
        <f>7963.6*(CB54/1000)^0.6*1.7*('CAPEX+OPEX'!$G$116/'CAPEX+OPEX'!$G$115)</f>
        <v>2144.228934815284</v>
      </c>
      <c r="DK54">
        <f>7963.6*(CC54/1000)^0.6*1.7*('CAPEX+OPEX'!$G$116/'CAPEX+OPEX'!$G$115)</f>
        <v>6201.2466571653367</v>
      </c>
      <c r="DL54">
        <f>7963.6*(CD54/1000)^0.6*1.7*('CAPEX+OPEX'!$G$116/'CAPEX+OPEX'!$G$115)</f>
        <v>3049.3276891123733</v>
      </c>
      <c r="DM54">
        <f>7963.6*(CE54/1000)^0.6*1.7*('CAPEX+OPEX'!$G$116/'CAPEX+OPEX'!$G$115)</f>
        <v>6739.4252075675186</v>
      </c>
      <c r="DN54">
        <f>'TEA Revised Non EYZ'!CM54</f>
        <v>39625.826528698344</v>
      </c>
      <c r="DO54">
        <f>'TEA Revised Non EYZ'!CN54</f>
        <v>4586243.4239371875</v>
      </c>
      <c r="DP54">
        <f>'TEA Revised Non EYZ'!CO54</f>
        <v>11794834.586807497</v>
      </c>
      <c r="DQ54">
        <f>'TEA Revised Non EYZ'!CP54</f>
        <v>2275209.1661185985</v>
      </c>
      <c r="DR54">
        <f>'TEA Revised Non EYZ'!CQ54</f>
        <v>14083914.336508472</v>
      </c>
      <c r="DS54">
        <f>'TEA Revised Non EYZ'!CR54</f>
        <v>1662824.8986326549</v>
      </c>
      <c r="DT54">
        <f>'TEA Revised Non EYZ'!CS54</f>
        <v>751295.09040276916</v>
      </c>
      <c r="DU54">
        <f>'TEA Revised Non EYZ'!CT54</f>
        <v>1932169.8606163235</v>
      </c>
      <c r="DV54">
        <f>'TEA Revised Non EYZ'!CU54</f>
        <v>372713.20297186484</v>
      </c>
      <c r="DW54">
        <f>'TEA Revised Non EYZ'!CV54</f>
        <v>2307155.2721002945</v>
      </c>
      <c r="DX54">
        <f>'TEA Revised Non EYZ'!CW54</f>
        <v>272395.52441150707</v>
      </c>
      <c r="DY54">
        <f>'TEA Revised Non EYZ'!CX54</f>
        <v>5635728.9505027588</v>
      </c>
      <c r="DZ54">
        <f>'TEA Revised Non EYZ'!CY54</f>
        <v>610195.30439334596</v>
      </c>
      <c r="EA54">
        <f>'TEA Revised Non EYZ'!CZ54</f>
        <v>1569291.469223317</v>
      </c>
      <c r="EB54">
        <f>'TEA Revised Non EYZ'!DA54</f>
        <v>302714.40509069752</v>
      </c>
      <c r="EC54">
        <f>'TEA Revised Non EYZ'!DB54</f>
        <v>1873851.3422032651</v>
      </c>
      <c r="ED54">
        <f>'TEA Revised Non EYZ'!DC54</f>
        <v>221237.26356917509</v>
      </c>
      <c r="EE54">
        <f>'TEA Revised Non EYZ'!DD54</f>
        <v>4577289.7844798015</v>
      </c>
      <c r="EF54">
        <v>0.7</v>
      </c>
      <c r="EG54">
        <v>100</v>
      </c>
      <c r="EH54">
        <f>96485*BL54*V54/EF54/EG54/60</f>
        <v>25.280029303934459</v>
      </c>
      <c r="EI54">
        <f>96485*BN54*BA54/EF54/EG54/60</f>
        <v>45.463808626539084</v>
      </c>
      <c r="EJ54">
        <f>EH54*('CAPEX+OPEX'!$O$25+'CAPEX+OPEX'!$O$26)</f>
        <v>805725.09397499904</v>
      </c>
      <c r="EK54">
        <f>EI54*('CAPEX+OPEX'!$O$25+'CAPEX+OPEX'!$O$26)</f>
        <v>1449022.5085450537</v>
      </c>
      <c r="EL54">
        <f>EJ54*1.12/0.6*'CAPEX+OPEX'!$G$116/'CAPEX+OPEX'!$G$115</f>
        <v>1773928.987938937</v>
      </c>
      <c r="EM54">
        <f>EK54*1.12/0.6*'CAPEX+OPEX'!$G$116/'CAPEX+OPEX'!$G$115</f>
        <v>3190248.2016575076</v>
      </c>
      <c r="EN54">
        <f>EL54+EM54+DY54+EE54+1.15*(SUM(DF54:DM54)+SUM(CF54:CI54))</f>
        <v>15251290.130439285</v>
      </c>
      <c r="EO54">
        <f>EN54/15</f>
        <v>1016752.675362619</v>
      </c>
      <c r="EP54">
        <f>('eLLE Bals'!CB54+'eLLE Bals'!CC54)*'Oxidant Feed Composition'!$N$28*60*7200</f>
        <v>17119395.952021137</v>
      </c>
      <c r="EQ54" s="53">
        <f>('eLLE Bals'!BR54+'eLLE Bals'!BY54)*'Reagent cost'!$C$38*60*7200*1.5</f>
        <v>758318.29371737712</v>
      </c>
      <c r="ER54">
        <f>'TEA Revised Non EYZ'!DI54</f>
        <v>504921.59999999998</v>
      </c>
      <c r="ES54">
        <f>'TEA Revised Non EYZ'!DJ54</f>
        <v>70.849057673511695</v>
      </c>
      <c r="ET54">
        <f>'TEA Revised Non EYZ'!DK54</f>
        <v>714.97362876905424</v>
      </c>
      <c r="EU54">
        <f>1.2*SUM(EP54:ET54)</f>
        <v>22060106.002109952</v>
      </c>
      <c r="EV54">
        <f>'TEA Revised Non EYZ'!DM54</f>
        <v>0.70639694042110623</v>
      </c>
      <c r="EW54">
        <f>(BS54*CO54+BT54*CP54)/1000*('Oxidant Feed Composition'!$B$11*'Oxidant Feed Composition'!$O$20+'Oxidant Feed Composition'!$D$11*'Oxidant Feed Composition'!$O$21+'Oxidant Feed Composition'!$F$11*'Oxidant Feed Composition'!$O$27-'Oxidant Feed Composition'!$J$15*18.015)</f>
        <v>1.7981812507793224</v>
      </c>
      <c r="EX54">
        <f>(CZ54*BX54+DC54*BZ54)*368.34/1000</f>
        <v>0.10204971193751471</v>
      </c>
      <c r="EY54">
        <f>'TEA Revised Non EYZ'!DP54</f>
        <v>4.999938342565946E-2</v>
      </c>
      <c r="EZ54">
        <f>SUM(EV54:EX54)-EY54</f>
        <v>2.5566285197122842</v>
      </c>
      <c r="FA54">
        <f>EZ54*0.33*60*7200</f>
        <v>364472.96177018329</v>
      </c>
      <c r="FB54">
        <f>'TEA Revised Non EYZ'!DS54</f>
        <v>1.2</v>
      </c>
      <c r="FC54">
        <v>0.5</v>
      </c>
      <c r="FD54">
        <f>'TEA Revised Non EYZ'!DT54</f>
        <v>1405.3114316602573</v>
      </c>
      <c r="FE54">
        <f>'TEA Revised Non EYZ'!DU54</f>
        <v>706.4390902986579</v>
      </c>
      <c r="FF54">
        <f>'TEA Revised Non EYZ'!DV54</f>
        <v>0.7</v>
      </c>
      <c r="FG54">
        <f>'TEA Revised Non EYZ'!DW54</f>
        <v>41280.414286181804</v>
      </c>
      <c r="FH54">
        <f>'TEA Revised Non EYZ'!DX54</f>
        <v>37373.489075065132</v>
      </c>
      <c r="FI54">
        <f>'TEA Revised Non EYZ'!DY54</f>
        <v>15823.453035813865</v>
      </c>
      <c r="FJ54">
        <f>'TEA Revised Non EYZ'!DZ54</f>
        <v>8382.1245272768647</v>
      </c>
      <c r="FK54">
        <f>'TEA Revised Non EYZ'!EA54</f>
        <v>8439.174952434063</v>
      </c>
      <c r="FL54">
        <f>'TEA Revised Non EYZ'!EB54</f>
        <v>849.93235386812376</v>
      </c>
      <c r="FM54">
        <f>'TEA Revised Non EYZ'!EC54</f>
        <v>33428.38069799736</v>
      </c>
      <c r="FN54">
        <f>'TEA Revised Non EYZ'!ED54</f>
        <v>27156.220858243316</v>
      </c>
      <c r="FO54">
        <f>'TEA Revised Non EYZ'!EE54</f>
        <v>11497.593508530435</v>
      </c>
      <c r="FP54">
        <f>'TEA Revised Non EYZ'!EF54</f>
        <v>6093.9858628603142</v>
      </c>
      <c r="FQ54">
        <f>'TEA Revised Non EYZ'!EG54</f>
        <v>6132.0498712162334</v>
      </c>
      <c r="FR54">
        <f>'TEA Revised Non EYZ'!EH54</f>
        <v>427.2543618126283</v>
      </c>
      <c r="FS54">
        <f>'TEA Revised Non EYZ'!EI54</f>
        <v>196884.07339130016</v>
      </c>
      <c r="FT54">
        <f>EG54*EH54</f>
        <v>2528.0029303934457</v>
      </c>
      <c r="FU54">
        <f>EG54*EI54</f>
        <v>4546.3808626539085</v>
      </c>
      <c r="FV54">
        <f>FC54*(FT54+FU54)/(3.6*10^6)*3600*7200*0.07</f>
        <v>1782.7447158479333</v>
      </c>
      <c r="FW54">
        <f>('CAPEX+OPEX'!$C$39/7/100+0.03)*EL54</f>
        <v>91230.633665431043</v>
      </c>
      <c r="FX54">
        <f>('CAPEX+OPEX'!$C$39/7/100+0.03)*EM54</f>
        <v>164069.90751381466</v>
      </c>
      <c r="FY54">
        <f>SUM(FV54:FX54)</f>
        <v>257083.28589509364</v>
      </c>
      <c r="FZ54">
        <f>FY54+FA54+FS54+EU54</f>
        <v>22878546.323166531</v>
      </c>
      <c r="GA54">
        <f>FZ54+EO54</f>
        <v>23895298.998529151</v>
      </c>
      <c r="GB54">
        <f>GA54/(BK54*60*7200)</f>
        <v>0.55313192126224886</v>
      </c>
      <c r="GC54">
        <f>'TEA Revised Non EYZ'!EM54/'TEA Revised Non EYZ'!EK54*GA54</f>
        <v>1851.2644133195977</v>
      </c>
      <c r="GD54">
        <f>'TEA Revised Non EYZ'!EN54/'TEA Revised Non EYZ'!EK54*GA54</f>
        <v>3393.2617373077469</v>
      </c>
    </row>
    <row r="55" spans="1:186">
      <c r="A55">
        <f>'TEA Revised Non EYZ'!A55</f>
        <v>8</v>
      </c>
      <c r="B55">
        <f>'TEA Revised Non EYZ'!B55</f>
        <v>1.54143585092054E-3</v>
      </c>
      <c r="C55">
        <f>'TEA Revised Non EYZ'!C55</f>
        <v>1.54143585092054E-3</v>
      </c>
      <c r="D55">
        <f>'TEA Revised Non EYZ'!D55</f>
        <v>3.4254130020456501E-4</v>
      </c>
      <c r="E55">
        <f>'TEA Revised Non EYZ'!E55</f>
        <v>0</v>
      </c>
      <c r="F55">
        <f>'TEA Revised Non EYZ'!F55</f>
        <v>0</v>
      </c>
      <c r="G55">
        <f>'TEA Revised Non EYZ'!G55</f>
        <v>0</v>
      </c>
      <c r="H55">
        <f>'TEA Revised Non EYZ'!H55</f>
        <v>1.7762434284205799E-5</v>
      </c>
      <c r="I55">
        <f>'TEA Revised Non EYZ'!I55</f>
        <v>4.4591984978445998E-9</v>
      </c>
      <c r="J55">
        <f>'TEA Revised Non EYZ'!J55</f>
        <v>3.37570976171142E-4</v>
      </c>
      <c r="K55">
        <f>'TEA Revised Non EYZ'!K55</f>
        <v>0.13846015972746001</v>
      </c>
      <c r="L55">
        <f>'TEA Revised Non EYZ'!L55</f>
        <v>0.14007387303476199</v>
      </c>
      <c r="M55">
        <f>'TEA Revised Non EYZ'!M55</f>
        <v>4.5166625081916902E-4</v>
      </c>
      <c r="N55">
        <f>'TEA Revised Non EYZ'!N55</f>
        <v>-2.6107588313450902E-16</v>
      </c>
      <c r="O55">
        <f>'TEA Revised Non EYZ'!O55</f>
        <v>-1.18524981496115E-14</v>
      </c>
      <c r="P55">
        <f>'TEA Revised Non EYZ'!P55</f>
        <v>-2.5241581828178102E-19</v>
      </c>
      <c r="Q55">
        <f>'TEA Revised Non EYZ'!Q55</f>
        <v>0.110044175857931</v>
      </c>
      <c r="R55">
        <f>'TEA Revised Non EYZ'!R55</f>
        <v>98.548985471108097</v>
      </c>
      <c r="S55">
        <f>'TEA Revised Non EYZ'!S55</f>
        <v>500</v>
      </c>
      <c r="T55">
        <f>'TEA Revised Non EYZ'!T55</f>
        <v>95</v>
      </c>
      <c r="U55">
        <f>'TEA Revised Non EYZ'!U55</f>
        <v>1</v>
      </c>
      <c r="V55">
        <f>'TEA Revised Non EYZ'!V55</f>
        <v>0.1</v>
      </c>
      <c r="W55">
        <f>'TEA Revised Non EYZ'!W55</f>
        <v>90.872596591664205</v>
      </c>
      <c r="X55" t="str">
        <f>'TEA Revised Non EYZ'!X55</f>
        <v>ddFc</v>
      </c>
      <c r="Y55">
        <f>'TEA Revised Non EYZ'!Y55</f>
        <v>1</v>
      </c>
      <c r="Z55">
        <f>'TEA Revised Non EYZ'!Z55</f>
        <v>0.28318429382522198</v>
      </c>
      <c r="AA55">
        <f>'TEA Revised Non EYZ'!AA55</f>
        <v>0.56945642916197003</v>
      </c>
      <c r="AB55">
        <f>'TEA Revised Non EYZ'!AB55</f>
        <v>3.7698628972227502E-3</v>
      </c>
      <c r="AC55">
        <f>'TEA Revised Non EYZ'!AC55</f>
        <v>1822.2107908876901</v>
      </c>
      <c r="AD55">
        <f>'TEA Revised Non EYZ'!AD55</f>
        <v>2662.6059073104898</v>
      </c>
      <c r="AE55">
        <f>'TEA Revised Non EYZ'!AE55</f>
        <v>2401.5030938442701</v>
      </c>
      <c r="AF55">
        <f>'TEA Revised Non EYZ'!AF55</f>
        <v>7</v>
      </c>
      <c r="AG55">
        <f>'TEA Revised Non EYZ'!AG55</f>
        <v>1.6497294784823999E-3</v>
      </c>
      <c r="AH55">
        <f>'TEA Revised Non EYZ'!AH55</f>
        <v>1.66895660069658E-3</v>
      </c>
      <c r="AI55">
        <f>'TEA Revised Non EYZ'!AI55</f>
        <v>5.38152729188446E-6</v>
      </c>
      <c r="AJ55">
        <f>'TEA Revised Non EYZ'!AJ55</f>
        <v>0</v>
      </c>
      <c r="AK55">
        <f>'TEA Revised Non EYZ'!AK55</f>
        <v>0</v>
      </c>
      <c r="AL55">
        <f>'TEA Revised Non EYZ'!AL55</f>
        <v>0</v>
      </c>
      <c r="AM55">
        <f>'TEA Revised Non EYZ'!AM55</f>
        <v>1.6125869955133201E-3</v>
      </c>
      <c r="AN55">
        <f>'TEA Revised Non EYZ'!AN55</f>
        <v>7.9527043739658596E-5</v>
      </c>
      <c r="AO55">
        <f>'TEA Revised Non EYZ'!AO55</f>
        <v>5.3459560242007103E-6</v>
      </c>
      <c r="AP55">
        <f>'TEA Revised Non EYZ'!AP55</f>
        <v>1.7397829738956801E-3</v>
      </c>
      <c r="AQ55">
        <f>'TEA Revised Non EYZ'!AQ55</f>
        <v>7.4450124503133999E-2</v>
      </c>
      <c r="AR55">
        <f>'TEA Revised Non EYZ'!AR55</f>
        <v>1.6661860201321599E-6</v>
      </c>
      <c r="AS55">
        <f>'TEA Revised Non EYZ'!AS55</f>
        <v>-4.4926627522367998E-18</v>
      </c>
      <c r="AT55">
        <f>'TEA Revised Non EYZ'!AT55</f>
        <v>-1.8262301393345801E-15</v>
      </c>
      <c r="AU55">
        <f>'TEA Revised Non EYZ'!AU55</f>
        <v>-5.4726269326508303E-21</v>
      </c>
      <c r="AV55">
        <f>'TEA Revised Non EYZ'!AV55</f>
        <v>0.197176435957374</v>
      </c>
      <c r="AW55">
        <f>'TEA Revised Non EYZ'!AW55</f>
        <v>99.339011664265001</v>
      </c>
      <c r="AX55">
        <f>'TEA Revised Non EYZ'!AX55</f>
        <v>499.99999999999898</v>
      </c>
      <c r="AY55">
        <f>'TEA Revised Non EYZ'!AY55</f>
        <v>95</v>
      </c>
      <c r="AZ55">
        <f>'TEA Revised Non EYZ'!AZ55</f>
        <v>0.92358985913147196</v>
      </c>
      <c r="BA55">
        <f>'TEA Revised Non EYZ'!BA55</f>
        <v>0.1</v>
      </c>
      <c r="BB55">
        <f>'TEA Revised Non EYZ'!BB55</f>
        <v>46.840782705451403</v>
      </c>
      <c r="BC55" t="str">
        <f>'TEA Revised Non EYZ'!BC55</f>
        <v>coeFc</v>
      </c>
      <c r="BD55">
        <f>'TEA Revised Non EYZ'!BD55</f>
        <v>1</v>
      </c>
      <c r="BE55">
        <f>'TEA Revised Non EYZ'!BE55</f>
        <v>1.8775014999999999E-2</v>
      </c>
      <c r="BF55">
        <f>'TEA Revised Non EYZ'!BF55</f>
        <v>0.10492961100000001</v>
      </c>
      <c r="BG55">
        <f>'TEA Revised Non EYZ'!BG55</f>
        <v>1.814625E-3</v>
      </c>
      <c r="BH55">
        <f>'TEA Revised Non EYZ'!BH55</f>
        <v>285.1951444</v>
      </c>
      <c r="BI55">
        <f>'TEA Revised Non EYZ'!BI55</f>
        <v>2169.8944889999998</v>
      </c>
      <c r="BJ55">
        <f>'TEA Revised Non EYZ'!BJ55</f>
        <v>866.49409060000005</v>
      </c>
      <c r="BK55">
        <f>'TEA Revised Non EYZ'!BK55</f>
        <v>100</v>
      </c>
      <c r="BL55">
        <f>'TEA Revised Non EYZ'!BL55</f>
        <v>11.004417585793099</v>
      </c>
      <c r="BM55">
        <f>'TEA Revised Non EYZ'!BM55</f>
        <v>92.358985913147194</v>
      </c>
      <c r="BN55">
        <f>'TEA Revised Non EYZ'!BN55</f>
        <v>19.7176435957374</v>
      </c>
      <c r="BO55">
        <f>'TEA Revised Non EYZ'!BO55</f>
        <v>220.08835171586199</v>
      </c>
      <c r="BP55">
        <f>'TEA Revised Non EYZ'!BP55</f>
        <v>354.91758472327319</v>
      </c>
      <c r="BQ55">
        <f>'TEA Revised Non EYZ'!BQ55</f>
        <v>22.008835171586199</v>
      </c>
      <c r="BR55">
        <f>'TEA Revised Non EYZ'!BR55</f>
        <v>35.491758472327319</v>
      </c>
      <c r="BS55">
        <f>'eLLE Bals'!CF55</f>
        <v>6.6026505514758593</v>
      </c>
      <c r="BT55">
        <f>'eLLE Bals'!CG55</f>
        <v>11.83058615744244</v>
      </c>
      <c r="BU55">
        <f>BM55</f>
        <v>92.358985913147194</v>
      </c>
      <c r="BV55">
        <f>BU55*(AM55*2+AN55*2+AO55*3)</f>
        <v>0.31404511466100327</v>
      </c>
      <c r="BW55">
        <f>BN55*BA55*(AP55*2+AQ55*2+AR55*3)</f>
        <v>0.30046694422348863</v>
      </c>
      <c r="BX55">
        <f>BV55/(2*V55*BL55+BV55)</f>
        <v>0.12487237637188239</v>
      </c>
      <c r="BY55">
        <f>BU55*BX55</f>
        <v>11.533086050271901</v>
      </c>
      <c r="BZ55">
        <f>BW55/(2*BN55*BA55+BW55)</f>
        <v>7.0798127061428323E-2</v>
      </c>
      <c r="CA55">
        <f>2*BN55*BA55/0.04</f>
        <v>98.588217978686998</v>
      </c>
      <c r="CB55">
        <f>(BS55+BL55)*2</f>
        <v>35.214136274537921</v>
      </c>
      <c r="CC55">
        <f>(BU55+BL55)*2</f>
        <v>206.7268069978806</v>
      </c>
      <c r="CD55">
        <f>(BT55+BN55)*2</f>
        <v>63.096459506359679</v>
      </c>
      <c r="CE55">
        <f>(CA55+BN55)*2</f>
        <v>236.6117231488488</v>
      </c>
      <c r="CF55">
        <f>'TEA Revised Non EYZ'!CB55</f>
        <v>2905.1662426493785</v>
      </c>
      <c r="CG55">
        <f>'TEA Revised Non EYZ'!CC55</f>
        <v>4684.9121183472062</v>
      </c>
      <c r="CH55">
        <f>'TEA Revised Non EYZ'!CD55</f>
        <v>3509.9789962792502</v>
      </c>
      <c r="CI55">
        <f>'TEA Revised Non EYZ'!CE55</f>
        <v>36135.1435558425</v>
      </c>
      <c r="CJ55">
        <f>BL55*V55</f>
        <v>1.10044175857931</v>
      </c>
      <c r="CK55">
        <f>CJ55/2*1.2</f>
        <v>0.66026505514758604</v>
      </c>
      <c r="CL55">
        <f>'eLLE Bals'!CB55*'Oxidant Feed Composition'!$N$20</f>
        <v>3.668139195264368E-2</v>
      </c>
      <c r="CM55">
        <f>'eLLE Bals'!CB55*'Oxidant Feed Composition'!$N$21</f>
        <v>1.8340695976321835</v>
      </c>
      <c r="CN55">
        <f>'eLLE Bals'!CB55*'Oxidant Feed Composition'!$N$22</f>
        <v>0.55022087928965502</v>
      </c>
      <c r="CO55">
        <f>CN55/CK55</f>
        <v>0.83333333333333326</v>
      </c>
      <c r="CP55">
        <f>CO55</f>
        <v>0.83333333333333326</v>
      </c>
      <c r="CQ55">
        <f>CL55/CO55</f>
        <v>4.4017670343172423E-2</v>
      </c>
      <c r="CR55">
        <f>CM55/CO55</f>
        <v>2.2008835171586205</v>
      </c>
      <c r="CS55">
        <f>BN55*BA55</f>
        <v>1.97176435957374</v>
      </c>
      <c r="CT55">
        <f>CS55/2*1.2</f>
        <v>1.183058615744244</v>
      </c>
      <c r="CU55">
        <f>'eLLE Bals'!CC55*'Oxidant Feed Composition'!$N$20</f>
        <v>6.5725478652458022E-2</v>
      </c>
      <c r="CV55">
        <f>'eLLE Bals'!CC55*'Oxidant Feed Composition'!$N$21</f>
        <v>3.2862739326229002</v>
      </c>
      <c r="CW55">
        <f>'eLLE Bals'!CC55*'Oxidant Feed Composition'!$N$22</f>
        <v>0.98588217978686998</v>
      </c>
      <c r="CX55">
        <f>CU55/CP55</f>
        <v>7.8870574382949629E-2</v>
      </c>
      <c r="CY55">
        <f>CV55/CP55</f>
        <v>3.9435287191474808</v>
      </c>
      <c r="CZ55">
        <f>CJ55</f>
        <v>1.10044175857931</v>
      </c>
      <c r="DA55">
        <f>'eLLE Bals'!BQ55</f>
        <v>2.2008835171586201</v>
      </c>
      <c r="DB55">
        <f>'eLLE Bals'!BU55</f>
        <v>5.5112062909106427</v>
      </c>
      <c r="DC55">
        <f>CS55</f>
        <v>1.97176435957374</v>
      </c>
      <c r="DD55">
        <f>'eLLE Bals'!BX55</f>
        <v>3.9435287191474799</v>
      </c>
      <c r="DE55">
        <f>'eLLE Bals'!CA55</f>
        <v>21.935222767028907</v>
      </c>
      <c r="DF55">
        <f>2*2*(CJ55*'Reagent cost'!$C$36*122.44/1000*1.5+CK55*'Oxidant Feed Composition'!$N$26+CQ55*'Reagent cost'!$C$34+CR55*'Reagent cost'!$C$35)</f>
        <v>111.98220486343379</v>
      </c>
      <c r="DG55">
        <f>2*2*(CS55*'Reagent cost'!$C$36*122.44/1000*1.5+CT55*'Oxidant Feed Composition'!$N$26+CX55*'Reagent cost'!$C$34+CY55*'Reagent cost'!$C$35)</f>
        <v>200.64898367839464</v>
      </c>
      <c r="DH55">
        <f>(AF55+3)*2*(CZ55*'Reagent cost'!$C$38+DA55*'Reagent cost'!$C$39+DB55*'Reagent cost'!$C$36*122.44/1000*1.5)</f>
        <v>1527.7224435627002</v>
      </c>
      <c r="DI55">
        <f>3*2*(DC55*'Reagent cost'!$C$38+DD55*'Reagent cost'!$C$39+DE55*'Reagent cost'!$C$36*122.44/1000*1.5)</f>
        <v>1759.7448739252677</v>
      </c>
      <c r="DJ55">
        <f>7963.6*(CB55/1000)^0.6*1.7*('CAPEX+OPEX'!$G$116/'CAPEX+OPEX'!$G$115)</f>
        <v>2144.228934815284</v>
      </c>
      <c r="DK55">
        <f>7963.6*(CC55/1000)^0.6*1.7*('CAPEX+OPEX'!$G$116/'CAPEX+OPEX'!$G$115)</f>
        <v>6201.2466571653367</v>
      </c>
      <c r="DL55">
        <f>7963.6*(CD55/1000)^0.6*1.7*('CAPEX+OPEX'!$G$116/'CAPEX+OPEX'!$G$115)</f>
        <v>3042.5934236628641</v>
      </c>
      <c r="DM55">
        <f>7963.6*(CE55/1000)^0.6*1.7*('CAPEX+OPEX'!$G$116/'CAPEX+OPEX'!$G$115)</f>
        <v>6724.5415732218489</v>
      </c>
      <c r="DN55">
        <f>'TEA Revised Non EYZ'!CM55</f>
        <v>39625.826528698344</v>
      </c>
      <c r="DO55">
        <f>'TEA Revised Non EYZ'!CN55</f>
        <v>4586243.4239371875</v>
      </c>
      <c r="DP55">
        <f>'TEA Revised Non EYZ'!CO55</f>
        <v>11794834.586807497</v>
      </c>
      <c r="DQ55">
        <f>'TEA Revised Non EYZ'!CP55</f>
        <v>2275209.1661185985</v>
      </c>
      <c r="DR55">
        <f>'TEA Revised Non EYZ'!CQ55</f>
        <v>14083914.336508472</v>
      </c>
      <c r="DS55">
        <f>'TEA Revised Non EYZ'!CR55</f>
        <v>1662824.8986326549</v>
      </c>
      <c r="DT55">
        <f>'TEA Revised Non EYZ'!CS55</f>
        <v>751295.09040276916</v>
      </c>
      <c r="DU55">
        <f>'TEA Revised Non EYZ'!CT55</f>
        <v>1932169.8606163235</v>
      </c>
      <c r="DV55">
        <f>'TEA Revised Non EYZ'!CU55</f>
        <v>372713.20297186484</v>
      </c>
      <c r="DW55">
        <f>'TEA Revised Non EYZ'!CV55</f>
        <v>2307155.2721002945</v>
      </c>
      <c r="DX55">
        <f>'TEA Revised Non EYZ'!CW55</f>
        <v>272395.52441150707</v>
      </c>
      <c r="DY55">
        <f>'TEA Revised Non EYZ'!CX55</f>
        <v>5635728.9505027588</v>
      </c>
      <c r="DZ55">
        <f>'TEA Revised Non EYZ'!CY55</f>
        <v>661095.23897018633</v>
      </c>
      <c r="EA55">
        <f>'TEA Revised Non EYZ'!CZ55</f>
        <v>1700195.1856897587</v>
      </c>
      <c r="EB55">
        <f>'TEA Revised Non EYZ'!DA55</f>
        <v>327965.57189523784</v>
      </c>
      <c r="EC55">
        <f>'TEA Revised Non EYZ'!DB55</f>
        <v>2030160.1666700414</v>
      </c>
      <c r="ED55">
        <f>'TEA Revised Non EYZ'!DC55</f>
        <v>239691.94875038246</v>
      </c>
      <c r="EE55">
        <f>'TEA Revised Non EYZ'!DD55</f>
        <v>4959108.1119756065</v>
      </c>
      <c r="EF55">
        <v>0.7</v>
      </c>
      <c r="EG55">
        <v>100</v>
      </c>
      <c r="EH55">
        <f>96485*BL55*V55/EF55/EG55/60</f>
        <v>25.280029303934459</v>
      </c>
      <c r="EI55">
        <f>96485*BN55*BA55/EF55/EG55/60</f>
        <v>45.296591484160089</v>
      </c>
      <c r="EJ55">
        <f>EH55*('CAPEX+OPEX'!$O$25+'CAPEX+OPEX'!$O$26)</f>
        <v>805725.09397499904</v>
      </c>
      <c r="EK55">
        <f>EI55*('CAPEX+OPEX'!$O$25+'CAPEX+OPEX'!$O$26)</f>
        <v>1443692.9637831503</v>
      </c>
      <c r="EL55">
        <f>EJ55*1.12/0.6*'CAPEX+OPEX'!$G$116/'CAPEX+OPEX'!$G$115</f>
        <v>1773928.987938937</v>
      </c>
      <c r="EM55">
        <f>EK55*1.12/0.6*'CAPEX+OPEX'!$G$116/'CAPEX+OPEX'!$G$115</f>
        <v>3178514.3807595931</v>
      </c>
      <c r="EN55">
        <f>EL55+EM55+DY55+EE55+1.15*(SUM(DF55:DM55)+SUM(CF55:CI55))</f>
        <v>15626570.527686112</v>
      </c>
      <c r="EO55">
        <f>EN55/15</f>
        <v>1041771.3685124074</v>
      </c>
      <c r="EP55">
        <f>('eLLE Bals'!CB55+'eLLE Bals'!CC55)*'Oxidant Feed Composition'!$N$28*60*7200</f>
        <v>17078930.852104373</v>
      </c>
      <c r="EQ55" s="53">
        <f>('eLLE Bals'!BR55+'eLLE Bals'!BY55)*'Reagent cost'!$C$38*60*7200*1.5</f>
        <v>758206.00250358717</v>
      </c>
      <c r="ER55">
        <f>'TEA Revised Non EYZ'!DI55</f>
        <v>504921.59999999998</v>
      </c>
      <c r="ES55">
        <f>'TEA Revised Non EYZ'!DJ55</f>
        <v>75.900783609965842</v>
      </c>
      <c r="ET55">
        <f>'TEA Revised Non EYZ'!DK55</f>
        <v>792.90245104243502</v>
      </c>
      <c r="EU55">
        <f>1.2*SUM(EP55:ET55)</f>
        <v>22011512.709411137</v>
      </c>
      <c r="EV55">
        <f>'TEA Revised Non EYZ'!DM55</f>
        <v>0.70639694042110623</v>
      </c>
      <c r="EW55">
        <f>(BS55*CO55+BT55*CP55)/1000*('Oxidant Feed Composition'!$B$11*'Oxidant Feed Composition'!$O$20+'Oxidant Feed Composition'!$D$11*'Oxidant Feed Composition'!$O$21+'Oxidant Feed Composition'!$F$11*'Oxidant Feed Composition'!$O$27-'Oxidant Feed Composition'!$J$15*18.015)</f>
        <v>1.7939308914684478</v>
      </c>
      <c r="EX55">
        <f>(CZ55*BX55+DC55*BZ55)*368.34/1000</f>
        <v>0.10203460049141708</v>
      </c>
      <c r="EY55">
        <f>'TEA Revised Non EYZ'!DP55</f>
        <v>4.999938342565946E-2</v>
      </c>
      <c r="EZ55">
        <f>SUM(EV55:EX55)-EY55</f>
        <v>2.552363048955312</v>
      </c>
      <c r="FA55">
        <f>EZ55*0.33*60*7200</f>
        <v>363864.87625906931</v>
      </c>
      <c r="FB55">
        <f>'TEA Revised Non EYZ'!DS55</f>
        <v>1.2</v>
      </c>
      <c r="FC55">
        <v>0.5</v>
      </c>
      <c r="FD55">
        <f>'TEA Revised Non EYZ'!DT55</f>
        <v>1405.7380096269114</v>
      </c>
      <c r="FE55">
        <f>'TEA Revised Non EYZ'!DU55</f>
        <v>706.0125123327706</v>
      </c>
      <c r="FF55">
        <f>'TEA Revised Non EYZ'!DV55</f>
        <v>0.7</v>
      </c>
      <c r="FG55">
        <f>'TEA Revised Non EYZ'!DW55</f>
        <v>41280.414286181804</v>
      </c>
      <c r="FH55">
        <f>'TEA Revised Non EYZ'!DX55</f>
        <v>37373.489075065132</v>
      </c>
      <c r="FI55">
        <f>'TEA Revised Non EYZ'!DY55</f>
        <v>15823.453035813865</v>
      </c>
      <c r="FJ55">
        <f>'TEA Revised Non EYZ'!DZ55</f>
        <v>8382.1245272768647</v>
      </c>
      <c r="FK55">
        <f>'TEA Revised Non EYZ'!EA55</f>
        <v>8439.174952434063</v>
      </c>
      <c r="FL55">
        <f>'TEA Revised Non EYZ'!EB55</f>
        <v>850.19034822235619</v>
      </c>
      <c r="FM55">
        <f>'TEA Revised Non EYZ'!EC55</f>
        <v>35999.794597843313</v>
      </c>
      <c r="FN55">
        <f>'TEA Revised Non EYZ'!ED55</f>
        <v>31035.680980849509</v>
      </c>
      <c r="FO55">
        <f>'TEA Revised Non EYZ'!EE55</f>
        <v>13140.106866891929</v>
      </c>
      <c r="FP55">
        <f>'TEA Revised Non EYZ'!EF55</f>
        <v>6964.5552718403605</v>
      </c>
      <c r="FQ55">
        <f>'TEA Revised Non EYZ'!EG55</f>
        <v>7008.0569956756972</v>
      </c>
      <c r="FR55">
        <f>'TEA Revised Non EYZ'!EH55</f>
        <v>426.99636745885965</v>
      </c>
      <c r="FS55">
        <f>'TEA Revised Non EYZ'!EI55</f>
        <v>206724.03730555376</v>
      </c>
      <c r="FT55">
        <f>EG55*EH55</f>
        <v>2528.0029303934457</v>
      </c>
      <c r="FU55">
        <f>EG55*EI55</f>
        <v>4529.659148416009</v>
      </c>
      <c r="FV55">
        <f>FC55*(FT55+FU55)/(3.6*10^6)*3600*7200*0.07</f>
        <v>1778.530843859983</v>
      </c>
      <c r="FW55">
        <f>('CAPEX+OPEX'!$C$39/7/100+0.03)*EL55</f>
        <v>91230.633665431043</v>
      </c>
      <c r="FX55">
        <f>('CAPEX+OPEX'!$C$39/7/100+0.03)*EM55</f>
        <v>163466.45386763621</v>
      </c>
      <c r="FY55">
        <f>SUM(FV55:FX55)</f>
        <v>256475.61837692725</v>
      </c>
      <c r="FZ55">
        <f>FY55+FA55+FS55+EU55</f>
        <v>22838577.241352689</v>
      </c>
      <c r="GA55">
        <f>FZ55+EO55</f>
        <v>23880348.609865095</v>
      </c>
      <c r="GB55">
        <f>GA55/(BK55*60*7200)</f>
        <v>0.5527858474505809</v>
      </c>
      <c r="GC55">
        <f>'TEA Revised Non EYZ'!EM55/'TEA Revised Non EYZ'!EK55*GA55</f>
        <v>1849.5443720040062</v>
      </c>
      <c r="GD55">
        <f>'TEA Revised Non EYZ'!EN55/'TEA Revised Non EYZ'!EK55*GA55</f>
        <v>3393.027709606306</v>
      </c>
    </row>
    <row r="56" spans="1:186">
      <c r="A56">
        <f>'TEA Revised Non EYZ'!A56</f>
        <v>8</v>
      </c>
      <c r="B56">
        <f>'TEA Revised Non EYZ'!B56</f>
        <v>1.54143585092054E-3</v>
      </c>
      <c r="C56">
        <f>'TEA Revised Non EYZ'!C56</f>
        <v>1.54143585092054E-3</v>
      </c>
      <c r="D56">
        <f>'TEA Revised Non EYZ'!D56</f>
        <v>3.4254130020456501E-4</v>
      </c>
      <c r="E56">
        <f>'TEA Revised Non EYZ'!E56</f>
        <v>0</v>
      </c>
      <c r="F56">
        <f>'TEA Revised Non EYZ'!F56</f>
        <v>0</v>
      </c>
      <c r="G56">
        <f>'TEA Revised Non EYZ'!G56</f>
        <v>0</v>
      </c>
      <c r="H56">
        <f>'TEA Revised Non EYZ'!H56</f>
        <v>1.7762434284205799E-5</v>
      </c>
      <c r="I56">
        <f>'TEA Revised Non EYZ'!I56</f>
        <v>4.4591984978445998E-9</v>
      </c>
      <c r="J56">
        <f>'TEA Revised Non EYZ'!J56</f>
        <v>3.37570976171142E-4</v>
      </c>
      <c r="K56">
        <f>'TEA Revised Non EYZ'!K56</f>
        <v>0.13846015972746001</v>
      </c>
      <c r="L56">
        <f>'TEA Revised Non EYZ'!L56</f>
        <v>0.14007387303476199</v>
      </c>
      <c r="M56">
        <f>'TEA Revised Non EYZ'!M56</f>
        <v>4.5166625081916902E-4</v>
      </c>
      <c r="N56">
        <f>'TEA Revised Non EYZ'!N56</f>
        <v>-2.6107588313450902E-16</v>
      </c>
      <c r="O56">
        <f>'TEA Revised Non EYZ'!O56</f>
        <v>-1.18524981496115E-14</v>
      </c>
      <c r="P56">
        <f>'TEA Revised Non EYZ'!P56</f>
        <v>-2.5241581828178102E-19</v>
      </c>
      <c r="Q56">
        <f>'TEA Revised Non EYZ'!Q56</f>
        <v>0.110044175857931</v>
      </c>
      <c r="R56">
        <f>'TEA Revised Non EYZ'!R56</f>
        <v>98.548985471108097</v>
      </c>
      <c r="S56">
        <f>'TEA Revised Non EYZ'!S56</f>
        <v>500</v>
      </c>
      <c r="T56">
        <f>'TEA Revised Non EYZ'!T56</f>
        <v>95</v>
      </c>
      <c r="U56">
        <f>'TEA Revised Non EYZ'!U56</f>
        <v>1</v>
      </c>
      <c r="V56">
        <f>'TEA Revised Non EYZ'!V56</f>
        <v>0.1</v>
      </c>
      <c r="W56">
        <f>'TEA Revised Non EYZ'!W56</f>
        <v>90.872596591664205</v>
      </c>
      <c r="X56" t="str">
        <f>'TEA Revised Non EYZ'!X56</f>
        <v>ddFc</v>
      </c>
      <c r="Y56">
        <f>'TEA Revised Non EYZ'!Y56</f>
        <v>1</v>
      </c>
      <c r="Z56">
        <f>'TEA Revised Non EYZ'!Z56</f>
        <v>0.28318429382522198</v>
      </c>
      <c r="AA56">
        <f>'TEA Revised Non EYZ'!AA56</f>
        <v>0.56945642916197003</v>
      </c>
      <c r="AB56">
        <f>'TEA Revised Non EYZ'!AB56</f>
        <v>3.7698628972227502E-3</v>
      </c>
      <c r="AC56">
        <f>'TEA Revised Non EYZ'!AC56</f>
        <v>1822.2107908876901</v>
      </c>
      <c r="AD56">
        <f>'TEA Revised Non EYZ'!AD56</f>
        <v>2662.6059073104898</v>
      </c>
      <c r="AE56">
        <f>'TEA Revised Non EYZ'!AE56</f>
        <v>2401.5030938442701</v>
      </c>
      <c r="AF56">
        <f>'TEA Revised Non EYZ'!AF56</f>
        <v>8</v>
      </c>
      <c r="AG56">
        <f>'TEA Revised Non EYZ'!AG56</f>
        <v>1.6497294784823999E-3</v>
      </c>
      <c r="AH56">
        <f>'TEA Revised Non EYZ'!AH56</f>
        <v>1.66895660069658E-3</v>
      </c>
      <c r="AI56">
        <f>'TEA Revised Non EYZ'!AI56</f>
        <v>5.38152729188446E-6</v>
      </c>
      <c r="AJ56">
        <f>'TEA Revised Non EYZ'!AJ56</f>
        <v>0</v>
      </c>
      <c r="AK56">
        <f>'TEA Revised Non EYZ'!AK56</f>
        <v>0</v>
      </c>
      <c r="AL56">
        <f>'TEA Revised Non EYZ'!AL56</f>
        <v>0</v>
      </c>
      <c r="AM56">
        <f>'TEA Revised Non EYZ'!AM56</f>
        <v>1.6127265357375701E-3</v>
      </c>
      <c r="AN56">
        <f>'TEA Revised Non EYZ'!AN56</f>
        <v>7.9534259850848901E-5</v>
      </c>
      <c r="AO56">
        <f>'TEA Revised Non EYZ'!AO56</f>
        <v>5.3460841353395197E-6</v>
      </c>
      <c r="AP56">
        <f>'TEA Revised Non EYZ'!AP56</f>
        <v>1.7350722139013899E-3</v>
      </c>
      <c r="AQ56">
        <f>'TEA Revised Non EYZ'!AQ56</f>
        <v>7.4528195270851597E-2</v>
      </c>
      <c r="AR56">
        <f>'TEA Revised Non EYZ'!AR56</f>
        <v>1.6619336609946501E-6</v>
      </c>
      <c r="AS56">
        <f>'TEA Revised Non EYZ'!AS56</f>
        <v>5.2535422843599799E-15</v>
      </c>
      <c r="AT56">
        <f>'TEA Revised Non EYZ'!AT56</f>
        <v>-1.2261545945246801E-12</v>
      </c>
      <c r="AU56">
        <f>'TEA Revised Non EYZ'!AU56</f>
        <v>2.5556572205438301E-20</v>
      </c>
      <c r="AV56">
        <f>'TEA Revised Non EYZ'!AV56</f>
        <v>0.19696899297954801</v>
      </c>
      <c r="AW56">
        <f>'TEA Revised Non EYZ'!AW56</f>
        <v>99.341392236393602</v>
      </c>
      <c r="AX56">
        <f>'TEA Revised Non EYZ'!AX56</f>
        <v>499.99999999999898</v>
      </c>
      <c r="AY56">
        <f>'TEA Revised Non EYZ'!AY56</f>
        <v>95</v>
      </c>
      <c r="AZ56">
        <f>'TEA Revised Non EYZ'!AZ56</f>
        <v>0.92358985913147196</v>
      </c>
      <c r="BA56">
        <f>'TEA Revised Non EYZ'!BA56</f>
        <v>0.1</v>
      </c>
      <c r="BB56">
        <f>'TEA Revised Non EYZ'!BB56</f>
        <v>46.890114284504001</v>
      </c>
      <c r="BC56" t="str">
        <f>'TEA Revised Non EYZ'!BC56</f>
        <v>coeFc</v>
      </c>
      <c r="BD56">
        <f>'TEA Revised Non EYZ'!BD56</f>
        <v>1</v>
      </c>
      <c r="BE56">
        <f>'TEA Revised Non EYZ'!BE56</f>
        <v>1.8775014999999999E-2</v>
      </c>
      <c r="BF56">
        <f>'TEA Revised Non EYZ'!BF56</f>
        <v>0.10492961100000001</v>
      </c>
      <c r="BG56">
        <f>'TEA Revised Non EYZ'!BG56</f>
        <v>1.814625E-3</v>
      </c>
      <c r="BH56">
        <f>'TEA Revised Non EYZ'!BH56</f>
        <v>285.1951444</v>
      </c>
      <c r="BI56">
        <f>'TEA Revised Non EYZ'!BI56</f>
        <v>2169.8944889999998</v>
      </c>
      <c r="BJ56">
        <f>'TEA Revised Non EYZ'!BJ56</f>
        <v>866.49409060000005</v>
      </c>
      <c r="BK56">
        <f>'TEA Revised Non EYZ'!BK56</f>
        <v>100</v>
      </c>
      <c r="BL56">
        <f>'TEA Revised Non EYZ'!BL56</f>
        <v>11.004417585793099</v>
      </c>
      <c r="BM56">
        <f>'TEA Revised Non EYZ'!BM56</f>
        <v>92.358985913147194</v>
      </c>
      <c r="BN56">
        <f>'TEA Revised Non EYZ'!BN56</f>
        <v>19.696899297954801</v>
      </c>
      <c r="BO56">
        <f>'TEA Revised Non EYZ'!BO56</f>
        <v>220.08835171586199</v>
      </c>
      <c r="BP56">
        <f>'TEA Revised Non EYZ'!BP56</f>
        <v>393.93798595909601</v>
      </c>
      <c r="BQ56">
        <f>'TEA Revised Non EYZ'!BQ56</f>
        <v>22.008835171586199</v>
      </c>
      <c r="BR56">
        <f>'TEA Revised Non EYZ'!BR56</f>
        <v>39.393798595909601</v>
      </c>
      <c r="BS56">
        <f>'eLLE Bals'!CF56</f>
        <v>6.6026505514758593</v>
      </c>
      <c r="BT56">
        <f>'eLLE Bals'!CG56</f>
        <v>11.818139578772881</v>
      </c>
      <c r="BU56">
        <f>BM56</f>
        <v>92.358985913147194</v>
      </c>
      <c r="BV56">
        <f>BU56*(AM56*2+AN56*2+AO56*3)</f>
        <v>0.3140722586902831</v>
      </c>
      <c r="BW56">
        <f>BN56*BA56*(AP56*2+AQ56*2+AR56*3)</f>
        <v>0.30043980043802221</v>
      </c>
      <c r="BX56">
        <f>BV56/(2*V56*BL56+BV56)</f>
        <v>0.12488182166315452</v>
      </c>
      <c r="BY56">
        <f>BU56*BX56</f>
        <v>11.533958407795449</v>
      </c>
      <c r="BZ56">
        <f>BW56/(2*BN56*BA56+BW56)</f>
        <v>7.0861457450755935E-2</v>
      </c>
      <c r="CA56">
        <f>2*BN56*BA56/0.04</f>
        <v>98.484496489774003</v>
      </c>
      <c r="CB56">
        <f>(BS56+BL56)*2</f>
        <v>35.214136274537921</v>
      </c>
      <c r="CC56">
        <f>(BU56+BL56)*2</f>
        <v>206.7268069978806</v>
      </c>
      <c r="CD56">
        <f>(BT56+BN56)*2</f>
        <v>63.030077753455359</v>
      </c>
      <c r="CE56">
        <f>(CA56+BN56)*2</f>
        <v>236.36279157545761</v>
      </c>
      <c r="CF56">
        <f>'TEA Revised Non EYZ'!CB56</f>
        <v>2905.1662426493785</v>
      </c>
      <c r="CG56">
        <f>'TEA Revised Non EYZ'!CC56</f>
        <v>5199.9814146600684</v>
      </c>
      <c r="CH56">
        <f>'TEA Revised Non EYZ'!CD56</f>
        <v>3509.9789962792502</v>
      </c>
      <c r="CI56">
        <f>'TEA Revised Non EYZ'!CE56</f>
        <v>40107.918816787671</v>
      </c>
      <c r="CJ56">
        <f>BL56*V56</f>
        <v>1.10044175857931</v>
      </c>
      <c r="CK56">
        <f>CJ56/2*1.2</f>
        <v>0.66026505514758604</v>
      </c>
      <c r="CL56">
        <f>'eLLE Bals'!CB56*'Oxidant Feed Composition'!$N$20</f>
        <v>3.668139195264368E-2</v>
      </c>
      <c r="CM56">
        <f>'eLLE Bals'!CB56*'Oxidant Feed Composition'!$N$21</f>
        <v>1.8340695976321835</v>
      </c>
      <c r="CN56">
        <f>'eLLE Bals'!CB56*'Oxidant Feed Composition'!$N$22</f>
        <v>0.55022087928965502</v>
      </c>
      <c r="CO56">
        <f>CN56/CK56</f>
        <v>0.83333333333333326</v>
      </c>
      <c r="CP56">
        <f>CO56</f>
        <v>0.83333333333333326</v>
      </c>
      <c r="CQ56">
        <f>CL56/CO56</f>
        <v>4.4017670343172423E-2</v>
      </c>
      <c r="CR56">
        <f>CM56/CO56</f>
        <v>2.2008835171586205</v>
      </c>
      <c r="CS56">
        <f>BN56*BA56</f>
        <v>1.9696899297954802</v>
      </c>
      <c r="CT56">
        <f>CS56/2*1.2</f>
        <v>1.1818139578772882</v>
      </c>
      <c r="CU56">
        <f>'eLLE Bals'!CC56*'Oxidant Feed Composition'!$N$20</f>
        <v>6.5656330993182702E-2</v>
      </c>
      <c r="CV56">
        <f>'eLLE Bals'!CC56*'Oxidant Feed Composition'!$N$21</f>
        <v>3.2828165496591337</v>
      </c>
      <c r="CW56">
        <f>'eLLE Bals'!CC56*'Oxidant Feed Composition'!$N$22</f>
        <v>0.98484496489774009</v>
      </c>
      <c r="CX56">
        <f>CU56/CP56</f>
        <v>7.8787597191819256E-2</v>
      </c>
      <c r="CY56">
        <f>CV56/CP56</f>
        <v>3.9393798595909608</v>
      </c>
      <c r="CZ56">
        <f>CJ56</f>
        <v>1.10044175857931</v>
      </c>
      <c r="DA56">
        <f>'eLLE Bals'!BQ56</f>
        <v>2.2008835171586201</v>
      </c>
      <c r="DB56">
        <f>'eLLE Bals'!BU56</f>
        <v>5.5105397670481819</v>
      </c>
      <c r="DC56">
        <f>CS56</f>
        <v>1.9696899297954802</v>
      </c>
      <c r="DD56">
        <f>'eLLE Bals'!BX56</f>
        <v>3.9393798595909604</v>
      </c>
      <c r="DE56">
        <f>'eLLE Bals'!CA56</f>
        <v>21.887281014776537</v>
      </c>
      <c r="DF56">
        <f>2*2*(CJ56*'Reagent cost'!$C$36*122.44/1000*1.5+CK56*'Oxidant Feed Composition'!$N$26+CQ56*'Reagent cost'!$C$34+CR56*'Reagent cost'!$C$35)</f>
        <v>111.98220486343379</v>
      </c>
      <c r="DG56">
        <f>2*2*(CS56*'Reagent cost'!$C$36*122.44/1000*1.5+CT56*'Oxidant Feed Composition'!$N$26+CX56*'Reagent cost'!$C$34+CY56*'Reagent cost'!$C$35)</f>
        <v>200.43788734495146</v>
      </c>
      <c r="DH56">
        <f>(AF56+3)*2*(CZ56*'Reagent cost'!$C$38+DA56*'Reagent cost'!$C$39+DB56*'Reagent cost'!$C$36*122.44/1000*1.5)</f>
        <v>1680.3045009853397</v>
      </c>
      <c r="DI56">
        <f>3*2*(DC56*'Reagent cost'!$C$38+DD56*'Reagent cost'!$C$39+DE56*'Reagent cost'!$C$36*122.44/1000*1.5)</f>
        <v>1755.9585442437001</v>
      </c>
      <c r="DJ56">
        <f>7963.6*(CB56/1000)^0.6*1.7*('CAPEX+OPEX'!$G$116/'CAPEX+OPEX'!$G$115)</f>
        <v>2144.228934815284</v>
      </c>
      <c r="DK56">
        <f>7963.6*(CC56/1000)^0.6*1.7*('CAPEX+OPEX'!$G$116/'CAPEX+OPEX'!$G$115)</f>
        <v>6201.2466571653367</v>
      </c>
      <c r="DL56">
        <f>7963.6*(CD56/1000)^0.6*1.7*('CAPEX+OPEX'!$G$116/'CAPEX+OPEX'!$G$115)</f>
        <v>3040.6724106131192</v>
      </c>
      <c r="DM56">
        <f>7963.6*(CE56/1000)^0.6*1.7*('CAPEX+OPEX'!$G$116/'CAPEX+OPEX'!$G$115)</f>
        <v>6720.295875451242</v>
      </c>
      <c r="DN56">
        <f>'TEA Revised Non EYZ'!CM56</f>
        <v>39625.826528698344</v>
      </c>
      <c r="DO56">
        <f>'TEA Revised Non EYZ'!CN56</f>
        <v>4586243.4239371875</v>
      </c>
      <c r="DP56">
        <f>'TEA Revised Non EYZ'!CO56</f>
        <v>11794834.586807497</v>
      </c>
      <c r="DQ56">
        <f>'TEA Revised Non EYZ'!CP56</f>
        <v>2275209.1661185985</v>
      </c>
      <c r="DR56">
        <f>'TEA Revised Non EYZ'!CQ56</f>
        <v>14083914.336508472</v>
      </c>
      <c r="DS56">
        <f>'TEA Revised Non EYZ'!CR56</f>
        <v>1662824.8986326549</v>
      </c>
      <c r="DT56">
        <f>'TEA Revised Non EYZ'!CS56</f>
        <v>751295.09040276916</v>
      </c>
      <c r="DU56">
        <f>'TEA Revised Non EYZ'!CT56</f>
        <v>1932169.8606163235</v>
      </c>
      <c r="DV56">
        <f>'TEA Revised Non EYZ'!CU56</f>
        <v>372713.20297186484</v>
      </c>
      <c r="DW56">
        <f>'TEA Revised Non EYZ'!CV56</f>
        <v>2307155.2721002945</v>
      </c>
      <c r="DX56">
        <f>'TEA Revised Non EYZ'!CW56</f>
        <v>272395.52441150707</v>
      </c>
      <c r="DY56">
        <f>'TEA Revised Non EYZ'!CX56</f>
        <v>5635728.9505027588</v>
      </c>
      <c r="DZ56">
        <f>'TEA Revised Non EYZ'!CY56</f>
        <v>709505.13497417013</v>
      </c>
      <c r="EA56">
        <f>'TEA Revised Non EYZ'!CZ56</f>
        <v>1824695.0569245399</v>
      </c>
      <c r="EB56">
        <f>'TEA Revised Non EYZ'!DA56</f>
        <v>351981.44478681608</v>
      </c>
      <c r="EC56">
        <f>'TEA Revised Non EYZ'!DB56</f>
        <v>2178822.3211472412</v>
      </c>
      <c r="ED56">
        <f>'TEA Revised Non EYZ'!DC56</f>
        <v>257243.82573874708</v>
      </c>
      <c r="EE56">
        <f>'TEA Revised Non EYZ'!DD56</f>
        <v>5322247.7835715134</v>
      </c>
      <c r="EF56">
        <v>0.7</v>
      </c>
      <c r="EG56">
        <v>100</v>
      </c>
      <c r="EH56">
        <f>96485*BL56*V56/EF56/EG56/60</f>
        <v>25.280029303934459</v>
      </c>
      <c r="EI56">
        <f>96485*BN56*BA56/EF56/EG56/60</f>
        <v>45.248936399123075</v>
      </c>
      <c r="EJ56">
        <f>EH56*('CAPEX+OPEX'!$O$25+'CAPEX+OPEX'!$O$26)</f>
        <v>805725.09397499904</v>
      </c>
      <c r="EK56">
        <f>EI56*('CAPEX+OPEX'!$O$25+'CAPEX+OPEX'!$O$26)</f>
        <v>1442174.1009128506</v>
      </c>
      <c r="EL56">
        <f>EJ56*1.12/0.6*'CAPEX+OPEX'!$G$116/'CAPEX+OPEX'!$G$115</f>
        <v>1773928.987938937</v>
      </c>
      <c r="EM56">
        <f>EK56*1.12/0.6*'CAPEX+OPEX'!$G$116/'CAPEX+OPEX'!$G$115</f>
        <v>3175170.3681497383</v>
      </c>
      <c r="EN56">
        <f>EL56+EM56+DY56+EE56+1.15*(SUM(DF56:DM56)+SUM(CF56:CI56))</f>
        <v>15991690.988521686</v>
      </c>
      <c r="EO56">
        <f>EN56/15</f>
        <v>1066112.7325681124</v>
      </c>
      <c r="EP56">
        <f>('eLLE Bals'!CB56+'eLLE Bals'!CC56)*'Oxidant Feed Composition'!$N$28*60*7200</f>
        <v>17067398.734343424</v>
      </c>
      <c r="EQ56" s="53">
        <f>('eLLE Bals'!BR56+'eLLE Bals'!BY56)*'Reagent cost'!$C$38*60*7200*1.5</f>
        <v>758173.89504751505</v>
      </c>
      <c r="ER56">
        <f>'TEA Revised Non EYZ'!DI56</f>
        <v>504921.59999999998</v>
      </c>
      <c r="ES56">
        <f>'TEA Revised Non EYZ'!DJ56</f>
        <v>81.051476573094476</v>
      </c>
      <c r="ET56">
        <f>'TEA Revised Non EYZ'!DK56</f>
        <v>872.35795626133847</v>
      </c>
      <c r="EU56">
        <f>1.2*SUM(EP56:ET56)</f>
        <v>21997737.166588526</v>
      </c>
      <c r="EV56">
        <f>'TEA Revised Non EYZ'!DM56</f>
        <v>0.70639694042110623</v>
      </c>
      <c r="EW56">
        <f>(BS56*CO56+BT56*CP56)/1000*('Oxidant Feed Composition'!$B$11*'Oxidant Feed Composition'!$O$20+'Oxidant Feed Composition'!$D$11*'Oxidant Feed Composition'!$O$21+'Oxidant Feed Composition'!$F$11*'Oxidant Feed Composition'!$O$27-'Oxidant Feed Composition'!$J$15*18.015)</f>
        <v>1.7927195848313657</v>
      </c>
      <c r="EX56">
        <f>(CZ56*BX56+DC56*BZ56)*368.34/1000</f>
        <v>0.10203027967168954</v>
      </c>
      <c r="EY56">
        <f>'TEA Revised Non EYZ'!DP56</f>
        <v>4.999938342565946E-2</v>
      </c>
      <c r="EZ56">
        <f>SUM(EV56:EX56)-EY56</f>
        <v>2.5511474214985022</v>
      </c>
      <c r="FA56">
        <f>EZ56*0.33*60*7200</f>
        <v>363691.57640882646</v>
      </c>
      <c r="FB56">
        <f>'TEA Revised Non EYZ'!DS56</f>
        <v>1.2</v>
      </c>
      <c r="FC56">
        <v>0.5</v>
      </c>
      <c r="FD56">
        <f>'TEA Revised Non EYZ'!DT56</f>
        <v>1405.8595798458919</v>
      </c>
      <c r="FE56">
        <f>'TEA Revised Non EYZ'!DU56</f>
        <v>705.89094267147937</v>
      </c>
      <c r="FF56">
        <f>'TEA Revised Non EYZ'!DV56</f>
        <v>0.7</v>
      </c>
      <c r="FG56">
        <f>'TEA Revised Non EYZ'!DW56</f>
        <v>41280.414286181804</v>
      </c>
      <c r="FH56">
        <f>'TEA Revised Non EYZ'!DX56</f>
        <v>37373.489075065132</v>
      </c>
      <c r="FI56">
        <f>'TEA Revised Non EYZ'!DY56</f>
        <v>15823.453035813865</v>
      </c>
      <c r="FJ56">
        <f>'TEA Revised Non EYZ'!DZ56</f>
        <v>8382.1245272768647</v>
      </c>
      <c r="FK56">
        <f>'TEA Revised Non EYZ'!EA56</f>
        <v>8439.174952434063</v>
      </c>
      <c r="FL56">
        <f>'TEA Revised Non EYZ'!EB56</f>
        <v>850.26387389079548</v>
      </c>
      <c r="FM56">
        <f>'TEA Revised Non EYZ'!EC56</f>
        <v>38571.208497689258</v>
      </c>
      <c r="FN56">
        <f>'TEA Revised Non EYZ'!ED56</f>
        <v>34915.141103455695</v>
      </c>
      <c r="FO56">
        <f>'TEA Revised Non EYZ'!EE56</f>
        <v>14782.620225253419</v>
      </c>
      <c r="FP56">
        <f>'TEA Revised Non EYZ'!EF56</f>
        <v>7835.124680820405</v>
      </c>
      <c r="FQ56">
        <f>'TEA Revised Non EYZ'!EG56</f>
        <v>7884.0641201351591</v>
      </c>
      <c r="FR56">
        <f>'TEA Revised Non EYZ'!EH56</f>
        <v>426.92284212771074</v>
      </c>
      <c r="FS56">
        <f>'TEA Revised Non EYZ'!EI56</f>
        <v>216564.00122014419</v>
      </c>
      <c r="FT56">
        <f>EG56*EH56</f>
        <v>2528.0029303934457</v>
      </c>
      <c r="FU56">
        <f>EG56*EI56</f>
        <v>4524.8936399123077</v>
      </c>
      <c r="FV56">
        <f>FC56*(FT56+FU56)/(3.6*10^6)*3600*7200*0.07</f>
        <v>1777.3299357170501</v>
      </c>
      <c r="FW56">
        <f>('CAPEX+OPEX'!$C$39/7/100+0.03)*EL56</f>
        <v>91230.633665431043</v>
      </c>
      <c r="FX56">
        <f>('CAPEX+OPEX'!$C$39/7/100+0.03)*EM56</f>
        <v>163294.47607627226</v>
      </c>
      <c r="FY56">
        <f>SUM(FV56:FX56)</f>
        <v>256302.43967742036</v>
      </c>
      <c r="FZ56">
        <f>FY56+FA56+FS56+EU56</f>
        <v>22834295.183894917</v>
      </c>
      <c r="GA56">
        <f>FZ56+EO56</f>
        <v>23900407.916463029</v>
      </c>
      <c r="GB56">
        <f>GA56/(BK56*60*7200)</f>
        <v>0.55325018325145903</v>
      </c>
      <c r="GC56">
        <f>'TEA Revised Non EYZ'!EM56/'TEA Revised Non EYZ'!EK56*GA56</f>
        <v>1850.9378029656048</v>
      </c>
      <c r="GD56">
        <f>'TEA Revised Non EYZ'!EN56/'TEA Revised Non EYZ'!EK56*GA56</f>
        <v>3396.4170091280816</v>
      </c>
    </row>
    <row r="57" spans="1:186">
      <c r="A57">
        <f>'TEA Revised Non EYZ'!A57</f>
        <v>8</v>
      </c>
      <c r="B57">
        <f>'TEA Revised Non EYZ'!B57</f>
        <v>1.54143585092054E-3</v>
      </c>
      <c r="C57">
        <f>'TEA Revised Non EYZ'!C57</f>
        <v>1.54143585092054E-3</v>
      </c>
      <c r="D57">
        <f>'TEA Revised Non EYZ'!D57</f>
        <v>3.4254130020456501E-4</v>
      </c>
      <c r="E57">
        <f>'TEA Revised Non EYZ'!E57</f>
        <v>0</v>
      </c>
      <c r="F57">
        <f>'TEA Revised Non EYZ'!F57</f>
        <v>0</v>
      </c>
      <c r="G57">
        <f>'TEA Revised Non EYZ'!G57</f>
        <v>0</v>
      </c>
      <c r="H57">
        <f>'TEA Revised Non EYZ'!H57</f>
        <v>1.7762434284205799E-5</v>
      </c>
      <c r="I57">
        <f>'TEA Revised Non EYZ'!I57</f>
        <v>4.4591984978445998E-9</v>
      </c>
      <c r="J57">
        <f>'TEA Revised Non EYZ'!J57</f>
        <v>3.37570976171142E-4</v>
      </c>
      <c r="K57">
        <f>'TEA Revised Non EYZ'!K57</f>
        <v>0.13846015972746001</v>
      </c>
      <c r="L57">
        <f>'TEA Revised Non EYZ'!L57</f>
        <v>0.14007387303476199</v>
      </c>
      <c r="M57">
        <f>'TEA Revised Non EYZ'!M57</f>
        <v>4.5166625081916902E-4</v>
      </c>
      <c r="N57">
        <f>'TEA Revised Non EYZ'!N57</f>
        <v>-2.6107588313450902E-16</v>
      </c>
      <c r="O57">
        <f>'TEA Revised Non EYZ'!O57</f>
        <v>-1.18524981496115E-14</v>
      </c>
      <c r="P57">
        <f>'TEA Revised Non EYZ'!P57</f>
        <v>-2.5241581828178102E-19</v>
      </c>
      <c r="Q57">
        <f>'TEA Revised Non EYZ'!Q57</f>
        <v>0.110044175857931</v>
      </c>
      <c r="R57">
        <f>'TEA Revised Non EYZ'!R57</f>
        <v>98.548985471108097</v>
      </c>
      <c r="S57">
        <f>'TEA Revised Non EYZ'!S57</f>
        <v>500</v>
      </c>
      <c r="T57">
        <f>'TEA Revised Non EYZ'!T57</f>
        <v>95</v>
      </c>
      <c r="U57">
        <f>'TEA Revised Non EYZ'!U57</f>
        <v>1</v>
      </c>
      <c r="V57">
        <f>'TEA Revised Non EYZ'!V57</f>
        <v>0.1</v>
      </c>
      <c r="W57">
        <f>'TEA Revised Non EYZ'!W57</f>
        <v>90.872596591664205</v>
      </c>
      <c r="X57" t="str">
        <f>'TEA Revised Non EYZ'!X57</f>
        <v>ddFc</v>
      </c>
      <c r="Y57">
        <f>'TEA Revised Non EYZ'!Y57</f>
        <v>1</v>
      </c>
      <c r="Z57">
        <f>'TEA Revised Non EYZ'!Z57</f>
        <v>0.28318429382522198</v>
      </c>
      <c r="AA57">
        <f>'TEA Revised Non EYZ'!AA57</f>
        <v>0.56945642916197003</v>
      </c>
      <c r="AB57">
        <f>'TEA Revised Non EYZ'!AB57</f>
        <v>3.7698628972227502E-3</v>
      </c>
      <c r="AC57">
        <f>'TEA Revised Non EYZ'!AC57</f>
        <v>1822.2107908876901</v>
      </c>
      <c r="AD57">
        <f>'TEA Revised Non EYZ'!AD57</f>
        <v>2662.6059073104898</v>
      </c>
      <c r="AE57">
        <f>'TEA Revised Non EYZ'!AE57</f>
        <v>2401.5030938442701</v>
      </c>
      <c r="AF57">
        <f>'TEA Revised Non EYZ'!AF57</f>
        <v>9</v>
      </c>
      <c r="AG57">
        <f>'TEA Revised Non EYZ'!AG57</f>
        <v>1.6497294784823999E-3</v>
      </c>
      <c r="AH57">
        <f>'TEA Revised Non EYZ'!AH57</f>
        <v>1.66895660069658E-3</v>
      </c>
      <c r="AI57">
        <f>'TEA Revised Non EYZ'!AI57</f>
        <v>5.38152729188446E-6</v>
      </c>
      <c r="AJ57">
        <f>'TEA Revised Non EYZ'!AJ57</f>
        <v>0</v>
      </c>
      <c r="AK57">
        <f>'TEA Revised Non EYZ'!AK57</f>
        <v>0</v>
      </c>
      <c r="AL57">
        <f>'TEA Revised Non EYZ'!AL57</f>
        <v>0</v>
      </c>
      <c r="AM57">
        <f>'TEA Revised Non EYZ'!AM57</f>
        <v>1.61276595302466E-3</v>
      </c>
      <c r="AN57">
        <f>'TEA Revised Non EYZ'!AN57</f>
        <v>7.9536298223616001E-5</v>
      </c>
      <c r="AO57">
        <f>'TEA Revised Non EYZ'!AO57</f>
        <v>5.3461203241357404E-6</v>
      </c>
      <c r="AP57">
        <f>'TEA Revised Non EYZ'!AP57</f>
        <v>1.7337397232919901E-3</v>
      </c>
      <c r="AQ57">
        <f>'TEA Revised Non EYZ'!AQ57</f>
        <v>7.4550278451312305E-2</v>
      </c>
      <c r="AR57">
        <f>'TEA Revised Non EYZ'!AR57</f>
        <v>1.66073083417147E-6</v>
      </c>
      <c r="AS57">
        <f>'TEA Revised Non EYZ'!AS57</f>
        <v>3.9512392923518602E-17</v>
      </c>
      <c r="AT57">
        <f>'TEA Revised Non EYZ'!AT57</f>
        <v>-5.1148321689176102E-15</v>
      </c>
      <c r="AU57">
        <f>'TEA Revised Non EYZ'!AU57</f>
        <v>-1.7734752333136898E-21</v>
      </c>
      <c r="AV57">
        <f>'TEA Revised Non EYZ'!AV57</f>
        <v>0.19691039440255501</v>
      </c>
      <c r="AW57">
        <f>'TEA Revised Non EYZ'!AW57</f>
        <v>99.342064699697403</v>
      </c>
      <c r="AX57">
        <f>'TEA Revised Non EYZ'!AX57</f>
        <v>499.99999999999898</v>
      </c>
      <c r="AY57">
        <f>'TEA Revised Non EYZ'!AY57</f>
        <v>95</v>
      </c>
      <c r="AZ57">
        <f>'TEA Revised Non EYZ'!AZ57</f>
        <v>0.92358985913147196</v>
      </c>
      <c r="BA57">
        <f>'TEA Revised Non EYZ'!BA57</f>
        <v>0.1</v>
      </c>
      <c r="BB57">
        <f>'TEA Revised Non EYZ'!BB57</f>
        <v>46.904068316643603</v>
      </c>
      <c r="BC57" t="str">
        <f>'TEA Revised Non EYZ'!BC57</f>
        <v>coeFc</v>
      </c>
      <c r="BD57">
        <f>'TEA Revised Non EYZ'!BD57</f>
        <v>1</v>
      </c>
      <c r="BE57">
        <f>'TEA Revised Non EYZ'!BE57</f>
        <v>1.8775014999999999E-2</v>
      </c>
      <c r="BF57">
        <f>'TEA Revised Non EYZ'!BF57</f>
        <v>0.10492961100000001</v>
      </c>
      <c r="BG57">
        <f>'TEA Revised Non EYZ'!BG57</f>
        <v>1.814625E-3</v>
      </c>
      <c r="BH57">
        <f>'TEA Revised Non EYZ'!BH57</f>
        <v>285.1951444</v>
      </c>
      <c r="BI57">
        <f>'TEA Revised Non EYZ'!BI57</f>
        <v>2169.8944889999998</v>
      </c>
      <c r="BJ57">
        <f>'TEA Revised Non EYZ'!BJ57</f>
        <v>866.49409060000005</v>
      </c>
      <c r="BK57">
        <f>'TEA Revised Non EYZ'!BK57</f>
        <v>100</v>
      </c>
      <c r="BL57">
        <f>'TEA Revised Non EYZ'!BL57</f>
        <v>11.004417585793099</v>
      </c>
      <c r="BM57">
        <f>'TEA Revised Non EYZ'!BM57</f>
        <v>92.358985913147194</v>
      </c>
      <c r="BN57">
        <f>'TEA Revised Non EYZ'!BN57</f>
        <v>19.691039440255501</v>
      </c>
      <c r="BO57">
        <f>'TEA Revised Non EYZ'!BO57</f>
        <v>220.08835171586199</v>
      </c>
      <c r="BP57">
        <f>'TEA Revised Non EYZ'!BP57</f>
        <v>433.20286768562102</v>
      </c>
      <c r="BQ57">
        <f>'TEA Revised Non EYZ'!BQ57</f>
        <v>22.008835171586199</v>
      </c>
      <c r="BR57">
        <f>'TEA Revised Non EYZ'!BR57</f>
        <v>43.320286768562106</v>
      </c>
      <c r="BS57">
        <f>'eLLE Bals'!CF57</f>
        <v>6.6026505514758593</v>
      </c>
      <c r="BT57">
        <f>'eLLE Bals'!CG57</f>
        <v>11.8146236641533</v>
      </c>
      <c r="BU57">
        <f>BM57</f>
        <v>92.358985913147194</v>
      </c>
      <c r="BV57">
        <f>BU57*(AM57*2+AN57*2+AO57*3)</f>
        <v>0.31407992632277415</v>
      </c>
      <c r="BW57">
        <f>BN57*BA57*(AP57*2+AQ57*2+AR57*3)</f>
        <v>0.30043213256236673</v>
      </c>
      <c r="BX57">
        <f>BV57/(2*V57*BL57+BV57)</f>
        <v>0.1248844897276129</v>
      </c>
      <c r="BY57">
        <f>BU57*BX57</f>
        <v>11.534204827523176</v>
      </c>
      <c r="BZ57">
        <f>BW57/(2*BN57*BA57+BW57)</f>
        <v>7.0879369585833463E-2</v>
      </c>
      <c r="CA57">
        <f>2*BN57*BA57/0.04</f>
        <v>98.455197201277514</v>
      </c>
      <c r="CB57">
        <f>(BS57+BL57)*2</f>
        <v>35.214136274537921</v>
      </c>
      <c r="CC57">
        <f>(BU57+BL57)*2</f>
        <v>206.7268069978806</v>
      </c>
      <c r="CD57">
        <f>(BT57+BN57)*2</f>
        <v>63.011326208817607</v>
      </c>
      <c r="CE57">
        <f>(CA57+BN57)*2</f>
        <v>236.29247328306604</v>
      </c>
      <c r="CF57">
        <f>'TEA Revised Non EYZ'!CB57</f>
        <v>2905.1662426493785</v>
      </c>
      <c r="CG57">
        <f>'TEA Revised Non EYZ'!CC57</f>
        <v>5718.2778534501977</v>
      </c>
      <c r="CH57">
        <f>'TEA Revised Non EYZ'!CD57</f>
        <v>3509.9789962792502</v>
      </c>
      <c r="CI57">
        <f>'TEA Revised Non EYZ'!CE57</f>
        <v>44105.585314482967</v>
      </c>
      <c r="CJ57">
        <f>BL57*V57</f>
        <v>1.10044175857931</v>
      </c>
      <c r="CK57">
        <f>CJ57/2*1.2</f>
        <v>0.66026505514758604</v>
      </c>
      <c r="CL57">
        <f>'eLLE Bals'!CB57*'Oxidant Feed Composition'!$N$20</f>
        <v>3.668139195264368E-2</v>
      </c>
      <c r="CM57">
        <f>'eLLE Bals'!CB57*'Oxidant Feed Composition'!$N$21</f>
        <v>1.8340695976321835</v>
      </c>
      <c r="CN57">
        <f>'eLLE Bals'!CB57*'Oxidant Feed Composition'!$N$22</f>
        <v>0.55022087928965502</v>
      </c>
      <c r="CO57">
        <f>CN57/CK57</f>
        <v>0.83333333333333326</v>
      </c>
      <c r="CP57">
        <f>CO57</f>
        <v>0.83333333333333326</v>
      </c>
      <c r="CQ57">
        <f>CL57/CO57</f>
        <v>4.4017670343172423E-2</v>
      </c>
      <c r="CR57">
        <f>CM57/CO57</f>
        <v>2.2008835171586205</v>
      </c>
      <c r="CS57">
        <f>BN57*BA57</f>
        <v>1.9691039440255502</v>
      </c>
      <c r="CT57">
        <f>CS57/2*1.2</f>
        <v>1.1814623664153301</v>
      </c>
      <c r="CU57">
        <f>'eLLE Bals'!CC57*'Oxidant Feed Composition'!$N$20</f>
        <v>6.5636798134185034E-2</v>
      </c>
      <c r="CV57">
        <f>'eLLE Bals'!CC57*'Oxidant Feed Composition'!$N$21</f>
        <v>3.2818399067092505</v>
      </c>
      <c r="CW57">
        <f>'eLLE Bals'!CC57*'Oxidant Feed Composition'!$N$22</f>
        <v>0.98455197201277511</v>
      </c>
      <c r="CX57">
        <f>CU57/CP57</f>
        <v>7.8764157761022052E-2</v>
      </c>
      <c r="CY57">
        <f>CV57/CP57</f>
        <v>3.9382078880511009</v>
      </c>
      <c r="CZ57">
        <f>CJ57</f>
        <v>1.10044175857931</v>
      </c>
      <c r="DA57">
        <f>'eLLE Bals'!BQ57</f>
        <v>2.2008835171586201</v>
      </c>
      <c r="DB57">
        <f>'eLLE Bals'!BU57</f>
        <v>5.5103515063860158</v>
      </c>
      <c r="DC57">
        <f>CS57</f>
        <v>1.9691039440255502</v>
      </c>
      <c r="DD57">
        <f>'eLLE Bals'!BX57</f>
        <v>3.9382078880511004</v>
      </c>
      <c r="DE57">
        <f>'eLLE Bals'!CA57</f>
        <v>21.873747106956458</v>
      </c>
      <c r="DF57">
        <f>2*2*(CJ57*'Reagent cost'!$C$36*122.44/1000*1.5+CK57*'Oxidant Feed Composition'!$N$26+CQ57*'Reagent cost'!$C$34+CR57*'Reagent cost'!$C$35)</f>
        <v>111.98220486343379</v>
      </c>
      <c r="DG57">
        <f>2*2*(CS57*'Reagent cost'!$C$36*122.44/1000*1.5+CT57*'Oxidant Feed Composition'!$N$26+CX57*'Reagent cost'!$C$34+CY57*'Reagent cost'!$C$35)</f>
        <v>200.37825676657346</v>
      </c>
      <c r="DH57">
        <f>(AF57+3)*2*(CZ57*'Reagent cost'!$C$38+DA57*'Reagent cost'!$C$39+DB57*'Reagent cost'!$C$36*122.44/1000*1.5)</f>
        <v>1833.0008535287884</v>
      </c>
      <c r="DI57">
        <f>3*2*(DC57*'Reagent cost'!$C$38+DD57*'Reagent cost'!$C$39+DE57*'Reagent cost'!$C$36*122.44/1000*1.5)</f>
        <v>1754.8896571659002</v>
      </c>
      <c r="DJ57">
        <f>7963.6*(CB57/1000)^0.6*1.7*('CAPEX+OPEX'!$G$116/'CAPEX+OPEX'!$G$115)</f>
        <v>2144.228934815284</v>
      </c>
      <c r="DK57">
        <f>7963.6*(CC57/1000)^0.6*1.7*('CAPEX+OPEX'!$G$116/'CAPEX+OPEX'!$G$115)</f>
        <v>6201.2466571653367</v>
      </c>
      <c r="DL57">
        <f>7963.6*(CD57/1000)^0.6*1.7*('CAPEX+OPEX'!$G$116/'CAPEX+OPEX'!$G$115)</f>
        <v>3040.1296154954202</v>
      </c>
      <c r="DM57">
        <f>7963.6*(CE57/1000)^0.6*1.7*('CAPEX+OPEX'!$G$116/'CAPEX+OPEX'!$G$115)</f>
        <v>6719.0962250785306</v>
      </c>
      <c r="DN57">
        <f>'TEA Revised Non EYZ'!CM57</f>
        <v>39625.826528698344</v>
      </c>
      <c r="DO57">
        <f>'TEA Revised Non EYZ'!CN57</f>
        <v>4586243.4239371875</v>
      </c>
      <c r="DP57">
        <f>'TEA Revised Non EYZ'!CO57</f>
        <v>11794834.586807497</v>
      </c>
      <c r="DQ57">
        <f>'TEA Revised Non EYZ'!CP57</f>
        <v>2275209.1661185985</v>
      </c>
      <c r="DR57">
        <f>'TEA Revised Non EYZ'!CQ57</f>
        <v>14083914.336508472</v>
      </c>
      <c r="DS57">
        <f>'TEA Revised Non EYZ'!CR57</f>
        <v>1662824.8986326549</v>
      </c>
      <c r="DT57">
        <f>'TEA Revised Non EYZ'!CS57</f>
        <v>751295.09040276916</v>
      </c>
      <c r="DU57">
        <f>'TEA Revised Non EYZ'!CT57</f>
        <v>1932169.8606163235</v>
      </c>
      <c r="DV57">
        <f>'TEA Revised Non EYZ'!CU57</f>
        <v>372713.20297186484</v>
      </c>
      <c r="DW57">
        <f>'TEA Revised Non EYZ'!CV57</f>
        <v>2307155.2721002945</v>
      </c>
      <c r="DX57">
        <f>'TEA Revised Non EYZ'!CW57</f>
        <v>272395.52441150707</v>
      </c>
      <c r="DY57">
        <f>'TEA Revised Non EYZ'!CX57</f>
        <v>5635728.9505027588</v>
      </c>
      <c r="DZ57">
        <f>'TEA Revised Non EYZ'!CY57</f>
        <v>755805.48146542325</v>
      </c>
      <c r="EA57">
        <f>'TEA Revised Non EYZ'!CZ57</f>
        <v>1943769.6191961134</v>
      </c>
      <c r="EB57">
        <f>'TEA Revised Non EYZ'!DA57</f>
        <v>374950.78221481753</v>
      </c>
      <c r="EC57">
        <f>'TEA Revised Non EYZ'!DB57</f>
        <v>2321006.2510995818</v>
      </c>
      <c r="ED57">
        <f>'TEA Revised Non EYZ'!DC57</f>
        <v>274030.84767463926</v>
      </c>
      <c r="EE57">
        <f>'TEA Revised Non EYZ'!DD57</f>
        <v>5669562.9816505751</v>
      </c>
      <c r="EF57">
        <v>0.7</v>
      </c>
      <c r="EG57">
        <v>100</v>
      </c>
      <c r="EH57">
        <f>96485*BL57*V57/EF57/EG57/60</f>
        <v>25.280029303934459</v>
      </c>
      <c r="EI57">
        <f>96485*BN57*BA57/EF57/EG57/60</f>
        <v>45.235474771263156</v>
      </c>
      <c r="EJ57">
        <f>EH57*('CAPEX+OPEX'!$O$25+'CAPEX+OPEX'!$O$26)</f>
        <v>805725.09397499904</v>
      </c>
      <c r="EK57">
        <f>EI57*('CAPEX+OPEX'!$O$25+'CAPEX+OPEX'!$O$26)</f>
        <v>1441745.0519096993</v>
      </c>
      <c r="EL57">
        <f>EJ57*1.12/0.6*'CAPEX+OPEX'!$G$116/'CAPEX+OPEX'!$G$115</f>
        <v>1773928.987938937</v>
      </c>
      <c r="EM57">
        <f>EK57*1.12/0.6*'CAPEX+OPEX'!$G$116/'CAPEX+OPEX'!$G$115</f>
        <v>3174225.7501036725</v>
      </c>
      <c r="EN57">
        <f>EL57+EM57+DY57+EE57+1.15*(SUM(DF57:DM57)+SUM(CF57:CI57))</f>
        <v>16343427.225129446</v>
      </c>
      <c r="EO57">
        <f>EN57/15</f>
        <v>1089561.8150086298</v>
      </c>
      <c r="EP57">
        <f>('eLLE Bals'!CB57+'eLLE Bals'!CC57)*'Oxidant Feed Composition'!$N$28*60*7200</f>
        <v>17064141.137014326</v>
      </c>
      <c r="EQ57" s="53">
        <f>('eLLE Bals'!BR57+'eLLE Bals'!BY57)*'Reagent cost'!$C$38*60*7200*1.5</f>
        <v>758164.81640207546</v>
      </c>
      <c r="ER57">
        <f>'TEA Revised Non EYZ'!DI57</f>
        <v>504921.59999999998</v>
      </c>
      <c r="ES57">
        <f>'TEA Revised Non EYZ'!DJ57</f>
        <v>86.234440960995769</v>
      </c>
      <c r="ET57">
        <f>'TEA Revised Non EYZ'!DK57</f>
        <v>952.31128621524431</v>
      </c>
      <c r="EU57">
        <f>1.2*SUM(EP57:ET57)</f>
        <v>21993919.31897229</v>
      </c>
      <c r="EV57">
        <f>'TEA Revised Non EYZ'!DM57</f>
        <v>0.70639694042110623</v>
      </c>
      <c r="EW57">
        <f>(BS57*CO57+BT57*CP57)/1000*('Oxidant Feed Composition'!$B$11*'Oxidant Feed Composition'!$O$20+'Oxidant Feed Composition'!$D$11*'Oxidant Feed Composition'!$O$21+'Oxidant Feed Composition'!$F$11*'Oxidant Feed Composition'!$O$27-'Oxidant Feed Composition'!$J$15*18.015)</f>
        <v>1.7923774144384261</v>
      </c>
      <c r="EX57">
        <f>(CZ57*BX57+DC57*BZ57)*368.34/1000</f>
        <v>0.10202905792462164</v>
      </c>
      <c r="EY57">
        <f>'TEA Revised Non EYZ'!DP57</f>
        <v>4.999938342565946E-2</v>
      </c>
      <c r="EZ57">
        <f>SUM(EV57:EX57)-EY57</f>
        <v>2.5508040293584946</v>
      </c>
      <c r="FA57">
        <f>EZ57*0.33*60*7200</f>
        <v>363642.62242534704</v>
      </c>
      <c r="FB57">
        <f>'TEA Revised Non EYZ'!DS57</f>
        <v>1.2</v>
      </c>
      <c r="FC57">
        <v>0.5</v>
      </c>
      <c r="FD57">
        <f>'TEA Revised Non EYZ'!DT57</f>
        <v>1405.8939209566693</v>
      </c>
      <c r="FE57">
        <f>'TEA Revised Non EYZ'!DU57</f>
        <v>705.85660100448581</v>
      </c>
      <c r="FF57">
        <f>'TEA Revised Non EYZ'!DV57</f>
        <v>0.7</v>
      </c>
      <c r="FG57">
        <f>'TEA Revised Non EYZ'!DW57</f>
        <v>41280.414286181804</v>
      </c>
      <c r="FH57">
        <f>'TEA Revised Non EYZ'!DX57</f>
        <v>37373.489075065132</v>
      </c>
      <c r="FI57">
        <f>'TEA Revised Non EYZ'!DY57</f>
        <v>15823.453035813865</v>
      </c>
      <c r="FJ57">
        <f>'TEA Revised Non EYZ'!DZ57</f>
        <v>8382.1245272768647</v>
      </c>
      <c r="FK57">
        <f>'TEA Revised Non EYZ'!EA57</f>
        <v>8439.174952434063</v>
      </c>
      <c r="FL57">
        <f>'TEA Revised Non EYZ'!EB57</f>
        <v>850.28464339459367</v>
      </c>
      <c r="FM57">
        <f>'TEA Revised Non EYZ'!EC57</f>
        <v>41142.622397535211</v>
      </c>
      <c r="FN57">
        <f>'TEA Revised Non EYZ'!ED57</f>
        <v>38794.601226061888</v>
      </c>
      <c r="FO57">
        <f>'TEA Revised Non EYZ'!EE57</f>
        <v>16425.133583614912</v>
      </c>
      <c r="FP57">
        <f>'TEA Revised Non EYZ'!EF57</f>
        <v>8705.6940898004505</v>
      </c>
      <c r="FQ57">
        <f>'TEA Revised Non EYZ'!EG57</f>
        <v>8760.071244594621</v>
      </c>
      <c r="FR57">
        <f>'TEA Revised Non EYZ'!EH57</f>
        <v>426.90207228751308</v>
      </c>
      <c r="FS57">
        <f>'TEA Revised Non EYZ'!EI57</f>
        <v>226403.96513406091</v>
      </c>
      <c r="FT57">
        <f>EG57*EH57</f>
        <v>2528.0029303934457</v>
      </c>
      <c r="FU57">
        <f>EG57*EI57</f>
        <v>4523.5474771263152</v>
      </c>
      <c r="FV57">
        <f>FC57*(FT57+FU57)/(3.6*10^6)*3600*7200*0.07</f>
        <v>1776.9907026949797</v>
      </c>
      <c r="FW57">
        <f>('CAPEX+OPEX'!$C$39/7/100+0.03)*EL57</f>
        <v>91230.633665431043</v>
      </c>
      <c r="FX57">
        <f>('CAPEX+OPEX'!$C$39/7/100+0.03)*EM57</f>
        <v>163245.89571961743</v>
      </c>
      <c r="FY57">
        <f>SUM(FV57:FX57)</f>
        <v>256253.52008774347</v>
      </c>
      <c r="FZ57">
        <f>FY57+FA57+FS57+EU57</f>
        <v>22840219.42661944</v>
      </c>
      <c r="GA57">
        <f>FZ57+EO57</f>
        <v>23929781.241628069</v>
      </c>
      <c r="GB57">
        <f>GA57/(BK57*60*7200)</f>
        <v>0.55393012133398312</v>
      </c>
      <c r="GC57">
        <f>'TEA Revised Non EYZ'!EM57/'TEA Revised Non EYZ'!EK57*GA57</f>
        <v>1853.1672882650914</v>
      </c>
      <c r="GD57">
        <f>'TEA Revised Non EYZ'!EN57/'TEA Revised Non EYZ'!EK57*GA57</f>
        <v>3400.7436962073293</v>
      </c>
    </row>
    <row r="58" spans="1:186">
      <c r="A58">
        <f>'TEA Revised Non EYZ'!A58</f>
        <v>8</v>
      </c>
      <c r="B58">
        <f>'TEA Revised Non EYZ'!B58</f>
        <v>1.54143585092054E-3</v>
      </c>
      <c r="C58">
        <f>'TEA Revised Non EYZ'!C58</f>
        <v>1.54143585092054E-3</v>
      </c>
      <c r="D58">
        <f>'TEA Revised Non EYZ'!D58</f>
        <v>3.4254130020456501E-4</v>
      </c>
      <c r="E58">
        <f>'TEA Revised Non EYZ'!E58</f>
        <v>0</v>
      </c>
      <c r="F58">
        <f>'TEA Revised Non EYZ'!F58</f>
        <v>0</v>
      </c>
      <c r="G58">
        <f>'TEA Revised Non EYZ'!G58</f>
        <v>0</v>
      </c>
      <c r="H58">
        <f>'TEA Revised Non EYZ'!H58</f>
        <v>1.7762434284205799E-5</v>
      </c>
      <c r="I58">
        <f>'TEA Revised Non EYZ'!I58</f>
        <v>4.4591984978445998E-9</v>
      </c>
      <c r="J58">
        <f>'TEA Revised Non EYZ'!J58</f>
        <v>3.37570976171142E-4</v>
      </c>
      <c r="K58">
        <f>'TEA Revised Non EYZ'!K58</f>
        <v>0.13846015972746001</v>
      </c>
      <c r="L58">
        <f>'TEA Revised Non EYZ'!L58</f>
        <v>0.14007387303476199</v>
      </c>
      <c r="M58">
        <f>'TEA Revised Non EYZ'!M58</f>
        <v>4.5166625081916902E-4</v>
      </c>
      <c r="N58">
        <f>'TEA Revised Non EYZ'!N58</f>
        <v>-2.6107588313450902E-16</v>
      </c>
      <c r="O58">
        <f>'TEA Revised Non EYZ'!O58</f>
        <v>-1.18524981496115E-14</v>
      </c>
      <c r="P58">
        <f>'TEA Revised Non EYZ'!P58</f>
        <v>-2.5241581828178102E-19</v>
      </c>
      <c r="Q58">
        <f>'TEA Revised Non EYZ'!Q58</f>
        <v>0.110044175857931</v>
      </c>
      <c r="R58">
        <f>'TEA Revised Non EYZ'!R58</f>
        <v>98.548985471108097</v>
      </c>
      <c r="S58">
        <f>'TEA Revised Non EYZ'!S58</f>
        <v>500</v>
      </c>
      <c r="T58">
        <f>'TEA Revised Non EYZ'!T58</f>
        <v>95</v>
      </c>
      <c r="U58">
        <f>'TEA Revised Non EYZ'!U58</f>
        <v>1</v>
      </c>
      <c r="V58">
        <f>'TEA Revised Non EYZ'!V58</f>
        <v>0.1</v>
      </c>
      <c r="W58">
        <f>'TEA Revised Non EYZ'!W58</f>
        <v>90.872596591664205</v>
      </c>
      <c r="X58" t="str">
        <f>'TEA Revised Non EYZ'!X58</f>
        <v>ddFc</v>
      </c>
      <c r="Y58">
        <f>'TEA Revised Non EYZ'!Y58</f>
        <v>1</v>
      </c>
      <c r="Z58">
        <f>'TEA Revised Non EYZ'!Z58</f>
        <v>0.28318429382522198</v>
      </c>
      <c r="AA58">
        <f>'TEA Revised Non EYZ'!AA58</f>
        <v>0.56945642916197003</v>
      </c>
      <c r="AB58">
        <f>'TEA Revised Non EYZ'!AB58</f>
        <v>3.7698628972227502E-3</v>
      </c>
      <c r="AC58">
        <f>'TEA Revised Non EYZ'!AC58</f>
        <v>1822.2107908876901</v>
      </c>
      <c r="AD58">
        <f>'TEA Revised Non EYZ'!AD58</f>
        <v>2662.6059073104898</v>
      </c>
      <c r="AE58">
        <f>'TEA Revised Non EYZ'!AE58</f>
        <v>2401.5030938442701</v>
      </c>
      <c r="AF58">
        <f>'TEA Revised Non EYZ'!AF58</f>
        <v>10</v>
      </c>
      <c r="AG58">
        <f>'TEA Revised Non EYZ'!AG58</f>
        <v>1.6497294784823999E-3</v>
      </c>
      <c r="AH58">
        <f>'TEA Revised Non EYZ'!AH58</f>
        <v>1.66895660069658E-3</v>
      </c>
      <c r="AI58">
        <f>'TEA Revised Non EYZ'!AI58</f>
        <v>5.38152729188446E-6</v>
      </c>
      <c r="AJ58">
        <f>'TEA Revised Non EYZ'!AJ58</f>
        <v>0</v>
      </c>
      <c r="AK58">
        <f>'TEA Revised Non EYZ'!AK58</f>
        <v>0</v>
      </c>
      <c r="AL58">
        <f>'TEA Revised Non EYZ'!AL58</f>
        <v>0</v>
      </c>
      <c r="AM58">
        <f>'TEA Revised Non EYZ'!AM58</f>
        <v>1.61277705008137E-3</v>
      </c>
      <c r="AN58">
        <f>'TEA Revised Non EYZ'!AN58</f>
        <v>7.9536872122754404E-5</v>
      </c>
      <c r="AO58">
        <f>'TEA Revised Non EYZ'!AO58</f>
        <v>5.3461305122899801E-6</v>
      </c>
      <c r="AP58">
        <f>'TEA Revised Non EYZ'!AP58</f>
        <v>1.73336444614092E-3</v>
      </c>
      <c r="AQ58">
        <f>'TEA Revised Non EYZ'!AQ58</f>
        <v>7.4556497867205695E-2</v>
      </c>
      <c r="AR58">
        <f>'TEA Revised Non EYZ'!AR58</f>
        <v>1.6603920749814E-6</v>
      </c>
      <c r="AS58">
        <f>'TEA Revised Non EYZ'!AS58</f>
        <v>6.41926968395281E-15</v>
      </c>
      <c r="AT58">
        <f>'TEA Revised Non EYZ'!AT58</f>
        <v>-6.6401007955962902E-13</v>
      </c>
      <c r="AU58">
        <f>'TEA Revised Non EYZ'!AU58</f>
        <v>6.1661351582152895E-20</v>
      </c>
      <c r="AV58">
        <f>'TEA Revised Non EYZ'!AV58</f>
        <v>0.19689389736263299</v>
      </c>
      <c r="AW58">
        <f>'TEA Revised Non EYZ'!AW58</f>
        <v>99.342254016850205</v>
      </c>
      <c r="AX58">
        <f>'TEA Revised Non EYZ'!AX58</f>
        <v>499.99999999999898</v>
      </c>
      <c r="AY58">
        <f>'TEA Revised Non EYZ'!AY58</f>
        <v>95</v>
      </c>
      <c r="AZ58">
        <f>'TEA Revised Non EYZ'!AZ58</f>
        <v>0.92358985913147196</v>
      </c>
      <c r="BA58">
        <f>'TEA Revised Non EYZ'!BA58</f>
        <v>0.1</v>
      </c>
      <c r="BB58">
        <f>'TEA Revised Non EYZ'!BB58</f>
        <v>46.907998241836403</v>
      </c>
      <c r="BC58" t="str">
        <f>'TEA Revised Non EYZ'!BC58</f>
        <v>coeFc</v>
      </c>
      <c r="BD58">
        <f>'TEA Revised Non EYZ'!BD58</f>
        <v>1</v>
      </c>
      <c r="BE58">
        <f>'TEA Revised Non EYZ'!BE58</f>
        <v>1.8775014999999999E-2</v>
      </c>
      <c r="BF58">
        <f>'TEA Revised Non EYZ'!BF58</f>
        <v>0.10492961100000001</v>
      </c>
      <c r="BG58">
        <f>'TEA Revised Non EYZ'!BG58</f>
        <v>1.814625E-3</v>
      </c>
      <c r="BH58">
        <f>'TEA Revised Non EYZ'!BH58</f>
        <v>285.1951444</v>
      </c>
      <c r="BI58">
        <f>'TEA Revised Non EYZ'!BI58</f>
        <v>2169.8944889999998</v>
      </c>
      <c r="BJ58">
        <f>'TEA Revised Non EYZ'!BJ58</f>
        <v>866.49409060000005</v>
      </c>
      <c r="BK58">
        <f>'TEA Revised Non EYZ'!BK58</f>
        <v>100</v>
      </c>
      <c r="BL58">
        <f>'TEA Revised Non EYZ'!BL58</f>
        <v>11.004417585793099</v>
      </c>
      <c r="BM58">
        <f>'TEA Revised Non EYZ'!BM58</f>
        <v>92.358985913147194</v>
      </c>
      <c r="BN58">
        <f>'TEA Revised Non EYZ'!BN58</f>
        <v>19.689389736263298</v>
      </c>
      <c r="BO58">
        <f>'TEA Revised Non EYZ'!BO58</f>
        <v>220.08835171586199</v>
      </c>
      <c r="BP58">
        <f>'TEA Revised Non EYZ'!BP58</f>
        <v>472.54535367031917</v>
      </c>
      <c r="BQ58">
        <f>'TEA Revised Non EYZ'!BQ58</f>
        <v>22.008835171586199</v>
      </c>
      <c r="BR58">
        <f>'TEA Revised Non EYZ'!BR58</f>
        <v>47.25453536703192</v>
      </c>
      <c r="BS58">
        <f>'eLLE Bals'!CF58</f>
        <v>6.6026505514758593</v>
      </c>
      <c r="BT58">
        <f>'eLLE Bals'!CG58</f>
        <v>11.813633841757978</v>
      </c>
      <c r="BU58">
        <f>BM58</f>
        <v>92.358985913147194</v>
      </c>
      <c r="BV58">
        <f>BU58*(AM58*2+AN58*2+AO58*3)</f>
        <v>0.31408208498097057</v>
      </c>
      <c r="BW58">
        <f>BN58*BA58*(AP58*2+AQ58*2+AR58*3)</f>
        <v>0.3004299740346732</v>
      </c>
      <c r="BX58">
        <f>BV58/(2*V58*BL58+BV58)</f>
        <v>0.12488524086125363</v>
      </c>
      <c r="BY58">
        <f>BU58*BX58</f>
        <v>11.534274201464518</v>
      </c>
      <c r="BZ58">
        <f>BW58/(2*BN58*BA58+BW58)</f>
        <v>7.0884414161069567E-2</v>
      </c>
      <c r="CA58">
        <f>2*BN58*BA58/0.04</f>
        <v>98.446948681316485</v>
      </c>
      <c r="CB58">
        <f>(BS58+BL58)*2</f>
        <v>35.214136274537921</v>
      </c>
      <c r="CC58">
        <f>(BU58+BL58)*2</f>
        <v>206.7268069978806</v>
      </c>
      <c r="CD58">
        <f>(BT58+BN58)*2</f>
        <v>63.006047156042555</v>
      </c>
      <c r="CE58">
        <f>(CA58+BN58)*2</f>
        <v>236.27267683515956</v>
      </c>
      <c r="CF58">
        <f>'TEA Revised Non EYZ'!CB58</f>
        <v>2905.1662426493785</v>
      </c>
      <c r="CG58">
        <f>'TEA Revised Non EYZ'!CC58</f>
        <v>6237.5986684482132</v>
      </c>
      <c r="CH58">
        <f>'TEA Revised Non EYZ'!CD58</f>
        <v>3509.9789962792502</v>
      </c>
      <c r="CI58">
        <f>'TEA Revised Non EYZ'!CE58</f>
        <v>48111.152916914485</v>
      </c>
      <c r="CJ58">
        <f>BL58*V58</f>
        <v>1.10044175857931</v>
      </c>
      <c r="CK58">
        <f>CJ58/2*1.2</f>
        <v>0.66026505514758604</v>
      </c>
      <c r="CL58">
        <f>'eLLE Bals'!CB58*'Oxidant Feed Composition'!$N$20</f>
        <v>3.668139195264368E-2</v>
      </c>
      <c r="CM58">
        <f>'eLLE Bals'!CB58*'Oxidant Feed Composition'!$N$21</f>
        <v>1.8340695976321835</v>
      </c>
      <c r="CN58">
        <f>'eLLE Bals'!CB58*'Oxidant Feed Composition'!$N$22</f>
        <v>0.55022087928965502</v>
      </c>
      <c r="CO58">
        <f>CN58/CK58</f>
        <v>0.83333333333333326</v>
      </c>
      <c r="CP58">
        <f>CO58</f>
        <v>0.83333333333333326</v>
      </c>
      <c r="CQ58">
        <f>CL58/CO58</f>
        <v>4.4017670343172423E-2</v>
      </c>
      <c r="CR58">
        <f>CM58/CO58</f>
        <v>2.2008835171586205</v>
      </c>
      <c r="CS58">
        <f>BN58*BA58</f>
        <v>1.9689389736263299</v>
      </c>
      <c r="CT58">
        <f>CS58/2*1.2</f>
        <v>1.1813633841757978</v>
      </c>
      <c r="CU58">
        <f>'eLLE Bals'!CC58*'Oxidant Feed Composition'!$N$20</f>
        <v>6.5631299120877687E-2</v>
      </c>
      <c r="CV58">
        <f>'eLLE Bals'!CC58*'Oxidant Feed Composition'!$N$21</f>
        <v>3.2815649560438831</v>
      </c>
      <c r="CW58">
        <f>'eLLE Bals'!CC58*'Oxidant Feed Composition'!$N$22</f>
        <v>0.98446948681316493</v>
      </c>
      <c r="CX58">
        <f>CU58/CP58</f>
        <v>7.8757558945053235E-2</v>
      </c>
      <c r="CY58">
        <f>CV58/CP58</f>
        <v>3.9378779472526602</v>
      </c>
      <c r="CZ58">
        <f>CJ58</f>
        <v>1.10044175857931</v>
      </c>
      <c r="DA58">
        <f>'eLLE Bals'!BQ58</f>
        <v>2.2008835171586201</v>
      </c>
      <c r="DB58">
        <f>'eLLE Bals'!BU58</f>
        <v>5.5102985086689795</v>
      </c>
      <c r="DC58">
        <f>CS58</f>
        <v>1.9689389736263299</v>
      </c>
      <c r="DD58">
        <f>'eLLE Bals'!BX58</f>
        <v>3.9378779472526597</v>
      </c>
      <c r="DE58">
        <f>'eLLE Bals'!CA58</f>
        <v>21.869937629879374</v>
      </c>
      <c r="DF58">
        <f>2*2*(CJ58*'Reagent cost'!$C$36*122.44/1000*1.5+CK58*'Oxidant Feed Composition'!$N$26+CQ58*'Reagent cost'!$C$34+CR58*'Reagent cost'!$C$35)</f>
        <v>111.98220486343379</v>
      </c>
      <c r="DG58">
        <f>2*2*(CS58*'Reagent cost'!$C$36*122.44/1000*1.5+CT58*'Oxidant Feed Composition'!$N$26+CX58*'Reagent cost'!$C$34+CY58*'Reagent cost'!$C$35)</f>
        <v>200.36146919113128</v>
      </c>
      <c r="DH58">
        <f>(AF58+3)*2*(CZ58*'Reagent cost'!$C$38+DA58*'Reagent cost'!$C$39+DB58*'Reagent cost'!$C$36*122.44/1000*1.5)</f>
        <v>1985.7330526706949</v>
      </c>
      <c r="DI58">
        <f>3*2*(DC58*'Reagent cost'!$C$38+DD58*'Reagent cost'!$C$39+DE58*'Reagent cost'!$C$36*122.44/1000*1.5)</f>
        <v>1754.5887897863679</v>
      </c>
      <c r="DJ58">
        <f>7963.6*(CB58/1000)^0.6*1.7*('CAPEX+OPEX'!$G$116/'CAPEX+OPEX'!$G$115)</f>
        <v>2144.228934815284</v>
      </c>
      <c r="DK58">
        <f>7963.6*(CC58/1000)^0.6*1.7*('CAPEX+OPEX'!$G$116/'CAPEX+OPEX'!$G$115)</f>
        <v>6201.2466571653367</v>
      </c>
      <c r="DL58">
        <f>7963.6*(CD58/1000)^0.6*1.7*('CAPEX+OPEX'!$G$116/'CAPEX+OPEX'!$G$115)</f>
        <v>3039.9767927452131</v>
      </c>
      <c r="DM58">
        <f>7963.6*(CE58/1000)^0.6*1.7*('CAPEX+OPEX'!$G$116/'CAPEX+OPEX'!$G$115)</f>
        <v>6718.758466201808</v>
      </c>
      <c r="DN58">
        <f>'TEA Revised Non EYZ'!CM58</f>
        <v>39625.826528698344</v>
      </c>
      <c r="DO58">
        <f>'TEA Revised Non EYZ'!CN58</f>
        <v>4586243.4239371875</v>
      </c>
      <c r="DP58">
        <f>'TEA Revised Non EYZ'!CO58</f>
        <v>11794834.586807497</v>
      </c>
      <c r="DQ58">
        <f>'TEA Revised Non EYZ'!CP58</f>
        <v>2275209.1661185985</v>
      </c>
      <c r="DR58">
        <f>'TEA Revised Non EYZ'!CQ58</f>
        <v>14083914.336508472</v>
      </c>
      <c r="DS58">
        <f>'TEA Revised Non EYZ'!CR58</f>
        <v>1662824.8986326549</v>
      </c>
      <c r="DT58">
        <f>'TEA Revised Non EYZ'!CS58</f>
        <v>751295.09040276916</v>
      </c>
      <c r="DU58">
        <f>'TEA Revised Non EYZ'!CT58</f>
        <v>1932169.8606163235</v>
      </c>
      <c r="DV58">
        <f>'TEA Revised Non EYZ'!CU58</f>
        <v>372713.20297186484</v>
      </c>
      <c r="DW58">
        <f>'TEA Revised Non EYZ'!CV58</f>
        <v>2307155.2721002945</v>
      </c>
      <c r="DX58">
        <f>'TEA Revised Non EYZ'!CW58</f>
        <v>272395.52441150707</v>
      </c>
      <c r="DY58">
        <f>'TEA Revised Non EYZ'!CX58</f>
        <v>5635728.9505027588</v>
      </c>
      <c r="DZ58">
        <f>'TEA Revised Non EYZ'!CY58</f>
        <v>800286.7903035864</v>
      </c>
      <c r="EA58">
        <f>'TEA Revised Non EYZ'!CZ58</f>
        <v>2058166.0067084958</v>
      </c>
      <c r="EB58">
        <f>'TEA Revised Non EYZ'!DA58</f>
        <v>397017.70545341435</v>
      </c>
      <c r="EC58">
        <f>'TEA Revised Non EYZ'!DB58</f>
        <v>2457604.0906260884</v>
      </c>
      <c r="ED58">
        <f>'TEA Revised Non EYZ'!DC58</f>
        <v>290158.34484886675</v>
      </c>
      <c r="EE58">
        <f>'TEA Revised Non EYZ'!DD58</f>
        <v>6003232.9379404513</v>
      </c>
      <c r="EF58">
        <v>0.7</v>
      </c>
      <c r="EG58">
        <v>100</v>
      </c>
      <c r="EH58">
        <f>96485*BL58*V58/EF58/EG58/60</f>
        <v>25.280029303934459</v>
      </c>
      <c r="EI58">
        <f>96485*BN58*BA58/EF58/EG58/60</f>
        <v>45.23168496912772</v>
      </c>
      <c r="EJ58">
        <f>EH58*('CAPEX+OPEX'!$O$25+'CAPEX+OPEX'!$O$26)</f>
        <v>805725.09397499904</v>
      </c>
      <c r="EK58">
        <f>EI58*('CAPEX+OPEX'!$O$25+'CAPEX+OPEX'!$O$26)</f>
        <v>1441624.2633360387</v>
      </c>
      <c r="EL58">
        <f>EJ58*1.12/0.6*'CAPEX+OPEX'!$G$116/'CAPEX+OPEX'!$G$115</f>
        <v>1773928.987938937</v>
      </c>
      <c r="EM58">
        <f>EK58*1.12/0.6*'CAPEX+OPEX'!$G$116/'CAPEX+OPEX'!$G$115</f>
        <v>3173959.8152906322</v>
      </c>
      <c r="EN58">
        <f>EL58+EM58+DY58+EE58+1.15*(SUM(DF58:DM58)+SUM(CF58:CI58))</f>
        <v>16682209.58084327</v>
      </c>
      <c r="EO58">
        <f>EN58/15</f>
        <v>1112147.3053895512</v>
      </c>
      <c r="EP58">
        <f>('eLLE Bals'!CB58+'eLLE Bals'!CC58)*'Oxidant Feed Composition'!$N$28*60*7200</f>
        <v>17063224.037727173</v>
      </c>
      <c r="EQ58" s="53">
        <f>('eLLE Bals'!BR58+'eLLE Bals'!BY58)*'Reagent cost'!$C$38*60*7200*1.5</f>
        <v>758162.26007680874</v>
      </c>
      <c r="ER58">
        <f>'TEA Revised Non EYZ'!DI58</f>
        <v>504921.59999999998</v>
      </c>
      <c r="ES58">
        <f>'TEA Revised Non EYZ'!DJ58</f>
        <v>91.427649110975906</v>
      </c>
      <c r="ET58">
        <f>'TEA Revised Non EYZ'!DK58</f>
        <v>1032.4226382638747</v>
      </c>
      <c r="EU58">
        <f>1.2*SUM(EP58:ET58)</f>
        <v>21992918.09770963</v>
      </c>
      <c r="EV58">
        <f>'TEA Revised Non EYZ'!DM58</f>
        <v>0.70639694042110623</v>
      </c>
      <c r="EW58">
        <f>(BS58*CO58+BT58*CP58)/1000*('Oxidant Feed Composition'!$B$11*'Oxidant Feed Composition'!$O$20+'Oxidant Feed Composition'!$D$11*'Oxidant Feed Composition'!$O$21+'Oxidant Feed Composition'!$F$11*'Oxidant Feed Composition'!$O$27-'Oxidant Feed Composition'!$J$15*18.015)</f>
        <v>1.7922810844774935</v>
      </c>
      <c r="EX58">
        <f>(CZ58*BX58+DC58*BZ58)*368.34/1000</f>
        <v>0.10202871391042702</v>
      </c>
      <c r="EY58">
        <f>'TEA Revised Non EYZ'!DP58</f>
        <v>4.999938342565946E-2</v>
      </c>
      <c r="EZ58">
        <f>SUM(EV58:EX58)-EY58</f>
        <v>2.5507073553833672</v>
      </c>
      <c r="FA58">
        <f>EZ58*0.33*60*7200</f>
        <v>363628.8405834529</v>
      </c>
      <c r="FB58">
        <f>'TEA Revised Non EYZ'!DS58</f>
        <v>1.2</v>
      </c>
      <c r="FC58">
        <v>0.5</v>
      </c>
      <c r="FD58">
        <f>'TEA Revised Non EYZ'!DT58</f>
        <v>1405.9035889466509</v>
      </c>
      <c r="FE58">
        <f>'TEA Revised Non EYZ'!DU58</f>
        <v>705.84693331136953</v>
      </c>
      <c r="FF58">
        <f>'TEA Revised Non EYZ'!DV58</f>
        <v>0.7</v>
      </c>
      <c r="FG58">
        <f>'TEA Revised Non EYZ'!DW58</f>
        <v>41280.414286181804</v>
      </c>
      <c r="FH58">
        <f>'TEA Revised Non EYZ'!DX58</f>
        <v>37373.489075065132</v>
      </c>
      <c r="FI58">
        <f>'TEA Revised Non EYZ'!DY58</f>
        <v>15823.453035813865</v>
      </c>
      <c r="FJ58">
        <f>'TEA Revised Non EYZ'!DZ58</f>
        <v>8382.1245272768647</v>
      </c>
      <c r="FK58">
        <f>'TEA Revised Non EYZ'!EA58</f>
        <v>8439.174952434063</v>
      </c>
      <c r="FL58">
        <f>'TEA Revised Non EYZ'!EB58</f>
        <v>850.29049059493457</v>
      </c>
      <c r="FM58">
        <f>'TEA Revised Non EYZ'!EC58</f>
        <v>43714.036297381164</v>
      </c>
      <c r="FN58">
        <f>'TEA Revised Non EYZ'!ED58</f>
        <v>42674.061348668067</v>
      </c>
      <c r="FO58">
        <f>'TEA Revised Non EYZ'!EE58</f>
        <v>18067.6469419764</v>
      </c>
      <c r="FP58">
        <f>'TEA Revised Non EYZ'!EF58</f>
        <v>9576.263498780494</v>
      </c>
      <c r="FQ58">
        <f>'TEA Revised Non EYZ'!EG58</f>
        <v>9636.0783690540829</v>
      </c>
      <c r="FR58">
        <f>'TEA Revised Non EYZ'!EH58</f>
        <v>426.89622526671633</v>
      </c>
      <c r="FS58">
        <f>'TEA Revised Non EYZ'!EI58</f>
        <v>236243.92904849356</v>
      </c>
      <c r="FT58">
        <f>EG58*EH58</f>
        <v>2528.0029303934457</v>
      </c>
      <c r="FU58">
        <f>EG58*EI58</f>
        <v>4523.1684969127718</v>
      </c>
      <c r="FV58">
        <f>FC58*(FT58+FU58)/(3.6*10^6)*3600*7200*0.07</f>
        <v>1776.8951996811668</v>
      </c>
      <c r="FW58">
        <f>('CAPEX+OPEX'!$C$39/7/100+0.03)*EL58</f>
        <v>91230.633665431043</v>
      </c>
      <c r="FX58">
        <f>('CAPEX+OPEX'!$C$39/7/100+0.03)*EM58</f>
        <v>163232.21907208965</v>
      </c>
      <c r="FY58">
        <f>SUM(FV58:FX58)</f>
        <v>256239.74793720187</v>
      </c>
      <c r="FZ58">
        <f>FY58+FA58+FS58+EU58</f>
        <v>22849030.615278777</v>
      </c>
      <c r="GA58">
        <f>FZ58+EO58</f>
        <v>23961177.920668326</v>
      </c>
      <c r="GB58">
        <f>GA58/(BK58*60*7200)</f>
        <v>0.55465689631176684</v>
      </c>
      <c r="GC58">
        <f>'TEA Revised Non EYZ'!EM58/'TEA Revised Non EYZ'!EK58*GA58</f>
        <v>1855.5859377720503</v>
      </c>
      <c r="GD58">
        <f>'TEA Revised Non EYZ'!EN58/'TEA Revised Non EYZ'!EK58*GA58</f>
        <v>3405.2485845484948</v>
      </c>
    </row>
    <row r="59" spans="1:186">
      <c r="A59">
        <f>'TEA Revised Non EYZ'!A59</f>
        <v>8</v>
      </c>
      <c r="B59">
        <f>'TEA Revised Non EYZ'!B59</f>
        <v>1.54143585092054E-3</v>
      </c>
      <c r="C59">
        <f>'TEA Revised Non EYZ'!C59</f>
        <v>1.54143585092054E-3</v>
      </c>
      <c r="D59">
        <f>'TEA Revised Non EYZ'!D59</f>
        <v>3.4254130020456501E-4</v>
      </c>
      <c r="E59">
        <f>'TEA Revised Non EYZ'!E59</f>
        <v>0</v>
      </c>
      <c r="F59">
        <f>'TEA Revised Non EYZ'!F59</f>
        <v>0</v>
      </c>
      <c r="G59">
        <f>'TEA Revised Non EYZ'!G59</f>
        <v>0</v>
      </c>
      <c r="H59">
        <f>'TEA Revised Non EYZ'!H59</f>
        <v>1.7762434284205799E-5</v>
      </c>
      <c r="I59">
        <f>'TEA Revised Non EYZ'!I59</f>
        <v>4.4591984978445998E-9</v>
      </c>
      <c r="J59">
        <f>'TEA Revised Non EYZ'!J59</f>
        <v>3.37570976171142E-4</v>
      </c>
      <c r="K59">
        <f>'TEA Revised Non EYZ'!K59</f>
        <v>0.13846015972746001</v>
      </c>
      <c r="L59">
        <f>'TEA Revised Non EYZ'!L59</f>
        <v>0.14007387303476199</v>
      </c>
      <c r="M59">
        <f>'TEA Revised Non EYZ'!M59</f>
        <v>4.5166625081916902E-4</v>
      </c>
      <c r="N59">
        <f>'TEA Revised Non EYZ'!N59</f>
        <v>-2.6107588313450902E-16</v>
      </c>
      <c r="O59">
        <f>'TEA Revised Non EYZ'!O59</f>
        <v>-1.18524981496115E-14</v>
      </c>
      <c r="P59">
        <f>'TEA Revised Non EYZ'!P59</f>
        <v>-2.5241581828178102E-19</v>
      </c>
      <c r="Q59">
        <f>'TEA Revised Non EYZ'!Q59</f>
        <v>0.110044175857931</v>
      </c>
      <c r="R59">
        <f>'TEA Revised Non EYZ'!R59</f>
        <v>98.548985471108097</v>
      </c>
      <c r="S59">
        <f>'TEA Revised Non EYZ'!S59</f>
        <v>500</v>
      </c>
      <c r="T59">
        <f>'TEA Revised Non EYZ'!T59</f>
        <v>95</v>
      </c>
      <c r="U59">
        <f>'TEA Revised Non EYZ'!U59</f>
        <v>1</v>
      </c>
      <c r="V59">
        <f>'TEA Revised Non EYZ'!V59</f>
        <v>0.1</v>
      </c>
      <c r="W59">
        <f>'TEA Revised Non EYZ'!W59</f>
        <v>90.872596591664205</v>
      </c>
      <c r="X59" t="str">
        <f>'TEA Revised Non EYZ'!X59</f>
        <v>ddFc</v>
      </c>
      <c r="Y59">
        <f>'TEA Revised Non EYZ'!Y59</f>
        <v>1</v>
      </c>
      <c r="Z59">
        <f>'TEA Revised Non EYZ'!Z59</f>
        <v>0.28318429382522198</v>
      </c>
      <c r="AA59">
        <f>'TEA Revised Non EYZ'!AA59</f>
        <v>0.56945642916197003</v>
      </c>
      <c r="AB59">
        <f>'TEA Revised Non EYZ'!AB59</f>
        <v>3.7698628972227502E-3</v>
      </c>
      <c r="AC59">
        <f>'TEA Revised Non EYZ'!AC59</f>
        <v>1822.2107908876901</v>
      </c>
      <c r="AD59">
        <f>'TEA Revised Non EYZ'!AD59</f>
        <v>2662.6059073104898</v>
      </c>
      <c r="AE59">
        <f>'TEA Revised Non EYZ'!AE59</f>
        <v>2401.5030938442701</v>
      </c>
      <c r="AF59">
        <f>'TEA Revised Non EYZ'!AF59</f>
        <v>11</v>
      </c>
      <c r="AG59">
        <f>'TEA Revised Non EYZ'!AG59</f>
        <v>1.6497294784823999E-3</v>
      </c>
      <c r="AH59">
        <f>'TEA Revised Non EYZ'!AH59</f>
        <v>1.66895660069658E-3</v>
      </c>
      <c r="AI59">
        <f>'TEA Revised Non EYZ'!AI59</f>
        <v>5.38152729188446E-6</v>
      </c>
      <c r="AJ59">
        <f>'TEA Revised Non EYZ'!AJ59</f>
        <v>0</v>
      </c>
      <c r="AK59">
        <f>'TEA Revised Non EYZ'!AK59</f>
        <v>0</v>
      </c>
      <c r="AL59">
        <f>'TEA Revised Non EYZ'!AL59</f>
        <v>0</v>
      </c>
      <c r="AM59">
        <f>'TEA Revised Non EYZ'!AM59</f>
        <v>1.6127801705222199E-3</v>
      </c>
      <c r="AN59">
        <f>'TEA Revised Non EYZ'!AN59</f>
        <v>7.9537033492425895E-5</v>
      </c>
      <c r="AO59">
        <f>'TEA Revised Non EYZ'!AO59</f>
        <v>5.3461333771461197E-6</v>
      </c>
      <c r="AP59">
        <f>'TEA Revised Non EYZ'!AP59</f>
        <v>1.73325890938514E-3</v>
      </c>
      <c r="AQ59">
        <f>'TEA Revised Non EYZ'!AQ59</f>
        <v>7.4558246913040901E-2</v>
      </c>
      <c r="AR59">
        <f>'TEA Revised Non EYZ'!AR59</f>
        <v>1.6602968079419499E-6</v>
      </c>
      <c r="AS59">
        <f>'TEA Revised Non EYZ'!AS59</f>
        <v>2.06541869111204E-15</v>
      </c>
      <c r="AT59">
        <f>'TEA Revised Non EYZ'!AT59</f>
        <v>-2.05823422541606E-13</v>
      </c>
      <c r="AU59">
        <f>'TEA Revised Non EYZ'!AU59</f>
        <v>1.5676726969104899E-20</v>
      </c>
      <c r="AV59">
        <f>'TEA Revised Non EYZ'!AV59</f>
        <v>0.19688925842004401</v>
      </c>
      <c r="AW59">
        <f>'TEA Revised Non EYZ'!AW59</f>
        <v>99.342307251851594</v>
      </c>
      <c r="AX59">
        <f>'TEA Revised Non EYZ'!AX59</f>
        <v>499.99999999999898</v>
      </c>
      <c r="AY59">
        <f>'TEA Revised Non EYZ'!AY59</f>
        <v>95</v>
      </c>
      <c r="AZ59">
        <f>'TEA Revised Non EYZ'!AZ59</f>
        <v>0.92358985913147196</v>
      </c>
      <c r="BA59">
        <f>'TEA Revised Non EYZ'!BA59</f>
        <v>0.1</v>
      </c>
      <c r="BB59">
        <f>'TEA Revised Non EYZ'!BB59</f>
        <v>46.909103449467104</v>
      </c>
      <c r="BC59" t="str">
        <f>'TEA Revised Non EYZ'!BC59</f>
        <v>coeFc</v>
      </c>
      <c r="BD59">
        <f>'TEA Revised Non EYZ'!BD59</f>
        <v>1</v>
      </c>
      <c r="BE59">
        <f>'TEA Revised Non EYZ'!BE59</f>
        <v>1.8775014999999999E-2</v>
      </c>
      <c r="BF59">
        <f>'TEA Revised Non EYZ'!BF59</f>
        <v>0.10492961100000001</v>
      </c>
      <c r="BG59">
        <f>'TEA Revised Non EYZ'!BG59</f>
        <v>1.814625E-3</v>
      </c>
      <c r="BH59">
        <f>'TEA Revised Non EYZ'!BH59</f>
        <v>285.1951444</v>
      </c>
      <c r="BI59">
        <f>'TEA Revised Non EYZ'!BI59</f>
        <v>2169.8944889999998</v>
      </c>
      <c r="BJ59">
        <f>'TEA Revised Non EYZ'!BJ59</f>
        <v>866.49409060000005</v>
      </c>
      <c r="BK59">
        <f>'TEA Revised Non EYZ'!BK59</f>
        <v>100</v>
      </c>
      <c r="BL59">
        <f>'TEA Revised Non EYZ'!BL59</f>
        <v>11.004417585793099</v>
      </c>
      <c r="BM59">
        <f>'TEA Revised Non EYZ'!BM59</f>
        <v>92.358985913147194</v>
      </c>
      <c r="BN59">
        <f>'TEA Revised Non EYZ'!BN59</f>
        <v>19.688925842004402</v>
      </c>
      <c r="BO59">
        <f>'TEA Revised Non EYZ'!BO59</f>
        <v>220.08835171586199</v>
      </c>
      <c r="BP59">
        <f>'TEA Revised Non EYZ'!BP59</f>
        <v>511.91207189211445</v>
      </c>
      <c r="BQ59">
        <f>'TEA Revised Non EYZ'!BQ59</f>
        <v>22.008835171586199</v>
      </c>
      <c r="BR59">
        <f>'TEA Revised Non EYZ'!BR59</f>
        <v>51.191207189211447</v>
      </c>
      <c r="BS59">
        <f>'eLLE Bals'!CF59</f>
        <v>6.6026505514758593</v>
      </c>
      <c r="BT59">
        <f>'eLLE Bals'!CG59</f>
        <v>11.81335550520264</v>
      </c>
      <c r="BU59">
        <f>BM59</f>
        <v>92.358985913147194</v>
      </c>
      <c r="BV59">
        <f>BU59*(AM59*2+AN59*2+AO59*3)</f>
        <v>0.31408269198413957</v>
      </c>
      <c r="BW59">
        <f>BN59*BA59*(AP59*2+AQ59*2+AR59*3)</f>
        <v>0.30042936694073691</v>
      </c>
      <c r="BX59">
        <f>BV59/(2*V59*BL59+BV59)</f>
        <v>0.12488545207579405</v>
      </c>
      <c r="BY59">
        <f>BU59*BX59</f>
        <v>11.534293709025281</v>
      </c>
      <c r="BZ59">
        <f>BW59/(2*BN59*BA59+BW59)</f>
        <v>7.0885832804242668E-2</v>
      </c>
      <c r="CA59">
        <f>2*BN59*BA59/0.04</f>
        <v>98.444629210022015</v>
      </c>
      <c r="CB59">
        <f>(BS59+BL59)*2</f>
        <v>35.214136274537921</v>
      </c>
      <c r="CC59">
        <f>(BU59+BL59)*2</f>
        <v>206.7268069978806</v>
      </c>
      <c r="CD59">
        <f>(BT59+BN59)*2</f>
        <v>63.004562694414084</v>
      </c>
      <c r="CE59">
        <f>(CA59+BN59)*2</f>
        <v>236.26711010405285</v>
      </c>
      <c r="CF59">
        <f>'TEA Revised Non EYZ'!CB59</f>
        <v>2905.1662426493785</v>
      </c>
      <c r="CG59">
        <f>'TEA Revised Non EYZ'!CC59</f>
        <v>6757.2393489759106</v>
      </c>
      <c r="CH59">
        <f>'TEA Revised Non EYZ'!CD59</f>
        <v>3509.9789962792502</v>
      </c>
      <c r="CI59">
        <f>'TEA Revised Non EYZ'!CE59</f>
        <v>52119.187670605555</v>
      </c>
      <c r="CJ59">
        <f>BL59*V59</f>
        <v>1.10044175857931</v>
      </c>
      <c r="CK59">
        <f>CJ59/2*1.2</f>
        <v>0.66026505514758604</v>
      </c>
      <c r="CL59">
        <f>'eLLE Bals'!CB59*'Oxidant Feed Composition'!$N$20</f>
        <v>3.668139195264368E-2</v>
      </c>
      <c r="CM59">
        <f>'eLLE Bals'!CB59*'Oxidant Feed Composition'!$N$21</f>
        <v>1.8340695976321835</v>
      </c>
      <c r="CN59">
        <f>'eLLE Bals'!CB59*'Oxidant Feed Composition'!$N$22</f>
        <v>0.55022087928965502</v>
      </c>
      <c r="CO59">
        <f>CN59/CK59</f>
        <v>0.83333333333333326</v>
      </c>
      <c r="CP59">
        <f>CO59</f>
        <v>0.83333333333333326</v>
      </c>
      <c r="CQ59">
        <f>CL59/CO59</f>
        <v>4.4017670343172423E-2</v>
      </c>
      <c r="CR59">
        <f>CM59/CO59</f>
        <v>2.2008835171586205</v>
      </c>
      <c r="CS59">
        <f>BN59*BA59</f>
        <v>1.9688925842004403</v>
      </c>
      <c r="CT59">
        <f>CS59/2*1.2</f>
        <v>1.1813355505202641</v>
      </c>
      <c r="CU59">
        <f>'eLLE Bals'!CC59*'Oxidant Feed Composition'!$N$20</f>
        <v>6.5629752806681374E-2</v>
      </c>
      <c r="CV59">
        <f>'eLLE Bals'!CC59*'Oxidant Feed Composition'!$N$21</f>
        <v>3.2814876403340674</v>
      </c>
      <c r="CW59">
        <f>'eLLE Bals'!CC59*'Oxidant Feed Composition'!$N$22</f>
        <v>0.98444629210022017</v>
      </c>
      <c r="CX59">
        <f>CU59/CP59</f>
        <v>7.8755703368017654E-2</v>
      </c>
      <c r="CY59">
        <f>CV59/CP59</f>
        <v>3.9377851684008811</v>
      </c>
      <c r="CZ59">
        <f>CJ59</f>
        <v>1.10044175857931</v>
      </c>
      <c r="DA59">
        <f>'eLLE Bals'!BQ59</f>
        <v>2.2008835171586201</v>
      </c>
      <c r="DB59">
        <f>'eLLE Bals'!BU59</f>
        <v>5.5102836052317166</v>
      </c>
      <c r="DC59">
        <f>CS59</f>
        <v>1.9688925842004403</v>
      </c>
      <c r="DD59">
        <f>'eLLE Bals'!BX59</f>
        <v>3.9377851684008807</v>
      </c>
      <c r="DE59">
        <f>'eLLE Bals'!CA59</f>
        <v>21.868866475505691</v>
      </c>
      <c r="DF59">
        <f>2*2*(CJ59*'Reagent cost'!$C$36*122.44/1000*1.5+CK59*'Oxidant Feed Composition'!$N$26+CQ59*'Reagent cost'!$C$34+CR59*'Reagent cost'!$C$35)</f>
        <v>111.98220486343379</v>
      </c>
      <c r="DG59">
        <f>2*2*(CS59*'Reagent cost'!$C$36*122.44/1000*1.5+CT59*'Oxidant Feed Composition'!$N$26+CX59*'Reagent cost'!$C$34+CY59*'Reagent cost'!$C$35)</f>
        <v>200.35674855039497</v>
      </c>
      <c r="DH59">
        <f>(AF59+3)*2*(CZ59*'Reagent cost'!$C$38+DA59*'Reagent cost'!$C$39+DB59*'Reagent cost'!$C$36*122.44/1000*1.5)</f>
        <v>2138.4763366688258</v>
      </c>
      <c r="DI59">
        <f>3*2*(DC59*'Reagent cost'!$C$38+DD59*'Reagent cost'!$C$39+DE59*'Reagent cost'!$C$36*122.44/1000*1.5)</f>
        <v>1754.5041913785353</v>
      </c>
      <c r="DJ59">
        <f>7963.6*(CB59/1000)^0.6*1.7*('CAPEX+OPEX'!$G$116/'CAPEX+OPEX'!$G$115)</f>
        <v>2144.228934815284</v>
      </c>
      <c r="DK59">
        <f>7963.6*(CC59/1000)^0.6*1.7*('CAPEX+OPEX'!$G$116/'CAPEX+OPEX'!$G$115)</f>
        <v>6201.2466571653367</v>
      </c>
      <c r="DL59">
        <f>7963.6*(CD59/1000)^0.6*1.7*('CAPEX+OPEX'!$G$116/'CAPEX+OPEX'!$G$115)</f>
        <v>3039.9338182971837</v>
      </c>
      <c r="DM59">
        <f>7963.6*(CE59/1000)^0.6*1.7*('CAPEX+OPEX'!$G$116/'CAPEX+OPEX'!$G$115)</f>
        <v>6718.6634868791989</v>
      </c>
      <c r="DN59">
        <f>'TEA Revised Non EYZ'!CM59</f>
        <v>39625.826528698344</v>
      </c>
      <c r="DO59">
        <f>'TEA Revised Non EYZ'!CN59</f>
        <v>4586243.4239371875</v>
      </c>
      <c r="DP59">
        <f>'TEA Revised Non EYZ'!CO59</f>
        <v>11794834.586807497</v>
      </c>
      <c r="DQ59">
        <f>'TEA Revised Non EYZ'!CP59</f>
        <v>2275209.1661185985</v>
      </c>
      <c r="DR59">
        <f>'TEA Revised Non EYZ'!CQ59</f>
        <v>14083914.336508472</v>
      </c>
      <c r="DS59">
        <f>'TEA Revised Non EYZ'!CR59</f>
        <v>1662824.8986326549</v>
      </c>
      <c r="DT59">
        <f>'TEA Revised Non EYZ'!CS59</f>
        <v>751295.09040276916</v>
      </c>
      <c r="DU59">
        <f>'TEA Revised Non EYZ'!CT59</f>
        <v>1932169.8606163235</v>
      </c>
      <c r="DV59">
        <f>'TEA Revised Non EYZ'!CU59</f>
        <v>372713.20297186484</v>
      </c>
      <c r="DW59">
        <f>'TEA Revised Non EYZ'!CV59</f>
        <v>2307155.2721002945</v>
      </c>
      <c r="DX59">
        <f>'TEA Revised Non EYZ'!CW59</f>
        <v>272395.52441150707</v>
      </c>
      <c r="DY59">
        <f>'TEA Revised Non EYZ'!CX59</f>
        <v>5635728.9505027588</v>
      </c>
      <c r="DZ59">
        <f>'TEA Revised Non EYZ'!CY59</f>
        <v>843177.06502963789</v>
      </c>
      <c r="EA59">
        <f>'TEA Revised Non EYZ'!CZ59</f>
        <v>2168470.5956747346</v>
      </c>
      <c r="EB59">
        <f>'TEA Revised Non EYZ'!DA59</f>
        <v>418295.32575693569</v>
      </c>
      <c r="EC59">
        <f>'TEA Revised Non EYZ'!DB59</f>
        <v>2589316.0167655097</v>
      </c>
      <c r="ED59">
        <f>'TEA Revised Non EYZ'!DC59</f>
        <v>305708.98403897922</v>
      </c>
      <c r="EE59">
        <f>'TEA Revised Non EYZ'!DD59</f>
        <v>6324967.9872657973</v>
      </c>
      <c r="EF59">
        <v>0.7</v>
      </c>
      <c r="EG59">
        <v>100</v>
      </c>
      <c r="EH59">
        <f>96485*BL59*V59/EF59/EG59/60</f>
        <v>25.280029303934459</v>
      </c>
      <c r="EI59">
        <f>96485*BN59*BA59/EF59/EG59/60</f>
        <v>45.23061928251893</v>
      </c>
      <c r="EJ59">
        <f>EH59*('CAPEX+OPEX'!$O$25+'CAPEX+OPEX'!$O$26)</f>
        <v>805725.09397499904</v>
      </c>
      <c r="EK59">
        <f>EI59*('CAPEX+OPEX'!$O$25+'CAPEX+OPEX'!$O$26)</f>
        <v>1441590.2977724434</v>
      </c>
      <c r="EL59">
        <f>EJ59*1.12/0.6*'CAPEX+OPEX'!$G$116/'CAPEX+OPEX'!$G$115</f>
        <v>1773928.987938937</v>
      </c>
      <c r="EM59">
        <f>EK59*1.12/0.6*'CAPEX+OPEX'!$G$116/'CAPEX+OPEX'!$G$115</f>
        <v>3173885.0348248086</v>
      </c>
      <c r="EN59">
        <f>EL59+EM59+DY59+EE59+1.15*(SUM(DF59:DM59)+SUM(CF59:CI59))</f>
        <v>17009252.069865</v>
      </c>
      <c r="EO59">
        <f>EN59/15</f>
        <v>1133950.137991</v>
      </c>
      <c r="EP59">
        <f>('eLLE Bals'!CB59+'eLLE Bals'!CC59)*'Oxidant Feed Composition'!$N$28*60*7200</f>
        <v>17062966.150799487</v>
      </c>
      <c r="EQ59" s="53">
        <f>('eLLE Bals'!BR59+'eLLE Bals'!BY59)*'Reagent cost'!$C$38*60*7200*1.5</f>
        <v>758161.541038653</v>
      </c>
      <c r="ER59">
        <f>'TEA Revised Non EYZ'!DI59</f>
        <v>504921.59999999998</v>
      </c>
      <c r="ES59">
        <f>'TEA Revised Non EYZ'!DJ59</f>
        <v>96.6240559162529</v>
      </c>
      <c r="ET59">
        <f>'TEA Revised Non EYZ'!DK59</f>
        <v>1112.5833333376961</v>
      </c>
      <c r="EU59">
        <f>1.2*SUM(EP59:ET59)</f>
        <v>21992710.199072875</v>
      </c>
      <c r="EV59">
        <f>'TEA Revised Non EYZ'!DM59</f>
        <v>0.70639694042110623</v>
      </c>
      <c r="EW59">
        <f>(BS59*CO59+BT59*CP59)/1000*('Oxidant Feed Composition'!$B$11*'Oxidant Feed Composition'!$O$20+'Oxidant Feed Composition'!$D$11*'Oxidant Feed Composition'!$O$21+'Oxidant Feed Composition'!$F$11*'Oxidant Feed Composition'!$O$27-'Oxidant Feed Composition'!$J$15*18.015)</f>
        <v>1.7922539966386763</v>
      </c>
      <c r="EX59">
        <f>(CZ59*BX59+DC59*BZ59)*368.34/1000</f>
        <v>0.10202861714678929</v>
      </c>
      <c r="EY59">
        <f>'TEA Revised Non EYZ'!DP59</f>
        <v>4.999938342565946E-2</v>
      </c>
      <c r="EZ59">
        <f>SUM(EV59:EX59)-EY59</f>
        <v>2.5506801707809128</v>
      </c>
      <c r="FA59">
        <f>EZ59*0.33*60*7200</f>
        <v>363624.96514652693</v>
      </c>
      <c r="FB59">
        <f>'TEA Revised Non EYZ'!DS59</f>
        <v>1.2</v>
      </c>
      <c r="FC59">
        <v>0.5</v>
      </c>
      <c r="FD59">
        <f>'TEA Revised Non EYZ'!DT59</f>
        <v>1405.9063075371266</v>
      </c>
      <c r="FE59">
        <f>'TEA Revised Non EYZ'!DU59</f>
        <v>705.84421451437709</v>
      </c>
      <c r="FF59">
        <f>'TEA Revised Non EYZ'!DV59</f>
        <v>0.7</v>
      </c>
      <c r="FG59">
        <f>'TEA Revised Non EYZ'!DW59</f>
        <v>41280.414286181804</v>
      </c>
      <c r="FH59">
        <f>'TEA Revised Non EYZ'!DX59</f>
        <v>37373.489075065132</v>
      </c>
      <c r="FI59">
        <f>'TEA Revised Non EYZ'!DY59</f>
        <v>15823.453035813865</v>
      </c>
      <c r="FJ59">
        <f>'TEA Revised Non EYZ'!DZ59</f>
        <v>8382.1245272768647</v>
      </c>
      <c r="FK59">
        <f>'TEA Revised Non EYZ'!EA59</f>
        <v>8439.174952434063</v>
      </c>
      <c r="FL59">
        <f>'TEA Revised Non EYZ'!EB59</f>
        <v>850.29213479845407</v>
      </c>
      <c r="FM59">
        <f>'TEA Revised Non EYZ'!EC59</f>
        <v>46285.450197227117</v>
      </c>
      <c r="FN59">
        <f>'TEA Revised Non EYZ'!ED59</f>
        <v>46553.52147127426</v>
      </c>
      <c r="FO59">
        <f>'TEA Revised Non EYZ'!EE59</f>
        <v>19710.160300337891</v>
      </c>
      <c r="FP59">
        <f>'TEA Revised Non EYZ'!EF59</f>
        <v>10446.832907760539</v>
      </c>
      <c r="FQ59">
        <f>'TEA Revised Non EYZ'!EG59</f>
        <v>10512.085493513545</v>
      </c>
      <c r="FR59">
        <f>'TEA Revised Non EYZ'!EH59</f>
        <v>426.89458093829529</v>
      </c>
      <c r="FS59">
        <f>'TEA Revised Non EYZ'!EI59</f>
        <v>246083.89296262185</v>
      </c>
      <c r="FT59">
        <f>EG59*EH59</f>
        <v>2528.0029303934457</v>
      </c>
      <c r="FU59">
        <f>EG59*EI59</f>
        <v>4523.0619282518928</v>
      </c>
      <c r="FV59">
        <f>FC59*(FT59+FU59)/(3.6*10^6)*3600*7200*0.07</f>
        <v>1776.8683443786256</v>
      </c>
      <c r="FW59">
        <f>('CAPEX+OPEX'!$C$39/7/100+0.03)*EL59</f>
        <v>91230.633665431043</v>
      </c>
      <c r="FX59">
        <f>('CAPEX+OPEX'!$C$39/7/100+0.03)*EM59</f>
        <v>163228.37321956159</v>
      </c>
      <c r="FY59">
        <f>SUM(FV59:FX59)</f>
        <v>256235.87522937125</v>
      </c>
      <c r="FZ59">
        <f>FY59+FA59+FS59+EU59</f>
        <v>22858654.932411395</v>
      </c>
      <c r="GA59">
        <f>FZ59+EO59</f>
        <v>23992605.070402395</v>
      </c>
      <c r="GB59">
        <f>GA59/(BK59*60*7200)</f>
        <v>0.55538437662968509</v>
      </c>
      <c r="GC59">
        <f>'TEA Revised Non EYZ'!EM59/'TEA Revised Non EYZ'!EK59*GA59</f>
        <v>1858.0161035508145</v>
      </c>
      <c r="GD59">
        <f>'TEA Revised Non EYZ'!EN59/'TEA Revised Non EYZ'!EK59*GA59</f>
        <v>3409.7269698206164</v>
      </c>
    </row>
    <row r="60" spans="1:186">
      <c r="A60">
        <f>'TEA Revised Non EYZ'!A60</f>
        <v>8</v>
      </c>
      <c r="B60">
        <f>'TEA Revised Non EYZ'!B60</f>
        <v>1.54143585092054E-3</v>
      </c>
      <c r="C60">
        <f>'TEA Revised Non EYZ'!C60</f>
        <v>1.54143585092054E-3</v>
      </c>
      <c r="D60">
        <f>'TEA Revised Non EYZ'!D60</f>
        <v>3.4254130020456501E-4</v>
      </c>
      <c r="E60">
        <f>'TEA Revised Non EYZ'!E60</f>
        <v>0</v>
      </c>
      <c r="F60">
        <f>'TEA Revised Non EYZ'!F60</f>
        <v>0</v>
      </c>
      <c r="G60">
        <f>'TEA Revised Non EYZ'!G60</f>
        <v>0</v>
      </c>
      <c r="H60">
        <f>'TEA Revised Non EYZ'!H60</f>
        <v>1.7762434284205799E-5</v>
      </c>
      <c r="I60">
        <f>'TEA Revised Non EYZ'!I60</f>
        <v>4.4591984978445998E-9</v>
      </c>
      <c r="J60">
        <f>'TEA Revised Non EYZ'!J60</f>
        <v>3.37570976171142E-4</v>
      </c>
      <c r="K60">
        <f>'TEA Revised Non EYZ'!K60</f>
        <v>0.13846015972746001</v>
      </c>
      <c r="L60">
        <f>'TEA Revised Non EYZ'!L60</f>
        <v>0.14007387303476199</v>
      </c>
      <c r="M60">
        <f>'TEA Revised Non EYZ'!M60</f>
        <v>4.5166625081916902E-4</v>
      </c>
      <c r="N60">
        <f>'TEA Revised Non EYZ'!N60</f>
        <v>-2.6107588313450902E-16</v>
      </c>
      <c r="O60">
        <f>'TEA Revised Non EYZ'!O60</f>
        <v>-1.18524981496115E-14</v>
      </c>
      <c r="P60">
        <f>'TEA Revised Non EYZ'!P60</f>
        <v>-2.5241581828178102E-19</v>
      </c>
      <c r="Q60">
        <f>'TEA Revised Non EYZ'!Q60</f>
        <v>0.110044175857931</v>
      </c>
      <c r="R60">
        <f>'TEA Revised Non EYZ'!R60</f>
        <v>98.548985471108097</v>
      </c>
      <c r="S60">
        <f>'TEA Revised Non EYZ'!S60</f>
        <v>500</v>
      </c>
      <c r="T60">
        <f>'TEA Revised Non EYZ'!T60</f>
        <v>95</v>
      </c>
      <c r="U60">
        <f>'TEA Revised Non EYZ'!U60</f>
        <v>1</v>
      </c>
      <c r="V60">
        <f>'TEA Revised Non EYZ'!V60</f>
        <v>0.1</v>
      </c>
      <c r="W60">
        <f>'TEA Revised Non EYZ'!W60</f>
        <v>90.872596591664205</v>
      </c>
      <c r="X60" t="str">
        <f>'TEA Revised Non EYZ'!X60</f>
        <v>ddFc</v>
      </c>
      <c r="Y60">
        <f>'TEA Revised Non EYZ'!Y60</f>
        <v>1</v>
      </c>
      <c r="Z60">
        <f>'TEA Revised Non EYZ'!Z60</f>
        <v>0.28318429382522198</v>
      </c>
      <c r="AA60">
        <f>'TEA Revised Non EYZ'!AA60</f>
        <v>0.56945642916197003</v>
      </c>
      <c r="AB60">
        <f>'TEA Revised Non EYZ'!AB60</f>
        <v>3.7698628972227502E-3</v>
      </c>
      <c r="AC60">
        <f>'TEA Revised Non EYZ'!AC60</f>
        <v>1822.2107908876901</v>
      </c>
      <c r="AD60">
        <f>'TEA Revised Non EYZ'!AD60</f>
        <v>2662.6059073104898</v>
      </c>
      <c r="AE60">
        <f>'TEA Revised Non EYZ'!AE60</f>
        <v>2401.5030938442701</v>
      </c>
      <c r="AF60">
        <f>'TEA Revised Non EYZ'!AF60</f>
        <v>12</v>
      </c>
      <c r="AG60">
        <f>'TEA Revised Non EYZ'!AG60</f>
        <v>1.6497294784823999E-3</v>
      </c>
      <c r="AH60">
        <f>'TEA Revised Non EYZ'!AH60</f>
        <v>1.66895660069658E-3</v>
      </c>
      <c r="AI60">
        <f>'TEA Revised Non EYZ'!AI60</f>
        <v>5.38152729188446E-6</v>
      </c>
      <c r="AJ60">
        <f>'TEA Revised Non EYZ'!AJ60</f>
        <v>0</v>
      </c>
      <c r="AK60">
        <f>'TEA Revised Non EYZ'!AK60</f>
        <v>0</v>
      </c>
      <c r="AL60">
        <f>'TEA Revised Non EYZ'!AL60</f>
        <v>0</v>
      </c>
      <c r="AM60">
        <f>'TEA Revised Non EYZ'!AM60</f>
        <v>1.61278104761876E-3</v>
      </c>
      <c r="AN60">
        <f>'TEA Revised Non EYZ'!AN60</f>
        <v>7.9537078850164199E-5</v>
      </c>
      <c r="AO60">
        <f>'TEA Revised Non EYZ'!AO60</f>
        <v>5.3461341824022602E-6</v>
      </c>
      <c r="AP60">
        <f>'TEA Revised Non EYZ'!AP60</f>
        <v>1.7332292441623099E-3</v>
      </c>
      <c r="AQ60">
        <f>'TEA Revised Non EYZ'!AQ60</f>
        <v>7.4558738550610695E-2</v>
      </c>
      <c r="AR60">
        <f>'TEA Revised Non EYZ'!AR60</f>
        <v>1.6602700294237901E-6</v>
      </c>
      <c r="AS60">
        <f>'TEA Revised Non EYZ'!AS60</f>
        <v>4.1856302495160702E-16</v>
      </c>
      <c r="AT60">
        <f>'TEA Revised Non EYZ'!AT60</f>
        <v>-4.1007778769919203E-14</v>
      </c>
      <c r="AU60">
        <f>'TEA Revised Non EYZ'!AU60</f>
        <v>-1.18452263717593E-21</v>
      </c>
      <c r="AV60">
        <f>'TEA Revised Non EYZ'!AV60</f>
        <v>0.19688795449878599</v>
      </c>
      <c r="AW60">
        <f>'TEA Revised Non EYZ'!AW60</f>
        <v>99.342322215190194</v>
      </c>
      <c r="AX60">
        <f>'TEA Revised Non EYZ'!AX60</f>
        <v>499.99999999999898</v>
      </c>
      <c r="AY60">
        <f>'TEA Revised Non EYZ'!AY60</f>
        <v>95</v>
      </c>
      <c r="AZ60">
        <f>'TEA Revised Non EYZ'!AZ60</f>
        <v>0.92358985913147196</v>
      </c>
      <c r="BA60">
        <f>'TEA Revised Non EYZ'!BA60</f>
        <v>0.1</v>
      </c>
      <c r="BB60">
        <f>'TEA Revised Non EYZ'!BB60</f>
        <v>46.909414112337899</v>
      </c>
      <c r="BC60" t="str">
        <f>'TEA Revised Non EYZ'!BC60</f>
        <v>coeFc</v>
      </c>
      <c r="BD60">
        <f>'TEA Revised Non EYZ'!BD60</f>
        <v>1</v>
      </c>
      <c r="BE60">
        <f>'TEA Revised Non EYZ'!BE60</f>
        <v>1.8775014999999999E-2</v>
      </c>
      <c r="BF60">
        <f>'TEA Revised Non EYZ'!BF60</f>
        <v>0.10492961100000001</v>
      </c>
      <c r="BG60">
        <f>'TEA Revised Non EYZ'!BG60</f>
        <v>1.814625E-3</v>
      </c>
      <c r="BH60">
        <f>'TEA Revised Non EYZ'!BH60</f>
        <v>285.1951444</v>
      </c>
      <c r="BI60">
        <f>'TEA Revised Non EYZ'!BI60</f>
        <v>2169.8944889999998</v>
      </c>
      <c r="BJ60">
        <f>'TEA Revised Non EYZ'!BJ60</f>
        <v>866.49409060000005</v>
      </c>
      <c r="BK60">
        <f>'TEA Revised Non EYZ'!BK60</f>
        <v>100</v>
      </c>
      <c r="BL60">
        <f>'TEA Revised Non EYZ'!BL60</f>
        <v>11.004417585793099</v>
      </c>
      <c r="BM60">
        <f>'TEA Revised Non EYZ'!BM60</f>
        <v>92.358985913147194</v>
      </c>
      <c r="BN60">
        <f>'TEA Revised Non EYZ'!BN60</f>
        <v>19.688795449878597</v>
      </c>
      <c r="BO60">
        <f>'TEA Revised Non EYZ'!BO60</f>
        <v>220.08835171586199</v>
      </c>
      <c r="BP60">
        <f>'TEA Revised Non EYZ'!BP60</f>
        <v>551.28627259660072</v>
      </c>
      <c r="BQ60">
        <f>'TEA Revised Non EYZ'!BQ60</f>
        <v>22.008835171586199</v>
      </c>
      <c r="BR60">
        <f>'TEA Revised Non EYZ'!BR60</f>
        <v>55.128627259660078</v>
      </c>
      <c r="BS60">
        <f>'eLLE Bals'!CF60</f>
        <v>6.6026505514758593</v>
      </c>
      <c r="BT60">
        <f>'eLLE Bals'!CG60</f>
        <v>11.813277269927157</v>
      </c>
      <c r="BU60">
        <f>BM60</f>
        <v>92.358985913147194</v>
      </c>
      <c r="BV60">
        <f>BU60*(AM60*2+AN60*2+AO60*3)</f>
        <v>0.31408286260114093</v>
      </c>
      <c r="BW60">
        <f>BN60*BA60*(AP60*2+AQ60*2+AR60*3)</f>
        <v>0.30042919629110248</v>
      </c>
      <c r="BX60">
        <f>BV60/(2*V60*BL60+BV60)</f>
        <v>0.12488551144415033</v>
      </c>
      <c r="BY60">
        <f>BU60*BX60</f>
        <v>11.534299192226463</v>
      </c>
      <c r="BZ60">
        <f>BW60/(2*BN60*BA60+BW60)</f>
        <v>7.0886231568473665E-2</v>
      </c>
      <c r="CA60">
        <f>2*BN60*BA60/0.04</f>
        <v>98.443977249392987</v>
      </c>
      <c r="CB60">
        <f>(BS60+BL60)*2</f>
        <v>35.214136274537921</v>
      </c>
      <c r="CC60">
        <f>(BU60+BL60)*2</f>
        <v>206.7268069978806</v>
      </c>
      <c r="CD60">
        <f>(BT60+BN60)*2</f>
        <v>63.004145439611506</v>
      </c>
      <c r="CE60">
        <f>(CA60+BN60)*2</f>
        <v>236.26554539854317</v>
      </c>
      <c r="CF60">
        <f>'TEA Revised Non EYZ'!CB60</f>
        <v>2905.1662426493785</v>
      </c>
      <c r="CG60">
        <f>'TEA Revised Non EYZ'!CC60</f>
        <v>7276.9787982751304</v>
      </c>
      <c r="CH60">
        <f>'TEA Revised Non EYZ'!CD60</f>
        <v>3509.9789962792502</v>
      </c>
      <c r="CI60">
        <f>'TEA Revised Non EYZ'!CE60</f>
        <v>56127.984236609766</v>
      </c>
      <c r="CJ60">
        <f>BL60*V60</f>
        <v>1.10044175857931</v>
      </c>
      <c r="CK60">
        <f>CJ60/2*1.2</f>
        <v>0.66026505514758604</v>
      </c>
      <c r="CL60">
        <f>'eLLE Bals'!CB60*'Oxidant Feed Composition'!$N$20</f>
        <v>3.668139195264368E-2</v>
      </c>
      <c r="CM60">
        <f>'eLLE Bals'!CB60*'Oxidant Feed Composition'!$N$21</f>
        <v>1.8340695976321835</v>
      </c>
      <c r="CN60">
        <f>'eLLE Bals'!CB60*'Oxidant Feed Composition'!$N$22</f>
        <v>0.55022087928965502</v>
      </c>
      <c r="CO60">
        <f>CN60/CK60</f>
        <v>0.83333333333333326</v>
      </c>
      <c r="CP60">
        <f>CO60</f>
        <v>0.83333333333333326</v>
      </c>
      <c r="CQ60">
        <f>CL60/CO60</f>
        <v>4.4017670343172423E-2</v>
      </c>
      <c r="CR60">
        <f>CM60/CO60</f>
        <v>2.2008835171586205</v>
      </c>
      <c r="CS60">
        <f>BN60*BA60</f>
        <v>1.9688795449878598</v>
      </c>
      <c r="CT60">
        <f>CS60/2*1.2</f>
        <v>1.1813277269927158</v>
      </c>
      <c r="CU60">
        <f>'eLLE Bals'!CC60*'Oxidant Feed Composition'!$N$20</f>
        <v>6.5629318166262024E-2</v>
      </c>
      <c r="CV60">
        <f>'eLLE Bals'!CC60*'Oxidant Feed Composition'!$N$21</f>
        <v>3.2814659083130997</v>
      </c>
      <c r="CW60">
        <f>'eLLE Bals'!CC60*'Oxidant Feed Composition'!$N$22</f>
        <v>0.98443977249392989</v>
      </c>
      <c r="CX60">
        <f>CU60/CP60</f>
        <v>7.8755181799514434E-2</v>
      </c>
      <c r="CY60">
        <f>CV60/CP60</f>
        <v>3.93775908997572</v>
      </c>
      <c r="CZ60">
        <f>CJ60</f>
        <v>1.10044175857931</v>
      </c>
      <c r="DA60">
        <f>'eLLE Bals'!BQ60</f>
        <v>2.2008835171586201</v>
      </c>
      <c r="DB60">
        <f>'eLLE Bals'!BU60</f>
        <v>5.5102794161205306</v>
      </c>
      <c r="DC60">
        <f>CS60</f>
        <v>1.9688795449878598</v>
      </c>
      <c r="DD60">
        <f>'eLLE Bals'!BX60</f>
        <v>3.9377590899757196</v>
      </c>
      <c r="DE60">
        <f>'eLLE Bals'!CA60</f>
        <v>21.86856539864328</v>
      </c>
      <c r="DF60">
        <f>2*2*(CJ60*'Reagent cost'!$C$36*122.44/1000*1.5+CK60*'Oxidant Feed Composition'!$N$26+CQ60*'Reagent cost'!$C$34+CR60*'Reagent cost'!$C$35)</f>
        <v>111.98220486343379</v>
      </c>
      <c r="DG60">
        <f>2*2*(CS60*'Reagent cost'!$C$36*122.44/1000*1.5+CT60*'Oxidant Feed Composition'!$N$26+CX60*'Reagent cost'!$C$34+CY60*'Reagent cost'!$C$35)</f>
        <v>200.35542166529356</v>
      </c>
      <c r="DH60">
        <f>(AF60+3)*2*(CZ60*'Reagent cost'!$C$38+DA60*'Reagent cost'!$C$39+DB60*'Reagent cost'!$C$36*122.44/1000*1.5)</f>
        <v>2291.2230164390257</v>
      </c>
      <c r="DI60">
        <f>3*2*(DC60*'Reagent cost'!$C$38+DD60*'Reagent cost'!$C$39+DE60*'Reagent cost'!$C$36*122.44/1000*1.5)</f>
        <v>1754.4804127058374</v>
      </c>
      <c r="DJ60">
        <f>7963.6*(CB60/1000)^0.6*1.7*('CAPEX+OPEX'!$G$116/'CAPEX+OPEX'!$G$115)</f>
        <v>2144.228934815284</v>
      </c>
      <c r="DK60">
        <f>7963.6*(CC60/1000)^0.6*1.7*('CAPEX+OPEX'!$G$116/'CAPEX+OPEX'!$G$115)</f>
        <v>6201.2466571653367</v>
      </c>
      <c r="DL60">
        <f>7963.6*(CD60/1000)^0.6*1.7*('CAPEX+OPEX'!$G$116/'CAPEX+OPEX'!$G$115)</f>
        <v>3039.9217388990178</v>
      </c>
      <c r="DM60">
        <f>7963.6*(CE60/1000)^0.6*1.7*('CAPEX+OPEX'!$G$116/'CAPEX+OPEX'!$G$115)</f>
        <v>6718.6367897810824</v>
      </c>
      <c r="DN60">
        <f>'TEA Revised Non EYZ'!CM60</f>
        <v>39625.826528698344</v>
      </c>
      <c r="DO60">
        <f>'TEA Revised Non EYZ'!CN60</f>
        <v>4586243.4239371875</v>
      </c>
      <c r="DP60">
        <f>'TEA Revised Non EYZ'!CO60</f>
        <v>11794834.586807497</v>
      </c>
      <c r="DQ60">
        <f>'TEA Revised Non EYZ'!CP60</f>
        <v>2275209.1661185985</v>
      </c>
      <c r="DR60">
        <f>'TEA Revised Non EYZ'!CQ60</f>
        <v>14083914.336508472</v>
      </c>
      <c r="DS60">
        <f>'TEA Revised Non EYZ'!CR60</f>
        <v>1662824.8986326549</v>
      </c>
      <c r="DT60">
        <f>'TEA Revised Non EYZ'!CS60</f>
        <v>751295.09040276916</v>
      </c>
      <c r="DU60">
        <f>'TEA Revised Non EYZ'!CT60</f>
        <v>1932169.8606163235</v>
      </c>
      <c r="DV60">
        <f>'TEA Revised Non EYZ'!CU60</f>
        <v>372713.20297186484</v>
      </c>
      <c r="DW60">
        <f>'TEA Revised Non EYZ'!CV60</f>
        <v>2307155.2721002945</v>
      </c>
      <c r="DX60">
        <f>'TEA Revised Non EYZ'!CW60</f>
        <v>272395.52441150707</v>
      </c>
      <c r="DY60">
        <f>'TEA Revised Non EYZ'!CX60</f>
        <v>5635728.9505027588</v>
      </c>
      <c r="DZ60">
        <f>'TEA Revised Non EYZ'!CY60</f>
        <v>884659.30262568092</v>
      </c>
      <c r="EA60">
        <f>'TEA Revised Non EYZ'!CZ60</f>
        <v>2275154.0150899086</v>
      </c>
      <c r="EB60">
        <f>'TEA Revised Non EYZ'!DA60</f>
        <v>438874.42688292934</v>
      </c>
      <c r="EC60">
        <f>'TEA Revised Non EYZ'!DB60</f>
        <v>2716703.9957245099</v>
      </c>
      <c r="ED60">
        <f>'TEA Revised Non EYZ'!DC60</f>
        <v>320749.11408652045</v>
      </c>
      <c r="EE60">
        <f>'TEA Revised Non EYZ'!DD60</f>
        <v>6636140.8544095494</v>
      </c>
      <c r="EF60">
        <v>0.7</v>
      </c>
      <c r="EG60">
        <v>100</v>
      </c>
      <c r="EH60">
        <f>96485*BL60*V60/EF60/EG60/60</f>
        <v>25.280029303934459</v>
      </c>
      <c r="EI60">
        <f>96485*BN60*BA60/EF60/EG60/60</f>
        <v>45.230319737655641</v>
      </c>
      <c r="EJ60">
        <f>EH60*('CAPEX+OPEX'!$O$25+'CAPEX+OPEX'!$O$26)</f>
        <v>805725.09397499904</v>
      </c>
      <c r="EK60">
        <f>EI60*('CAPEX+OPEX'!$O$25+'CAPEX+OPEX'!$O$26)</f>
        <v>1441580.7506785607</v>
      </c>
      <c r="EL60">
        <f>EJ60*1.12/0.6*'CAPEX+OPEX'!$G$116/'CAPEX+OPEX'!$G$115</f>
        <v>1773928.987938937</v>
      </c>
      <c r="EM60">
        <f>EK60*1.12/0.6*'CAPEX+OPEX'!$G$116/'CAPEX+OPEX'!$G$115</f>
        <v>3173864.0154141975</v>
      </c>
      <c r="EN60">
        <f>EL60+EM60+DY60+EE60+1.15*(SUM(DF60:DM60)+SUM(CF60:CI60))</f>
        <v>17325787.319233112</v>
      </c>
      <c r="EO60">
        <f>EN60/15</f>
        <v>1155052.4879488742</v>
      </c>
      <c r="EP60">
        <f>('eLLE Bals'!CB60+'eLLE Bals'!CC60)*'Oxidant Feed Composition'!$N$28*60*7200</f>
        <v>17062893.663537417</v>
      </c>
      <c r="EQ60" s="53">
        <f>('eLLE Bals'!BR60+'eLLE Bals'!BY60)*'Reagent cost'!$C$38*60*7200*1.5</f>
        <v>758161.33891766355</v>
      </c>
      <c r="ER60">
        <f>'TEA Revised Non EYZ'!DI60</f>
        <v>504921.59999999998</v>
      </c>
      <c r="ES60">
        <f>'TEA Revised Non EYZ'!DJ60</f>
        <v>101.82145040924509</v>
      </c>
      <c r="ET60">
        <f>'TEA Revised Non EYZ'!DK60</f>
        <v>1192.7592646577802</v>
      </c>
      <c r="EU60">
        <f>1.2*SUM(EP60:ET60)</f>
        <v>21992725.419804182</v>
      </c>
      <c r="EV60">
        <f>'TEA Revised Non EYZ'!DM60</f>
        <v>0.70639694042110623</v>
      </c>
      <c r="EW60">
        <f>(BS60*CO60+BT60*CP60)/1000*('Oxidant Feed Composition'!$B$11*'Oxidant Feed Composition'!$O$20+'Oxidant Feed Composition'!$D$11*'Oxidant Feed Composition'!$O$21+'Oxidant Feed Composition'!$F$11*'Oxidant Feed Composition'!$O$27-'Oxidant Feed Composition'!$J$15*18.015)</f>
        <v>1.7922463827464605</v>
      </c>
      <c r="EX60">
        <f>(CZ60*BX60+DC60*BZ60)*368.34/1000</f>
        <v>0.10202858994661633</v>
      </c>
      <c r="EY60">
        <f>'TEA Revised Non EYZ'!DP60</f>
        <v>4.999938342565946E-2</v>
      </c>
      <c r="EZ60">
        <f>SUM(EV60:EX60)-EY60</f>
        <v>2.5506725296885238</v>
      </c>
      <c r="FA60">
        <f>EZ60*0.33*60*7200</f>
        <v>363623.87583239598</v>
      </c>
      <c r="FB60">
        <f>'TEA Revised Non EYZ'!DS60</f>
        <v>1.2</v>
      </c>
      <c r="FC60">
        <v>0.5</v>
      </c>
      <c r="FD60">
        <f>'TEA Revised Non EYZ'!DT60</f>
        <v>1405.9070716810863</v>
      </c>
      <c r="FE60">
        <f>'TEA Revised Non EYZ'!DU60</f>
        <v>705.84345029620977</v>
      </c>
      <c r="FF60">
        <f>'TEA Revised Non EYZ'!DV60</f>
        <v>0.7</v>
      </c>
      <c r="FG60">
        <f>'TEA Revised Non EYZ'!DW60</f>
        <v>41280.414286181804</v>
      </c>
      <c r="FH60">
        <f>'TEA Revised Non EYZ'!DX60</f>
        <v>37373.489075065132</v>
      </c>
      <c r="FI60">
        <f>'TEA Revised Non EYZ'!DY60</f>
        <v>15823.453035813865</v>
      </c>
      <c r="FJ60">
        <f>'TEA Revised Non EYZ'!DZ60</f>
        <v>8382.1245272768647</v>
      </c>
      <c r="FK60">
        <f>'TEA Revised Non EYZ'!EA60</f>
        <v>8439.174952434063</v>
      </c>
      <c r="FL60">
        <f>'TEA Revised Non EYZ'!EB60</f>
        <v>850.29259695272106</v>
      </c>
      <c r="FM60">
        <f>'TEA Revised Non EYZ'!EC60</f>
        <v>48856.86409707307</v>
      </c>
      <c r="FN60">
        <f>'TEA Revised Non EYZ'!ED60</f>
        <v>50432.981593880453</v>
      </c>
      <c r="FO60">
        <f>'TEA Revised Non EYZ'!EE60</f>
        <v>21352.673658699387</v>
      </c>
      <c r="FP60">
        <f>'TEA Revised Non EYZ'!EF60</f>
        <v>11317.402316740587</v>
      </c>
      <c r="FQ60">
        <f>'TEA Revised Non EYZ'!EG60</f>
        <v>11388.092617973009</v>
      </c>
      <c r="FR60">
        <f>'TEA Revised Non EYZ'!EH60</f>
        <v>426.8941187391477</v>
      </c>
      <c r="FS60">
        <f>'TEA Revised Non EYZ'!EI60</f>
        <v>255923.8568768301</v>
      </c>
      <c r="FT60">
        <f>EG60*EH60</f>
        <v>2528.0029303934457</v>
      </c>
      <c r="FU60">
        <f>EG60*EI60</f>
        <v>4523.0319737655645</v>
      </c>
      <c r="FV60">
        <f>FC60*(FT60+FU60)/(3.6*10^6)*3600*7200*0.07</f>
        <v>1776.8607958480711</v>
      </c>
      <c r="FW60">
        <f>('CAPEX+OPEX'!$C$39/7/100+0.03)*EL60</f>
        <v>91230.633665431043</v>
      </c>
      <c r="FX60">
        <f>('CAPEX+OPEX'!$C$39/7/100+0.03)*EM60</f>
        <v>163227.29222130158</v>
      </c>
      <c r="FY60">
        <f>SUM(FV60:FX60)</f>
        <v>256234.78668258071</v>
      </c>
      <c r="FZ60">
        <f>FY60+FA60+FS60+EU60</f>
        <v>22868507.939195991</v>
      </c>
      <c r="GA60">
        <f>FZ60+EO60</f>
        <v>24023560.427144866</v>
      </c>
      <c r="GB60">
        <f>GA60/(BK60*60*7200)</f>
        <v>0.55610093581353859</v>
      </c>
      <c r="GC60">
        <f>'TEA Revised Non EYZ'!EM60/'TEA Revised Non EYZ'!EK60*GA60</f>
        <v>1860.4123116805692</v>
      </c>
      <c r="GD60">
        <f>'TEA Revised Non EYZ'!EN60/'TEA Revised Non EYZ'!EK60*GA60</f>
        <v>3414.1296213368105</v>
      </c>
    </row>
    <row r="61" spans="1:186">
      <c r="A61">
        <f>'TEA Revised Non EYZ'!A61</f>
        <v>8</v>
      </c>
      <c r="B61">
        <f>'TEA Revised Non EYZ'!B61</f>
        <v>1.54143585092054E-3</v>
      </c>
      <c r="C61">
        <f>'TEA Revised Non EYZ'!C61</f>
        <v>1.54143585092054E-3</v>
      </c>
      <c r="D61">
        <f>'TEA Revised Non EYZ'!D61</f>
        <v>3.4254130020456501E-4</v>
      </c>
      <c r="E61">
        <f>'TEA Revised Non EYZ'!E61</f>
        <v>0</v>
      </c>
      <c r="F61">
        <f>'TEA Revised Non EYZ'!F61</f>
        <v>0</v>
      </c>
      <c r="G61">
        <f>'TEA Revised Non EYZ'!G61</f>
        <v>0</v>
      </c>
      <c r="H61">
        <f>'TEA Revised Non EYZ'!H61</f>
        <v>1.7762434284205799E-5</v>
      </c>
      <c r="I61">
        <f>'TEA Revised Non EYZ'!I61</f>
        <v>4.4591984978445998E-9</v>
      </c>
      <c r="J61">
        <f>'TEA Revised Non EYZ'!J61</f>
        <v>3.37570976171142E-4</v>
      </c>
      <c r="K61">
        <f>'TEA Revised Non EYZ'!K61</f>
        <v>0.13846015972746001</v>
      </c>
      <c r="L61">
        <f>'TEA Revised Non EYZ'!L61</f>
        <v>0.14007387303476199</v>
      </c>
      <c r="M61">
        <f>'TEA Revised Non EYZ'!M61</f>
        <v>4.5166625081916902E-4</v>
      </c>
      <c r="N61">
        <f>'TEA Revised Non EYZ'!N61</f>
        <v>-2.6107588313450902E-16</v>
      </c>
      <c r="O61">
        <f>'TEA Revised Non EYZ'!O61</f>
        <v>-1.18524981496115E-14</v>
      </c>
      <c r="P61">
        <f>'TEA Revised Non EYZ'!P61</f>
        <v>-2.5241581828178102E-19</v>
      </c>
      <c r="Q61">
        <f>'TEA Revised Non EYZ'!Q61</f>
        <v>0.110044175857931</v>
      </c>
      <c r="R61">
        <f>'TEA Revised Non EYZ'!R61</f>
        <v>98.548985471108097</v>
      </c>
      <c r="S61">
        <f>'TEA Revised Non EYZ'!S61</f>
        <v>500</v>
      </c>
      <c r="T61">
        <f>'TEA Revised Non EYZ'!T61</f>
        <v>95</v>
      </c>
      <c r="U61">
        <f>'TEA Revised Non EYZ'!U61</f>
        <v>1</v>
      </c>
      <c r="V61">
        <f>'TEA Revised Non EYZ'!V61</f>
        <v>0.1</v>
      </c>
      <c r="W61">
        <f>'TEA Revised Non EYZ'!W61</f>
        <v>90.872596591664205</v>
      </c>
      <c r="X61" t="str">
        <f>'TEA Revised Non EYZ'!X61</f>
        <v>ddFc</v>
      </c>
      <c r="Y61">
        <f>'TEA Revised Non EYZ'!Y61</f>
        <v>1</v>
      </c>
      <c r="Z61">
        <f>'TEA Revised Non EYZ'!Z61</f>
        <v>0.28318429382522198</v>
      </c>
      <c r="AA61">
        <f>'TEA Revised Non EYZ'!AA61</f>
        <v>0.56945642916197003</v>
      </c>
      <c r="AB61">
        <f>'TEA Revised Non EYZ'!AB61</f>
        <v>3.7698628972227502E-3</v>
      </c>
      <c r="AC61">
        <f>'TEA Revised Non EYZ'!AC61</f>
        <v>1822.2107908876901</v>
      </c>
      <c r="AD61">
        <f>'TEA Revised Non EYZ'!AD61</f>
        <v>2662.6059073104898</v>
      </c>
      <c r="AE61">
        <f>'TEA Revised Non EYZ'!AE61</f>
        <v>2401.5030938442701</v>
      </c>
      <c r="AF61">
        <f>'TEA Revised Non EYZ'!AF61</f>
        <v>13</v>
      </c>
      <c r="AG61">
        <f>'TEA Revised Non EYZ'!AG61</f>
        <v>1.6497294784823999E-3</v>
      </c>
      <c r="AH61">
        <f>'TEA Revised Non EYZ'!AH61</f>
        <v>1.66895660069658E-3</v>
      </c>
      <c r="AI61">
        <f>'TEA Revised Non EYZ'!AI61</f>
        <v>5.38152729188446E-6</v>
      </c>
      <c r="AJ61">
        <f>'TEA Revised Non EYZ'!AJ61</f>
        <v>0</v>
      </c>
      <c r="AK61">
        <f>'TEA Revised Non EYZ'!AK61</f>
        <v>0</v>
      </c>
      <c r="AL61">
        <f>'TEA Revised Non EYZ'!AL61</f>
        <v>0</v>
      </c>
      <c r="AM61">
        <f>'TEA Revised Non EYZ'!AM61</f>
        <v>1.6127812941209201E-3</v>
      </c>
      <c r="AN61">
        <f>'TEA Revised Non EYZ'!AN61</f>
        <v>7.9537091597651401E-5</v>
      </c>
      <c r="AO61">
        <f>'TEA Revised Non EYZ'!AO61</f>
        <v>5.34613440871419E-6</v>
      </c>
      <c r="AP61">
        <f>'TEA Revised Non EYZ'!AP61</f>
        <v>1.73322090687147E-3</v>
      </c>
      <c r="AQ61">
        <f>'TEA Revised Non EYZ'!AQ61</f>
        <v>7.4558876723361894E-2</v>
      </c>
      <c r="AR61">
        <f>'TEA Revised Non EYZ'!AR61</f>
        <v>1.6602625034295099E-6</v>
      </c>
      <c r="AS61">
        <f>'TEA Revised Non EYZ'!AS61</f>
        <v>-3.2526065174565099E-19</v>
      </c>
      <c r="AT61">
        <f>'TEA Revised Non EYZ'!AT61</f>
        <v>-1.5178830414797E-17</v>
      </c>
      <c r="AU61">
        <f>'TEA Revised Non EYZ'!AU61</f>
        <v>5.3601303693436099E-22</v>
      </c>
      <c r="AV61">
        <f>'TEA Revised Non EYZ'!AV61</f>
        <v>0.19688758804081399</v>
      </c>
      <c r="AW61">
        <f>'TEA Revised Non EYZ'!AW61</f>
        <v>99.342326420537802</v>
      </c>
      <c r="AX61">
        <f>'TEA Revised Non EYZ'!AX61</f>
        <v>499.99999999999898</v>
      </c>
      <c r="AY61">
        <f>'TEA Revised Non EYZ'!AY61</f>
        <v>95</v>
      </c>
      <c r="AZ61">
        <f>'TEA Revised Non EYZ'!AZ61</f>
        <v>0.92358985913147196</v>
      </c>
      <c r="BA61">
        <f>'TEA Revised Non EYZ'!BA61</f>
        <v>0.1</v>
      </c>
      <c r="BB61">
        <f>'TEA Revised Non EYZ'!BB61</f>
        <v>46.909501422711003</v>
      </c>
      <c r="BC61" t="str">
        <f>'TEA Revised Non EYZ'!BC61</f>
        <v>coeFc</v>
      </c>
      <c r="BD61">
        <f>'TEA Revised Non EYZ'!BD61</f>
        <v>1</v>
      </c>
      <c r="BE61">
        <f>'TEA Revised Non EYZ'!BE61</f>
        <v>1.8775014999999999E-2</v>
      </c>
      <c r="BF61">
        <f>'TEA Revised Non EYZ'!BF61</f>
        <v>0.10492961100000001</v>
      </c>
      <c r="BG61">
        <f>'TEA Revised Non EYZ'!BG61</f>
        <v>1.814625E-3</v>
      </c>
      <c r="BH61">
        <f>'TEA Revised Non EYZ'!BH61</f>
        <v>285.1951444</v>
      </c>
      <c r="BI61">
        <f>'TEA Revised Non EYZ'!BI61</f>
        <v>2169.8944889999998</v>
      </c>
      <c r="BJ61">
        <f>'TEA Revised Non EYZ'!BJ61</f>
        <v>866.49409060000005</v>
      </c>
      <c r="BK61">
        <f>'TEA Revised Non EYZ'!BK61</f>
        <v>100</v>
      </c>
      <c r="BL61">
        <f>'TEA Revised Non EYZ'!BL61</f>
        <v>11.004417585793099</v>
      </c>
      <c r="BM61">
        <f>'TEA Revised Non EYZ'!BM61</f>
        <v>92.358985913147194</v>
      </c>
      <c r="BN61">
        <f>'TEA Revised Non EYZ'!BN61</f>
        <v>19.688758804081399</v>
      </c>
      <c r="BO61">
        <f>'TEA Revised Non EYZ'!BO61</f>
        <v>220.08835171586199</v>
      </c>
      <c r="BP61">
        <f>'TEA Revised Non EYZ'!BP61</f>
        <v>590.66276412244201</v>
      </c>
      <c r="BQ61">
        <f>'TEA Revised Non EYZ'!BQ61</f>
        <v>22.008835171586199</v>
      </c>
      <c r="BR61">
        <f>'TEA Revised Non EYZ'!BR61</f>
        <v>59.066276412244207</v>
      </c>
      <c r="BS61">
        <f>'eLLE Bals'!CF61</f>
        <v>6.6026505514758593</v>
      </c>
      <c r="BT61">
        <f>'eLLE Bals'!CG61</f>
        <v>11.813255282448839</v>
      </c>
      <c r="BU61">
        <f>BM61</f>
        <v>92.358985913147194</v>
      </c>
      <c r="BV61">
        <f>BU61*(AM61*2+AN61*2+AO61*3)</f>
        <v>0.31408291055191573</v>
      </c>
      <c r="BW61">
        <f>BN61*BA61*(AP61*2+AQ61*2+AR61*3)</f>
        <v>0.3004291483322134</v>
      </c>
      <c r="BX61">
        <f>BV61/(2*V61*BL61+BV61)</f>
        <v>0.12488552812923101</v>
      </c>
      <c r="BY61">
        <f>BU61*BX61</f>
        <v>11.534300733243594</v>
      </c>
      <c r="BZ61">
        <f>BW61/(2*BN61*BA61+BW61)</f>
        <v>7.0886343639486968E-2</v>
      </c>
      <c r="CA61">
        <f>2*BN61*BA61/0.04</f>
        <v>98.443794020406997</v>
      </c>
      <c r="CB61">
        <f>(BS61+BL61)*2</f>
        <v>35.214136274537921</v>
      </c>
      <c r="CC61">
        <f>(BU61+BL61)*2</f>
        <v>206.7268069978806</v>
      </c>
      <c r="CD61">
        <f>(BT61+BN61)*2</f>
        <v>63.004028173060476</v>
      </c>
      <c r="CE61">
        <f>(CA61+BN61)*2</f>
        <v>236.2651056489768</v>
      </c>
      <c r="CF61">
        <f>'TEA Revised Non EYZ'!CB61</f>
        <v>2905.1662426493785</v>
      </c>
      <c r="CG61">
        <f>'TEA Revised Non EYZ'!CC61</f>
        <v>7796.7484864162352</v>
      </c>
      <c r="CH61">
        <f>'TEA Revised Non EYZ'!CD61</f>
        <v>3509.9789962792502</v>
      </c>
      <c r="CI61">
        <f>'TEA Revised Non EYZ'!CE61</f>
        <v>60137.014037489032</v>
      </c>
      <c r="CJ61">
        <f>BL61*V61</f>
        <v>1.10044175857931</v>
      </c>
      <c r="CK61">
        <f>CJ61/2*1.2</f>
        <v>0.66026505514758604</v>
      </c>
      <c r="CL61">
        <f>'eLLE Bals'!CB61*'Oxidant Feed Composition'!$N$20</f>
        <v>3.668139195264368E-2</v>
      </c>
      <c r="CM61">
        <f>'eLLE Bals'!CB61*'Oxidant Feed Composition'!$N$21</f>
        <v>1.8340695976321835</v>
      </c>
      <c r="CN61">
        <f>'eLLE Bals'!CB61*'Oxidant Feed Composition'!$N$22</f>
        <v>0.55022087928965502</v>
      </c>
      <c r="CO61">
        <f>CN61/CK61</f>
        <v>0.83333333333333326</v>
      </c>
      <c r="CP61">
        <f>CO61</f>
        <v>0.83333333333333326</v>
      </c>
      <c r="CQ61">
        <f>CL61/CO61</f>
        <v>4.4017670343172423E-2</v>
      </c>
      <c r="CR61">
        <f>CM61/CO61</f>
        <v>2.2008835171586205</v>
      </c>
      <c r="CS61">
        <f>BN61*BA61</f>
        <v>1.9688758804081399</v>
      </c>
      <c r="CT61">
        <f>CS61/2*1.2</f>
        <v>1.1813255282448838</v>
      </c>
      <c r="CU61">
        <f>'eLLE Bals'!CC61*'Oxidant Feed Composition'!$N$20</f>
        <v>6.5629196013604688E-2</v>
      </c>
      <c r="CV61">
        <f>'eLLE Bals'!CC61*'Oxidant Feed Composition'!$N$21</f>
        <v>3.2814598006802336</v>
      </c>
      <c r="CW61">
        <f>'eLLE Bals'!CC61*'Oxidant Feed Composition'!$N$22</f>
        <v>0.98443794020406994</v>
      </c>
      <c r="CX61">
        <f>CU61/CP61</f>
        <v>7.8755035216325639E-2</v>
      </c>
      <c r="CY61">
        <f>CV61/CP61</f>
        <v>3.9377517608162806</v>
      </c>
      <c r="CZ61">
        <f>CJ61</f>
        <v>1.10044175857931</v>
      </c>
      <c r="DA61">
        <f>'eLLE Bals'!BQ61</f>
        <v>2.2008835171586201</v>
      </c>
      <c r="DB61">
        <f>'eLLE Bals'!BU61</f>
        <v>5.5102782388068858</v>
      </c>
      <c r="DC61">
        <f>CS61</f>
        <v>1.9688758804081399</v>
      </c>
      <c r="DD61">
        <f>'eLLE Bals'!BX61</f>
        <v>3.9377517608162798</v>
      </c>
      <c r="DE61">
        <f>'eLLE Bals'!CA61</f>
        <v>21.868480783346442</v>
      </c>
      <c r="DF61">
        <f>2*2*(CJ61*'Reagent cost'!$C$36*122.44/1000*1.5+CK61*'Oxidant Feed Composition'!$N$26+CQ61*'Reagent cost'!$C$34+CR61*'Reagent cost'!$C$35)</f>
        <v>111.98220486343379</v>
      </c>
      <c r="DG61">
        <f>2*2*(CS61*'Reagent cost'!$C$36*122.44/1000*1.5+CT61*'Oxidant Feed Composition'!$N$26+CX61*'Reagent cost'!$C$34+CY61*'Reagent cost'!$C$35)</f>
        <v>200.35504875349361</v>
      </c>
      <c r="DH61">
        <f>(AF61+3)*2*(CZ61*'Reagent cost'!$C$38+DA61*'Reagent cost'!$C$39+DB61*'Reagent cost'!$C$36*122.44/1000*1.5)</f>
        <v>2443.9707289000985</v>
      </c>
      <c r="DI61">
        <f>3*2*(DC61*'Reagent cost'!$C$38+DD61*'Reagent cost'!$C$39+DE61*'Reagent cost'!$C$36*122.44/1000*1.5)</f>
        <v>1754.473729895602</v>
      </c>
      <c r="DJ61">
        <f>7963.6*(CB61/1000)^0.6*1.7*('CAPEX+OPEX'!$G$116/'CAPEX+OPEX'!$G$115)</f>
        <v>2144.228934815284</v>
      </c>
      <c r="DK61">
        <f>7963.6*(CC61/1000)^0.6*1.7*('CAPEX+OPEX'!$G$116/'CAPEX+OPEX'!$G$115)</f>
        <v>6201.2466571653367</v>
      </c>
      <c r="DL61">
        <f>7963.6*(CD61/1000)^0.6*1.7*('CAPEX+OPEX'!$G$116/'CAPEX+OPEX'!$G$115)</f>
        <v>3039.9183440626803</v>
      </c>
      <c r="DM61">
        <f>7963.6*(CE61/1000)^0.6*1.7*('CAPEX+OPEX'!$G$116/'CAPEX+OPEX'!$G$115)</f>
        <v>6718.629286735194</v>
      </c>
      <c r="DN61">
        <f>'TEA Revised Non EYZ'!CM61</f>
        <v>39625.826528698344</v>
      </c>
      <c r="DO61">
        <f>'TEA Revised Non EYZ'!CN61</f>
        <v>4586243.4239371875</v>
      </c>
      <c r="DP61">
        <f>'TEA Revised Non EYZ'!CO61</f>
        <v>11794834.586807497</v>
      </c>
      <c r="DQ61">
        <f>'TEA Revised Non EYZ'!CP61</f>
        <v>2275209.1661185985</v>
      </c>
      <c r="DR61">
        <f>'TEA Revised Non EYZ'!CQ61</f>
        <v>14083914.336508472</v>
      </c>
      <c r="DS61">
        <f>'TEA Revised Non EYZ'!CR61</f>
        <v>1662824.8986326549</v>
      </c>
      <c r="DT61">
        <f>'TEA Revised Non EYZ'!CS61</f>
        <v>751295.09040276916</v>
      </c>
      <c r="DU61">
        <f>'TEA Revised Non EYZ'!CT61</f>
        <v>1932169.8606163235</v>
      </c>
      <c r="DV61">
        <f>'TEA Revised Non EYZ'!CU61</f>
        <v>372713.20297186484</v>
      </c>
      <c r="DW61">
        <f>'TEA Revised Non EYZ'!CV61</f>
        <v>2307155.2721002945</v>
      </c>
      <c r="DX61">
        <f>'TEA Revised Non EYZ'!CW61</f>
        <v>272395.52441150707</v>
      </c>
      <c r="DY61">
        <f>'TEA Revised Non EYZ'!CX61</f>
        <v>5635728.9505027588</v>
      </c>
      <c r="DZ61">
        <f>'TEA Revised Non EYZ'!CY61</f>
        <v>924883.13167584944</v>
      </c>
      <c r="EA61">
        <f>'TEA Revised Non EYZ'!CZ61</f>
        <v>2378601.0775852241</v>
      </c>
      <c r="EB61">
        <f>'TEA Revised Non EYZ'!DA61</f>
        <v>458829.23871730972</v>
      </c>
      <c r="EC61">
        <f>'TEA Revised Non EYZ'!DB61</f>
        <v>2840227.5225552334</v>
      </c>
      <c r="ED61">
        <f>'TEA Revised Non EYZ'!DC61</f>
        <v>335332.98552122596</v>
      </c>
      <c r="EE61">
        <f>'TEA Revised Non EYZ'!DD61</f>
        <v>6937873.956054843</v>
      </c>
      <c r="EF61">
        <v>0.7</v>
      </c>
      <c r="EG61">
        <v>100</v>
      </c>
      <c r="EH61">
        <f>96485*BL61*V61/EF61/EG61/60</f>
        <v>25.280029303934459</v>
      </c>
      <c r="EI61">
        <f>96485*BN61*BA61/EF61/EG61/60</f>
        <v>45.23023555266176</v>
      </c>
      <c r="EJ61">
        <f>EH61*('CAPEX+OPEX'!$O$25+'CAPEX+OPEX'!$O$26)</f>
        <v>805725.09397499904</v>
      </c>
      <c r="EK61">
        <f>EI61*('CAPEX+OPEX'!$O$25+'CAPEX+OPEX'!$O$26)</f>
        <v>1441578.0675344355</v>
      </c>
      <c r="EL61">
        <f>EJ61*1.12/0.6*'CAPEX+OPEX'!$G$116/'CAPEX+OPEX'!$G$115</f>
        <v>1773928.987938937</v>
      </c>
      <c r="EM61">
        <f>EK61*1.12/0.6*'CAPEX+OPEX'!$G$116/'CAPEX+OPEX'!$G$115</f>
        <v>3173858.1080554998</v>
      </c>
      <c r="EN61">
        <f>EL61+EM61+DY61+EE61+1.15*(SUM(DF61:DM61)+SUM(CF61:CI61))</f>
        <v>17632898.272154767</v>
      </c>
      <c r="EO61">
        <f>EN61/15</f>
        <v>1175526.5514769845</v>
      </c>
      <c r="EP61">
        <f>('eLLE Bals'!CB61+'eLLE Bals'!CC61)*'Oxidant Feed Composition'!$N$28*60*7200</f>
        <v>17062873.291498158</v>
      </c>
      <c r="EQ61" s="53">
        <f>('eLLE Bals'!BR61+'eLLE Bals'!BY61)*'Reagent cost'!$C$38*60*7200*1.5</f>
        <v>758161.28211387456</v>
      </c>
      <c r="ER61">
        <f>'TEA Revised Non EYZ'!DI61</f>
        <v>504921.59999999998</v>
      </c>
      <c r="ES61">
        <f>'TEA Revised Non EYZ'!DJ61</f>
        <v>107.01914729065615</v>
      </c>
      <c r="ET61">
        <f>'TEA Revised Non EYZ'!DK61</f>
        <v>1272.9398606753657</v>
      </c>
      <c r="EU61">
        <f>1.2*SUM(EP61:ET61)</f>
        <v>21992803.359144002</v>
      </c>
      <c r="EV61">
        <f>'TEA Revised Non EYZ'!DM61</f>
        <v>0.70639694042110623</v>
      </c>
      <c r="EW61">
        <f>(BS61*CO61+BT61*CP61)/1000*('Oxidant Feed Composition'!$B$11*'Oxidant Feed Composition'!$O$20+'Oxidant Feed Composition'!$D$11*'Oxidant Feed Composition'!$O$21+'Oxidant Feed Composition'!$F$11*'Oxidant Feed Composition'!$O$27-'Oxidant Feed Composition'!$J$15*18.015)</f>
        <v>1.7922442429151766</v>
      </c>
      <c r="EX61">
        <f>(CZ61*BX61+DC61*BZ61)*368.34/1000</f>
        <v>0.10202858230231926</v>
      </c>
      <c r="EY61">
        <f>'TEA Revised Non EYZ'!DP61</f>
        <v>4.999938342565946E-2</v>
      </c>
      <c r="EZ61">
        <f>SUM(EV61:EX61)-EY61</f>
        <v>2.5506703822129428</v>
      </c>
      <c r="FA61">
        <f>EZ61*0.33*60*7200</f>
        <v>363623.56968827714</v>
      </c>
      <c r="FB61">
        <f>'TEA Revised Non EYZ'!DS61</f>
        <v>1.2</v>
      </c>
      <c r="FC61">
        <v>0.5</v>
      </c>
      <c r="FD61">
        <f>'TEA Revised Non EYZ'!DT61</f>
        <v>1405.9072864386719</v>
      </c>
      <c r="FE61">
        <f>'TEA Revised Non EYZ'!DU61</f>
        <v>705.84323552017645</v>
      </c>
      <c r="FF61">
        <f>'TEA Revised Non EYZ'!DV61</f>
        <v>0.7</v>
      </c>
      <c r="FG61">
        <f>'TEA Revised Non EYZ'!DW61</f>
        <v>41280.414286181804</v>
      </c>
      <c r="FH61">
        <f>'TEA Revised Non EYZ'!DX61</f>
        <v>37373.489075065132</v>
      </c>
      <c r="FI61">
        <f>'TEA Revised Non EYZ'!DY61</f>
        <v>15823.453035813865</v>
      </c>
      <c r="FJ61">
        <f>'TEA Revised Non EYZ'!DZ61</f>
        <v>8382.1245272768647</v>
      </c>
      <c r="FK61">
        <f>'TEA Revised Non EYZ'!EA61</f>
        <v>8439.174952434063</v>
      </c>
      <c r="FL61">
        <f>'TEA Revised Non EYZ'!EB61</f>
        <v>850.29272683810882</v>
      </c>
      <c r="FM61">
        <f>'TEA Revised Non EYZ'!EC61</f>
        <v>51428.277996919023</v>
      </c>
      <c r="FN61">
        <f>'TEA Revised Non EYZ'!ED61</f>
        <v>54312.441716486632</v>
      </c>
      <c r="FO61">
        <f>'TEA Revised Non EYZ'!EE61</f>
        <v>22995.187017060871</v>
      </c>
      <c r="FP61">
        <f>'TEA Revised Non EYZ'!EF61</f>
        <v>12187.971725720628</v>
      </c>
      <c r="FQ61">
        <f>'TEA Revised Non EYZ'!EG61</f>
        <v>12264.099742432467</v>
      </c>
      <c r="FR61">
        <f>'TEA Revised Non EYZ'!EH61</f>
        <v>426.89398884260271</v>
      </c>
      <c r="FS61">
        <f>'TEA Revised Non EYZ'!EI61</f>
        <v>265763.82079107204</v>
      </c>
      <c r="FT61">
        <f>EG61*EH61</f>
        <v>2528.0029303934457</v>
      </c>
      <c r="FU61">
        <f>EG61*EI61</f>
        <v>4523.0235552661761</v>
      </c>
      <c r="FV61">
        <f>FC61*(FT61+FU61)/(3.6*10^6)*3600*7200*0.07</f>
        <v>1776.8586743862247</v>
      </c>
      <c r="FW61">
        <f>('CAPEX+OPEX'!$C$39/7/100+0.03)*EL61</f>
        <v>91230.633665431043</v>
      </c>
      <c r="FX61">
        <f>('CAPEX+OPEX'!$C$39/7/100+0.03)*EM61</f>
        <v>163226.98841428285</v>
      </c>
      <c r="FY61">
        <f>SUM(FV61:FX61)</f>
        <v>256234.48075410014</v>
      </c>
      <c r="FZ61">
        <f>FY61+FA61+FS61+EU61</f>
        <v>22878425.230377451</v>
      </c>
      <c r="GA61">
        <f>FZ61+EO61</f>
        <v>24053951.781854436</v>
      </c>
      <c r="GB61">
        <f>GA61/(BK61*60*7200)</f>
        <v>0.55680443939477864</v>
      </c>
      <c r="GC61">
        <f>'TEA Revised Non EYZ'!EM61/'TEA Revised Non EYZ'!EK61*GA61</f>
        <v>1862.7655686257524</v>
      </c>
      <c r="GD61">
        <f>'TEA Revised Non EYZ'!EN61/'TEA Revised Non EYZ'!EK61*GA61</f>
        <v>3418.4496746649279</v>
      </c>
    </row>
    <row r="62" spans="1:186">
      <c r="A62">
        <f>'TEA Revised Non EYZ'!A62</f>
        <v>9</v>
      </c>
      <c r="B62">
        <f>'TEA Revised Non EYZ'!B62</f>
        <v>1.54143585092054E-3</v>
      </c>
      <c r="C62">
        <f>'TEA Revised Non EYZ'!C62</f>
        <v>1.54143585092054E-3</v>
      </c>
      <c r="D62">
        <f>'TEA Revised Non EYZ'!D62</f>
        <v>3.4254130020456501E-4</v>
      </c>
      <c r="E62">
        <f>'TEA Revised Non EYZ'!E62</f>
        <v>0</v>
      </c>
      <c r="F62">
        <f>'TEA Revised Non EYZ'!F62</f>
        <v>0</v>
      </c>
      <c r="G62">
        <f>'TEA Revised Non EYZ'!G62</f>
        <v>0</v>
      </c>
      <c r="H62">
        <f>'TEA Revised Non EYZ'!H62</f>
        <v>1.7768596981705501E-5</v>
      </c>
      <c r="I62">
        <f>'TEA Revised Non EYZ'!I62</f>
        <v>1.5331283704498101E-9</v>
      </c>
      <c r="J62">
        <f>'TEA Revised Non EYZ'!J62</f>
        <v>3.3763247208936601E-4</v>
      </c>
      <c r="K62">
        <f>'TEA Revised Non EYZ'!K62</f>
        <v>0.13890601070001499</v>
      </c>
      <c r="L62">
        <f>'TEA Revised Non EYZ'!L62</f>
        <v>0.14052575540227799</v>
      </c>
      <c r="M62">
        <f>'TEA Revised Non EYZ'!M62</f>
        <v>4.4751616793740602E-4</v>
      </c>
      <c r="N62">
        <f>'TEA Revised Non EYZ'!N62</f>
        <v>-5.0090140368830299E-17</v>
      </c>
      <c r="O62">
        <f>'TEA Revised Non EYZ'!O62</f>
        <v>-6.2343793322261397E-15</v>
      </c>
      <c r="P62">
        <f>'TEA Revised Non EYZ'!P62</f>
        <v>1.7787691892340301E-20</v>
      </c>
      <c r="Q62">
        <f>'TEA Revised Non EYZ'!Q62</f>
        <v>0.10969051996097</v>
      </c>
      <c r="R62">
        <f>'TEA Revised Non EYZ'!R62</f>
        <v>98.566938318892298</v>
      </c>
      <c r="S62">
        <f>'TEA Revised Non EYZ'!S62</f>
        <v>500</v>
      </c>
      <c r="T62">
        <f>'TEA Revised Non EYZ'!T62</f>
        <v>95</v>
      </c>
      <c r="U62">
        <f>'TEA Revised Non EYZ'!U62</f>
        <v>1</v>
      </c>
      <c r="V62">
        <f>'TEA Revised Non EYZ'!V62</f>
        <v>0.1</v>
      </c>
      <c r="W62">
        <f>'TEA Revised Non EYZ'!W62</f>
        <v>91.165581160141301</v>
      </c>
      <c r="X62" t="str">
        <f>'TEA Revised Non EYZ'!X62</f>
        <v>ddFc</v>
      </c>
      <c r="Y62">
        <f>'TEA Revised Non EYZ'!Y62</f>
        <v>1</v>
      </c>
      <c r="Z62">
        <f>'TEA Revised Non EYZ'!Z62</f>
        <v>0.28318429382522198</v>
      </c>
      <c r="AA62">
        <f>'TEA Revised Non EYZ'!AA62</f>
        <v>0.56945642916197003</v>
      </c>
      <c r="AB62">
        <f>'TEA Revised Non EYZ'!AB62</f>
        <v>3.7698628972227502E-3</v>
      </c>
      <c r="AC62">
        <f>'TEA Revised Non EYZ'!AC62</f>
        <v>1822.2107908876901</v>
      </c>
      <c r="AD62">
        <f>'TEA Revised Non EYZ'!AD62</f>
        <v>2662.6059073104898</v>
      </c>
      <c r="AE62">
        <f>'TEA Revised Non EYZ'!AE62</f>
        <v>2401.5030938442701</v>
      </c>
      <c r="AF62">
        <f>'TEA Revised Non EYZ'!AF62</f>
        <v>4</v>
      </c>
      <c r="AG62">
        <f>'TEA Revised Non EYZ'!AG62</f>
        <v>1.6497485970141401E-3</v>
      </c>
      <c r="AH62">
        <f>'TEA Revised Non EYZ'!AH62</f>
        <v>1.6689858606617799E-3</v>
      </c>
      <c r="AI62">
        <f>'TEA Revised Non EYZ'!AI62</f>
        <v>5.3150268046377499E-6</v>
      </c>
      <c r="AJ62">
        <f>'TEA Revised Non EYZ'!AJ62</f>
        <v>0</v>
      </c>
      <c r="AK62">
        <f>'TEA Revised Non EYZ'!AK62</f>
        <v>0</v>
      </c>
      <c r="AL62">
        <f>'TEA Revised Non EYZ'!AL62</f>
        <v>0</v>
      </c>
      <c r="AM62">
        <f>'TEA Revised Non EYZ'!AM62</f>
        <v>1.6048321319618701E-3</v>
      </c>
      <c r="AN62">
        <f>'TEA Revised Non EYZ'!AN62</f>
        <v>7.9192002642469804E-5</v>
      </c>
      <c r="AO62">
        <f>'TEA Revised Non EYZ'!AO62</f>
        <v>5.2728464102818699E-6</v>
      </c>
      <c r="AP62">
        <f>'TEA Revised Non EYZ'!AP62</f>
        <v>1.9874961185591101E-3</v>
      </c>
      <c r="AQ62">
        <f>'TEA Revised Non EYZ'!AQ62</f>
        <v>7.0346344441502298E-2</v>
      </c>
      <c r="AR62">
        <f>'TEA Revised Non EYZ'!AR62</f>
        <v>1.86642849011818E-6</v>
      </c>
      <c r="AS62">
        <f>'TEA Revised Non EYZ'!AS62</f>
        <v>-9.5194915860664904E-15</v>
      </c>
      <c r="AT62">
        <f>'TEA Revised Non EYZ'!AT62</f>
        <v>-1.2276442883096799E-13</v>
      </c>
      <c r="AU62">
        <f>'TEA Revised Non EYZ'!AU62</f>
        <v>-3.0580668722738401E-18</v>
      </c>
      <c r="AV62">
        <f>'TEA Revised Non EYZ'!AV62</f>
        <v>0.20872364334642199</v>
      </c>
      <c r="AW62">
        <f>'TEA Revised Non EYZ'!AW62</f>
        <v>99.206393572294303</v>
      </c>
      <c r="AX62">
        <f>'TEA Revised Non EYZ'!AX62</f>
        <v>500</v>
      </c>
      <c r="AY62">
        <f>'TEA Revised Non EYZ'!AY62</f>
        <v>95</v>
      </c>
      <c r="AZ62">
        <f>'TEA Revised Non EYZ'!AZ62</f>
        <v>0.92357542033771201</v>
      </c>
      <c r="BA62">
        <f>'TEA Revised Non EYZ'!BA62</f>
        <v>0.1</v>
      </c>
      <c r="BB62">
        <f>'TEA Revised Non EYZ'!BB62</f>
        <v>44.248720726134401</v>
      </c>
      <c r="BC62" t="str">
        <f>'TEA Revised Non EYZ'!BC62</f>
        <v>coeFc</v>
      </c>
      <c r="BD62">
        <f>'TEA Revised Non EYZ'!BD62</f>
        <v>1</v>
      </c>
      <c r="BE62">
        <f>'TEA Revised Non EYZ'!BE62</f>
        <v>1.8775014999999999E-2</v>
      </c>
      <c r="BF62">
        <f>'TEA Revised Non EYZ'!BF62</f>
        <v>0.10492961100000001</v>
      </c>
      <c r="BG62">
        <f>'TEA Revised Non EYZ'!BG62</f>
        <v>1.814625E-3</v>
      </c>
      <c r="BH62">
        <f>'TEA Revised Non EYZ'!BH62</f>
        <v>285.1951444</v>
      </c>
      <c r="BI62">
        <f>'TEA Revised Non EYZ'!BI62</f>
        <v>2169.8944889999998</v>
      </c>
      <c r="BJ62">
        <f>'TEA Revised Non EYZ'!BJ62</f>
        <v>866.49409060000005</v>
      </c>
      <c r="BK62">
        <f>'TEA Revised Non EYZ'!BK62</f>
        <v>100</v>
      </c>
      <c r="BL62">
        <f>'TEA Revised Non EYZ'!BL62</f>
        <v>10.969051996096999</v>
      </c>
      <c r="BM62">
        <f>'TEA Revised Non EYZ'!BM62</f>
        <v>92.357542033771196</v>
      </c>
      <c r="BN62">
        <f>'TEA Revised Non EYZ'!BN62</f>
        <v>20.872364334642199</v>
      </c>
      <c r="BO62">
        <f>'TEA Revised Non EYZ'!BO62</f>
        <v>241.31914391413397</v>
      </c>
      <c r="BP62">
        <f>'TEA Revised Non EYZ'!BP62</f>
        <v>250.46837201570639</v>
      </c>
      <c r="BQ62">
        <f>'TEA Revised Non EYZ'!BQ62</f>
        <v>24.1319143914134</v>
      </c>
      <c r="BR62">
        <f>'TEA Revised Non EYZ'!BR62</f>
        <v>25.046837201570639</v>
      </c>
      <c r="BS62">
        <f>'eLLE Bals'!CF62</f>
        <v>6.5814311976581994</v>
      </c>
      <c r="BT62">
        <f>'eLLE Bals'!CG62</f>
        <v>12.52341860078532</v>
      </c>
      <c r="BU62">
        <f>BM62</f>
        <v>92.357542033771196</v>
      </c>
      <c r="BV62">
        <f>BU62*(AM62*2+AN62*2+AO62*3)</f>
        <v>0.31252562099713665</v>
      </c>
      <c r="BW62">
        <f>BN62*BA62*(AP62*2+AQ62*2+AR62*3)</f>
        <v>0.30196734181133933</v>
      </c>
      <c r="BX62">
        <f>BV62/(2*V62*BL62+BV62)</f>
        <v>0.12469422235336816</v>
      </c>
      <c r="BY62">
        <f>BU62*BX62</f>
        <v>11.516451882369612</v>
      </c>
      <c r="BZ62">
        <f>BW62/(2*BN62*BA62+BW62)</f>
        <v>6.7457025611953852E-2</v>
      </c>
      <c r="CA62">
        <f>2*BN62*BA62/0.04</f>
        <v>104.361821673211</v>
      </c>
      <c r="CB62">
        <f>(BS62+BL62)*2</f>
        <v>35.100966387510397</v>
      </c>
      <c r="CC62">
        <f>(BU62+BL62)*2</f>
        <v>206.65318805973638</v>
      </c>
      <c r="CD62">
        <f>(BT62+BN62)*2</f>
        <v>66.791565870855038</v>
      </c>
      <c r="CE62">
        <f>(CA62+BN62)*2</f>
        <v>250.46837201570639</v>
      </c>
      <c r="CF62">
        <f>'TEA Revised Non EYZ'!CB62</f>
        <v>3185.4126996665682</v>
      </c>
      <c r="CG62">
        <f>'TEA Revised Non EYZ'!CC62</f>
        <v>3306.1825106073247</v>
      </c>
      <c r="CH62">
        <f>'TEA Revised Non EYZ'!CD62</f>
        <v>3848.5686313477631</v>
      </c>
      <c r="CI62">
        <f>'TEA Revised Non EYZ'!CE62</f>
        <v>25500.8795521994</v>
      </c>
      <c r="CJ62">
        <f>BL62*V62</f>
        <v>1.0969051996096999</v>
      </c>
      <c r="CK62">
        <f>CJ62/2*1.2</f>
        <v>0.65814311976581996</v>
      </c>
      <c r="CL62">
        <f>'eLLE Bals'!CB62*'Oxidant Feed Composition'!$N$20</f>
        <v>3.656350665365668E-2</v>
      </c>
      <c r="CM62">
        <f>'eLLE Bals'!CB62*'Oxidant Feed Composition'!$N$21</f>
        <v>1.8281753326828334</v>
      </c>
      <c r="CN62">
        <f>'eLLE Bals'!CB62*'Oxidant Feed Composition'!$N$22</f>
        <v>0.54845259980484995</v>
      </c>
      <c r="CO62">
        <f>CN62/CK62</f>
        <v>0.83333333333333326</v>
      </c>
      <c r="CP62">
        <f>CO62</f>
        <v>0.83333333333333326</v>
      </c>
      <c r="CQ62">
        <f>CL62/CO62</f>
        <v>4.3876207984388023E-2</v>
      </c>
      <c r="CR62">
        <f>CM62/CO62</f>
        <v>2.1938103992194002</v>
      </c>
      <c r="CS62">
        <f>BN62*BA62</f>
        <v>2.0872364334642199</v>
      </c>
      <c r="CT62">
        <f>CS62/2*1.2</f>
        <v>1.2523418600785319</v>
      </c>
      <c r="CU62">
        <f>'eLLE Bals'!CC62*'Oxidant Feed Composition'!$N$20</f>
        <v>6.95745477821407E-2</v>
      </c>
      <c r="CV62">
        <f>'eLLE Bals'!CC62*'Oxidant Feed Composition'!$N$21</f>
        <v>3.4787273891070338</v>
      </c>
      <c r="CW62">
        <f>'eLLE Bals'!CC62*'Oxidant Feed Composition'!$N$22</f>
        <v>1.04361821673211</v>
      </c>
      <c r="CX62">
        <f>CU62/CP62</f>
        <v>8.3489457338568843E-2</v>
      </c>
      <c r="CY62">
        <f>CV62/CP62</f>
        <v>4.1744728669284408</v>
      </c>
      <c r="CZ62">
        <f>CJ62</f>
        <v>1.0969051996096999</v>
      </c>
      <c r="DA62">
        <f>'eLLE Bals'!BQ62</f>
        <v>2.1938103992193998</v>
      </c>
      <c r="DB62">
        <f>'eLLE Bals'!BU62</f>
        <v>5.5060448198242016</v>
      </c>
      <c r="DC62">
        <f>CS62</f>
        <v>2.0872364334642199</v>
      </c>
      <c r="DD62">
        <f>'eLLE Bals'!BX62</f>
        <v>4.1744728669284399</v>
      </c>
      <c r="DE62">
        <f>'eLLE Bals'!CA62</f>
        <v>24.680011217660351</v>
      </c>
      <c r="DF62">
        <f>2*2*(CJ62*'Reagent cost'!$C$36*122.44/1000*1.5+CK62*'Oxidant Feed Composition'!$N$26+CQ62*'Reagent cost'!$C$34+CR62*'Reagent cost'!$C$35)</f>
        <v>111.62232060062847</v>
      </c>
      <c r="DG62">
        <f>2*2*(CS62*'Reagent cost'!$C$36*122.44/1000*1.5+CT62*'Oxidant Feed Composition'!$N$26+CX62*'Reagent cost'!$C$34+CY62*'Reagent cost'!$C$35)</f>
        <v>212.39955324157003</v>
      </c>
      <c r="DH62">
        <f>(AF62+3)*2*(CZ62*'Reagent cost'!$C$38+DA62*'Reagent cost'!$C$39+DB62*'Reagent cost'!$C$36*122.44/1000*1.5)</f>
        <v>1068.2477786891905</v>
      </c>
      <c r="DI62">
        <f>3*2*(DC62*'Reagent cost'!$C$38+DD62*'Reagent cost'!$C$39+DE62*'Reagent cost'!$C$36*122.44/1000*1.5)</f>
        <v>1976.4338622589628</v>
      </c>
      <c r="DJ62">
        <f>7963.6*(CB62/1000)^0.6*1.7*('CAPEX+OPEX'!$G$116/'CAPEX+OPEX'!$G$115)</f>
        <v>2140.0916471558648</v>
      </c>
      <c r="DK62">
        <f>7963.6*(CC62/1000)^0.6*1.7*('CAPEX+OPEX'!$G$116/'CAPEX+OPEX'!$G$115)</f>
        <v>6199.9215410229135</v>
      </c>
      <c r="DL62">
        <f>7963.6*(CD62/1000)^0.6*1.7*('CAPEX+OPEX'!$G$116/'CAPEX+OPEX'!$G$115)</f>
        <v>3148.2840056223422</v>
      </c>
      <c r="DM62">
        <f>7963.6*(CE62/1000)^0.6*1.7*('CAPEX+OPEX'!$G$116/'CAPEX+OPEX'!$G$115)</f>
        <v>6958.1320052385299</v>
      </c>
      <c r="DN62">
        <f>'TEA Revised Non EYZ'!CM62</f>
        <v>39625.826528698344</v>
      </c>
      <c r="DO62">
        <f>'TEA Revised Non EYZ'!CN62</f>
        <v>4586243.4239371875</v>
      </c>
      <c r="DP62">
        <f>'TEA Revised Non EYZ'!CO62</f>
        <v>11794834.586807497</v>
      </c>
      <c r="DQ62">
        <f>'TEA Revised Non EYZ'!CP62</f>
        <v>2275209.1661185985</v>
      </c>
      <c r="DR62">
        <f>'TEA Revised Non EYZ'!CQ62</f>
        <v>14083914.336508472</v>
      </c>
      <c r="DS62">
        <f>'TEA Revised Non EYZ'!CR62</f>
        <v>1662824.8986326549</v>
      </c>
      <c r="DT62">
        <f>'TEA Revised Non EYZ'!CS62</f>
        <v>800322.53402245743</v>
      </c>
      <c r="DU62">
        <f>'TEA Revised Non EYZ'!CT62</f>
        <v>2058257.9318883498</v>
      </c>
      <c r="DV62">
        <f>'TEA Revised Non EYZ'!CU62</f>
        <v>397035.437708179</v>
      </c>
      <c r="DW62">
        <f>'TEA Revised Non EYZ'!CV62</f>
        <v>2457713.856163613</v>
      </c>
      <c r="DX62">
        <f>'TEA Revised Non EYZ'!CW62</f>
        <v>290171.30437591631</v>
      </c>
      <c r="DY62">
        <f>'TEA Revised Non EYZ'!CX62</f>
        <v>6003501.064158516</v>
      </c>
      <c r="DZ62">
        <f>'TEA Revised Non EYZ'!CY62</f>
        <v>498640.04312959599</v>
      </c>
      <c r="EA62">
        <f>'TEA Revised Non EYZ'!CZ62</f>
        <v>1282395.2597839017</v>
      </c>
      <c r="EB62">
        <f>'TEA Revised Non EYZ'!DA62</f>
        <v>247372.47717834351</v>
      </c>
      <c r="EC62">
        <f>'TEA Revised Non EYZ'!DB62</f>
        <v>1531275.8183605524</v>
      </c>
      <c r="ED62">
        <f>'TEA Revised Non EYZ'!DC62</f>
        <v>180790.90064071334</v>
      </c>
      <c r="EE62">
        <f>'TEA Revised Non EYZ'!DD62</f>
        <v>3740474.4990931074</v>
      </c>
      <c r="EF62">
        <v>0.7</v>
      </c>
      <c r="EG62">
        <v>100</v>
      </c>
      <c r="EH62">
        <f>96485*BL62*V62/EF62/EG62/60</f>
        <v>25.198785281986165</v>
      </c>
      <c r="EI62">
        <f>96485*BN62*BA62/EF62/EG62/60</f>
        <v>47.949287448284593</v>
      </c>
      <c r="EJ62">
        <f>EH62*('CAPEX+OPEX'!$O$25+'CAPEX+OPEX'!$O$26)</f>
        <v>803135.68450746301</v>
      </c>
      <c r="EK62">
        <f>EI62*('CAPEX+OPEX'!$O$25+'CAPEX+OPEX'!$O$26)</f>
        <v>1528239.6895517264</v>
      </c>
      <c r="EL62">
        <f>EJ62*1.12/0.6*'CAPEX+OPEX'!$G$116/'CAPEX+OPEX'!$G$115</f>
        <v>1768228.0006537526</v>
      </c>
      <c r="EM62">
        <f>EK62*1.12/0.6*'CAPEX+OPEX'!$G$116/'CAPEX+OPEX'!$G$115</f>
        <v>3364657.1344080912</v>
      </c>
      <c r="EN62">
        <f>EL62+EM62+DY62+EE62+1.15*(SUM(DF62:DM62)+SUM(CF62:CI62))</f>
        <v>14943165.300837265</v>
      </c>
      <c r="EO62">
        <f>EN62/15</f>
        <v>996211.02005581767</v>
      </c>
      <c r="EP62">
        <f>('eLLE Bals'!CB62+'eLLE Bals'!CC62)*'Oxidant Feed Composition'!$N$28*60*7200</f>
        <v>17701199.946593884</v>
      </c>
      <c r="EQ62" s="53">
        <f>('eLLE Bals'!BR62+'eLLE Bals'!BY62)*'Reagent cost'!$C$38*60*7200*1.5</f>
        <v>759751.0917701819</v>
      </c>
      <c r="ER62">
        <f>'TEA Revised Non EYZ'!DI62</f>
        <v>504921.59999999998</v>
      </c>
      <c r="ES62">
        <f>'TEA Revised Non EYZ'!DJ62</f>
        <v>64.915952102738927</v>
      </c>
      <c r="ET62">
        <f>'TEA Revised Non EYZ'!DK62</f>
        <v>586.98896367094324</v>
      </c>
      <c r="EU62">
        <f>1.2*SUM(EP62:ET62)</f>
        <v>22759829.451935809</v>
      </c>
      <c r="EV62">
        <f>'TEA Revised Non EYZ'!DM62</f>
        <v>0.70639694042110623</v>
      </c>
      <c r="EW62">
        <f>(BS62*CO62+BT62*CP62)/1000*('Oxidant Feed Composition'!$B$11*'Oxidant Feed Composition'!$O$20+'Oxidant Feed Composition'!$D$11*'Oxidant Feed Composition'!$O$21+'Oxidant Feed Composition'!$F$11*'Oxidant Feed Composition'!$O$27-'Oxidant Feed Composition'!$J$15*18.015)</f>
        <v>1.8592925795669317</v>
      </c>
      <c r="EX62">
        <f>(CZ62*BX62+DC62*BZ62)*368.34/1000</f>
        <v>0.10224252889810335</v>
      </c>
      <c r="EY62">
        <f>'TEA Revised Non EYZ'!DP62</f>
        <v>4.999938342565946E-2</v>
      </c>
      <c r="EZ62">
        <f>SUM(EV62:EX62)-EY62</f>
        <v>2.617932665460482</v>
      </c>
      <c r="FA62">
        <f>EZ62*0.33*60*7200</f>
        <v>373212.48078804638</v>
      </c>
      <c r="FB62">
        <f>'TEA Revised Non EYZ'!DS62</f>
        <v>1.2</v>
      </c>
      <c r="FC62">
        <v>0.5</v>
      </c>
      <c r="FD62">
        <f>'TEA Revised Non EYZ'!DT62</f>
        <v>1398.9459464463214</v>
      </c>
      <c r="FE62">
        <f>'TEA Revised Non EYZ'!DU62</f>
        <v>712.75787536363475</v>
      </c>
      <c r="FF62">
        <f>'TEA Revised Non EYZ'!DV62</f>
        <v>0.7</v>
      </c>
      <c r="FG62">
        <f>'TEA Revised Non EYZ'!DW62</f>
        <v>44032.441905260595</v>
      </c>
      <c r="FH62">
        <f>'TEA Revised Non EYZ'!DX62</f>
        <v>41526.098972294596</v>
      </c>
      <c r="FI62">
        <f>'TEA Revised Non EYZ'!DY62</f>
        <v>17581.614484237631</v>
      </c>
      <c r="FJ62">
        <f>'TEA Revised Non EYZ'!DZ62</f>
        <v>9313.4716969742931</v>
      </c>
      <c r="FK62">
        <f>'TEA Revised Non EYZ'!EA62</f>
        <v>9376.8610582600722</v>
      </c>
      <c r="FL62">
        <f>'TEA Revised Non EYZ'!EB62</f>
        <v>846.08250841073527</v>
      </c>
      <c r="FM62">
        <f>'TEA Revised Non EYZ'!EC62</f>
        <v>28285.175261081924</v>
      </c>
      <c r="FN62">
        <f>'TEA Revised Non EYZ'!ED62</f>
        <v>19397.041035374452</v>
      </c>
      <c r="FO62">
        <f>'TEA Revised Non EYZ'!EE62</f>
        <v>8212.4568899770857</v>
      </c>
      <c r="FP62">
        <f>'TEA Revised Non EYZ'!EF62</f>
        <v>4352.7892707765368</v>
      </c>
      <c r="FQ62">
        <f>'TEA Revised Non EYZ'!EG62</f>
        <v>4379.977007987779</v>
      </c>
      <c r="FR62">
        <f>'TEA Revised Non EYZ'!EH62</f>
        <v>431.07596301992629</v>
      </c>
      <c r="FS62">
        <f>'TEA Revised Non EYZ'!EI62</f>
        <v>187735.08605365563</v>
      </c>
      <c r="FT62">
        <f>EG62*EH62</f>
        <v>2519.8785281986166</v>
      </c>
      <c r="FU62">
        <f>EG62*EI62</f>
        <v>4794.9287448284595</v>
      </c>
      <c r="FV62">
        <f>FC62*(FT62+FU62)/(3.6*10^6)*3600*7200*0.07</f>
        <v>1843.3314328028234</v>
      </c>
      <c r="FW62">
        <f>('CAPEX+OPEX'!$C$39/7/100+0.03)*EL62</f>
        <v>90937.440033621562</v>
      </c>
      <c r="FX62">
        <f>('CAPEX+OPEX'!$C$39/7/100+0.03)*EM62</f>
        <v>173039.50976955896</v>
      </c>
      <c r="FY62">
        <f>SUM(FV62:FX62)</f>
        <v>265820.28123598336</v>
      </c>
      <c r="FZ62">
        <f>FY62+FA62+FS62+EU62</f>
        <v>23586597.300013494</v>
      </c>
      <c r="GA62">
        <f>FZ62+EO62</f>
        <v>24582808.320069313</v>
      </c>
      <c r="GB62">
        <f>GA62/(BK62*60*7200)</f>
        <v>0.56904648889049336</v>
      </c>
      <c r="GC62">
        <f>'TEA Revised Non EYZ'!EM62/'TEA Revised Non EYZ'!EK62*GA62</f>
        <v>1913.1793931243897</v>
      </c>
      <c r="GD62">
        <f>'TEA Revised Non EYZ'!EN62/'TEA Revised Non EYZ'!EK62*GA62</f>
        <v>3462.3489201922803</v>
      </c>
    </row>
    <row r="63" spans="1:186">
      <c r="A63">
        <f>'TEA Revised Non EYZ'!A63</f>
        <v>9</v>
      </c>
      <c r="B63">
        <f>'TEA Revised Non EYZ'!B63</f>
        <v>1.54143585092054E-3</v>
      </c>
      <c r="C63">
        <f>'TEA Revised Non EYZ'!C63</f>
        <v>1.54143585092054E-3</v>
      </c>
      <c r="D63">
        <f>'TEA Revised Non EYZ'!D63</f>
        <v>3.4254130020456501E-4</v>
      </c>
      <c r="E63">
        <f>'TEA Revised Non EYZ'!E63</f>
        <v>0</v>
      </c>
      <c r="F63">
        <f>'TEA Revised Non EYZ'!F63</f>
        <v>0</v>
      </c>
      <c r="G63">
        <f>'TEA Revised Non EYZ'!G63</f>
        <v>0</v>
      </c>
      <c r="H63">
        <f>'TEA Revised Non EYZ'!H63</f>
        <v>1.7768596981705501E-5</v>
      </c>
      <c r="I63">
        <f>'TEA Revised Non EYZ'!I63</f>
        <v>1.5331283704498101E-9</v>
      </c>
      <c r="J63">
        <f>'TEA Revised Non EYZ'!J63</f>
        <v>3.3763247208936601E-4</v>
      </c>
      <c r="K63">
        <f>'TEA Revised Non EYZ'!K63</f>
        <v>0.13890601070001499</v>
      </c>
      <c r="L63">
        <f>'TEA Revised Non EYZ'!L63</f>
        <v>0.14052575540227799</v>
      </c>
      <c r="M63">
        <f>'TEA Revised Non EYZ'!M63</f>
        <v>4.4751616793740602E-4</v>
      </c>
      <c r="N63">
        <f>'TEA Revised Non EYZ'!N63</f>
        <v>-5.0090140368830299E-17</v>
      </c>
      <c r="O63">
        <f>'TEA Revised Non EYZ'!O63</f>
        <v>-6.2343793322261397E-15</v>
      </c>
      <c r="P63">
        <f>'TEA Revised Non EYZ'!P63</f>
        <v>1.7787691892340301E-20</v>
      </c>
      <c r="Q63">
        <f>'TEA Revised Non EYZ'!Q63</f>
        <v>0.10969051996097</v>
      </c>
      <c r="R63">
        <f>'TEA Revised Non EYZ'!R63</f>
        <v>98.566938318892298</v>
      </c>
      <c r="S63">
        <f>'TEA Revised Non EYZ'!S63</f>
        <v>500</v>
      </c>
      <c r="T63">
        <f>'TEA Revised Non EYZ'!T63</f>
        <v>95</v>
      </c>
      <c r="U63">
        <f>'TEA Revised Non EYZ'!U63</f>
        <v>1</v>
      </c>
      <c r="V63">
        <f>'TEA Revised Non EYZ'!V63</f>
        <v>0.1</v>
      </c>
      <c r="W63">
        <f>'TEA Revised Non EYZ'!W63</f>
        <v>91.165581160141301</v>
      </c>
      <c r="X63" t="str">
        <f>'TEA Revised Non EYZ'!X63</f>
        <v>ddFc</v>
      </c>
      <c r="Y63">
        <f>'TEA Revised Non EYZ'!Y63</f>
        <v>1</v>
      </c>
      <c r="Z63">
        <f>'TEA Revised Non EYZ'!Z63</f>
        <v>0.28318429382522198</v>
      </c>
      <c r="AA63">
        <f>'TEA Revised Non EYZ'!AA63</f>
        <v>0.56945642916197003</v>
      </c>
      <c r="AB63">
        <f>'TEA Revised Non EYZ'!AB63</f>
        <v>3.7698628972227502E-3</v>
      </c>
      <c r="AC63">
        <f>'TEA Revised Non EYZ'!AC63</f>
        <v>1822.2107908876901</v>
      </c>
      <c r="AD63">
        <f>'TEA Revised Non EYZ'!AD63</f>
        <v>2662.6059073104898</v>
      </c>
      <c r="AE63">
        <f>'TEA Revised Non EYZ'!AE63</f>
        <v>2401.5030938442701</v>
      </c>
      <c r="AF63">
        <f>'TEA Revised Non EYZ'!AF63</f>
        <v>5</v>
      </c>
      <c r="AG63">
        <f>'TEA Revised Non EYZ'!AG63</f>
        <v>1.6497485970141401E-3</v>
      </c>
      <c r="AH63">
        <f>'TEA Revised Non EYZ'!AH63</f>
        <v>1.6689858606617799E-3</v>
      </c>
      <c r="AI63">
        <f>'TEA Revised Non EYZ'!AI63</f>
        <v>5.3150268046377499E-6</v>
      </c>
      <c r="AJ63">
        <f>'TEA Revised Non EYZ'!AJ63</f>
        <v>0</v>
      </c>
      <c r="AK63">
        <f>'TEA Revised Non EYZ'!AK63</f>
        <v>0</v>
      </c>
      <c r="AL63">
        <f>'TEA Revised Non EYZ'!AL63</f>
        <v>0</v>
      </c>
      <c r="AM63">
        <f>'TEA Revised Non EYZ'!AM63</f>
        <v>1.6104360946851499E-3</v>
      </c>
      <c r="AN63">
        <f>'TEA Revised Non EYZ'!AN63</f>
        <v>7.9481866578997695E-5</v>
      </c>
      <c r="AO63">
        <f>'TEA Revised Non EYZ'!AO63</f>
        <v>5.2779279086813702E-6</v>
      </c>
      <c r="AP63">
        <f>'TEA Revised Non EYZ'!AP63</f>
        <v>1.8118422491867001E-3</v>
      </c>
      <c r="AQ63">
        <f>'TEA Revised Non EYZ'!AQ63</f>
        <v>7.32573690584577E-2</v>
      </c>
      <c r="AR63">
        <f>'TEA Revised Non EYZ'!AR63</f>
        <v>1.7098211283888001E-6</v>
      </c>
      <c r="AS63">
        <f>'TEA Revised Non EYZ'!AS63</f>
        <v>-4.5211230592645498E-17</v>
      </c>
      <c r="AT63">
        <f>'TEA Revised Non EYZ'!AT63</f>
        <v>1.8735013540549499E-16</v>
      </c>
      <c r="AU63">
        <f>'TEA Revised Non EYZ'!AU63</f>
        <v>-3.54430348866721E-20</v>
      </c>
      <c r="AV63">
        <f>'TEA Revised Non EYZ'!AV63</f>
        <v>0.20039305783583899</v>
      </c>
      <c r="AW63">
        <f>'TEA Revised Non EYZ'!AW63</f>
        <v>99.301999833302602</v>
      </c>
      <c r="AX63">
        <f>'TEA Revised Non EYZ'!AX63</f>
        <v>500</v>
      </c>
      <c r="AY63">
        <f>'TEA Revised Non EYZ'!AY63</f>
        <v>95</v>
      </c>
      <c r="AZ63">
        <f>'TEA Revised Non EYZ'!AZ63</f>
        <v>0.92357542033771201</v>
      </c>
      <c r="BA63">
        <f>'TEA Revised Non EYZ'!BA63</f>
        <v>0.1</v>
      </c>
      <c r="BB63">
        <f>'TEA Revised Non EYZ'!BB63</f>
        <v>46.088194387167597</v>
      </c>
      <c r="BC63" t="str">
        <f>'TEA Revised Non EYZ'!BC63</f>
        <v>coeFc</v>
      </c>
      <c r="BD63">
        <f>'TEA Revised Non EYZ'!BD63</f>
        <v>1</v>
      </c>
      <c r="BE63">
        <f>'TEA Revised Non EYZ'!BE63</f>
        <v>1.8775014999999999E-2</v>
      </c>
      <c r="BF63">
        <f>'TEA Revised Non EYZ'!BF63</f>
        <v>0.10492961100000001</v>
      </c>
      <c r="BG63">
        <f>'TEA Revised Non EYZ'!BG63</f>
        <v>1.814625E-3</v>
      </c>
      <c r="BH63">
        <f>'TEA Revised Non EYZ'!BH63</f>
        <v>285.1951444</v>
      </c>
      <c r="BI63">
        <f>'TEA Revised Non EYZ'!BI63</f>
        <v>2169.8944889999998</v>
      </c>
      <c r="BJ63">
        <f>'TEA Revised Non EYZ'!BJ63</f>
        <v>866.49409060000005</v>
      </c>
      <c r="BK63">
        <f>'TEA Revised Non EYZ'!BK63</f>
        <v>100</v>
      </c>
      <c r="BL63">
        <f>'TEA Revised Non EYZ'!BL63</f>
        <v>10.969051996096999</v>
      </c>
      <c r="BM63">
        <f>'TEA Revised Non EYZ'!BM63</f>
        <v>92.357542033771196</v>
      </c>
      <c r="BN63">
        <f>'TEA Revised Non EYZ'!BN63</f>
        <v>20.039305783583899</v>
      </c>
      <c r="BO63">
        <f>'TEA Revised Non EYZ'!BO63</f>
        <v>241.31914391413397</v>
      </c>
      <c r="BP63">
        <f>'TEA Revised Non EYZ'!BP63</f>
        <v>280.55028097017458</v>
      </c>
      <c r="BQ63">
        <f>'TEA Revised Non EYZ'!BQ63</f>
        <v>24.1319143914134</v>
      </c>
      <c r="BR63">
        <f>'TEA Revised Non EYZ'!BR63</f>
        <v>28.055028097017459</v>
      </c>
      <c r="BS63">
        <f>'eLLE Bals'!CF63</f>
        <v>6.5814311976581994</v>
      </c>
      <c r="BT63">
        <f>'eLLE Bals'!CG63</f>
        <v>12.023583470150339</v>
      </c>
      <c r="BU63">
        <f>BM63</f>
        <v>92.357542033771196</v>
      </c>
      <c r="BV63">
        <f>BU63*(AM63*2+AN63*2+AO63*3)</f>
        <v>0.31361570762818863</v>
      </c>
      <c r="BW63">
        <f>BN63*BA63*(AP63*2+AQ63*2+AR63*3)</f>
        <v>0.3008772551538002</v>
      </c>
      <c r="BX63">
        <f>BV63/(2*V63*BL63+BV63)</f>
        <v>0.1250747556515138</v>
      </c>
      <c r="BY63">
        <f>BU63*BX63</f>
        <v>11.551597002448347</v>
      </c>
      <c r="BZ63">
        <f>BW63/(2*BN63*BA63+BW63)</f>
        <v>6.9829547861360752E-2</v>
      </c>
      <c r="CA63">
        <f>2*BN63*BA63/0.04</f>
        <v>100.19652891791949</v>
      </c>
      <c r="CB63">
        <f>(BS63+BL63)*2</f>
        <v>35.100966387510397</v>
      </c>
      <c r="CC63">
        <f>(BU63+BL63)*2</f>
        <v>206.65318805973638</v>
      </c>
      <c r="CD63">
        <f>(BT63+BN63)*2</f>
        <v>64.125778507468482</v>
      </c>
      <c r="CE63">
        <f>(CA63+BN63)*2</f>
        <v>240.47166940300679</v>
      </c>
      <c r="CF63">
        <f>'TEA Revised Non EYZ'!CB63</f>
        <v>3185.4126996665682</v>
      </c>
      <c r="CG63">
        <f>'TEA Revised Non EYZ'!CC63</f>
        <v>3703.2637088063047</v>
      </c>
      <c r="CH63">
        <f>'TEA Revised Non EYZ'!CD63</f>
        <v>3848.5686313477631</v>
      </c>
      <c r="CI63">
        <f>'TEA Revised Non EYZ'!CE63</f>
        <v>28563.602125810481</v>
      </c>
      <c r="CJ63">
        <f>BL63*V63</f>
        <v>1.0969051996096999</v>
      </c>
      <c r="CK63">
        <f>CJ63/2*1.2</f>
        <v>0.65814311976581996</v>
      </c>
      <c r="CL63">
        <f>'eLLE Bals'!CB63*'Oxidant Feed Composition'!$N$20</f>
        <v>3.656350665365668E-2</v>
      </c>
      <c r="CM63">
        <f>'eLLE Bals'!CB63*'Oxidant Feed Composition'!$N$21</f>
        <v>1.8281753326828334</v>
      </c>
      <c r="CN63">
        <f>'eLLE Bals'!CB63*'Oxidant Feed Composition'!$N$22</f>
        <v>0.54845259980484995</v>
      </c>
      <c r="CO63">
        <f>CN63/CK63</f>
        <v>0.83333333333333326</v>
      </c>
      <c r="CP63">
        <f>CO63</f>
        <v>0.83333333333333326</v>
      </c>
      <c r="CQ63">
        <f>CL63/CO63</f>
        <v>4.3876207984388023E-2</v>
      </c>
      <c r="CR63">
        <f>CM63/CO63</f>
        <v>2.1938103992194002</v>
      </c>
      <c r="CS63">
        <f>BN63*BA63</f>
        <v>2.0039305783583901</v>
      </c>
      <c r="CT63">
        <f>CS63/2*1.2</f>
        <v>1.2023583470150341</v>
      </c>
      <c r="CU63">
        <f>'eLLE Bals'!CC63*'Oxidant Feed Composition'!$N$20</f>
        <v>6.6797685945279697E-2</v>
      </c>
      <c r="CV63">
        <f>'eLLE Bals'!CC63*'Oxidant Feed Composition'!$N$21</f>
        <v>3.3398842972639837</v>
      </c>
      <c r="CW63">
        <f>'eLLE Bals'!CC63*'Oxidant Feed Composition'!$N$22</f>
        <v>1.001965289179195</v>
      </c>
      <c r="CX63">
        <f>CU63/CP63</f>
        <v>8.015722313433564E-2</v>
      </c>
      <c r="CY63">
        <f>CV63/CP63</f>
        <v>4.007861156716781</v>
      </c>
      <c r="CZ63">
        <f>CJ63</f>
        <v>1.0969051996096999</v>
      </c>
      <c r="DA63">
        <f>'eLLE Bals'!BQ63</f>
        <v>2.1938103992193998</v>
      </c>
      <c r="DB63">
        <f>'eLLE Bals'!BU63</f>
        <v>5.4792811434863644</v>
      </c>
      <c r="DC63">
        <f>CS63</f>
        <v>2.0039305783583901</v>
      </c>
      <c r="DD63">
        <f>'eLLE Bals'!BX63</f>
        <v>4.0078611567167801</v>
      </c>
      <c r="DE63">
        <f>'eLLE Bals'!CA63</f>
        <v>22.685667144896161</v>
      </c>
      <c r="DF63">
        <f>2*2*(CJ63*'Reagent cost'!$C$36*122.44/1000*1.5+CK63*'Oxidant Feed Composition'!$N$26+CQ63*'Reagent cost'!$C$34+CR63*'Reagent cost'!$C$35)</f>
        <v>111.62232060062847</v>
      </c>
      <c r="DG63">
        <f>2*2*(CS63*'Reagent cost'!$C$36*122.44/1000*1.5+CT63*'Oxidant Feed Composition'!$N$26+CX63*'Reagent cost'!$C$34+CY63*'Reagent cost'!$C$35)</f>
        <v>203.92225468391797</v>
      </c>
      <c r="DH63">
        <f>(AF63+3)*2*(CZ63*'Reagent cost'!$C$38+DA63*'Reagent cost'!$C$39+DB63*'Reagent cost'!$C$36*122.44/1000*1.5)</f>
        <v>1215.3005764698476</v>
      </c>
      <c r="DI63">
        <f>3*2*(DC63*'Reagent cost'!$C$38+DD63*'Reagent cost'!$C$39+DE63*'Reagent cost'!$C$36*122.44/1000*1.5)</f>
        <v>1819.0050833963685</v>
      </c>
      <c r="DJ63">
        <f>7963.6*(CB63/1000)^0.6*1.7*('CAPEX+OPEX'!$G$116/'CAPEX+OPEX'!$G$115)</f>
        <v>2140.0916471558648</v>
      </c>
      <c r="DK63">
        <f>7963.6*(CC63/1000)^0.6*1.7*('CAPEX+OPEX'!$G$116/'CAPEX+OPEX'!$G$115)</f>
        <v>6199.9215410229135</v>
      </c>
      <c r="DL63">
        <f>7963.6*(CD63/1000)^0.6*1.7*('CAPEX+OPEX'!$G$116/'CAPEX+OPEX'!$G$115)</f>
        <v>3072.2780514246729</v>
      </c>
      <c r="DM63">
        <f>7963.6*(CE63/1000)^0.6*1.7*('CAPEX+OPEX'!$G$116/'CAPEX+OPEX'!$G$115)</f>
        <v>6790.148601725049</v>
      </c>
      <c r="DN63">
        <f>'TEA Revised Non EYZ'!CM63</f>
        <v>39625.826528698344</v>
      </c>
      <c r="DO63">
        <f>'TEA Revised Non EYZ'!CN63</f>
        <v>4586243.4239371875</v>
      </c>
      <c r="DP63">
        <f>'TEA Revised Non EYZ'!CO63</f>
        <v>11794834.586807497</v>
      </c>
      <c r="DQ63">
        <f>'TEA Revised Non EYZ'!CP63</f>
        <v>2275209.1661185985</v>
      </c>
      <c r="DR63">
        <f>'TEA Revised Non EYZ'!CQ63</f>
        <v>14083914.336508472</v>
      </c>
      <c r="DS63">
        <f>'TEA Revised Non EYZ'!CR63</f>
        <v>1662824.8986326549</v>
      </c>
      <c r="DT63">
        <f>'TEA Revised Non EYZ'!CS63</f>
        <v>800322.53402245743</v>
      </c>
      <c r="DU63">
        <f>'TEA Revised Non EYZ'!CT63</f>
        <v>2058257.9318883498</v>
      </c>
      <c r="DV63">
        <f>'TEA Revised Non EYZ'!CU63</f>
        <v>397035.437708179</v>
      </c>
      <c r="DW63">
        <f>'TEA Revised Non EYZ'!CV63</f>
        <v>2457713.856163613</v>
      </c>
      <c r="DX63">
        <f>'TEA Revised Non EYZ'!CW63</f>
        <v>290171.30437591631</v>
      </c>
      <c r="DY63">
        <f>'TEA Revised Non EYZ'!CX63</f>
        <v>6003501.064158516</v>
      </c>
      <c r="DZ63">
        <f>'TEA Revised Non EYZ'!CY63</f>
        <v>556283.14213476516</v>
      </c>
      <c r="EA63">
        <f>'TEA Revised Non EYZ'!CZ63</f>
        <v>1430640.9491183041</v>
      </c>
      <c r="EB63">
        <f>'TEA Revised Non EYZ'!DA63</f>
        <v>275968.88933900755</v>
      </c>
      <c r="EC63">
        <f>'TEA Revised Non EYZ'!DB63</f>
        <v>1708292.2550028826</v>
      </c>
      <c r="ED63">
        <f>'TEA Revised Non EYZ'!DC63</f>
        <v>201690.44115787523</v>
      </c>
      <c r="EE63">
        <f>'TEA Revised Non EYZ'!DD63</f>
        <v>4172875.6767528341</v>
      </c>
      <c r="EF63">
        <v>0.7</v>
      </c>
      <c r="EG63">
        <v>100</v>
      </c>
      <c r="EH63">
        <f>96485*BL63*V63/EF63/EG63/60</f>
        <v>25.198785281986165</v>
      </c>
      <c r="EI63">
        <f>96485*BN63*BA63/EF63/EG63/60</f>
        <v>46.035533774502213</v>
      </c>
      <c r="EJ63">
        <f>EH63*('CAPEX+OPEX'!$O$25+'CAPEX+OPEX'!$O$26)</f>
        <v>803135.68450746301</v>
      </c>
      <c r="EK63">
        <f>EI63*('CAPEX+OPEX'!$O$25+'CAPEX+OPEX'!$O$26)</f>
        <v>1467244.5324609345</v>
      </c>
      <c r="EL63">
        <f>EJ63*1.12/0.6*'CAPEX+OPEX'!$G$116/'CAPEX+OPEX'!$G$115</f>
        <v>1768228.0006537526</v>
      </c>
      <c r="EM63">
        <f>EK63*1.12/0.6*'CAPEX+OPEX'!$G$116/'CAPEX+OPEX'!$G$115</f>
        <v>3230366.8186461213</v>
      </c>
      <c r="EN63">
        <f>EL63+EM63+DY63+EE63+1.15*(SUM(DF63:DM63)+SUM(CF63:CI63))</f>
        <v>15244952.668039652</v>
      </c>
      <c r="EO63">
        <f>EN63/15</f>
        <v>1016330.1778693101</v>
      </c>
      <c r="EP63">
        <f>('eLLE Bals'!CB63+'eLLE Bals'!CC63)*'Oxidant Feed Composition'!$N$28*60*7200</f>
        <v>17238088.135663949</v>
      </c>
      <c r="EQ63" s="53">
        <f>('eLLE Bals'!BR63+'eLLE Bals'!BY63)*'Reagent cost'!$C$38*60*7200*1.5</f>
        <v>758525.46144298068</v>
      </c>
      <c r="ER63">
        <f>'TEA Revised Non EYZ'!DI63</f>
        <v>504921.59999999998</v>
      </c>
      <c r="ES63">
        <f>'TEA Revised Non EYZ'!DJ63</f>
        <v>68.886764084728725</v>
      </c>
      <c r="ET63">
        <f>'TEA Revised Non EYZ'!DK63</f>
        <v>648.24341514316495</v>
      </c>
      <c r="EU63">
        <f>1.2*SUM(EP63:ET63)</f>
        <v>22202702.792743389</v>
      </c>
      <c r="EV63">
        <f>'TEA Revised Non EYZ'!DM63</f>
        <v>0.70639694042110623</v>
      </c>
      <c r="EW63">
        <f>(BS63*CO63+BT63*CP63)/1000*('Oxidant Feed Composition'!$B$11*'Oxidant Feed Composition'!$O$20+'Oxidant Feed Composition'!$D$11*'Oxidant Feed Composition'!$O$21+'Oxidant Feed Composition'!$F$11*'Oxidant Feed Composition'!$O$27-'Oxidant Feed Composition'!$J$15*18.015)</f>
        <v>1.810648399727727</v>
      </c>
      <c r="EX63">
        <f>(CZ63*BX63+DC63*BZ63)*368.34/1000</f>
        <v>0.10207759126852348</v>
      </c>
      <c r="EY63">
        <f>'TEA Revised Non EYZ'!DP63</f>
        <v>4.999938342565946E-2</v>
      </c>
      <c r="EZ63">
        <f>SUM(EV63:EX63)-EY63</f>
        <v>2.5691235479916972</v>
      </c>
      <c r="FA63">
        <f>EZ63*0.33*60*7200</f>
        <v>366254.25300169637</v>
      </c>
      <c r="FB63">
        <f>'TEA Revised Non EYZ'!DS63</f>
        <v>1.2</v>
      </c>
      <c r="FC63">
        <v>0.5</v>
      </c>
      <c r="FD63">
        <f>'TEA Revised Non EYZ'!DT63</f>
        <v>1403.8281404593017</v>
      </c>
      <c r="FE63">
        <f>'TEA Revised Non EYZ'!DU63</f>
        <v>707.87568128545342</v>
      </c>
      <c r="FF63">
        <f>'TEA Revised Non EYZ'!DV63</f>
        <v>0.7</v>
      </c>
      <c r="FG63">
        <f>'TEA Revised Non EYZ'!DW63</f>
        <v>44032.441905260595</v>
      </c>
      <c r="FH63">
        <f>'TEA Revised Non EYZ'!DX63</f>
        <v>41526.098972294596</v>
      </c>
      <c r="FI63">
        <f>'TEA Revised Non EYZ'!DY63</f>
        <v>17581.614484237631</v>
      </c>
      <c r="FJ63">
        <f>'TEA Revised Non EYZ'!DZ63</f>
        <v>9313.4716969742931</v>
      </c>
      <c r="FK63">
        <f>'TEA Revised Non EYZ'!EA63</f>
        <v>9376.8610582600722</v>
      </c>
      <c r="FL63">
        <f>'TEA Revised Non EYZ'!EB63</f>
        <v>849.03525934978575</v>
      </c>
      <c r="FM63">
        <f>'TEA Revised Non EYZ'!EC63</f>
        <v>30856.554830271187</v>
      </c>
      <c r="FN63">
        <f>'TEA Revised Non EYZ'!ED63</f>
        <v>23276.449242449344</v>
      </c>
      <c r="FO63">
        <f>'TEA Revised Non EYZ'!EE63</f>
        <v>9854.9482679725043</v>
      </c>
      <c r="FP63">
        <f>'TEA Revised Non EYZ'!EF63</f>
        <v>5223.3471249318445</v>
      </c>
      <c r="FQ63">
        <f>'TEA Revised Non EYZ'!EG63</f>
        <v>5255.9724095853353</v>
      </c>
      <c r="FR63">
        <f>'TEA Revised Non EYZ'!EH63</f>
        <v>428.12321204144223</v>
      </c>
      <c r="FS63">
        <f>'TEA Revised Non EYZ'!EI63</f>
        <v>197574.91846362862</v>
      </c>
      <c r="FT63">
        <f>EG63*EH63</f>
        <v>2519.8785281986166</v>
      </c>
      <c r="FU63">
        <f>EG63*EI63</f>
        <v>4603.553377450221</v>
      </c>
      <c r="FV63">
        <f>FC63*(FT63+FU63)/(3.6*10^6)*3600*7200*0.07</f>
        <v>1795.1048402235074</v>
      </c>
      <c r="FW63">
        <f>('CAPEX+OPEX'!$C$39/7/100+0.03)*EL63</f>
        <v>90937.440033621562</v>
      </c>
      <c r="FX63">
        <f>('CAPEX+OPEX'!$C$39/7/100+0.03)*EM63</f>
        <v>166133.1506732291</v>
      </c>
      <c r="FY63">
        <f>SUM(FV63:FX63)</f>
        <v>258865.69554707417</v>
      </c>
      <c r="FZ63">
        <f>FY63+FA63+FS63+EU63</f>
        <v>23025397.659755789</v>
      </c>
      <c r="GA63">
        <f>FZ63+EO63</f>
        <v>24041727.837625097</v>
      </c>
      <c r="GB63">
        <f>GA63/(BK63*60*7200)</f>
        <v>0.55652147772280314</v>
      </c>
      <c r="GC63">
        <f>'TEA Revised Non EYZ'!EM63/'TEA Revised Non EYZ'!EK63*GA63</f>
        <v>1864.5581341647587</v>
      </c>
      <c r="GD63">
        <f>'TEA Revised Non EYZ'!EN63/'TEA Revised Non EYZ'!EK63*GA63</f>
        <v>3407.6764179762908</v>
      </c>
    </row>
    <row r="64" spans="1:186">
      <c r="A64">
        <f>'TEA Revised Non EYZ'!A64</f>
        <v>9</v>
      </c>
      <c r="B64">
        <f>'TEA Revised Non EYZ'!B64</f>
        <v>1.54143585092054E-3</v>
      </c>
      <c r="C64">
        <f>'TEA Revised Non EYZ'!C64</f>
        <v>1.54143585092054E-3</v>
      </c>
      <c r="D64">
        <f>'TEA Revised Non EYZ'!D64</f>
        <v>3.4254130020456501E-4</v>
      </c>
      <c r="E64">
        <f>'TEA Revised Non EYZ'!E64</f>
        <v>0</v>
      </c>
      <c r="F64">
        <f>'TEA Revised Non EYZ'!F64</f>
        <v>0</v>
      </c>
      <c r="G64">
        <f>'TEA Revised Non EYZ'!G64</f>
        <v>0</v>
      </c>
      <c r="H64">
        <f>'TEA Revised Non EYZ'!H64</f>
        <v>1.7768596981705501E-5</v>
      </c>
      <c r="I64">
        <f>'TEA Revised Non EYZ'!I64</f>
        <v>1.5331283704498101E-9</v>
      </c>
      <c r="J64">
        <f>'TEA Revised Non EYZ'!J64</f>
        <v>3.3763247208936601E-4</v>
      </c>
      <c r="K64">
        <f>'TEA Revised Non EYZ'!K64</f>
        <v>0.13890601070001499</v>
      </c>
      <c r="L64">
        <f>'TEA Revised Non EYZ'!L64</f>
        <v>0.14052575540227799</v>
      </c>
      <c r="M64">
        <f>'TEA Revised Non EYZ'!M64</f>
        <v>4.4751616793740602E-4</v>
      </c>
      <c r="N64">
        <f>'TEA Revised Non EYZ'!N64</f>
        <v>-5.0090140368830299E-17</v>
      </c>
      <c r="O64">
        <f>'TEA Revised Non EYZ'!O64</f>
        <v>-6.2343793322261397E-15</v>
      </c>
      <c r="P64">
        <f>'TEA Revised Non EYZ'!P64</f>
        <v>1.7787691892340301E-20</v>
      </c>
      <c r="Q64">
        <f>'TEA Revised Non EYZ'!Q64</f>
        <v>0.10969051996097</v>
      </c>
      <c r="R64">
        <f>'TEA Revised Non EYZ'!R64</f>
        <v>98.566938318892298</v>
      </c>
      <c r="S64">
        <f>'TEA Revised Non EYZ'!S64</f>
        <v>500</v>
      </c>
      <c r="T64">
        <f>'TEA Revised Non EYZ'!T64</f>
        <v>95</v>
      </c>
      <c r="U64">
        <f>'TEA Revised Non EYZ'!U64</f>
        <v>1</v>
      </c>
      <c r="V64">
        <f>'TEA Revised Non EYZ'!V64</f>
        <v>0.1</v>
      </c>
      <c r="W64">
        <f>'TEA Revised Non EYZ'!W64</f>
        <v>91.165581160141301</v>
      </c>
      <c r="X64" t="str">
        <f>'TEA Revised Non EYZ'!X64</f>
        <v>ddFc</v>
      </c>
      <c r="Y64">
        <f>'TEA Revised Non EYZ'!Y64</f>
        <v>1</v>
      </c>
      <c r="Z64">
        <f>'TEA Revised Non EYZ'!Z64</f>
        <v>0.28318429382522198</v>
      </c>
      <c r="AA64">
        <f>'TEA Revised Non EYZ'!AA64</f>
        <v>0.56945642916197003</v>
      </c>
      <c r="AB64">
        <f>'TEA Revised Non EYZ'!AB64</f>
        <v>3.7698628972227502E-3</v>
      </c>
      <c r="AC64">
        <f>'TEA Revised Non EYZ'!AC64</f>
        <v>1822.2107908876901</v>
      </c>
      <c r="AD64">
        <f>'TEA Revised Non EYZ'!AD64</f>
        <v>2662.6059073104898</v>
      </c>
      <c r="AE64">
        <f>'TEA Revised Non EYZ'!AE64</f>
        <v>2401.5030938442701</v>
      </c>
      <c r="AF64">
        <f>'TEA Revised Non EYZ'!AF64</f>
        <v>6</v>
      </c>
      <c r="AG64">
        <f>'TEA Revised Non EYZ'!AG64</f>
        <v>1.6497485970141401E-3</v>
      </c>
      <c r="AH64">
        <f>'TEA Revised Non EYZ'!AH64</f>
        <v>1.6689858606617799E-3</v>
      </c>
      <c r="AI64">
        <f>'TEA Revised Non EYZ'!AI64</f>
        <v>5.3150268046377499E-6</v>
      </c>
      <c r="AJ64">
        <f>'TEA Revised Non EYZ'!AJ64</f>
        <v>0</v>
      </c>
      <c r="AK64">
        <f>'TEA Revised Non EYZ'!AK64</f>
        <v>0</v>
      </c>
      <c r="AL64">
        <f>'TEA Revised Non EYZ'!AL64</f>
        <v>0</v>
      </c>
      <c r="AM64">
        <f>'TEA Revised Non EYZ'!AM64</f>
        <v>1.6121184009261799E-3</v>
      </c>
      <c r="AN64">
        <f>'TEA Revised Non EYZ'!AN64</f>
        <v>7.9568883775184404E-5</v>
      </c>
      <c r="AO64">
        <f>'TEA Revised Non EYZ'!AO64</f>
        <v>5.27945332060777E-6</v>
      </c>
      <c r="AP64">
        <f>'TEA Revised Non EYZ'!AP64</f>
        <v>1.7562244702796299E-3</v>
      </c>
      <c r="AQ64">
        <f>'TEA Revised Non EYZ'!AQ64</f>
        <v>7.4179071024813498E-2</v>
      </c>
      <c r="AR64">
        <f>'TEA Revised Non EYZ'!AR64</f>
        <v>1.6602364494864499E-6</v>
      </c>
      <c r="AS64">
        <f>'TEA Revised Non EYZ'!AS64</f>
        <v>-2.22939071717331E-18</v>
      </c>
      <c r="AT64">
        <f>'TEA Revised Non EYZ'!AT64</f>
        <v>-1.51137782844479E-16</v>
      </c>
      <c r="AU64">
        <f>'TEA Revised Non EYZ'!AU64</f>
        <v>-1.53524721689841E-21</v>
      </c>
      <c r="AV64">
        <f>'TEA Revised Non EYZ'!AV64</f>
        <v>0.19789226694805201</v>
      </c>
      <c r="AW64">
        <f>'TEA Revised Non EYZ'!AW64</f>
        <v>99.330699818880703</v>
      </c>
      <c r="AX64">
        <f>'TEA Revised Non EYZ'!AX64</f>
        <v>500</v>
      </c>
      <c r="AY64">
        <f>'TEA Revised Non EYZ'!AY64</f>
        <v>95</v>
      </c>
      <c r="AZ64">
        <f>'TEA Revised Non EYZ'!AZ64</f>
        <v>0.92357542033771201</v>
      </c>
      <c r="BA64">
        <f>'TEA Revised Non EYZ'!BA64</f>
        <v>0.1</v>
      </c>
      <c r="BB64">
        <f>'TEA Revised Non EYZ'!BB64</f>
        <v>46.670617027200798</v>
      </c>
      <c r="BC64" t="str">
        <f>'TEA Revised Non EYZ'!BC64</f>
        <v>coeFc</v>
      </c>
      <c r="BD64">
        <f>'TEA Revised Non EYZ'!BD64</f>
        <v>1</v>
      </c>
      <c r="BE64">
        <f>'TEA Revised Non EYZ'!BE64</f>
        <v>1.8775014999999999E-2</v>
      </c>
      <c r="BF64">
        <f>'TEA Revised Non EYZ'!BF64</f>
        <v>0.10492961100000001</v>
      </c>
      <c r="BG64">
        <f>'TEA Revised Non EYZ'!BG64</f>
        <v>1.814625E-3</v>
      </c>
      <c r="BH64">
        <f>'TEA Revised Non EYZ'!BH64</f>
        <v>285.1951444</v>
      </c>
      <c r="BI64">
        <f>'TEA Revised Non EYZ'!BI64</f>
        <v>2169.8944889999998</v>
      </c>
      <c r="BJ64">
        <f>'TEA Revised Non EYZ'!BJ64</f>
        <v>866.49409060000005</v>
      </c>
      <c r="BK64">
        <f>'TEA Revised Non EYZ'!BK64</f>
        <v>100</v>
      </c>
      <c r="BL64">
        <f>'TEA Revised Non EYZ'!BL64</f>
        <v>10.969051996096999</v>
      </c>
      <c r="BM64">
        <f>'TEA Revised Non EYZ'!BM64</f>
        <v>92.357542033771196</v>
      </c>
      <c r="BN64">
        <f>'TEA Revised Non EYZ'!BN64</f>
        <v>19.789226694805201</v>
      </c>
      <c r="BO64">
        <f>'TEA Revised Non EYZ'!BO64</f>
        <v>241.31914391413397</v>
      </c>
      <c r="BP64">
        <f>'TEA Revised Non EYZ'!BP64</f>
        <v>316.62762711688322</v>
      </c>
      <c r="BQ64">
        <f>'TEA Revised Non EYZ'!BQ64</f>
        <v>24.1319143914134</v>
      </c>
      <c r="BR64">
        <f>'TEA Revised Non EYZ'!BR64</f>
        <v>31.662762711688323</v>
      </c>
      <c r="BS64">
        <f>'eLLE Bals'!CF64</f>
        <v>6.5814311976581994</v>
      </c>
      <c r="BT64">
        <f>'eLLE Bals'!CG64</f>
        <v>11.87353601688312</v>
      </c>
      <c r="BU64">
        <f>BM64</f>
        <v>92.357542033771196</v>
      </c>
      <c r="BV64">
        <f>BU64*(AM64*2+AN64*2+AO64*3)</f>
        <v>0.31394295100552511</v>
      </c>
      <c r="BW64">
        <f>BN64*BA64*(AP64*2+AQ64*2+AR64*3)</f>
        <v>0.30055001177652341</v>
      </c>
      <c r="BX64">
        <f>BV64/(2*V64*BL64+BV64)</f>
        <v>0.12518892696419567</v>
      </c>
      <c r="BY64">
        <f>BU64*BX64</f>
        <v>11.562141584258415</v>
      </c>
      <c r="BZ64">
        <f>BW64/(2*BN64*BA64+BW64)</f>
        <v>7.0578231240194148E-2</v>
      </c>
      <c r="CA64">
        <f>2*BN64*BA64/0.04</f>
        <v>98.946133474026013</v>
      </c>
      <c r="CB64">
        <f>(BS64+BL64)*2</f>
        <v>35.100966387510397</v>
      </c>
      <c r="CC64">
        <f>(BU64+BL64)*2</f>
        <v>206.65318805973638</v>
      </c>
      <c r="CD64">
        <f>(BT64+BN64)*2</f>
        <v>63.325525423376646</v>
      </c>
      <c r="CE64">
        <f>(CA64+BN64)*2</f>
        <v>237.47072033766244</v>
      </c>
      <c r="CF64">
        <f>'TEA Revised Non EYZ'!CB64</f>
        <v>3185.4126996665682</v>
      </c>
      <c r="CG64">
        <f>'TEA Revised Non EYZ'!CC64</f>
        <v>4179.484677942859</v>
      </c>
      <c r="CH64">
        <f>'TEA Revised Non EYZ'!CD64</f>
        <v>3848.5686313477631</v>
      </c>
      <c r="CI64">
        <f>'TEA Revised Non EYZ'!CE64</f>
        <v>32236.736786471469</v>
      </c>
      <c r="CJ64">
        <f>BL64*V64</f>
        <v>1.0969051996096999</v>
      </c>
      <c r="CK64">
        <f>CJ64/2*1.2</f>
        <v>0.65814311976581996</v>
      </c>
      <c r="CL64">
        <f>'eLLE Bals'!CB64*'Oxidant Feed Composition'!$N$20</f>
        <v>3.656350665365668E-2</v>
      </c>
      <c r="CM64">
        <f>'eLLE Bals'!CB64*'Oxidant Feed Composition'!$N$21</f>
        <v>1.8281753326828334</v>
      </c>
      <c r="CN64">
        <f>'eLLE Bals'!CB64*'Oxidant Feed Composition'!$N$22</f>
        <v>0.54845259980484995</v>
      </c>
      <c r="CO64">
        <f>CN64/CK64</f>
        <v>0.83333333333333326</v>
      </c>
      <c r="CP64">
        <f>CO64</f>
        <v>0.83333333333333326</v>
      </c>
      <c r="CQ64">
        <f>CL64/CO64</f>
        <v>4.3876207984388023E-2</v>
      </c>
      <c r="CR64">
        <f>CM64/CO64</f>
        <v>2.1938103992194002</v>
      </c>
      <c r="CS64">
        <f>BN64*BA64</f>
        <v>1.9789226694805202</v>
      </c>
      <c r="CT64">
        <f>CS64/2*1.2</f>
        <v>1.1873536016883122</v>
      </c>
      <c r="CU64">
        <f>'eLLE Bals'!CC64*'Oxidant Feed Composition'!$N$20</f>
        <v>6.5964088982684035E-2</v>
      </c>
      <c r="CV64">
        <f>'eLLE Bals'!CC64*'Oxidant Feed Composition'!$N$21</f>
        <v>3.2982044491342006</v>
      </c>
      <c r="CW64">
        <f>'eLLE Bals'!CC64*'Oxidant Feed Composition'!$N$22</f>
        <v>0.9894613347402601</v>
      </c>
      <c r="CX64">
        <f>CU64/CP64</f>
        <v>7.9156906779220854E-2</v>
      </c>
      <c r="CY64">
        <f>CV64/CP64</f>
        <v>3.9578453389610413</v>
      </c>
      <c r="CZ64">
        <f>CJ64</f>
        <v>1.0969051996096999</v>
      </c>
      <c r="DA64">
        <f>'eLLE Bals'!BQ64</f>
        <v>2.1938103992193998</v>
      </c>
      <c r="DB64">
        <f>'eLLE Bals'!BU64</f>
        <v>5.4712829757209347</v>
      </c>
      <c r="DC64">
        <f>CS64</f>
        <v>1.9789226694805202</v>
      </c>
      <c r="DD64">
        <f>'eLLE Bals'!BX64</f>
        <v>3.9578453389610404</v>
      </c>
      <c r="DE64">
        <f>'eLLE Bals'!CA64</f>
        <v>22.101943570285687</v>
      </c>
      <c r="DF64">
        <f>2*2*(CJ64*'Reagent cost'!$C$36*122.44/1000*1.5+CK64*'Oxidant Feed Composition'!$N$26+CQ64*'Reagent cost'!$C$34+CR64*'Reagent cost'!$C$35)</f>
        <v>111.62232060062847</v>
      </c>
      <c r="DG64">
        <f>2*2*(CS64*'Reagent cost'!$C$36*122.44/1000*1.5+CT64*'Oxidant Feed Composition'!$N$26+CX64*'Reagent cost'!$C$34+CY64*'Reagent cost'!$C$35)</f>
        <v>201.37742143551131</v>
      </c>
      <c r="DH64">
        <f>(AF64+3)*2*(CZ64*'Reagent cost'!$C$38+DA64*'Reagent cost'!$C$39+DB64*'Reagent cost'!$C$36*122.44/1000*1.5)</f>
        <v>1365.3458863195433</v>
      </c>
      <c r="DI64">
        <f>3*2*(DC64*'Reagent cost'!$C$38+DD64*'Reagent cost'!$C$39+DE64*'Reagent cost'!$C$36*122.44/1000*1.5)</f>
        <v>1772.9106119276216</v>
      </c>
      <c r="DJ64">
        <f>7963.6*(CB64/1000)^0.6*1.7*('CAPEX+OPEX'!$G$116/'CAPEX+OPEX'!$G$115)</f>
        <v>2140.0916471558648</v>
      </c>
      <c r="DK64">
        <f>7963.6*(CC64/1000)^0.6*1.7*('CAPEX+OPEX'!$G$116/'CAPEX+OPEX'!$G$115)</f>
        <v>6199.9215410229135</v>
      </c>
      <c r="DL64">
        <f>7963.6*(CD64/1000)^0.6*1.7*('CAPEX+OPEX'!$G$116/'CAPEX+OPEX'!$G$115)</f>
        <v>3049.2161337270823</v>
      </c>
      <c r="DM64">
        <f>7963.6*(CE64/1000)^0.6*1.7*('CAPEX+OPEX'!$G$116/'CAPEX+OPEX'!$G$115)</f>
        <v>6739.1786551296318</v>
      </c>
      <c r="DN64">
        <f>'TEA Revised Non EYZ'!CM64</f>
        <v>39625.826528698344</v>
      </c>
      <c r="DO64">
        <f>'TEA Revised Non EYZ'!CN64</f>
        <v>4586243.4239371875</v>
      </c>
      <c r="DP64">
        <f>'TEA Revised Non EYZ'!CO64</f>
        <v>11794834.586807497</v>
      </c>
      <c r="DQ64">
        <f>'TEA Revised Non EYZ'!CP64</f>
        <v>2275209.1661185985</v>
      </c>
      <c r="DR64">
        <f>'TEA Revised Non EYZ'!CQ64</f>
        <v>14083914.336508472</v>
      </c>
      <c r="DS64">
        <f>'TEA Revised Non EYZ'!CR64</f>
        <v>1662824.8986326549</v>
      </c>
      <c r="DT64">
        <f>'TEA Revised Non EYZ'!CS64</f>
        <v>800322.53402245743</v>
      </c>
      <c r="DU64">
        <f>'TEA Revised Non EYZ'!CT64</f>
        <v>2058257.9318883498</v>
      </c>
      <c r="DV64">
        <f>'TEA Revised Non EYZ'!CU64</f>
        <v>397035.437708179</v>
      </c>
      <c r="DW64">
        <f>'TEA Revised Non EYZ'!CV64</f>
        <v>2457713.856163613</v>
      </c>
      <c r="DX64">
        <f>'TEA Revised Non EYZ'!CW64</f>
        <v>290171.30437591631</v>
      </c>
      <c r="DY64">
        <f>'TEA Revised Non EYZ'!CX64</f>
        <v>6003501.064158516</v>
      </c>
      <c r="DZ64">
        <f>'TEA Revised Non EYZ'!CY64</f>
        <v>610188.43601728987</v>
      </c>
      <c r="EA64">
        <f>'TEA Revised Non EYZ'!CZ64</f>
        <v>1569273.8052329933</v>
      </c>
      <c r="EB64">
        <f>'TEA Revised Non EYZ'!DA64</f>
        <v>302710.99772856798</v>
      </c>
      <c r="EC64">
        <f>'TEA Revised Non EYZ'!DB64</f>
        <v>1873830.2500781715</v>
      </c>
      <c r="ED64">
        <f>'TEA Revised Non EYZ'!DC64</f>
        <v>221234.77331611529</v>
      </c>
      <c r="EE64">
        <f>'TEA Revised Non EYZ'!DD64</f>
        <v>4577238.2623731382</v>
      </c>
      <c r="EF64">
        <v>0.7</v>
      </c>
      <c r="EG64">
        <v>100</v>
      </c>
      <c r="EH64">
        <f>96485*BL64*V64/EF64/EG64/60</f>
        <v>25.198785281986165</v>
      </c>
      <c r="EI64">
        <f>96485*BN64*BA64/EF64/EG64/60</f>
        <v>45.461036610673332</v>
      </c>
      <c r="EJ64">
        <f>EH64*('CAPEX+OPEX'!$O$25+'CAPEX+OPEX'!$O$26)</f>
        <v>803135.68450746301</v>
      </c>
      <c r="EK64">
        <f>EI64*('CAPEX+OPEX'!$O$25+'CAPEX+OPEX'!$O$26)</f>
        <v>1448934.1588553805</v>
      </c>
      <c r="EL64">
        <f>EJ64*1.12/0.6*'CAPEX+OPEX'!$G$116/'CAPEX+OPEX'!$G$115</f>
        <v>1768228.0006537526</v>
      </c>
      <c r="EM64">
        <f>EK64*1.12/0.6*'CAPEX+OPEX'!$G$116/'CAPEX+OPEX'!$G$115</f>
        <v>3190053.6860879189</v>
      </c>
      <c r="EN64">
        <f>EL64+EM64+DY64+EE64+1.15*(SUM(DF64:DM64)+SUM(CF64:CI64))</f>
        <v>15613805.360337984</v>
      </c>
      <c r="EO64">
        <f>EN64/15</f>
        <v>1040920.3573558655</v>
      </c>
      <c r="EP64">
        <f>('eLLE Bals'!CB64+'eLLE Bals'!CC64)*'Oxidant Feed Composition'!$N$28*60*7200</f>
        <v>17099064.798669346</v>
      </c>
      <c r="EQ64" s="53">
        <f>('eLLE Bals'!BR64+'eLLE Bals'!BY64)*'Reagent cost'!$C$38*60*7200*1.5</f>
        <v>758143.72166281403</v>
      </c>
      <c r="ER64">
        <f>'TEA Revised Non EYZ'!DI64</f>
        <v>504921.59999999998</v>
      </c>
      <c r="ES64">
        <f>'TEA Revised Non EYZ'!DJ64</f>
        <v>73.64897377609428</v>
      </c>
      <c r="ET64">
        <f>'TEA Revised Non EYZ'!DK64</f>
        <v>721.70610835638468</v>
      </c>
      <c r="EU64">
        <f>1.2*SUM(EP64:ET64)</f>
        <v>22035510.570497159</v>
      </c>
      <c r="EV64">
        <f>'TEA Revised Non EYZ'!DM64</f>
        <v>0.70639694042110623</v>
      </c>
      <c r="EW64">
        <f>(BS64*CO64+BT64*CP64)/1000*('Oxidant Feed Composition'!$B$11*'Oxidant Feed Composition'!$O$20+'Oxidant Feed Composition'!$D$11*'Oxidant Feed Composition'!$O$21+'Oxidant Feed Composition'!$F$11*'Oxidant Feed Composition'!$O$27-'Oxidant Feed Composition'!$J$15*18.015)</f>
        <v>1.796045714054407</v>
      </c>
      <c r="EX64">
        <f>(CZ64*BX64+DC64*BZ64)*368.34/1000</f>
        <v>0.10202621912713671</v>
      </c>
      <c r="EY64">
        <f>'TEA Revised Non EYZ'!DP64</f>
        <v>4.999938342565946E-2</v>
      </c>
      <c r="EZ64">
        <f>SUM(EV64:EX64)-EY64</f>
        <v>2.5544694901769907</v>
      </c>
      <c r="FA64">
        <f>EZ64*0.33*60*7200</f>
        <v>364165.17051963182</v>
      </c>
      <c r="FB64">
        <f>'TEA Revised Non EYZ'!DS64</f>
        <v>1.2</v>
      </c>
      <c r="FC64">
        <v>0.5</v>
      </c>
      <c r="FD64">
        <f>'TEA Revised Non EYZ'!DT64</f>
        <v>1405.2937722269342</v>
      </c>
      <c r="FE64">
        <f>'TEA Revised Non EYZ'!DU64</f>
        <v>706.41004951793764</v>
      </c>
      <c r="FF64">
        <f>'TEA Revised Non EYZ'!DV64</f>
        <v>0.7</v>
      </c>
      <c r="FG64">
        <f>'TEA Revised Non EYZ'!DW64</f>
        <v>44032.441905260595</v>
      </c>
      <c r="FH64">
        <f>'TEA Revised Non EYZ'!DX64</f>
        <v>41526.098972294596</v>
      </c>
      <c r="FI64">
        <f>'TEA Revised Non EYZ'!DY64</f>
        <v>17581.614484237631</v>
      </c>
      <c r="FJ64">
        <f>'TEA Revised Non EYZ'!DZ64</f>
        <v>9313.4716969742931</v>
      </c>
      <c r="FK64">
        <f>'TEA Revised Non EYZ'!EA64</f>
        <v>9376.8610582600722</v>
      </c>
      <c r="FL64">
        <f>'TEA Revised Non EYZ'!EB64</f>
        <v>849.92167344284985</v>
      </c>
      <c r="FM64">
        <f>'TEA Revised Non EYZ'!EC64</f>
        <v>33427.93439946045</v>
      </c>
      <c r="FN64">
        <f>'TEA Revised Non EYZ'!ED64</f>
        <v>27155.857449524232</v>
      </c>
      <c r="FO64">
        <f>'TEA Revised Non EYZ'!EE64</f>
        <v>11497.439645967921</v>
      </c>
      <c r="FP64">
        <f>'TEA Revised Non EYZ'!EF64</f>
        <v>6093.9049790871513</v>
      </c>
      <c r="FQ64">
        <f>'TEA Revised Non EYZ'!EG64</f>
        <v>6131.9678111828907</v>
      </c>
      <c r="FR64">
        <f>'TEA Revised Non EYZ'!EH64</f>
        <v>427.23679794844873</v>
      </c>
      <c r="FS64">
        <f>'TEA Revised Non EYZ'!EI64</f>
        <v>207414.75087364111</v>
      </c>
      <c r="FT64">
        <f>EG64*EH64</f>
        <v>2519.8785281986166</v>
      </c>
      <c r="FU64">
        <f>EG64*EI64</f>
        <v>4546.1036610673336</v>
      </c>
      <c r="FV64">
        <f>FC64*(FT64+FU64)/(3.6*10^6)*3600*7200*0.07</f>
        <v>1780.6275116950194</v>
      </c>
      <c r="FW64">
        <f>('CAPEX+OPEX'!$C$39/7/100+0.03)*EL64</f>
        <v>90937.440033621562</v>
      </c>
      <c r="FX64">
        <f>('CAPEX+OPEX'!$C$39/7/100+0.03)*EM64</f>
        <v>164059.90385595011</v>
      </c>
      <c r="FY64">
        <f>SUM(FV64:FX64)</f>
        <v>256777.9714012667</v>
      </c>
      <c r="FZ64">
        <f>FY64+FA64+FS64+EU64</f>
        <v>22863868.463291697</v>
      </c>
      <c r="GA64">
        <f>FZ64+EO64</f>
        <v>23904788.820647564</v>
      </c>
      <c r="GB64">
        <f>GA64/(BK64*60*7200)</f>
        <v>0.55335159307054549</v>
      </c>
      <c r="GC64">
        <f>'TEA Revised Non EYZ'!EM64/'TEA Revised Non EYZ'!EK64*GA64</f>
        <v>1852.003083575707</v>
      </c>
      <c r="GD64">
        <f>'TEA Revised Non EYZ'!EN64/'TEA Revised Non EYZ'!EK64*GA64</f>
        <v>3394.7480817505148</v>
      </c>
    </row>
    <row r="65" spans="1:186">
      <c r="A65">
        <f>'TEA Revised Non EYZ'!A65</f>
        <v>9</v>
      </c>
      <c r="B65">
        <f>'TEA Revised Non EYZ'!B65</f>
        <v>1.54143585092054E-3</v>
      </c>
      <c r="C65">
        <f>'TEA Revised Non EYZ'!C65</f>
        <v>1.54143585092054E-3</v>
      </c>
      <c r="D65">
        <f>'TEA Revised Non EYZ'!D65</f>
        <v>3.4254130020456501E-4</v>
      </c>
      <c r="E65">
        <f>'TEA Revised Non EYZ'!E65</f>
        <v>0</v>
      </c>
      <c r="F65">
        <f>'TEA Revised Non EYZ'!F65</f>
        <v>0</v>
      </c>
      <c r="G65">
        <f>'TEA Revised Non EYZ'!G65</f>
        <v>0</v>
      </c>
      <c r="H65">
        <f>'TEA Revised Non EYZ'!H65</f>
        <v>1.7768596981705501E-5</v>
      </c>
      <c r="I65">
        <f>'TEA Revised Non EYZ'!I65</f>
        <v>1.5331283704498101E-9</v>
      </c>
      <c r="J65">
        <f>'TEA Revised Non EYZ'!J65</f>
        <v>3.3763247208936601E-4</v>
      </c>
      <c r="K65">
        <f>'TEA Revised Non EYZ'!K65</f>
        <v>0.13890601070001499</v>
      </c>
      <c r="L65">
        <f>'TEA Revised Non EYZ'!L65</f>
        <v>0.14052575540227799</v>
      </c>
      <c r="M65">
        <f>'TEA Revised Non EYZ'!M65</f>
        <v>4.4751616793740602E-4</v>
      </c>
      <c r="N65">
        <f>'TEA Revised Non EYZ'!N65</f>
        <v>-5.0090140368830299E-17</v>
      </c>
      <c r="O65">
        <f>'TEA Revised Non EYZ'!O65</f>
        <v>-6.2343793322261397E-15</v>
      </c>
      <c r="P65">
        <f>'TEA Revised Non EYZ'!P65</f>
        <v>1.7787691892340301E-20</v>
      </c>
      <c r="Q65">
        <f>'TEA Revised Non EYZ'!Q65</f>
        <v>0.10969051996097</v>
      </c>
      <c r="R65">
        <f>'TEA Revised Non EYZ'!R65</f>
        <v>98.566938318892298</v>
      </c>
      <c r="S65">
        <f>'TEA Revised Non EYZ'!S65</f>
        <v>500</v>
      </c>
      <c r="T65">
        <f>'TEA Revised Non EYZ'!T65</f>
        <v>95</v>
      </c>
      <c r="U65">
        <f>'TEA Revised Non EYZ'!U65</f>
        <v>1</v>
      </c>
      <c r="V65">
        <f>'TEA Revised Non EYZ'!V65</f>
        <v>0.1</v>
      </c>
      <c r="W65">
        <f>'TEA Revised Non EYZ'!W65</f>
        <v>91.165581160141301</v>
      </c>
      <c r="X65" t="str">
        <f>'TEA Revised Non EYZ'!X65</f>
        <v>ddFc</v>
      </c>
      <c r="Y65">
        <f>'TEA Revised Non EYZ'!Y65</f>
        <v>1</v>
      </c>
      <c r="Z65">
        <f>'TEA Revised Non EYZ'!Z65</f>
        <v>0.28318429382522198</v>
      </c>
      <c r="AA65">
        <f>'TEA Revised Non EYZ'!AA65</f>
        <v>0.56945642916197003</v>
      </c>
      <c r="AB65">
        <f>'TEA Revised Non EYZ'!AB65</f>
        <v>3.7698628972227502E-3</v>
      </c>
      <c r="AC65">
        <f>'TEA Revised Non EYZ'!AC65</f>
        <v>1822.2107908876901</v>
      </c>
      <c r="AD65">
        <f>'TEA Revised Non EYZ'!AD65</f>
        <v>2662.6059073104898</v>
      </c>
      <c r="AE65">
        <f>'TEA Revised Non EYZ'!AE65</f>
        <v>2401.5030938442701</v>
      </c>
      <c r="AF65">
        <f>'TEA Revised Non EYZ'!AF65</f>
        <v>7</v>
      </c>
      <c r="AG65">
        <f>'TEA Revised Non EYZ'!AG65</f>
        <v>1.6497485970141401E-3</v>
      </c>
      <c r="AH65">
        <f>'TEA Revised Non EYZ'!AH65</f>
        <v>1.6689858606617799E-3</v>
      </c>
      <c r="AI65">
        <f>'TEA Revised Non EYZ'!AI65</f>
        <v>5.3150268046377499E-6</v>
      </c>
      <c r="AJ65">
        <f>'TEA Revised Non EYZ'!AJ65</f>
        <v>0</v>
      </c>
      <c r="AK65">
        <f>'TEA Revised Non EYZ'!AK65</f>
        <v>0</v>
      </c>
      <c r="AL65">
        <f>'TEA Revised Non EYZ'!AL65</f>
        <v>0</v>
      </c>
      <c r="AM65">
        <f>'TEA Revised Non EYZ'!AM65</f>
        <v>1.6126074648206801E-3</v>
      </c>
      <c r="AN65">
        <f>'TEA Revised Non EYZ'!AN65</f>
        <v>7.9594180322832604E-5</v>
      </c>
      <c r="AO65">
        <f>'TEA Revised Non EYZ'!AO65</f>
        <v>5.2798967729928503E-6</v>
      </c>
      <c r="AP65">
        <f>'TEA Revised Non EYZ'!AP65</f>
        <v>1.73979110112154E-3</v>
      </c>
      <c r="AQ65">
        <f>'TEA Revised Non EYZ'!AQ65</f>
        <v>7.4451405715099297E-2</v>
      </c>
      <c r="AR65">
        <f>'TEA Revised Non EYZ'!AR65</f>
        <v>1.64558571126931E-6</v>
      </c>
      <c r="AS65">
        <f>'TEA Revised Non EYZ'!AS65</f>
        <v>-4.4791102250807402E-18</v>
      </c>
      <c r="AT65">
        <f>'TEA Revised Non EYZ'!AT65</f>
        <v>-1.7100036664441299E-15</v>
      </c>
      <c r="AU65">
        <f>'TEA Revised Non EYZ'!AU65</f>
        <v>-4.5064799771888903E-21</v>
      </c>
      <c r="AV65">
        <f>'TEA Revised Non EYZ'!AV65</f>
        <v>0.19716526171033899</v>
      </c>
      <c r="AW65">
        <f>'TEA Revised Non EYZ'!AW65</f>
        <v>99.339043189504693</v>
      </c>
      <c r="AX65">
        <f>'TEA Revised Non EYZ'!AX65</f>
        <v>500</v>
      </c>
      <c r="AY65">
        <f>'TEA Revised Non EYZ'!AY65</f>
        <v>95</v>
      </c>
      <c r="AZ65">
        <f>'TEA Revised Non EYZ'!AZ65</f>
        <v>0.92357542033771201</v>
      </c>
      <c r="BA65">
        <f>'TEA Revised Non EYZ'!BA65</f>
        <v>0.1</v>
      </c>
      <c r="BB65">
        <f>'TEA Revised Non EYZ'!BB65</f>
        <v>46.842705065081802</v>
      </c>
      <c r="BC65" t="str">
        <f>'TEA Revised Non EYZ'!BC65</f>
        <v>coeFc</v>
      </c>
      <c r="BD65">
        <f>'TEA Revised Non EYZ'!BD65</f>
        <v>1</v>
      </c>
      <c r="BE65">
        <f>'TEA Revised Non EYZ'!BE65</f>
        <v>1.8775014999999999E-2</v>
      </c>
      <c r="BF65">
        <f>'TEA Revised Non EYZ'!BF65</f>
        <v>0.10492961100000001</v>
      </c>
      <c r="BG65">
        <f>'TEA Revised Non EYZ'!BG65</f>
        <v>1.814625E-3</v>
      </c>
      <c r="BH65">
        <f>'TEA Revised Non EYZ'!BH65</f>
        <v>285.1951444</v>
      </c>
      <c r="BI65">
        <f>'TEA Revised Non EYZ'!BI65</f>
        <v>2169.8944889999998</v>
      </c>
      <c r="BJ65">
        <f>'TEA Revised Non EYZ'!BJ65</f>
        <v>866.49409060000005</v>
      </c>
      <c r="BK65">
        <f>'TEA Revised Non EYZ'!BK65</f>
        <v>100</v>
      </c>
      <c r="BL65">
        <f>'TEA Revised Non EYZ'!BL65</f>
        <v>10.969051996096999</v>
      </c>
      <c r="BM65">
        <f>'TEA Revised Non EYZ'!BM65</f>
        <v>92.357542033771196</v>
      </c>
      <c r="BN65">
        <f>'TEA Revised Non EYZ'!BN65</f>
        <v>19.716526171033898</v>
      </c>
      <c r="BO65">
        <f>'TEA Revised Non EYZ'!BO65</f>
        <v>241.31914391413397</v>
      </c>
      <c r="BP65">
        <f>'TEA Revised Non EYZ'!BP65</f>
        <v>354.89747107861018</v>
      </c>
      <c r="BQ65">
        <f>'TEA Revised Non EYZ'!BQ65</f>
        <v>24.1319143914134</v>
      </c>
      <c r="BR65">
        <f>'TEA Revised Non EYZ'!BR65</f>
        <v>35.489747107861021</v>
      </c>
      <c r="BS65">
        <f>'eLLE Bals'!CF65</f>
        <v>6.5814311976581994</v>
      </c>
      <c r="BT65">
        <f>'eLLE Bals'!CG65</f>
        <v>11.829915702620339</v>
      </c>
      <c r="BU65">
        <f>BM65</f>
        <v>92.357542033771196</v>
      </c>
      <c r="BV65">
        <f>BU65*(AM65*2+AN65*2+AO65*3)</f>
        <v>0.31403808400635447</v>
      </c>
      <c r="BW65">
        <f>BN65*BA65*(AP65*2+AQ65*2+AR65*3)</f>
        <v>0.30045487877600546</v>
      </c>
      <c r="BX65">
        <f>BV65/(2*V65*BL65+BV65)</f>
        <v>0.12522211214387988</v>
      </c>
      <c r="BY65">
        <f>BU65*BX65</f>
        <v>11.565206485885996</v>
      </c>
      <c r="BZ65">
        <f>BW65/(2*BN65*BA65+BW65)</f>
        <v>7.0799213616442286E-2</v>
      </c>
      <c r="CA65">
        <f>2*BN65*BA65/0.04</f>
        <v>98.582630855169498</v>
      </c>
      <c r="CB65">
        <f>(BS65+BL65)*2</f>
        <v>35.100966387510397</v>
      </c>
      <c r="CC65">
        <f>(BU65+BL65)*2</f>
        <v>206.65318805973638</v>
      </c>
      <c r="CD65">
        <f>(BT65+BN65)*2</f>
        <v>63.092883747308477</v>
      </c>
      <c r="CE65">
        <f>(CA65+BN65)*2</f>
        <v>236.59831405240681</v>
      </c>
      <c r="CF65">
        <f>'TEA Revised Non EYZ'!CB65</f>
        <v>3185.4126996665682</v>
      </c>
      <c r="CG65">
        <f>'TEA Revised Non EYZ'!CC65</f>
        <v>4684.6466182376553</v>
      </c>
      <c r="CH65">
        <f>'TEA Revised Non EYZ'!CD65</f>
        <v>3848.5686313477631</v>
      </c>
      <c r="CI65">
        <f>'TEA Revised Non EYZ'!CE65</f>
        <v>36133.095729900335</v>
      </c>
      <c r="CJ65">
        <f>BL65*V65</f>
        <v>1.0969051996096999</v>
      </c>
      <c r="CK65">
        <f>CJ65/2*1.2</f>
        <v>0.65814311976581996</v>
      </c>
      <c r="CL65">
        <f>'eLLE Bals'!CB65*'Oxidant Feed Composition'!$N$20</f>
        <v>3.656350665365668E-2</v>
      </c>
      <c r="CM65">
        <f>'eLLE Bals'!CB65*'Oxidant Feed Composition'!$N$21</f>
        <v>1.8281753326828334</v>
      </c>
      <c r="CN65">
        <f>'eLLE Bals'!CB65*'Oxidant Feed Composition'!$N$22</f>
        <v>0.54845259980484995</v>
      </c>
      <c r="CO65">
        <f>CN65/CK65</f>
        <v>0.83333333333333326</v>
      </c>
      <c r="CP65">
        <f>CO65</f>
        <v>0.83333333333333326</v>
      </c>
      <c r="CQ65">
        <f>CL65/CO65</f>
        <v>4.3876207984388023E-2</v>
      </c>
      <c r="CR65">
        <f>CM65/CO65</f>
        <v>2.1938103992194002</v>
      </c>
      <c r="CS65">
        <f>BN65*BA65</f>
        <v>1.9716526171033899</v>
      </c>
      <c r="CT65">
        <f>CS65/2*1.2</f>
        <v>1.1829915702620339</v>
      </c>
      <c r="CU65">
        <f>'eLLE Bals'!CC65*'Oxidant Feed Composition'!$N$20</f>
        <v>6.5721753903446353E-2</v>
      </c>
      <c r="CV65">
        <f>'eLLE Bals'!CC65*'Oxidant Feed Composition'!$N$21</f>
        <v>3.2860876951723168</v>
      </c>
      <c r="CW65">
        <f>'eLLE Bals'!CC65*'Oxidant Feed Composition'!$N$22</f>
        <v>0.98582630855169495</v>
      </c>
      <c r="CX65">
        <f>CU65/CP65</f>
        <v>7.8866104684135629E-2</v>
      </c>
      <c r="CY65">
        <f>CV65/CP65</f>
        <v>3.9433052342067807</v>
      </c>
      <c r="CZ65">
        <f>CJ65</f>
        <v>1.0969051996096999</v>
      </c>
      <c r="DA65">
        <f>'eLLE Bals'!BQ65</f>
        <v>2.1938103992193998</v>
      </c>
      <c r="DB65">
        <f>'eLLE Bals'!BU65</f>
        <v>5.4689609537406412</v>
      </c>
      <c r="DC65">
        <f>CS65</f>
        <v>1.9716526171033899</v>
      </c>
      <c r="DD65">
        <f>'eLLE Bals'!BX65</f>
        <v>3.9433052342067798</v>
      </c>
      <c r="DE65">
        <f>'eLLE Bals'!CA65</f>
        <v>21.933552271766914</v>
      </c>
      <c r="DF65">
        <f>2*2*(CJ65*'Reagent cost'!$C$36*122.44/1000*1.5+CK65*'Oxidant Feed Composition'!$N$26+CQ65*'Reagent cost'!$C$34+CR65*'Reagent cost'!$C$35)</f>
        <v>111.62232060062847</v>
      </c>
      <c r="DG65">
        <f>2*2*(CS65*'Reagent cost'!$C$36*122.44/1000*1.5+CT65*'Oxidant Feed Composition'!$N$26+CX65*'Reagent cost'!$C$34+CY65*'Reagent cost'!$C$35)</f>
        <v>200.63761263752934</v>
      </c>
      <c r="DH65">
        <f>(AF65+3)*2*(CZ65*'Reagent cost'!$C$38+DA65*'Reagent cost'!$C$39+DB65*'Reagent cost'!$C$36*122.44/1000*1.5)</f>
        <v>1516.4486490841259</v>
      </c>
      <c r="DI65">
        <f>3*2*(DC65*'Reagent cost'!$C$38+DD65*'Reagent cost'!$C$39+DE65*'Reagent cost'!$C$36*122.44/1000*1.5)</f>
        <v>1759.6118866307474</v>
      </c>
      <c r="DJ65">
        <f>7963.6*(CB65/1000)^0.6*1.7*('CAPEX+OPEX'!$G$116/'CAPEX+OPEX'!$G$115)</f>
        <v>2140.0916471558648</v>
      </c>
      <c r="DK65">
        <f>7963.6*(CC65/1000)^0.6*1.7*('CAPEX+OPEX'!$G$116/'CAPEX+OPEX'!$G$115)</f>
        <v>6199.9215410229135</v>
      </c>
      <c r="DL65">
        <f>7963.6*(CD65/1000)^0.6*1.7*('CAPEX+OPEX'!$G$116/'CAPEX+OPEX'!$G$115)</f>
        <v>3042.489965836156</v>
      </c>
      <c r="DM65">
        <f>7963.6*(CE65/1000)^0.6*1.7*('CAPEX+OPEX'!$G$116/'CAPEX+OPEX'!$G$115)</f>
        <v>6724.3129174798914</v>
      </c>
      <c r="DN65">
        <f>'TEA Revised Non EYZ'!CM65</f>
        <v>39625.826528698344</v>
      </c>
      <c r="DO65">
        <f>'TEA Revised Non EYZ'!CN65</f>
        <v>4586243.4239371875</v>
      </c>
      <c r="DP65">
        <f>'TEA Revised Non EYZ'!CO65</f>
        <v>11794834.586807497</v>
      </c>
      <c r="DQ65">
        <f>'TEA Revised Non EYZ'!CP65</f>
        <v>2275209.1661185985</v>
      </c>
      <c r="DR65">
        <f>'TEA Revised Non EYZ'!CQ65</f>
        <v>14083914.336508472</v>
      </c>
      <c r="DS65">
        <f>'TEA Revised Non EYZ'!CR65</f>
        <v>1662824.8986326549</v>
      </c>
      <c r="DT65">
        <f>'TEA Revised Non EYZ'!CS65</f>
        <v>800322.53402245743</v>
      </c>
      <c r="DU65">
        <f>'TEA Revised Non EYZ'!CT65</f>
        <v>2058257.9318883498</v>
      </c>
      <c r="DV65">
        <f>'TEA Revised Non EYZ'!CU65</f>
        <v>397035.437708179</v>
      </c>
      <c r="DW65">
        <f>'TEA Revised Non EYZ'!CV65</f>
        <v>2457713.856163613</v>
      </c>
      <c r="DX65">
        <f>'TEA Revised Non EYZ'!CW65</f>
        <v>290171.30437591631</v>
      </c>
      <c r="DY65">
        <f>'TEA Revised Non EYZ'!CX65</f>
        <v>6003501.064158516</v>
      </c>
      <c r="DZ65">
        <f>'TEA Revised Non EYZ'!CY65</f>
        <v>661087.79766298935</v>
      </c>
      <c r="EA65">
        <f>'TEA Revised Non EYZ'!CZ65</f>
        <v>1700176.0482434032</v>
      </c>
      <c r="EB65">
        <f>'TEA Revised Non EYZ'!DA65</f>
        <v>327961.88030524191</v>
      </c>
      <c r="EC65">
        <f>'TEA Revised Non EYZ'!DB65</f>
        <v>2030137.3151282831</v>
      </c>
      <c r="ED65">
        <f>'TEA Revised Non EYZ'!DC65</f>
        <v>239689.25077085066</v>
      </c>
      <c r="EE65">
        <f>'TEA Revised Non EYZ'!DD65</f>
        <v>4959052.2921107681</v>
      </c>
      <c r="EF65">
        <v>0.7</v>
      </c>
      <c r="EG65">
        <v>100</v>
      </c>
      <c r="EH65">
        <f>96485*BL65*V65/EF65/EG65/60</f>
        <v>25.198785281986165</v>
      </c>
      <c r="EI65">
        <f>96485*BN65*BA65/EF65/EG65/60</f>
        <v>45.294024466957282</v>
      </c>
      <c r="EJ65">
        <f>EH65*('CAPEX+OPEX'!$O$25+'CAPEX+OPEX'!$O$26)</f>
        <v>803135.68450746301</v>
      </c>
      <c r="EK65">
        <f>EI65*('CAPEX+OPEX'!$O$25+'CAPEX+OPEX'!$O$26)</f>
        <v>1443611.1478108624</v>
      </c>
      <c r="EL65">
        <f>EJ65*1.12/0.6*'CAPEX+OPEX'!$G$116/'CAPEX+OPEX'!$G$115</f>
        <v>1768228.0006537526</v>
      </c>
      <c r="EM65">
        <f>EK65*1.12/0.6*'CAPEX+OPEX'!$G$116/'CAPEX+OPEX'!$G$115</f>
        <v>3178334.2501840368</v>
      </c>
      <c r="EN65">
        <f>EL65+EM65+DY65+EE65+1.15*(SUM(DF65:DM65)+SUM(CF65:CI65))</f>
        <v>15989094.496359613</v>
      </c>
      <c r="EO65">
        <f>EN65/15</f>
        <v>1065939.6330906409</v>
      </c>
      <c r="EP65">
        <f>('eLLE Bals'!CB65+'eLLE Bals'!CC65)*'Oxidant Feed Composition'!$N$28*60*7200</f>
        <v>17058649.306653194</v>
      </c>
      <c r="EQ65" s="53">
        <f>('eLLE Bals'!BR65+'eLLE Bals'!BY65)*'Reagent cost'!$C$38*60*7200*1.5</f>
        <v>758031.48477131058</v>
      </c>
      <c r="ER65">
        <f>'TEA Revised Non EYZ'!DI65</f>
        <v>504921.59999999998</v>
      </c>
      <c r="ES65">
        <f>'TEA Revised Non EYZ'!DJ65</f>
        <v>78.70059317904223</v>
      </c>
      <c r="ET65">
        <f>'TEA Revised Non EYZ'!DK65</f>
        <v>799.63328722496203</v>
      </c>
      <c r="EU65">
        <f>1.2*SUM(EP65:ET65)</f>
        <v>21986976.870365892</v>
      </c>
      <c r="EV65">
        <f>'TEA Revised Non EYZ'!DM65</f>
        <v>0.70639694042110623</v>
      </c>
      <c r="EW65">
        <f>(BS65*CO65+BT65*CP65)/1000*('Oxidant Feed Composition'!$B$11*'Oxidant Feed Composition'!$O$20+'Oxidant Feed Composition'!$D$11*'Oxidant Feed Composition'!$O$21+'Oxidant Feed Composition'!$F$11*'Oxidant Feed Composition'!$O$27-'Oxidant Feed Composition'!$J$15*18.015)</f>
        <v>1.7918005654412117</v>
      </c>
      <c r="EX65">
        <f>(CZ65*BX65+DC65*BZ65)*368.34/1000</f>
        <v>0.10201111499139105</v>
      </c>
      <c r="EY65">
        <f>'TEA Revised Non EYZ'!DP65</f>
        <v>4.999938342565946E-2</v>
      </c>
      <c r="EZ65">
        <f>SUM(EV65:EX65)-EY65</f>
        <v>2.5502092374280498</v>
      </c>
      <c r="FA65">
        <f>EZ65*0.33*60*7200</f>
        <v>363557.82888774277</v>
      </c>
      <c r="FB65">
        <f>'TEA Revised Non EYZ'!DS65</f>
        <v>1.2</v>
      </c>
      <c r="FC65">
        <v>0.5</v>
      </c>
      <c r="FD65">
        <f>'TEA Revised Non EYZ'!DT65</f>
        <v>1405.7198464932956</v>
      </c>
      <c r="FE65">
        <f>'TEA Revised Non EYZ'!DU65</f>
        <v>705.98397525229223</v>
      </c>
      <c r="FF65">
        <f>'TEA Revised Non EYZ'!DV65</f>
        <v>0.7</v>
      </c>
      <c r="FG65">
        <f>'TEA Revised Non EYZ'!DW65</f>
        <v>44032.441905260595</v>
      </c>
      <c r="FH65">
        <f>'TEA Revised Non EYZ'!DX65</f>
        <v>41526.098972294596</v>
      </c>
      <c r="FI65">
        <f>'TEA Revised Non EYZ'!DY65</f>
        <v>17581.614484237631</v>
      </c>
      <c r="FJ65">
        <f>'TEA Revised Non EYZ'!DZ65</f>
        <v>9313.4716969742931</v>
      </c>
      <c r="FK65">
        <f>'TEA Revised Non EYZ'!EA65</f>
        <v>9376.8610582600722</v>
      </c>
      <c r="FL65">
        <f>'TEA Revised Non EYZ'!EB65</f>
        <v>850.17936315914517</v>
      </c>
      <c r="FM65">
        <f>'TEA Revised Non EYZ'!EC65</f>
        <v>35999.313968649723</v>
      </c>
      <c r="FN65">
        <f>'TEA Revised Non EYZ'!ED65</f>
        <v>31035.265656599127</v>
      </c>
      <c r="FO65">
        <f>'TEA Revised Non EYZ'!EE65</f>
        <v>13139.93102396334</v>
      </c>
      <c r="FP65">
        <f>'TEA Revised Non EYZ'!EF65</f>
        <v>6964.46283324246</v>
      </c>
      <c r="FQ65">
        <f>'TEA Revised Non EYZ'!EG65</f>
        <v>7007.963212780448</v>
      </c>
      <c r="FR65">
        <f>'TEA Revised Non EYZ'!EH65</f>
        <v>426.97910823258638</v>
      </c>
      <c r="FS65">
        <f>'TEA Revised Non EYZ'!EI65</f>
        <v>217254.58328365404</v>
      </c>
      <c r="FT65">
        <f>EG65*EH65</f>
        <v>2519.8785281986166</v>
      </c>
      <c r="FU65">
        <f>EG65*EI65</f>
        <v>4529.402446695728</v>
      </c>
      <c r="FV65">
        <f>FC65*(FT65+FU65)/(3.6*10^6)*3600*7200*0.07</f>
        <v>1776.4188056733749</v>
      </c>
      <c r="FW65">
        <f>('CAPEX+OPEX'!$C$39/7/100+0.03)*EL65</f>
        <v>90937.440033621562</v>
      </c>
      <c r="FX65">
        <f>('CAPEX+OPEX'!$C$39/7/100+0.03)*EM65</f>
        <v>163457.19000946474</v>
      </c>
      <c r="FY65">
        <f>SUM(FV65:FX65)</f>
        <v>256171.04884875967</v>
      </c>
      <c r="FZ65">
        <f>FY65+FA65+FS65+EU65</f>
        <v>22823960.331386048</v>
      </c>
      <c r="GA65">
        <f>FZ65+EO65</f>
        <v>23889899.96447669</v>
      </c>
      <c r="GB65">
        <f>GA65/(BK65*60*7200)</f>
        <v>0.55300694362214564</v>
      </c>
      <c r="GC65">
        <f>'TEA Revised Non EYZ'!EM65/'TEA Revised Non EYZ'!EK65*GA65</f>
        <v>1850.2882422301534</v>
      </c>
      <c r="GD65">
        <f>'TEA Revised Non EYZ'!EN65/'TEA Revised Non EYZ'!EK65*GA65</f>
        <v>3394.5213883979286</v>
      </c>
    </row>
    <row r="66" spans="1:186">
      <c r="A66">
        <f>'TEA Revised Non EYZ'!A66</f>
        <v>9</v>
      </c>
      <c r="B66">
        <f>'TEA Revised Non EYZ'!B66</f>
        <v>1.54143585092054E-3</v>
      </c>
      <c r="C66">
        <f>'TEA Revised Non EYZ'!C66</f>
        <v>1.54143585092054E-3</v>
      </c>
      <c r="D66">
        <f>'TEA Revised Non EYZ'!D66</f>
        <v>3.4254130020456501E-4</v>
      </c>
      <c r="E66">
        <f>'TEA Revised Non EYZ'!E66</f>
        <v>0</v>
      </c>
      <c r="F66">
        <f>'TEA Revised Non EYZ'!F66</f>
        <v>0</v>
      </c>
      <c r="G66">
        <f>'TEA Revised Non EYZ'!G66</f>
        <v>0</v>
      </c>
      <c r="H66">
        <f>'TEA Revised Non EYZ'!H66</f>
        <v>1.7768596981705501E-5</v>
      </c>
      <c r="I66">
        <f>'TEA Revised Non EYZ'!I66</f>
        <v>1.5331283704498101E-9</v>
      </c>
      <c r="J66">
        <f>'TEA Revised Non EYZ'!J66</f>
        <v>3.3763247208936601E-4</v>
      </c>
      <c r="K66">
        <f>'TEA Revised Non EYZ'!K66</f>
        <v>0.13890601070001499</v>
      </c>
      <c r="L66">
        <f>'TEA Revised Non EYZ'!L66</f>
        <v>0.14052575540227799</v>
      </c>
      <c r="M66">
        <f>'TEA Revised Non EYZ'!M66</f>
        <v>4.4751616793740602E-4</v>
      </c>
      <c r="N66">
        <f>'TEA Revised Non EYZ'!N66</f>
        <v>-5.0090140368830299E-17</v>
      </c>
      <c r="O66">
        <f>'TEA Revised Non EYZ'!O66</f>
        <v>-6.2343793322261397E-15</v>
      </c>
      <c r="P66">
        <f>'TEA Revised Non EYZ'!P66</f>
        <v>1.7787691892340301E-20</v>
      </c>
      <c r="Q66">
        <f>'TEA Revised Non EYZ'!Q66</f>
        <v>0.10969051996097</v>
      </c>
      <c r="R66">
        <f>'TEA Revised Non EYZ'!R66</f>
        <v>98.566938318892298</v>
      </c>
      <c r="S66">
        <f>'TEA Revised Non EYZ'!S66</f>
        <v>500</v>
      </c>
      <c r="T66">
        <f>'TEA Revised Non EYZ'!T66</f>
        <v>95</v>
      </c>
      <c r="U66">
        <f>'TEA Revised Non EYZ'!U66</f>
        <v>1</v>
      </c>
      <c r="V66">
        <f>'TEA Revised Non EYZ'!V66</f>
        <v>0.1</v>
      </c>
      <c r="W66">
        <f>'TEA Revised Non EYZ'!W66</f>
        <v>91.165581160141301</v>
      </c>
      <c r="X66" t="str">
        <f>'TEA Revised Non EYZ'!X66</f>
        <v>ddFc</v>
      </c>
      <c r="Y66">
        <f>'TEA Revised Non EYZ'!Y66</f>
        <v>1</v>
      </c>
      <c r="Z66">
        <f>'TEA Revised Non EYZ'!Z66</f>
        <v>0.28318429382522198</v>
      </c>
      <c r="AA66">
        <f>'TEA Revised Non EYZ'!AA66</f>
        <v>0.56945642916197003</v>
      </c>
      <c r="AB66">
        <f>'TEA Revised Non EYZ'!AB66</f>
        <v>3.7698628972227502E-3</v>
      </c>
      <c r="AC66">
        <f>'TEA Revised Non EYZ'!AC66</f>
        <v>1822.2107908876901</v>
      </c>
      <c r="AD66">
        <f>'TEA Revised Non EYZ'!AD66</f>
        <v>2662.6059073104898</v>
      </c>
      <c r="AE66">
        <f>'TEA Revised Non EYZ'!AE66</f>
        <v>2401.5030938442701</v>
      </c>
      <c r="AF66">
        <f>'TEA Revised Non EYZ'!AF66</f>
        <v>8</v>
      </c>
      <c r="AG66">
        <f>'TEA Revised Non EYZ'!AG66</f>
        <v>1.6497485970141401E-3</v>
      </c>
      <c r="AH66">
        <f>'TEA Revised Non EYZ'!AH66</f>
        <v>1.6689858606617799E-3</v>
      </c>
      <c r="AI66">
        <f>'TEA Revised Non EYZ'!AI66</f>
        <v>5.3150268046377499E-6</v>
      </c>
      <c r="AJ66">
        <f>'TEA Revised Non EYZ'!AJ66</f>
        <v>0</v>
      </c>
      <c r="AK66">
        <f>'TEA Revised Non EYZ'!AK66</f>
        <v>0</v>
      </c>
      <c r="AL66">
        <f>'TEA Revised Non EYZ'!AL66</f>
        <v>0</v>
      </c>
      <c r="AM66">
        <f>'TEA Revised Non EYZ'!AM66</f>
        <v>1.6127468294673999E-3</v>
      </c>
      <c r="AN66">
        <f>'TEA Revised Non EYZ'!AN66</f>
        <v>7.9601388937146201E-5</v>
      </c>
      <c r="AO66">
        <f>'TEA Revised Non EYZ'!AO66</f>
        <v>5.2800231400846897E-6</v>
      </c>
      <c r="AP66">
        <f>'TEA Revised Non EYZ'!AP66</f>
        <v>1.73508600246416E-3</v>
      </c>
      <c r="AQ66">
        <f>'TEA Revised Non EYZ'!AQ66</f>
        <v>7.4529378862327897E-2</v>
      </c>
      <c r="AR66">
        <f>'TEA Revised Non EYZ'!AR66</f>
        <v>1.6413910047206701E-6</v>
      </c>
      <c r="AS66">
        <f>'TEA Revised Non EYZ'!AS66</f>
        <v>5.1001480057440096E-15</v>
      </c>
      <c r="AT66">
        <f>'TEA Revised Non EYZ'!AT66</f>
        <v>-1.1878935335385401E-12</v>
      </c>
      <c r="AU66">
        <f>'TEA Revised Non EYZ'!AU66</f>
        <v>2.3339728163796199E-20</v>
      </c>
      <c r="AV66">
        <f>'TEA Revised Non EYZ'!AV66</f>
        <v>0.19695809292209099</v>
      </c>
      <c r="AW66">
        <f>'TEA Revised Non EYZ'!AW66</f>
        <v>99.341420733334502</v>
      </c>
      <c r="AX66">
        <f>'TEA Revised Non EYZ'!AX66</f>
        <v>500</v>
      </c>
      <c r="AY66">
        <f>'TEA Revised Non EYZ'!AY66</f>
        <v>95</v>
      </c>
      <c r="AZ66">
        <f>'TEA Revised Non EYZ'!AZ66</f>
        <v>0.92357542033771201</v>
      </c>
      <c r="BA66">
        <f>'TEA Revised Non EYZ'!BA66</f>
        <v>0.1</v>
      </c>
      <c r="BB66">
        <f>'TEA Revised Non EYZ'!BB66</f>
        <v>46.891976188205703</v>
      </c>
      <c r="BC66" t="str">
        <f>'TEA Revised Non EYZ'!BC66</f>
        <v>coeFc</v>
      </c>
      <c r="BD66">
        <f>'TEA Revised Non EYZ'!BD66</f>
        <v>1</v>
      </c>
      <c r="BE66">
        <f>'TEA Revised Non EYZ'!BE66</f>
        <v>1.8775014999999999E-2</v>
      </c>
      <c r="BF66">
        <f>'TEA Revised Non EYZ'!BF66</f>
        <v>0.10492961100000001</v>
      </c>
      <c r="BG66">
        <f>'TEA Revised Non EYZ'!BG66</f>
        <v>1.814625E-3</v>
      </c>
      <c r="BH66">
        <f>'TEA Revised Non EYZ'!BH66</f>
        <v>285.1951444</v>
      </c>
      <c r="BI66">
        <f>'TEA Revised Non EYZ'!BI66</f>
        <v>2169.8944889999998</v>
      </c>
      <c r="BJ66">
        <f>'TEA Revised Non EYZ'!BJ66</f>
        <v>866.49409060000005</v>
      </c>
      <c r="BK66">
        <f>'TEA Revised Non EYZ'!BK66</f>
        <v>100</v>
      </c>
      <c r="BL66">
        <f>'TEA Revised Non EYZ'!BL66</f>
        <v>10.969051996096999</v>
      </c>
      <c r="BM66">
        <f>'TEA Revised Non EYZ'!BM66</f>
        <v>92.357542033771196</v>
      </c>
      <c r="BN66">
        <f>'TEA Revised Non EYZ'!BN66</f>
        <v>19.695809292209098</v>
      </c>
      <c r="BO66">
        <f>'TEA Revised Non EYZ'!BO66</f>
        <v>241.31914391413397</v>
      </c>
      <c r="BP66">
        <f>'TEA Revised Non EYZ'!BP66</f>
        <v>393.916185844182</v>
      </c>
      <c r="BQ66">
        <f>'TEA Revised Non EYZ'!BQ66</f>
        <v>24.1319143914134</v>
      </c>
      <c r="BR66">
        <f>'TEA Revised Non EYZ'!BR66</f>
        <v>39.391618584418204</v>
      </c>
      <c r="BS66">
        <f>'eLLE Bals'!CF66</f>
        <v>6.5814311976581994</v>
      </c>
      <c r="BT66">
        <f>'eLLE Bals'!CG66</f>
        <v>11.817485575325458</v>
      </c>
      <c r="BU66">
        <f>BM66</f>
        <v>92.357542033771196</v>
      </c>
      <c r="BV66">
        <f>BU66*(AM66*2+AN66*2+AO66*3)</f>
        <v>0.31406519331145027</v>
      </c>
      <c r="BW66">
        <f>BN66*BA66*(AP66*2+AQ66*2+AR66*3)</f>
        <v>0.30042776970712609</v>
      </c>
      <c r="BX66">
        <f>BV66/(2*V66*BL66+BV66)</f>
        <v>0.12523156820331266</v>
      </c>
      <c r="BY66">
        <f>BU66*BX66</f>
        <v>11.566079824292533</v>
      </c>
      <c r="BZ66">
        <f>BW66/(2*BN66*BA66+BW66)</f>
        <v>7.0862464544309292E-2</v>
      </c>
      <c r="CA66">
        <f>2*BN66*BA66/0.04</f>
        <v>98.479046461045499</v>
      </c>
      <c r="CB66">
        <f>(BS66+BL66)*2</f>
        <v>35.100966387510397</v>
      </c>
      <c r="CC66">
        <f>(BU66+BL66)*2</f>
        <v>206.65318805973638</v>
      </c>
      <c r="CD66">
        <f>(BT66+BN66)*2</f>
        <v>63.026589735069109</v>
      </c>
      <c r="CE66">
        <f>(CA66+BN66)*2</f>
        <v>236.34971150650921</v>
      </c>
      <c r="CF66">
        <f>'TEA Revised Non EYZ'!CB66</f>
        <v>3185.4126996665682</v>
      </c>
      <c r="CG66">
        <f>'TEA Revised Non EYZ'!CC66</f>
        <v>5199.6936531432029</v>
      </c>
      <c r="CH66">
        <f>'TEA Revised Non EYZ'!CD66</f>
        <v>3848.5686313477631</v>
      </c>
      <c r="CI66">
        <f>'TEA Revised Non EYZ'!CE66</f>
        <v>40105.699286632342</v>
      </c>
      <c r="CJ66">
        <f>BL66*V66</f>
        <v>1.0969051996096999</v>
      </c>
      <c r="CK66">
        <f>CJ66/2*1.2</f>
        <v>0.65814311976581996</v>
      </c>
      <c r="CL66">
        <f>'eLLE Bals'!CB66*'Oxidant Feed Composition'!$N$20</f>
        <v>3.656350665365668E-2</v>
      </c>
      <c r="CM66">
        <f>'eLLE Bals'!CB66*'Oxidant Feed Composition'!$N$21</f>
        <v>1.8281753326828334</v>
      </c>
      <c r="CN66">
        <f>'eLLE Bals'!CB66*'Oxidant Feed Composition'!$N$22</f>
        <v>0.54845259980484995</v>
      </c>
      <c r="CO66">
        <f>CN66/CK66</f>
        <v>0.83333333333333326</v>
      </c>
      <c r="CP66">
        <f>CO66</f>
        <v>0.83333333333333326</v>
      </c>
      <c r="CQ66">
        <f>CL66/CO66</f>
        <v>4.3876207984388023E-2</v>
      </c>
      <c r="CR66">
        <f>CM66/CO66</f>
        <v>2.1938103992194002</v>
      </c>
      <c r="CS66">
        <f>BN66*BA66</f>
        <v>1.9695809292209099</v>
      </c>
      <c r="CT66">
        <f>CS66/2*1.2</f>
        <v>1.1817485575325459</v>
      </c>
      <c r="CU66">
        <f>'eLLE Bals'!CC66*'Oxidant Feed Composition'!$N$20</f>
        <v>6.5652697640697019E-2</v>
      </c>
      <c r="CV66">
        <f>'eLLE Bals'!CC66*'Oxidant Feed Composition'!$N$21</f>
        <v>3.2826348820348499</v>
      </c>
      <c r="CW66">
        <f>'eLLE Bals'!CC66*'Oxidant Feed Composition'!$N$22</f>
        <v>0.98479046461045494</v>
      </c>
      <c r="CX66">
        <f>CU66/CP66</f>
        <v>7.8783237168836437E-2</v>
      </c>
      <c r="CY66">
        <f>CV66/CP66</f>
        <v>3.9391618584418202</v>
      </c>
      <c r="CZ66">
        <f>CJ66</f>
        <v>1.0969051996096999</v>
      </c>
      <c r="DA66">
        <f>'eLLE Bals'!BQ66</f>
        <v>2.1938103992193998</v>
      </c>
      <c r="DB66">
        <f>'eLLE Bals'!BU66</f>
        <v>5.4682995245447401</v>
      </c>
      <c r="DC66">
        <f>CS66</f>
        <v>1.9695809292209099</v>
      </c>
      <c r="DD66">
        <f>'eLLE Bals'!BX66</f>
        <v>3.9391618584418198</v>
      </c>
      <c r="DE66">
        <f>'eLLE Bals'!CA66</f>
        <v>21.885674777215488</v>
      </c>
      <c r="DF66">
        <f>2*2*(CJ66*'Reagent cost'!$C$36*122.44/1000*1.5+CK66*'Oxidant Feed Composition'!$N$26+CQ66*'Reagent cost'!$C$34+CR66*'Reagent cost'!$C$35)</f>
        <v>111.62232060062847</v>
      </c>
      <c r="DG66">
        <f>2*2*(CS66*'Reagent cost'!$C$36*122.44/1000*1.5+CT66*'Oxidant Feed Composition'!$N$26+CX66*'Reagent cost'!$C$34+CY66*'Reagent cost'!$C$35)</f>
        <v>200.42679532251898</v>
      </c>
      <c r="DH66">
        <f>(AF66+3)*2*(CZ66*'Reagent cost'!$C$38+DA66*'Reagent cost'!$C$39+DB66*'Reagent cost'!$C$36*122.44/1000*1.5)</f>
        <v>1667.9047807788202</v>
      </c>
      <c r="DI66">
        <f>3*2*(DC66*'Reagent cost'!$C$38+DD66*'Reagent cost'!$C$39+DE66*'Reagent cost'!$C$36*122.44/1000*1.5)</f>
        <v>1755.830630844782</v>
      </c>
      <c r="DJ66">
        <f>7963.6*(CB66/1000)^0.6*1.7*('CAPEX+OPEX'!$G$116/'CAPEX+OPEX'!$G$115)</f>
        <v>2140.0916471558648</v>
      </c>
      <c r="DK66">
        <f>7963.6*(CC66/1000)^0.6*1.7*('CAPEX+OPEX'!$G$116/'CAPEX+OPEX'!$G$115)</f>
        <v>6199.9215410229135</v>
      </c>
      <c r="DL66">
        <f>7963.6*(CD66/1000)^0.6*1.7*('CAPEX+OPEX'!$G$116/'CAPEX+OPEX'!$G$115)</f>
        <v>3040.5714489227012</v>
      </c>
      <c r="DM66">
        <f>7963.6*(CE66/1000)^0.6*1.7*('CAPEX+OPEX'!$G$116/'CAPEX+OPEX'!$G$115)</f>
        <v>6720.0727365069333</v>
      </c>
      <c r="DN66">
        <f>'TEA Revised Non EYZ'!CM66</f>
        <v>39625.826528698344</v>
      </c>
      <c r="DO66">
        <f>'TEA Revised Non EYZ'!CN66</f>
        <v>4586243.4239371875</v>
      </c>
      <c r="DP66">
        <f>'TEA Revised Non EYZ'!CO66</f>
        <v>11794834.586807497</v>
      </c>
      <c r="DQ66">
        <f>'TEA Revised Non EYZ'!CP66</f>
        <v>2275209.1661185985</v>
      </c>
      <c r="DR66">
        <f>'TEA Revised Non EYZ'!CQ66</f>
        <v>14083914.336508472</v>
      </c>
      <c r="DS66">
        <f>'TEA Revised Non EYZ'!CR66</f>
        <v>1662824.8986326549</v>
      </c>
      <c r="DT66">
        <f>'TEA Revised Non EYZ'!CS66</f>
        <v>800322.53402245743</v>
      </c>
      <c r="DU66">
        <f>'TEA Revised Non EYZ'!CT66</f>
        <v>2058257.9318883498</v>
      </c>
      <c r="DV66">
        <f>'TEA Revised Non EYZ'!CU66</f>
        <v>397035.437708179</v>
      </c>
      <c r="DW66">
        <f>'TEA Revised Non EYZ'!CV66</f>
        <v>2457713.856163613</v>
      </c>
      <c r="DX66">
        <f>'TEA Revised Non EYZ'!CW66</f>
        <v>290171.30437591631</v>
      </c>
      <c r="DY66">
        <f>'TEA Revised Non EYZ'!CX66</f>
        <v>6003501.064158516</v>
      </c>
      <c r="DZ66">
        <f>'TEA Revised Non EYZ'!CY66</f>
        <v>709497.14876377874</v>
      </c>
      <c r="EA66">
        <f>'TEA Revised Non EYZ'!CZ66</f>
        <v>1824674.5181040205</v>
      </c>
      <c r="EB66">
        <f>'TEA Revised Non EYZ'!DA66</f>
        <v>351977.48287345789</v>
      </c>
      <c r="EC66">
        <f>'TEA Revised Non EYZ'!DB66</f>
        <v>2178797.7962599574</v>
      </c>
      <c r="ED66">
        <f>'TEA Revised Non EYZ'!DC66</f>
        <v>257240.93019477848</v>
      </c>
      <c r="EE66">
        <f>'TEA Revised Non EYZ'!DD66</f>
        <v>5322187.8761959933</v>
      </c>
      <c r="EF66">
        <v>0.7</v>
      </c>
      <c r="EG66">
        <v>100</v>
      </c>
      <c r="EH66">
        <f>96485*BL66*V66/EF66/EG66/60</f>
        <v>25.198785281986165</v>
      </c>
      <c r="EI66">
        <f>96485*BN66*BA66/EF66/EG66/60</f>
        <v>45.246432370447501</v>
      </c>
      <c r="EJ66">
        <f>EH66*('CAPEX+OPEX'!$O$25+'CAPEX+OPEX'!$O$26)</f>
        <v>803135.68450746301</v>
      </c>
      <c r="EK66">
        <f>EI66*('CAPEX+OPEX'!$O$25+'CAPEX+OPEX'!$O$26)</f>
        <v>1442094.2925109027</v>
      </c>
      <c r="EL66">
        <f>EJ66*1.12/0.6*'CAPEX+OPEX'!$G$116/'CAPEX+OPEX'!$G$115</f>
        <v>1768228.0006537526</v>
      </c>
      <c r="EM66">
        <f>EK66*1.12/0.6*'CAPEX+OPEX'!$G$116/'CAPEX+OPEX'!$G$115</f>
        <v>3174994.6575522218</v>
      </c>
      <c r="EN66">
        <f>EL66+EM66+DY66+EE66+1.15*(SUM(DF66:DM66)+SUM(CF66:CI66))</f>
        <v>16354213.787158221</v>
      </c>
      <c r="EO66">
        <f>EN66/15</f>
        <v>1090280.9191438814</v>
      </c>
      <c r="EP66">
        <f>('eLLE Bals'!CB66+'eLLE Bals'!CC66)*'Oxidant Feed Composition'!$N$28*60*7200</f>
        <v>17047132.431570187</v>
      </c>
      <c r="EQ66" s="53">
        <f>('eLLE Bals'!BR66+'eLLE Bals'!BY66)*'Reagent cost'!$C$38*60*7200*1.5</f>
        <v>757999.39611650503</v>
      </c>
      <c r="ER66">
        <f>'TEA Revised Non EYZ'!DI66</f>
        <v>504921.59999999998</v>
      </c>
      <c r="ES66">
        <f>'TEA Revised Non EYZ'!DJ66</f>
        <v>83.851063528097711</v>
      </c>
      <c r="ET66">
        <f>'TEA Revised Non EYZ'!DK66</f>
        <v>879.08535835960208</v>
      </c>
      <c r="EU66">
        <f>1.2*SUM(EP66:ET66)</f>
        <v>21973219.636930298</v>
      </c>
      <c r="EV66">
        <f>'TEA Revised Non EYZ'!DM66</f>
        <v>0.70639694042110623</v>
      </c>
      <c r="EW66">
        <f>(BS66*CO66+BT66*CP66)/1000*('Oxidant Feed Composition'!$B$11*'Oxidant Feed Composition'!$O$20+'Oxidant Feed Composition'!$D$11*'Oxidant Feed Composition'!$O$21+'Oxidant Feed Composition'!$F$11*'Oxidant Feed Composition'!$O$27-'Oxidant Feed Composition'!$J$15*18.015)</f>
        <v>1.7905908598593168</v>
      </c>
      <c r="EX66">
        <f>(CZ66*BX66+DC66*BZ66)*368.34/1000</f>
        <v>0.1020067967018199</v>
      </c>
      <c r="EY66">
        <f>'TEA Revised Non EYZ'!DP66</f>
        <v>4.999938342565946E-2</v>
      </c>
      <c r="EZ66">
        <f>SUM(EV66:EX66)-EY66</f>
        <v>2.5489952135565836</v>
      </c>
      <c r="FA66">
        <f>EZ66*0.33*60*7200</f>
        <v>363384.7576446266</v>
      </c>
      <c r="FB66">
        <f>'TEA Revised Non EYZ'!DS66</f>
        <v>1.2</v>
      </c>
      <c r="FC66">
        <v>0.5</v>
      </c>
      <c r="FD66">
        <f>'TEA Revised Non EYZ'!DT66</f>
        <v>1405.8412615116492</v>
      </c>
      <c r="FE66">
        <f>'TEA Revised Non EYZ'!DU66</f>
        <v>705.86256077424412</v>
      </c>
      <c r="FF66">
        <f>'TEA Revised Non EYZ'!DV66</f>
        <v>0.7</v>
      </c>
      <c r="FG66">
        <f>'TEA Revised Non EYZ'!DW66</f>
        <v>44032.441905260595</v>
      </c>
      <c r="FH66">
        <f>'TEA Revised Non EYZ'!DX66</f>
        <v>41526.098972294596</v>
      </c>
      <c r="FI66">
        <f>'TEA Revised Non EYZ'!DY66</f>
        <v>17581.614484237631</v>
      </c>
      <c r="FJ66">
        <f>'TEA Revised Non EYZ'!DZ66</f>
        <v>9313.4716969742931</v>
      </c>
      <c r="FK66">
        <f>'TEA Revised Non EYZ'!EA66</f>
        <v>9376.8610582600722</v>
      </c>
      <c r="FL66">
        <f>'TEA Revised Non EYZ'!EB66</f>
        <v>850.25279496224562</v>
      </c>
      <c r="FM66">
        <f>'TEA Revised Non EYZ'!EC66</f>
        <v>38570.693537838983</v>
      </c>
      <c r="FN66">
        <f>'TEA Revised Non EYZ'!ED66</f>
        <v>34914.673863674019</v>
      </c>
      <c r="FO66">
        <f>'TEA Revised Non EYZ'!EE66</f>
        <v>14782.422401958756</v>
      </c>
      <c r="FP66">
        <f>'TEA Revised Non EYZ'!EF66</f>
        <v>7835.0206873977668</v>
      </c>
      <c r="FQ66">
        <f>'TEA Revised Non EYZ'!EG66</f>
        <v>7883.9586143780034</v>
      </c>
      <c r="FR66">
        <f>'TEA Revised Non EYZ'!EH66</f>
        <v>426.90567675626289</v>
      </c>
      <c r="FS66">
        <f>'TEA Revised Non EYZ'!EI66</f>
        <v>227094.41569399321</v>
      </c>
      <c r="FT66">
        <f>EG66*EH66</f>
        <v>2519.8785281986166</v>
      </c>
      <c r="FU66">
        <f>EG66*EI66</f>
        <v>4524.6432370447501</v>
      </c>
      <c r="FV66">
        <f>FC66*(FT66+FU66)/(3.6*10^6)*3600*7200*0.07</f>
        <v>1775.2194848413285</v>
      </c>
      <c r="FW66">
        <f>('CAPEX+OPEX'!$C$39/7/100+0.03)*EL66</f>
        <v>90937.440033621562</v>
      </c>
      <c r="FX66">
        <f>('CAPEX+OPEX'!$C$39/7/100+0.03)*EM66</f>
        <v>163285.43953125711</v>
      </c>
      <c r="FY66">
        <f>SUM(FV66:FX66)</f>
        <v>255998.09904972001</v>
      </c>
      <c r="FZ66">
        <f>FY66+FA66+FS66+EU66</f>
        <v>22819696.909318637</v>
      </c>
      <c r="GA66">
        <f>FZ66+EO66</f>
        <v>23909977.828462519</v>
      </c>
      <c r="GB66">
        <f>GA66/(BK66*60*7200)</f>
        <v>0.55347170899218789</v>
      </c>
      <c r="GC66">
        <f>'TEA Revised Non EYZ'!EM66/'TEA Revised Non EYZ'!EK66*GA66</f>
        <v>1851.6832531522557</v>
      </c>
      <c r="GD66">
        <f>'TEA Revised Non EYZ'!EN66/'TEA Revised Non EYZ'!EK66*GA66</f>
        <v>3397.9130116265678</v>
      </c>
    </row>
    <row r="67" spans="1:186">
      <c r="A67">
        <f>'TEA Revised Non EYZ'!A67</f>
        <v>9</v>
      </c>
      <c r="B67">
        <f>'TEA Revised Non EYZ'!B67</f>
        <v>1.54143585092054E-3</v>
      </c>
      <c r="C67">
        <f>'TEA Revised Non EYZ'!C67</f>
        <v>1.54143585092054E-3</v>
      </c>
      <c r="D67">
        <f>'TEA Revised Non EYZ'!D67</f>
        <v>3.4254130020456501E-4</v>
      </c>
      <c r="E67">
        <f>'TEA Revised Non EYZ'!E67</f>
        <v>0</v>
      </c>
      <c r="F67">
        <f>'TEA Revised Non EYZ'!F67</f>
        <v>0</v>
      </c>
      <c r="G67">
        <f>'TEA Revised Non EYZ'!G67</f>
        <v>0</v>
      </c>
      <c r="H67">
        <f>'TEA Revised Non EYZ'!H67</f>
        <v>1.7768596981705501E-5</v>
      </c>
      <c r="I67">
        <f>'TEA Revised Non EYZ'!I67</f>
        <v>1.5331283704498101E-9</v>
      </c>
      <c r="J67">
        <f>'TEA Revised Non EYZ'!J67</f>
        <v>3.3763247208936601E-4</v>
      </c>
      <c r="K67">
        <f>'TEA Revised Non EYZ'!K67</f>
        <v>0.13890601070001499</v>
      </c>
      <c r="L67">
        <f>'TEA Revised Non EYZ'!L67</f>
        <v>0.14052575540227799</v>
      </c>
      <c r="M67">
        <f>'TEA Revised Non EYZ'!M67</f>
        <v>4.4751616793740602E-4</v>
      </c>
      <c r="N67">
        <f>'TEA Revised Non EYZ'!N67</f>
        <v>-5.0090140368830299E-17</v>
      </c>
      <c r="O67">
        <f>'TEA Revised Non EYZ'!O67</f>
        <v>-6.2343793322261397E-15</v>
      </c>
      <c r="P67">
        <f>'TEA Revised Non EYZ'!P67</f>
        <v>1.7787691892340301E-20</v>
      </c>
      <c r="Q67">
        <f>'TEA Revised Non EYZ'!Q67</f>
        <v>0.10969051996097</v>
      </c>
      <c r="R67">
        <f>'TEA Revised Non EYZ'!R67</f>
        <v>98.566938318892298</v>
      </c>
      <c r="S67">
        <f>'TEA Revised Non EYZ'!S67</f>
        <v>500</v>
      </c>
      <c r="T67">
        <f>'TEA Revised Non EYZ'!T67</f>
        <v>95</v>
      </c>
      <c r="U67">
        <f>'TEA Revised Non EYZ'!U67</f>
        <v>1</v>
      </c>
      <c r="V67">
        <f>'TEA Revised Non EYZ'!V67</f>
        <v>0.1</v>
      </c>
      <c r="W67">
        <f>'TEA Revised Non EYZ'!W67</f>
        <v>91.165581160141301</v>
      </c>
      <c r="X67" t="str">
        <f>'TEA Revised Non EYZ'!X67</f>
        <v>ddFc</v>
      </c>
      <c r="Y67">
        <f>'TEA Revised Non EYZ'!Y67</f>
        <v>1</v>
      </c>
      <c r="Z67">
        <f>'TEA Revised Non EYZ'!Z67</f>
        <v>0.28318429382522198</v>
      </c>
      <c r="AA67">
        <f>'TEA Revised Non EYZ'!AA67</f>
        <v>0.56945642916197003</v>
      </c>
      <c r="AB67">
        <f>'TEA Revised Non EYZ'!AB67</f>
        <v>3.7698628972227502E-3</v>
      </c>
      <c r="AC67">
        <f>'TEA Revised Non EYZ'!AC67</f>
        <v>1822.2107908876901</v>
      </c>
      <c r="AD67">
        <f>'TEA Revised Non EYZ'!AD67</f>
        <v>2662.6059073104898</v>
      </c>
      <c r="AE67">
        <f>'TEA Revised Non EYZ'!AE67</f>
        <v>2401.5030938442701</v>
      </c>
      <c r="AF67">
        <f>'TEA Revised Non EYZ'!AF67</f>
        <v>9</v>
      </c>
      <c r="AG67">
        <f>'TEA Revised Non EYZ'!AG67</f>
        <v>1.6497485970141401E-3</v>
      </c>
      <c r="AH67">
        <f>'TEA Revised Non EYZ'!AH67</f>
        <v>1.6689858606617799E-3</v>
      </c>
      <c r="AI67">
        <f>'TEA Revised Non EYZ'!AI67</f>
        <v>5.3150268046377499E-6</v>
      </c>
      <c r="AJ67">
        <f>'TEA Revised Non EYZ'!AJ67</f>
        <v>0</v>
      </c>
      <c r="AK67">
        <f>'TEA Revised Non EYZ'!AK67</f>
        <v>0</v>
      </c>
      <c r="AL67">
        <f>'TEA Revised Non EYZ'!AL67</f>
        <v>0</v>
      </c>
      <c r="AM67">
        <f>'TEA Revised Non EYZ'!AM67</f>
        <v>1.6127861938138701E-3</v>
      </c>
      <c r="AN67">
        <f>'TEA Revised Non EYZ'!AN67</f>
        <v>7.9603425019377403E-5</v>
      </c>
      <c r="AO67">
        <f>'TEA Revised Non EYZ'!AO67</f>
        <v>5.2800588331914901E-6</v>
      </c>
      <c r="AP67">
        <f>'TEA Revised Non EYZ'!AP67</f>
        <v>1.7337552285219199E-3</v>
      </c>
      <c r="AQ67">
        <f>'TEA Revised Non EYZ'!AQ67</f>
        <v>7.4551432519081903E-2</v>
      </c>
      <c r="AR67">
        <f>'TEA Revised Non EYZ'!AR67</f>
        <v>1.64020458835788E-6</v>
      </c>
      <c r="AS67">
        <f>'TEA Revised Non EYZ'!AS67</f>
        <v>3.7486290113686297E-17</v>
      </c>
      <c r="AT67">
        <f>'TEA Revised Non EYZ'!AT67</f>
        <v>-4.9181578948287397E-15</v>
      </c>
      <c r="AU67">
        <f>'TEA Revised Non EYZ'!AU67</f>
        <v>-2.56756862136459E-21</v>
      </c>
      <c r="AV67">
        <f>'TEA Revised Non EYZ'!AV67</f>
        <v>0.19689957677272099</v>
      </c>
      <c r="AW67">
        <f>'TEA Revised Non EYZ'!AW67</f>
        <v>99.342092284167904</v>
      </c>
      <c r="AX67">
        <f>'TEA Revised Non EYZ'!AX67</f>
        <v>500</v>
      </c>
      <c r="AY67">
        <f>'TEA Revised Non EYZ'!AY67</f>
        <v>95</v>
      </c>
      <c r="AZ67">
        <f>'TEA Revised Non EYZ'!AZ67</f>
        <v>0.92357542033771201</v>
      </c>
      <c r="BA67">
        <f>'TEA Revised Non EYZ'!BA67</f>
        <v>0.1</v>
      </c>
      <c r="BB67">
        <f>'TEA Revised Non EYZ'!BB67</f>
        <v>46.905911910810303</v>
      </c>
      <c r="BC67" t="str">
        <f>'TEA Revised Non EYZ'!BC67</f>
        <v>coeFc</v>
      </c>
      <c r="BD67">
        <f>'TEA Revised Non EYZ'!BD67</f>
        <v>1</v>
      </c>
      <c r="BE67">
        <f>'TEA Revised Non EYZ'!BE67</f>
        <v>1.8775014999999999E-2</v>
      </c>
      <c r="BF67">
        <f>'TEA Revised Non EYZ'!BF67</f>
        <v>0.10492961100000001</v>
      </c>
      <c r="BG67">
        <f>'TEA Revised Non EYZ'!BG67</f>
        <v>1.814625E-3</v>
      </c>
      <c r="BH67">
        <f>'TEA Revised Non EYZ'!BH67</f>
        <v>285.1951444</v>
      </c>
      <c r="BI67">
        <f>'TEA Revised Non EYZ'!BI67</f>
        <v>2169.8944889999998</v>
      </c>
      <c r="BJ67">
        <f>'TEA Revised Non EYZ'!BJ67</f>
        <v>866.49409060000005</v>
      </c>
      <c r="BK67">
        <f>'TEA Revised Non EYZ'!BK67</f>
        <v>100</v>
      </c>
      <c r="BL67">
        <f>'TEA Revised Non EYZ'!BL67</f>
        <v>10.969051996096999</v>
      </c>
      <c r="BM67">
        <f>'TEA Revised Non EYZ'!BM67</f>
        <v>92.357542033771196</v>
      </c>
      <c r="BN67">
        <f>'TEA Revised Non EYZ'!BN67</f>
        <v>19.689957677272098</v>
      </c>
      <c r="BO67">
        <f>'TEA Revised Non EYZ'!BO67</f>
        <v>241.31914391413397</v>
      </c>
      <c r="BP67">
        <f>'TEA Revised Non EYZ'!BP67</f>
        <v>433.17906889998613</v>
      </c>
      <c r="BQ67">
        <f>'TEA Revised Non EYZ'!BQ67</f>
        <v>24.1319143914134</v>
      </c>
      <c r="BR67">
        <f>'TEA Revised Non EYZ'!BR67</f>
        <v>43.317906889998618</v>
      </c>
      <c r="BS67">
        <f>'eLLE Bals'!CF67</f>
        <v>6.5814311976581994</v>
      </c>
      <c r="BT67">
        <f>'eLLE Bals'!CG67</f>
        <v>11.813974606363258</v>
      </c>
      <c r="BU67">
        <f>BM67</f>
        <v>92.357542033771196</v>
      </c>
      <c r="BV67">
        <f>BU67*(AM67*2+AN67*2+AO67*3)</f>
        <v>0.31407285048470118</v>
      </c>
      <c r="BW67">
        <f>BN67*BA67*(AP67*2+AQ67*2+AR67*3)</f>
        <v>0.30042011229829313</v>
      </c>
      <c r="BX67">
        <f>BV67/(2*V67*BL67+BV67)</f>
        <v>0.12523423908260398</v>
      </c>
      <c r="BY67">
        <f>BU67*BX67</f>
        <v>11.566326500138949</v>
      </c>
      <c r="BZ67">
        <f>BW67/(2*BN67*BA67+BW67)</f>
        <v>7.0880352657010467E-2</v>
      </c>
      <c r="CA67">
        <f>2*BN67*BA67/0.04</f>
        <v>98.449788386360495</v>
      </c>
      <c r="CB67">
        <f>(BS67+BL67)*2</f>
        <v>35.100966387510397</v>
      </c>
      <c r="CC67">
        <f>(BU67+BL67)*2</f>
        <v>206.65318805973638</v>
      </c>
      <c r="CD67">
        <f>(BT67+BN67)*2</f>
        <v>63.007864567270715</v>
      </c>
      <c r="CE67">
        <f>(CA67+BN67)*2</f>
        <v>236.2794921272652</v>
      </c>
      <c r="CF67">
        <f>'TEA Revised Non EYZ'!CB67</f>
        <v>3185.4126996665682</v>
      </c>
      <c r="CG67">
        <f>'TEA Revised Non EYZ'!CC67</f>
        <v>5717.9637094798172</v>
      </c>
      <c r="CH67">
        <f>'TEA Revised Non EYZ'!CD67</f>
        <v>3848.5686313477631</v>
      </c>
      <c r="CI67">
        <f>'TEA Revised Non EYZ'!CE67</f>
        <v>44103.16229411884</v>
      </c>
      <c r="CJ67">
        <f>BL67*V67</f>
        <v>1.0969051996096999</v>
      </c>
      <c r="CK67">
        <f>CJ67/2*1.2</f>
        <v>0.65814311976581996</v>
      </c>
      <c r="CL67">
        <f>'eLLE Bals'!CB67*'Oxidant Feed Composition'!$N$20</f>
        <v>3.656350665365668E-2</v>
      </c>
      <c r="CM67">
        <f>'eLLE Bals'!CB67*'Oxidant Feed Composition'!$N$21</f>
        <v>1.8281753326828334</v>
      </c>
      <c r="CN67">
        <f>'eLLE Bals'!CB67*'Oxidant Feed Composition'!$N$22</f>
        <v>0.54845259980484995</v>
      </c>
      <c r="CO67">
        <f>CN67/CK67</f>
        <v>0.83333333333333326</v>
      </c>
      <c r="CP67">
        <f>CO67</f>
        <v>0.83333333333333326</v>
      </c>
      <c r="CQ67">
        <f>CL67/CO67</f>
        <v>4.3876207984388023E-2</v>
      </c>
      <c r="CR67">
        <f>CM67/CO67</f>
        <v>2.1938103992194002</v>
      </c>
      <c r="CS67">
        <f>BN67*BA67</f>
        <v>1.9689957677272099</v>
      </c>
      <c r="CT67">
        <f>CS67/2*1.2</f>
        <v>1.1813974606363258</v>
      </c>
      <c r="CU67">
        <f>'eLLE Bals'!CC67*'Oxidant Feed Composition'!$N$20</f>
        <v>6.5633192257573691E-2</v>
      </c>
      <c r="CV67">
        <f>'eLLE Bals'!CC67*'Oxidant Feed Composition'!$N$21</f>
        <v>3.2816596128786832</v>
      </c>
      <c r="CW67">
        <f>'eLLE Bals'!CC67*'Oxidant Feed Composition'!$N$22</f>
        <v>0.98449788386360493</v>
      </c>
      <c r="CX67">
        <f>CU67/CP67</f>
        <v>7.8759830709088444E-2</v>
      </c>
      <c r="CY67">
        <f>CV67/CP67</f>
        <v>3.9379915354544202</v>
      </c>
      <c r="CZ67">
        <f>CJ67</f>
        <v>1.0969051996096999</v>
      </c>
      <c r="DA67">
        <f>'eLLE Bals'!BQ67</f>
        <v>2.1938103992193998</v>
      </c>
      <c r="DB67">
        <f>'eLLE Bals'!BU67</f>
        <v>5.4681127187769514</v>
      </c>
      <c r="DC67">
        <f>CS67</f>
        <v>1.9689957677272099</v>
      </c>
      <c r="DD67">
        <f>'eLLE Bals'!BX67</f>
        <v>3.9379915354544197</v>
      </c>
      <c r="DE67">
        <f>'eLLE Bals'!CA67</f>
        <v>21.872160146255688</v>
      </c>
      <c r="DF67">
        <f>2*2*(CJ67*'Reagent cost'!$C$36*122.44/1000*1.5+CK67*'Oxidant Feed Composition'!$N$26+CQ67*'Reagent cost'!$C$34+CR67*'Reagent cost'!$C$35)</f>
        <v>111.62232060062847</v>
      </c>
      <c r="DG67">
        <f>2*2*(CS67*'Reagent cost'!$C$36*122.44/1000*1.5+CT67*'Oxidant Feed Composition'!$N$26+CX67*'Reagent cost'!$C$34+CY67*'Reagent cost'!$C$35)</f>
        <v>200.3672486234276</v>
      </c>
      <c r="DH67">
        <f>(AF67+3)*2*(CZ67*'Reagent cost'!$C$38+DA67*'Reagent cost'!$C$39+DB67*'Reagent cost'!$C$36*122.44/1000*1.5)</f>
        <v>1819.4743389127052</v>
      </c>
      <c r="DI67">
        <f>3*2*(DC67*'Reagent cost'!$C$38+DD67*'Reagent cost'!$C$39+DE67*'Reagent cost'!$C$36*122.44/1000*1.5)</f>
        <v>1754.7632659463118</v>
      </c>
      <c r="DJ67">
        <f>7963.6*(CB67/1000)^0.6*1.7*('CAPEX+OPEX'!$G$116/'CAPEX+OPEX'!$G$115)</f>
        <v>2140.0916471558648</v>
      </c>
      <c r="DK67">
        <f>7963.6*(CC67/1000)^0.6*1.7*('CAPEX+OPEX'!$G$116/'CAPEX+OPEX'!$G$115)</f>
        <v>6199.9215410229135</v>
      </c>
      <c r="DL67">
        <f>7963.6*(CD67/1000)^0.6*1.7*('CAPEX+OPEX'!$G$116/'CAPEX+OPEX'!$G$115)</f>
        <v>3040.029405372095</v>
      </c>
      <c r="DM67">
        <f>7963.6*(CE67/1000)^0.6*1.7*('CAPEX+OPEX'!$G$116/'CAPEX+OPEX'!$G$115)</f>
        <v>6718.8747471987981</v>
      </c>
      <c r="DN67">
        <f>'TEA Revised Non EYZ'!CM67</f>
        <v>39625.826528698344</v>
      </c>
      <c r="DO67">
        <f>'TEA Revised Non EYZ'!CN67</f>
        <v>4586243.4239371875</v>
      </c>
      <c r="DP67">
        <f>'TEA Revised Non EYZ'!CO67</f>
        <v>11794834.586807497</v>
      </c>
      <c r="DQ67">
        <f>'TEA Revised Non EYZ'!CP67</f>
        <v>2275209.1661185985</v>
      </c>
      <c r="DR67">
        <f>'TEA Revised Non EYZ'!CQ67</f>
        <v>14083914.336508472</v>
      </c>
      <c r="DS67">
        <f>'TEA Revised Non EYZ'!CR67</f>
        <v>1662824.8986326549</v>
      </c>
      <c r="DT67">
        <f>'TEA Revised Non EYZ'!CS67</f>
        <v>800322.53402245743</v>
      </c>
      <c r="DU67">
        <f>'TEA Revised Non EYZ'!CT67</f>
        <v>2058257.9318883498</v>
      </c>
      <c r="DV67">
        <f>'TEA Revised Non EYZ'!CU67</f>
        <v>397035.437708179</v>
      </c>
      <c r="DW67">
        <f>'TEA Revised Non EYZ'!CV67</f>
        <v>2457713.856163613</v>
      </c>
      <c r="DX67">
        <f>'TEA Revised Non EYZ'!CW67</f>
        <v>290171.30437591631</v>
      </c>
      <c r="DY67">
        <f>'TEA Revised Non EYZ'!CX67</f>
        <v>6003501.064158516</v>
      </c>
      <c r="DZ67">
        <f>'TEA Revised Non EYZ'!CY67</f>
        <v>755796.97409698786</v>
      </c>
      <c r="EA67">
        <f>'TEA Revised Non EYZ'!CZ67</f>
        <v>1943747.740068865</v>
      </c>
      <c r="EB67">
        <f>'TEA Revised Non EYZ'!DA67</f>
        <v>374946.56175793061</v>
      </c>
      <c r="EC67">
        <f>'TEA Revised Non EYZ'!DB67</f>
        <v>2320980.125785856</v>
      </c>
      <c r="ED67">
        <f>'TEA Revised Non EYZ'!DC67</f>
        <v>274027.76317546447</v>
      </c>
      <c r="EE67">
        <f>'TEA Revised Non EYZ'!DD67</f>
        <v>5669499.1648851037</v>
      </c>
      <c r="EF67">
        <v>0.7</v>
      </c>
      <c r="EG67">
        <v>100</v>
      </c>
      <c r="EH67">
        <f>96485*BL67*V67/EF67/EG67/60</f>
        <v>25.198785281986165</v>
      </c>
      <c r="EI67">
        <f>96485*BN67*BA67/EF67/EG67/60</f>
        <v>45.232989678371396</v>
      </c>
      <c r="EJ67">
        <f>EH67*('CAPEX+OPEX'!$O$25+'CAPEX+OPEX'!$O$26)</f>
        <v>803135.68450746301</v>
      </c>
      <c r="EK67">
        <f>EI67*('CAPEX+OPEX'!$O$25+'CAPEX+OPEX'!$O$26)</f>
        <v>1441665.8470290531</v>
      </c>
      <c r="EL67">
        <f>EJ67*1.12/0.6*'CAPEX+OPEX'!$G$116/'CAPEX+OPEX'!$G$115</f>
        <v>1768228.0006537526</v>
      </c>
      <c r="EM67">
        <f>EK67*1.12/0.6*'CAPEX+OPEX'!$G$116/'CAPEX+OPEX'!$G$115</f>
        <v>3174051.3682520767</v>
      </c>
      <c r="EN67">
        <f>EL67+EM67+DY67+EE67+1.15*(SUM(DF67:DM67)+SUM(CF67:CI67))</f>
        <v>16705945.887576312</v>
      </c>
      <c r="EO67">
        <f>EN67/15</f>
        <v>1113729.7258384207</v>
      </c>
      <c r="EP67">
        <f>('eLLE Bals'!CB67+'eLLE Bals'!CC67)*'Oxidant Feed Composition'!$N$28*60*7200</f>
        <v>17043879.416536737</v>
      </c>
      <c r="EQ67" s="53">
        <f>('eLLE Bals'!BR67+'eLLE Bals'!BY67)*'Reagent cost'!$C$38*60*7200*1.5</f>
        <v>757990.32358657883</v>
      </c>
      <c r="ER67">
        <f>'TEA Revised Non EYZ'!DI67</f>
        <v>504921.59999999998</v>
      </c>
      <c r="ES67">
        <f>'TEA Revised Non EYZ'!DJ67</f>
        <v>89.033764091463851</v>
      </c>
      <c r="ET67">
        <f>'TEA Revised Non EYZ'!DK67</f>
        <v>959.03461850933206</v>
      </c>
      <c r="EU67">
        <f>1.2*SUM(EP67:ET67)</f>
        <v>21969407.290207099</v>
      </c>
      <c r="EV67">
        <f>'TEA Revised Non EYZ'!DM67</f>
        <v>0.70639694042110623</v>
      </c>
      <c r="EW67">
        <f>(BS67*CO67+BT67*CP67)/1000*('Oxidant Feed Composition'!$B$11*'Oxidant Feed Composition'!$O$20+'Oxidant Feed Composition'!$D$11*'Oxidant Feed Composition'!$O$21+'Oxidant Feed Composition'!$F$11*'Oxidant Feed Composition'!$O$27-'Oxidant Feed Composition'!$J$15*18.015)</f>
        <v>1.7902491707799795</v>
      </c>
      <c r="EX67">
        <f>(CZ67*BX67+DC67*BZ67)*368.34/1000</f>
        <v>0.10200557577773937</v>
      </c>
      <c r="EY67">
        <f>'TEA Revised Non EYZ'!DP67</f>
        <v>4.999938342565946E-2</v>
      </c>
      <c r="EZ67">
        <f>SUM(EV67:EX67)-EY67</f>
        <v>2.5486523035531659</v>
      </c>
      <c r="FA67">
        <f>EZ67*0.33*60*7200</f>
        <v>363335.8723945393</v>
      </c>
      <c r="FB67">
        <f>'TEA Revised Non EYZ'!DS67</f>
        <v>1.2</v>
      </c>
      <c r="FC67">
        <v>0.5</v>
      </c>
      <c r="FD67">
        <f>'TEA Revised Non EYZ'!DT67</f>
        <v>1405.875555868555</v>
      </c>
      <c r="FE67">
        <f>'TEA Revised Non EYZ'!DU67</f>
        <v>705.82826587847319</v>
      </c>
      <c r="FF67">
        <f>'TEA Revised Non EYZ'!DV67</f>
        <v>0.7</v>
      </c>
      <c r="FG67">
        <f>'TEA Revised Non EYZ'!DW67</f>
        <v>44032.441905260595</v>
      </c>
      <c r="FH67">
        <f>'TEA Revised Non EYZ'!DX67</f>
        <v>41526.098972294596</v>
      </c>
      <c r="FI67">
        <f>'TEA Revised Non EYZ'!DY67</f>
        <v>17581.614484237631</v>
      </c>
      <c r="FJ67">
        <f>'TEA Revised Non EYZ'!DZ67</f>
        <v>9313.4716969742931</v>
      </c>
      <c r="FK67">
        <f>'TEA Revised Non EYZ'!EA67</f>
        <v>9376.8610582600722</v>
      </c>
      <c r="FL67">
        <f>'TEA Revised Non EYZ'!EB67</f>
        <v>850.27353618930215</v>
      </c>
      <c r="FM67">
        <f>'TEA Revised Non EYZ'!EC67</f>
        <v>41142.073107028249</v>
      </c>
      <c r="FN67">
        <f>'TEA Revised Non EYZ'!ED67</f>
        <v>38794.082070748911</v>
      </c>
      <c r="FO67">
        <f>'TEA Revised Non EYZ'!EE67</f>
        <v>16424.913779954175</v>
      </c>
      <c r="FP67">
        <f>'TEA Revised Non EYZ'!EF67</f>
        <v>8705.5785415530754</v>
      </c>
      <c r="FQ67">
        <f>'TEA Revised Non EYZ'!EG67</f>
        <v>8759.9540159755597</v>
      </c>
      <c r="FR67">
        <f>'TEA Revised Non EYZ'!EH67</f>
        <v>426.88493520330059</v>
      </c>
      <c r="FS67">
        <f>'TEA Revised Non EYZ'!EI67</f>
        <v>236934.24810367974</v>
      </c>
      <c r="FT67">
        <f>EG67*EH67</f>
        <v>2519.8785281986166</v>
      </c>
      <c r="FU67">
        <f>EG67*EI67</f>
        <v>4523.2989678371396</v>
      </c>
      <c r="FV67">
        <f>FC67*(FT67+FU67)/(3.6*10^6)*3600*7200*0.07</f>
        <v>1774.8807290010106</v>
      </c>
      <c r="FW67">
        <f>('CAPEX+OPEX'!$C$39/7/100+0.03)*EL67</f>
        <v>90937.440033621562</v>
      </c>
      <c r="FX67">
        <f>('CAPEX+OPEX'!$C$39/7/100+0.03)*EM67</f>
        <v>163236.92751010679</v>
      </c>
      <c r="FY67">
        <f>SUM(FV67:FX67)</f>
        <v>255949.24827272937</v>
      </c>
      <c r="FZ67">
        <f>FY67+FA67+FS67+EU67</f>
        <v>22825626.658978049</v>
      </c>
      <c r="GA67">
        <f>FZ67+EO67</f>
        <v>23939356.384816468</v>
      </c>
      <c r="GB67">
        <f>GA67/(BK67*60*7200)</f>
        <v>0.55415176816704792</v>
      </c>
      <c r="GC67">
        <f>'TEA Revised Non EYZ'!EM67/'TEA Revised Non EYZ'!EK67*GA67</f>
        <v>1853.9131921045905</v>
      </c>
      <c r="GD67">
        <f>'TEA Revised Non EYZ'!EN67/'TEA Revised Non EYZ'!EK67*GA67</f>
        <v>3402.2404751146619</v>
      </c>
    </row>
    <row r="68" spans="1:186">
      <c r="A68">
        <f>'TEA Revised Non EYZ'!A68</f>
        <v>9</v>
      </c>
      <c r="B68">
        <f>'TEA Revised Non EYZ'!B68</f>
        <v>1.54143585092054E-3</v>
      </c>
      <c r="C68">
        <f>'TEA Revised Non EYZ'!C68</f>
        <v>1.54143585092054E-3</v>
      </c>
      <c r="D68">
        <f>'TEA Revised Non EYZ'!D68</f>
        <v>3.4254130020456501E-4</v>
      </c>
      <c r="E68">
        <f>'TEA Revised Non EYZ'!E68</f>
        <v>0</v>
      </c>
      <c r="F68">
        <f>'TEA Revised Non EYZ'!F68</f>
        <v>0</v>
      </c>
      <c r="G68">
        <f>'TEA Revised Non EYZ'!G68</f>
        <v>0</v>
      </c>
      <c r="H68">
        <f>'TEA Revised Non EYZ'!H68</f>
        <v>1.7768596981705501E-5</v>
      </c>
      <c r="I68">
        <f>'TEA Revised Non EYZ'!I68</f>
        <v>1.5331283704498101E-9</v>
      </c>
      <c r="J68">
        <f>'TEA Revised Non EYZ'!J68</f>
        <v>3.3763247208936601E-4</v>
      </c>
      <c r="K68">
        <f>'TEA Revised Non EYZ'!K68</f>
        <v>0.13890601070001499</v>
      </c>
      <c r="L68">
        <f>'TEA Revised Non EYZ'!L68</f>
        <v>0.14052575540227799</v>
      </c>
      <c r="M68">
        <f>'TEA Revised Non EYZ'!M68</f>
        <v>4.4751616793740602E-4</v>
      </c>
      <c r="N68">
        <f>'TEA Revised Non EYZ'!N68</f>
        <v>-5.0090140368830299E-17</v>
      </c>
      <c r="O68">
        <f>'TEA Revised Non EYZ'!O68</f>
        <v>-6.2343793322261397E-15</v>
      </c>
      <c r="P68">
        <f>'TEA Revised Non EYZ'!P68</f>
        <v>1.7787691892340301E-20</v>
      </c>
      <c r="Q68">
        <f>'TEA Revised Non EYZ'!Q68</f>
        <v>0.10969051996097</v>
      </c>
      <c r="R68">
        <f>'TEA Revised Non EYZ'!R68</f>
        <v>98.566938318892298</v>
      </c>
      <c r="S68">
        <f>'TEA Revised Non EYZ'!S68</f>
        <v>500</v>
      </c>
      <c r="T68">
        <f>'TEA Revised Non EYZ'!T68</f>
        <v>95</v>
      </c>
      <c r="U68">
        <f>'TEA Revised Non EYZ'!U68</f>
        <v>1</v>
      </c>
      <c r="V68">
        <f>'TEA Revised Non EYZ'!V68</f>
        <v>0.1</v>
      </c>
      <c r="W68">
        <f>'TEA Revised Non EYZ'!W68</f>
        <v>91.165581160141301</v>
      </c>
      <c r="X68" t="str">
        <f>'TEA Revised Non EYZ'!X68</f>
        <v>ddFc</v>
      </c>
      <c r="Y68">
        <f>'TEA Revised Non EYZ'!Y68</f>
        <v>1</v>
      </c>
      <c r="Z68">
        <f>'TEA Revised Non EYZ'!Z68</f>
        <v>0.28318429382522198</v>
      </c>
      <c r="AA68">
        <f>'TEA Revised Non EYZ'!AA68</f>
        <v>0.56945642916197003</v>
      </c>
      <c r="AB68">
        <f>'TEA Revised Non EYZ'!AB68</f>
        <v>3.7698628972227502E-3</v>
      </c>
      <c r="AC68">
        <f>'TEA Revised Non EYZ'!AC68</f>
        <v>1822.2107908876901</v>
      </c>
      <c r="AD68">
        <f>'TEA Revised Non EYZ'!AD68</f>
        <v>2662.6059073104898</v>
      </c>
      <c r="AE68">
        <f>'TEA Revised Non EYZ'!AE68</f>
        <v>2401.5030938442701</v>
      </c>
      <c r="AF68">
        <f>'TEA Revised Non EYZ'!AF68</f>
        <v>10</v>
      </c>
      <c r="AG68">
        <f>'TEA Revised Non EYZ'!AG68</f>
        <v>1.6497485970141401E-3</v>
      </c>
      <c r="AH68">
        <f>'TEA Revised Non EYZ'!AH68</f>
        <v>1.6689858606617799E-3</v>
      </c>
      <c r="AI68">
        <f>'TEA Revised Non EYZ'!AI68</f>
        <v>5.3150268046377499E-6</v>
      </c>
      <c r="AJ68">
        <f>'TEA Revised Non EYZ'!AJ68</f>
        <v>0</v>
      </c>
      <c r="AK68">
        <f>'TEA Revised Non EYZ'!AK68</f>
        <v>0</v>
      </c>
      <c r="AL68">
        <f>'TEA Revised Non EYZ'!AL68</f>
        <v>0</v>
      </c>
      <c r="AM68">
        <f>'TEA Revised Non EYZ'!AM68</f>
        <v>1.61279727507717E-3</v>
      </c>
      <c r="AN68">
        <f>'TEA Revised Non EYZ'!AN68</f>
        <v>7.9603998227522496E-5</v>
      </c>
      <c r="AO68">
        <f>'TEA Revised Non EYZ'!AO68</f>
        <v>5.28006888098894E-6</v>
      </c>
      <c r="AP68">
        <f>'TEA Revised Non EYZ'!AP68</f>
        <v>1.7333804651433E-3</v>
      </c>
      <c r="AQ68">
        <f>'TEA Revised Non EYZ'!AQ68</f>
        <v>7.4557643117945299E-2</v>
      </c>
      <c r="AR68">
        <f>'TEA Revised Non EYZ'!AR68</f>
        <v>1.6398704779534299E-6</v>
      </c>
      <c r="AS68">
        <f>'TEA Revised Non EYZ'!AS68</f>
        <v>6.2399223158329797E-15</v>
      </c>
      <c r="AT68">
        <f>'TEA Revised Non EYZ'!AT68</f>
        <v>-6.4600451724072805E-13</v>
      </c>
      <c r="AU68">
        <f>'TEA Revised Non EYZ'!AU68</f>
        <v>5.9854789124336998E-20</v>
      </c>
      <c r="AV68">
        <f>'TEA Revised Non EYZ'!AV68</f>
        <v>0.19688310425783201</v>
      </c>
      <c r="AW68">
        <f>'TEA Revised Non EYZ'!AW68</f>
        <v>99.342281329262306</v>
      </c>
      <c r="AX68">
        <f>'TEA Revised Non EYZ'!AX68</f>
        <v>500</v>
      </c>
      <c r="AY68">
        <f>'TEA Revised Non EYZ'!AY68</f>
        <v>95</v>
      </c>
      <c r="AZ68">
        <f>'TEA Revised Non EYZ'!AZ68</f>
        <v>0.92357542033771201</v>
      </c>
      <c r="BA68">
        <f>'TEA Revised Non EYZ'!BA68</f>
        <v>0.1</v>
      </c>
      <c r="BB68">
        <f>'TEA Revised Non EYZ'!BB68</f>
        <v>46.909836363013902</v>
      </c>
      <c r="BC68" t="str">
        <f>'TEA Revised Non EYZ'!BC68</f>
        <v>coeFc</v>
      </c>
      <c r="BD68">
        <f>'TEA Revised Non EYZ'!BD68</f>
        <v>1</v>
      </c>
      <c r="BE68">
        <f>'TEA Revised Non EYZ'!BE68</f>
        <v>1.8775014999999999E-2</v>
      </c>
      <c r="BF68">
        <f>'TEA Revised Non EYZ'!BF68</f>
        <v>0.10492961100000001</v>
      </c>
      <c r="BG68">
        <f>'TEA Revised Non EYZ'!BG68</f>
        <v>1.814625E-3</v>
      </c>
      <c r="BH68">
        <f>'TEA Revised Non EYZ'!BH68</f>
        <v>285.1951444</v>
      </c>
      <c r="BI68">
        <f>'TEA Revised Non EYZ'!BI68</f>
        <v>2169.8944889999998</v>
      </c>
      <c r="BJ68">
        <f>'TEA Revised Non EYZ'!BJ68</f>
        <v>866.49409060000005</v>
      </c>
      <c r="BK68">
        <f>'TEA Revised Non EYZ'!BK68</f>
        <v>100</v>
      </c>
      <c r="BL68">
        <f>'TEA Revised Non EYZ'!BL68</f>
        <v>10.969051996096999</v>
      </c>
      <c r="BM68">
        <f>'TEA Revised Non EYZ'!BM68</f>
        <v>92.357542033771196</v>
      </c>
      <c r="BN68">
        <f>'TEA Revised Non EYZ'!BN68</f>
        <v>19.6883104257832</v>
      </c>
      <c r="BO68">
        <f>'TEA Revised Non EYZ'!BO68</f>
        <v>241.31914391413397</v>
      </c>
      <c r="BP68">
        <f>'TEA Revised Non EYZ'!BP68</f>
        <v>472.51945021879681</v>
      </c>
      <c r="BQ68">
        <f>'TEA Revised Non EYZ'!BQ68</f>
        <v>24.1319143914134</v>
      </c>
      <c r="BR68">
        <f>'TEA Revised Non EYZ'!BR68</f>
        <v>47.251945021879685</v>
      </c>
      <c r="BS68">
        <f>'eLLE Bals'!CF68</f>
        <v>6.5814311976581994</v>
      </c>
      <c r="BT68">
        <f>'eLLE Bals'!CG68</f>
        <v>11.812986255469919</v>
      </c>
      <c r="BU68">
        <f>BM68</f>
        <v>92.357542033771196</v>
      </c>
      <c r="BV68">
        <f>BU68*(AM68*2+AN68*2+AO68*3)</f>
        <v>0.31407500602534349</v>
      </c>
      <c r="BW68">
        <f>BN68*BA68*(AP68*2+AQ68*2+AR68*3)</f>
        <v>0.30041795688462752</v>
      </c>
      <c r="BX68">
        <f>BV68/(2*V68*BL68+BV68)</f>
        <v>0.12523499094835758</v>
      </c>
      <c r="BY68">
        <f>BU68*BX68</f>
        <v>11.566395940611891</v>
      </c>
      <c r="BZ68">
        <f>BW68/(2*BN68*BA68+BW68)</f>
        <v>7.0885390059771361E-2</v>
      </c>
      <c r="CA68">
        <f>2*BN68*BA68/0.04</f>
        <v>98.441552128916001</v>
      </c>
      <c r="CB68">
        <f>(BS68+BL68)*2</f>
        <v>35.100966387510397</v>
      </c>
      <c r="CC68">
        <f>(BU68+BL68)*2</f>
        <v>206.65318805973638</v>
      </c>
      <c r="CD68">
        <f>(BT68+BN68)*2</f>
        <v>63.002593362506239</v>
      </c>
      <c r="CE68">
        <f>(CA68+BN68)*2</f>
        <v>236.2597251093984</v>
      </c>
      <c r="CF68">
        <f>'TEA Revised Non EYZ'!CB68</f>
        <v>3185.4126996665682</v>
      </c>
      <c r="CG68">
        <f>'TEA Revised Non EYZ'!CC68</f>
        <v>6237.2567428881175</v>
      </c>
      <c r="CH68">
        <f>'TEA Revised Non EYZ'!CD68</f>
        <v>3848.5686313477631</v>
      </c>
      <c r="CI68">
        <f>'TEA Revised Non EYZ'!CE68</f>
        <v>48108.515614679709</v>
      </c>
      <c r="CJ68">
        <f>BL68*V68</f>
        <v>1.0969051996096999</v>
      </c>
      <c r="CK68">
        <f>CJ68/2*1.2</f>
        <v>0.65814311976581996</v>
      </c>
      <c r="CL68">
        <f>'eLLE Bals'!CB68*'Oxidant Feed Composition'!$N$20</f>
        <v>3.656350665365668E-2</v>
      </c>
      <c r="CM68">
        <f>'eLLE Bals'!CB68*'Oxidant Feed Composition'!$N$21</f>
        <v>1.8281753326828334</v>
      </c>
      <c r="CN68">
        <f>'eLLE Bals'!CB68*'Oxidant Feed Composition'!$N$22</f>
        <v>0.54845259980484995</v>
      </c>
      <c r="CO68">
        <f>CN68/CK68</f>
        <v>0.83333333333333326</v>
      </c>
      <c r="CP68">
        <f>CO68</f>
        <v>0.83333333333333326</v>
      </c>
      <c r="CQ68">
        <f>CL68/CO68</f>
        <v>4.3876207984388023E-2</v>
      </c>
      <c r="CR68">
        <f>CM68/CO68</f>
        <v>2.1938103992194002</v>
      </c>
      <c r="CS68">
        <f>BN68*BA68</f>
        <v>1.9688310425783202</v>
      </c>
      <c r="CT68">
        <f>CS68/2*1.2</f>
        <v>1.1812986255469922</v>
      </c>
      <c r="CU68">
        <f>'eLLE Bals'!CC68*'Oxidant Feed Composition'!$N$20</f>
        <v>6.5627701419277359E-2</v>
      </c>
      <c r="CV68">
        <f>'eLLE Bals'!CC68*'Oxidant Feed Composition'!$N$21</f>
        <v>3.281385070963867</v>
      </c>
      <c r="CW68">
        <f>'eLLE Bals'!CC68*'Oxidant Feed Composition'!$N$22</f>
        <v>0.9844155212891601</v>
      </c>
      <c r="CX68">
        <f>CU68/CP68</f>
        <v>7.8753241703132845E-2</v>
      </c>
      <c r="CY68">
        <f>CV68/CP68</f>
        <v>3.9376620851566408</v>
      </c>
      <c r="CZ68">
        <f>CJ68</f>
        <v>1.0969051996096999</v>
      </c>
      <c r="DA68">
        <f>'eLLE Bals'!BQ68</f>
        <v>2.1938103992193998</v>
      </c>
      <c r="DB68">
        <f>'eLLE Bals'!BU68</f>
        <v>5.4680601348151612</v>
      </c>
      <c r="DC68">
        <f>CS68</f>
        <v>1.9688310425783202</v>
      </c>
      <c r="DD68">
        <f>'eLLE Bals'!BX68</f>
        <v>3.9376620851566404</v>
      </c>
      <c r="DE68">
        <f>'eLLE Bals'!CA68</f>
        <v>21.868356399342197</v>
      </c>
      <c r="DF68">
        <f>2*2*(CJ68*'Reagent cost'!$C$36*122.44/1000*1.5+CK68*'Oxidant Feed Composition'!$N$26+CQ68*'Reagent cost'!$C$34+CR68*'Reagent cost'!$C$35)</f>
        <v>111.62232060062847</v>
      </c>
      <c r="DG68">
        <f>2*2*(CS68*'Reagent cost'!$C$36*122.44/1000*1.5+CT68*'Oxidant Feed Composition'!$N$26+CX68*'Reagent cost'!$C$34+CY68*'Reagent cost'!$C$35)</f>
        <v>200.35048600493798</v>
      </c>
      <c r="DH68">
        <f>(AF68+3)*2*(CZ68*'Reagent cost'!$C$38+DA68*'Reagent cost'!$C$39+DB68*'Reagent cost'!$C$36*122.44/1000*1.5)</f>
        <v>1971.0794680305598</v>
      </c>
      <c r="DI68">
        <f>3*2*(DC68*'Reagent cost'!$C$38+DD68*'Reagent cost'!$C$39+DE68*'Reagent cost'!$C$36*122.44/1000*1.5)</f>
        <v>1754.4628510499454</v>
      </c>
      <c r="DJ68">
        <f>7963.6*(CB68/1000)^0.6*1.7*('CAPEX+OPEX'!$G$116/'CAPEX+OPEX'!$G$115)</f>
        <v>2140.0916471558648</v>
      </c>
      <c r="DK68">
        <f>7963.6*(CC68/1000)^0.6*1.7*('CAPEX+OPEX'!$G$116/'CAPEX+OPEX'!$G$115)</f>
        <v>6199.9215410229135</v>
      </c>
      <c r="DL68">
        <f>7963.6*(CD68/1000)^0.6*1.7*('CAPEX+OPEX'!$G$116/'CAPEX+OPEX'!$G$115)</f>
        <v>3039.8768064634182</v>
      </c>
      <c r="DM68">
        <f>7963.6*(CE68/1000)^0.6*1.7*('CAPEX+OPEX'!$G$116/'CAPEX+OPEX'!$G$115)</f>
        <v>6718.5374830420278</v>
      </c>
      <c r="DN68">
        <f>'TEA Revised Non EYZ'!CM68</f>
        <v>39625.826528698344</v>
      </c>
      <c r="DO68">
        <f>'TEA Revised Non EYZ'!CN68</f>
        <v>4586243.4239371875</v>
      </c>
      <c r="DP68">
        <f>'TEA Revised Non EYZ'!CO68</f>
        <v>11794834.586807497</v>
      </c>
      <c r="DQ68">
        <f>'TEA Revised Non EYZ'!CP68</f>
        <v>2275209.1661185985</v>
      </c>
      <c r="DR68">
        <f>'TEA Revised Non EYZ'!CQ68</f>
        <v>14083914.336508472</v>
      </c>
      <c r="DS68">
        <f>'TEA Revised Non EYZ'!CR68</f>
        <v>1662824.8986326549</v>
      </c>
      <c r="DT68">
        <f>'TEA Revised Non EYZ'!CS68</f>
        <v>800322.53402245743</v>
      </c>
      <c r="DU68">
        <f>'TEA Revised Non EYZ'!CT68</f>
        <v>2058257.9318883498</v>
      </c>
      <c r="DV68">
        <f>'TEA Revised Non EYZ'!CU68</f>
        <v>397035.437708179</v>
      </c>
      <c r="DW68">
        <f>'TEA Revised Non EYZ'!CV68</f>
        <v>2457713.856163613</v>
      </c>
      <c r="DX68">
        <f>'TEA Revised Non EYZ'!CW68</f>
        <v>290171.30437591631</v>
      </c>
      <c r="DY68">
        <f>'TEA Revised Non EYZ'!CX68</f>
        <v>6003501.064158516</v>
      </c>
      <c r="DZ68">
        <f>'TEA Revised Non EYZ'!CY68</f>
        <v>800277.78225224779</v>
      </c>
      <c r="EA68">
        <f>'TEA Revised Non EYZ'!CZ68</f>
        <v>2058142.8399321893</v>
      </c>
      <c r="EB68">
        <f>'TEA Revised Non EYZ'!DA68</f>
        <v>397013.23661059892</v>
      </c>
      <c r="EC68">
        <f>'TEA Revised Non EYZ'!DB68</f>
        <v>2457576.4277631165</v>
      </c>
      <c r="ED68">
        <f>'TEA Revised Non EYZ'!DC68</f>
        <v>290155.07881811575</v>
      </c>
      <c r="EE68">
        <f>'TEA Revised Non EYZ'!DD68</f>
        <v>6003165.3653762685</v>
      </c>
      <c r="EF68">
        <v>0.7</v>
      </c>
      <c r="EG68">
        <v>100</v>
      </c>
      <c r="EH68">
        <f>96485*BL68*V68/EF68/EG68/60</f>
        <v>25.198785281986165</v>
      </c>
      <c r="EI68">
        <f>96485*BN68*BA68/EF68/EG68/60</f>
        <v>45.229205510278383</v>
      </c>
      <c r="EJ68">
        <f>EH68*('CAPEX+OPEX'!$O$25+'CAPEX+OPEX'!$O$26)</f>
        <v>803135.68450746301</v>
      </c>
      <c r="EK68">
        <f>EI68*('CAPEX+OPEX'!$O$25+'CAPEX+OPEX'!$O$26)</f>
        <v>1441545.2380235926</v>
      </c>
      <c r="EL68">
        <f>EJ68*1.12/0.6*'CAPEX+OPEX'!$G$116/'CAPEX+OPEX'!$G$115</f>
        <v>1768228.0006537526</v>
      </c>
      <c r="EM68">
        <f>EK68*1.12/0.6*'CAPEX+OPEX'!$G$116/'CAPEX+OPEX'!$G$115</f>
        <v>3173785.8287863303</v>
      </c>
      <c r="EN68">
        <f>EL68+EM68+DY68+EE68+1.15*(SUM(DF68:DM68)+SUM(CF68:CI68))</f>
        <v>17044723.309710614</v>
      </c>
      <c r="EO68">
        <f>EN68/15</f>
        <v>1136314.8873140409</v>
      </c>
      <c r="EP68">
        <f>('eLLE Bals'!CB68+'eLLE Bals'!CC68)*'Oxidant Feed Composition'!$N$28*60*7200</f>
        <v>17042963.680639047</v>
      </c>
      <c r="EQ68" s="53">
        <f>('eLLE Bals'!BR68+'eLLE Bals'!BY68)*'Reagent cost'!$C$38*60*7200*1.5</f>
        <v>757987.76918281335</v>
      </c>
      <c r="ER68">
        <f>'TEA Revised Non EYZ'!DI68</f>
        <v>504921.59999999998</v>
      </c>
      <c r="ES68">
        <f>'TEA Revised Non EYZ'!DJ68</f>
        <v>94.226694425546853</v>
      </c>
      <c r="ET68">
        <f>'TEA Revised Non EYZ'!DK68</f>
        <v>1039.1416849205496</v>
      </c>
      <c r="EU68">
        <f>1.2*SUM(EP68:ET68)</f>
        <v>21968407.701841444</v>
      </c>
      <c r="EV68">
        <f>'TEA Revised Non EYZ'!DM68</f>
        <v>0.70639694042110623</v>
      </c>
      <c r="EW68">
        <f>(BS68*CO68+BT68*CP68)/1000*('Oxidant Feed Composition'!$B$11*'Oxidant Feed Composition'!$O$20+'Oxidant Feed Composition'!$D$11*'Oxidant Feed Composition'!$O$21+'Oxidant Feed Composition'!$F$11*'Oxidant Feed Composition'!$O$27-'Oxidant Feed Composition'!$J$15*18.015)</f>
        <v>1.790152984026282</v>
      </c>
      <c r="EX68">
        <f>(CZ68*BX68+DC68*BZ68)*368.34/1000</f>
        <v>0.10200523202212834</v>
      </c>
      <c r="EY68">
        <f>'TEA Revised Non EYZ'!DP68</f>
        <v>4.999938342565946E-2</v>
      </c>
      <c r="EZ68">
        <f>SUM(EV68:EX68)-EY68</f>
        <v>2.5485557730438573</v>
      </c>
      <c r="FA68">
        <f>EZ68*0.33*60*7200</f>
        <v>363322.11100513232</v>
      </c>
      <c r="FB68">
        <f>'TEA Revised Non EYZ'!DS68</f>
        <v>1.2</v>
      </c>
      <c r="FC68">
        <v>0.5</v>
      </c>
      <c r="FD68">
        <f>'TEA Revised Non EYZ'!DT68</f>
        <v>1405.8852099213232</v>
      </c>
      <c r="FE68">
        <f>'TEA Revised Non EYZ'!DU68</f>
        <v>705.81861211455293</v>
      </c>
      <c r="FF68">
        <f>'TEA Revised Non EYZ'!DV68</f>
        <v>0.7</v>
      </c>
      <c r="FG68">
        <f>'TEA Revised Non EYZ'!DW68</f>
        <v>44032.441905260595</v>
      </c>
      <c r="FH68">
        <f>'TEA Revised Non EYZ'!DX68</f>
        <v>41526.098972294596</v>
      </c>
      <c r="FI68">
        <f>'TEA Revised Non EYZ'!DY68</f>
        <v>17581.614484237631</v>
      </c>
      <c r="FJ68">
        <f>'TEA Revised Non EYZ'!DZ68</f>
        <v>9313.4716969742931</v>
      </c>
      <c r="FK68">
        <f>'TEA Revised Non EYZ'!EA68</f>
        <v>9376.8610582600722</v>
      </c>
      <c r="FL68">
        <f>'TEA Revised Non EYZ'!EB68</f>
        <v>850.27937496041636</v>
      </c>
      <c r="FM68">
        <f>'TEA Revised Non EYZ'!EC68</f>
        <v>43713.452676217516</v>
      </c>
      <c r="FN68">
        <f>'TEA Revised Non EYZ'!ED68</f>
        <v>42673.490277823796</v>
      </c>
      <c r="FO68">
        <f>'TEA Revised Non EYZ'!EE68</f>
        <v>18067.40515794959</v>
      </c>
      <c r="FP68">
        <f>'TEA Revised Non EYZ'!EF68</f>
        <v>9576.1363957083813</v>
      </c>
      <c r="FQ68">
        <f>'TEA Revised Non EYZ'!EG68</f>
        <v>9635.9494175731143</v>
      </c>
      <c r="FR68">
        <f>'TEA Revised Non EYZ'!EH68</f>
        <v>426.87909660688166</v>
      </c>
      <c r="FS68">
        <f>'TEA Revised Non EYZ'!EI68</f>
        <v>246774.08051386688</v>
      </c>
      <c r="FT68">
        <f>EG68*EH68</f>
        <v>2519.8785281986166</v>
      </c>
      <c r="FU68">
        <f>EG68*EI68</f>
        <v>4522.920551027838</v>
      </c>
      <c r="FV68">
        <f>FC68*(FT68+FU68)/(3.6*10^6)*3600*7200*0.07</f>
        <v>1774.7853679650668</v>
      </c>
      <c r="FW68">
        <f>('CAPEX+OPEX'!$C$39/7/100+0.03)*EL68</f>
        <v>90937.440033621562</v>
      </c>
      <c r="FX68">
        <f>('CAPEX+OPEX'!$C$39/7/100+0.03)*EM68</f>
        <v>163223.27119472556</v>
      </c>
      <c r="FY68">
        <f>SUM(FV68:FX68)</f>
        <v>255935.49659631221</v>
      </c>
      <c r="FZ68">
        <f>FY68+FA68+FS68+EU68</f>
        <v>22834439.389956754</v>
      </c>
      <c r="GA68">
        <f>FZ68+EO68</f>
        <v>23970754.277270794</v>
      </c>
      <c r="GB68">
        <f>GA68/(BK68*60*7200)</f>
        <v>0.55487857123312023</v>
      </c>
      <c r="GC68">
        <f>'TEA Revised Non EYZ'!EM68/'TEA Revised Non EYZ'!EK68*GA68</f>
        <v>1856.3319545468125</v>
      </c>
      <c r="GD68">
        <f>'TEA Revised Non EYZ'!EN68/'TEA Revised Non EYZ'!EK68*GA68</f>
        <v>3406.7456730724193</v>
      </c>
    </row>
    <row r="69" spans="1:186">
      <c r="A69">
        <f>'TEA Revised Non EYZ'!A69</f>
        <v>9</v>
      </c>
      <c r="B69">
        <f>'TEA Revised Non EYZ'!B69</f>
        <v>1.54143585092054E-3</v>
      </c>
      <c r="C69">
        <f>'TEA Revised Non EYZ'!C69</f>
        <v>1.54143585092054E-3</v>
      </c>
      <c r="D69">
        <f>'TEA Revised Non EYZ'!D69</f>
        <v>3.4254130020456501E-4</v>
      </c>
      <c r="E69">
        <f>'TEA Revised Non EYZ'!E69</f>
        <v>0</v>
      </c>
      <c r="F69">
        <f>'TEA Revised Non EYZ'!F69</f>
        <v>0</v>
      </c>
      <c r="G69">
        <f>'TEA Revised Non EYZ'!G69</f>
        <v>0</v>
      </c>
      <c r="H69">
        <f>'TEA Revised Non EYZ'!H69</f>
        <v>1.7768596981705501E-5</v>
      </c>
      <c r="I69">
        <f>'TEA Revised Non EYZ'!I69</f>
        <v>1.5331283704498101E-9</v>
      </c>
      <c r="J69">
        <f>'TEA Revised Non EYZ'!J69</f>
        <v>3.3763247208936601E-4</v>
      </c>
      <c r="K69">
        <f>'TEA Revised Non EYZ'!K69</f>
        <v>0.13890601070001499</v>
      </c>
      <c r="L69">
        <f>'TEA Revised Non EYZ'!L69</f>
        <v>0.14052575540227799</v>
      </c>
      <c r="M69">
        <f>'TEA Revised Non EYZ'!M69</f>
        <v>4.4751616793740602E-4</v>
      </c>
      <c r="N69">
        <f>'TEA Revised Non EYZ'!N69</f>
        <v>-5.0090140368830299E-17</v>
      </c>
      <c r="O69">
        <f>'TEA Revised Non EYZ'!O69</f>
        <v>-6.2343793322261397E-15</v>
      </c>
      <c r="P69">
        <f>'TEA Revised Non EYZ'!P69</f>
        <v>1.7787691892340301E-20</v>
      </c>
      <c r="Q69">
        <f>'TEA Revised Non EYZ'!Q69</f>
        <v>0.10969051996097</v>
      </c>
      <c r="R69">
        <f>'TEA Revised Non EYZ'!R69</f>
        <v>98.566938318892298</v>
      </c>
      <c r="S69">
        <f>'TEA Revised Non EYZ'!S69</f>
        <v>500</v>
      </c>
      <c r="T69">
        <f>'TEA Revised Non EYZ'!T69</f>
        <v>95</v>
      </c>
      <c r="U69">
        <f>'TEA Revised Non EYZ'!U69</f>
        <v>1</v>
      </c>
      <c r="V69">
        <f>'TEA Revised Non EYZ'!V69</f>
        <v>0.1</v>
      </c>
      <c r="W69">
        <f>'TEA Revised Non EYZ'!W69</f>
        <v>91.165581160141301</v>
      </c>
      <c r="X69" t="str">
        <f>'TEA Revised Non EYZ'!X69</f>
        <v>ddFc</v>
      </c>
      <c r="Y69">
        <f>'TEA Revised Non EYZ'!Y69</f>
        <v>1</v>
      </c>
      <c r="Z69">
        <f>'TEA Revised Non EYZ'!Z69</f>
        <v>0.28318429382522198</v>
      </c>
      <c r="AA69">
        <f>'TEA Revised Non EYZ'!AA69</f>
        <v>0.56945642916197003</v>
      </c>
      <c r="AB69">
        <f>'TEA Revised Non EYZ'!AB69</f>
        <v>3.7698628972227502E-3</v>
      </c>
      <c r="AC69">
        <f>'TEA Revised Non EYZ'!AC69</f>
        <v>1822.2107908876901</v>
      </c>
      <c r="AD69">
        <f>'TEA Revised Non EYZ'!AD69</f>
        <v>2662.6059073104898</v>
      </c>
      <c r="AE69">
        <f>'TEA Revised Non EYZ'!AE69</f>
        <v>2401.5030938442701</v>
      </c>
      <c r="AF69">
        <f>'TEA Revised Non EYZ'!AF69</f>
        <v>11</v>
      </c>
      <c r="AG69">
        <f>'TEA Revised Non EYZ'!AG69</f>
        <v>1.6497485970141401E-3</v>
      </c>
      <c r="AH69">
        <f>'TEA Revised Non EYZ'!AH69</f>
        <v>1.6689858606617799E-3</v>
      </c>
      <c r="AI69">
        <f>'TEA Revised Non EYZ'!AI69</f>
        <v>5.3150268046377499E-6</v>
      </c>
      <c r="AJ69">
        <f>'TEA Revised Non EYZ'!AJ69</f>
        <v>0</v>
      </c>
      <c r="AK69">
        <f>'TEA Revised Non EYZ'!AK69</f>
        <v>0</v>
      </c>
      <c r="AL69">
        <f>'TEA Revised Non EYZ'!AL69</f>
        <v>0</v>
      </c>
      <c r="AM69">
        <f>'TEA Revised Non EYZ'!AM69</f>
        <v>1.6128003908315799E-3</v>
      </c>
      <c r="AN69">
        <f>'TEA Revised Non EYZ'!AN69</f>
        <v>7.9604159390225403E-5</v>
      </c>
      <c r="AO69">
        <f>'TEA Revised Non EYZ'!AO69</f>
        <v>5.2800717061551003E-6</v>
      </c>
      <c r="AP69">
        <f>'TEA Revised Non EYZ'!AP69</f>
        <v>1.7332750811688499E-3</v>
      </c>
      <c r="AQ69">
        <f>'TEA Revised Non EYZ'!AQ69</f>
        <v>7.4559389546738394E-2</v>
      </c>
      <c r="AR69">
        <f>'TEA Revised Non EYZ'!AR69</f>
        <v>1.63977652565795E-6</v>
      </c>
      <c r="AS69">
        <f>'TEA Revised Non EYZ'!AS69</f>
        <v>2.01441375516017E-15</v>
      </c>
      <c r="AT69">
        <f>'TEA Revised Non EYZ'!AT69</f>
        <v>-2.0058065451633499E-13</v>
      </c>
      <c r="AU69">
        <f>'TEA Revised Non EYZ'!AU69</f>
        <v>1.2288595180087699E-20</v>
      </c>
      <c r="AV69">
        <f>'TEA Revised Non EYZ'!AV69</f>
        <v>0.196878472577803</v>
      </c>
      <c r="AW69">
        <f>'TEA Revised Non EYZ'!AW69</f>
        <v>99.342334483578696</v>
      </c>
      <c r="AX69">
        <f>'TEA Revised Non EYZ'!AX69</f>
        <v>500</v>
      </c>
      <c r="AY69">
        <f>'TEA Revised Non EYZ'!AY69</f>
        <v>95</v>
      </c>
      <c r="AZ69">
        <f>'TEA Revised Non EYZ'!AZ69</f>
        <v>0.92357542033771201</v>
      </c>
      <c r="BA69">
        <f>'TEA Revised Non EYZ'!BA69</f>
        <v>0.1</v>
      </c>
      <c r="BB69">
        <f>'TEA Revised Non EYZ'!BB69</f>
        <v>46.9109399440677</v>
      </c>
      <c r="BC69" t="str">
        <f>'TEA Revised Non EYZ'!BC69</f>
        <v>coeFc</v>
      </c>
      <c r="BD69">
        <f>'TEA Revised Non EYZ'!BD69</f>
        <v>1</v>
      </c>
      <c r="BE69">
        <f>'TEA Revised Non EYZ'!BE69</f>
        <v>1.8775014999999999E-2</v>
      </c>
      <c r="BF69">
        <f>'TEA Revised Non EYZ'!BF69</f>
        <v>0.10492961100000001</v>
      </c>
      <c r="BG69">
        <f>'TEA Revised Non EYZ'!BG69</f>
        <v>1.814625E-3</v>
      </c>
      <c r="BH69">
        <f>'TEA Revised Non EYZ'!BH69</f>
        <v>285.1951444</v>
      </c>
      <c r="BI69">
        <f>'TEA Revised Non EYZ'!BI69</f>
        <v>2169.8944889999998</v>
      </c>
      <c r="BJ69">
        <f>'TEA Revised Non EYZ'!BJ69</f>
        <v>866.49409060000005</v>
      </c>
      <c r="BK69">
        <f>'TEA Revised Non EYZ'!BK69</f>
        <v>100</v>
      </c>
      <c r="BL69">
        <f>'TEA Revised Non EYZ'!BL69</f>
        <v>10.969051996096999</v>
      </c>
      <c r="BM69">
        <f>'TEA Revised Non EYZ'!BM69</f>
        <v>92.357542033771196</v>
      </c>
      <c r="BN69">
        <f>'TEA Revised Non EYZ'!BN69</f>
        <v>19.687847257780298</v>
      </c>
      <c r="BO69">
        <f>'TEA Revised Non EYZ'!BO69</f>
        <v>241.31914391413397</v>
      </c>
      <c r="BP69">
        <f>'TEA Revised Non EYZ'!BP69</f>
        <v>511.88402870228776</v>
      </c>
      <c r="BQ69">
        <f>'TEA Revised Non EYZ'!BQ69</f>
        <v>24.1319143914134</v>
      </c>
      <c r="BR69">
        <f>'TEA Revised Non EYZ'!BR69</f>
        <v>51.188402870228778</v>
      </c>
      <c r="BS69">
        <f>'eLLE Bals'!CF69</f>
        <v>6.5814311976581994</v>
      </c>
      <c r="BT69">
        <f>'eLLE Bals'!CG69</f>
        <v>11.812708354668178</v>
      </c>
      <c r="BU69">
        <f>BM69</f>
        <v>92.357542033771196</v>
      </c>
      <c r="BV69">
        <f>BU69*(AM69*2+AN69*2+AO69*3)</f>
        <v>0.3140756121041397</v>
      </c>
      <c r="BW69">
        <f>BN69*BA69*(AP69*2+AQ69*2+AR69*3)</f>
        <v>0.30041735071759135</v>
      </c>
      <c r="BX69">
        <f>BV69/(2*V69*BL69+BV69)</f>
        <v>0.12523520235211408</v>
      </c>
      <c r="BY69">
        <f>BU69*BX69</f>
        <v>11.566415465343217</v>
      </c>
      <c r="BZ69">
        <f>BW69/(2*BN69*BA69+BW69)</f>
        <v>7.0886806574390337E-2</v>
      </c>
      <c r="CA69">
        <f>2*BN69*BA69/0.04</f>
        <v>98.439236288901498</v>
      </c>
      <c r="CB69">
        <f>(BS69+BL69)*2</f>
        <v>35.100966387510397</v>
      </c>
      <c r="CC69">
        <f>(BU69+BL69)*2</f>
        <v>206.65318805973638</v>
      </c>
      <c r="CD69">
        <f>(BT69+BN69)*2</f>
        <v>63.001111224896952</v>
      </c>
      <c r="CE69">
        <f>(CA69+BN69)*2</f>
        <v>236.25416709336361</v>
      </c>
      <c r="CF69">
        <f>'TEA Revised Non EYZ'!CB69</f>
        <v>3185.4126996665682</v>
      </c>
      <c r="CG69">
        <f>'TEA Revised Non EYZ'!CC69</f>
        <v>6756.8691788701981</v>
      </c>
      <c r="CH69">
        <f>'TEA Revised Non EYZ'!CD69</f>
        <v>3848.5686313477631</v>
      </c>
      <c r="CI69">
        <f>'TEA Revised Non EYZ'!CE69</f>
        <v>52116.332515680107</v>
      </c>
      <c r="CJ69">
        <f>BL69*V69</f>
        <v>1.0969051996096999</v>
      </c>
      <c r="CK69">
        <f>CJ69/2*1.2</f>
        <v>0.65814311976581996</v>
      </c>
      <c r="CL69">
        <f>'eLLE Bals'!CB69*'Oxidant Feed Composition'!$N$20</f>
        <v>3.656350665365668E-2</v>
      </c>
      <c r="CM69">
        <f>'eLLE Bals'!CB69*'Oxidant Feed Composition'!$N$21</f>
        <v>1.8281753326828334</v>
      </c>
      <c r="CN69">
        <f>'eLLE Bals'!CB69*'Oxidant Feed Composition'!$N$22</f>
        <v>0.54845259980484995</v>
      </c>
      <c r="CO69">
        <f>CN69/CK69</f>
        <v>0.83333333333333326</v>
      </c>
      <c r="CP69">
        <f>CO69</f>
        <v>0.83333333333333326</v>
      </c>
      <c r="CQ69">
        <f>CL69/CO69</f>
        <v>4.3876207984388023E-2</v>
      </c>
      <c r="CR69">
        <f>CM69/CO69</f>
        <v>2.1938103992194002</v>
      </c>
      <c r="CS69">
        <f>BN69*BA69</f>
        <v>1.96878472577803</v>
      </c>
      <c r="CT69">
        <f>CS69/2*1.2</f>
        <v>1.181270835466818</v>
      </c>
      <c r="CU69">
        <f>'eLLE Bals'!CC69*'Oxidant Feed Composition'!$N$20</f>
        <v>6.5626157525934356E-2</v>
      </c>
      <c r="CV69">
        <f>'eLLE Bals'!CC69*'Oxidant Feed Composition'!$N$21</f>
        <v>3.2813078762967165</v>
      </c>
      <c r="CW69">
        <f>'eLLE Bals'!CC69*'Oxidant Feed Composition'!$N$22</f>
        <v>0.98439236288901499</v>
      </c>
      <c r="CX69">
        <f>CU69/CP69</f>
        <v>7.8751389031121236E-2</v>
      </c>
      <c r="CY69">
        <f>CV69/CP69</f>
        <v>3.93756945155606</v>
      </c>
      <c r="CZ69">
        <f>CJ69</f>
        <v>1.0969051996096999</v>
      </c>
      <c r="DA69">
        <f>'eLLE Bals'!BQ69</f>
        <v>2.1938103992193998</v>
      </c>
      <c r="DB69">
        <f>'eLLE Bals'!BU69</f>
        <v>5.4680453489143357</v>
      </c>
      <c r="DC69">
        <f>CS69</f>
        <v>1.96878472577803</v>
      </c>
      <c r="DD69">
        <f>'eLLE Bals'!BX69</f>
        <v>3.93756945155606</v>
      </c>
      <c r="DE69">
        <f>'eLLE Bals'!CA69</f>
        <v>21.867286940381373</v>
      </c>
      <c r="DF69">
        <f>2*2*(CJ69*'Reagent cost'!$C$36*122.44/1000*1.5+CK69*'Oxidant Feed Composition'!$N$26+CQ69*'Reagent cost'!$C$34+CR69*'Reagent cost'!$C$35)</f>
        <v>111.62232060062847</v>
      </c>
      <c r="DG69">
        <f>2*2*(CS69*'Reagent cost'!$C$36*122.44/1000*1.5+CT69*'Oxidant Feed Composition'!$N$26+CX69*'Reagent cost'!$C$34+CY69*'Reagent cost'!$C$35)</f>
        <v>200.34577275466526</v>
      </c>
      <c r="DH69">
        <f>(AF69+3)*2*(CZ69*'Reagent cost'!$C$38+DA69*'Reagent cost'!$C$39+DB69*'Reagent cost'!$C$36*122.44/1000*1.5)</f>
        <v>2122.6955958949793</v>
      </c>
      <c r="DI69">
        <f>3*2*(DC69*'Reagent cost'!$C$38+DD69*'Reagent cost'!$C$39+DE69*'Reagent cost'!$C$36*122.44/1000*1.5)</f>
        <v>1754.3783865222863</v>
      </c>
      <c r="DJ69">
        <f>7963.6*(CB69/1000)^0.6*1.7*('CAPEX+OPEX'!$G$116/'CAPEX+OPEX'!$G$115)</f>
        <v>2140.0916471558648</v>
      </c>
      <c r="DK69">
        <f>7963.6*(CC69/1000)^0.6*1.7*('CAPEX+OPEX'!$G$116/'CAPEX+OPEX'!$G$115)</f>
        <v>6199.9215410229135</v>
      </c>
      <c r="DL69">
        <f>7963.6*(CD69/1000)^0.6*1.7*('CAPEX+OPEX'!$G$116/'CAPEX+OPEX'!$G$115)</f>
        <v>3039.833898354078</v>
      </c>
      <c r="DM69">
        <f>7963.6*(CE69/1000)^0.6*1.7*('CAPEX+OPEX'!$G$116/'CAPEX+OPEX'!$G$115)</f>
        <v>6718.4426503368622</v>
      </c>
      <c r="DN69">
        <f>'TEA Revised Non EYZ'!CM69</f>
        <v>39625.826528698344</v>
      </c>
      <c r="DO69">
        <f>'TEA Revised Non EYZ'!CN69</f>
        <v>4586243.4239371875</v>
      </c>
      <c r="DP69">
        <f>'TEA Revised Non EYZ'!CO69</f>
        <v>11794834.586807497</v>
      </c>
      <c r="DQ69">
        <f>'TEA Revised Non EYZ'!CP69</f>
        <v>2275209.1661185985</v>
      </c>
      <c r="DR69">
        <f>'TEA Revised Non EYZ'!CQ69</f>
        <v>14083914.336508472</v>
      </c>
      <c r="DS69">
        <f>'TEA Revised Non EYZ'!CR69</f>
        <v>1662824.8986326549</v>
      </c>
      <c r="DT69">
        <f>'TEA Revised Non EYZ'!CS69</f>
        <v>800322.53402245743</v>
      </c>
      <c r="DU69">
        <f>'TEA Revised Non EYZ'!CT69</f>
        <v>2058257.9318883498</v>
      </c>
      <c r="DV69">
        <f>'TEA Revised Non EYZ'!CU69</f>
        <v>397035.437708179</v>
      </c>
      <c r="DW69">
        <f>'TEA Revised Non EYZ'!CV69</f>
        <v>2457713.856163613</v>
      </c>
      <c r="DX69">
        <f>'TEA Revised Non EYZ'!CW69</f>
        <v>290171.30437591631</v>
      </c>
      <c r="DY69">
        <f>'TEA Revised Non EYZ'!CX69</f>
        <v>6003501.064158516</v>
      </c>
      <c r="DZ69">
        <f>'TEA Revised Non EYZ'!CY69</f>
        <v>843167.57420412218</v>
      </c>
      <c r="EA69">
        <f>'TEA Revised Non EYZ'!CZ69</f>
        <v>2168446.1873067734</v>
      </c>
      <c r="EB69">
        <f>'TEA Revised Non EYZ'!DA69</f>
        <v>418290.61741260858</v>
      </c>
      <c r="EC69">
        <f>'TEA Revised Non EYZ'!DB69</f>
        <v>2589286.8713492746</v>
      </c>
      <c r="ED69">
        <f>'TEA Revised Non EYZ'!DC69</f>
        <v>305705.5429697822</v>
      </c>
      <c r="EE69">
        <f>'TEA Revised Non EYZ'!DD69</f>
        <v>6324896.7932425607</v>
      </c>
      <c r="EF69">
        <v>0.7</v>
      </c>
      <c r="EG69">
        <v>100</v>
      </c>
      <c r="EH69">
        <f>96485*BL69*V69/EF69/EG69/60</f>
        <v>25.198785281986165</v>
      </c>
      <c r="EI69">
        <f>96485*BN69*BA69/EF69/EG69/60</f>
        <v>45.22814149206981</v>
      </c>
      <c r="EJ69">
        <f>EH69*('CAPEX+OPEX'!$O$25+'CAPEX+OPEX'!$O$26)</f>
        <v>803135.68450746301</v>
      </c>
      <c r="EK69">
        <f>EI69*('CAPEX+OPEX'!$O$25+'CAPEX+OPEX'!$O$26)</f>
        <v>1441511.325635249</v>
      </c>
      <c r="EL69">
        <f>EJ69*1.12/0.6*'CAPEX+OPEX'!$G$116/'CAPEX+OPEX'!$G$115</f>
        <v>1768228.0006537526</v>
      </c>
      <c r="EM69">
        <f>EK69*1.12/0.6*'CAPEX+OPEX'!$G$116/'CAPEX+OPEX'!$G$115</f>
        <v>3173711.1653940855</v>
      </c>
      <c r="EN69">
        <f>EL69+EM69+DY69+EE69+1.15*(SUM(DF69:DM69)+SUM(CF69:CI69))</f>
        <v>17371760.715512853</v>
      </c>
      <c r="EO69">
        <f>EN69/15</f>
        <v>1158117.3810341903</v>
      </c>
      <c r="EP69">
        <f>('eLLE Bals'!CB69+'eLLE Bals'!CC69)*'Oxidant Feed Composition'!$N$28*60*7200</f>
        <v>17042706.197449762</v>
      </c>
      <c r="EQ69" s="53">
        <f>('eLLE Bals'!BR69+'eLLE Bals'!BY69)*'Reagent cost'!$C$38*60*7200*1.5</f>
        <v>757987.05074606312</v>
      </c>
      <c r="ER69">
        <f>'TEA Revised Non EYZ'!DI69</f>
        <v>504921.59999999998</v>
      </c>
      <c r="ES69">
        <f>'TEA Revised Non EYZ'!DJ69</f>
        <v>99.422818785367667</v>
      </c>
      <c r="ET69">
        <f>'TEA Revised Non EYZ'!DK69</f>
        <v>1119.2980229405575</v>
      </c>
      <c r="EU69">
        <f>1.2*SUM(EP69:ET69)</f>
        <v>21968200.282845061</v>
      </c>
      <c r="EV69">
        <f>'TEA Revised Non EYZ'!DM69</f>
        <v>0.70639694042110623</v>
      </c>
      <c r="EW69">
        <f>(BS69*CO69+BT69*CP69)/1000*('Oxidant Feed Composition'!$B$11*'Oxidant Feed Composition'!$O$20+'Oxidant Feed Composition'!$D$11*'Oxidant Feed Composition'!$O$21+'Oxidant Feed Composition'!$F$11*'Oxidant Feed Composition'!$O$27-'Oxidant Feed Composition'!$J$15*18.015)</f>
        <v>1.7901259385952011</v>
      </c>
      <c r="EX69">
        <f>(CZ69*BX69+DC69*BZ69)*368.34/1000</f>
        <v>0.10200513533942393</v>
      </c>
      <c r="EY69">
        <f>'TEA Revised Non EYZ'!DP69</f>
        <v>4.999938342565946E-2</v>
      </c>
      <c r="EZ69">
        <f>SUM(EV69:EX69)-EY69</f>
        <v>2.5485286309300719</v>
      </c>
      <c r="FA69">
        <f>EZ69*0.33*60*7200</f>
        <v>363318.24162539106</v>
      </c>
      <c r="FB69">
        <f>'TEA Revised Non EYZ'!DS69</f>
        <v>1.2</v>
      </c>
      <c r="FC69">
        <v>0.5</v>
      </c>
      <c r="FD69">
        <f>'TEA Revised Non EYZ'!DT69</f>
        <v>1405.8879243789322</v>
      </c>
      <c r="FE69">
        <f>'TEA Revised Non EYZ'!DU69</f>
        <v>705.81589745617578</v>
      </c>
      <c r="FF69">
        <f>'TEA Revised Non EYZ'!DV69</f>
        <v>0.7</v>
      </c>
      <c r="FG69">
        <f>'TEA Revised Non EYZ'!DW69</f>
        <v>44032.441905260595</v>
      </c>
      <c r="FH69">
        <f>'TEA Revised Non EYZ'!DX69</f>
        <v>41526.098972294596</v>
      </c>
      <c r="FI69">
        <f>'TEA Revised Non EYZ'!DY69</f>
        <v>17581.614484237631</v>
      </c>
      <c r="FJ69">
        <f>'TEA Revised Non EYZ'!DZ69</f>
        <v>9313.4716969742931</v>
      </c>
      <c r="FK69">
        <f>'TEA Revised Non EYZ'!EA69</f>
        <v>9376.8610582600722</v>
      </c>
      <c r="FL69">
        <f>'TEA Revised Non EYZ'!EB69</f>
        <v>850.28101666437828</v>
      </c>
      <c r="FM69">
        <f>'TEA Revised Non EYZ'!EC69</f>
        <v>46284.832245406782</v>
      </c>
      <c r="FN69">
        <f>'TEA Revised Non EYZ'!ED69</f>
        <v>46552.898484898687</v>
      </c>
      <c r="FO69">
        <f>'TEA Revised Non EYZ'!EE69</f>
        <v>19709.896535945009</v>
      </c>
      <c r="FP69">
        <f>'TEA Revised Non EYZ'!EF69</f>
        <v>10446.694249863689</v>
      </c>
      <c r="FQ69">
        <f>'TEA Revised Non EYZ'!EG69</f>
        <v>10511.944819170671</v>
      </c>
      <c r="FR69">
        <f>'TEA Revised Non EYZ'!EH69</f>
        <v>426.8774547814952</v>
      </c>
      <c r="FS69">
        <f>'TEA Revised Non EYZ'!EI69</f>
        <v>256613.91292375789</v>
      </c>
      <c r="FT69">
        <f>EG69*EH69</f>
        <v>2519.8785281986166</v>
      </c>
      <c r="FU69">
        <f>EG69*EI69</f>
        <v>4522.8141492069808</v>
      </c>
      <c r="FV69">
        <f>FC69*(FT69+FU69)/(3.6*10^6)*3600*7200*0.07</f>
        <v>1774.7585547062108</v>
      </c>
      <c r="FW69">
        <f>('CAPEX+OPEX'!$C$39/7/100+0.03)*EL69</f>
        <v>90937.440033621562</v>
      </c>
      <c r="FX69">
        <f>('CAPEX+OPEX'!$C$39/7/100+0.03)*EM69</f>
        <v>163219.4313631244</v>
      </c>
      <c r="FY69">
        <f>SUM(FV69:FX69)</f>
        <v>255931.62995145217</v>
      </c>
      <c r="FZ69">
        <f>FY69+FA69+FS69+EU69</f>
        <v>22844064.067345664</v>
      </c>
      <c r="GA69">
        <f>FZ69+EO69</f>
        <v>24002181.448379856</v>
      </c>
      <c r="GB69">
        <f>GA69/(BK69*60*7200)</f>
        <v>0.55560605204583002</v>
      </c>
      <c r="GC69">
        <f>'TEA Revised Non EYZ'!EM69/'TEA Revised Non EYZ'!EK69*GA69</f>
        <v>1858.7621317685835</v>
      </c>
      <c r="GD69">
        <f>'TEA Revised Non EYZ'!EN69/'TEA Revised Non EYZ'!EK69*GA69</f>
        <v>3411.2242272677163</v>
      </c>
    </row>
    <row r="70" spans="1:186">
      <c r="A70">
        <f>'TEA Revised Non EYZ'!A70</f>
        <v>9</v>
      </c>
      <c r="B70">
        <f>'TEA Revised Non EYZ'!B70</f>
        <v>1.54143585092054E-3</v>
      </c>
      <c r="C70">
        <f>'TEA Revised Non EYZ'!C70</f>
        <v>1.54143585092054E-3</v>
      </c>
      <c r="D70">
        <f>'TEA Revised Non EYZ'!D70</f>
        <v>3.4254130020456501E-4</v>
      </c>
      <c r="E70">
        <f>'TEA Revised Non EYZ'!E70</f>
        <v>0</v>
      </c>
      <c r="F70">
        <f>'TEA Revised Non EYZ'!F70</f>
        <v>0</v>
      </c>
      <c r="G70">
        <f>'TEA Revised Non EYZ'!G70</f>
        <v>0</v>
      </c>
      <c r="H70">
        <f>'TEA Revised Non EYZ'!H70</f>
        <v>1.7768596981705501E-5</v>
      </c>
      <c r="I70">
        <f>'TEA Revised Non EYZ'!I70</f>
        <v>1.5331283704498101E-9</v>
      </c>
      <c r="J70">
        <f>'TEA Revised Non EYZ'!J70</f>
        <v>3.3763247208936601E-4</v>
      </c>
      <c r="K70">
        <f>'TEA Revised Non EYZ'!K70</f>
        <v>0.13890601070001499</v>
      </c>
      <c r="L70">
        <f>'TEA Revised Non EYZ'!L70</f>
        <v>0.14052575540227799</v>
      </c>
      <c r="M70">
        <f>'TEA Revised Non EYZ'!M70</f>
        <v>4.4751616793740602E-4</v>
      </c>
      <c r="N70">
        <f>'TEA Revised Non EYZ'!N70</f>
        <v>-5.0090140368830299E-17</v>
      </c>
      <c r="O70">
        <f>'TEA Revised Non EYZ'!O70</f>
        <v>-6.2343793322261397E-15</v>
      </c>
      <c r="P70">
        <f>'TEA Revised Non EYZ'!P70</f>
        <v>1.7787691892340301E-20</v>
      </c>
      <c r="Q70">
        <f>'TEA Revised Non EYZ'!Q70</f>
        <v>0.10969051996097</v>
      </c>
      <c r="R70">
        <f>'TEA Revised Non EYZ'!R70</f>
        <v>98.566938318892298</v>
      </c>
      <c r="S70">
        <f>'TEA Revised Non EYZ'!S70</f>
        <v>500</v>
      </c>
      <c r="T70">
        <f>'TEA Revised Non EYZ'!T70</f>
        <v>95</v>
      </c>
      <c r="U70">
        <f>'TEA Revised Non EYZ'!U70</f>
        <v>1</v>
      </c>
      <c r="V70">
        <f>'TEA Revised Non EYZ'!V70</f>
        <v>0.1</v>
      </c>
      <c r="W70">
        <f>'TEA Revised Non EYZ'!W70</f>
        <v>91.165581160141301</v>
      </c>
      <c r="X70" t="str">
        <f>'TEA Revised Non EYZ'!X70</f>
        <v>ddFc</v>
      </c>
      <c r="Y70">
        <f>'TEA Revised Non EYZ'!Y70</f>
        <v>1</v>
      </c>
      <c r="Z70">
        <f>'TEA Revised Non EYZ'!Z70</f>
        <v>0.28318429382522198</v>
      </c>
      <c r="AA70">
        <f>'TEA Revised Non EYZ'!AA70</f>
        <v>0.56945642916197003</v>
      </c>
      <c r="AB70">
        <f>'TEA Revised Non EYZ'!AB70</f>
        <v>3.7698628972227502E-3</v>
      </c>
      <c r="AC70">
        <f>'TEA Revised Non EYZ'!AC70</f>
        <v>1822.2107908876901</v>
      </c>
      <c r="AD70">
        <f>'TEA Revised Non EYZ'!AD70</f>
        <v>2662.6059073104898</v>
      </c>
      <c r="AE70">
        <f>'TEA Revised Non EYZ'!AE70</f>
        <v>2401.5030938442701</v>
      </c>
      <c r="AF70">
        <f>'TEA Revised Non EYZ'!AF70</f>
        <v>12</v>
      </c>
      <c r="AG70">
        <f>'TEA Revised Non EYZ'!AG70</f>
        <v>1.6497485970141401E-3</v>
      </c>
      <c r="AH70">
        <f>'TEA Revised Non EYZ'!AH70</f>
        <v>1.6689858606617799E-3</v>
      </c>
      <c r="AI70">
        <f>'TEA Revised Non EYZ'!AI70</f>
        <v>5.3150268046377499E-6</v>
      </c>
      <c r="AJ70">
        <f>'TEA Revised Non EYZ'!AJ70</f>
        <v>0</v>
      </c>
      <c r="AK70">
        <f>'TEA Revised Non EYZ'!AK70</f>
        <v>0</v>
      </c>
      <c r="AL70">
        <f>'TEA Revised Non EYZ'!AL70</f>
        <v>0</v>
      </c>
      <c r="AM70">
        <f>'TEA Revised Non EYZ'!AM70</f>
        <v>1.61280126654258E-3</v>
      </c>
      <c r="AN70">
        <f>'TEA Revised Non EYZ'!AN70</f>
        <v>7.9604204686258806E-5</v>
      </c>
      <c r="AO70">
        <f>'TEA Revised Non EYZ'!AO70</f>
        <v>5.2800725001932601E-6</v>
      </c>
      <c r="AP70">
        <f>'TEA Revised Non EYZ'!AP70</f>
        <v>1.7332454612020299E-3</v>
      </c>
      <c r="AQ70">
        <f>'TEA Revised Non EYZ'!AQ70</f>
        <v>7.4559880410390605E-2</v>
      </c>
      <c r="AR70">
        <f>'TEA Revised Non EYZ'!AR70</f>
        <v>1.63975011876007E-6</v>
      </c>
      <c r="AS70">
        <f>'TEA Revised Non EYZ'!AS70</f>
        <v>3.97766672030619E-16</v>
      </c>
      <c r="AT70">
        <f>'TEA Revised Non EYZ'!AT70</f>
        <v>-3.8874068894467698E-14</v>
      </c>
      <c r="AU70">
        <f>'TEA Revised Non EYZ'!AU70</f>
        <v>-3.3087224502121099E-21</v>
      </c>
      <c r="AV70">
        <f>'TEA Revised Non EYZ'!AV70</f>
        <v>0.196877170799345</v>
      </c>
      <c r="AW70">
        <f>'TEA Revised Non EYZ'!AW70</f>
        <v>99.3423494230736</v>
      </c>
      <c r="AX70">
        <f>'TEA Revised Non EYZ'!AX70</f>
        <v>500</v>
      </c>
      <c r="AY70">
        <f>'TEA Revised Non EYZ'!AY70</f>
        <v>95</v>
      </c>
      <c r="AZ70">
        <f>'TEA Revised Non EYZ'!AZ70</f>
        <v>0.92357542033771201</v>
      </c>
      <c r="BA70">
        <f>'TEA Revised Non EYZ'!BA70</f>
        <v>0.1</v>
      </c>
      <c r="BB70">
        <f>'TEA Revised Non EYZ'!BB70</f>
        <v>46.911250125541898</v>
      </c>
      <c r="BC70" t="str">
        <f>'TEA Revised Non EYZ'!BC70</f>
        <v>coeFc</v>
      </c>
      <c r="BD70">
        <f>'TEA Revised Non EYZ'!BD70</f>
        <v>1</v>
      </c>
      <c r="BE70">
        <f>'TEA Revised Non EYZ'!BE70</f>
        <v>1.8775014999999999E-2</v>
      </c>
      <c r="BF70">
        <f>'TEA Revised Non EYZ'!BF70</f>
        <v>0.10492961100000001</v>
      </c>
      <c r="BG70">
        <f>'TEA Revised Non EYZ'!BG70</f>
        <v>1.814625E-3</v>
      </c>
      <c r="BH70">
        <f>'TEA Revised Non EYZ'!BH70</f>
        <v>285.1951444</v>
      </c>
      <c r="BI70">
        <f>'TEA Revised Non EYZ'!BI70</f>
        <v>2169.8944889999998</v>
      </c>
      <c r="BJ70">
        <f>'TEA Revised Non EYZ'!BJ70</f>
        <v>866.49409060000005</v>
      </c>
      <c r="BK70">
        <f>'TEA Revised Non EYZ'!BK70</f>
        <v>100</v>
      </c>
      <c r="BL70">
        <f>'TEA Revised Non EYZ'!BL70</f>
        <v>10.969051996096999</v>
      </c>
      <c r="BM70">
        <f>'TEA Revised Non EYZ'!BM70</f>
        <v>92.357542033771196</v>
      </c>
      <c r="BN70">
        <f>'TEA Revised Non EYZ'!BN70</f>
        <v>19.687717079934501</v>
      </c>
      <c r="BO70">
        <f>'TEA Revised Non EYZ'!BO70</f>
        <v>241.31914391413397</v>
      </c>
      <c r="BP70">
        <f>'TEA Revised Non EYZ'!BP70</f>
        <v>551.25607823816608</v>
      </c>
      <c r="BQ70">
        <f>'TEA Revised Non EYZ'!BQ70</f>
        <v>24.1319143914134</v>
      </c>
      <c r="BR70">
        <f>'TEA Revised Non EYZ'!BR70</f>
        <v>55.125607823816608</v>
      </c>
      <c r="BS70">
        <f>'eLLE Bals'!CF70</f>
        <v>6.5814311976581994</v>
      </c>
      <c r="BT70">
        <f>'eLLE Bals'!CG70</f>
        <v>11.812630247960699</v>
      </c>
      <c r="BU70">
        <f>BM70</f>
        <v>92.357542033771196</v>
      </c>
      <c r="BV70">
        <f>BU70*(AM70*2+AN70*2+AO70*3)</f>
        <v>0.31407578244803752</v>
      </c>
      <c r="BW70">
        <f>BN70*BA70*(AP70*2+AQ70*2+AR70*3)</f>
        <v>0.30041718034167542</v>
      </c>
      <c r="BX70">
        <f>BV70/(2*V70*BL70+BV70)</f>
        <v>0.12523526176902319</v>
      </c>
      <c r="BY70">
        <f>BU70*BX70</f>
        <v>11.566420952942899</v>
      </c>
      <c r="BZ70">
        <f>BW70/(2*BN70*BA70+BW70)</f>
        <v>7.0887204709249155E-2</v>
      </c>
      <c r="CA70">
        <f>2*BN70*BA70/0.04</f>
        <v>98.438585399672505</v>
      </c>
      <c r="CB70">
        <f>(BS70+BL70)*2</f>
        <v>35.100966387510397</v>
      </c>
      <c r="CC70">
        <f>(BU70+BL70)*2</f>
        <v>206.65318805973638</v>
      </c>
      <c r="CD70">
        <f>(BT70+BN70)*2</f>
        <v>63.000694655790397</v>
      </c>
      <c r="CE70">
        <f>(CA70+BN70)*2</f>
        <v>236.25260495921401</v>
      </c>
      <c r="CF70">
        <f>'TEA Revised Non EYZ'!CB70</f>
        <v>3185.4126996665682</v>
      </c>
      <c r="CG70">
        <f>'TEA Revised Non EYZ'!CC70</f>
        <v>7276.5802327437923</v>
      </c>
      <c r="CH70">
        <f>'TEA Revised Non EYZ'!CD70</f>
        <v>3848.5686313477631</v>
      </c>
      <c r="CI70">
        <f>'TEA Revised Non EYZ'!CE70</f>
        <v>56124.910065242737</v>
      </c>
      <c r="CJ70">
        <f>BL70*V70</f>
        <v>1.0969051996096999</v>
      </c>
      <c r="CK70">
        <f>CJ70/2*1.2</f>
        <v>0.65814311976581996</v>
      </c>
      <c r="CL70">
        <f>'eLLE Bals'!CB70*'Oxidant Feed Composition'!$N$20</f>
        <v>3.656350665365668E-2</v>
      </c>
      <c r="CM70">
        <f>'eLLE Bals'!CB70*'Oxidant Feed Composition'!$N$21</f>
        <v>1.8281753326828334</v>
      </c>
      <c r="CN70">
        <f>'eLLE Bals'!CB70*'Oxidant Feed Composition'!$N$22</f>
        <v>0.54845259980484995</v>
      </c>
      <c r="CO70">
        <f>CN70/CK70</f>
        <v>0.83333333333333326</v>
      </c>
      <c r="CP70">
        <f>CO70</f>
        <v>0.83333333333333326</v>
      </c>
      <c r="CQ70">
        <f>CL70/CO70</f>
        <v>4.3876207984388023E-2</v>
      </c>
      <c r="CR70">
        <f>CM70/CO70</f>
        <v>2.1938103992194002</v>
      </c>
      <c r="CS70">
        <f>BN70*BA70</f>
        <v>1.9687717079934501</v>
      </c>
      <c r="CT70">
        <f>CS70/2*1.2</f>
        <v>1.18126302479607</v>
      </c>
      <c r="CU70">
        <f>'eLLE Bals'!CC70*'Oxidant Feed Composition'!$N$20</f>
        <v>6.5625723599781693E-2</v>
      </c>
      <c r="CV70">
        <f>'eLLE Bals'!CC70*'Oxidant Feed Composition'!$N$21</f>
        <v>3.2812861799890838</v>
      </c>
      <c r="CW70">
        <f>'eLLE Bals'!CC70*'Oxidant Feed Composition'!$N$22</f>
        <v>0.98438585399672507</v>
      </c>
      <c r="CX70">
        <f>CU70/CP70</f>
        <v>7.8750868319738043E-2</v>
      </c>
      <c r="CY70">
        <f>CV70/CP70</f>
        <v>3.9375434159869007</v>
      </c>
      <c r="CZ70">
        <f>CJ70</f>
        <v>1.0969051996096999</v>
      </c>
      <c r="DA70">
        <f>'eLLE Bals'!BQ70</f>
        <v>2.1938103992193998</v>
      </c>
      <c r="DB70">
        <f>'eLLE Bals'!BU70</f>
        <v>5.46804119316376</v>
      </c>
      <c r="DC70">
        <f>CS70</f>
        <v>1.9687717079934501</v>
      </c>
      <c r="DD70">
        <f>'eLLE Bals'!BX70</f>
        <v>3.9375434159869003</v>
      </c>
      <c r="DE70">
        <f>'eLLE Bals'!CA70</f>
        <v>21.86698636348217</v>
      </c>
      <c r="DF70">
        <f>2*2*(CJ70*'Reagent cost'!$C$36*122.44/1000*1.5+CK70*'Oxidant Feed Composition'!$N$26+CQ70*'Reagent cost'!$C$34+CR70*'Reagent cost'!$C$35)</f>
        <v>111.62232060062847</v>
      </c>
      <c r="DG70">
        <f>2*2*(CS70*'Reagent cost'!$C$36*122.44/1000*1.5+CT70*'Oxidant Feed Composition'!$N$26+CX70*'Reagent cost'!$C$34+CY70*'Reagent cost'!$C$35)</f>
        <v>200.34444805010153</v>
      </c>
      <c r="DH70">
        <f>(AF70+3)*2*(CZ70*'Reagent cost'!$C$38+DA70*'Reagent cost'!$C$39+DB70*'Reagent cost'!$C$36*122.44/1000*1.5)</f>
        <v>2274.3150928763012</v>
      </c>
      <c r="DI70">
        <f>3*2*(DC70*'Reagent cost'!$C$38+DD70*'Reagent cost'!$C$39+DE70*'Reagent cost'!$C$36*122.44/1000*1.5)</f>
        <v>1754.3546473300453</v>
      </c>
      <c r="DJ70">
        <f>7963.6*(CB70/1000)^0.6*1.7*('CAPEX+OPEX'!$G$116/'CAPEX+OPEX'!$G$115)</f>
        <v>2140.0916471558648</v>
      </c>
      <c r="DK70">
        <f>7963.6*(CC70/1000)^0.6*1.7*('CAPEX+OPEX'!$G$116/'CAPEX+OPEX'!$G$115)</f>
        <v>6199.9215410229135</v>
      </c>
      <c r="DL70">
        <f>7963.6*(CD70/1000)^0.6*1.7*('CAPEX+OPEX'!$G$116/'CAPEX+OPEX'!$G$115)</f>
        <v>3039.8218385423597</v>
      </c>
      <c r="DM70">
        <f>7963.6*(CE70/1000)^0.6*1.7*('CAPEX+OPEX'!$G$116/'CAPEX+OPEX'!$G$115)</f>
        <v>6718.4159965274393</v>
      </c>
      <c r="DN70">
        <f>'TEA Revised Non EYZ'!CM70</f>
        <v>39625.826528698344</v>
      </c>
      <c r="DO70">
        <f>'TEA Revised Non EYZ'!CN70</f>
        <v>4586243.4239371875</v>
      </c>
      <c r="DP70">
        <f>'TEA Revised Non EYZ'!CO70</f>
        <v>11794834.586807497</v>
      </c>
      <c r="DQ70">
        <f>'TEA Revised Non EYZ'!CP70</f>
        <v>2275209.1661185985</v>
      </c>
      <c r="DR70">
        <f>'TEA Revised Non EYZ'!CQ70</f>
        <v>14083914.336508472</v>
      </c>
      <c r="DS70">
        <f>'TEA Revised Non EYZ'!CR70</f>
        <v>1662824.8986326549</v>
      </c>
      <c r="DT70">
        <f>'TEA Revised Non EYZ'!CS70</f>
        <v>800322.53402245743</v>
      </c>
      <c r="DU70">
        <f>'TEA Revised Non EYZ'!CT70</f>
        <v>2058257.9318883498</v>
      </c>
      <c r="DV70">
        <f>'TEA Revised Non EYZ'!CU70</f>
        <v>397035.437708179</v>
      </c>
      <c r="DW70">
        <f>'TEA Revised Non EYZ'!CV70</f>
        <v>2457713.856163613</v>
      </c>
      <c r="DX70">
        <f>'TEA Revised Non EYZ'!CW70</f>
        <v>290171.30437591631</v>
      </c>
      <c r="DY70">
        <f>'TEA Revised Non EYZ'!CX70</f>
        <v>6003501.064158516</v>
      </c>
      <c r="DZ70">
        <f>'TEA Revised Non EYZ'!CY70</f>
        <v>884649.34487489494</v>
      </c>
      <c r="EA70">
        <f>'TEA Revised Non EYZ'!CZ70</f>
        <v>2275128.4058902822</v>
      </c>
      <c r="EB70">
        <f>'TEA Revised Non EYZ'!DA70</f>
        <v>438869.48689964274</v>
      </c>
      <c r="EC70">
        <f>'TEA Revised Non EYZ'!DB70</f>
        <v>2716673.4164254861</v>
      </c>
      <c r="ED70">
        <f>'TEA Revised Non EYZ'!DC70</f>
        <v>320745.50372518308</v>
      </c>
      <c r="EE70">
        <f>'TEA Revised Non EYZ'!DD70</f>
        <v>6636066.157815489</v>
      </c>
      <c r="EF70">
        <v>0.7</v>
      </c>
      <c r="EG70">
        <v>100</v>
      </c>
      <c r="EH70">
        <f>96485*BL70*V70/EF70/EG70/60</f>
        <v>25.198785281986165</v>
      </c>
      <c r="EI70">
        <f>96485*BN70*BA70/EF70/EG70/60</f>
        <v>45.227842439463828</v>
      </c>
      <c r="EJ70">
        <f>EH70*('CAPEX+OPEX'!$O$25+'CAPEX+OPEX'!$O$26)</f>
        <v>803135.68450746301</v>
      </c>
      <c r="EK70">
        <f>EI70*('CAPEX+OPEX'!$O$25+'CAPEX+OPEX'!$O$26)</f>
        <v>1441501.794230591</v>
      </c>
      <c r="EL70">
        <f>EJ70*1.12/0.6*'CAPEX+OPEX'!$G$116/'CAPEX+OPEX'!$G$115</f>
        <v>1768228.0006537526</v>
      </c>
      <c r="EM70">
        <f>EK70*1.12/0.6*'CAPEX+OPEX'!$G$116/'CAPEX+OPEX'!$G$115</f>
        <v>3173690.1805257415</v>
      </c>
      <c r="EN70">
        <f>EL70+EM70+DY70+EE70+1.15*(SUM(DF70:DM70)+SUM(CF70:CI70))</f>
        <v>17688290.916188769</v>
      </c>
      <c r="EO70">
        <f>EN70/15</f>
        <v>1179219.3944125846</v>
      </c>
      <c r="EP70">
        <f>('eLLE Bals'!CB70+'eLLE Bals'!CC70)*'Oxidant Feed Composition'!$N$28*60*7200</f>
        <v>17042633.829309687</v>
      </c>
      <c r="EQ70" s="53">
        <f>('eLLE Bals'!BR70+'eLLE Bals'!BY70)*'Reagent cost'!$C$38*60*7200*1.5</f>
        <v>757986.84880975005</v>
      </c>
      <c r="ER70">
        <f>'TEA Revised Non EYZ'!DI70</f>
        <v>504921.59999999998</v>
      </c>
      <c r="ES70">
        <f>'TEA Revised Non EYZ'!DJ70</f>
        <v>104.61992932410362</v>
      </c>
      <c r="ET70">
        <f>'TEA Revised Non EYZ'!DK70</f>
        <v>1199.4695739318101</v>
      </c>
      <c r="EU70">
        <f>1.2*SUM(EP70:ET70)</f>
        <v>21968215.641147234</v>
      </c>
      <c r="EV70">
        <f>'TEA Revised Non EYZ'!DM70</f>
        <v>0.70639694042110623</v>
      </c>
      <c r="EW70">
        <f>(BS70*CO70+BT70*CP70)/1000*('Oxidant Feed Composition'!$B$11*'Oxidant Feed Composition'!$O$20+'Oxidant Feed Composition'!$D$11*'Oxidant Feed Composition'!$O$21+'Oxidant Feed Composition'!$F$11*'Oxidant Feed Composition'!$O$27-'Oxidant Feed Composition'!$J$15*18.015)</f>
        <v>1.7901183372152811</v>
      </c>
      <c r="EX70">
        <f>(CZ70*BX70+DC70*BZ70)*368.34/1000</f>
        <v>0.10200510816410356</v>
      </c>
      <c r="EY70">
        <f>'TEA Revised Non EYZ'!DP70</f>
        <v>4.999938342565946E-2</v>
      </c>
      <c r="EZ70">
        <f>SUM(EV70:EX70)-EY70</f>
        <v>2.5485210023748315</v>
      </c>
      <c r="FA70">
        <f>EZ70*0.33*60*7200</f>
        <v>363317.15409855603</v>
      </c>
      <c r="FB70">
        <f>'TEA Revised Non EYZ'!DS70</f>
        <v>1.2</v>
      </c>
      <c r="FC70">
        <v>0.5</v>
      </c>
      <c r="FD70">
        <f>'TEA Revised Non EYZ'!DT70</f>
        <v>1405.8886873017445</v>
      </c>
      <c r="FE70">
        <f>'TEA Revised Non EYZ'!DU70</f>
        <v>705.8151344605501</v>
      </c>
      <c r="FF70">
        <f>'TEA Revised Non EYZ'!DV70</f>
        <v>0.7</v>
      </c>
      <c r="FG70">
        <f>'TEA Revised Non EYZ'!DW70</f>
        <v>44032.441905260595</v>
      </c>
      <c r="FH70">
        <f>'TEA Revised Non EYZ'!DX70</f>
        <v>41526.098972294596</v>
      </c>
      <c r="FI70">
        <f>'TEA Revised Non EYZ'!DY70</f>
        <v>17581.614484237631</v>
      </c>
      <c r="FJ70">
        <f>'TEA Revised Non EYZ'!DZ70</f>
        <v>9313.4716969742931</v>
      </c>
      <c r="FK70">
        <f>'TEA Revised Non EYZ'!EA70</f>
        <v>9376.8610582600722</v>
      </c>
      <c r="FL70">
        <f>'TEA Revised Non EYZ'!EB70</f>
        <v>850.28147808009521</v>
      </c>
      <c r="FM70">
        <f>'TEA Revised Non EYZ'!EC70</f>
        <v>48856.211814596048</v>
      </c>
      <c r="FN70">
        <f>'TEA Revised Non EYZ'!ED70</f>
        <v>50432.306691973587</v>
      </c>
      <c r="FO70">
        <f>'TEA Revised Non EYZ'!EE70</f>
        <v>21352.387913940427</v>
      </c>
      <c r="FP70">
        <f>'TEA Revised Non EYZ'!EF70</f>
        <v>11317.252104018999</v>
      </c>
      <c r="FQ70">
        <f>'TEA Revised Non EYZ'!EG70</f>
        <v>11387.940220768229</v>
      </c>
      <c r="FR70">
        <f>'TEA Revised Non EYZ'!EH70</f>
        <v>426.87699332174071</v>
      </c>
      <c r="FS70">
        <f>'TEA Revised Non EYZ'!EI70</f>
        <v>266453.74533372629</v>
      </c>
      <c r="FT70">
        <f>EG70*EH70</f>
        <v>2519.8785281986166</v>
      </c>
      <c r="FU70">
        <f>EG70*EI70</f>
        <v>4522.784243946383</v>
      </c>
      <c r="FV70">
        <f>FC70*(FT70+FU70)/(3.6*10^6)*3600*7200*0.07</f>
        <v>1774.7510185805399</v>
      </c>
      <c r="FW70">
        <f>('CAPEX+OPEX'!$C$39/7/100+0.03)*EL70</f>
        <v>90937.440033621562</v>
      </c>
      <c r="FX70">
        <f>('CAPEX+OPEX'!$C$39/7/100+0.03)*EM70</f>
        <v>163218.35214132385</v>
      </c>
      <c r="FY70">
        <f>SUM(FV70:FX70)</f>
        <v>255930.54319352595</v>
      </c>
      <c r="FZ70">
        <f>FY70+FA70+FS70+EU70</f>
        <v>22853917.083773043</v>
      </c>
      <c r="GA70">
        <f>FZ70+EO70</f>
        <v>24033136.478185628</v>
      </c>
      <c r="GB70">
        <f>GA70/(BK70*60*7200)</f>
        <v>0.55632260366170438</v>
      </c>
      <c r="GC70">
        <f>'TEA Revised Non EYZ'!EM70/'TEA Revised Non EYZ'!EK70*GA70</f>
        <v>1861.1583214894015</v>
      </c>
      <c r="GD70">
        <f>'TEA Revised Non EYZ'!EN70/'TEA Revised Non EYZ'!EK70*GA70</f>
        <v>3415.6270042943052</v>
      </c>
    </row>
    <row r="71" spans="1:186">
      <c r="A71">
        <f>'TEA Revised Non EYZ'!A71</f>
        <v>9</v>
      </c>
      <c r="B71">
        <f>'TEA Revised Non EYZ'!B71</f>
        <v>1.54143585092054E-3</v>
      </c>
      <c r="C71">
        <f>'TEA Revised Non EYZ'!C71</f>
        <v>1.54143585092054E-3</v>
      </c>
      <c r="D71">
        <f>'TEA Revised Non EYZ'!D71</f>
        <v>3.4254130020456501E-4</v>
      </c>
      <c r="E71">
        <f>'TEA Revised Non EYZ'!E71</f>
        <v>0</v>
      </c>
      <c r="F71">
        <f>'TEA Revised Non EYZ'!F71</f>
        <v>0</v>
      </c>
      <c r="G71">
        <f>'TEA Revised Non EYZ'!G71</f>
        <v>0</v>
      </c>
      <c r="H71">
        <f>'TEA Revised Non EYZ'!H71</f>
        <v>1.7768596981705501E-5</v>
      </c>
      <c r="I71">
        <f>'TEA Revised Non EYZ'!I71</f>
        <v>1.5331283704498101E-9</v>
      </c>
      <c r="J71">
        <f>'TEA Revised Non EYZ'!J71</f>
        <v>3.3763247208936601E-4</v>
      </c>
      <c r="K71">
        <f>'TEA Revised Non EYZ'!K71</f>
        <v>0.13890601070001499</v>
      </c>
      <c r="L71">
        <f>'TEA Revised Non EYZ'!L71</f>
        <v>0.14052575540227799</v>
      </c>
      <c r="M71">
        <f>'TEA Revised Non EYZ'!M71</f>
        <v>4.4751616793740602E-4</v>
      </c>
      <c r="N71">
        <f>'TEA Revised Non EYZ'!N71</f>
        <v>-5.0090140368830299E-17</v>
      </c>
      <c r="O71">
        <f>'TEA Revised Non EYZ'!O71</f>
        <v>-6.2343793322261397E-15</v>
      </c>
      <c r="P71">
        <f>'TEA Revised Non EYZ'!P71</f>
        <v>1.7787691892340301E-20</v>
      </c>
      <c r="Q71">
        <f>'TEA Revised Non EYZ'!Q71</f>
        <v>0.10969051996097</v>
      </c>
      <c r="R71">
        <f>'TEA Revised Non EYZ'!R71</f>
        <v>98.566938318892298</v>
      </c>
      <c r="S71">
        <f>'TEA Revised Non EYZ'!S71</f>
        <v>500</v>
      </c>
      <c r="T71">
        <f>'TEA Revised Non EYZ'!T71</f>
        <v>95</v>
      </c>
      <c r="U71">
        <f>'TEA Revised Non EYZ'!U71</f>
        <v>1</v>
      </c>
      <c r="V71">
        <f>'TEA Revised Non EYZ'!V71</f>
        <v>0.1</v>
      </c>
      <c r="W71">
        <f>'TEA Revised Non EYZ'!W71</f>
        <v>91.165581160141301</v>
      </c>
      <c r="X71" t="str">
        <f>'TEA Revised Non EYZ'!X71</f>
        <v>ddFc</v>
      </c>
      <c r="Y71">
        <f>'TEA Revised Non EYZ'!Y71</f>
        <v>1</v>
      </c>
      <c r="Z71">
        <f>'TEA Revised Non EYZ'!Z71</f>
        <v>0.28318429382522198</v>
      </c>
      <c r="AA71">
        <f>'TEA Revised Non EYZ'!AA71</f>
        <v>0.56945642916197003</v>
      </c>
      <c r="AB71">
        <f>'TEA Revised Non EYZ'!AB71</f>
        <v>3.7698628972227502E-3</v>
      </c>
      <c r="AC71">
        <f>'TEA Revised Non EYZ'!AC71</f>
        <v>1822.2107908876901</v>
      </c>
      <c r="AD71">
        <f>'TEA Revised Non EYZ'!AD71</f>
        <v>2662.6059073104898</v>
      </c>
      <c r="AE71">
        <f>'TEA Revised Non EYZ'!AE71</f>
        <v>2401.5030938442701</v>
      </c>
      <c r="AF71">
        <f>'TEA Revised Non EYZ'!AF71</f>
        <v>13</v>
      </c>
      <c r="AG71">
        <f>'TEA Revised Non EYZ'!AG71</f>
        <v>1.6497485970141401E-3</v>
      </c>
      <c r="AH71">
        <f>'TEA Revised Non EYZ'!AH71</f>
        <v>1.6689858606617799E-3</v>
      </c>
      <c r="AI71">
        <f>'TEA Revised Non EYZ'!AI71</f>
        <v>5.3150268046377499E-6</v>
      </c>
      <c r="AJ71">
        <f>'TEA Revised Non EYZ'!AJ71</f>
        <v>0</v>
      </c>
      <c r="AK71">
        <f>'TEA Revised Non EYZ'!AK71</f>
        <v>0</v>
      </c>
      <c r="AL71">
        <f>'TEA Revised Non EYZ'!AL71</f>
        <v>0</v>
      </c>
      <c r="AM71">
        <f>'TEA Revised Non EYZ'!AM71</f>
        <v>1.6128015126361699E-3</v>
      </c>
      <c r="AN71">
        <f>'TEA Revised Non EYZ'!AN71</f>
        <v>7.9604217415409805E-5</v>
      </c>
      <c r="AO71">
        <f>'TEA Revised Non EYZ'!AO71</f>
        <v>5.2800727233350599E-6</v>
      </c>
      <c r="AP71">
        <f>'TEA Revised Non EYZ'!AP71</f>
        <v>1.7332371372774599E-3</v>
      </c>
      <c r="AQ71">
        <f>'TEA Revised Non EYZ'!AQ71</f>
        <v>7.4560018354909094E-2</v>
      </c>
      <c r="AR71">
        <f>'TEA Revised Non EYZ'!AR71</f>
        <v>1.6397426977852001E-6</v>
      </c>
      <c r="AS71">
        <f>'TEA Revised Non EYZ'!AS71</f>
        <v>2.84603070277444E-19</v>
      </c>
      <c r="AT71">
        <f>'TEA Revised Non EYZ'!AT71</f>
        <v>-1.2576745200831801E-17</v>
      </c>
      <c r="AU71">
        <f>'TEA Revised Non EYZ'!AU71</f>
        <v>8.8673761665684492E-22</v>
      </c>
      <c r="AV71">
        <f>'TEA Revised Non EYZ'!AV71</f>
        <v>0.196876804972202</v>
      </c>
      <c r="AW71">
        <f>'TEA Revised Non EYZ'!AW71</f>
        <v>99.342353621393102</v>
      </c>
      <c r="AX71">
        <f>'TEA Revised Non EYZ'!AX71</f>
        <v>500</v>
      </c>
      <c r="AY71">
        <f>'TEA Revised Non EYZ'!AY71</f>
        <v>95</v>
      </c>
      <c r="AZ71">
        <f>'TEA Revised Non EYZ'!AZ71</f>
        <v>0.92357542033771201</v>
      </c>
      <c r="BA71">
        <f>'TEA Revised Non EYZ'!BA71</f>
        <v>0.1</v>
      </c>
      <c r="BB71">
        <f>'TEA Revised Non EYZ'!BB71</f>
        <v>46.911337293802198</v>
      </c>
      <c r="BC71" t="str">
        <f>'TEA Revised Non EYZ'!BC71</f>
        <v>coeFc</v>
      </c>
      <c r="BD71">
        <f>'TEA Revised Non EYZ'!BD71</f>
        <v>1</v>
      </c>
      <c r="BE71">
        <f>'TEA Revised Non EYZ'!BE71</f>
        <v>1.8775014999999999E-2</v>
      </c>
      <c r="BF71">
        <f>'TEA Revised Non EYZ'!BF71</f>
        <v>0.10492961100000001</v>
      </c>
      <c r="BG71">
        <f>'TEA Revised Non EYZ'!BG71</f>
        <v>1.814625E-3</v>
      </c>
      <c r="BH71">
        <f>'TEA Revised Non EYZ'!BH71</f>
        <v>285.1951444</v>
      </c>
      <c r="BI71">
        <f>'TEA Revised Non EYZ'!BI71</f>
        <v>2169.8944889999998</v>
      </c>
      <c r="BJ71">
        <f>'TEA Revised Non EYZ'!BJ71</f>
        <v>866.49409060000005</v>
      </c>
      <c r="BK71">
        <f>'TEA Revised Non EYZ'!BK71</f>
        <v>100</v>
      </c>
      <c r="BL71">
        <f>'TEA Revised Non EYZ'!BL71</f>
        <v>10.969051996096999</v>
      </c>
      <c r="BM71">
        <f>'TEA Revised Non EYZ'!BM71</f>
        <v>92.357542033771196</v>
      </c>
      <c r="BN71">
        <f>'TEA Revised Non EYZ'!BN71</f>
        <v>19.6876804972202</v>
      </c>
      <c r="BO71">
        <f>'TEA Revised Non EYZ'!BO71</f>
        <v>241.31914391413397</v>
      </c>
      <c r="BP71">
        <f>'TEA Revised Non EYZ'!BP71</f>
        <v>590.63041491660601</v>
      </c>
      <c r="BQ71">
        <f>'TEA Revised Non EYZ'!BQ71</f>
        <v>24.1319143914134</v>
      </c>
      <c r="BR71">
        <f>'TEA Revised Non EYZ'!BR71</f>
        <v>59.063041491660606</v>
      </c>
      <c r="BS71">
        <f>'eLLE Bals'!CF71</f>
        <v>6.5814311976581994</v>
      </c>
      <c r="BT71">
        <f>'eLLE Bals'!CG71</f>
        <v>11.812608298332119</v>
      </c>
      <c r="BU71">
        <f>BM71</f>
        <v>92.357542033771196</v>
      </c>
      <c r="BV71">
        <f>BU71*(AM71*2+AN71*2+AO71*3)</f>
        <v>0.31407583031832836</v>
      </c>
      <c r="BW71">
        <f>BN71*BA71*(AP71*2+AQ71*2+AR71*3)</f>
        <v>0.30041713246369134</v>
      </c>
      <c r="BX71">
        <f>BV71/(2*V71*BL71+BV71)</f>
        <v>0.12523527846644827</v>
      </c>
      <c r="BY71">
        <f>BU71*BX71</f>
        <v>11.566422495076036</v>
      </c>
      <c r="BZ71">
        <f>BW71/(2*BN71*BA71+BW71)</f>
        <v>7.0887316594680158E-2</v>
      </c>
      <c r="CA71">
        <f>2*BN71*BA71/0.04</f>
        <v>98.438402486100998</v>
      </c>
      <c r="CB71">
        <f>(BS71+BL71)*2</f>
        <v>35.100966387510397</v>
      </c>
      <c r="CC71">
        <f>(BU71+BL71)*2</f>
        <v>206.65318805973638</v>
      </c>
      <c r="CD71">
        <f>(BT71+BN71)*2</f>
        <v>63.000577591104637</v>
      </c>
      <c r="CE71">
        <f>(CA71+BN71)*2</f>
        <v>236.25216596664239</v>
      </c>
      <c r="CF71">
        <f>'TEA Revised Non EYZ'!CB71</f>
        <v>3185.4126996665682</v>
      </c>
      <c r="CG71">
        <f>'TEA Revised Non EYZ'!CC71</f>
        <v>7796.3214768992002</v>
      </c>
      <c r="CH71">
        <f>'TEA Revised Non EYZ'!CD71</f>
        <v>3848.5686313477631</v>
      </c>
      <c r="CI71">
        <f>'TEA Revised Non EYZ'!CE71</f>
        <v>60133.720475132257</v>
      </c>
      <c r="CJ71">
        <f>BL71*V71</f>
        <v>1.0969051996096999</v>
      </c>
      <c r="CK71">
        <f>CJ71/2*1.2</f>
        <v>0.65814311976581996</v>
      </c>
      <c r="CL71">
        <f>'eLLE Bals'!CB71*'Oxidant Feed Composition'!$N$20</f>
        <v>3.656350665365668E-2</v>
      </c>
      <c r="CM71">
        <f>'eLLE Bals'!CB71*'Oxidant Feed Composition'!$N$21</f>
        <v>1.8281753326828334</v>
      </c>
      <c r="CN71">
        <f>'eLLE Bals'!CB71*'Oxidant Feed Composition'!$N$22</f>
        <v>0.54845259980484995</v>
      </c>
      <c r="CO71">
        <f>CN71/CK71</f>
        <v>0.83333333333333326</v>
      </c>
      <c r="CP71">
        <f>CO71</f>
        <v>0.83333333333333326</v>
      </c>
      <c r="CQ71">
        <f>CL71/CO71</f>
        <v>4.3876207984388023E-2</v>
      </c>
      <c r="CR71">
        <f>CM71/CO71</f>
        <v>2.1938103992194002</v>
      </c>
      <c r="CS71">
        <f>BN71*BA71</f>
        <v>1.9687680497220201</v>
      </c>
      <c r="CT71">
        <f>CS71/2*1.2</f>
        <v>1.1812608298332121</v>
      </c>
      <c r="CU71">
        <f>'eLLE Bals'!CC71*'Oxidant Feed Composition'!$N$20</f>
        <v>6.5625601657400695E-2</v>
      </c>
      <c r="CV71">
        <f>'eLLE Bals'!CC71*'Oxidant Feed Composition'!$N$21</f>
        <v>3.2812800828700337</v>
      </c>
      <c r="CW71">
        <f>'eLLE Bals'!CC71*'Oxidant Feed Composition'!$N$22</f>
        <v>0.98438402486101007</v>
      </c>
      <c r="CX71">
        <f>CU71/CP71</f>
        <v>7.8750721988880848E-2</v>
      </c>
      <c r="CY71">
        <f>CV71/CP71</f>
        <v>3.9375360994440407</v>
      </c>
      <c r="CZ71">
        <f>CJ71</f>
        <v>1.0969051996096999</v>
      </c>
      <c r="DA71">
        <f>'eLLE Bals'!BQ71</f>
        <v>2.1938103992193998</v>
      </c>
      <c r="DB71">
        <f>'eLLE Bals'!BU71</f>
        <v>5.4680400253185892</v>
      </c>
      <c r="DC71">
        <f>CS71</f>
        <v>1.9687680497220201</v>
      </c>
      <c r="DD71">
        <f>'eLLE Bals'!BX71</f>
        <v>3.9375360994440403</v>
      </c>
      <c r="DE71">
        <f>'eLLE Bals'!CA71</f>
        <v>21.866901895281231</v>
      </c>
      <c r="DF71">
        <f>2*2*(CJ71*'Reagent cost'!$C$36*122.44/1000*1.5+CK71*'Oxidant Feed Composition'!$N$26+CQ71*'Reagent cost'!$C$34+CR71*'Reagent cost'!$C$35)</f>
        <v>111.62232060062847</v>
      </c>
      <c r="DG71">
        <f>2*2*(CS71*'Reagent cost'!$C$36*122.44/1000*1.5+CT71*'Oxidant Feed Composition'!$N$26+CX71*'Reagent cost'!$C$34+CY71*'Reagent cost'!$C$35)</f>
        <v>200.34407578024042</v>
      </c>
      <c r="DH71">
        <f>(AF71+3)*2*(CZ71*'Reagent cost'!$C$38+DA71*'Reagent cost'!$C$39+DB71*'Reagent cost'!$C$36*122.44/1000*1.5)</f>
        <v>2425.9356143630089</v>
      </c>
      <c r="DI71">
        <f>3*2*(DC71*'Reagent cost'!$C$38+DD71*'Reagent cost'!$C$39+DE71*'Reagent cost'!$C$36*122.44/1000*1.5)</f>
        <v>1754.3479761355957</v>
      </c>
      <c r="DJ71">
        <f>7963.6*(CB71/1000)^0.6*1.7*('CAPEX+OPEX'!$G$116/'CAPEX+OPEX'!$G$115)</f>
        <v>2140.0916471558648</v>
      </c>
      <c r="DK71">
        <f>7963.6*(CC71/1000)^0.6*1.7*('CAPEX+OPEX'!$G$116/'CAPEX+OPEX'!$G$115)</f>
        <v>6199.9215410229135</v>
      </c>
      <c r="DL71">
        <f>7963.6*(CD71/1000)^0.6*1.7*('CAPEX+OPEX'!$G$116/'CAPEX+OPEX'!$G$115)</f>
        <v>3039.8184494757229</v>
      </c>
      <c r="DM71">
        <f>7963.6*(CE71/1000)^0.6*1.7*('CAPEX+OPEX'!$G$116/'CAPEX+OPEX'!$G$115)</f>
        <v>6718.4085062333661</v>
      </c>
      <c r="DN71">
        <f>'TEA Revised Non EYZ'!CM71</f>
        <v>39625.826528698344</v>
      </c>
      <c r="DO71">
        <f>'TEA Revised Non EYZ'!CN71</f>
        <v>4586243.4239371875</v>
      </c>
      <c r="DP71">
        <f>'TEA Revised Non EYZ'!CO71</f>
        <v>11794834.586807497</v>
      </c>
      <c r="DQ71">
        <f>'TEA Revised Non EYZ'!CP71</f>
        <v>2275209.1661185985</v>
      </c>
      <c r="DR71">
        <f>'TEA Revised Non EYZ'!CQ71</f>
        <v>14083914.336508472</v>
      </c>
      <c r="DS71">
        <f>'TEA Revised Non EYZ'!CR71</f>
        <v>1662824.8986326549</v>
      </c>
      <c r="DT71">
        <f>'TEA Revised Non EYZ'!CS71</f>
        <v>800322.53402245743</v>
      </c>
      <c r="DU71">
        <f>'TEA Revised Non EYZ'!CT71</f>
        <v>2058257.9318883498</v>
      </c>
      <c r="DV71">
        <f>'TEA Revised Non EYZ'!CU71</f>
        <v>397035.437708179</v>
      </c>
      <c r="DW71">
        <f>'TEA Revised Non EYZ'!CV71</f>
        <v>2457713.856163613</v>
      </c>
      <c r="DX71">
        <f>'TEA Revised Non EYZ'!CW71</f>
        <v>290171.30437591631</v>
      </c>
      <c r="DY71">
        <f>'TEA Revised Non EYZ'!CX71</f>
        <v>6003501.064158516</v>
      </c>
      <c r="DZ71">
        <f>'TEA Revised Non EYZ'!CY71</f>
        <v>924872.72116447624</v>
      </c>
      <c r="EA71">
        <f>'TEA Revised Non EYZ'!CZ71</f>
        <v>2378574.3039824599</v>
      </c>
      <c r="EB71">
        <f>'TEA Revised Non EYZ'!DA71</f>
        <v>458824.07412208192</v>
      </c>
      <c r="EC71">
        <f>'TEA Revised Non EYZ'!DB71</f>
        <v>2840195.5528718065</v>
      </c>
      <c r="ED71">
        <f>'TEA Revised Non EYZ'!DC71</f>
        <v>335329.21100340848</v>
      </c>
      <c r="EE71">
        <f>'TEA Revised Non EYZ'!DD71</f>
        <v>6937795.8631442329</v>
      </c>
      <c r="EF71">
        <v>0.7</v>
      </c>
      <c r="EG71">
        <v>100</v>
      </c>
      <c r="EH71">
        <f>96485*BL71*V71/EF71/EG71/60</f>
        <v>25.198785281986165</v>
      </c>
      <c r="EI71">
        <f>96485*BN71*BA71/EF71/EG71/60</f>
        <v>45.227758399387888</v>
      </c>
      <c r="EJ71">
        <f>EH71*('CAPEX+OPEX'!$O$25+'CAPEX+OPEX'!$O$26)</f>
        <v>803135.68450746301</v>
      </c>
      <c r="EK71">
        <f>EI71*('CAPEX+OPEX'!$O$25+'CAPEX+OPEX'!$O$26)</f>
        <v>1441499.1157052908</v>
      </c>
      <c r="EL71">
        <f>EJ71*1.12/0.6*'CAPEX+OPEX'!$G$116/'CAPEX+OPEX'!$G$115</f>
        <v>1768228.0006537526</v>
      </c>
      <c r="EM71">
        <f>EK71*1.12/0.6*'CAPEX+OPEX'!$G$116/'CAPEX+OPEX'!$G$115</f>
        <v>3173684.2833361039</v>
      </c>
      <c r="EN71">
        <f>EL71+EM71+DY71+EE71+1.15*(SUM(DF71:DM71)+SUM(CF71:CI71))</f>
        <v>17995396.90171849</v>
      </c>
      <c r="EO71">
        <f>EN71/15</f>
        <v>1199693.1267812327</v>
      </c>
      <c r="EP71">
        <f>('eLLE Bals'!CB71+'eLLE Bals'!CC71)*'Oxidant Feed Composition'!$N$28*60*7200</f>
        <v>17042613.49233932</v>
      </c>
      <c r="EQ71" s="53">
        <f>('eLLE Bals'!BR71+'eLLE Bals'!BY71)*'Reagent cost'!$C$38*60*7200*1.5</f>
        <v>757986.79206259269</v>
      </c>
      <c r="ER71">
        <f>'TEA Revised Non EYZ'!DI71</f>
        <v>504921.59999999998</v>
      </c>
      <c r="ES71">
        <f>'TEA Revised Non EYZ'!DJ71</f>
        <v>109.8173417656577</v>
      </c>
      <c r="ET71">
        <f>'TEA Revised Non EYZ'!DK71</f>
        <v>1279.6457821296005</v>
      </c>
      <c r="EU71">
        <f>1.2*SUM(EP71:ET71)</f>
        <v>21968293.617030971</v>
      </c>
      <c r="EV71">
        <f>'TEA Revised Non EYZ'!DM71</f>
        <v>0.70639694042110623</v>
      </c>
      <c r="EW71">
        <f>(BS71*CO71+BT71*CP71)/1000*('Oxidant Feed Composition'!$B$11*'Oxidant Feed Composition'!$O$20+'Oxidant Feed Composition'!$D$11*'Oxidant Feed Composition'!$O$21+'Oxidant Feed Composition'!$F$11*'Oxidant Feed Composition'!$O$27-'Oxidant Feed Composition'!$J$15*18.015)</f>
        <v>1.7901162010675504</v>
      </c>
      <c r="EX71">
        <f>(CZ71*BX71+DC71*BZ71)*368.34/1000</f>
        <v>0.10200510052742763</v>
      </c>
      <c r="EY71">
        <f>'TEA Revised Non EYZ'!DP71</f>
        <v>4.999938342565946E-2</v>
      </c>
      <c r="EZ71">
        <f>SUM(EV71:EX71)-EY71</f>
        <v>2.548518858590425</v>
      </c>
      <c r="FA71">
        <f>EZ71*0.33*60*7200</f>
        <v>363316.84848065104</v>
      </c>
      <c r="FB71">
        <f>'TEA Revised Non EYZ'!DS71</f>
        <v>1.2</v>
      </c>
      <c r="FC71">
        <v>0.5</v>
      </c>
      <c r="FD71">
        <f>'TEA Revised Non EYZ'!DT71</f>
        <v>1405.8889016994299</v>
      </c>
      <c r="FE71">
        <f>'TEA Revised Non EYZ'!DU71</f>
        <v>705.8149200453754</v>
      </c>
      <c r="FF71">
        <f>'TEA Revised Non EYZ'!DV71</f>
        <v>0.7</v>
      </c>
      <c r="FG71">
        <f>'TEA Revised Non EYZ'!DW71</f>
        <v>44032.441905260595</v>
      </c>
      <c r="FH71">
        <f>'TEA Revised Non EYZ'!DX71</f>
        <v>41526.098972294596</v>
      </c>
      <c r="FI71">
        <f>'TEA Revised Non EYZ'!DY71</f>
        <v>17581.614484237631</v>
      </c>
      <c r="FJ71">
        <f>'TEA Revised Non EYZ'!DZ71</f>
        <v>9313.4716969742931</v>
      </c>
      <c r="FK71">
        <f>'TEA Revised Non EYZ'!EA71</f>
        <v>9376.8610582600722</v>
      </c>
      <c r="FL71">
        <f>'TEA Revised Non EYZ'!EB71</f>
        <v>850.28160774781531</v>
      </c>
      <c r="FM71">
        <f>'TEA Revised Non EYZ'!EC71</f>
        <v>51427.591383785315</v>
      </c>
      <c r="FN71">
        <f>'TEA Revised Non EYZ'!ED71</f>
        <v>54311.714899048464</v>
      </c>
      <c r="FO71">
        <f>'TEA Revised Non EYZ'!EE71</f>
        <v>22994.879291935842</v>
      </c>
      <c r="FP71">
        <f>'TEA Revised Non EYZ'!EF71</f>
        <v>12187.809958174303</v>
      </c>
      <c r="FQ71">
        <f>'TEA Revised Non EYZ'!EG71</f>
        <v>12263.935622365781</v>
      </c>
      <c r="FR71">
        <f>'TEA Revised Non EYZ'!EH71</f>
        <v>426.87686364344307</v>
      </c>
      <c r="FS71">
        <f>'TEA Revised Non EYZ'!EI71</f>
        <v>276293.57774372824</v>
      </c>
      <c r="FT71">
        <f>EG71*EH71</f>
        <v>2519.8785281986166</v>
      </c>
      <c r="FU71">
        <f>EG71*EI71</f>
        <v>4522.7758399387885</v>
      </c>
      <c r="FV71">
        <f>FC71*(FT71+FU71)/(3.6*10^6)*3600*7200*0.07</f>
        <v>1774.7489007706261</v>
      </c>
      <c r="FW71">
        <f>('CAPEX+OPEX'!$C$39/7/100+0.03)*EL71</f>
        <v>90937.440033621562</v>
      </c>
      <c r="FX71">
        <f>('CAPEX+OPEX'!$C$39/7/100+0.03)*EM71</f>
        <v>163218.04885728535</v>
      </c>
      <c r="FY71">
        <f>SUM(FV71:FX71)</f>
        <v>255930.23779167753</v>
      </c>
      <c r="FZ71">
        <f>FY71+FA71+FS71+EU71</f>
        <v>22863834.281047028</v>
      </c>
      <c r="GA71">
        <f>FZ71+EO71</f>
        <v>24063527.40782826</v>
      </c>
      <c r="GB71">
        <f>GA71/(BK71*60*7200)</f>
        <v>0.5570260974034319</v>
      </c>
      <c r="GC71">
        <f>'TEA Revised Non EYZ'!EM71/'TEA Revised Non EYZ'!EK71*GA71</f>
        <v>1863.5115514797963</v>
      </c>
      <c r="GD71">
        <f>'TEA Revised Non EYZ'!EN71/'TEA Revised Non EYZ'!EK71*GA71</f>
        <v>3419.947168639716</v>
      </c>
    </row>
    <row r="72" spans="1:186">
      <c r="A72">
        <f>'TEA Revised Non EYZ'!A72</f>
        <v>10</v>
      </c>
      <c r="B72">
        <f>'TEA Revised Non EYZ'!B72</f>
        <v>1.54143585092054E-3</v>
      </c>
      <c r="C72">
        <f>'TEA Revised Non EYZ'!C72</f>
        <v>1.54143585092054E-3</v>
      </c>
      <c r="D72">
        <f>'TEA Revised Non EYZ'!D72</f>
        <v>3.4254130020456501E-4</v>
      </c>
      <c r="E72">
        <f>'TEA Revised Non EYZ'!E72</f>
        <v>0</v>
      </c>
      <c r="F72">
        <f>'TEA Revised Non EYZ'!F72</f>
        <v>0</v>
      </c>
      <c r="G72">
        <f>'TEA Revised Non EYZ'!G72</f>
        <v>0</v>
      </c>
      <c r="H72">
        <f>'TEA Revised Non EYZ'!H72</f>
        <v>1.7770671970930099E-5</v>
      </c>
      <c r="I72">
        <f>'TEA Revised Non EYZ'!I72</f>
        <v>5.2649488631162003E-10</v>
      </c>
      <c r="J72">
        <f>'TEA Revised Non EYZ'!J72</f>
        <v>3.3765279177869602E-4</v>
      </c>
      <c r="K72">
        <f>'TEA Revised Non EYZ'!K72</f>
        <v>0.139053960209192</v>
      </c>
      <c r="L72">
        <f>'TEA Revised Non EYZ'!L72</f>
        <v>0.14067571356050099</v>
      </c>
      <c r="M72">
        <f>'TEA Revised Non EYZ'!M72</f>
        <v>4.4613899794023002E-4</v>
      </c>
      <c r="N72">
        <f>'TEA Revised Non EYZ'!N72</f>
        <v>-1.6046192152785399E-16</v>
      </c>
      <c r="O72">
        <f>'TEA Revised Non EYZ'!O72</f>
        <v>-5.9831913729046996E-14</v>
      </c>
      <c r="P72">
        <f>'TEA Revised Non EYZ'!P72</f>
        <v>-6.6915602833089703E-20</v>
      </c>
      <c r="Q72">
        <f>'TEA Revised Non EYZ'!Q72</f>
        <v>0.10957366310586</v>
      </c>
      <c r="R72">
        <f>'TEA Revised Non EYZ'!R72</f>
        <v>98.572870359588904</v>
      </c>
      <c r="S72">
        <f>'TEA Revised Non EYZ'!S72</f>
        <v>500</v>
      </c>
      <c r="T72">
        <f>'TEA Revised Non EYZ'!T72</f>
        <v>95</v>
      </c>
      <c r="U72">
        <f>'TEA Revised Non EYZ'!U72</f>
        <v>1</v>
      </c>
      <c r="V72">
        <f>'TEA Revised Non EYZ'!V72</f>
        <v>0.1</v>
      </c>
      <c r="W72">
        <f>'TEA Revised Non EYZ'!W72</f>
        <v>91.262806376555005</v>
      </c>
      <c r="X72" t="str">
        <f>'TEA Revised Non EYZ'!X72</f>
        <v>ddFc</v>
      </c>
      <c r="Y72">
        <f>'TEA Revised Non EYZ'!Y72</f>
        <v>1</v>
      </c>
      <c r="Z72">
        <f>'TEA Revised Non EYZ'!Z72</f>
        <v>0.28318429382522198</v>
      </c>
      <c r="AA72">
        <f>'TEA Revised Non EYZ'!AA72</f>
        <v>0.56945642916197003</v>
      </c>
      <c r="AB72">
        <f>'TEA Revised Non EYZ'!AB72</f>
        <v>3.7698628972227502E-3</v>
      </c>
      <c r="AC72">
        <f>'TEA Revised Non EYZ'!AC72</f>
        <v>1822.2107908876901</v>
      </c>
      <c r="AD72">
        <f>'TEA Revised Non EYZ'!AD72</f>
        <v>2662.6059073104898</v>
      </c>
      <c r="AE72">
        <f>'TEA Revised Non EYZ'!AE72</f>
        <v>2401.5030938442701</v>
      </c>
      <c r="AF72">
        <f>'TEA Revised Non EYZ'!AF72</f>
        <v>4</v>
      </c>
      <c r="AG72">
        <f>'TEA Revised Non EYZ'!AG72</f>
        <v>1.6497548842793E-3</v>
      </c>
      <c r="AH72">
        <f>'TEA Revised Non EYZ'!AH72</f>
        <v>1.66899558413707E-3</v>
      </c>
      <c r="AI72">
        <f>'TEA Revised Non EYZ'!AI72</f>
        <v>5.2930530695573503E-6</v>
      </c>
      <c r="AJ72">
        <f>'TEA Revised Non EYZ'!AJ72</f>
        <v>0</v>
      </c>
      <c r="AK72">
        <f>'TEA Revised Non EYZ'!AK72</f>
        <v>0</v>
      </c>
      <c r="AL72">
        <f>'TEA Revised Non EYZ'!AL72</f>
        <v>0</v>
      </c>
      <c r="AM72">
        <f>'TEA Revised Non EYZ'!AM72</f>
        <v>1.6048413033404E-3</v>
      </c>
      <c r="AN72">
        <f>'TEA Revised Non EYZ'!AN72</f>
        <v>7.9214281912587002E-5</v>
      </c>
      <c r="AO72">
        <f>'TEA Revised Non EYZ'!AO72</f>
        <v>5.2510498442721197E-6</v>
      </c>
      <c r="AP72">
        <f>'TEA Revised Non EYZ'!AP72</f>
        <v>1.9874301532163399E-3</v>
      </c>
      <c r="AQ72">
        <f>'TEA Revised Non EYZ'!AQ72</f>
        <v>7.0347971160411499E-2</v>
      </c>
      <c r="AR72">
        <f>'TEA Revised Non EYZ'!AR72</f>
        <v>1.8586466433211301E-6</v>
      </c>
      <c r="AS72">
        <f>'TEA Revised Non EYZ'!AS72</f>
        <v>-9.4990475988515606E-15</v>
      </c>
      <c r="AT72">
        <f>'TEA Revised Non EYZ'!AT72</f>
        <v>-1.2249511301132201E-13</v>
      </c>
      <c r="AU72">
        <f>'TEA Revised Non EYZ'!AU72</f>
        <v>-3.0412916494512601E-18</v>
      </c>
      <c r="AV72">
        <f>'TEA Revised Non EYZ'!AV72</f>
        <v>0.20871608876883399</v>
      </c>
      <c r="AW72">
        <f>'TEA Revised Non EYZ'!AW72</f>
        <v>99.206446171363694</v>
      </c>
      <c r="AX72">
        <f>'TEA Revised Non EYZ'!AX72</f>
        <v>500</v>
      </c>
      <c r="AY72">
        <f>'TEA Revised Non EYZ'!AY72</f>
        <v>95</v>
      </c>
      <c r="AZ72">
        <f>'TEA Revised Non EYZ'!AZ72</f>
        <v>0.92357064280818002</v>
      </c>
      <c r="BA72">
        <f>'TEA Revised Non EYZ'!BA72</f>
        <v>0.1</v>
      </c>
      <c r="BB72">
        <f>'TEA Revised Non EYZ'!BB72</f>
        <v>44.250093428642501</v>
      </c>
      <c r="BC72" t="str">
        <f>'TEA Revised Non EYZ'!BC72</f>
        <v>coeFc</v>
      </c>
      <c r="BD72">
        <f>'TEA Revised Non EYZ'!BD72</f>
        <v>1</v>
      </c>
      <c r="BE72">
        <f>'TEA Revised Non EYZ'!BE72</f>
        <v>1.8775014999999999E-2</v>
      </c>
      <c r="BF72">
        <f>'TEA Revised Non EYZ'!BF72</f>
        <v>0.10492961100000001</v>
      </c>
      <c r="BG72">
        <f>'TEA Revised Non EYZ'!BG72</f>
        <v>1.814625E-3</v>
      </c>
      <c r="BH72">
        <f>'TEA Revised Non EYZ'!BH72</f>
        <v>285.1951444</v>
      </c>
      <c r="BI72">
        <f>'TEA Revised Non EYZ'!BI72</f>
        <v>2169.8944889999998</v>
      </c>
      <c r="BJ72">
        <f>'TEA Revised Non EYZ'!BJ72</f>
        <v>866.49409060000005</v>
      </c>
      <c r="BK72">
        <f>'TEA Revised Non EYZ'!BK72</f>
        <v>100</v>
      </c>
      <c r="BL72">
        <f>'TEA Revised Non EYZ'!BL72</f>
        <v>10.957366310586</v>
      </c>
      <c r="BM72">
        <f>'TEA Revised Non EYZ'!BM72</f>
        <v>92.357064280818008</v>
      </c>
      <c r="BN72">
        <f>'TEA Revised Non EYZ'!BN72</f>
        <v>20.8716088768834</v>
      </c>
      <c r="BO72">
        <f>'TEA Revised Non EYZ'!BO72</f>
        <v>262.97679145406403</v>
      </c>
      <c r="BP72">
        <f>'TEA Revised Non EYZ'!BP72</f>
        <v>250.4593065226008</v>
      </c>
      <c r="BQ72">
        <f>'TEA Revised Non EYZ'!BQ72</f>
        <v>26.297679145406406</v>
      </c>
      <c r="BR72">
        <f>'TEA Revised Non EYZ'!BR72</f>
        <v>25.045930652260083</v>
      </c>
      <c r="BS72">
        <f>'eLLE Bals'!CF72</f>
        <v>6.5744197863515996</v>
      </c>
      <c r="BT72">
        <f>'eLLE Bals'!CG72</f>
        <v>12.52296532613004</v>
      </c>
      <c r="BU72">
        <f>BM72</f>
        <v>92.357064280818008</v>
      </c>
      <c r="BV72">
        <f>BU72*(AM72*2+AN72*2+AO72*3)</f>
        <v>0.31252377452338909</v>
      </c>
      <c r="BW72">
        <f>BN72*BA72*(AP72*2+AQ72*2+AR72*3)</f>
        <v>0.30196287871782157</v>
      </c>
      <c r="BX72">
        <f>BV72/(2*V72*BL72+BV72)</f>
        <v>0.12480996181316453</v>
      </c>
      <c r="BY72">
        <f>BU72*BX72</f>
        <v>11.527081666064877</v>
      </c>
      <c r="BZ72">
        <f>BW72/(2*BN72*BA72+BW72)</f>
        <v>6.7458372747053325E-2</v>
      </c>
      <c r="CA72">
        <f>2*BN72*BA72/0.04</f>
        <v>104.358044384417</v>
      </c>
      <c r="CB72">
        <f>(BS72+BL72)*2</f>
        <v>35.063572193875203</v>
      </c>
      <c r="CC72">
        <f>(BU72+BL72)*2</f>
        <v>206.62886118280801</v>
      </c>
      <c r="CD72">
        <f>(BT72+BN72)*2</f>
        <v>66.789148406026882</v>
      </c>
      <c r="CE72">
        <f>(CA72+BN72)*2</f>
        <v>250.4593065226008</v>
      </c>
      <c r="CF72">
        <f>'TEA Revised Non EYZ'!CB72</f>
        <v>3471.2936471936455</v>
      </c>
      <c r="CG72">
        <f>'TEA Revised Non EYZ'!CC72</f>
        <v>3306.0628460983307</v>
      </c>
      <c r="CH72">
        <f>'TEA Revised Non EYZ'!CD72</f>
        <v>4193.9657747282263</v>
      </c>
      <c r="CI72">
        <f>'TEA Revised Non EYZ'!CE72</f>
        <v>25499.956569205955</v>
      </c>
      <c r="CJ72">
        <f>BL72*V72</f>
        <v>1.0957366310586001</v>
      </c>
      <c r="CK72">
        <f>CJ72/2*1.2</f>
        <v>0.65744197863516007</v>
      </c>
      <c r="CL72">
        <f>'eLLE Bals'!CB72*'Oxidant Feed Composition'!$N$20</f>
        <v>3.6524554368620017E-2</v>
      </c>
      <c r="CM72">
        <f>'eLLE Bals'!CB72*'Oxidant Feed Composition'!$N$21</f>
        <v>1.8262277184310003</v>
      </c>
      <c r="CN72">
        <f>'eLLE Bals'!CB72*'Oxidant Feed Composition'!$N$22</f>
        <v>0.54786831552930004</v>
      </c>
      <c r="CO72">
        <f>CN72/CK72</f>
        <v>0.83333333333333326</v>
      </c>
      <c r="CP72">
        <f>CO72</f>
        <v>0.83333333333333326</v>
      </c>
      <c r="CQ72">
        <f>CL72/CO72</f>
        <v>4.3829465242344025E-2</v>
      </c>
      <c r="CR72">
        <f>CM72/CO72</f>
        <v>2.1914732621172006</v>
      </c>
      <c r="CS72">
        <f>BN72*BA72</f>
        <v>2.0871608876883401</v>
      </c>
      <c r="CT72">
        <f>CS72/2*1.2</f>
        <v>1.252296532613004</v>
      </c>
      <c r="CU72">
        <f>'eLLE Bals'!CC72*'Oxidant Feed Composition'!$N$20</f>
        <v>6.9572029589611367E-2</v>
      </c>
      <c r="CV72">
        <f>'eLLE Bals'!CC72*'Oxidant Feed Composition'!$N$21</f>
        <v>3.4786014794805671</v>
      </c>
      <c r="CW72">
        <f>'eLLE Bals'!CC72*'Oxidant Feed Composition'!$N$22</f>
        <v>1.04358044384417</v>
      </c>
      <c r="CX72">
        <f>CU72/CP72</f>
        <v>8.3486435507533652E-2</v>
      </c>
      <c r="CY72">
        <f>CV72/CP72</f>
        <v>4.174321775376681</v>
      </c>
      <c r="CZ72">
        <f>CJ72</f>
        <v>1.0957366310586001</v>
      </c>
      <c r="DA72">
        <f>'eLLE Bals'!BQ72</f>
        <v>2.1914732621172002</v>
      </c>
      <c r="DB72">
        <f>'eLLE Bals'!BU72</f>
        <v>5.4920302825561587</v>
      </c>
      <c r="DC72">
        <f>CS72</f>
        <v>2.0871608876883401</v>
      </c>
      <c r="DD72">
        <f>'eLLE Bals'!BX72</f>
        <v>4.1743217753766801</v>
      </c>
      <c r="DE72">
        <f>'eLLE Bals'!CA72</f>
        <v>24.678500065461598</v>
      </c>
      <c r="DF72">
        <f>2*2*(CJ72*'Reagent cost'!$C$36*122.44/1000*1.5+CK72*'Oxidant Feed Composition'!$N$26+CQ72*'Reagent cost'!$C$34+CR72*'Reagent cost'!$C$35)</f>
        <v>111.50340573587894</v>
      </c>
      <c r="DG72">
        <f>2*2*(CS72*'Reagent cost'!$C$36*122.44/1000*1.5+CT72*'Oxidant Feed Composition'!$N$26+CX72*'Reagent cost'!$C$34+CY72*'Reagent cost'!$C$35)</f>
        <v>212.39186561749986</v>
      </c>
      <c r="DH72">
        <f>(AF72+3)*2*(CZ72*'Reagent cost'!$C$38+DA72*'Reagent cost'!$C$39+DB72*'Reagent cost'!$C$36*122.44/1000*1.5)</f>
        <v>1065.6300782967505</v>
      </c>
      <c r="DI72">
        <f>3*2*(DC72*'Reagent cost'!$C$38+DD72*'Reagent cost'!$C$39+DE72*'Reagent cost'!$C$36*122.44/1000*1.5)</f>
        <v>1976.3142432231257</v>
      </c>
      <c r="DJ72">
        <f>7963.6*(CB72/1000)^0.6*1.7*('CAPEX+OPEX'!$G$116/'CAPEX+OPEX'!$G$115)</f>
        <v>2138.7234102796551</v>
      </c>
      <c r="DK72">
        <f>7963.6*(CC72/1000)^0.6*1.7*('CAPEX+OPEX'!$G$116/'CAPEX+OPEX'!$G$115)</f>
        <v>6199.4836239091055</v>
      </c>
      <c r="DL72">
        <f>7963.6*(CD72/1000)^0.6*1.7*('CAPEX+OPEX'!$G$116/'CAPEX+OPEX'!$G$115)</f>
        <v>3148.2156354245658</v>
      </c>
      <c r="DM72">
        <f>7963.6*(CE72/1000)^0.6*1.7*('CAPEX+OPEX'!$G$116/'CAPEX+OPEX'!$G$115)</f>
        <v>6957.9808978859182</v>
      </c>
      <c r="DN72">
        <f>'TEA Revised Non EYZ'!CM72</f>
        <v>39625.826528698344</v>
      </c>
      <c r="DO72">
        <f>'TEA Revised Non EYZ'!CN72</f>
        <v>4586243.4239371875</v>
      </c>
      <c r="DP72">
        <f>'TEA Revised Non EYZ'!CO72</f>
        <v>11794834.586807497</v>
      </c>
      <c r="DQ72">
        <f>'TEA Revised Non EYZ'!CP72</f>
        <v>2275209.1661185985</v>
      </c>
      <c r="DR72">
        <f>'TEA Revised Non EYZ'!CQ72</f>
        <v>14083914.336508472</v>
      </c>
      <c r="DS72">
        <f>'TEA Revised Non EYZ'!CR72</f>
        <v>1662824.8986326549</v>
      </c>
      <c r="DT72">
        <f>'TEA Revised Non EYZ'!CS72</f>
        <v>847423.79840727116</v>
      </c>
      <c r="DU72">
        <f>'TEA Revised Non EYZ'!CT72</f>
        <v>2179392.2832288719</v>
      </c>
      <c r="DV72">
        <f>'TEA Revised Non EYZ'!CU72</f>
        <v>420402.1059283549</v>
      </c>
      <c r="DW72">
        <f>'TEA Revised Non EYZ'!CV72</f>
        <v>2602357.3282642425</v>
      </c>
      <c r="DX72">
        <f>'TEA Revised Non EYZ'!CW72</f>
        <v>307248.71347447456</v>
      </c>
      <c r="DY72">
        <f>'TEA Revised Non EYZ'!CX72</f>
        <v>6356824.2293032147</v>
      </c>
      <c r="DZ72">
        <f>'TEA Revised Non EYZ'!CY72</f>
        <v>498638.18596251757</v>
      </c>
      <c r="EA72">
        <f>'TEA Revised Non EYZ'!CZ72</f>
        <v>1282390.483548437</v>
      </c>
      <c r="EB72">
        <f>'TEA Revised Non EYZ'!DA72</f>
        <v>247371.55584836402</v>
      </c>
      <c r="EC72">
        <f>'TEA Revised Non EYZ'!DB72</f>
        <v>1531270.1151783131</v>
      </c>
      <c r="ED72">
        <f>'TEA Revised Non EYZ'!DC72</f>
        <v>180790.22729144391</v>
      </c>
      <c r="EE72">
        <f>'TEA Revised Non EYZ'!DD72</f>
        <v>3740460.5678290757</v>
      </c>
      <c r="EF72">
        <v>0.7</v>
      </c>
      <c r="EG72">
        <v>100</v>
      </c>
      <c r="EH72">
        <f>96485*BL72*V72/EF72/EG72/60</f>
        <v>25.171940201830719</v>
      </c>
      <c r="EI72">
        <f>96485*BN72*BA72/EF72/EG72/60</f>
        <v>47.947551963954638</v>
      </c>
      <c r="EJ72">
        <f>EH72*('CAPEX+OPEX'!$O$25+'CAPEX+OPEX'!$O$26)</f>
        <v>802280.07811274868</v>
      </c>
      <c r="EK72">
        <f>EI72*('CAPEX+OPEX'!$O$25+'CAPEX+OPEX'!$O$26)</f>
        <v>1528184.3761951623</v>
      </c>
      <c r="EL72">
        <f>EJ72*1.12/0.6*'CAPEX+OPEX'!$G$116/'CAPEX+OPEX'!$G$115</f>
        <v>1766344.2502316802</v>
      </c>
      <c r="EM72">
        <f>EK72*1.12/0.6*'CAPEX+OPEX'!$G$116/'CAPEX+OPEX'!$G$115</f>
        <v>3364535.3534590267</v>
      </c>
      <c r="EN72">
        <f>EL72+EM72+DY72+EE72+1.15*(SUM(DF72:DM72)+SUM(CF72:CI72))</f>
        <v>15295188.151120236</v>
      </c>
      <c r="EO72">
        <f>EN72/15</f>
        <v>1019679.2100746824</v>
      </c>
      <c r="EP72">
        <f>('eLLE Bals'!CB72+'eLLE Bals'!CC72)*'Oxidant Feed Composition'!$N$28*60*7200</f>
        <v>17694283.697571062</v>
      </c>
      <c r="EQ72" s="53">
        <f>('eLLE Bals'!BR72+'eLLE Bals'!BY72)*'Reagent cost'!$C$38*60*7200*1.5</f>
        <v>759693.12522661989</v>
      </c>
      <c r="ER72">
        <f>'TEA Revised Non EYZ'!DI72</f>
        <v>504921.59999999998</v>
      </c>
      <c r="ES72">
        <f>'TEA Revised Non EYZ'!DJ72</f>
        <v>67.773564932919768</v>
      </c>
      <c r="ET72">
        <f>'TEA Revised Non EYZ'!DK72</f>
        <v>593.87844687868358</v>
      </c>
      <c r="EU72">
        <f>1.2*SUM(EP72:ET72)</f>
        <v>22751472.089771394</v>
      </c>
      <c r="EV72">
        <f>'TEA Revised Non EYZ'!DM72</f>
        <v>0.70639694042110623</v>
      </c>
      <c r="EW72">
        <f>(BS72*CO72+BT72*CP72)/1000*('Oxidant Feed Composition'!$B$11*'Oxidant Feed Composition'!$O$20+'Oxidant Feed Composition'!$D$11*'Oxidant Feed Composition'!$O$21+'Oxidant Feed Composition'!$F$11*'Oxidant Feed Composition'!$O$27-'Oxidant Feed Composition'!$J$15*18.015)</f>
        <v>1.8585661129700133</v>
      </c>
      <c r="EX72">
        <f>(CZ72*BX72+DC72*BZ72)*368.34/1000</f>
        <v>0.10223472812483765</v>
      </c>
      <c r="EY72">
        <f>'TEA Revised Non EYZ'!DP72</f>
        <v>4.999938342565946E-2</v>
      </c>
      <c r="EZ72">
        <f>SUM(EV72:EX72)-EY72</f>
        <v>2.6171983980902978</v>
      </c>
      <c r="FA72">
        <f>EZ72*0.33*60*7200</f>
        <v>373107.80363175285</v>
      </c>
      <c r="FB72">
        <f>'TEA Revised Non EYZ'!DS72</f>
        <v>1.2</v>
      </c>
      <c r="FC72">
        <v>0.5</v>
      </c>
      <c r="FD72">
        <f>'TEA Revised Non EYZ'!DT72</f>
        <v>1398.9420736828372</v>
      </c>
      <c r="FE72">
        <f>'TEA Revised Non EYZ'!DU72</f>
        <v>712.74630003990501</v>
      </c>
      <c r="FF72">
        <f>'TEA Revised Non EYZ'!DV72</f>
        <v>0.7</v>
      </c>
      <c r="FG72">
        <f>'TEA Revised Non EYZ'!DW72</f>
        <v>46784.46952433938</v>
      </c>
      <c r="FH72">
        <f>'TEA Revised Non EYZ'!DX72</f>
        <v>45678.708869524045</v>
      </c>
      <c r="FI72">
        <f>'TEA Revised Non EYZ'!DY72</f>
        <v>19339.775932661389</v>
      </c>
      <c r="FJ72">
        <f>'TEA Revised Non EYZ'!DZ72</f>
        <v>10244.818866671721</v>
      </c>
      <c r="FK72">
        <f>'TEA Revised Non EYZ'!EA72</f>
        <v>10314.547164086078</v>
      </c>
      <c r="FL72">
        <f>'TEA Revised Non EYZ'!EB72</f>
        <v>846.08016616337989</v>
      </c>
      <c r="FM72">
        <f>'TEA Revised Non EYZ'!EC72</f>
        <v>28285.050307726531</v>
      </c>
      <c r="FN72">
        <f>'TEA Revised Non EYZ'!ED72</f>
        <v>19396.955145805132</v>
      </c>
      <c r="FO72">
        <f>'TEA Revised Non EYZ'!EE72</f>
        <v>8212.4205254416884</v>
      </c>
      <c r="FP72">
        <f>'TEA Revised Non EYZ'!EF72</f>
        <v>4352.7701543586227</v>
      </c>
      <c r="FQ72">
        <f>'TEA Revised Non EYZ'!EG72</f>
        <v>4379.9576135689013</v>
      </c>
      <c r="FR72">
        <f>'TEA Revised Non EYZ'!EH72</f>
        <v>431.06896226413448</v>
      </c>
      <c r="FS72">
        <f>'TEA Revised Non EYZ'!EI72</f>
        <v>198266.62323261102</v>
      </c>
      <c r="FT72">
        <f>EG72*EH72</f>
        <v>2517.1940201830716</v>
      </c>
      <c r="FU72">
        <f>EG72*EI72</f>
        <v>4794.7551963954638</v>
      </c>
      <c r="FV72">
        <f>FC72*(FT72+FU72)/(3.6*10^6)*3600*7200*0.07</f>
        <v>1842.6112025777911</v>
      </c>
      <c r="FW72">
        <f>('CAPEX+OPEX'!$C$39/7/100+0.03)*EL72</f>
        <v>90840.561440486417</v>
      </c>
      <c r="FX72">
        <f>('CAPEX+OPEX'!$C$39/7/100+0.03)*EM72</f>
        <v>173033.24674932138</v>
      </c>
      <c r="FY72">
        <f>SUM(FV72:FX72)</f>
        <v>265716.41939238558</v>
      </c>
      <c r="FZ72">
        <f>FY72+FA72+FS72+EU72</f>
        <v>23588562.936028142</v>
      </c>
      <c r="GA72">
        <f>FZ72+EO72</f>
        <v>24608242.146102823</v>
      </c>
      <c r="GB72">
        <f>GA72/(BK72*60*7200)</f>
        <v>0.56963523486349132</v>
      </c>
      <c r="GC72">
        <f>'TEA Revised Non EYZ'!EM72/'TEA Revised Non EYZ'!EK72*GA72</f>
        <v>1915.1573103431913</v>
      </c>
      <c r="GD72">
        <f>'TEA Revised Non EYZ'!EN72/'TEA Revised Non EYZ'!EK72*GA72</f>
        <v>3465.9863976953679</v>
      </c>
    </row>
    <row r="73" spans="1:186">
      <c r="A73">
        <f>'TEA Revised Non EYZ'!A73</f>
        <v>10</v>
      </c>
      <c r="B73">
        <f>'TEA Revised Non EYZ'!B73</f>
        <v>1.54143585092054E-3</v>
      </c>
      <c r="C73">
        <f>'TEA Revised Non EYZ'!C73</f>
        <v>1.54143585092054E-3</v>
      </c>
      <c r="D73">
        <f>'TEA Revised Non EYZ'!D73</f>
        <v>3.4254130020456501E-4</v>
      </c>
      <c r="E73">
        <f>'TEA Revised Non EYZ'!E73</f>
        <v>0</v>
      </c>
      <c r="F73">
        <f>'TEA Revised Non EYZ'!F73</f>
        <v>0</v>
      </c>
      <c r="G73">
        <f>'TEA Revised Non EYZ'!G73</f>
        <v>0</v>
      </c>
      <c r="H73">
        <f>'TEA Revised Non EYZ'!H73</f>
        <v>1.7770671970930099E-5</v>
      </c>
      <c r="I73">
        <f>'TEA Revised Non EYZ'!I73</f>
        <v>5.2649488631162003E-10</v>
      </c>
      <c r="J73">
        <f>'TEA Revised Non EYZ'!J73</f>
        <v>3.3765279177869602E-4</v>
      </c>
      <c r="K73">
        <f>'TEA Revised Non EYZ'!K73</f>
        <v>0.139053960209192</v>
      </c>
      <c r="L73">
        <f>'TEA Revised Non EYZ'!L73</f>
        <v>0.14067571356050099</v>
      </c>
      <c r="M73">
        <f>'TEA Revised Non EYZ'!M73</f>
        <v>4.4613899794023002E-4</v>
      </c>
      <c r="N73">
        <f>'TEA Revised Non EYZ'!N73</f>
        <v>-1.6046192152785399E-16</v>
      </c>
      <c r="O73">
        <f>'TEA Revised Non EYZ'!O73</f>
        <v>-5.9831913729046996E-14</v>
      </c>
      <c r="P73">
        <f>'TEA Revised Non EYZ'!P73</f>
        <v>-6.6915602833089703E-20</v>
      </c>
      <c r="Q73">
        <f>'TEA Revised Non EYZ'!Q73</f>
        <v>0.10957366310586</v>
      </c>
      <c r="R73">
        <f>'TEA Revised Non EYZ'!R73</f>
        <v>98.572870359588904</v>
      </c>
      <c r="S73">
        <f>'TEA Revised Non EYZ'!S73</f>
        <v>500</v>
      </c>
      <c r="T73">
        <f>'TEA Revised Non EYZ'!T73</f>
        <v>95</v>
      </c>
      <c r="U73">
        <f>'TEA Revised Non EYZ'!U73</f>
        <v>1</v>
      </c>
      <c r="V73">
        <f>'TEA Revised Non EYZ'!V73</f>
        <v>0.1</v>
      </c>
      <c r="W73">
        <f>'TEA Revised Non EYZ'!W73</f>
        <v>91.262806376555005</v>
      </c>
      <c r="X73" t="str">
        <f>'TEA Revised Non EYZ'!X73</f>
        <v>ddFc</v>
      </c>
      <c r="Y73">
        <f>'TEA Revised Non EYZ'!Y73</f>
        <v>1</v>
      </c>
      <c r="Z73">
        <f>'TEA Revised Non EYZ'!Z73</f>
        <v>0.28318429382522198</v>
      </c>
      <c r="AA73">
        <f>'TEA Revised Non EYZ'!AA73</f>
        <v>0.56945642916197003</v>
      </c>
      <c r="AB73">
        <f>'TEA Revised Non EYZ'!AB73</f>
        <v>3.7698628972227502E-3</v>
      </c>
      <c r="AC73">
        <f>'TEA Revised Non EYZ'!AC73</f>
        <v>1822.2107908876901</v>
      </c>
      <c r="AD73">
        <f>'TEA Revised Non EYZ'!AD73</f>
        <v>2662.6059073104898</v>
      </c>
      <c r="AE73">
        <f>'TEA Revised Non EYZ'!AE73</f>
        <v>2401.5030938442701</v>
      </c>
      <c r="AF73">
        <f>'TEA Revised Non EYZ'!AF73</f>
        <v>5</v>
      </c>
      <c r="AG73">
        <f>'TEA Revised Non EYZ'!AG73</f>
        <v>1.6497548842793E-3</v>
      </c>
      <c r="AH73">
        <f>'TEA Revised Non EYZ'!AH73</f>
        <v>1.66899558413707E-3</v>
      </c>
      <c r="AI73">
        <f>'TEA Revised Non EYZ'!AI73</f>
        <v>5.2930530695573503E-6</v>
      </c>
      <c r="AJ73">
        <f>'TEA Revised Non EYZ'!AJ73</f>
        <v>0</v>
      </c>
      <c r="AK73">
        <f>'TEA Revised Non EYZ'!AK73</f>
        <v>0</v>
      </c>
      <c r="AL73">
        <f>'TEA Revised Non EYZ'!AL73</f>
        <v>0</v>
      </c>
      <c r="AM73">
        <f>'TEA Revised Non EYZ'!AM73</f>
        <v>1.6104435974931999E-3</v>
      </c>
      <c r="AN73">
        <f>'TEA Revised Non EYZ'!AN73</f>
        <v>7.9504080567360702E-5</v>
      </c>
      <c r="AO73">
        <f>'TEA Revised Non EYZ'!AO73</f>
        <v>5.2561088045772501E-6</v>
      </c>
      <c r="AP73">
        <f>'TEA Revised Non EYZ'!AP73</f>
        <v>1.81182114984423E-3</v>
      </c>
      <c r="AQ73">
        <f>'TEA Revised Non EYZ'!AQ73</f>
        <v>7.3258205444439506E-2</v>
      </c>
      <c r="AR73">
        <f>'TEA Revised Non EYZ'!AR73</f>
        <v>1.7027272859467399E-6</v>
      </c>
      <c r="AS73">
        <f>'TEA Revised Non EYZ'!AS73</f>
        <v>-4.4743668405761099E-17</v>
      </c>
      <c r="AT73">
        <f>'TEA Revised Non EYZ'!AT73</f>
        <v>1.8843433757798001E-16</v>
      </c>
      <c r="AU73">
        <f>'TEA Revised Non EYZ'!AU73</f>
        <v>-3.54364174417717E-20</v>
      </c>
      <c r="AV73">
        <f>'TEA Revised Non EYZ'!AV73</f>
        <v>0.200388158675712</v>
      </c>
      <c r="AW73">
        <f>'TEA Revised Non EYZ'!AW73</f>
        <v>99.302023529811606</v>
      </c>
      <c r="AX73">
        <f>'TEA Revised Non EYZ'!AX73</f>
        <v>500</v>
      </c>
      <c r="AY73">
        <f>'TEA Revised Non EYZ'!AY73</f>
        <v>95</v>
      </c>
      <c r="AZ73">
        <f>'TEA Revised Non EYZ'!AZ73</f>
        <v>0.92357064280818002</v>
      </c>
      <c r="BA73">
        <f>'TEA Revised Non EYZ'!BA73</f>
        <v>0.1</v>
      </c>
      <c r="BB73">
        <f>'TEA Revised Non EYZ'!BB73</f>
        <v>46.089082753776403</v>
      </c>
      <c r="BC73" t="str">
        <f>'TEA Revised Non EYZ'!BC73</f>
        <v>coeFc</v>
      </c>
      <c r="BD73">
        <f>'TEA Revised Non EYZ'!BD73</f>
        <v>1</v>
      </c>
      <c r="BE73">
        <f>'TEA Revised Non EYZ'!BE73</f>
        <v>1.8775014999999999E-2</v>
      </c>
      <c r="BF73">
        <f>'TEA Revised Non EYZ'!BF73</f>
        <v>0.10492961100000001</v>
      </c>
      <c r="BG73">
        <f>'TEA Revised Non EYZ'!BG73</f>
        <v>1.814625E-3</v>
      </c>
      <c r="BH73">
        <f>'TEA Revised Non EYZ'!BH73</f>
        <v>285.1951444</v>
      </c>
      <c r="BI73">
        <f>'TEA Revised Non EYZ'!BI73</f>
        <v>2169.8944889999998</v>
      </c>
      <c r="BJ73">
        <f>'TEA Revised Non EYZ'!BJ73</f>
        <v>866.49409060000005</v>
      </c>
      <c r="BK73">
        <f>'TEA Revised Non EYZ'!BK73</f>
        <v>100</v>
      </c>
      <c r="BL73">
        <f>'TEA Revised Non EYZ'!BL73</f>
        <v>10.957366310586</v>
      </c>
      <c r="BM73">
        <f>'TEA Revised Non EYZ'!BM73</f>
        <v>92.357064280818008</v>
      </c>
      <c r="BN73">
        <f>'TEA Revised Non EYZ'!BN73</f>
        <v>20.038815867571198</v>
      </c>
      <c r="BO73">
        <f>'TEA Revised Non EYZ'!BO73</f>
        <v>262.97679145406403</v>
      </c>
      <c r="BP73">
        <f>'TEA Revised Non EYZ'!BP73</f>
        <v>280.54342214599677</v>
      </c>
      <c r="BQ73">
        <f>'TEA Revised Non EYZ'!BQ73</f>
        <v>26.297679145406406</v>
      </c>
      <c r="BR73">
        <f>'TEA Revised Non EYZ'!BR73</f>
        <v>28.054342214599679</v>
      </c>
      <c r="BS73">
        <f>'eLLE Bals'!CF73</f>
        <v>6.5744197863515996</v>
      </c>
      <c r="BT73">
        <f>'eLLE Bals'!CG73</f>
        <v>12.023289520542718</v>
      </c>
      <c r="BU73">
        <f>BM73</f>
        <v>92.357064280818008</v>
      </c>
      <c r="BV73">
        <f>BU73*(AM73*2+AN73*2+AO73*3)</f>
        <v>0.3136135290039106</v>
      </c>
      <c r="BW73">
        <f>BN73*BA73*(AP73*2+AQ73*2+AR73*3)</f>
        <v>0.3008731242108717</v>
      </c>
      <c r="BX73">
        <f>BV73/(2*V73*BL73+BV73)</f>
        <v>0.1251906840575204</v>
      </c>
      <c r="BY73">
        <f>BU73*BX73</f>
        <v>11.56224405485999</v>
      </c>
      <c r="BZ73">
        <f>BW73/(2*BN73*BA73+BW73)</f>
        <v>6.9830244054186627E-2</v>
      </c>
      <c r="CA73">
        <f>2*BN73*BA73/0.04</f>
        <v>100.194079337856</v>
      </c>
      <c r="CB73">
        <f>(BS73+BL73)*2</f>
        <v>35.063572193875203</v>
      </c>
      <c r="CC73">
        <f>(BU73+BL73)*2</f>
        <v>206.62886118280801</v>
      </c>
      <c r="CD73">
        <f>(BT73+BN73)*2</f>
        <v>64.124210776227841</v>
      </c>
      <c r="CE73">
        <f>(CA73+BN73)*2</f>
        <v>240.4657904108544</v>
      </c>
      <c r="CF73">
        <f>'TEA Revised Non EYZ'!CB73</f>
        <v>3471.2936471936455</v>
      </c>
      <c r="CG73">
        <f>'TEA Revised Non EYZ'!CC73</f>
        <v>3703.1731723271578</v>
      </c>
      <c r="CH73">
        <f>'TEA Revised Non EYZ'!CD73</f>
        <v>4193.9657747282263</v>
      </c>
      <c r="CI73">
        <f>'TEA Revised Non EYZ'!CE73</f>
        <v>28562.90380990009</v>
      </c>
      <c r="CJ73">
        <f>BL73*V73</f>
        <v>1.0957366310586001</v>
      </c>
      <c r="CK73">
        <f>CJ73/2*1.2</f>
        <v>0.65744197863516007</v>
      </c>
      <c r="CL73">
        <f>'eLLE Bals'!CB73*'Oxidant Feed Composition'!$N$20</f>
        <v>3.6524554368620017E-2</v>
      </c>
      <c r="CM73">
        <f>'eLLE Bals'!CB73*'Oxidant Feed Composition'!$N$21</f>
        <v>1.8262277184310003</v>
      </c>
      <c r="CN73">
        <f>'eLLE Bals'!CB73*'Oxidant Feed Composition'!$N$22</f>
        <v>0.54786831552930004</v>
      </c>
      <c r="CO73">
        <f>CN73/CK73</f>
        <v>0.83333333333333326</v>
      </c>
      <c r="CP73">
        <f>CO73</f>
        <v>0.83333333333333326</v>
      </c>
      <c r="CQ73">
        <f>CL73/CO73</f>
        <v>4.3829465242344025E-2</v>
      </c>
      <c r="CR73">
        <f>CM73/CO73</f>
        <v>2.1914732621172006</v>
      </c>
      <c r="CS73">
        <f>BN73*BA73</f>
        <v>2.00388158675712</v>
      </c>
      <c r="CT73">
        <f>CS73/2*1.2</f>
        <v>1.2023289520542719</v>
      </c>
      <c r="CU73">
        <f>'eLLE Bals'!CC73*'Oxidant Feed Composition'!$N$20</f>
        <v>6.6796052891904031E-2</v>
      </c>
      <c r="CV73">
        <f>'eLLE Bals'!CC73*'Oxidant Feed Composition'!$N$21</f>
        <v>3.3398026445952</v>
      </c>
      <c r="CW73">
        <f>'eLLE Bals'!CC73*'Oxidant Feed Composition'!$N$22</f>
        <v>1.00194079337856</v>
      </c>
      <c r="CX73">
        <f>CU73/CP73</f>
        <v>8.0155263470284843E-2</v>
      </c>
      <c r="CY73">
        <f>CV73/CP73</f>
        <v>4.0077631735142401</v>
      </c>
      <c r="CZ73">
        <f>CJ73</f>
        <v>1.0957366310586001</v>
      </c>
      <c r="DA73">
        <f>'eLLE Bals'!BQ73</f>
        <v>2.1914732621172002</v>
      </c>
      <c r="DB73">
        <f>'eLLE Bals'!BU73</f>
        <v>5.4653313946018605</v>
      </c>
      <c r="DC73">
        <f>CS73</f>
        <v>2.00388158675712</v>
      </c>
      <c r="DD73">
        <f>'eLLE Bals'!BX73</f>
        <v>4.0077631735142401</v>
      </c>
      <c r="DE73">
        <f>'eLLE Bals'!CA73</f>
        <v>22.684826430666405</v>
      </c>
      <c r="DF73">
        <f>2*2*(CJ73*'Reagent cost'!$C$36*122.44/1000*1.5+CK73*'Oxidant Feed Composition'!$N$26+CQ73*'Reagent cost'!$C$34+CR73*'Reagent cost'!$C$35)</f>
        <v>111.50340573587894</v>
      </c>
      <c r="DG73">
        <f>2*2*(CS73*'Reagent cost'!$C$36*122.44/1000*1.5+CT73*'Oxidant Feed Composition'!$N$26+CX73*'Reagent cost'!$C$34+CY73*'Reagent cost'!$C$35)</f>
        <v>203.91726924285555</v>
      </c>
      <c r="DH73">
        <f>(AF73+3)*2*(CZ73*'Reagent cost'!$C$38+DA73*'Reagent cost'!$C$39+DB73*'Reagent cost'!$C$36*122.44/1000*1.5)</f>
        <v>1212.322363835573</v>
      </c>
      <c r="DI73">
        <f>3*2*(DC73*'Reagent cost'!$C$38+DD73*'Reagent cost'!$C$39+DE73*'Reagent cost'!$C$36*122.44/1000*1.5)</f>
        <v>1818.9383483385363</v>
      </c>
      <c r="DJ73">
        <f>7963.6*(CB73/1000)^0.6*1.7*('CAPEX+OPEX'!$G$116/'CAPEX+OPEX'!$G$115)</f>
        <v>2138.7234102796551</v>
      </c>
      <c r="DK73">
        <f>7963.6*(CC73/1000)^0.6*1.7*('CAPEX+OPEX'!$G$116/'CAPEX+OPEX'!$G$115)</f>
        <v>6199.4836239091055</v>
      </c>
      <c r="DL73">
        <f>7963.6*(CD73/1000)^0.6*1.7*('CAPEX+OPEX'!$G$116/'CAPEX+OPEX'!$G$115)</f>
        <v>3072.2329850260039</v>
      </c>
      <c r="DM73">
        <f>7963.6*(CE73/1000)^0.6*1.7*('CAPEX+OPEX'!$G$116/'CAPEX+OPEX'!$G$115)</f>
        <v>6790.048998909554</v>
      </c>
      <c r="DN73">
        <f>'TEA Revised Non EYZ'!CM73</f>
        <v>39625.826528698344</v>
      </c>
      <c r="DO73">
        <f>'TEA Revised Non EYZ'!CN73</f>
        <v>4586243.4239371875</v>
      </c>
      <c r="DP73">
        <f>'TEA Revised Non EYZ'!CO73</f>
        <v>11794834.586807497</v>
      </c>
      <c r="DQ73">
        <f>'TEA Revised Non EYZ'!CP73</f>
        <v>2275209.1661185985</v>
      </c>
      <c r="DR73">
        <f>'TEA Revised Non EYZ'!CQ73</f>
        <v>14083914.336508472</v>
      </c>
      <c r="DS73">
        <f>'TEA Revised Non EYZ'!CR73</f>
        <v>1662824.8986326549</v>
      </c>
      <c r="DT73">
        <f>'TEA Revised Non EYZ'!CS73</f>
        <v>847423.79840727116</v>
      </c>
      <c r="DU73">
        <f>'TEA Revised Non EYZ'!CT73</f>
        <v>2179392.2832288719</v>
      </c>
      <c r="DV73">
        <f>'TEA Revised Non EYZ'!CU73</f>
        <v>420402.1059283549</v>
      </c>
      <c r="DW73">
        <f>'TEA Revised Non EYZ'!CV73</f>
        <v>2602357.3282642425</v>
      </c>
      <c r="DX73">
        <f>'TEA Revised Non EYZ'!CW73</f>
        <v>307248.71347447456</v>
      </c>
      <c r="DY73">
        <f>'TEA Revised Non EYZ'!CX73</f>
        <v>6356824.2293032147</v>
      </c>
      <c r="DZ73">
        <f>'TEA Revised Non EYZ'!CY73</f>
        <v>556281.07027801778</v>
      </c>
      <c r="EA73">
        <f>'TEA Revised Non EYZ'!CZ73</f>
        <v>1430635.6207470505</v>
      </c>
      <c r="EB73">
        <f>'TEA Revised Non EYZ'!DA73</f>
        <v>275967.86150270962</v>
      </c>
      <c r="EC73">
        <f>'TEA Revised Non EYZ'!DB73</f>
        <v>1708285.8925292303</v>
      </c>
      <c r="ED73">
        <f>'TEA Revised Non EYZ'!DC73</f>
        <v>201689.68996901164</v>
      </c>
      <c r="EE73">
        <f>'TEA Revised Non EYZ'!DD73</f>
        <v>4172860.13502602</v>
      </c>
      <c r="EF73">
        <v>0.7</v>
      </c>
      <c r="EG73">
        <v>100</v>
      </c>
      <c r="EH73">
        <f>96485*BL73*V73/EF73/EG73/60</f>
        <v>25.171940201830719</v>
      </c>
      <c r="EI73">
        <f>96485*BN73*BA73/EF73/EG73/60</f>
        <v>46.034408309109693</v>
      </c>
      <c r="EJ73">
        <f>EH73*('CAPEX+OPEX'!$O$25+'CAPEX+OPEX'!$O$26)</f>
        <v>802280.07811274868</v>
      </c>
      <c r="EK73">
        <f>EI73*('CAPEX+OPEX'!$O$25+'CAPEX+OPEX'!$O$26)</f>
        <v>1467208.6616279441</v>
      </c>
      <c r="EL73">
        <f>EJ73*1.12/0.6*'CAPEX+OPEX'!$G$116/'CAPEX+OPEX'!$G$115</f>
        <v>1766344.2502316802</v>
      </c>
      <c r="EM73">
        <f>EK73*1.12/0.6*'CAPEX+OPEX'!$G$116/'CAPEX+OPEX'!$G$115</f>
        <v>3230287.8434336833</v>
      </c>
      <c r="EN73">
        <f>EL73+EM73+DY73+EE73+1.15*(SUM(DF73:DM73)+SUM(CF73:CI73))</f>
        <v>15597016.740825439</v>
      </c>
      <c r="EO73">
        <f>EN73/15</f>
        <v>1039801.1160550292</v>
      </c>
      <c r="EP73">
        <f>('eLLE Bals'!CB73+'eLLE Bals'!CC73)*'Oxidant Feed Composition'!$N$28*60*7200</f>
        <v>17231319.505939614</v>
      </c>
      <c r="EQ73" s="53">
        <f>('eLLE Bals'!BR73+'eLLE Bals'!BY73)*'Reagent cost'!$C$38*60*7200*1.5</f>
        <v>758467.5517988255</v>
      </c>
      <c r="ER73">
        <f>'TEA Revised Non EYZ'!DI73</f>
        <v>504921.59999999998</v>
      </c>
      <c r="ES73">
        <f>'TEA Revised Non EYZ'!DJ73</f>
        <v>71.744668195208035</v>
      </c>
      <c r="ET73">
        <f>'TEA Revised Non EYZ'!DK73</f>
        <v>655.13739169256633</v>
      </c>
      <c r="EU73">
        <f>1.2*SUM(EP73:ET73)</f>
        <v>22194522.647757996</v>
      </c>
      <c r="EV73">
        <f>'TEA Revised Non EYZ'!DM73</f>
        <v>0.70639694042110623</v>
      </c>
      <c r="EW73">
        <f>(BS73*CO73+BT73*CP73)/1000*('Oxidant Feed Composition'!$B$11*'Oxidant Feed Composition'!$O$20+'Oxidant Feed Composition'!$D$11*'Oxidant Feed Composition'!$O$21+'Oxidant Feed Composition'!$F$11*'Oxidant Feed Composition'!$O$27-'Oxidant Feed Composition'!$J$15*18.015)</f>
        <v>1.8099374387161424</v>
      </c>
      <c r="EX73">
        <f>(CZ73*BX73+DC73*BZ73)*368.34/1000</f>
        <v>0.10206979815242254</v>
      </c>
      <c r="EY73">
        <f>'TEA Revised Non EYZ'!DP73</f>
        <v>4.999938342565946E-2</v>
      </c>
      <c r="EZ73">
        <f>SUM(EV73:EX73)-EY73</f>
        <v>2.568404793864012</v>
      </c>
      <c r="FA73">
        <f>EZ73*0.33*60*7200</f>
        <v>366151.78741325357</v>
      </c>
      <c r="FB73">
        <f>'TEA Revised Non EYZ'!DS73</f>
        <v>1.2</v>
      </c>
      <c r="FC73">
        <v>0.5</v>
      </c>
      <c r="FD73">
        <f>'TEA Revised Non EYZ'!DT73</f>
        <v>1403.8227843223513</v>
      </c>
      <c r="FE73">
        <f>'TEA Revised Non EYZ'!DU73</f>
        <v>707.86558933533445</v>
      </c>
      <c r="FF73">
        <f>'TEA Revised Non EYZ'!DV73</f>
        <v>0.7</v>
      </c>
      <c r="FG73">
        <f>'TEA Revised Non EYZ'!DW73</f>
        <v>46784.46952433938</v>
      </c>
      <c r="FH73">
        <f>'TEA Revised Non EYZ'!DX73</f>
        <v>45678.708869524045</v>
      </c>
      <c r="FI73">
        <f>'TEA Revised Non EYZ'!DY73</f>
        <v>19339.775932661389</v>
      </c>
      <c r="FJ73">
        <f>'TEA Revised Non EYZ'!DZ73</f>
        <v>10244.818866671721</v>
      </c>
      <c r="FK73">
        <f>'TEA Revised Non EYZ'!EA73</f>
        <v>10314.547164086078</v>
      </c>
      <c r="FL73">
        <f>'TEA Revised Non EYZ'!EB73</f>
        <v>849.03201995815812</v>
      </c>
      <c r="FM73">
        <f>'TEA Revised Non EYZ'!EC73</f>
        <v>30856.418517519851</v>
      </c>
      <c r="FN73">
        <f>'TEA Revised Non EYZ'!ED73</f>
        <v>23276.346174966162</v>
      </c>
      <c r="FO73">
        <f>'TEA Revised Non EYZ'!EE73</f>
        <v>9854.9046305300271</v>
      </c>
      <c r="FP73">
        <f>'TEA Revised Non EYZ'!EF73</f>
        <v>5223.3241852303481</v>
      </c>
      <c r="FQ73">
        <f>'TEA Revised Non EYZ'!EG73</f>
        <v>5255.949136282682</v>
      </c>
      <c r="FR73">
        <f>'TEA Revised Non EYZ'!EH73</f>
        <v>428.11710843001032</v>
      </c>
      <c r="FS73">
        <f>'TEA Revised Non EYZ'!EI73</f>
        <v>208106.41213019987</v>
      </c>
      <c r="FT73">
        <f>EG73*EH73</f>
        <v>2517.1940201830716</v>
      </c>
      <c r="FU73">
        <f>EG73*EI73</f>
        <v>4603.4408309109695</v>
      </c>
      <c r="FV73">
        <f>FC73*(FT73+FU73)/(3.6*10^6)*3600*7200*0.07</f>
        <v>1794.3999824756982</v>
      </c>
      <c r="FW73">
        <f>('CAPEX+OPEX'!$C$39/7/100+0.03)*EL73</f>
        <v>90840.561440486417</v>
      </c>
      <c r="FX73">
        <f>('CAPEX+OPEX'!$C$39/7/100+0.03)*EM73</f>
        <v>166129.08909087515</v>
      </c>
      <c r="FY73">
        <f>SUM(FV73:FX73)</f>
        <v>258764.05051383725</v>
      </c>
      <c r="FZ73">
        <f>FY73+FA73+FS73+EU73</f>
        <v>23027544.897815287</v>
      </c>
      <c r="GA73">
        <f>FZ73+EO73</f>
        <v>24067346.013870317</v>
      </c>
      <c r="GB73">
        <f>GA73/(BK73*60*7200)</f>
        <v>0.55711449106181288</v>
      </c>
      <c r="GC73">
        <f>'TEA Revised Non EYZ'!EM73/'TEA Revised Non EYZ'!EK73*GA73</f>
        <v>1866.5454706215862</v>
      </c>
      <c r="GD73">
        <f>'TEA Revised Non EYZ'!EN73/'TEA Revised Non EYZ'!EK73*GA73</f>
        <v>3411.355712006839</v>
      </c>
    </row>
    <row r="74" spans="1:186">
      <c r="A74">
        <f>'TEA Revised Non EYZ'!A74</f>
        <v>10</v>
      </c>
      <c r="B74">
        <f>'TEA Revised Non EYZ'!B74</f>
        <v>1.54143585092054E-3</v>
      </c>
      <c r="C74">
        <f>'TEA Revised Non EYZ'!C74</f>
        <v>1.54143585092054E-3</v>
      </c>
      <c r="D74">
        <f>'TEA Revised Non EYZ'!D74</f>
        <v>3.4254130020456501E-4</v>
      </c>
      <c r="E74">
        <f>'TEA Revised Non EYZ'!E74</f>
        <v>0</v>
      </c>
      <c r="F74">
        <f>'TEA Revised Non EYZ'!F74</f>
        <v>0</v>
      </c>
      <c r="G74">
        <f>'TEA Revised Non EYZ'!G74</f>
        <v>0</v>
      </c>
      <c r="H74">
        <f>'TEA Revised Non EYZ'!H74</f>
        <v>1.7770671970930099E-5</v>
      </c>
      <c r="I74">
        <f>'TEA Revised Non EYZ'!I74</f>
        <v>5.2649488631162003E-10</v>
      </c>
      <c r="J74">
        <f>'TEA Revised Non EYZ'!J74</f>
        <v>3.3765279177869602E-4</v>
      </c>
      <c r="K74">
        <f>'TEA Revised Non EYZ'!K74</f>
        <v>0.139053960209192</v>
      </c>
      <c r="L74">
        <f>'TEA Revised Non EYZ'!L74</f>
        <v>0.14067571356050099</v>
      </c>
      <c r="M74">
        <f>'TEA Revised Non EYZ'!M74</f>
        <v>4.4613899794023002E-4</v>
      </c>
      <c r="N74">
        <f>'TEA Revised Non EYZ'!N74</f>
        <v>-1.6046192152785399E-16</v>
      </c>
      <c r="O74">
        <f>'TEA Revised Non EYZ'!O74</f>
        <v>-5.9831913729046996E-14</v>
      </c>
      <c r="P74">
        <f>'TEA Revised Non EYZ'!P74</f>
        <v>-6.6915602833089703E-20</v>
      </c>
      <c r="Q74">
        <f>'TEA Revised Non EYZ'!Q74</f>
        <v>0.10957366310586</v>
      </c>
      <c r="R74">
        <f>'TEA Revised Non EYZ'!R74</f>
        <v>98.572870359588904</v>
      </c>
      <c r="S74">
        <f>'TEA Revised Non EYZ'!S74</f>
        <v>500</v>
      </c>
      <c r="T74">
        <f>'TEA Revised Non EYZ'!T74</f>
        <v>95</v>
      </c>
      <c r="U74">
        <f>'TEA Revised Non EYZ'!U74</f>
        <v>1</v>
      </c>
      <c r="V74">
        <f>'TEA Revised Non EYZ'!V74</f>
        <v>0.1</v>
      </c>
      <c r="W74">
        <f>'TEA Revised Non EYZ'!W74</f>
        <v>91.262806376555005</v>
      </c>
      <c r="X74" t="str">
        <f>'TEA Revised Non EYZ'!X74</f>
        <v>ddFc</v>
      </c>
      <c r="Y74">
        <f>'TEA Revised Non EYZ'!Y74</f>
        <v>1</v>
      </c>
      <c r="Z74">
        <f>'TEA Revised Non EYZ'!Z74</f>
        <v>0.28318429382522198</v>
      </c>
      <c r="AA74">
        <f>'TEA Revised Non EYZ'!AA74</f>
        <v>0.56945642916197003</v>
      </c>
      <c r="AB74">
        <f>'TEA Revised Non EYZ'!AB74</f>
        <v>3.7698628972227502E-3</v>
      </c>
      <c r="AC74">
        <f>'TEA Revised Non EYZ'!AC74</f>
        <v>1822.2107908876901</v>
      </c>
      <c r="AD74">
        <f>'TEA Revised Non EYZ'!AD74</f>
        <v>2662.6059073104898</v>
      </c>
      <c r="AE74">
        <f>'TEA Revised Non EYZ'!AE74</f>
        <v>2401.5030938442701</v>
      </c>
      <c r="AF74">
        <f>'TEA Revised Non EYZ'!AF74</f>
        <v>6</v>
      </c>
      <c r="AG74">
        <f>'TEA Revised Non EYZ'!AG74</f>
        <v>1.6497548842793E-3</v>
      </c>
      <c r="AH74">
        <f>'TEA Revised Non EYZ'!AH74</f>
        <v>1.66899558413707E-3</v>
      </c>
      <c r="AI74">
        <f>'TEA Revised Non EYZ'!AI74</f>
        <v>5.2930530695573503E-6</v>
      </c>
      <c r="AJ74">
        <f>'TEA Revised Non EYZ'!AJ74</f>
        <v>0</v>
      </c>
      <c r="AK74">
        <f>'TEA Revised Non EYZ'!AK74</f>
        <v>0</v>
      </c>
      <c r="AL74">
        <f>'TEA Revised Non EYZ'!AL74</f>
        <v>0</v>
      </c>
      <c r="AM74">
        <f>'TEA Revised Non EYZ'!AM74</f>
        <v>1.6121253228941501E-3</v>
      </c>
      <c r="AN74">
        <f>'TEA Revised Non EYZ'!AN74</f>
        <v>7.9591074029532495E-5</v>
      </c>
      <c r="AO74">
        <f>'TEA Revised Non EYZ'!AO74</f>
        <v>5.2576273786285902E-6</v>
      </c>
      <c r="AP74">
        <f>'TEA Revised Non EYZ'!AP74</f>
        <v>1.75622111317691E-3</v>
      </c>
      <c r="AQ74">
        <f>'TEA Revised Non EYZ'!AQ74</f>
        <v>7.4179598573032607E-2</v>
      </c>
      <c r="AR74">
        <f>'TEA Revised Non EYZ'!AR74</f>
        <v>1.65336358086057E-6</v>
      </c>
      <c r="AS74">
        <f>'TEA Revised Non EYZ'!AS74</f>
        <v>-1.84991995680339E-18</v>
      </c>
      <c r="AT74">
        <f>'TEA Revised Non EYZ'!AT74</f>
        <v>-1.4875253806501101E-16</v>
      </c>
      <c r="AU74">
        <f>'TEA Revised Non EYZ'!AU74</f>
        <v>-2.54771628666332E-21</v>
      </c>
      <c r="AV74">
        <f>'TEA Revised Non EYZ'!AV74</f>
        <v>0.19788828374922501</v>
      </c>
      <c r="AW74">
        <f>'TEA Revised Non EYZ'!AW74</f>
        <v>99.330713475508006</v>
      </c>
      <c r="AX74">
        <f>'TEA Revised Non EYZ'!AX74</f>
        <v>500</v>
      </c>
      <c r="AY74">
        <f>'TEA Revised Non EYZ'!AY74</f>
        <v>95</v>
      </c>
      <c r="AZ74">
        <f>'TEA Revised Non EYZ'!AZ74</f>
        <v>0.92357064280818002</v>
      </c>
      <c r="BA74">
        <f>'TEA Revised Non EYZ'!BA74</f>
        <v>0.1</v>
      </c>
      <c r="BB74">
        <f>'TEA Revised Non EYZ'!BB74</f>
        <v>46.671315012190298</v>
      </c>
      <c r="BC74" t="str">
        <f>'TEA Revised Non EYZ'!BC74</f>
        <v>coeFc</v>
      </c>
      <c r="BD74">
        <f>'TEA Revised Non EYZ'!BD74</f>
        <v>1</v>
      </c>
      <c r="BE74">
        <f>'TEA Revised Non EYZ'!BE74</f>
        <v>1.8775014999999999E-2</v>
      </c>
      <c r="BF74">
        <f>'TEA Revised Non EYZ'!BF74</f>
        <v>0.10492961100000001</v>
      </c>
      <c r="BG74">
        <f>'TEA Revised Non EYZ'!BG74</f>
        <v>1.814625E-3</v>
      </c>
      <c r="BH74">
        <f>'TEA Revised Non EYZ'!BH74</f>
        <v>285.1951444</v>
      </c>
      <c r="BI74">
        <f>'TEA Revised Non EYZ'!BI74</f>
        <v>2169.8944889999998</v>
      </c>
      <c r="BJ74">
        <f>'TEA Revised Non EYZ'!BJ74</f>
        <v>866.49409060000005</v>
      </c>
      <c r="BK74">
        <f>'TEA Revised Non EYZ'!BK74</f>
        <v>100</v>
      </c>
      <c r="BL74">
        <f>'TEA Revised Non EYZ'!BL74</f>
        <v>10.957366310586</v>
      </c>
      <c r="BM74">
        <f>'TEA Revised Non EYZ'!BM74</f>
        <v>92.357064280818008</v>
      </c>
      <c r="BN74">
        <f>'TEA Revised Non EYZ'!BN74</f>
        <v>19.788828374922502</v>
      </c>
      <c r="BO74">
        <f>'TEA Revised Non EYZ'!BO74</f>
        <v>262.97679145406403</v>
      </c>
      <c r="BP74">
        <f>'TEA Revised Non EYZ'!BP74</f>
        <v>316.62125399876004</v>
      </c>
      <c r="BQ74">
        <f>'TEA Revised Non EYZ'!BQ74</f>
        <v>26.297679145406406</v>
      </c>
      <c r="BR74">
        <f>'TEA Revised Non EYZ'!BR74</f>
        <v>31.662125399876004</v>
      </c>
      <c r="BS74">
        <f>'eLLE Bals'!CF74</f>
        <v>6.5744197863515996</v>
      </c>
      <c r="BT74">
        <f>'eLLE Bals'!CG74</f>
        <v>11.873297024953501</v>
      </c>
      <c r="BU74">
        <f>BM74</f>
        <v>92.357064280818008</v>
      </c>
      <c r="BV74">
        <f>BU74*(AM74*2+AN74*2+AO74*3)</f>
        <v>0.31394065712050656</v>
      </c>
      <c r="BW74">
        <f>BN74*BA74*(AP74*2+AQ74*2+AR74*3)</f>
        <v>0.30054599609433524</v>
      </c>
      <c r="BX74">
        <f>BV74/(2*V74*BL74+BV74)</f>
        <v>0.12530490659045498</v>
      </c>
      <c r="BY74">
        <f>BU74*BX74</f>
        <v>11.572793312676547</v>
      </c>
      <c r="BZ74">
        <f>BW74/(2*BN74*BA74+BW74)</f>
        <v>7.0578675143849301E-2</v>
      </c>
      <c r="CA74">
        <f>2*BN74*BA74/0.04</f>
        <v>98.944141874612512</v>
      </c>
      <c r="CB74">
        <f>(BS74+BL74)*2</f>
        <v>35.063572193875203</v>
      </c>
      <c r="CC74">
        <f>(BU74+BL74)*2</f>
        <v>206.62886118280801</v>
      </c>
      <c r="CD74">
        <f>(BT74+BN74)*2</f>
        <v>63.324250799752008</v>
      </c>
      <c r="CE74">
        <f>(CA74+BN74)*2</f>
        <v>237.46594049907003</v>
      </c>
      <c r="CF74">
        <f>'TEA Revised Non EYZ'!CB74</f>
        <v>3471.2936471936455</v>
      </c>
      <c r="CG74">
        <f>'TEA Revised Non EYZ'!CC74</f>
        <v>4179.4005527836325</v>
      </c>
      <c r="CH74">
        <f>'TEA Revised Non EYZ'!CD74</f>
        <v>4193.9657747282263</v>
      </c>
      <c r="CI74">
        <f>'TEA Revised Non EYZ'!CE74</f>
        <v>32236.087921641458</v>
      </c>
      <c r="CJ74">
        <f>BL74*V74</f>
        <v>1.0957366310586001</v>
      </c>
      <c r="CK74">
        <f>CJ74/2*1.2</f>
        <v>0.65744197863516007</v>
      </c>
      <c r="CL74">
        <f>'eLLE Bals'!CB74*'Oxidant Feed Composition'!$N$20</f>
        <v>3.6524554368620017E-2</v>
      </c>
      <c r="CM74">
        <f>'eLLE Bals'!CB74*'Oxidant Feed Composition'!$N$21</f>
        <v>1.8262277184310003</v>
      </c>
      <c r="CN74">
        <f>'eLLE Bals'!CB74*'Oxidant Feed Composition'!$N$22</f>
        <v>0.54786831552930004</v>
      </c>
      <c r="CO74">
        <f>CN74/CK74</f>
        <v>0.83333333333333326</v>
      </c>
      <c r="CP74">
        <f>CO74</f>
        <v>0.83333333333333326</v>
      </c>
      <c r="CQ74">
        <f>CL74/CO74</f>
        <v>4.3829465242344025E-2</v>
      </c>
      <c r="CR74">
        <f>CM74/CO74</f>
        <v>2.1914732621172006</v>
      </c>
      <c r="CS74">
        <f>BN74*BA74</f>
        <v>1.9788828374922502</v>
      </c>
      <c r="CT74">
        <f>CS74/2*1.2</f>
        <v>1.1873297024953502</v>
      </c>
      <c r="CU74">
        <f>'eLLE Bals'!CC74*'Oxidant Feed Composition'!$N$20</f>
        <v>6.5962761249741708E-2</v>
      </c>
      <c r="CV74">
        <f>'eLLE Bals'!CC74*'Oxidant Feed Composition'!$N$21</f>
        <v>3.2981380624870842</v>
      </c>
      <c r="CW74">
        <f>'eLLE Bals'!CC74*'Oxidant Feed Composition'!$N$22</f>
        <v>0.98944141874612512</v>
      </c>
      <c r="CX74">
        <f>CU74/CP74</f>
        <v>7.9155313499690058E-2</v>
      </c>
      <c r="CY74">
        <f>CV74/CP74</f>
        <v>3.9577656749845014</v>
      </c>
      <c r="CZ74">
        <f>CJ74</f>
        <v>1.0957366310586001</v>
      </c>
      <c r="DA74">
        <f>'eLLE Bals'!BQ74</f>
        <v>2.1914732621172002</v>
      </c>
      <c r="DB74">
        <f>'eLLE Bals'!BU74</f>
        <v>5.4573529565450052</v>
      </c>
      <c r="DC74">
        <f>CS74</f>
        <v>1.9788828374922502</v>
      </c>
      <c r="DD74">
        <f>'eLLE Bals'!BX74</f>
        <v>3.9577656749845005</v>
      </c>
      <c r="DE74">
        <f>'eLLE Bals'!CA74</f>
        <v>22.101322354205113</v>
      </c>
      <c r="DF74">
        <f>2*2*(CJ74*'Reagent cost'!$C$36*122.44/1000*1.5+CK74*'Oxidant Feed Composition'!$N$26+CQ74*'Reagent cost'!$C$34+CR74*'Reagent cost'!$C$35)</f>
        <v>111.50340573587894</v>
      </c>
      <c r="DG74">
        <f>2*2*(CS74*'Reagent cost'!$C$36*122.44/1000*1.5+CT74*'Oxidant Feed Composition'!$N$26+CX74*'Reagent cost'!$C$34+CY74*'Reagent cost'!$C$35)</f>
        <v>201.37336808708486</v>
      </c>
      <c r="DH74">
        <f>(AF74+3)*2*(CZ74*'Reagent cost'!$C$38+DA74*'Reagent cost'!$C$39+DB74*'Reagent cost'!$C$36*122.44/1000*1.5)</f>
        <v>1362.0000032283237</v>
      </c>
      <c r="DI74">
        <f>3*2*(DC74*'Reagent cost'!$C$38+DD74*'Reagent cost'!$C$39+DE74*'Reagent cost'!$C$36*122.44/1000*1.5)</f>
        <v>1772.8612032895376</v>
      </c>
      <c r="DJ74">
        <f>7963.6*(CB74/1000)^0.6*1.7*('CAPEX+OPEX'!$G$116/'CAPEX+OPEX'!$G$115)</f>
        <v>2138.7234102796551</v>
      </c>
      <c r="DK74">
        <f>7963.6*(CC74/1000)^0.6*1.7*('CAPEX+OPEX'!$G$116/'CAPEX+OPEX'!$G$115)</f>
        <v>6199.4836239091055</v>
      </c>
      <c r="DL74">
        <f>7963.6*(CD74/1000)^0.6*1.7*('CAPEX+OPEX'!$G$116/'CAPEX+OPEX'!$G$115)</f>
        <v>3049.1793085902286</v>
      </c>
      <c r="DM74">
        <f>7963.6*(CE74/1000)^0.6*1.7*('CAPEX+OPEX'!$G$116/'CAPEX+OPEX'!$G$115)</f>
        <v>6739.097266613574</v>
      </c>
      <c r="DN74">
        <f>'TEA Revised Non EYZ'!CM74</f>
        <v>39625.826528698344</v>
      </c>
      <c r="DO74">
        <f>'TEA Revised Non EYZ'!CN74</f>
        <v>4586243.4239371875</v>
      </c>
      <c r="DP74">
        <f>'TEA Revised Non EYZ'!CO74</f>
        <v>11794834.586807497</v>
      </c>
      <c r="DQ74">
        <f>'TEA Revised Non EYZ'!CP74</f>
        <v>2275209.1661185985</v>
      </c>
      <c r="DR74">
        <f>'TEA Revised Non EYZ'!CQ74</f>
        <v>14083914.336508472</v>
      </c>
      <c r="DS74">
        <f>'TEA Revised Non EYZ'!CR74</f>
        <v>1662824.8986326549</v>
      </c>
      <c r="DT74">
        <f>'TEA Revised Non EYZ'!CS74</f>
        <v>847423.79840727116</v>
      </c>
      <c r="DU74">
        <f>'TEA Revised Non EYZ'!CT74</f>
        <v>2179392.2832288719</v>
      </c>
      <c r="DV74">
        <f>'TEA Revised Non EYZ'!CU74</f>
        <v>420402.1059283549</v>
      </c>
      <c r="DW74">
        <f>'TEA Revised Non EYZ'!CV74</f>
        <v>2602357.3282642425</v>
      </c>
      <c r="DX74">
        <f>'TEA Revised Non EYZ'!CW74</f>
        <v>307248.71347447456</v>
      </c>
      <c r="DY74">
        <f>'TEA Revised Non EYZ'!CX74</f>
        <v>6356824.2293032147</v>
      </c>
      <c r="DZ74">
        <f>'TEA Revised Non EYZ'!CY74</f>
        <v>610186.16339219559</v>
      </c>
      <c r="EA74">
        <f>'TEA Revised Non EYZ'!CZ74</f>
        <v>1569267.9605286056</v>
      </c>
      <c r="EB74">
        <f>'TEA Revised Non EYZ'!DA74</f>
        <v>302709.87029223994</v>
      </c>
      <c r="EC74">
        <f>'TEA Revised Non EYZ'!DB74</f>
        <v>1873823.2710641536</v>
      </c>
      <c r="ED74">
        <f>'TEA Revised Non EYZ'!DC74</f>
        <v>221233.94933508278</v>
      </c>
      <c r="EE74">
        <f>'TEA Revised Non EYZ'!DD74</f>
        <v>4577221.2146122772</v>
      </c>
      <c r="EF74">
        <v>0.7</v>
      </c>
      <c r="EG74">
        <v>100</v>
      </c>
      <c r="EH74">
        <f>96485*BL74*V74/EF74/EG74/60</f>
        <v>25.171940201830719</v>
      </c>
      <c r="EI74">
        <f>96485*BN74*BA74/EF74/EG74/60</f>
        <v>45.460121565580906</v>
      </c>
      <c r="EJ74">
        <f>EH74*('CAPEX+OPEX'!$O$25+'CAPEX+OPEX'!$O$26)</f>
        <v>802280.07811274868</v>
      </c>
      <c r="EK74">
        <f>EI74*('CAPEX+OPEX'!$O$25+'CAPEX+OPEX'!$O$26)</f>
        <v>1448904.9945381947</v>
      </c>
      <c r="EL74">
        <f>EJ74*1.12/0.6*'CAPEX+OPEX'!$G$116/'CAPEX+OPEX'!$G$115</f>
        <v>1766344.2502316802</v>
      </c>
      <c r="EM74">
        <f>EK74*1.12/0.6*'CAPEX+OPEX'!$G$116/'CAPEX+OPEX'!$G$115</f>
        <v>3189989.4763120827</v>
      </c>
      <c r="EN74">
        <f>EL74+EM74+DY74+EE74+1.15*(SUM(DF74:DM74)+SUM(CF74:CI74))</f>
        <v>15965882.385368247</v>
      </c>
      <c r="EO74">
        <f>EN74/15</f>
        <v>1064392.1590245499</v>
      </c>
      <c r="EP74">
        <f>('eLLE Bals'!CB74+'eLLE Bals'!CC74)*'Oxidant Feed Composition'!$N$28*60*7200</f>
        <v>17092347.088834845</v>
      </c>
      <c r="EQ74" s="53">
        <f>('eLLE Bals'!BR74+'eLLE Bals'!BY74)*'Reagent cost'!$C$38*60*7200*1.5</f>
        <v>758085.85538049391</v>
      </c>
      <c r="ER74">
        <f>'TEA Revised Non EYZ'!DI74</f>
        <v>504921.59999999998</v>
      </c>
      <c r="ES74">
        <f>'TEA Revised Non EYZ'!DJ74</f>
        <v>76.506941999772778</v>
      </c>
      <c r="ET74">
        <f>'TEA Revised Non EYZ'!DK74</f>
        <v>728.60107392739371</v>
      </c>
      <c r="EU74">
        <f>1.2*SUM(EP74:ET74)</f>
        <v>22027391.582677521</v>
      </c>
      <c r="EV74">
        <f>'TEA Revised Non EYZ'!DM74</f>
        <v>0.70639694042110623</v>
      </c>
      <c r="EW74">
        <f>(BS74*CO74+BT74*CP74)/1000*('Oxidant Feed Composition'!$B$11*'Oxidant Feed Composition'!$O$20+'Oxidant Feed Composition'!$D$11*'Oxidant Feed Composition'!$O$21+'Oxidant Feed Composition'!$F$11*'Oxidant Feed Composition'!$O$27-'Oxidant Feed Composition'!$J$15*18.015)</f>
        <v>1.7953401015487769</v>
      </c>
      <c r="EX74">
        <f>(CZ74*BX74+DC74*BZ74)*368.34/1000</f>
        <v>0.10201843184639904</v>
      </c>
      <c r="EY74">
        <f>'TEA Revised Non EYZ'!DP74</f>
        <v>4.999938342565946E-2</v>
      </c>
      <c r="EZ74">
        <f>SUM(EV74:EX74)-EY74</f>
        <v>2.5537560903906229</v>
      </c>
      <c r="FA74">
        <f>EZ74*0.33*60*7200</f>
        <v>364063.4682460872</v>
      </c>
      <c r="FB74">
        <f>'TEA Revised Non EYZ'!DS74</f>
        <v>1.2</v>
      </c>
      <c r="FC74">
        <v>0.5</v>
      </c>
      <c r="FD74">
        <f>'TEA Revised Non EYZ'!DT74</f>
        <v>1405.2879011413529</v>
      </c>
      <c r="FE74">
        <f>'TEA Revised Non EYZ'!DU74</f>
        <v>706.40047251644887</v>
      </c>
      <c r="FF74">
        <f>'TEA Revised Non EYZ'!DV74</f>
        <v>0.7</v>
      </c>
      <c r="FG74">
        <f>'TEA Revised Non EYZ'!DW74</f>
        <v>46784.46952433938</v>
      </c>
      <c r="FH74">
        <f>'TEA Revised Non EYZ'!DX74</f>
        <v>45678.708869524045</v>
      </c>
      <c r="FI74">
        <f>'TEA Revised Non EYZ'!DY74</f>
        <v>19339.775932661389</v>
      </c>
      <c r="FJ74">
        <f>'TEA Revised Non EYZ'!DZ74</f>
        <v>10244.818866671721</v>
      </c>
      <c r="FK74">
        <f>'TEA Revised Non EYZ'!EA74</f>
        <v>10314.547164086078</v>
      </c>
      <c r="FL74">
        <f>'TEA Revised Non EYZ'!EB74</f>
        <v>849.91812261029031</v>
      </c>
      <c r="FM74">
        <f>'TEA Revised Non EYZ'!EC74</f>
        <v>33427.786727313171</v>
      </c>
      <c r="FN74">
        <f>'TEA Revised Non EYZ'!ED74</f>
        <v>27155.737204127185</v>
      </c>
      <c r="FO74">
        <f>'TEA Revised Non EYZ'!EE74</f>
        <v>11497.388735618364</v>
      </c>
      <c r="FP74">
        <f>'TEA Revised Non EYZ'!EF74</f>
        <v>6093.8782161020717</v>
      </c>
      <c r="FQ74">
        <f>'TEA Revised Non EYZ'!EG74</f>
        <v>6131.9406589964619</v>
      </c>
      <c r="FR74">
        <f>'TEA Revised Non EYZ'!EH74</f>
        <v>427.23100577794827</v>
      </c>
      <c r="FS74">
        <f>'TEA Revised Non EYZ'!EI74</f>
        <v>217946.20102782812</v>
      </c>
      <c r="FT74">
        <f>EG74*EH74</f>
        <v>2517.1940201830716</v>
      </c>
      <c r="FU74">
        <f>EG74*EI74</f>
        <v>4546.0121565580903</v>
      </c>
      <c r="FV74">
        <f>FC74*(FT74+FU74)/(3.6*10^6)*3600*7200*0.07</f>
        <v>1779.9279565387728</v>
      </c>
      <c r="FW74">
        <f>('CAPEX+OPEX'!$C$39/7/100+0.03)*EL74</f>
        <v>90840.561440486417</v>
      </c>
      <c r="FX74">
        <f>('CAPEX+OPEX'!$C$39/7/100+0.03)*EM74</f>
        <v>164056.6016389071</v>
      </c>
      <c r="FY74">
        <f>SUM(FV74:FX74)</f>
        <v>256677.0910359323</v>
      </c>
      <c r="FZ74">
        <f>FY74+FA74+FS74+EU74</f>
        <v>22866078.34298737</v>
      </c>
      <c r="GA74">
        <f>FZ74+EO74</f>
        <v>23930470.502011921</v>
      </c>
      <c r="GB74">
        <f>GA74/(BK74*60*7200)</f>
        <v>0.55394607643546112</v>
      </c>
      <c r="GC74">
        <f>'TEA Revised Non EYZ'!EM74/'TEA Revised Non EYZ'!EK74*GA74</f>
        <v>1853.9939405132372</v>
      </c>
      <c r="GD74">
        <f>'TEA Revised Non EYZ'!EN74/'TEA Revised Non EYZ'!EK74*GA74</f>
        <v>3398.4409719078458</v>
      </c>
    </row>
    <row r="75" spans="1:186">
      <c r="A75">
        <f>'TEA Revised Non EYZ'!A75</f>
        <v>10</v>
      </c>
      <c r="B75">
        <f>'TEA Revised Non EYZ'!B75</f>
        <v>1.54143585092054E-3</v>
      </c>
      <c r="C75">
        <f>'TEA Revised Non EYZ'!C75</f>
        <v>1.54143585092054E-3</v>
      </c>
      <c r="D75">
        <f>'TEA Revised Non EYZ'!D75</f>
        <v>3.4254130020456501E-4</v>
      </c>
      <c r="E75">
        <f>'TEA Revised Non EYZ'!E75</f>
        <v>0</v>
      </c>
      <c r="F75">
        <f>'TEA Revised Non EYZ'!F75</f>
        <v>0</v>
      </c>
      <c r="G75">
        <f>'TEA Revised Non EYZ'!G75</f>
        <v>0</v>
      </c>
      <c r="H75">
        <f>'TEA Revised Non EYZ'!H75</f>
        <v>1.7770671970930099E-5</v>
      </c>
      <c r="I75">
        <f>'TEA Revised Non EYZ'!I75</f>
        <v>5.2649488631162003E-10</v>
      </c>
      <c r="J75">
        <f>'TEA Revised Non EYZ'!J75</f>
        <v>3.3765279177869602E-4</v>
      </c>
      <c r="K75">
        <f>'TEA Revised Non EYZ'!K75</f>
        <v>0.139053960209192</v>
      </c>
      <c r="L75">
        <f>'TEA Revised Non EYZ'!L75</f>
        <v>0.14067571356050099</v>
      </c>
      <c r="M75">
        <f>'TEA Revised Non EYZ'!M75</f>
        <v>4.4613899794023002E-4</v>
      </c>
      <c r="N75">
        <f>'TEA Revised Non EYZ'!N75</f>
        <v>-1.6046192152785399E-16</v>
      </c>
      <c r="O75">
        <f>'TEA Revised Non EYZ'!O75</f>
        <v>-5.9831913729046996E-14</v>
      </c>
      <c r="P75">
        <f>'TEA Revised Non EYZ'!P75</f>
        <v>-6.6915602833089703E-20</v>
      </c>
      <c r="Q75">
        <f>'TEA Revised Non EYZ'!Q75</f>
        <v>0.10957366310586</v>
      </c>
      <c r="R75">
        <f>'TEA Revised Non EYZ'!R75</f>
        <v>98.572870359588904</v>
      </c>
      <c r="S75">
        <f>'TEA Revised Non EYZ'!S75</f>
        <v>500</v>
      </c>
      <c r="T75">
        <f>'TEA Revised Non EYZ'!T75</f>
        <v>95</v>
      </c>
      <c r="U75">
        <f>'TEA Revised Non EYZ'!U75</f>
        <v>1</v>
      </c>
      <c r="V75">
        <f>'TEA Revised Non EYZ'!V75</f>
        <v>0.1</v>
      </c>
      <c r="W75">
        <f>'TEA Revised Non EYZ'!W75</f>
        <v>91.262806376555005</v>
      </c>
      <c r="X75" t="str">
        <f>'TEA Revised Non EYZ'!X75</f>
        <v>ddFc</v>
      </c>
      <c r="Y75">
        <f>'TEA Revised Non EYZ'!Y75</f>
        <v>1</v>
      </c>
      <c r="Z75">
        <f>'TEA Revised Non EYZ'!Z75</f>
        <v>0.28318429382522198</v>
      </c>
      <c r="AA75">
        <f>'TEA Revised Non EYZ'!AA75</f>
        <v>0.56945642916197003</v>
      </c>
      <c r="AB75">
        <f>'TEA Revised Non EYZ'!AB75</f>
        <v>3.7698628972227502E-3</v>
      </c>
      <c r="AC75">
        <f>'TEA Revised Non EYZ'!AC75</f>
        <v>1822.2107908876901</v>
      </c>
      <c r="AD75">
        <f>'TEA Revised Non EYZ'!AD75</f>
        <v>2662.6059073104898</v>
      </c>
      <c r="AE75">
        <f>'TEA Revised Non EYZ'!AE75</f>
        <v>2401.5030938442701</v>
      </c>
      <c r="AF75">
        <f>'TEA Revised Non EYZ'!AF75</f>
        <v>7</v>
      </c>
      <c r="AG75">
        <f>'TEA Revised Non EYZ'!AG75</f>
        <v>1.6497548842793E-3</v>
      </c>
      <c r="AH75">
        <f>'TEA Revised Non EYZ'!AH75</f>
        <v>1.66899558413707E-3</v>
      </c>
      <c r="AI75">
        <f>'TEA Revised Non EYZ'!AI75</f>
        <v>5.2930530695573503E-6</v>
      </c>
      <c r="AJ75">
        <f>'TEA Revised Non EYZ'!AJ75</f>
        <v>0</v>
      </c>
      <c r="AK75">
        <f>'TEA Revised Non EYZ'!AK75</f>
        <v>0</v>
      </c>
      <c r="AL75">
        <f>'TEA Revised Non EYZ'!AL75</f>
        <v>0</v>
      </c>
      <c r="AM75">
        <f>'TEA Revised Non EYZ'!AM75</f>
        <v>1.6126141989109301E-3</v>
      </c>
      <c r="AN75">
        <f>'TEA Revised Non EYZ'!AN75</f>
        <v>7.9616362695628595E-5</v>
      </c>
      <c r="AO75">
        <f>'TEA Revised Non EYZ'!AO75</f>
        <v>5.2580688259994502E-6</v>
      </c>
      <c r="AP75">
        <f>'TEA Revised Non EYZ'!AP75</f>
        <v>1.7397937197708099E-3</v>
      </c>
      <c r="AQ75">
        <f>'TEA Revised Non EYZ'!AQ75</f>
        <v>7.4451829856534701E-2</v>
      </c>
      <c r="AR75">
        <f>'TEA Revised Non EYZ'!AR75</f>
        <v>1.63877878475564E-6</v>
      </c>
      <c r="AS75">
        <f>'TEA Revised Non EYZ'!AS75</f>
        <v>-4.3300324263639803E-18</v>
      </c>
      <c r="AT75">
        <f>'TEA Revised Non EYZ'!AT75</f>
        <v>-1.6727071117106299E-15</v>
      </c>
      <c r="AU75">
        <f>'TEA Revised Non EYZ'!AU75</f>
        <v>-5.3336605897419202E-21</v>
      </c>
      <c r="AV75">
        <f>'TEA Revised Non EYZ'!AV75</f>
        <v>0.197161573065819</v>
      </c>
      <c r="AW75">
        <f>'TEA Revised Non EYZ'!AW75</f>
        <v>99.339053602936502</v>
      </c>
      <c r="AX75">
        <f>'TEA Revised Non EYZ'!AX75</f>
        <v>500</v>
      </c>
      <c r="AY75">
        <f>'TEA Revised Non EYZ'!AY75</f>
        <v>95</v>
      </c>
      <c r="AZ75">
        <f>'TEA Revised Non EYZ'!AZ75</f>
        <v>0.92357064280818002</v>
      </c>
      <c r="BA75">
        <f>'TEA Revised Non EYZ'!BA75</f>
        <v>0.1</v>
      </c>
      <c r="BB75">
        <f>'TEA Revised Non EYZ'!BB75</f>
        <v>46.843339117600799</v>
      </c>
      <c r="BC75" t="str">
        <f>'TEA Revised Non EYZ'!BC75</f>
        <v>coeFc</v>
      </c>
      <c r="BD75">
        <f>'TEA Revised Non EYZ'!BD75</f>
        <v>1</v>
      </c>
      <c r="BE75">
        <f>'TEA Revised Non EYZ'!BE75</f>
        <v>1.8775014999999999E-2</v>
      </c>
      <c r="BF75">
        <f>'TEA Revised Non EYZ'!BF75</f>
        <v>0.10492961100000001</v>
      </c>
      <c r="BG75">
        <f>'TEA Revised Non EYZ'!BG75</f>
        <v>1.814625E-3</v>
      </c>
      <c r="BH75">
        <f>'TEA Revised Non EYZ'!BH75</f>
        <v>285.1951444</v>
      </c>
      <c r="BI75">
        <f>'TEA Revised Non EYZ'!BI75</f>
        <v>2169.8944889999998</v>
      </c>
      <c r="BJ75">
        <f>'TEA Revised Non EYZ'!BJ75</f>
        <v>866.49409060000005</v>
      </c>
      <c r="BK75">
        <f>'TEA Revised Non EYZ'!BK75</f>
        <v>100</v>
      </c>
      <c r="BL75">
        <f>'TEA Revised Non EYZ'!BL75</f>
        <v>10.957366310586</v>
      </c>
      <c r="BM75">
        <f>'TEA Revised Non EYZ'!BM75</f>
        <v>92.357064280818008</v>
      </c>
      <c r="BN75">
        <f>'TEA Revised Non EYZ'!BN75</f>
        <v>19.716157306581898</v>
      </c>
      <c r="BO75">
        <f>'TEA Revised Non EYZ'!BO75</f>
        <v>262.97679145406403</v>
      </c>
      <c r="BP75">
        <f>'TEA Revised Non EYZ'!BP75</f>
        <v>354.89083151847416</v>
      </c>
      <c r="BQ75">
        <f>'TEA Revised Non EYZ'!BQ75</f>
        <v>26.297679145406406</v>
      </c>
      <c r="BR75">
        <f>'TEA Revised Non EYZ'!BR75</f>
        <v>35.489083151847417</v>
      </c>
      <c r="BS75">
        <f>'eLLE Bals'!CF75</f>
        <v>6.5744197863515996</v>
      </c>
      <c r="BT75">
        <f>'eLLE Bals'!CG75</f>
        <v>11.829694383949139</v>
      </c>
      <c r="BU75">
        <f>BM75</f>
        <v>92.357064280818008</v>
      </c>
      <c r="BV75">
        <f>BU75*(AM75*2+AN75*2+AO75*3)</f>
        <v>0.31403575291419078</v>
      </c>
      <c r="BW75">
        <f>BN75*BA75*(AP75*2+AQ75*2+AR75*3)</f>
        <v>0.300450900300956</v>
      </c>
      <c r="BX75">
        <f>BV75/(2*V75*BL75+BV75)</f>
        <v>0.12533810536309578</v>
      </c>
      <c r="BY75">
        <f>BU75*BX75</f>
        <v>11.575859453855378</v>
      </c>
      <c r="BZ75">
        <f>BW75/(2*BN75*BA75+BW75)</f>
        <v>7.0799573271183594E-2</v>
      </c>
      <c r="CA75">
        <f>2*BN75*BA75/0.04</f>
        <v>98.580786532909485</v>
      </c>
      <c r="CB75">
        <f>(BS75+BL75)*2</f>
        <v>35.063572193875203</v>
      </c>
      <c r="CC75">
        <f>(BU75+BL75)*2</f>
        <v>206.62886118280801</v>
      </c>
      <c r="CD75">
        <f>(BT75+BN75)*2</f>
        <v>63.091703381062075</v>
      </c>
      <c r="CE75">
        <f>(CA75+BN75)*2</f>
        <v>236.59388767898275</v>
      </c>
      <c r="CF75">
        <f>'TEA Revised Non EYZ'!CB75</f>
        <v>3471.2936471936455</v>
      </c>
      <c r="CG75">
        <f>'TEA Revised Non EYZ'!CC75</f>
        <v>4684.5589760438597</v>
      </c>
      <c r="CH75">
        <f>'TEA Revised Non EYZ'!CD75</f>
        <v>4193.9657747282263</v>
      </c>
      <c r="CI75">
        <f>'TEA Revised Non EYZ'!CE75</f>
        <v>36132.419737870092</v>
      </c>
      <c r="CJ75">
        <f>BL75*V75</f>
        <v>1.0957366310586001</v>
      </c>
      <c r="CK75">
        <f>CJ75/2*1.2</f>
        <v>0.65744197863516007</v>
      </c>
      <c r="CL75">
        <f>'eLLE Bals'!CB75*'Oxidant Feed Composition'!$N$20</f>
        <v>3.6524554368620017E-2</v>
      </c>
      <c r="CM75">
        <f>'eLLE Bals'!CB75*'Oxidant Feed Composition'!$N$21</f>
        <v>1.8262277184310003</v>
      </c>
      <c r="CN75">
        <f>'eLLE Bals'!CB75*'Oxidant Feed Composition'!$N$22</f>
        <v>0.54786831552930004</v>
      </c>
      <c r="CO75">
        <f>CN75/CK75</f>
        <v>0.83333333333333326</v>
      </c>
      <c r="CP75">
        <f>CO75</f>
        <v>0.83333333333333326</v>
      </c>
      <c r="CQ75">
        <f>CL75/CO75</f>
        <v>4.3829465242344025E-2</v>
      </c>
      <c r="CR75">
        <f>CM75/CO75</f>
        <v>2.1914732621172006</v>
      </c>
      <c r="CS75">
        <f>BN75*BA75</f>
        <v>1.9716157306581898</v>
      </c>
      <c r="CT75">
        <f>CS75/2*1.2</f>
        <v>1.1829694383949139</v>
      </c>
      <c r="CU75">
        <f>'eLLE Bals'!CC75*'Oxidant Feed Composition'!$N$20</f>
        <v>6.5720524355273022E-2</v>
      </c>
      <c r="CV75">
        <f>'eLLE Bals'!CC75*'Oxidant Feed Composition'!$N$21</f>
        <v>3.2860262177636499</v>
      </c>
      <c r="CW75">
        <f>'eLLE Bals'!CC75*'Oxidant Feed Composition'!$N$22</f>
        <v>0.98580786532909492</v>
      </c>
      <c r="CX75">
        <f>CU75/CP75</f>
        <v>7.8864629226327629E-2</v>
      </c>
      <c r="CY75">
        <f>CV75/CP75</f>
        <v>3.9432314613163801</v>
      </c>
      <c r="CZ75">
        <f>CJ75</f>
        <v>1.0957366310586001</v>
      </c>
      <c r="DA75">
        <f>'eLLE Bals'!BQ75</f>
        <v>2.1914732621172002</v>
      </c>
      <c r="DB75">
        <f>'eLLE Bals'!BU75</f>
        <v>5.4550367514868254</v>
      </c>
      <c r="DC75">
        <f>CS75</f>
        <v>1.9716157306581898</v>
      </c>
      <c r="DD75">
        <f>'eLLE Bals'!BX75</f>
        <v>3.9432314613163797</v>
      </c>
      <c r="DE75">
        <f>'eLLE Bals'!CA75</f>
        <v>21.933000465331368</v>
      </c>
      <c r="DF75">
        <f>2*2*(CJ75*'Reagent cost'!$C$36*122.44/1000*1.5+CK75*'Oxidant Feed Composition'!$N$26+CQ75*'Reagent cost'!$C$34+CR75*'Reagent cost'!$C$35)</f>
        <v>111.50340573587894</v>
      </c>
      <c r="DG75">
        <f>2*2*(CS75*'Reagent cost'!$C$36*122.44/1000*1.5+CT75*'Oxidant Feed Composition'!$N$26+CX75*'Reagent cost'!$C$34+CY75*'Reagent cost'!$C$35)</f>
        <v>200.63385903091557</v>
      </c>
      <c r="DH75">
        <f>(AF75+3)*2*(CZ75*'Reagent cost'!$C$38+DA75*'Reagent cost'!$C$39+DB75*'Reagent cost'!$C$36*122.44/1000*1.5)</f>
        <v>1512.7325101226402</v>
      </c>
      <c r="DI75">
        <f>3*2*(DC75*'Reagent cost'!$C$38+DD75*'Reagent cost'!$C$39+DE75*'Reagent cost'!$C$36*122.44/1000*1.5)</f>
        <v>1759.5679582614353</v>
      </c>
      <c r="DJ75">
        <f>7963.6*(CB75/1000)^0.6*1.7*('CAPEX+OPEX'!$G$116/'CAPEX+OPEX'!$G$115)</f>
        <v>2138.7234102796551</v>
      </c>
      <c r="DK75">
        <f>7963.6*(CC75/1000)^0.6*1.7*('CAPEX+OPEX'!$G$116/'CAPEX+OPEX'!$G$115)</f>
        <v>6199.4836239091055</v>
      </c>
      <c r="DL75">
        <f>7963.6*(CD75/1000)^0.6*1.7*('CAPEX+OPEX'!$G$116/'CAPEX+OPEX'!$G$115)</f>
        <v>3042.4558136558958</v>
      </c>
      <c r="DM75">
        <f>7963.6*(CE75/1000)^0.6*1.7*('CAPEX+OPEX'!$G$116/'CAPEX+OPEX'!$G$115)</f>
        <v>6724.2374365581909</v>
      </c>
      <c r="DN75">
        <f>'TEA Revised Non EYZ'!CM75</f>
        <v>39625.826528698344</v>
      </c>
      <c r="DO75">
        <f>'TEA Revised Non EYZ'!CN75</f>
        <v>4586243.4239371875</v>
      </c>
      <c r="DP75">
        <f>'TEA Revised Non EYZ'!CO75</f>
        <v>11794834.586807497</v>
      </c>
      <c r="DQ75">
        <f>'TEA Revised Non EYZ'!CP75</f>
        <v>2275209.1661185985</v>
      </c>
      <c r="DR75">
        <f>'TEA Revised Non EYZ'!CQ75</f>
        <v>14083914.336508472</v>
      </c>
      <c r="DS75">
        <f>'TEA Revised Non EYZ'!CR75</f>
        <v>1662824.8986326549</v>
      </c>
      <c r="DT75">
        <f>'TEA Revised Non EYZ'!CS75</f>
        <v>847423.79840727116</v>
      </c>
      <c r="DU75">
        <f>'TEA Revised Non EYZ'!CT75</f>
        <v>2179392.2832288719</v>
      </c>
      <c r="DV75">
        <f>'TEA Revised Non EYZ'!CU75</f>
        <v>420402.1059283549</v>
      </c>
      <c r="DW75">
        <f>'TEA Revised Non EYZ'!CV75</f>
        <v>2602357.3282642425</v>
      </c>
      <c r="DX75">
        <f>'TEA Revised Non EYZ'!CW75</f>
        <v>307248.71347447456</v>
      </c>
      <c r="DY75">
        <f>'TEA Revised Non EYZ'!CX75</f>
        <v>6356824.2293032147</v>
      </c>
      <c r="DZ75">
        <f>'TEA Revised Non EYZ'!CY75</f>
        <v>661085.33546503587</v>
      </c>
      <c r="EA75">
        <f>'TEA Revised Non EYZ'!CZ75</f>
        <v>1700169.715998274</v>
      </c>
      <c r="EB75">
        <f>'TEA Revised Non EYZ'!DA75</f>
        <v>327960.6588229012</v>
      </c>
      <c r="EC75">
        <f>'TEA Revised Non EYZ'!DB75</f>
        <v>2030129.7539541693</v>
      </c>
      <c r="ED75">
        <f>'TEA Revised Non EYZ'!DC75</f>
        <v>239688.35805677422</v>
      </c>
      <c r="EE75">
        <f>'TEA Revised Non EYZ'!DD75</f>
        <v>4959033.822297154</v>
      </c>
      <c r="EF75">
        <v>0.7</v>
      </c>
      <c r="EG75">
        <v>100</v>
      </c>
      <c r="EH75">
        <f>96485*BL75*V75/EF75/EG75/60</f>
        <v>25.171940201830719</v>
      </c>
      <c r="EI75">
        <f>96485*BN75*BA75/EF75/EG75/60</f>
        <v>45.293177088703693</v>
      </c>
      <c r="EJ75">
        <f>EH75*('CAPEX+OPEX'!$O$25+'CAPEX+OPEX'!$O$26)</f>
        <v>802280.07811274868</v>
      </c>
      <c r="EK75">
        <f>EI75*('CAPEX+OPEX'!$O$25+'CAPEX+OPEX'!$O$26)</f>
        <v>1443584.1401711642</v>
      </c>
      <c r="EL75">
        <f>EJ75*1.12/0.6*'CAPEX+OPEX'!$G$116/'CAPEX+OPEX'!$G$115</f>
        <v>1766344.2502316802</v>
      </c>
      <c r="EM75">
        <f>EK75*1.12/0.6*'CAPEX+OPEX'!$G$116/'CAPEX+OPEX'!$G$115</f>
        <v>3178274.7886687941</v>
      </c>
      <c r="EN75">
        <f>EL75+EM75+DY75+EE75+1.15*(SUM(DF75:DM75)+SUM(CF75:CI75))</f>
        <v>16341174.403077241</v>
      </c>
      <c r="EO75">
        <f>EN75/15</f>
        <v>1089411.6268718161</v>
      </c>
      <c r="EP75">
        <f>('eLLE Bals'!CB75+'eLLE Bals'!CC75)*'Oxidant Feed Composition'!$N$28*60*7200</f>
        <v>17051947.971607514</v>
      </c>
      <c r="EQ75" s="53">
        <f>('eLLE Bals'!BR75+'eLLE Bals'!BY75)*'Reagent cost'!$C$38*60*7200*1.5</f>
        <v>757973.63634227007</v>
      </c>
      <c r="ER75">
        <f>'TEA Revised Non EYZ'!DI75</f>
        <v>504921.59999999998</v>
      </c>
      <c r="ES75">
        <f>'TEA Revised Non EYZ'!DJ75</f>
        <v>81.558526232375058</v>
      </c>
      <c r="ET75">
        <f>'TEA Revised Non EYZ'!DK75</f>
        <v>806.52771025196637</v>
      </c>
      <c r="EU75">
        <f>1.2*SUM(EP75:ET75)</f>
        <v>21978877.553023521</v>
      </c>
      <c r="EV75">
        <f>'TEA Revised Non EYZ'!DM75</f>
        <v>0.70639694042110623</v>
      </c>
      <c r="EW75">
        <f>(BS75*CO75+BT75*CP75)/1000*('Oxidant Feed Composition'!$B$11*'Oxidant Feed Composition'!$O$20+'Oxidant Feed Composition'!$D$11*'Oxidant Feed Composition'!$O$21+'Oxidant Feed Composition'!$F$11*'Oxidant Feed Composition'!$O$27-'Oxidant Feed Composition'!$J$15*18.015)</f>
        <v>1.7910966729050439</v>
      </c>
      <c r="EX75">
        <f>(CZ75*BX75+DC75*BZ75)*368.34/1000</f>
        <v>0.10200333011323562</v>
      </c>
      <c r="EY75">
        <f>'TEA Revised Non EYZ'!DP75</f>
        <v>4.999938342565946E-2</v>
      </c>
      <c r="EZ75">
        <f>SUM(EV75:EX75)-EY75</f>
        <v>2.5494975600137266</v>
      </c>
      <c r="FA75">
        <f>EZ75*0.33*60*7200</f>
        <v>363456.37215555692</v>
      </c>
      <c r="FB75">
        <f>'TEA Revised Non EYZ'!DS75</f>
        <v>1.2</v>
      </c>
      <c r="FC75">
        <v>0.5</v>
      </c>
      <c r="FD75">
        <f>'TEA Revised Non EYZ'!DT75</f>
        <v>1405.7138091362219</v>
      </c>
      <c r="FE75">
        <f>'TEA Revised Non EYZ'!DU75</f>
        <v>705.97456452228209</v>
      </c>
      <c r="FF75">
        <f>'TEA Revised Non EYZ'!DV75</f>
        <v>0.7</v>
      </c>
      <c r="FG75">
        <f>'TEA Revised Non EYZ'!DW75</f>
        <v>46784.46952433938</v>
      </c>
      <c r="FH75">
        <f>'TEA Revised Non EYZ'!DX75</f>
        <v>45678.708869524045</v>
      </c>
      <c r="FI75">
        <f>'TEA Revised Non EYZ'!DY75</f>
        <v>19339.775932661389</v>
      </c>
      <c r="FJ75">
        <f>'TEA Revised Non EYZ'!DZ75</f>
        <v>10244.818866671721</v>
      </c>
      <c r="FK75">
        <f>'TEA Revised Non EYZ'!EA75</f>
        <v>10314.547164086078</v>
      </c>
      <c r="FL75">
        <f>'TEA Revised Non EYZ'!EB75</f>
        <v>850.17571176558715</v>
      </c>
      <c r="FM75">
        <f>'TEA Revised Non EYZ'!EC75</f>
        <v>35999.15493710649</v>
      </c>
      <c r="FN75">
        <f>'TEA Revised Non EYZ'!ED75</f>
        <v>31035.128233288218</v>
      </c>
      <c r="FO75">
        <f>'TEA Revised Non EYZ'!EE75</f>
        <v>13139.872840706705</v>
      </c>
      <c r="FP75">
        <f>'TEA Revised Non EYZ'!EF75</f>
        <v>6964.4322469737981</v>
      </c>
      <c r="FQ75">
        <f>'TEA Revised Non EYZ'!EG75</f>
        <v>7007.9321817102436</v>
      </c>
      <c r="FR75">
        <f>'TEA Revised Non EYZ'!EH75</f>
        <v>426.97341662307616</v>
      </c>
      <c r="FS75">
        <f>'TEA Revised Non EYZ'!EI75</f>
        <v>227785.98992545673</v>
      </c>
      <c r="FT75">
        <f>EG75*EH75</f>
        <v>2517.1940201830716</v>
      </c>
      <c r="FU75">
        <f>EG75*EI75</f>
        <v>4529.3177088703696</v>
      </c>
      <c r="FV75">
        <f>FC75*(FT75+FU75)/(3.6*10^6)*3600*7200*0.07</f>
        <v>1775.7209557214674</v>
      </c>
      <c r="FW75">
        <f>('CAPEX+OPEX'!$C$39/7/100+0.03)*EL75</f>
        <v>90840.561440486417</v>
      </c>
      <c r="FX75">
        <f>('CAPEX+OPEX'!$C$39/7/100+0.03)*EM75</f>
        <v>163454.13198868083</v>
      </c>
      <c r="FY75">
        <f>SUM(FV75:FX75)</f>
        <v>256070.41438488872</v>
      </c>
      <c r="FZ75">
        <f>FY75+FA75+FS75+EU75</f>
        <v>22826190.329489425</v>
      </c>
      <c r="GA75">
        <f>FZ75+EO75</f>
        <v>23915601.956361242</v>
      </c>
      <c r="GB75">
        <f>GA75/(BK75*60*7200)</f>
        <v>0.55360189713799168</v>
      </c>
      <c r="GC75">
        <f>'TEA Revised Non EYZ'!EM75/'TEA Revised Non EYZ'!EK75*GA75</f>
        <v>1852.2802860048535</v>
      </c>
      <c r="GD75">
        <f>'TEA Revised Non EYZ'!EN75/'TEA Revised Non EYZ'!EK75*GA75</f>
        <v>3398.21848022324</v>
      </c>
    </row>
    <row r="76" spans="1:186">
      <c r="A76">
        <f>'TEA Revised Non EYZ'!A76</f>
        <v>10</v>
      </c>
      <c r="B76">
        <f>'TEA Revised Non EYZ'!B76</f>
        <v>1.54143585092054E-3</v>
      </c>
      <c r="C76">
        <f>'TEA Revised Non EYZ'!C76</f>
        <v>1.54143585092054E-3</v>
      </c>
      <c r="D76">
        <f>'TEA Revised Non EYZ'!D76</f>
        <v>3.4254130020456501E-4</v>
      </c>
      <c r="E76">
        <f>'TEA Revised Non EYZ'!E76</f>
        <v>0</v>
      </c>
      <c r="F76">
        <f>'TEA Revised Non EYZ'!F76</f>
        <v>0</v>
      </c>
      <c r="G76">
        <f>'TEA Revised Non EYZ'!G76</f>
        <v>0</v>
      </c>
      <c r="H76">
        <f>'TEA Revised Non EYZ'!H76</f>
        <v>1.7770671970930099E-5</v>
      </c>
      <c r="I76">
        <f>'TEA Revised Non EYZ'!I76</f>
        <v>5.2649488631162003E-10</v>
      </c>
      <c r="J76">
        <f>'TEA Revised Non EYZ'!J76</f>
        <v>3.3765279177869602E-4</v>
      </c>
      <c r="K76">
        <f>'TEA Revised Non EYZ'!K76</f>
        <v>0.139053960209192</v>
      </c>
      <c r="L76">
        <f>'TEA Revised Non EYZ'!L76</f>
        <v>0.14067571356050099</v>
      </c>
      <c r="M76">
        <f>'TEA Revised Non EYZ'!M76</f>
        <v>4.4613899794023002E-4</v>
      </c>
      <c r="N76">
        <f>'TEA Revised Non EYZ'!N76</f>
        <v>-1.6046192152785399E-16</v>
      </c>
      <c r="O76">
        <f>'TEA Revised Non EYZ'!O76</f>
        <v>-5.9831913729046996E-14</v>
      </c>
      <c r="P76">
        <f>'TEA Revised Non EYZ'!P76</f>
        <v>-6.6915602833089703E-20</v>
      </c>
      <c r="Q76">
        <f>'TEA Revised Non EYZ'!Q76</f>
        <v>0.10957366310586</v>
      </c>
      <c r="R76">
        <f>'TEA Revised Non EYZ'!R76</f>
        <v>98.572870359588904</v>
      </c>
      <c r="S76">
        <f>'TEA Revised Non EYZ'!S76</f>
        <v>500</v>
      </c>
      <c r="T76">
        <f>'TEA Revised Non EYZ'!T76</f>
        <v>95</v>
      </c>
      <c r="U76">
        <f>'TEA Revised Non EYZ'!U76</f>
        <v>1</v>
      </c>
      <c r="V76">
        <f>'TEA Revised Non EYZ'!V76</f>
        <v>0.1</v>
      </c>
      <c r="W76">
        <f>'TEA Revised Non EYZ'!W76</f>
        <v>91.262806376555005</v>
      </c>
      <c r="X76" t="str">
        <f>'TEA Revised Non EYZ'!X76</f>
        <v>ddFc</v>
      </c>
      <c r="Y76">
        <f>'TEA Revised Non EYZ'!Y76</f>
        <v>1</v>
      </c>
      <c r="Z76">
        <f>'TEA Revised Non EYZ'!Z76</f>
        <v>0.28318429382522198</v>
      </c>
      <c r="AA76">
        <f>'TEA Revised Non EYZ'!AA76</f>
        <v>0.56945642916197003</v>
      </c>
      <c r="AB76">
        <f>'TEA Revised Non EYZ'!AB76</f>
        <v>3.7698628972227502E-3</v>
      </c>
      <c r="AC76">
        <f>'TEA Revised Non EYZ'!AC76</f>
        <v>1822.2107908876901</v>
      </c>
      <c r="AD76">
        <f>'TEA Revised Non EYZ'!AD76</f>
        <v>2662.6059073104898</v>
      </c>
      <c r="AE76">
        <f>'TEA Revised Non EYZ'!AE76</f>
        <v>2401.5030938442701</v>
      </c>
      <c r="AF76">
        <f>'TEA Revised Non EYZ'!AF76</f>
        <v>8</v>
      </c>
      <c r="AG76">
        <f>'TEA Revised Non EYZ'!AG76</f>
        <v>1.6497548842793E-3</v>
      </c>
      <c r="AH76">
        <f>'TEA Revised Non EYZ'!AH76</f>
        <v>1.66899558413707E-3</v>
      </c>
      <c r="AI76">
        <f>'TEA Revised Non EYZ'!AI76</f>
        <v>5.2930530695573503E-6</v>
      </c>
      <c r="AJ76">
        <f>'TEA Revised Non EYZ'!AJ76</f>
        <v>0</v>
      </c>
      <c r="AK76">
        <f>'TEA Revised Non EYZ'!AK76</f>
        <v>0</v>
      </c>
      <c r="AL76">
        <f>'TEA Revised Non EYZ'!AL76</f>
        <v>0</v>
      </c>
      <c r="AM76">
        <f>'TEA Revised Non EYZ'!AM76</f>
        <v>1.61275350560018E-3</v>
      </c>
      <c r="AN76">
        <f>'TEA Revised Non EYZ'!AN76</f>
        <v>7.9623568834895101E-5</v>
      </c>
      <c r="AO76">
        <f>'TEA Revised Non EYZ'!AO76</f>
        <v>5.2581946177476304E-6</v>
      </c>
      <c r="AP76">
        <f>'TEA Revised Non EYZ'!AP76</f>
        <v>1.7350904900191701E-3</v>
      </c>
      <c r="AQ76">
        <f>'TEA Revised Non EYZ'!AQ76</f>
        <v>7.4529770779203794E-2</v>
      </c>
      <c r="AR76">
        <f>'TEA Revised Non EYZ'!AR76</f>
        <v>1.63460309858261E-6</v>
      </c>
      <c r="AS76">
        <f>'TEA Revised Non EYZ'!AS76</f>
        <v>5.0504644411898598E-15</v>
      </c>
      <c r="AT76">
        <f>'TEA Revised Non EYZ'!AT76</f>
        <v>-1.17550023534529E-12</v>
      </c>
      <c r="AU76">
        <f>'TEA Revised Non EYZ'!AU76</f>
        <v>2.20162391837113E-20</v>
      </c>
      <c r="AV76">
        <f>'TEA Revised Non EYZ'!AV76</f>
        <v>0.19695449478278201</v>
      </c>
      <c r="AW76">
        <f>'TEA Revised Non EYZ'!AW76</f>
        <v>99.341430147182905</v>
      </c>
      <c r="AX76">
        <f>'TEA Revised Non EYZ'!AX76</f>
        <v>500</v>
      </c>
      <c r="AY76">
        <f>'TEA Revised Non EYZ'!AY76</f>
        <v>95</v>
      </c>
      <c r="AZ76">
        <f>'TEA Revised Non EYZ'!AZ76</f>
        <v>0.92357064280818002</v>
      </c>
      <c r="BA76">
        <f>'TEA Revised Non EYZ'!BA76</f>
        <v>0.1</v>
      </c>
      <c r="BB76">
        <f>'TEA Revised Non EYZ'!BB76</f>
        <v>46.8925902821751</v>
      </c>
      <c r="BC76" t="str">
        <f>'TEA Revised Non EYZ'!BC76</f>
        <v>coeFc</v>
      </c>
      <c r="BD76">
        <f>'TEA Revised Non EYZ'!BD76</f>
        <v>1</v>
      </c>
      <c r="BE76">
        <f>'TEA Revised Non EYZ'!BE76</f>
        <v>1.8775014999999999E-2</v>
      </c>
      <c r="BF76">
        <f>'TEA Revised Non EYZ'!BF76</f>
        <v>0.10492961100000001</v>
      </c>
      <c r="BG76">
        <f>'TEA Revised Non EYZ'!BG76</f>
        <v>1.814625E-3</v>
      </c>
      <c r="BH76">
        <f>'TEA Revised Non EYZ'!BH76</f>
        <v>285.1951444</v>
      </c>
      <c r="BI76">
        <f>'TEA Revised Non EYZ'!BI76</f>
        <v>2169.8944889999998</v>
      </c>
      <c r="BJ76">
        <f>'TEA Revised Non EYZ'!BJ76</f>
        <v>866.49409060000005</v>
      </c>
      <c r="BK76">
        <f>'TEA Revised Non EYZ'!BK76</f>
        <v>100</v>
      </c>
      <c r="BL76">
        <f>'TEA Revised Non EYZ'!BL76</f>
        <v>10.957366310586</v>
      </c>
      <c r="BM76">
        <f>'TEA Revised Non EYZ'!BM76</f>
        <v>92.357064280818008</v>
      </c>
      <c r="BN76">
        <f>'TEA Revised Non EYZ'!BN76</f>
        <v>19.695449478278203</v>
      </c>
      <c r="BO76">
        <f>'TEA Revised Non EYZ'!BO76</f>
        <v>262.97679145406403</v>
      </c>
      <c r="BP76">
        <f>'TEA Revised Non EYZ'!BP76</f>
        <v>393.90898956556407</v>
      </c>
      <c r="BQ76">
        <f>'TEA Revised Non EYZ'!BQ76</f>
        <v>26.297679145406406</v>
      </c>
      <c r="BR76">
        <f>'TEA Revised Non EYZ'!BR76</f>
        <v>39.390898956556413</v>
      </c>
      <c r="BS76">
        <f>'eLLE Bals'!CF76</f>
        <v>6.5744197863515996</v>
      </c>
      <c r="BT76">
        <f>'eLLE Bals'!CG76</f>
        <v>11.817269686966922</v>
      </c>
      <c r="BU76">
        <f>BM76</f>
        <v>92.357064280818008</v>
      </c>
      <c r="BV76">
        <f>BU76*(AM76*2+AN76*2+AO76*3)</f>
        <v>0.31406285075690299</v>
      </c>
      <c r="BW76">
        <f>BN76*BA76*(AP76*2+AQ76*2+AR76*3)</f>
        <v>0.30042380269199898</v>
      </c>
      <c r="BX76">
        <f>BV76/(2*V76*BL76+BV76)</f>
        <v>0.1253475649954377</v>
      </c>
      <c r="BY76">
        <f>BU76*BX76</f>
        <v>11.576733117727652</v>
      </c>
      <c r="BZ76">
        <f>BW76/(2*BN76*BA76+BW76)</f>
        <v>7.0862797968807095E-2</v>
      </c>
      <c r="CA76">
        <f>2*BN76*BA76/0.04</f>
        <v>98.477247391391018</v>
      </c>
      <c r="CB76">
        <f>(BS76+BL76)*2</f>
        <v>35.063572193875203</v>
      </c>
      <c r="CC76">
        <f>(BU76+BL76)*2</f>
        <v>206.62886118280801</v>
      </c>
      <c r="CD76">
        <f>(BT76+BN76)*2</f>
        <v>63.025438330490246</v>
      </c>
      <c r="CE76">
        <f>(CA76+BN76)*2</f>
        <v>236.34539373933845</v>
      </c>
      <c r="CF76">
        <f>'TEA Revised Non EYZ'!CB76</f>
        <v>3471.2936471936455</v>
      </c>
      <c r="CG76">
        <f>'TEA Revised Non EYZ'!CC76</f>
        <v>5199.5986622654455</v>
      </c>
      <c r="CH76">
        <f>'TEA Revised Non EYZ'!CD76</f>
        <v>4193.9657747282263</v>
      </c>
      <c r="CI76">
        <f>'TEA Revised Non EYZ'!CE76</f>
        <v>40104.966613549579</v>
      </c>
      <c r="CJ76">
        <f>BL76*V76</f>
        <v>1.0957366310586001</v>
      </c>
      <c r="CK76">
        <f>CJ76/2*1.2</f>
        <v>0.65744197863516007</v>
      </c>
      <c r="CL76">
        <f>'eLLE Bals'!CB76*'Oxidant Feed Composition'!$N$20</f>
        <v>3.6524554368620017E-2</v>
      </c>
      <c r="CM76">
        <f>'eLLE Bals'!CB76*'Oxidant Feed Composition'!$N$21</f>
        <v>1.8262277184310003</v>
      </c>
      <c r="CN76">
        <f>'eLLE Bals'!CB76*'Oxidant Feed Composition'!$N$22</f>
        <v>0.54786831552930004</v>
      </c>
      <c r="CO76">
        <f>CN76/CK76</f>
        <v>0.83333333333333326</v>
      </c>
      <c r="CP76">
        <f>CO76</f>
        <v>0.83333333333333326</v>
      </c>
      <c r="CQ76">
        <f>CL76/CO76</f>
        <v>4.3829465242344025E-2</v>
      </c>
      <c r="CR76">
        <f>CM76/CO76</f>
        <v>2.1914732621172006</v>
      </c>
      <c r="CS76">
        <f>BN76*BA76</f>
        <v>1.9695449478278204</v>
      </c>
      <c r="CT76">
        <f>CS76/2*1.2</f>
        <v>1.1817269686966922</v>
      </c>
      <c r="CU76">
        <f>'eLLE Bals'!CC76*'Oxidant Feed Composition'!$N$20</f>
        <v>6.5651498260927366E-2</v>
      </c>
      <c r="CV76">
        <f>'eLLE Bals'!CC76*'Oxidant Feed Composition'!$N$21</f>
        <v>3.2825749130463673</v>
      </c>
      <c r="CW76">
        <f>'eLLE Bals'!CC76*'Oxidant Feed Composition'!$N$22</f>
        <v>0.98477247391391021</v>
      </c>
      <c r="CX76">
        <f>CU76/CP76</f>
        <v>7.878179791311285E-2</v>
      </c>
      <c r="CY76">
        <f>CV76/CP76</f>
        <v>3.9390898956556413</v>
      </c>
      <c r="CZ76">
        <f>CJ76</f>
        <v>1.0957366310586001</v>
      </c>
      <c r="DA76">
        <f>'eLLE Bals'!BQ76</f>
        <v>2.1914732621172002</v>
      </c>
      <c r="DB76">
        <f>'eLLE Bals'!BU76</f>
        <v>5.4543770000616636</v>
      </c>
      <c r="DC76">
        <f>CS76</f>
        <v>1.9695449478278204</v>
      </c>
      <c r="DD76">
        <f>'eLLE Bals'!BX76</f>
        <v>3.9390898956556408</v>
      </c>
      <c r="DE76">
        <f>'eLLE Bals'!CA76</f>
        <v>21.885144181369458</v>
      </c>
      <c r="DF76">
        <f>2*2*(CJ76*'Reagent cost'!$C$36*122.44/1000*1.5+CK76*'Oxidant Feed Composition'!$N$26+CQ76*'Reagent cost'!$C$34+CR76*'Reagent cost'!$C$35)</f>
        <v>111.50340573587894</v>
      </c>
      <c r="DG76">
        <f>2*2*(CS76*'Reagent cost'!$C$36*122.44/1000*1.5+CT76*'Oxidant Feed Composition'!$N$26+CX76*'Reagent cost'!$C$34+CY76*'Reagent cost'!$C$35)</f>
        <v>200.42313381503726</v>
      </c>
      <c r="DH76">
        <f>(AF76+3)*2*(CZ76*'Reagent cost'!$C$38+DA76*'Reagent cost'!$C$39+DB76*'Reagent cost'!$C$36*122.44/1000*1.5)</f>
        <v>1663.8175066588428</v>
      </c>
      <c r="DI76">
        <f>3*2*(DC76*'Reagent cost'!$C$38+DD76*'Reagent cost'!$C$39+DE76*'Reagent cost'!$C$36*122.44/1000*1.5)</f>
        <v>1755.7883772988407</v>
      </c>
      <c r="DJ76">
        <f>7963.6*(CB76/1000)^0.6*1.7*('CAPEX+OPEX'!$G$116/'CAPEX+OPEX'!$G$115)</f>
        <v>2138.7234102796551</v>
      </c>
      <c r="DK76">
        <f>7963.6*(CC76/1000)^0.6*1.7*('CAPEX+OPEX'!$G$116/'CAPEX+OPEX'!$G$115)</f>
        <v>6199.4836239091055</v>
      </c>
      <c r="DL76">
        <f>7963.6*(CD76/1000)^0.6*1.7*('CAPEX+OPEX'!$G$116/'CAPEX+OPEX'!$G$115)</f>
        <v>3040.5381206969964</v>
      </c>
      <c r="DM76">
        <f>7963.6*(CE76/1000)^0.6*1.7*('CAPEX+OPEX'!$G$116/'CAPEX+OPEX'!$G$115)</f>
        <v>6719.9990766358605</v>
      </c>
      <c r="DN76">
        <f>'TEA Revised Non EYZ'!CM76</f>
        <v>39625.826528698344</v>
      </c>
      <c r="DO76">
        <f>'TEA Revised Non EYZ'!CN76</f>
        <v>4586243.4239371875</v>
      </c>
      <c r="DP76">
        <f>'TEA Revised Non EYZ'!CO76</f>
        <v>11794834.586807497</v>
      </c>
      <c r="DQ76">
        <f>'TEA Revised Non EYZ'!CP76</f>
        <v>2275209.1661185985</v>
      </c>
      <c r="DR76">
        <f>'TEA Revised Non EYZ'!CQ76</f>
        <v>14083914.336508472</v>
      </c>
      <c r="DS76">
        <f>'TEA Revised Non EYZ'!CR76</f>
        <v>1662824.8986326549</v>
      </c>
      <c r="DT76">
        <f>'TEA Revised Non EYZ'!CS76</f>
        <v>847423.79840727116</v>
      </c>
      <c r="DU76">
        <f>'TEA Revised Non EYZ'!CT76</f>
        <v>2179392.2832288719</v>
      </c>
      <c r="DV76">
        <f>'TEA Revised Non EYZ'!CU76</f>
        <v>420402.1059283549</v>
      </c>
      <c r="DW76">
        <f>'TEA Revised Non EYZ'!CV76</f>
        <v>2602357.3282642425</v>
      </c>
      <c r="DX76">
        <f>'TEA Revised Non EYZ'!CW76</f>
        <v>307248.71347447456</v>
      </c>
      <c r="DY76">
        <f>'TEA Revised Non EYZ'!CX76</f>
        <v>6356824.2293032147</v>
      </c>
      <c r="DZ76">
        <f>'TEA Revised Non EYZ'!CY76</f>
        <v>709494.50626692141</v>
      </c>
      <c r="EA76">
        <f>'TEA Revised Non EYZ'!CZ76</f>
        <v>1824667.7221687753</v>
      </c>
      <c r="EB76">
        <f>'TEA Revised Non EYZ'!DA76</f>
        <v>351976.17194586084</v>
      </c>
      <c r="EC76">
        <f>'TEA Revised Non EYZ'!DB76</f>
        <v>2178789.6814051773</v>
      </c>
      <c r="ED76">
        <f>'TEA Revised Non EYZ'!DC76</f>
        <v>257239.97211009727</v>
      </c>
      <c r="EE76">
        <f>'TEA Revised Non EYZ'!DD76</f>
        <v>5322168.0538968323</v>
      </c>
      <c r="EF76">
        <v>0.7</v>
      </c>
      <c r="EG76">
        <v>100</v>
      </c>
      <c r="EH76">
        <f>96485*BL76*V76/EF76/EG76/60</f>
        <v>25.171940201830719</v>
      </c>
      <c r="EI76">
        <f>96485*BN76*BA76/EF76/EG76/60</f>
        <v>45.245605783611254</v>
      </c>
      <c r="EJ76">
        <f>EH76*('CAPEX+OPEX'!$O$25+'CAPEX+OPEX'!$O$26)</f>
        <v>802280.07811274868</v>
      </c>
      <c r="EK76">
        <f>EI76*('CAPEX+OPEX'!$O$25+'CAPEX+OPEX'!$O$26)</f>
        <v>1442067.9475352578</v>
      </c>
      <c r="EL76">
        <f>EJ76*1.12/0.6*'CAPEX+OPEX'!$G$116/'CAPEX+OPEX'!$G$115</f>
        <v>1766344.2502316802</v>
      </c>
      <c r="EM76">
        <f>EK76*1.12/0.6*'CAPEX+OPEX'!$G$116/'CAPEX+OPEX'!$G$115</f>
        <v>3174936.6549948575</v>
      </c>
      <c r="EN76">
        <f>EL76+EM76+DY76+EE76+1.15*(SUM(DF76:DM76)+SUM(CF76:CI76))</f>
        <v>16706293.304982265</v>
      </c>
      <c r="EO76">
        <f>EN76/15</f>
        <v>1113752.8869988178</v>
      </c>
      <c r="EP76">
        <f>('eLLE Bals'!CB76+'eLLE Bals'!CC76)*'Oxidant Feed Composition'!$N$28*60*7200</f>
        <v>17040436.127867397</v>
      </c>
      <c r="EQ76" s="53">
        <f>('eLLE Bals'!BR76+'eLLE Bals'!BY76)*'Reagent cost'!$C$38*60*7200*1.5</f>
        <v>757941.55387225398</v>
      </c>
      <c r="ER76">
        <f>'TEA Revised Non EYZ'!DI76</f>
        <v>504921.59999999998</v>
      </c>
      <c r="ES76">
        <f>'TEA Revised Non EYZ'!DJ76</f>
        <v>86.708923094590901</v>
      </c>
      <c r="ET76">
        <f>'TEA Revised Non EYZ'!DK76</f>
        <v>885.97864776555616</v>
      </c>
      <c r="EU76">
        <f>1.2*SUM(EP76:ET76)</f>
        <v>21965126.363172613</v>
      </c>
      <c r="EV76">
        <f>'TEA Revised Non EYZ'!DM76</f>
        <v>0.70639694042110623</v>
      </c>
      <c r="EW76">
        <f>(BS76*CO76+BT76*CP76)/1000*('Oxidant Feed Composition'!$B$11*'Oxidant Feed Composition'!$O$20+'Oxidant Feed Composition'!$D$11*'Oxidant Feed Composition'!$O$21+'Oxidant Feed Composition'!$F$11*'Oxidant Feed Composition'!$O$27-'Oxidant Feed Composition'!$J$15*18.015)</f>
        <v>1.7898874958036213</v>
      </c>
      <c r="EX76">
        <f>(CZ76*BX76+DC76*BZ76)*368.34/1000</f>
        <v>0.10199901265597461</v>
      </c>
      <c r="EY76">
        <f>'TEA Revised Non EYZ'!DP76</f>
        <v>4.999938342565946E-2</v>
      </c>
      <c r="EZ76">
        <f>SUM(EV76:EX76)-EY76</f>
        <v>2.5482840654550429</v>
      </c>
      <c r="FA76">
        <f>EZ76*0.33*60*7200</f>
        <v>363283.37637127092</v>
      </c>
      <c r="FB76">
        <f>'TEA Revised Non EYZ'!DS76</f>
        <v>1.2</v>
      </c>
      <c r="FC76">
        <v>0.5</v>
      </c>
      <c r="FD76">
        <f>'TEA Revised Non EYZ'!DT76</f>
        <v>1405.8351729230828</v>
      </c>
      <c r="FE76">
        <f>'TEA Revised Non EYZ'!DU76</f>
        <v>705.85320127009629</v>
      </c>
      <c r="FF76">
        <f>'TEA Revised Non EYZ'!DV76</f>
        <v>0.7</v>
      </c>
      <c r="FG76">
        <f>'TEA Revised Non EYZ'!DW76</f>
        <v>46784.46952433938</v>
      </c>
      <c r="FH76">
        <f>'TEA Revised Non EYZ'!DX76</f>
        <v>45678.708869524045</v>
      </c>
      <c r="FI76">
        <f>'TEA Revised Non EYZ'!DY76</f>
        <v>19339.775932661389</v>
      </c>
      <c r="FJ76">
        <f>'TEA Revised Non EYZ'!DZ76</f>
        <v>10244.818866671721</v>
      </c>
      <c r="FK76">
        <f>'TEA Revised Non EYZ'!EA76</f>
        <v>10314.547164086078</v>
      </c>
      <c r="FL76">
        <f>'TEA Revised Non EYZ'!EB76</f>
        <v>850.24911258388056</v>
      </c>
      <c r="FM76">
        <f>'TEA Revised Non EYZ'!EC76</f>
        <v>38570.52314689981</v>
      </c>
      <c r="FN76">
        <f>'TEA Revised Non EYZ'!ED76</f>
        <v>34914.519262449241</v>
      </c>
      <c r="FO76">
        <f>'TEA Revised Non EYZ'!EE76</f>
        <v>14782.35694579504</v>
      </c>
      <c r="FP76">
        <f>'TEA Revised Non EYZ'!EF76</f>
        <v>7834.9862778455226</v>
      </c>
      <c r="FQ76">
        <f>'TEA Revised Non EYZ'!EG76</f>
        <v>7883.9237044240235</v>
      </c>
      <c r="FR76">
        <f>'TEA Revised Non EYZ'!EH76</f>
        <v>426.90001612815422</v>
      </c>
      <c r="FS76">
        <f>'TEA Revised Non EYZ'!EI76</f>
        <v>237625.77882340824</v>
      </c>
      <c r="FT76">
        <f>EG76*EH76</f>
        <v>2517.1940201830716</v>
      </c>
      <c r="FU76">
        <f>EG76*EI76</f>
        <v>4524.5605783611254</v>
      </c>
      <c r="FV76">
        <f>FC76*(FT76+FU76)/(3.6*10^6)*3600*7200*0.07</f>
        <v>1774.5221588331378</v>
      </c>
      <c r="FW76">
        <f>('CAPEX+OPEX'!$C$39/7/100+0.03)*EL76</f>
        <v>90840.561440486417</v>
      </c>
      <c r="FX76">
        <f>('CAPEX+OPEX'!$C$39/7/100+0.03)*EM76</f>
        <v>163282.45654259267</v>
      </c>
      <c r="FY76">
        <f>SUM(FV76:FX76)</f>
        <v>255897.54014191224</v>
      </c>
      <c r="FZ76">
        <f>FY76+FA76+FS76+EU76</f>
        <v>22821933.058509205</v>
      </c>
      <c r="GA76">
        <f>FZ76+EO76</f>
        <v>23935685.945508022</v>
      </c>
      <c r="GB76">
        <f>GA76/(BK76*60*7200)</f>
        <v>0.55406680429416721</v>
      </c>
      <c r="GC76">
        <f>'TEA Revised Non EYZ'!EM76/'TEA Revised Non EYZ'!EK76*GA76</f>
        <v>1853.6756676319192</v>
      </c>
      <c r="GD76">
        <f>'TEA Revised Non EYZ'!EN76/'TEA Revised Non EYZ'!EK76*GA76</f>
        <v>3401.6113781671984</v>
      </c>
    </row>
    <row r="77" spans="1:186">
      <c r="A77">
        <f>'TEA Revised Non EYZ'!A77</f>
        <v>10</v>
      </c>
      <c r="B77">
        <f>'TEA Revised Non EYZ'!B77</f>
        <v>1.54143585092054E-3</v>
      </c>
      <c r="C77">
        <f>'TEA Revised Non EYZ'!C77</f>
        <v>1.54143585092054E-3</v>
      </c>
      <c r="D77">
        <f>'TEA Revised Non EYZ'!D77</f>
        <v>3.4254130020456501E-4</v>
      </c>
      <c r="E77">
        <f>'TEA Revised Non EYZ'!E77</f>
        <v>0</v>
      </c>
      <c r="F77">
        <f>'TEA Revised Non EYZ'!F77</f>
        <v>0</v>
      </c>
      <c r="G77">
        <f>'TEA Revised Non EYZ'!G77</f>
        <v>0</v>
      </c>
      <c r="H77">
        <f>'TEA Revised Non EYZ'!H77</f>
        <v>1.7770671970930099E-5</v>
      </c>
      <c r="I77">
        <f>'TEA Revised Non EYZ'!I77</f>
        <v>5.2649488631162003E-10</v>
      </c>
      <c r="J77">
        <f>'TEA Revised Non EYZ'!J77</f>
        <v>3.3765279177869602E-4</v>
      </c>
      <c r="K77">
        <f>'TEA Revised Non EYZ'!K77</f>
        <v>0.139053960209192</v>
      </c>
      <c r="L77">
        <f>'TEA Revised Non EYZ'!L77</f>
        <v>0.14067571356050099</v>
      </c>
      <c r="M77">
        <f>'TEA Revised Non EYZ'!M77</f>
        <v>4.4613899794023002E-4</v>
      </c>
      <c r="N77">
        <f>'TEA Revised Non EYZ'!N77</f>
        <v>-1.6046192152785399E-16</v>
      </c>
      <c r="O77">
        <f>'TEA Revised Non EYZ'!O77</f>
        <v>-5.9831913729046996E-14</v>
      </c>
      <c r="P77">
        <f>'TEA Revised Non EYZ'!P77</f>
        <v>-6.6915602833089703E-20</v>
      </c>
      <c r="Q77">
        <f>'TEA Revised Non EYZ'!Q77</f>
        <v>0.10957366310586</v>
      </c>
      <c r="R77">
        <f>'TEA Revised Non EYZ'!R77</f>
        <v>98.572870359588904</v>
      </c>
      <c r="S77">
        <f>'TEA Revised Non EYZ'!S77</f>
        <v>500</v>
      </c>
      <c r="T77">
        <f>'TEA Revised Non EYZ'!T77</f>
        <v>95</v>
      </c>
      <c r="U77">
        <f>'TEA Revised Non EYZ'!U77</f>
        <v>1</v>
      </c>
      <c r="V77">
        <f>'TEA Revised Non EYZ'!V77</f>
        <v>0.1</v>
      </c>
      <c r="W77">
        <f>'TEA Revised Non EYZ'!W77</f>
        <v>91.262806376555005</v>
      </c>
      <c r="X77" t="str">
        <f>'TEA Revised Non EYZ'!X77</f>
        <v>ddFc</v>
      </c>
      <c r="Y77">
        <f>'TEA Revised Non EYZ'!Y77</f>
        <v>1</v>
      </c>
      <c r="Z77">
        <f>'TEA Revised Non EYZ'!Z77</f>
        <v>0.28318429382522198</v>
      </c>
      <c r="AA77">
        <f>'TEA Revised Non EYZ'!AA77</f>
        <v>0.56945642916197003</v>
      </c>
      <c r="AB77">
        <f>'TEA Revised Non EYZ'!AB77</f>
        <v>3.7698628972227502E-3</v>
      </c>
      <c r="AC77">
        <f>'TEA Revised Non EYZ'!AC77</f>
        <v>1822.2107908876901</v>
      </c>
      <c r="AD77">
        <f>'TEA Revised Non EYZ'!AD77</f>
        <v>2662.6059073104898</v>
      </c>
      <c r="AE77">
        <f>'TEA Revised Non EYZ'!AE77</f>
        <v>2401.5030938442701</v>
      </c>
      <c r="AF77">
        <f>'TEA Revised Non EYZ'!AF77</f>
        <v>9</v>
      </c>
      <c r="AG77">
        <f>'TEA Revised Non EYZ'!AG77</f>
        <v>1.6497548842793E-3</v>
      </c>
      <c r="AH77">
        <f>'TEA Revised Non EYZ'!AH77</f>
        <v>1.66899558413707E-3</v>
      </c>
      <c r="AI77">
        <f>'TEA Revised Non EYZ'!AI77</f>
        <v>5.2930530695573503E-6</v>
      </c>
      <c r="AJ77">
        <f>'TEA Revised Non EYZ'!AJ77</f>
        <v>0</v>
      </c>
      <c r="AK77">
        <f>'TEA Revised Non EYZ'!AK77</f>
        <v>0</v>
      </c>
      <c r="AL77">
        <f>'TEA Revised Non EYZ'!AL77</f>
        <v>0</v>
      </c>
      <c r="AM77">
        <f>'TEA Revised Non EYZ'!AM77</f>
        <v>1.6127928524710801E-3</v>
      </c>
      <c r="AN77">
        <f>'TEA Revised Non EYZ'!AN77</f>
        <v>7.9625604160899597E-5</v>
      </c>
      <c r="AO77">
        <f>'TEA Revised Non EYZ'!AO77</f>
        <v>5.2582301473474496E-6</v>
      </c>
      <c r="AP77">
        <f>'TEA Revised Non EYZ'!AP77</f>
        <v>1.73376028278021E-3</v>
      </c>
      <c r="AQ77">
        <f>'TEA Revised Non EYZ'!AQ77</f>
        <v>7.4551814690152901E-2</v>
      </c>
      <c r="AR77">
        <f>'TEA Revised Non EYZ'!AR77</f>
        <v>1.6334220957110999E-6</v>
      </c>
      <c r="AS77">
        <f>'TEA Revised Non EYZ'!AS77</f>
        <v>3.7072938035426199E-17</v>
      </c>
      <c r="AT77">
        <f>'TEA Revised Non EYZ'!AT77</f>
        <v>-4.8554910092590799E-15</v>
      </c>
      <c r="AU77">
        <f>'TEA Revised Non EYZ'!AU77</f>
        <v>-3.3748968992163501E-22</v>
      </c>
      <c r="AV77">
        <f>'TEA Revised Non EYZ'!AV77</f>
        <v>0.19689600584133801</v>
      </c>
      <c r="AW77">
        <f>'TEA Revised Non EYZ'!AW77</f>
        <v>99.342101396825598</v>
      </c>
      <c r="AX77">
        <f>'TEA Revised Non EYZ'!AX77</f>
        <v>500</v>
      </c>
      <c r="AY77">
        <f>'TEA Revised Non EYZ'!AY77</f>
        <v>95</v>
      </c>
      <c r="AZ77">
        <f>'TEA Revised Non EYZ'!AZ77</f>
        <v>0.92357064280818002</v>
      </c>
      <c r="BA77">
        <f>'TEA Revised Non EYZ'!BA77</f>
        <v>0.1</v>
      </c>
      <c r="BB77">
        <f>'TEA Revised Non EYZ'!BB77</f>
        <v>46.906519960207</v>
      </c>
      <c r="BC77" t="str">
        <f>'TEA Revised Non EYZ'!BC77</f>
        <v>coeFc</v>
      </c>
      <c r="BD77">
        <f>'TEA Revised Non EYZ'!BD77</f>
        <v>1</v>
      </c>
      <c r="BE77">
        <f>'TEA Revised Non EYZ'!BE77</f>
        <v>1.8775014999999999E-2</v>
      </c>
      <c r="BF77">
        <f>'TEA Revised Non EYZ'!BF77</f>
        <v>0.10492961100000001</v>
      </c>
      <c r="BG77">
        <f>'TEA Revised Non EYZ'!BG77</f>
        <v>1.814625E-3</v>
      </c>
      <c r="BH77">
        <f>'TEA Revised Non EYZ'!BH77</f>
        <v>285.1951444</v>
      </c>
      <c r="BI77">
        <f>'TEA Revised Non EYZ'!BI77</f>
        <v>2169.8944889999998</v>
      </c>
      <c r="BJ77">
        <f>'TEA Revised Non EYZ'!BJ77</f>
        <v>866.49409060000005</v>
      </c>
      <c r="BK77">
        <f>'TEA Revised Non EYZ'!BK77</f>
        <v>100</v>
      </c>
      <c r="BL77">
        <f>'TEA Revised Non EYZ'!BL77</f>
        <v>10.957366310586</v>
      </c>
      <c r="BM77">
        <f>'TEA Revised Non EYZ'!BM77</f>
        <v>92.357064280818008</v>
      </c>
      <c r="BN77">
        <f>'TEA Revised Non EYZ'!BN77</f>
        <v>19.6896005841338</v>
      </c>
      <c r="BO77">
        <f>'TEA Revised Non EYZ'!BO77</f>
        <v>262.97679145406403</v>
      </c>
      <c r="BP77">
        <f>'TEA Revised Non EYZ'!BP77</f>
        <v>433.17121285094356</v>
      </c>
      <c r="BQ77">
        <f>'TEA Revised Non EYZ'!BQ77</f>
        <v>26.297679145406406</v>
      </c>
      <c r="BR77">
        <f>'TEA Revised Non EYZ'!BR77</f>
        <v>43.317121285094359</v>
      </c>
      <c r="BS77">
        <f>'eLLE Bals'!CF77</f>
        <v>6.5744197863515996</v>
      </c>
      <c r="BT77">
        <f>'eLLE Bals'!CG77</f>
        <v>11.81376035048028</v>
      </c>
      <c r="BU77">
        <f>BM77</f>
        <v>92.357064280818008</v>
      </c>
      <c r="BV77">
        <f>BU77*(AM77*2+AN77*2+AO77*3)</f>
        <v>0.31407050447757079</v>
      </c>
      <c r="BW77">
        <f>BN77*BA77*(AP77*2+AQ77*2+AR77*3)</f>
        <v>0.30041614873820427</v>
      </c>
      <c r="BX77">
        <f>BV77/(2*V77*BL77+BV77)</f>
        <v>0.1253502368088413</v>
      </c>
      <c r="BY77">
        <f>BU77*BX77</f>
        <v>11.576979878569915</v>
      </c>
      <c r="BZ77">
        <f>BW77/(2*BN77*BA77+BW77)</f>
        <v>7.0880678151703763E-2</v>
      </c>
      <c r="CA77">
        <f>2*BN77*BA77/0.04</f>
        <v>98.448002920668998</v>
      </c>
      <c r="CB77">
        <f>(BS77+BL77)*2</f>
        <v>35.063572193875203</v>
      </c>
      <c r="CC77">
        <f>(BU77+BL77)*2</f>
        <v>206.62886118280801</v>
      </c>
      <c r="CD77">
        <f>(BT77+BN77)*2</f>
        <v>63.006721869228159</v>
      </c>
      <c r="CE77">
        <f>(CA77+BN77)*2</f>
        <v>236.27520700960559</v>
      </c>
      <c r="CF77">
        <f>'TEA Revised Non EYZ'!CB77</f>
        <v>3471.2936471936455</v>
      </c>
      <c r="CG77">
        <f>'TEA Revised Non EYZ'!CC77</f>
        <v>5717.8600096324553</v>
      </c>
      <c r="CH77">
        <f>'TEA Revised Non EYZ'!CD77</f>
        <v>4193.9657747282263</v>
      </c>
      <c r="CI77">
        <f>'TEA Revised Non EYZ'!CE77</f>
        <v>44102.36244797946</v>
      </c>
      <c r="CJ77">
        <f>BL77*V77</f>
        <v>1.0957366310586001</v>
      </c>
      <c r="CK77">
        <f>CJ77/2*1.2</f>
        <v>0.65744197863516007</v>
      </c>
      <c r="CL77">
        <f>'eLLE Bals'!CB77*'Oxidant Feed Composition'!$N$20</f>
        <v>3.6524554368620017E-2</v>
      </c>
      <c r="CM77">
        <f>'eLLE Bals'!CB77*'Oxidant Feed Composition'!$N$21</f>
        <v>1.8262277184310003</v>
      </c>
      <c r="CN77">
        <f>'eLLE Bals'!CB77*'Oxidant Feed Composition'!$N$22</f>
        <v>0.54786831552930004</v>
      </c>
      <c r="CO77">
        <f>CN77/CK77</f>
        <v>0.83333333333333326</v>
      </c>
      <c r="CP77">
        <f>CO77</f>
        <v>0.83333333333333326</v>
      </c>
      <c r="CQ77">
        <f>CL77/CO77</f>
        <v>4.3829465242344025E-2</v>
      </c>
      <c r="CR77">
        <f>CM77/CO77</f>
        <v>2.1914732621172006</v>
      </c>
      <c r="CS77">
        <f>BN77*BA77</f>
        <v>1.96896005841338</v>
      </c>
      <c r="CT77">
        <f>CS77/2*1.2</f>
        <v>1.181376035048028</v>
      </c>
      <c r="CU77">
        <f>'eLLE Bals'!CC77*'Oxidant Feed Composition'!$N$20</f>
        <v>6.5632001947112689E-2</v>
      </c>
      <c r="CV77">
        <f>'eLLE Bals'!CC77*'Oxidant Feed Composition'!$N$21</f>
        <v>3.2816000973556334</v>
      </c>
      <c r="CW77">
        <f>'eLLE Bals'!CC77*'Oxidant Feed Composition'!$N$22</f>
        <v>0.98448002920668998</v>
      </c>
      <c r="CX77">
        <f>CU77/CP77</f>
        <v>7.8758402336535235E-2</v>
      </c>
      <c r="CY77">
        <f>CV77/CP77</f>
        <v>3.9379201168267604</v>
      </c>
      <c r="CZ77">
        <f>CJ77</f>
        <v>1.0957366310586001</v>
      </c>
      <c r="DA77">
        <f>'eLLE Bals'!BQ77</f>
        <v>2.1914732621172002</v>
      </c>
      <c r="DB77">
        <f>'eLLE Bals'!BU77</f>
        <v>5.4541906733858641</v>
      </c>
      <c r="DC77">
        <f>CS77</f>
        <v>1.96896005841338</v>
      </c>
      <c r="DD77">
        <f>'eLLE Bals'!BX77</f>
        <v>3.9379201168267599</v>
      </c>
      <c r="DE77">
        <f>'eLLE Bals'!CA77</f>
        <v>21.871635913436023</v>
      </c>
      <c r="DF77">
        <f>2*2*(CJ77*'Reagent cost'!$C$36*122.44/1000*1.5+CK77*'Oxidant Feed Composition'!$N$26+CQ77*'Reagent cost'!$C$34+CR77*'Reagent cost'!$C$35)</f>
        <v>111.50340573587894</v>
      </c>
      <c r="DG77">
        <f>2*2*(CS77*'Reagent cost'!$C$36*122.44/1000*1.5+CT77*'Oxidant Feed Composition'!$N$26+CX77*'Reagent cost'!$C$34+CY77*'Reagent cost'!$C$35)</f>
        <v>200.3636148030408</v>
      </c>
      <c r="DH77">
        <f>(AF77+3)*2*(CZ77*'Reagent cost'!$C$38+DA77*'Reagent cost'!$C$39+DB77*'Reagent cost'!$C$36*122.44/1000*1.5)</f>
        <v>1815.0156435507342</v>
      </c>
      <c r="DI77">
        <f>3*2*(DC77*'Reagent cost'!$C$38+DD77*'Reagent cost'!$C$39+DE77*'Reagent cost'!$C$36*122.44/1000*1.5)</f>
        <v>1754.7215148507446</v>
      </c>
      <c r="DJ77">
        <f>7963.6*(CB77/1000)^0.6*1.7*('CAPEX+OPEX'!$G$116/'CAPEX+OPEX'!$G$115)</f>
        <v>2138.7234102796551</v>
      </c>
      <c r="DK77">
        <f>7963.6*(CC77/1000)^0.6*1.7*('CAPEX+OPEX'!$G$116/'CAPEX+OPEX'!$G$115)</f>
        <v>6199.4836239091055</v>
      </c>
      <c r="DL77">
        <f>7963.6*(CD77/1000)^0.6*1.7*('CAPEX+OPEX'!$G$116/'CAPEX+OPEX'!$G$115)</f>
        <v>3039.9963252325761</v>
      </c>
      <c r="DM77">
        <f>7963.6*(CE77/1000)^0.6*1.7*('CAPEX+OPEX'!$G$116/'CAPEX+OPEX'!$G$115)</f>
        <v>6718.8016356316366</v>
      </c>
      <c r="DN77">
        <f>'TEA Revised Non EYZ'!CM77</f>
        <v>39625.826528698344</v>
      </c>
      <c r="DO77">
        <f>'TEA Revised Non EYZ'!CN77</f>
        <v>4586243.4239371875</v>
      </c>
      <c r="DP77">
        <f>'TEA Revised Non EYZ'!CO77</f>
        <v>11794834.586807497</v>
      </c>
      <c r="DQ77">
        <f>'TEA Revised Non EYZ'!CP77</f>
        <v>2275209.1661185985</v>
      </c>
      <c r="DR77">
        <f>'TEA Revised Non EYZ'!CQ77</f>
        <v>14083914.336508472</v>
      </c>
      <c r="DS77">
        <f>'TEA Revised Non EYZ'!CR77</f>
        <v>1662824.8986326549</v>
      </c>
      <c r="DT77">
        <f>'TEA Revised Non EYZ'!CS77</f>
        <v>847423.79840727116</v>
      </c>
      <c r="DU77">
        <f>'TEA Revised Non EYZ'!CT77</f>
        <v>2179392.2832288719</v>
      </c>
      <c r="DV77">
        <f>'TEA Revised Non EYZ'!CU77</f>
        <v>420402.1059283549</v>
      </c>
      <c r="DW77">
        <f>'TEA Revised Non EYZ'!CV77</f>
        <v>2602357.3282642425</v>
      </c>
      <c r="DX77">
        <f>'TEA Revised Non EYZ'!CW77</f>
        <v>307248.71347447456</v>
      </c>
      <c r="DY77">
        <f>'TEA Revised Non EYZ'!CX77</f>
        <v>6356824.2293032147</v>
      </c>
      <c r="DZ77">
        <f>'TEA Revised Non EYZ'!CY77</f>
        <v>755794.15915808035</v>
      </c>
      <c r="EA77">
        <f>'TEA Revised Non EYZ'!CZ77</f>
        <v>1943740.5006496462</v>
      </c>
      <c r="EB77">
        <f>'TEA Revised Non EYZ'!DA77</f>
        <v>374945.16528281744</v>
      </c>
      <c r="EC77">
        <f>'TEA Revised Non EYZ'!DB77</f>
        <v>2320971.4813780542</v>
      </c>
      <c r="ED77">
        <f>'TEA Revised Non EYZ'!DC77</f>
        <v>274026.74256882182</v>
      </c>
      <c r="EE77">
        <f>'TEA Revised Non EYZ'!DD77</f>
        <v>5669478.0490374202</v>
      </c>
      <c r="EF77">
        <v>0.7</v>
      </c>
      <c r="EG77">
        <v>100</v>
      </c>
      <c r="EH77">
        <f>96485*BL77*V77/EF77/EG77/60</f>
        <v>25.171940201830719</v>
      </c>
      <c r="EI77">
        <f>96485*BN77*BA77/EF77/EG77/60</f>
        <v>45.232169341908325</v>
      </c>
      <c r="EJ77">
        <f>EH77*('CAPEX+OPEX'!$O$25+'CAPEX+OPEX'!$O$26)</f>
        <v>802280.07811274868</v>
      </c>
      <c r="EK77">
        <f>EI77*('CAPEX+OPEX'!$O$25+'CAPEX+OPEX'!$O$26)</f>
        <v>1441639.701265302</v>
      </c>
      <c r="EL77">
        <f>EJ77*1.12/0.6*'CAPEX+OPEX'!$G$116/'CAPEX+OPEX'!$G$115</f>
        <v>1766344.2502316802</v>
      </c>
      <c r="EM77">
        <f>EK77*1.12/0.6*'CAPEX+OPEX'!$G$116/'CAPEX+OPEX'!$G$115</f>
        <v>3173993.8042906509</v>
      </c>
      <c r="EN77">
        <f>EL77+EM77+DY77+EE77+1.15*(SUM(DF77:DM77)+SUM(CF77:CI77))</f>
        <v>17058024.037574522</v>
      </c>
      <c r="EO77">
        <f>EN77/15</f>
        <v>1137201.6025049682</v>
      </c>
      <c r="EP77">
        <f>('eLLE Bals'!CB77+'eLLE Bals'!CC77)*'Oxidant Feed Composition'!$N$28*60*7200</f>
        <v>17037184.625370111</v>
      </c>
      <c r="EQ77" s="53">
        <f>('eLLE Bals'!BR77+'eLLE Bals'!BY77)*'Reagent cost'!$C$38*60*7200*1.5</f>
        <v>757932.48335514171</v>
      </c>
      <c r="ER77">
        <f>'TEA Revised Non EYZ'!DI77</f>
        <v>504921.59999999998</v>
      </c>
      <c r="ES77">
        <f>'TEA Revised Non EYZ'!DJ77</f>
        <v>91.891536568261003</v>
      </c>
      <c r="ET77">
        <f>'TEA Revised Non EYZ'!DK77</f>
        <v>965.92656445415378</v>
      </c>
      <c r="EU77">
        <f>1.2*SUM(EP77:ET77)</f>
        <v>21961315.832191531</v>
      </c>
      <c r="EV77">
        <f>'TEA Revised Non EYZ'!DM77</f>
        <v>0.70639694042110623</v>
      </c>
      <c r="EW77">
        <f>(BS77*CO77+BT77*CP77)/1000*('Oxidant Feed Composition'!$B$11*'Oxidant Feed Composition'!$O$20+'Oxidant Feed Composition'!$D$11*'Oxidant Feed Composition'!$O$21+'Oxidant Feed Composition'!$F$11*'Oxidant Feed Composition'!$O$27-'Oxidant Feed Composition'!$J$15*18.015)</f>
        <v>1.7895459655975396</v>
      </c>
      <c r="EX77">
        <f>(CZ77*BX77+DC77*BZ77)*368.34/1000</f>
        <v>0.10199779200276589</v>
      </c>
      <c r="EY77">
        <f>'TEA Revised Non EYZ'!DP77</f>
        <v>4.999938342565946E-2</v>
      </c>
      <c r="EZ77">
        <f>SUM(EV77:EX77)-EY77</f>
        <v>2.5479413145957523</v>
      </c>
      <c r="FA77">
        <f>EZ77*0.33*60*7200</f>
        <v>363234.51380877045</v>
      </c>
      <c r="FB77">
        <f>'TEA Revised Non EYZ'!DS77</f>
        <v>1.2</v>
      </c>
      <c r="FC77">
        <v>0.5</v>
      </c>
      <c r="FD77">
        <f>'TEA Revised Non EYZ'!DT77</f>
        <v>1405.8694518465684</v>
      </c>
      <c r="FE77">
        <f>'TEA Revised Non EYZ'!DU77</f>
        <v>705.8189218133607</v>
      </c>
      <c r="FF77">
        <f>'TEA Revised Non EYZ'!DV77</f>
        <v>0.7</v>
      </c>
      <c r="FG77">
        <f>'TEA Revised Non EYZ'!DW77</f>
        <v>46784.46952433938</v>
      </c>
      <c r="FH77">
        <f>'TEA Revised Non EYZ'!DX77</f>
        <v>45678.708869524045</v>
      </c>
      <c r="FI77">
        <f>'TEA Revised Non EYZ'!DY77</f>
        <v>19339.775932661389</v>
      </c>
      <c r="FJ77">
        <f>'TEA Revised Non EYZ'!DZ77</f>
        <v>10244.818866671721</v>
      </c>
      <c r="FK77">
        <f>'TEA Revised Non EYZ'!EA77</f>
        <v>10314.547164086078</v>
      </c>
      <c r="FL77">
        <f>'TEA Revised Non EYZ'!EB77</f>
        <v>850.26984447680456</v>
      </c>
      <c r="FM77">
        <f>'TEA Revised Non EYZ'!EC77</f>
        <v>41141.89135669313</v>
      </c>
      <c r="FN77">
        <f>'TEA Revised Non EYZ'!ED77</f>
        <v>38793.910291610271</v>
      </c>
      <c r="FO77">
        <f>'TEA Revised Non EYZ'!EE77</f>
        <v>16424.84105088338</v>
      </c>
      <c r="FP77">
        <f>'TEA Revised Non EYZ'!EF77</f>
        <v>8705.5403087172472</v>
      </c>
      <c r="FQ77">
        <f>'TEA Revised Non EYZ'!EG77</f>
        <v>8759.9152271378043</v>
      </c>
      <c r="FR77">
        <f>'TEA Revised Non EYZ'!EH77</f>
        <v>426.87928391272061</v>
      </c>
      <c r="FS77">
        <f>'TEA Revised Non EYZ'!EI77</f>
        <v>247465.56772071397</v>
      </c>
      <c r="FT77">
        <f>EG77*EH77</f>
        <v>2517.1940201830716</v>
      </c>
      <c r="FU77">
        <f>EG77*EI77</f>
        <v>4523.216934190832</v>
      </c>
      <c r="FV77">
        <f>FC77*(FT77+FU77)/(3.6*10^6)*3600*7200*0.07</f>
        <v>1774.1835605022241</v>
      </c>
      <c r="FW77">
        <f>('CAPEX+OPEX'!$C$39/7/100+0.03)*EL77</f>
        <v>90840.561440486417</v>
      </c>
      <c r="FX77">
        <f>('CAPEX+OPEX'!$C$39/7/100+0.03)*EM77</f>
        <v>163233.9670778049</v>
      </c>
      <c r="FY77">
        <f>SUM(FV77:FX77)</f>
        <v>255848.71207879356</v>
      </c>
      <c r="FZ77">
        <f>FY77+FA77+FS77+EU77</f>
        <v>22827864.625799809</v>
      </c>
      <c r="GA77">
        <f>FZ77+EO77</f>
        <v>23965066.228304777</v>
      </c>
      <c r="GB77">
        <f>GA77/(BK77*60*7200)</f>
        <v>0.55474690343298094</v>
      </c>
      <c r="GC77">
        <f>'TEA Revised Non EYZ'!EM77/'TEA Revised Non EYZ'!EK77*GA77</f>
        <v>1855.9057137692657</v>
      </c>
      <c r="GD77">
        <f>'TEA Revised Non EYZ'!EN77/'TEA Revised Non EYZ'!EK77*GA77</f>
        <v>3405.9392412944358</v>
      </c>
    </row>
    <row r="78" spans="1:186">
      <c r="A78">
        <f>'TEA Revised Non EYZ'!A78</f>
        <v>10</v>
      </c>
      <c r="B78">
        <f>'TEA Revised Non EYZ'!B78</f>
        <v>1.54143585092054E-3</v>
      </c>
      <c r="C78">
        <f>'TEA Revised Non EYZ'!C78</f>
        <v>1.54143585092054E-3</v>
      </c>
      <c r="D78">
        <f>'TEA Revised Non EYZ'!D78</f>
        <v>3.4254130020456501E-4</v>
      </c>
      <c r="E78">
        <f>'TEA Revised Non EYZ'!E78</f>
        <v>0</v>
      </c>
      <c r="F78">
        <f>'TEA Revised Non EYZ'!F78</f>
        <v>0</v>
      </c>
      <c r="G78">
        <f>'TEA Revised Non EYZ'!G78</f>
        <v>0</v>
      </c>
      <c r="H78">
        <f>'TEA Revised Non EYZ'!H78</f>
        <v>1.7770671970930099E-5</v>
      </c>
      <c r="I78">
        <f>'TEA Revised Non EYZ'!I78</f>
        <v>5.2649488631162003E-10</v>
      </c>
      <c r="J78">
        <f>'TEA Revised Non EYZ'!J78</f>
        <v>3.3765279177869602E-4</v>
      </c>
      <c r="K78">
        <f>'TEA Revised Non EYZ'!K78</f>
        <v>0.139053960209192</v>
      </c>
      <c r="L78">
        <f>'TEA Revised Non EYZ'!L78</f>
        <v>0.14067571356050099</v>
      </c>
      <c r="M78">
        <f>'TEA Revised Non EYZ'!M78</f>
        <v>4.4613899794023002E-4</v>
      </c>
      <c r="N78">
        <f>'TEA Revised Non EYZ'!N78</f>
        <v>-1.6046192152785399E-16</v>
      </c>
      <c r="O78">
        <f>'TEA Revised Non EYZ'!O78</f>
        <v>-5.9831913729046996E-14</v>
      </c>
      <c r="P78">
        <f>'TEA Revised Non EYZ'!P78</f>
        <v>-6.6915602833089703E-20</v>
      </c>
      <c r="Q78">
        <f>'TEA Revised Non EYZ'!Q78</f>
        <v>0.10957366310586</v>
      </c>
      <c r="R78">
        <f>'TEA Revised Non EYZ'!R78</f>
        <v>98.572870359588904</v>
      </c>
      <c r="S78">
        <f>'TEA Revised Non EYZ'!S78</f>
        <v>500</v>
      </c>
      <c r="T78">
        <f>'TEA Revised Non EYZ'!T78</f>
        <v>95</v>
      </c>
      <c r="U78">
        <f>'TEA Revised Non EYZ'!U78</f>
        <v>1</v>
      </c>
      <c r="V78">
        <f>'TEA Revised Non EYZ'!V78</f>
        <v>0.1</v>
      </c>
      <c r="W78">
        <f>'TEA Revised Non EYZ'!W78</f>
        <v>91.262806376555005</v>
      </c>
      <c r="X78" t="str">
        <f>'TEA Revised Non EYZ'!X78</f>
        <v>ddFc</v>
      </c>
      <c r="Y78">
        <f>'TEA Revised Non EYZ'!Y78</f>
        <v>1</v>
      </c>
      <c r="Z78">
        <f>'TEA Revised Non EYZ'!Z78</f>
        <v>0.28318429382522198</v>
      </c>
      <c r="AA78">
        <f>'TEA Revised Non EYZ'!AA78</f>
        <v>0.56945642916197003</v>
      </c>
      <c r="AB78">
        <f>'TEA Revised Non EYZ'!AB78</f>
        <v>3.7698628972227502E-3</v>
      </c>
      <c r="AC78">
        <f>'TEA Revised Non EYZ'!AC78</f>
        <v>1822.2107908876901</v>
      </c>
      <c r="AD78">
        <f>'TEA Revised Non EYZ'!AD78</f>
        <v>2662.6059073104898</v>
      </c>
      <c r="AE78">
        <f>'TEA Revised Non EYZ'!AE78</f>
        <v>2401.5030938442701</v>
      </c>
      <c r="AF78">
        <f>'TEA Revised Non EYZ'!AF78</f>
        <v>10</v>
      </c>
      <c r="AG78">
        <f>'TEA Revised Non EYZ'!AG78</f>
        <v>1.6497548842793E-3</v>
      </c>
      <c r="AH78">
        <f>'TEA Revised Non EYZ'!AH78</f>
        <v>1.66899558413707E-3</v>
      </c>
      <c r="AI78">
        <f>'TEA Revised Non EYZ'!AI78</f>
        <v>5.2930530695573503E-6</v>
      </c>
      <c r="AJ78">
        <f>'TEA Revised Non EYZ'!AJ78</f>
        <v>0</v>
      </c>
      <c r="AK78">
        <f>'TEA Revised Non EYZ'!AK78</f>
        <v>0</v>
      </c>
      <c r="AL78">
        <f>'TEA Revised Non EYZ'!AL78</f>
        <v>0</v>
      </c>
      <c r="AM78">
        <f>'TEA Revised Non EYZ'!AM78</f>
        <v>1.612803928521E-3</v>
      </c>
      <c r="AN78">
        <f>'TEA Revised Non EYZ'!AN78</f>
        <v>7.96261771409158E-5</v>
      </c>
      <c r="AO78">
        <f>'TEA Revised Non EYZ'!AO78</f>
        <v>5.2582401488513497E-6</v>
      </c>
      <c r="AP78">
        <f>'TEA Revised Non EYZ'!AP78</f>
        <v>1.7333856890078599E-3</v>
      </c>
      <c r="AQ78">
        <f>'TEA Revised Non EYZ'!AQ78</f>
        <v>7.4558022378498803E-2</v>
      </c>
      <c r="AR78">
        <f>'TEA Revised Non EYZ'!AR78</f>
        <v>1.6330895187087101E-6</v>
      </c>
      <c r="AS78">
        <f>'TEA Revised Non EYZ'!AS78</f>
        <v>6.1817751980698602E-15</v>
      </c>
      <c r="AT78">
        <f>'TEA Revised Non EYZ'!AT78</f>
        <v>-6.4017497899970799E-13</v>
      </c>
      <c r="AU78">
        <f>'TEA Revised Non EYZ'!AU78</f>
        <v>5.9603326218120902E-20</v>
      </c>
      <c r="AV78">
        <f>'TEA Revised Non EYZ'!AV78</f>
        <v>0.196879541421767</v>
      </c>
      <c r="AW78">
        <f>'TEA Revised Non EYZ'!AW78</f>
        <v>99.342290352117899</v>
      </c>
      <c r="AX78">
        <f>'TEA Revised Non EYZ'!AX78</f>
        <v>500</v>
      </c>
      <c r="AY78">
        <f>'TEA Revised Non EYZ'!AY78</f>
        <v>95</v>
      </c>
      <c r="AZ78">
        <f>'TEA Revised Non EYZ'!AZ78</f>
        <v>0.92357064280818002</v>
      </c>
      <c r="BA78">
        <f>'TEA Revised Non EYZ'!BA78</f>
        <v>0.1</v>
      </c>
      <c r="BB78">
        <f>'TEA Revised Non EYZ'!BB78</f>
        <v>46.910442605595598</v>
      </c>
      <c r="BC78" t="str">
        <f>'TEA Revised Non EYZ'!BC78</f>
        <v>coeFc</v>
      </c>
      <c r="BD78">
        <f>'TEA Revised Non EYZ'!BD78</f>
        <v>1</v>
      </c>
      <c r="BE78">
        <f>'TEA Revised Non EYZ'!BE78</f>
        <v>1.8775014999999999E-2</v>
      </c>
      <c r="BF78">
        <f>'TEA Revised Non EYZ'!BF78</f>
        <v>0.10492961100000001</v>
      </c>
      <c r="BG78">
        <f>'TEA Revised Non EYZ'!BG78</f>
        <v>1.814625E-3</v>
      </c>
      <c r="BH78">
        <f>'TEA Revised Non EYZ'!BH78</f>
        <v>285.1951444</v>
      </c>
      <c r="BI78">
        <f>'TEA Revised Non EYZ'!BI78</f>
        <v>2169.8944889999998</v>
      </c>
      <c r="BJ78">
        <f>'TEA Revised Non EYZ'!BJ78</f>
        <v>866.49409060000005</v>
      </c>
      <c r="BK78">
        <f>'TEA Revised Non EYZ'!BK78</f>
        <v>100</v>
      </c>
      <c r="BL78">
        <f>'TEA Revised Non EYZ'!BL78</f>
        <v>10.957366310586</v>
      </c>
      <c r="BM78">
        <f>'TEA Revised Non EYZ'!BM78</f>
        <v>92.357064280818008</v>
      </c>
      <c r="BN78">
        <f>'TEA Revised Non EYZ'!BN78</f>
        <v>19.6879541421767</v>
      </c>
      <c r="BO78">
        <f>'TEA Revised Non EYZ'!BO78</f>
        <v>262.97679145406403</v>
      </c>
      <c r="BP78">
        <f>'TEA Revised Non EYZ'!BP78</f>
        <v>472.5108994122408</v>
      </c>
      <c r="BQ78">
        <f>'TEA Revised Non EYZ'!BQ78</f>
        <v>26.297679145406406</v>
      </c>
      <c r="BR78">
        <f>'TEA Revised Non EYZ'!BR78</f>
        <v>47.25108994122408</v>
      </c>
      <c r="BS78">
        <f>'eLLE Bals'!CF78</f>
        <v>6.5744197863515996</v>
      </c>
      <c r="BT78">
        <f>'eLLE Bals'!CG78</f>
        <v>11.81277248530602</v>
      </c>
      <c r="BU78">
        <f>BM78</f>
        <v>92.357064280818008</v>
      </c>
      <c r="BV78">
        <f>BU78*(AM78*2+AN78*2+AO78*3)</f>
        <v>0.31407265898911269</v>
      </c>
      <c r="BW78">
        <f>BN78*BA78*(AP78*2+AQ78*2+AR78*3)</f>
        <v>0.30041399435249844</v>
      </c>
      <c r="BX78">
        <f>BV78/(2*V78*BL78+BV78)</f>
        <v>0.12535098891759097</v>
      </c>
      <c r="BY78">
        <f>BU78*BX78</f>
        <v>11.577049341126056</v>
      </c>
      <c r="BZ78">
        <f>BW78/(2*BN78*BA78+BW78)</f>
        <v>7.0885713186819951E-2</v>
      </c>
      <c r="CA78">
        <f>2*BN78*BA78/0.04</f>
        <v>98.439770710883494</v>
      </c>
      <c r="CB78">
        <f>(BS78+BL78)*2</f>
        <v>35.063572193875203</v>
      </c>
      <c r="CC78">
        <f>(BU78+BL78)*2</f>
        <v>206.62886118280801</v>
      </c>
      <c r="CD78">
        <f>(BT78+BN78)*2</f>
        <v>63.00145325496544</v>
      </c>
      <c r="CE78">
        <f>(CA78+BN78)*2</f>
        <v>236.25544970612037</v>
      </c>
      <c r="CF78">
        <f>'TEA Revised Non EYZ'!CB78</f>
        <v>3471.2936471936455</v>
      </c>
      <c r="CG78">
        <f>'TEA Revised Non EYZ'!CC78</f>
        <v>6237.1438722415787</v>
      </c>
      <c r="CH78">
        <f>'TEA Revised Non EYZ'!CD78</f>
        <v>4193.9657747282263</v>
      </c>
      <c r="CI78">
        <f>'TEA Revised Non EYZ'!CE78</f>
        <v>48107.645033351197</v>
      </c>
      <c r="CJ78">
        <f>BL78*V78</f>
        <v>1.0957366310586001</v>
      </c>
      <c r="CK78">
        <f>CJ78/2*1.2</f>
        <v>0.65744197863516007</v>
      </c>
      <c r="CL78">
        <f>'eLLE Bals'!CB78*'Oxidant Feed Composition'!$N$20</f>
        <v>3.6524554368620017E-2</v>
      </c>
      <c r="CM78">
        <f>'eLLE Bals'!CB78*'Oxidant Feed Composition'!$N$21</f>
        <v>1.8262277184310003</v>
      </c>
      <c r="CN78">
        <f>'eLLE Bals'!CB78*'Oxidant Feed Composition'!$N$22</f>
        <v>0.54786831552930004</v>
      </c>
      <c r="CO78">
        <f>CN78/CK78</f>
        <v>0.83333333333333326</v>
      </c>
      <c r="CP78">
        <f>CO78</f>
        <v>0.83333333333333326</v>
      </c>
      <c r="CQ78">
        <f>CL78/CO78</f>
        <v>4.3829465242344025E-2</v>
      </c>
      <c r="CR78">
        <f>CM78/CO78</f>
        <v>2.1914732621172006</v>
      </c>
      <c r="CS78">
        <f>BN78*BA78</f>
        <v>1.96879541421767</v>
      </c>
      <c r="CT78">
        <f>CS78/2*1.2</f>
        <v>1.181277248530602</v>
      </c>
      <c r="CU78">
        <f>'eLLE Bals'!CC78*'Oxidant Feed Composition'!$N$20</f>
        <v>6.562651380725569E-2</v>
      </c>
      <c r="CV78">
        <f>'eLLE Bals'!CC78*'Oxidant Feed Composition'!$N$21</f>
        <v>3.2813256903627837</v>
      </c>
      <c r="CW78">
        <f>'eLLE Bals'!CC78*'Oxidant Feed Composition'!$N$22</f>
        <v>0.98439770710883501</v>
      </c>
      <c r="CX78">
        <f>CU78/CP78</f>
        <v>7.8751816568706834E-2</v>
      </c>
      <c r="CY78">
        <f>CV78/CP78</f>
        <v>3.9375908284353409</v>
      </c>
      <c r="CZ78">
        <f>CJ78</f>
        <v>1.0957366310586001</v>
      </c>
      <c r="DA78">
        <f>'eLLE Bals'!BQ78</f>
        <v>2.1914732621172002</v>
      </c>
      <c r="DB78">
        <f>'eLLE Bals'!BU78</f>
        <v>5.4541382256641127</v>
      </c>
      <c r="DC78">
        <f>CS78</f>
        <v>1.96879541421767</v>
      </c>
      <c r="DD78">
        <f>'eLLE Bals'!BX78</f>
        <v>3.93759082843534</v>
      </c>
      <c r="DE78">
        <f>'eLLE Bals'!CA78</f>
        <v>21.867834057972193</v>
      </c>
      <c r="DF78">
        <f>2*2*(CJ78*'Reagent cost'!$C$36*122.44/1000*1.5+CK78*'Oxidant Feed Composition'!$N$26+CQ78*'Reagent cost'!$C$34+CR78*'Reagent cost'!$C$35)</f>
        <v>111.50340573587894</v>
      </c>
      <c r="DG78">
        <f>2*2*(CS78*'Reagent cost'!$C$36*122.44/1000*1.5+CT78*'Oxidant Feed Composition'!$N$26+CX78*'Reagent cost'!$C$34+CY78*'Reagent cost'!$C$35)</f>
        <v>200.34686042243879</v>
      </c>
      <c r="DH78">
        <f>(AF78+3)*2*(CZ78*'Reagent cost'!$C$38+DA78*'Reagent cost'!$C$39+DB78*'Reagent cost'!$C$36*122.44/1000*1.5)</f>
        <v>1966.2492606648691</v>
      </c>
      <c r="DI78">
        <f>3*2*(DC78*'Reagent cost'!$C$38+DD78*'Reagent cost'!$C$39+DE78*'Reagent cost'!$C$36*122.44/1000*1.5)</f>
        <v>1754.421249312946</v>
      </c>
      <c r="DJ78">
        <f>7963.6*(CB78/1000)^0.6*1.7*('CAPEX+OPEX'!$G$116/'CAPEX+OPEX'!$G$115)</f>
        <v>2138.7234102796551</v>
      </c>
      <c r="DK78">
        <f>7963.6*(CC78/1000)^0.6*1.7*('CAPEX+OPEX'!$G$116/'CAPEX+OPEX'!$G$115)</f>
        <v>6199.4836239091055</v>
      </c>
      <c r="DL78">
        <f>7963.6*(CD78/1000)^0.6*1.7*('CAPEX+OPEX'!$G$116/'CAPEX+OPEX'!$G$115)</f>
        <v>3039.8438002124476</v>
      </c>
      <c r="DM78">
        <f>7963.6*(CE78/1000)^0.6*1.7*('CAPEX+OPEX'!$G$116/'CAPEX+OPEX'!$G$115)</f>
        <v>6718.4645347785172</v>
      </c>
      <c r="DN78">
        <f>'TEA Revised Non EYZ'!CM78</f>
        <v>39625.826528698344</v>
      </c>
      <c r="DO78">
        <f>'TEA Revised Non EYZ'!CN78</f>
        <v>4586243.4239371875</v>
      </c>
      <c r="DP78">
        <f>'TEA Revised Non EYZ'!CO78</f>
        <v>11794834.586807497</v>
      </c>
      <c r="DQ78">
        <f>'TEA Revised Non EYZ'!CP78</f>
        <v>2275209.1661185985</v>
      </c>
      <c r="DR78">
        <f>'TEA Revised Non EYZ'!CQ78</f>
        <v>14083914.336508472</v>
      </c>
      <c r="DS78">
        <f>'TEA Revised Non EYZ'!CR78</f>
        <v>1662824.8986326549</v>
      </c>
      <c r="DT78">
        <f>'TEA Revised Non EYZ'!CS78</f>
        <v>847423.79840727116</v>
      </c>
      <c r="DU78">
        <f>'TEA Revised Non EYZ'!CT78</f>
        <v>2179392.2832288719</v>
      </c>
      <c r="DV78">
        <f>'TEA Revised Non EYZ'!CU78</f>
        <v>420402.1059283549</v>
      </c>
      <c r="DW78">
        <f>'TEA Revised Non EYZ'!CV78</f>
        <v>2602357.3282642425</v>
      </c>
      <c r="DX78">
        <f>'TEA Revised Non EYZ'!CW78</f>
        <v>307248.71347447456</v>
      </c>
      <c r="DY78">
        <f>'TEA Revised Non EYZ'!CX78</f>
        <v>6356824.2293032147</v>
      </c>
      <c r="DZ78">
        <f>'TEA Revised Non EYZ'!CY78</f>
        <v>800274.80164615484</v>
      </c>
      <c r="EA78">
        <f>'TEA Revised Non EYZ'!CZ78</f>
        <v>2058135.1744524958</v>
      </c>
      <c r="EB78">
        <f>'TEA Revised Non EYZ'!DA78</f>
        <v>397011.75794894132</v>
      </c>
      <c r="EC78">
        <f>'TEA Revised Non EYZ'!DB78</f>
        <v>2457567.2746072533</v>
      </c>
      <c r="ED78">
        <f>'TEA Revised Non EYZ'!DC78</f>
        <v>290153.99814586045</v>
      </c>
      <c r="EE78">
        <f>'TEA Revised Non EYZ'!DD78</f>
        <v>6003143.0068007056</v>
      </c>
      <c r="EF78">
        <v>0.7</v>
      </c>
      <c r="EG78">
        <v>100</v>
      </c>
      <c r="EH78">
        <f>96485*BL78*V78/EF78/EG78/60</f>
        <v>25.171940201830719</v>
      </c>
      <c r="EI78">
        <f>96485*BN78*BA78/EF78/EG78/60</f>
        <v>45.228387033521891</v>
      </c>
      <c r="EJ78">
        <f>EH78*('CAPEX+OPEX'!$O$25+'CAPEX+OPEX'!$O$26)</f>
        <v>802280.07811274868</v>
      </c>
      <c r="EK78">
        <f>EI78*('CAPEX+OPEX'!$O$25+'CAPEX+OPEX'!$O$26)</f>
        <v>1441519.1515324097</v>
      </c>
      <c r="EL78">
        <f>EJ78*1.12/0.6*'CAPEX+OPEX'!$G$116/'CAPEX+OPEX'!$G$115</f>
        <v>1766344.2502316802</v>
      </c>
      <c r="EM78">
        <f>EK78*1.12/0.6*'CAPEX+OPEX'!$G$116/'CAPEX+OPEX'!$G$115</f>
        <v>3173728.3953226726</v>
      </c>
      <c r="EN78">
        <f>EL78+EM78+DY78+EE78+1.15*(SUM(DF78:DM78)+SUM(CF78:CI78))</f>
        <v>17396799.828802027</v>
      </c>
      <c r="EO78">
        <f>EN78/15</f>
        <v>1159786.6552534685</v>
      </c>
      <c r="EP78">
        <f>('eLLE Bals'!CB78+'eLLE Bals'!CC78)*'Oxidant Feed Composition'!$N$28*60*7200</f>
        <v>17036269.339505304</v>
      </c>
      <c r="EQ78" s="53">
        <f>('eLLE Bals'!BR78+'eLLE Bals'!BY78)*'Reagent cost'!$C$38*60*7200*1.5</f>
        <v>757929.92958410794</v>
      </c>
      <c r="ER78">
        <f>'TEA Revised Non EYZ'!DI78</f>
        <v>504921.59999999998</v>
      </c>
      <c r="ES78">
        <f>'TEA Revised Non EYZ'!DJ78</f>
        <v>97.084375194352248</v>
      </c>
      <c r="ET78">
        <f>'TEA Revised Non EYZ'!DK78</f>
        <v>1046.0322161615884</v>
      </c>
      <c r="EU78">
        <f>1.2*SUM(EP78:ET78)</f>
        <v>21960316.782816924</v>
      </c>
      <c r="EV78">
        <f>'TEA Revised Non EYZ'!DM78</f>
        <v>0.70639694042110623</v>
      </c>
      <c r="EW78">
        <f>(BS78*CO78+BT78*CP78)/1000*('Oxidant Feed Composition'!$B$11*'Oxidant Feed Composition'!$O$20+'Oxidant Feed Composition'!$D$11*'Oxidant Feed Composition'!$O$21+'Oxidant Feed Composition'!$F$11*'Oxidant Feed Composition'!$O$27-'Oxidant Feed Composition'!$J$15*18.015)</f>
        <v>1.7894498261142413</v>
      </c>
      <c r="EX78">
        <f>(CZ78*BX78+DC78*BZ78)*368.34/1000</f>
        <v>0.10199744833230388</v>
      </c>
      <c r="EY78">
        <f>'TEA Revised Non EYZ'!DP78</f>
        <v>4.999938342565946E-2</v>
      </c>
      <c r="EZ78">
        <f>SUM(EV78:EX78)-EY78</f>
        <v>2.5478448314419921</v>
      </c>
      <c r="FA78">
        <f>EZ78*0.33*60*7200</f>
        <v>363220.75917037041</v>
      </c>
      <c r="FB78">
        <f>'TEA Revised Non EYZ'!DS78</f>
        <v>1.2</v>
      </c>
      <c r="FC78">
        <v>0.5</v>
      </c>
      <c r="FD78">
        <f>'TEA Revised Non EYZ'!DT78</f>
        <v>1405.8791012986701</v>
      </c>
      <c r="FE78">
        <f>'TEA Revised Non EYZ'!DU78</f>
        <v>705.80927264751585</v>
      </c>
      <c r="FF78">
        <f>'TEA Revised Non EYZ'!DV78</f>
        <v>0.7</v>
      </c>
      <c r="FG78">
        <f>'TEA Revised Non EYZ'!DW78</f>
        <v>46784.46952433938</v>
      </c>
      <c r="FH78">
        <f>'TEA Revised Non EYZ'!DX78</f>
        <v>45678.708869524045</v>
      </c>
      <c r="FI78">
        <f>'TEA Revised Non EYZ'!DY78</f>
        <v>19339.775932661389</v>
      </c>
      <c r="FJ78">
        <f>'TEA Revised Non EYZ'!DZ78</f>
        <v>10244.818866671721</v>
      </c>
      <c r="FK78">
        <f>'TEA Revised Non EYZ'!EA78</f>
        <v>10314.547164086078</v>
      </c>
      <c r="FL78">
        <f>'TEA Revised Non EYZ'!EB78</f>
        <v>850.2756804654357</v>
      </c>
      <c r="FM78">
        <f>'TEA Revised Non EYZ'!EC78</f>
        <v>43713.259566486457</v>
      </c>
      <c r="FN78">
        <f>'TEA Revised Non EYZ'!ED78</f>
        <v>42673.301320771294</v>
      </c>
      <c r="FO78">
        <f>'TEA Revised Non EYZ'!EE78</f>
        <v>18067.325155971717</v>
      </c>
      <c r="FP78">
        <f>'TEA Revised Non EYZ'!EF78</f>
        <v>9576.0943395889717</v>
      </c>
      <c r="FQ78">
        <f>'TEA Revised Non EYZ'!EG78</f>
        <v>9635.9067498515833</v>
      </c>
      <c r="FR78">
        <f>'TEA Revised Non EYZ'!EH78</f>
        <v>426.87344809721759</v>
      </c>
      <c r="FS78">
        <f>'TEA Revised Non EYZ'!EI78</f>
        <v>257305.35661851533</v>
      </c>
      <c r="FT78">
        <f>EG78*EH78</f>
        <v>2517.1940201830716</v>
      </c>
      <c r="FU78">
        <f>EG78*EI78</f>
        <v>4522.8387033521894</v>
      </c>
      <c r="FV78">
        <f>FC78*(FT78+FU78)/(3.6*10^6)*3600*7200*0.07</f>
        <v>1774.0882463308858</v>
      </c>
      <c r="FW78">
        <f>('CAPEX+OPEX'!$C$39/7/100+0.03)*EL78</f>
        <v>90840.561440486417</v>
      </c>
      <c r="FX78">
        <f>('CAPEX+OPEX'!$C$39/7/100+0.03)*EM78</f>
        <v>163220.31747373744</v>
      </c>
      <c r="FY78">
        <f>SUM(FV78:FX78)</f>
        <v>255834.96716055472</v>
      </c>
      <c r="FZ78">
        <f>FY78+FA78+FS78+EU78</f>
        <v>22836677.865766365</v>
      </c>
      <c r="GA78">
        <f>FZ78+EO78</f>
        <v>23996464.521019835</v>
      </c>
      <c r="GB78">
        <f>GA78/(BK78*60*7200)</f>
        <v>0.55547371576434801</v>
      </c>
      <c r="GC78">
        <f>'TEA Revised Non EYZ'!EM78/'TEA Revised Non EYZ'!EK78*GA78</f>
        <v>1858.324501542623</v>
      </c>
      <c r="GD78">
        <f>'TEA Revised Non EYZ'!EN78/'TEA Revised Non EYZ'!EK78*GA78</f>
        <v>3410.4445817389937</v>
      </c>
    </row>
    <row r="79" spans="1:186">
      <c r="A79">
        <f>'TEA Revised Non EYZ'!A79</f>
        <v>10</v>
      </c>
      <c r="B79">
        <f>'TEA Revised Non EYZ'!B79</f>
        <v>1.54143585092054E-3</v>
      </c>
      <c r="C79">
        <f>'TEA Revised Non EYZ'!C79</f>
        <v>1.54143585092054E-3</v>
      </c>
      <c r="D79">
        <f>'TEA Revised Non EYZ'!D79</f>
        <v>3.4254130020456501E-4</v>
      </c>
      <c r="E79">
        <f>'TEA Revised Non EYZ'!E79</f>
        <v>0</v>
      </c>
      <c r="F79">
        <f>'TEA Revised Non EYZ'!F79</f>
        <v>0</v>
      </c>
      <c r="G79">
        <f>'TEA Revised Non EYZ'!G79</f>
        <v>0</v>
      </c>
      <c r="H79">
        <f>'TEA Revised Non EYZ'!H79</f>
        <v>1.7770671970930099E-5</v>
      </c>
      <c r="I79">
        <f>'TEA Revised Non EYZ'!I79</f>
        <v>5.2649488631162003E-10</v>
      </c>
      <c r="J79">
        <f>'TEA Revised Non EYZ'!J79</f>
        <v>3.3765279177869602E-4</v>
      </c>
      <c r="K79">
        <f>'TEA Revised Non EYZ'!K79</f>
        <v>0.139053960209192</v>
      </c>
      <c r="L79">
        <f>'TEA Revised Non EYZ'!L79</f>
        <v>0.14067571356050099</v>
      </c>
      <c r="M79">
        <f>'TEA Revised Non EYZ'!M79</f>
        <v>4.4613899794023002E-4</v>
      </c>
      <c r="N79">
        <f>'TEA Revised Non EYZ'!N79</f>
        <v>-1.6046192152785399E-16</v>
      </c>
      <c r="O79">
        <f>'TEA Revised Non EYZ'!O79</f>
        <v>-5.9831913729046996E-14</v>
      </c>
      <c r="P79">
        <f>'TEA Revised Non EYZ'!P79</f>
        <v>-6.6915602833089703E-20</v>
      </c>
      <c r="Q79">
        <f>'TEA Revised Non EYZ'!Q79</f>
        <v>0.10957366310586</v>
      </c>
      <c r="R79">
        <f>'TEA Revised Non EYZ'!R79</f>
        <v>98.572870359588904</v>
      </c>
      <c r="S79">
        <f>'TEA Revised Non EYZ'!S79</f>
        <v>500</v>
      </c>
      <c r="T79">
        <f>'TEA Revised Non EYZ'!T79</f>
        <v>95</v>
      </c>
      <c r="U79">
        <f>'TEA Revised Non EYZ'!U79</f>
        <v>1</v>
      </c>
      <c r="V79">
        <f>'TEA Revised Non EYZ'!V79</f>
        <v>0.1</v>
      </c>
      <c r="W79">
        <f>'TEA Revised Non EYZ'!W79</f>
        <v>91.262806376555005</v>
      </c>
      <c r="X79" t="str">
        <f>'TEA Revised Non EYZ'!X79</f>
        <v>ddFc</v>
      </c>
      <c r="Y79">
        <f>'TEA Revised Non EYZ'!Y79</f>
        <v>1</v>
      </c>
      <c r="Z79">
        <f>'TEA Revised Non EYZ'!Z79</f>
        <v>0.28318429382522198</v>
      </c>
      <c r="AA79">
        <f>'TEA Revised Non EYZ'!AA79</f>
        <v>0.56945642916197003</v>
      </c>
      <c r="AB79">
        <f>'TEA Revised Non EYZ'!AB79</f>
        <v>3.7698628972227502E-3</v>
      </c>
      <c r="AC79">
        <f>'TEA Revised Non EYZ'!AC79</f>
        <v>1822.2107908876901</v>
      </c>
      <c r="AD79">
        <f>'TEA Revised Non EYZ'!AD79</f>
        <v>2662.6059073104898</v>
      </c>
      <c r="AE79">
        <f>'TEA Revised Non EYZ'!AE79</f>
        <v>2401.5030938442701</v>
      </c>
      <c r="AF79">
        <f>'TEA Revised Non EYZ'!AF79</f>
        <v>11</v>
      </c>
      <c r="AG79">
        <f>'TEA Revised Non EYZ'!AG79</f>
        <v>1.6497548842793E-3</v>
      </c>
      <c r="AH79">
        <f>'TEA Revised Non EYZ'!AH79</f>
        <v>1.66899558413707E-3</v>
      </c>
      <c r="AI79">
        <f>'TEA Revised Non EYZ'!AI79</f>
        <v>5.2930530695573503E-6</v>
      </c>
      <c r="AJ79">
        <f>'TEA Revised Non EYZ'!AJ79</f>
        <v>0</v>
      </c>
      <c r="AK79">
        <f>'TEA Revised Non EYZ'!AK79</f>
        <v>0</v>
      </c>
      <c r="AL79">
        <f>'TEA Revised Non EYZ'!AL79</f>
        <v>0</v>
      </c>
      <c r="AM79">
        <f>'TEA Revised Non EYZ'!AM79</f>
        <v>1.6128070427284199E-3</v>
      </c>
      <c r="AN79">
        <f>'TEA Revised Non EYZ'!AN79</f>
        <v>7.9626338235286499E-5</v>
      </c>
      <c r="AO79">
        <f>'TEA Revised Non EYZ'!AO79</f>
        <v>5.2582429609278296E-6</v>
      </c>
      <c r="AP79">
        <f>'TEA Revised Non EYZ'!AP79</f>
        <v>1.73328035546949E-3</v>
      </c>
      <c r="AQ79">
        <f>'TEA Revised Non EYZ'!AQ79</f>
        <v>7.4559767943401897E-2</v>
      </c>
      <c r="AR79">
        <f>'TEA Revised Non EYZ'!AR79</f>
        <v>1.6329960000428399E-6</v>
      </c>
      <c r="AS79">
        <f>'TEA Revised Non EYZ'!AS79</f>
        <v>1.9974730962150899E-15</v>
      </c>
      <c r="AT79">
        <f>'TEA Revised Non EYZ'!AT79</f>
        <v>-1.98872819254236E-13</v>
      </c>
      <c r="AU79">
        <f>'TEA Revised Non EYZ'!AU79</f>
        <v>1.25797627557064E-20</v>
      </c>
      <c r="AV79">
        <f>'TEA Revised Non EYZ'!AV79</f>
        <v>0.19687491213897099</v>
      </c>
      <c r="AW79">
        <f>'TEA Revised Non EYZ'!AW79</f>
        <v>99.342343479801301</v>
      </c>
      <c r="AX79">
        <f>'TEA Revised Non EYZ'!AX79</f>
        <v>500</v>
      </c>
      <c r="AY79">
        <f>'TEA Revised Non EYZ'!AY79</f>
        <v>95</v>
      </c>
      <c r="AZ79">
        <f>'TEA Revised Non EYZ'!AZ79</f>
        <v>0.92357064280818002</v>
      </c>
      <c r="BA79">
        <f>'TEA Revised Non EYZ'!BA79</f>
        <v>0.1</v>
      </c>
      <c r="BB79">
        <f>'TEA Revised Non EYZ'!BB79</f>
        <v>46.911545649668199</v>
      </c>
      <c r="BC79" t="str">
        <f>'TEA Revised Non EYZ'!BC79</f>
        <v>coeFc</v>
      </c>
      <c r="BD79">
        <f>'TEA Revised Non EYZ'!BD79</f>
        <v>1</v>
      </c>
      <c r="BE79">
        <f>'TEA Revised Non EYZ'!BE79</f>
        <v>1.8775014999999999E-2</v>
      </c>
      <c r="BF79">
        <f>'TEA Revised Non EYZ'!BF79</f>
        <v>0.10492961100000001</v>
      </c>
      <c r="BG79">
        <f>'TEA Revised Non EYZ'!BG79</f>
        <v>1.814625E-3</v>
      </c>
      <c r="BH79">
        <f>'TEA Revised Non EYZ'!BH79</f>
        <v>285.1951444</v>
      </c>
      <c r="BI79">
        <f>'TEA Revised Non EYZ'!BI79</f>
        <v>2169.8944889999998</v>
      </c>
      <c r="BJ79">
        <f>'TEA Revised Non EYZ'!BJ79</f>
        <v>866.49409060000005</v>
      </c>
      <c r="BK79">
        <f>'TEA Revised Non EYZ'!BK79</f>
        <v>100</v>
      </c>
      <c r="BL79">
        <f>'TEA Revised Non EYZ'!BL79</f>
        <v>10.957366310586</v>
      </c>
      <c r="BM79">
        <f>'TEA Revised Non EYZ'!BM79</f>
        <v>92.357064280818008</v>
      </c>
      <c r="BN79">
        <f>'TEA Revised Non EYZ'!BN79</f>
        <v>19.687491213897097</v>
      </c>
      <c r="BO79">
        <f>'TEA Revised Non EYZ'!BO79</f>
        <v>262.97679145406403</v>
      </c>
      <c r="BP79">
        <f>'TEA Revised Non EYZ'!BP79</f>
        <v>511.87477156132451</v>
      </c>
      <c r="BQ79">
        <f>'TEA Revised Non EYZ'!BQ79</f>
        <v>26.297679145406406</v>
      </c>
      <c r="BR79">
        <f>'TEA Revised Non EYZ'!BR79</f>
        <v>51.187477156132452</v>
      </c>
      <c r="BS79">
        <f>'eLLE Bals'!CF79</f>
        <v>6.5744197863515996</v>
      </c>
      <c r="BT79">
        <f>'eLLE Bals'!CG79</f>
        <v>11.812494728338258</v>
      </c>
      <c r="BU79">
        <f>BM79</f>
        <v>92.357064280818008</v>
      </c>
      <c r="BV79">
        <f>BU79*(AM79*2+AN79*2+AO79*3)</f>
        <v>0.31407326476277408</v>
      </c>
      <c r="BW79">
        <f>BN79*BA79*(AP79*2+AQ79*2+AR79*3)</f>
        <v>0.30041338849141241</v>
      </c>
      <c r="BX79">
        <f>BV79/(2*V79*BL79+BV79)</f>
        <v>0.12535120038416253</v>
      </c>
      <c r="BY79">
        <f>BU79*BX79</f>
        <v>11.577068871557797</v>
      </c>
      <c r="BZ79">
        <f>BW79/(2*BN79*BA79+BW79)</f>
        <v>7.088712899880048E-2</v>
      </c>
      <c r="CA79">
        <f>2*BN79*BA79/0.04</f>
        <v>98.437456069485478</v>
      </c>
      <c r="CB79">
        <f>(BS79+BL79)*2</f>
        <v>35.063572193875203</v>
      </c>
      <c r="CC79">
        <f>(BU79+BL79)*2</f>
        <v>206.62886118280801</v>
      </c>
      <c r="CD79">
        <f>(BT79+BN79)*2</f>
        <v>62.99997188447071</v>
      </c>
      <c r="CE79">
        <f>(CA79+BN79)*2</f>
        <v>236.24989456676514</v>
      </c>
      <c r="CF79">
        <f>'TEA Revised Non EYZ'!CB79</f>
        <v>3471.2936471936455</v>
      </c>
      <c r="CG79">
        <f>'TEA Revised Non EYZ'!CC79</f>
        <v>6756.7469846094846</v>
      </c>
      <c r="CH79">
        <f>'TEA Revised Non EYZ'!CD79</f>
        <v>4193.9657747282263</v>
      </c>
      <c r="CI79">
        <f>'TEA Revised Non EYZ'!CE79</f>
        <v>52115.390020486797</v>
      </c>
      <c r="CJ79">
        <f>BL79*V79</f>
        <v>1.0957366310586001</v>
      </c>
      <c r="CK79">
        <f>CJ79/2*1.2</f>
        <v>0.65744197863516007</v>
      </c>
      <c r="CL79">
        <f>'eLLE Bals'!CB79*'Oxidant Feed Composition'!$N$20</f>
        <v>3.6524554368620017E-2</v>
      </c>
      <c r="CM79">
        <f>'eLLE Bals'!CB79*'Oxidant Feed Composition'!$N$21</f>
        <v>1.8262277184310003</v>
      </c>
      <c r="CN79">
        <f>'eLLE Bals'!CB79*'Oxidant Feed Composition'!$N$22</f>
        <v>0.54786831552930004</v>
      </c>
      <c r="CO79">
        <f>CN79/CK79</f>
        <v>0.83333333333333326</v>
      </c>
      <c r="CP79">
        <f>CO79</f>
        <v>0.83333333333333326</v>
      </c>
      <c r="CQ79">
        <f>CL79/CO79</f>
        <v>4.3829465242344025E-2</v>
      </c>
      <c r="CR79">
        <f>CM79/CO79</f>
        <v>2.1914732621172006</v>
      </c>
      <c r="CS79">
        <f>BN79*BA79</f>
        <v>1.9687491213897097</v>
      </c>
      <c r="CT79">
        <f>CS79/2*1.2</f>
        <v>1.1812494728338259</v>
      </c>
      <c r="CU79">
        <f>'eLLE Bals'!CC79*'Oxidant Feed Composition'!$N$20</f>
        <v>6.5624970712990352E-2</v>
      </c>
      <c r="CV79">
        <f>'eLLE Bals'!CC79*'Oxidant Feed Composition'!$N$21</f>
        <v>3.2812485356495165</v>
      </c>
      <c r="CW79">
        <f>'eLLE Bals'!CC79*'Oxidant Feed Composition'!$N$22</f>
        <v>0.98437456069485485</v>
      </c>
      <c r="CX79">
        <f>CU79/CP79</f>
        <v>7.8749964855588425E-2</v>
      </c>
      <c r="CY79">
        <f>CV79/CP79</f>
        <v>3.9374982427794203</v>
      </c>
      <c r="CZ79">
        <f>CJ79</f>
        <v>1.0957366310586001</v>
      </c>
      <c r="DA79">
        <f>'eLLE Bals'!BQ79</f>
        <v>2.1914732621172002</v>
      </c>
      <c r="DB79">
        <f>'eLLE Bals'!BU79</f>
        <v>5.4541234784628276</v>
      </c>
      <c r="DC79">
        <f>CS79</f>
        <v>1.9687491213897097</v>
      </c>
      <c r="DD79">
        <f>'eLLE Bals'!BX79</f>
        <v>3.9374982427794194</v>
      </c>
      <c r="DE79">
        <f>'eLLE Bals'!CA79</f>
        <v>21.866765158640536</v>
      </c>
      <c r="DF79">
        <f>2*2*(CJ79*'Reagent cost'!$C$36*122.44/1000*1.5+CK79*'Oxidant Feed Composition'!$N$26+CQ79*'Reagent cost'!$C$34+CR79*'Reagent cost'!$C$35)</f>
        <v>111.50340573587894</v>
      </c>
      <c r="DG79">
        <f>2*2*(CS79*'Reagent cost'!$C$36*122.44/1000*1.5+CT79*'Oxidant Feed Composition'!$N$26+CX79*'Reagent cost'!$C$34+CY79*'Reagent cost'!$C$35)</f>
        <v>200.34214961161766</v>
      </c>
      <c r="DH79">
        <f>(AF79+3)*2*(CZ79*'Reagent cost'!$C$38+DA79*'Reagent cost'!$C$39+DB79*'Reagent cost'!$C$36*122.44/1000*1.5)</f>
        <v>2117.4938481707431</v>
      </c>
      <c r="DI79">
        <f>3*2*(DC79*'Reagent cost'!$C$38+DD79*'Reagent cost'!$C$39+DE79*'Reagent cost'!$C$36*122.44/1000*1.5)</f>
        <v>1754.3368289770249</v>
      </c>
      <c r="DJ79">
        <f>7963.6*(CB79/1000)^0.6*1.7*('CAPEX+OPEX'!$G$116/'CAPEX+OPEX'!$G$115)</f>
        <v>2138.7234102796551</v>
      </c>
      <c r="DK79">
        <f>7963.6*(CC79/1000)^0.6*1.7*('CAPEX+OPEX'!$G$116/'CAPEX+OPEX'!$G$115)</f>
        <v>6199.4836239091055</v>
      </c>
      <c r="DL79">
        <f>7963.6*(CD79/1000)^0.6*1.7*('CAPEX+OPEX'!$G$116/'CAPEX+OPEX'!$G$115)</f>
        <v>3039.8009140008598</v>
      </c>
      <c r="DM79">
        <f>7963.6*(CE79/1000)^0.6*1.7*('CAPEX+OPEX'!$G$116/'CAPEX+OPEX'!$G$115)</f>
        <v>6718.3697504703332</v>
      </c>
      <c r="DN79">
        <f>'TEA Revised Non EYZ'!CM79</f>
        <v>39625.826528698344</v>
      </c>
      <c r="DO79">
        <f>'TEA Revised Non EYZ'!CN79</f>
        <v>4586243.4239371875</v>
      </c>
      <c r="DP79">
        <f>'TEA Revised Non EYZ'!CO79</f>
        <v>11794834.586807497</v>
      </c>
      <c r="DQ79">
        <f>'TEA Revised Non EYZ'!CP79</f>
        <v>2275209.1661185985</v>
      </c>
      <c r="DR79">
        <f>'TEA Revised Non EYZ'!CQ79</f>
        <v>14083914.336508472</v>
      </c>
      <c r="DS79">
        <f>'TEA Revised Non EYZ'!CR79</f>
        <v>1662824.8986326549</v>
      </c>
      <c r="DT79">
        <f>'TEA Revised Non EYZ'!CS79</f>
        <v>847423.79840727116</v>
      </c>
      <c r="DU79">
        <f>'TEA Revised Non EYZ'!CT79</f>
        <v>2179392.2832288719</v>
      </c>
      <c r="DV79">
        <f>'TEA Revised Non EYZ'!CU79</f>
        <v>420402.1059283549</v>
      </c>
      <c r="DW79">
        <f>'TEA Revised Non EYZ'!CV79</f>
        <v>2602357.3282642425</v>
      </c>
      <c r="DX79">
        <f>'TEA Revised Non EYZ'!CW79</f>
        <v>307248.71347447456</v>
      </c>
      <c r="DY79">
        <f>'TEA Revised Non EYZ'!CX79</f>
        <v>6356824.2293032147</v>
      </c>
      <c r="DZ79">
        <f>'TEA Revised Non EYZ'!CY79</f>
        <v>843164.43385652674</v>
      </c>
      <c r="EA79">
        <f>'TEA Revised Non EYZ'!CZ79</f>
        <v>2168438.1110061919</v>
      </c>
      <c r="EB79">
        <f>'TEA Revised Non EYZ'!DA79</f>
        <v>418289.05950410414</v>
      </c>
      <c r="EC79">
        <f>'TEA Revised Non EYZ'!DB79</f>
        <v>2589277.2276425567</v>
      </c>
      <c r="ED79">
        <f>'TEA Revised Non EYZ'!DC79</f>
        <v>305704.40438037703</v>
      </c>
      <c r="EE79">
        <f>'TEA Revised Non EYZ'!DD79</f>
        <v>6324873.2363897571</v>
      </c>
      <c r="EF79">
        <v>0.7</v>
      </c>
      <c r="EG79">
        <v>100</v>
      </c>
      <c r="EH79">
        <f>96485*BL79*V79/EF79/EG79/60</f>
        <v>25.171940201830719</v>
      </c>
      <c r="EI79">
        <f>96485*BN79*BA79/EF79/EG79/60</f>
        <v>45.227323566020509</v>
      </c>
      <c r="EJ79">
        <f>EH79*('CAPEX+OPEX'!$O$25+'CAPEX+OPEX'!$O$26)</f>
        <v>802280.07811274868</v>
      </c>
      <c r="EK79">
        <f>EI79*('CAPEX+OPEX'!$O$25+'CAPEX+OPEX'!$O$26)</f>
        <v>1441485.2566962056</v>
      </c>
      <c r="EL79">
        <f>EJ79*1.12/0.6*'CAPEX+OPEX'!$G$116/'CAPEX+OPEX'!$G$115</f>
        <v>1766344.2502316802</v>
      </c>
      <c r="EM79">
        <f>EK79*1.12/0.6*'CAPEX+OPEX'!$G$116/'CAPEX+OPEX'!$G$115</f>
        <v>3173653.7705741897</v>
      </c>
      <c r="EN79">
        <f>EL79+EM79+DY79+EE79+1.15*(SUM(DF79:DM79)+SUM(CF79:CI79))</f>
        <v>17723835.554410741</v>
      </c>
      <c r="EO79">
        <f>EN79/15</f>
        <v>1181589.0369607161</v>
      </c>
      <c r="EP79">
        <f>('eLLE Bals'!CB79+'eLLE Bals'!CC79)*'Oxidant Feed Composition'!$N$28*60*7200</f>
        <v>17036011.989582386</v>
      </c>
      <c r="EQ79" s="53">
        <f>('eLLE Bals'!BR79+'eLLE Bals'!BY79)*'Reagent cost'!$C$38*60*7200*1.5</f>
        <v>757929.21134542814</v>
      </c>
      <c r="ER79">
        <f>'TEA Revised Non EYZ'!DI79</f>
        <v>504921.59999999998</v>
      </c>
      <c r="ES79">
        <f>'TEA Revised Non EYZ'!DJ79</f>
        <v>102.28040631803131</v>
      </c>
      <c r="ET79">
        <f>'TEA Revised Non EYZ'!DK79</f>
        <v>1126.1871159043005</v>
      </c>
      <c r="EU79">
        <f>1.2*SUM(EP79:ET79)</f>
        <v>21960109.522140045</v>
      </c>
      <c r="EV79">
        <f>'TEA Revised Non EYZ'!DM79</f>
        <v>0.70639694042110623</v>
      </c>
      <c r="EW79">
        <f>(BS79*CO79+BT79*CP79)/1000*('Oxidant Feed Composition'!$B$11*'Oxidant Feed Composition'!$O$20+'Oxidant Feed Composition'!$D$11*'Oxidant Feed Composition'!$O$21+'Oxidant Feed Composition'!$F$11*'Oxidant Feed Composition'!$O$27-'Oxidant Feed Composition'!$J$15*18.015)</f>
        <v>1.7894227946811481</v>
      </c>
      <c r="EX79">
        <f>(CZ79*BX79+DC79*BZ79)*368.34/1000</f>
        <v>0.10199735167625458</v>
      </c>
      <c r="EY79">
        <f>'TEA Revised Non EYZ'!DP79</f>
        <v>4.999938342565946E-2</v>
      </c>
      <c r="EZ79">
        <f>SUM(EV79:EX79)-EY79</f>
        <v>2.5478177033528495</v>
      </c>
      <c r="FA79">
        <f>EZ79*0.33*60*7200</f>
        <v>363216.89178998227</v>
      </c>
      <c r="FB79">
        <f>'TEA Revised Non EYZ'!DS79</f>
        <v>1.2</v>
      </c>
      <c r="FC79">
        <v>0.5</v>
      </c>
      <c r="FD79">
        <f>'TEA Revised Non EYZ'!DT79</f>
        <v>1405.8818143920212</v>
      </c>
      <c r="FE79">
        <f>'TEA Revised Non EYZ'!DU79</f>
        <v>705.80655935524931</v>
      </c>
      <c r="FF79">
        <f>'TEA Revised Non EYZ'!DV79</f>
        <v>0.7</v>
      </c>
      <c r="FG79">
        <f>'TEA Revised Non EYZ'!DW79</f>
        <v>46784.46952433938</v>
      </c>
      <c r="FH79">
        <f>'TEA Revised Non EYZ'!DX79</f>
        <v>45678.708869524045</v>
      </c>
      <c r="FI79">
        <f>'TEA Revised Non EYZ'!DY79</f>
        <v>19339.775932661389</v>
      </c>
      <c r="FJ79">
        <f>'TEA Revised Non EYZ'!DZ79</f>
        <v>10244.818866671721</v>
      </c>
      <c r="FK79">
        <f>'TEA Revised Non EYZ'!EA79</f>
        <v>10314.547164086078</v>
      </c>
      <c r="FL79">
        <f>'TEA Revised Non EYZ'!EB79</f>
        <v>850.27732134429448</v>
      </c>
      <c r="FM79">
        <f>'TEA Revised Non EYZ'!EC79</f>
        <v>46284.627776279776</v>
      </c>
      <c r="FN79">
        <f>'TEA Revised Non EYZ'!ED79</f>
        <v>46552.692349932324</v>
      </c>
      <c r="FO79">
        <f>'TEA Revised Non EYZ'!EE79</f>
        <v>19709.809261060054</v>
      </c>
      <c r="FP79">
        <f>'TEA Revised Non EYZ'!EF79</f>
        <v>10446.648370460696</v>
      </c>
      <c r="FQ79">
        <f>'TEA Revised Non EYZ'!EG79</f>
        <v>10511.898272565364</v>
      </c>
      <c r="FR79">
        <f>'TEA Revised Non EYZ'!EH79</f>
        <v>426.87180709805483</v>
      </c>
      <c r="FS79">
        <f>'TEA Revised Non EYZ'!EI79</f>
        <v>267145.14551602321</v>
      </c>
      <c r="FT79">
        <f>EG79*EH79</f>
        <v>2517.1940201830716</v>
      </c>
      <c r="FU79">
        <f>EG79*EI79</f>
        <v>4522.7323566020505</v>
      </c>
      <c r="FV79">
        <f>FC79*(FT79+FU79)/(3.6*10^6)*3600*7200*0.07</f>
        <v>1774.0614469498507</v>
      </c>
      <c r="FW79">
        <f>('CAPEX+OPEX'!$C$39/7/100+0.03)*EL79</f>
        <v>90840.561440486417</v>
      </c>
      <c r="FX79">
        <f>('CAPEX+OPEX'!$C$39/7/100+0.03)*EM79</f>
        <v>163216.47962952976</v>
      </c>
      <c r="FY79">
        <f>SUM(FV79:FX79)</f>
        <v>255831.10251696603</v>
      </c>
      <c r="FZ79">
        <f>FY79+FA79+FS79+EU79</f>
        <v>22846302.661963016</v>
      </c>
      <c r="GA79">
        <f>FZ79+EO79</f>
        <v>24027891.698923733</v>
      </c>
      <c r="GB79">
        <f>GA79/(BK79*60*7200)</f>
        <v>0.55620119673434565</v>
      </c>
      <c r="GC79">
        <f>'TEA Revised Non EYZ'!EM79/'TEA Revised Non EYZ'!EK79*GA79</f>
        <v>1860.7546792141409</v>
      </c>
      <c r="GD79">
        <f>'TEA Revised Non EYZ'!EN79/'TEA Revised Non EYZ'!EK79*GA79</f>
        <v>3414.9232029558716</v>
      </c>
    </row>
    <row r="80" spans="1:186">
      <c r="A80">
        <f>'TEA Revised Non EYZ'!A80</f>
        <v>10</v>
      </c>
      <c r="B80">
        <f>'TEA Revised Non EYZ'!B80</f>
        <v>1.54143585092054E-3</v>
      </c>
      <c r="C80">
        <f>'TEA Revised Non EYZ'!C80</f>
        <v>1.54143585092054E-3</v>
      </c>
      <c r="D80">
        <f>'TEA Revised Non EYZ'!D80</f>
        <v>3.4254130020456501E-4</v>
      </c>
      <c r="E80">
        <f>'TEA Revised Non EYZ'!E80</f>
        <v>0</v>
      </c>
      <c r="F80">
        <f>'TEA Revised Non EYZ'!F80</f>
        <v>0</v>
      </c>
      <c r="G80">
        <f>'TEA Revised Non EYZ'!G80</f>
        <v>0</v>
      </c>
      <c r="H80">
        <f>'TEA Revised Non EYZ'!H80</f>
        <v>1.7770671970930099E-5</v>
      </c>
      <c r="I80">
        <f>'TEA Revised Non EYZ'!I80</f>
        <v>5.2649488631162003E-10</v>
      </c>
      <c r="J80">
        <f>'TEA Revised Non EYZ'!J80</f>
        <v>3.3765279177869602E-4</v>
      </c>
      <c r="K80">
        <f>'TEA Revised Non EYZ'!K80</f>
        <v>0.139053960209192</v>
      </c>
      <c r="L80">
        <f>'TEA Revised Non EYZ'!L80</f>
        <v>0.14067571356050099</v>
      </c>
      <c r="M80">
        <f>'TEA Revised Non EYZ'!M80</f>
        <v>4.4613899794023002E-4</v>
      </c>
      <c r="N80">
        <f>'TEA Revised Non EYZ'!N80</f>
        <v>-1.6046192152785399E-16</v>
      </c>
      <c r="O80">
        <f>'TEA Revised Non EYZ'!O80</f>
        <v>-5.9831913729046996E-14</v>
      </c>
      <c r="P80">
        <f>'TEA Revised Non EYZ'!P80</f>
        <v>-6.6915602833089703E-20</v>
      </c>
      <c r="Q80">
        <f>'TEA Revised Non EYZ'!Q80</f>
        <v>0.10957366310586</v>
      </c>
      <c r="R80">
        <f>'TEA Revised Non EYZ'!R80</f>
        <v>98.572870359588904</v>
      </c>
      <c r="S80">
        <f>'TEA Revised Non EYZ'!S80</f>
        <v>500</v>
      </c>
      <c r="T80">
        <f>'TEA Revised Non EYZ'!T80</f>
        <v>95</v>
      </c>
      <c r="U80">
        <f>'TEA Revised Non EYZ'!U80</f>
        <v>1</v>
      </c>
      <c r="V80">
        <f>'TEA Revised Non EYZ'!V80</f>
        <v>0.1</v>
      </c>
      <c r="W80">
        <f>'TEA Revised Non EYZ'!W80</f>
        <v>91.262806376555005</v>
      </c>
      <c r="X80" t="str">
        <f>'TEA Revised Non EYZ'!X80</f>
        <v>ddFc</v>
      </c>
      <c r="Y80">
        <f>'TEA Revised Non EYZ'!Y80</f>
        <v>1</v>
      </c>
      <c r="Z80">
        <f>'TEA Revised Non EYZ'!Z80</f>
        <v>0.28318429382522198</v>
      </c>
      <c r="AA80">
        <f>'TEA Revised Non EYZ'!AA80</f>
        <v>0.56945642916197003</v>
      </c>
      <c r="AB80">
        <f>'TEA Revised Non EYZ'!AB80</f>
        <v>3.7698628972227502E-3</v>
      </c>
      <c r="AC80">
        <f>'TEA Revised Non EYZ'!AC80</f>
        <v>1822.2107908876901</v>
      </c>
      <c r="AD80">
        <f>'TEA Revised Non EYZ'!AD80</f>
        <v>2662.6059073104898</v>
      </c>
      <c r="AE80">
        <f>'TEA Revised Non EYZ'!AE80</f>
        <v>2401.5030938442701</v>
      </c>
      <c r="AF80">
        <f>'TEA Revised Non EYZ'!AF80</f>
        <v>12</v>
      </c>
      <c r="AG80">
        <f>'TEA Revised Non EYZ'!AG80</f>
        <v>1.6497548842793E-3</v>
      </c>
      <c r="AH80">
        <f>'TEA Revised Non EYZ'!AH80</f>
        <v>1.66899558413707E-3</v>
      </c>
      <c r="AI80">
        <f>'TEA Revised Non EYZ'!AI80</f>
        <v>5.2930530695573503E-6</v>
      </c>
      <c r="AJ80">
        <f>'TEA Revised Non EYZ'!AJ80</f>
        <v>0</v>
      </c>
      <c r="AK80">
        <f>'TEA Revised Non EYZ'!AK80</f>
        <v>0</v>
      </c>
      <c r="AL80">
        <f>'TEA Revised Non EYZ'!AL80</f>
        <v>0</v>
      </c>
      <c r="AM80">
        <f>'TEA Revised Non EYZ'!AM80</f>
        <v>1.6128079179820701E-3</v>
      </c>
      <c r="AN80">
        <f>'TEA Revised Non EYZ'!AN80</f>
        <v>7.9626383510946294E-5</v>
      </c>
      <c r="AO80">
        <f>'TEA Revised Non EYZ'!AO80</f>
        <v>5.2582437512666399E-6</v>
      </c>
      <c r="AP80">
        <f>'TEA Revised Non EYZ'!AP80</f>
        <v>1.7332507504425E-3</v>
      </c>
      <c r="AQ80">
        <f>'TEA Revised Non EYZ'!AQ80</f>
        <v>7.4560258551583894E-2</v>
      </c>
      <c r="AR80">
        <f>'TEA Revised Non EYZ'!AR80</f>
        <v>1.6329697157021899E-6</v>
      </c>
      <c r="AS80">
        <f>'TEA Revised Non EYZ'!AS80</f>
        <v>3.9110560493341098E-16</v>
      </c>
      <c r="AT80">
        <f>'TEA Revised Non EYZ'!AT80</f>
        <v>-3.8191238366236302E-14</v>
      </c>
      <c r="AU80">
        <f>'TEA Revised Non EYZ'!AU80</f>
        <v>-3.3021050053116801E-21</v>
      </c>
      <c r="AV80">
        <f>'TEA Revised Non EYZ'!AV80</f>
        <v>0.19687361106780901</v>
      </c>
      <c r="AW80">
        <f>'TEA Revised Non EYZ'!AW80</f>
        <v>99.342358411425806</v>
      </c>
      <c r="AX80">
        <f>'TEA Revised Non EYZ'!AX80</f>
        <v>500</v>
      </c>
      <c r="AY80">
        <f>'TEA Revised Non EYZ'!AY80</f>
        <v>95</v>
      </c>
      <c r="AZ80">
        <f>'TEA Revised Non EYZ'!AZ80</f>
        <v>0.92357064280818002</v>
      </c>
      <c r="BA80">
        <f>'TEA Revised Non EYZ'!BA80</f>
        <v>0.1</v>
      </c>
      <c r="BB80">
        <f>'TEA Revised Non EYZ'!BB80</f>
        <v>46.911855672219602</v>
      </c>
      <c r="BC80" t="str">
        <f>'TEA Revised Non EYZ'!BC80</f>
        <v>coeFc</v>
      </c>
      <c r="BD80">
        <f>'TEA Revised Non EYZ'!BD80</f>
        <v>1</v>
      </c>
      <c r="BE80">
        <f>'TEA Revised Non EYZ'!BE80</f>
        <v>1.8775014999999999E-2</v>
      </c>
      <c r="BF80">
        <f>'TEA Revised Non EYZ'!BF80</f>
        <v>0.10492961100000001</v>
      </c>
      <c r="BG80">
        <f>'TEA Revised Non EYZ'!BG80</f>
        <v>1.814625E-3</v>
      </c>
      <c r="BH80">
        <f>'TEA Revised Non EYZ'!BH80</f>
        <v>285.1951444</v>
      </c>
      <c r="BI80">
        <f>'TEA Revised Non EYZ'!BI80</f>
        <v>2169.8944889999998</v>
      </c>
      <c r="BJ80">
        <f>'TEA Revised Non EYZ'!BJ80</f>
        <v>866.49409060000005</v>
      </c>
      <c r="BK80">
        <f>'TEA Revised Non EYZ'!BK80</f>
        <v>100</v>
      </c>
      <c r="BL80">
        <f>'TEA Revised Non EYZ'!BL80</f>
        <v>10.957366310586</v>
      </c>
      <c r="BM80">
        <f>'TEA Revised Non EYZ'!BM80</f>
        <v>92.357064280818008</v>
      </c>
      <c r="BN80">
        <f>'TEA Revised Non EYZ'!BN80</f>
        <v>19.687361106780902</v>
      </c>
      <c r="BO80">
        <f>'TEA Revised Non EYZ'!BO80</f>
        <v>262.97679145406403</v>
      </c>
      <c r="BP80">
        <f>'TEA Revised Non EYZ'!BP80</f>
        <v>551.2461109898652</v>
      </c>
      <c r="BQ80">
        <f>'TEA Revised Non EYZ'!BQ80</f>
        <v>26.297679145406406</v>
      </c>
      <c r="BR80">
        <f>'TEA Revised Non EYZ'!BR80</f>
        <v>55.12461109898652</v>
      </c>
      <c r="BS80">
        <f>'eLLE Bals'!CF80</f>
        <v>6.5744197863515996</v>
      </c>
      <c r="BT80">
        <f>'eLLE Bals'!CG80</f>
        <v>11.812416664068541</v>
      </c>
      <c r="BU80">
        <f>BM80</f>
        <v>92.357064280818008</v>
      </c>
      <c r="BV80">
        <f>BU80*(AM80*2+AN80*2+AO80*3)</f>
        <v>0.31407343501652346</v>
      </c>
      <c r="BW80">
        <f>BN80*BA80*(AP80*2+AQ80*2+AR80*3)</f>
        <v>0.30041321820584915</v>
      </c>
      <c r="BX80">
        <f>BV80/(2*V80*BL80+BV80)</f>
        <v>0.12535125981719472</v>
      </c>
      <c r="BY80">
        <f>BU80*BX80</f>
        <v>11.577074360618171</v>
      </c>
      <c r="BZ80">
        <f>BW80/(2*BN80*BA80+BW80)</f>
        <v>7.0887526925903818E-2</v>
      </c>
      <c r="CA80">
        <f>2*BN80*BA80/0.04</f>
        <v>98.436805533904518</v>
      </c>
      <c r="CB80">
        <f>(BS80+BL80)*2</f>
        <v>35.063572193875203</v>
      </c>
      <c r="CC80">
        <f>(BU80+BL80)*2</f>
        <v>206.62886118280801</v>
      </c>
      <c r="CD80">
        <f>(BT80+BN80)*2</f>
        <v>62.999555541698882</v>
      </c>
      <c r="CE80">
        <f>(CA80+BN80)*2</f>
        <v>236.24833328137083</v>
      </c>
      <c r="CF80">
        <f>'TEA Revised Non EYZ'!CB80</f>
        <v>3471.2936471936455</v>
      </c>
      <c r="CG80">
        <f>'TEA Revised Non EYZ'!CC80</f>
        <v>7276.4486650662202</v>
      </c>
      <c r="CH80">
        <f>'TEA Revised Non EYZ'!CD80</f>
        <v>4193.9657747282263</v>
      </c>
      <c r="CI80">
        <f>'TEA Revised Non EYZ'!CE80</f>
        <v>56123.895272052112</v>
      </c>
      <c r="CJ80">
        <f>BL80*V80</f>
        <v>1.0957366310586001</v>
      </c>
      <c r="CK80">
        <f>CJ80/2*1.2</f>
        <v>0.65744197863516007</v>
      </c>
      <c r="CL80">
        <f>'eLLE Bals'!CB80*'Oxidant Feed Composition'!$N$20</f>
        <v>3.6524554368620017E-2</v>
      </c>
      <c r="CM80">
        <f>'eLLE Bals'!CB80*'Oxidant Feed Composition'!$N$21</f>
        <v>1.8262277184310003</v>
      </c>
      <c r="CN80">
        <f>'eLLE Bals'!CB80*'Oxidant Feed Composition'!$N$22</f>
        <v>0.54786831552930004</v>
      </c>
      <c r="CO80">
        <f>CN80/CK80</f>
        <v>0.83333333333333326</v>
      </c>
      <c r="CP80">
        <f>CO80</f>
        <v>0.83333333333333326</v>
      </c>
      <c r="CQ80">
        <f>CL80/CO80</f>
        <v>4.3829465242344025E-2</v>
      </c>
      <c r="CR80">
        <f>CM80/CO80</f>
        <v>2.1914732621172006</v>
      </c>
      <c r="CS80">
        <f>BN80*BA80</f>
        <v>1.9687361106780903</v>
      </c>
      <c r="CT80">
        <f>CS80/2*1.2</f>
        <v>1.1812416664068541</v>
      </c>
      <c r="CU80">
        <f>'eLLE Bals'!CC80*'Oxidant Feed Composition'!$N$20</f>
        <v>6.5624537022603041E-2</v>
      </c>
      <c r="CV80">
        <f>'eLLE Bals'!CC80*'Oxidant Feed Composition'!$N$21</f>
        <v>3.2812268511301506</v>
      </c>
      <c r="CW80">
        <f>'eLLE Bals'!CC80*'Oxidant Feed Composition'!$N$22</f>
        <v>0.98436805533904514</v>
      </c>
      <c r="CX80">
        <f>CU80/CP80</f>
        <v>7.8749444427123658E-2</v>
      </c>
      <c r="CY80">
        <f>CV80/CP80</f>
        <v>3.937472221356181</v>
      </c>
      <c r="CZ80">
        <f>CJ80</f>
        <v>1.0957366310586001</v>
      </c>
      <c r="DA80">
        <f>'eLLE Bals'!BQ80</f>
        <v>2.1914732621172002</v>
      </c>
      <c r="DB80">
        <f>'eLLE Bals'!BU80</f>
        <v>5.454119333695763</v>
      </c>
      <c r="DC80">
        <f>CS80</f>
        <v>1.9687361106780903</v>
      </c>
      <c r="DD80">
        <f>'eLLE Bals'!BX80</f>
        <v>3.9374722213561806</v>
      </c>
      <c r="DE80">
        <f>'eLLE Bals'!CA80</f>
        <v>21.866464746770401</v>
      </c>
      <c r="DF80">
        <f>2*2*(CJ80*'Reagent cost'!$C$36*122.44/1000*1.5+CK80*'Oxidant Feed Composition'!$N$26+CQ80*'Reagent cost'!$C$34+CR80*'Reagent cost'!$C$35)</f>
        <v>111.50340573587894</v>
      </c>
      <c r="DG80">
        <f>2*2*(CS80*'Reagent cost'!$C$36*122.44/1000*1.5+CT80*'Oxidant Feed Composition'!$N$26+CX80*'Reagent cost'!$C$34+CY80*'Reagent cost'!$C$35)</f>
        <v>200.34082562680643</v>
      </c>
      <c r="DH80">
        <f>(AF80+3)*2*(CZ80*'Reagent cost'!$C$38+DA80*'Reagent cost'!$C$39+DB80*'Reagent cost'!$C$36*122.44/1000*1.5)</f>
        <v>2268.7417960168987</v>
      </c>
      <c r="DI80">
        <f>3*2*(DC80*'Reagent cost'!$C$38+DD80*'Reagent cost'!$C$39+DE80*'Reagent cost'!$C$36*122.44/1000*1.5)</f>
        <v>1754.3131028165872</v>
      </c>
      <c r="DJ80">
        <f>7963.6*(CB80/1000)^0.6*1.7*('CAPEX+OPEX'!$G$116/'CAPEX+OPEX'!$G$115)</f>
        <v>2138.7234102796551</v>
      </c>
      <c r="DK80">
        <f>7963.6*(CC80/1000)^0.6*1.7*('CAPEX+OPEX'!$G$116/'CAPEX+OPEX'!$G$115)</f>
        <v>6199.4836239091055</v>
      </c>
      <c r="DL80">
        <f>7963.6*(CD80/1000)^0.6*1.7*('CAPEX+OPEX'!$G$116/'CAPEX+OPEX'!$G$115)</f>
        <v>3039.7888606544216</v>
      </c>
      <c r="DM80">
        <f>7963.6*(CE80/1000)^0.6*1.7*('CAPEX+OPEX'!$G$116/'CAPEX+OPEX'!$G$115)</f>
        <v>6718.3431109500534</v>
      </c>
      <c r="DN80">
        <f>'TEA Revised Non EYZ'!CM80</f>
        <v>39625.826528698344</v>
      </c>
      <c r="DO80">
        <f>'TEA Revised Non EYZ'!CN80</f>
        <v>4586243.4239371875</v>
      </c>
      <c r="DP80">
        <f>'TEA Revised Non EYZ'!CO80</f>
        <v>11794834.586807497</v>
      </c>
      <c r="DQ80">
        <f>'TEA Revised Non EYZ'!CP80</f>
        <v>2275209.1661185985</v>
      </c>
      <c r="DR80">
        <f>'TEA Revised Non EYZ'!CQ80</f>
        <v>14083914.336508472</v>
      </c>
      <c r="DS80">
        <f>'TEA Revised Non EYZ'!CR80</f>
        <v>1662824.8986326549</v>
      </c>
      <c r="DT80">
        <f>'TEA Revised Non EYZ'!CS80</f>
        <v>847423.79840727116</v>
      </c>
      <c r="DU80">
        <f>'TEA Revised Non EYZ'!CT80</f>
        <v>2179392.2832288719</v>
      </c>
      <c r="DV80">
        <f>'TEA Revised Non EYZ'!CU80</f>
        <v>420402.1059283549</v>
      </c>
      <c r="DW80">
        <f>'TEA Revised Non EYZ'!CV80</f>
        <v>2602357.3282642425</v>
      </c>
      <c r="DX80">
        <f>'TEA Revised Non EYZ'!CW80</f>
        <v>307248.71347447456</v>
      </c>
      <c r="DY80">
        <f>'TEA Revised Non EYZ'!CX80</f>
        <v>6356824.2293032147</v>
      </c>
      <c r="DZ80">
        <f>'TEA Revised Non EYZ'!CY80</f>
        <v>884646.05002992239</v>
      </c>
      <c r="EA80">
        <f>'TEA Revised Non EYZ'!CZ80</f>
        <v>2275119.9322555778</v>
      </c>
      <c r="EB80">
        <f>'TEA Revised Non EYZ'!DA80</f>
        <v>438867.85234587191</v>
      </c>
      <c r="EC80">
        <f>'TEA Revised Non EYZ'!DB80</f>
        <v>2716663.2982721184</v>
      </c>
      <c r="ED80">
        <f>'TEA Revised Non EYZ'!DC80</f>
        <v>320744.30911997985</v>
      </c>
      <c r="EE80">
        <f>'TEA Revised Non EYZ'!DD80</f>
        <v>6636041.4420234701</v>
      </c>
      <c r="EF80">
        <v>0.7</v>
      </c>
      <c r="EG80">
        <v>100</v>
      </c>
      <c r="EH80">
        <f>96485*BL80*V80/EF80/EG80/60</f>
        <v>25.171940201830719</v>
      </c>
      <c r="EI80">
        <f>96485*BN80*BA80/EF80/EG80/60</f>
        <v>45.227024675898946</v>
      </c>
      <c r="EJ80">
        <f>EH80*('CAPEX+OPEX'!$O$25+'CAPEX+OPEX'!$O$26)</f>
        <v>802280.07811274868</v>
      </c>
      <c r="EK80">
        <f>EI80*('CAPEX+OPEX'!$O$25+'CAPEX+OPEX'!$O$26)</f>
        <v>1441475.7304702513</v>
      </c>
      <c r="EL80">
        <f>EJ80*1.12/0.6*'CAPEX+OPEX'!$G$116/'CAPEX+OPEX'!$G$115</f>
        <v>1766344.2502316802</v>
      </c>
      <c r="EM80">
        <f>EK80*1.12/0.6*'CAPEX+OPEX'!$G$116/'CAPEX+OPEX'!$G$115</f>
        <v>3173632.7971075671</v>
      </c>
      <c r="EN80">
        <f>EL80+EM80+DY80+EE80+1.15*(SUM(DF80:DM80)+SUM(CF80:CI80))</f>
        <v>18040364.086385217</v>
      </c>
      <c r="EO80">
        <f>EN80/15</f>
        <v>1202690.9390923479</v>
      </c>
      <c r="EP80">
        <f>('eLLE Bals'!CB80+'eLLE Bals'!CC80)*'Oxidant Feed Composition'!$N$28*60*7200</f>
        <v>17035939.660762139</v>
      </c>
      <c r="EQ80" s="53">
        <f>('eLLE Bals'!BR80+'eLLE Bals'!BY80)*'Reagent cost'!$C$38*60*7200*1.5</f>
        <v>757929.00946996128</v>
      </c>
      <c r="ER80">
        <f>'TEA Revised Non EYZ'!DI80</f>
        <v>504921.59999999998</v>
      </c>
      <c r="ES80">
        <f>'TEA Revised Non EYZ'!DJ80</f>
        <v>107.47742312259867</v>
      </c>
      <c r="ET80">
        <f>'TEA Revised Non EYZ'!DK80</f>
        <v>1206.3572209356068</v>
      </c>
      <c r="EU80">
        <f>1.2*SUM(EP80:ET80)</f>
        <v>21960124.925851393</v>
      </c>
      <c r="EV80">
        <f>'TEA Revised Non EYZ'!DM80</f>
        <v>0.70639694042110623</v>
      </c>
      <c r="EW80">
        <f>(BS80*CO80+BT80*CP80)/1000*('Oxidant Feed Composition'!$B$11*'Oxidant Feed Composition'!$O$20+'Oxidant Feed Composition'!$D$11*'Oxidant Feed Composition'!$O$21+'Oxidant Feed Composition'!$F$11*'Oxidant Feed Composition'!$O$27-'Oxidant Feed Composition'!$J$15*18.015)</f>
        <v>1.7894151974312904</v>
      </c>
      <c r="EX80">
        <f>(CZ80*BX80+DC80*BZ80)*368.34/1000</f>
        <v>0.10199732450912252</v>
      </c>
      <c r="EY80">
        <f>'TEA Revised Non EYZ'!DP80</f>
        <v>4.999938342565946E-2</v>
      </c>
      <c r="EZ80">
        <f>SUM(EV80:EX80)-EY80</f>
        <v>2.5478100789358598</v>
      </c>
      <c r="FA80">
        <f>EZ80*0.33*60*7200</f>
        <v>363215.8048530962</v>
      </c>
      <c r="FB80">
        <f>'TEA Revised Non EYZ'!DS80</f>
        <v>1.2</v>
      </c>
      <c r="FC80">
        <v>0.5</v>
      </c>
      <c r="FD80">
        <f>'TEA Revised Non EYZ'!DT80</f>
        <v>1405.8825769117466</v>
      </c>
      <c r="FE80">
        <f>'TEA Revised Non EYZ'!DU80</f>
        <v>705.80579676317939</v>
      </c>
      <c r="FF80">
        <f>'TEA Revised Non EYZ'!DV80</f>
        <v>0.7</v>
      </c>
      <c r="FG80">
        <f>'TEA Revised Non EYZ'!DW80</f>
        <v>46784.46952433938</v>
      </c>
      <c r="FH80">
        <f>'TEA Revised Non EYZ'!DX80</f>
        <v>45678.708869524045</v>
      </c>
      <c r="FI80">
        <f>'TEA Revised Non EYZ'!DY80</f>
        <v>19339.775932661389</v>
      </c>
      <c r="FJ80">
        <f>'TEA Revised Non EYZ'!DZ80</f>
        <v>10244.818866671721</v>
      </c>
      <c r="FK80">
        <f>'TEA Revised Non EYZ'!EA80</f>
        <v>10314.547164086078</v>
      </c>
      <c r="FL80">
        <f>'TEA Revised Non EYZ'!EB80</f>
        <v>850.27778251622431</v>
      </c>
      <c r="FM80">
        <f>'TEA Revised Non EYZ'!EC80</f>
        <v>48855.995986073096</v>
      </c>
      <c r="FN80">
        <f>'TEA Revised Non EYZ'!ED80</f>
        <v>50432.083379093361</v>
      </c>
      <c r="FO80">
        <f>'TEA Revised Non EYZ'!EE80</f>
        <v>21352.293366148395</v>
      </c>
      <c r="FP80">
        <f>'TEA Revised Non EYZ'!EF80</f>
        <v>11317.202401332423</v>
      </c>
      <c r="FQ80">
        <f>'TEA Revised Non EYZ'!EG80</f>
        <v>11387.889795279147</v>
      </c>
      <c r="FR80">
        <f>'TEA Revised Non EYZ'!EH80</f>
        <v>426.87134588237086</v>
      </c>
      <c r="FS80">
        <f>'TEA Revised Non EYZ'!EI80</f>
        <v>276984.93441360764</v>
      </c>
      <c r="FT80">
        <f>EG80*EH80</f>
        <v>2517.1940201830716</v>
      </c>
      <c r="FU80">
        <f>EG80*EI80</f>
        <v>4522.7024675898947</v>
      </c>
      <c r="FV80">
        <f>FC80*(FT80+FU80)/(3.6*10^6)*3600*7200*0.07</f>
        <v>1774.053914918788</v>
      </c>
      <c r="FW80">
        <f>('CAPEX+OPEX'!$C$39/7/100+0.03)*EL80</f>
        <v>90840.561440486417</v>
      </c>
      <c r="FX80">
        <f>('CAPEX+OPEX'!$C$39/7/100+0.03)*EM80</f>
        <v>163215.40099410346</v>
      </c>
      <c r="FY80">
        <f>SUM(FV80:FX80)</f>
        <v>255830.01634950866</v>
      </c>
      <c r="FZ80">
        <f>FY80+FA80+FS80+EU80</f>
        <v>22856155.681467608</v>
      </c>
      <c r="GA80">
        <f>FZ80+EO80</f>
        <v>24058846.620559957</v>
      </c>
      <c r="GB80">
        <f>GA80/(BK80*60*7200)</f>
        <v>0.55691774584629528</v>
      </c>
      <c r="GC80">
        <f>'TEA Revised Non EYZ'!EM80/'TEA Revised Non EYZ'!EK80*GA80</f>
        <v>1863.150861954347</v>
      </c>
      <c r="GD80">
        <f>'TEA Revised Non EYZ'!EN80/'TEA Revised Non EYZ'!EK80*GA80</f>
        <v>3419.3260245122583</v>
      </c>
    </row>
    <row r="81" spans="1:186">
      <c r="A81">
        <f>'TEA Revised Non EYZ'!A81</f>
        <v>10</v>
      </c>
      <c r="B81">
        <f>'TEA Revised Non EYZ'!B81</f>
        <v>1.54143585092054E-3</v>
      </c>
      <c r="C81">
        <f>'TEA Revised Non EYZ'!C81</f>
        <v>1.54143585092054E-3</v>
      </c>
      <c r="D81">
        <f>'TEA Revised Non EYZ'!D81</f>
        <v>3.4254130020456501E-4</v>
      </c>
      <c r="E81">
        <f>'TEA Revised Non EYZ'!E81</f>
        <v>0</v>
      </c>
      <c r="F81">
        <f>'TEA Revised Non EYZ'!F81</f>
        <v>0</v>
      </c>
      <c r="G81">
        <f>'TEA Revised Non EYZ'!G81</f>
        <v>0</v>
      </c>
      <c r="H81">
        <f>'TEA Revised Non EYZ'!H81</f>
        <v>1.7770671970930099E-5</v>
      </c>
      <c r="I81">
        <f>'TEA Revised Non EYZ'!I81</f>
        <v>5.2649488631162003E-10</v>
      </c>
      <c r="J81">
        <f>'TEA Revised Non EYZ'!J81</f>
        <v>3.3765279177869602E-4</v>
      </c>
      <c r="K81">
        <f>'TEA Revised Non EYZ'!K81</f>
        <v>0.139053960209192</v>
      </c>
      <c r="L81">
        <f>'TEA Revised Non EYZ'!L81</f>
        <v>0.14067571356050099</v>
      </c>
      <c r="M81">
        <f>'TEA Revised Non EYZ'!M81</f>
        <v>4.4613899794023002E-4</v>
      </c>
      <c r="N81">
        <f>'TEA Revised Non EYZ'!N81</f>
        <v>-1.6046192152785399E-16</v>
      </c>
      <c r="O81">
        <f>'TEA Revised Non EYZ'!O81</f>
        <v>-5.9831913729046996E-14</v>
      </c>
      <c r="P81">
        <f>'TEA Revised Non EYZ'!P81</f>
        <v>-6.6915602833089703E-20</v>
      </c>
      <c r="Q81">
        <f>'TEA Revised Non EYZ'!Q81</f>
        <v>0.10957366310586</v>
      </c>
      <c r="R81">
        <f>'TEA Revised Non EYZ'!R81</f>
        <v>98.572870359588904</v>
      </c>
      <c r="S81">
        <f>'TEA Revised Non EYZ'!S81</f>
        <v>500</v>
      </c>
      <c r="T81">
        <f>'TEA Revised Non EYZ'!T81</f>
        <v>95</v>
      </c>
      <c r="U81">
        <f>'TEA Revised Non EYZ'!U81</f>
        <v>1</v>
      </c>
      <c r="V81">
        <f>'TEA Revised Non EYZ'!V81</f>
        <v>0.1</v>
      </c>
      <c r="W81">
        <f>'TEA Revised Non EYZ'!W81</f>
        <v>91.262806376555005</v>
      </c>
      <c r="X81" t="str">
        <f>'TEA Revised Non EYZ'!X81</f>
        <v>ddFc</v>
      </c>
      <c r="Y81">
        <f>'TEA Revised Non EYZ'!Y81</f>
        <v>1</v>
      </c>
      <c r="Z81">
        <f>'TEA Revised Non EYZ'!Z81</f>
        <v>0.28318429382522198</v>
      </c>
      <c r="AA81">
        <f>'TEA Revised Non EYZ'!AA81</f>
        <v>0.56945642916197003</v>
      </c>
      <c r="AB81">
        <f>'TEA Revised Non EYZ'!AB81</f>
        <v>3.7698628972227502E-3</v>
      </c>
      <c r="AC81">
        <f>'TEA Revised Non EYZ'!AC81</f>
        <v>1822.2107908876901</v>
      </c>
      <c r="AD81">
        <f>'TEA Revised Non EYZ'!AD81</f>
        <v>2662.6059073104898</v>
      </c>
      <c r="AE81">
        <f>'TEA Revised Non EYZ'!AE81</f>
        <v>2401.5030938442701</v>
      </c>
      <c r="AF81">
        <f>'TEA Revised Non EYZ'!AF81</f>
        <v>13</v>
      </c>
      <c r="AG81">
        <f>'TEA Revised Non EYZ'!AG81</f>
        <v>1.6497548842793E-3</v>
      </c>
      <c r="AH81">
        <f>'TEA Revised Non EYZ'!AH81</f>
        <v>1.66899558413707E-3</v>
      </c>
      <c r="AI81">
        <f>'TEA Revised Non EYZ'!AI81</f>
        <v>5.2930530695573503E-6</v>
      </c>
      <c r="AJ81">
        <f>'TEA Revised Non EYZ'!AJ81</f>
        <v>0</v>
      </c>
      <c r="AK81">
        <f>'TEA Revised Non EYZ'!AK81</f>
        <v>0</v>
      </c>
      <c r="AL81">
        <f>'TEA Revised Non EYZ'!AL81</f>
        <v>0</v>
      </c>
      <c r="AM81">
        <f>'TEA Revised Non EYZ'!AM81</f>
        <v>1.6128081639407901E-3</v>
      </c>
      <c r="AN81">
        <f>'TEA Revised Non EYZ'!AN81</f>
        <v>7.96263962340472E-5</v>
      </c>
      <c r="AO81">
        <f>'TEA Revised Non EYZ'!AO81</f>
        <v>5.2582439733631299E-6</v>
      </c>
      <c r="AP81">
        <f>'TEA Revised Non EYZ'!AP81</f>
        <v>1.7332424309303299E-3</v>
      </c>
      <c r="AQ81">
        <f>'TEA Revised Non EYZ'!AQ81</f>
        <v>7.4560396420763494E-2</v>
      </c>
      <c r="AR81">
        <f>'TEA Revised Non EYZ'!AR81</f>
        <v>1.63296232935881E-6</v>
      </c>
      <c r="AS81">
        <f>'TEA Revised Non EYZ'!AS81</f>
        <v>5.2177229550864901E-19</v>
      </c>
      <c r="AT81">
        <f>'TEA Revised Non EYZ'!AT81</f>
        <v>-1.32272665043231E-17</v>
      </c>
      <c r="AU81">
        <f>'TEA Revised Non EYZ'!AU81</f>
        <v>8.0732827785175501E-22</v>
      </c>
      <c r="AV81">
        <f>'TEA Revised Non EYZ'!AV81</f>
        <v>0.19687324544888599</v>
      </c>
      <c r="AW81">
        <f>'TEA Revised Non EYZ'!AW81</f>
        <v>99.3423626074255</v>
      </c>
      <c r="AX81">
        <f>'TEA Revised Non EYZ'!AX81</f>
        <v>500</v>
      </c>
      <c r="AY81">
        <f>'TEA Revised Non EYZ'!AY81</f>
        <v>95</v>
      </c>
      <c r="AZ81">
        <f>'TEA Revised Non EYZ'!AZ81</f>
        <v>0.92357064280818002</v>
      </c>
      <c r="BA81">
        <f>'TEA Revised Non EYZ'!BA81</f>
        <v>0.1</v>
      </c>
      <c r="BB81">
        <f>'TEA Revised Non EYZ'!BB81</f>
        <v>46.9119427935657</v>
      </c>
      <c r="BC81" t="str">
        <f>'TEA Revised Non EYZ'!BC81</f>
        <v>coeFc</v>
      </c>
      <c r="BD81">
        <f>'TEA Revised Non EYZ'!BD81</f>
        <v>1</v>
      </c>
      <c r="BE81">
        <f>'TEA Revised Non EYZ'!BE81</f>
        <v>1.8775014999999999E-2</v>
      </c>
      <c r="BF81">
        <f>'TEA Revised Non EYZ'!BF81</f>
        <v>0.10492961100000001</v>
      </c>
      <c r="BG81">
        <f>'TEA Revised Non EYZ'!BG81</f>
        <v>1.814625E-3</v>
      </c>
      <c r="BH81">
        <f>'TEA Revised Non EYZ'!BH81</f>
        <v>285.1951444</v>
      </c>
      <c r="BI81">
        <f>'TEA Revised Non EYZ'!BI81</f>
        <v>2169.8944889999998</v>
      </c>
      <c r="BJ81">
        <f>'TEA Revised Non EYZ'!BJ81</f>
        <v>866.49409060000005</v>
      </c>
      <c r="BK81">
        <f>'TEA Revised Non EYZ'!BK81</f>
        <v>100</v>
      </c>
      <c r="BL81">
        <f>'TEA Revised Non EYZ'!BL81</f>
        <v>10.957366310586</v>
      </c>
      <c r="BM81">
        <f>'TEA Revised Non EYZ'!BM81</f>
        <v>92.357064280818008</v>
      </c>
      <c r="BN81">
        <f>'TEA Revised Non EYZ'!BN81</f>
        <v>19.6873245448886</v>
      </c>
      <c r="BO81">
        <f>'TEA Revised Non EYZ'!BO81</f>
        <v>262.97679145406403</v>
      </c>
      <c r="BP81">
        <f>'TEA Revised Non EYZ'!BP81</f>
        <v>590.61973634665799</v>
      </c>
      <c r="BQ81">
        <f>'TEA Revised Non EYZ'!BQ81</f>
        <v>26.297679145406406</v>
      </c>
      <c r="BR81">
        <f>'TEA Revised Non EYZ'!BR81</f>
        <v>59.061973634665804</v>
      </c>
      <c r="BS81">
        <f>'eLLE Bals'!CF81</f>
        <v>6.5744197863515996</v>
      </c>
      <c r="BT81">
        <f>'eLLE Bals'!CG81</f>
        <v>11.81239472693316</v>
      </c>
      <c r="BU81">
        <f>BM81</f>
        <v>92.357064280818008</v>
      </c>
      <c r="BV81">
        <f>BU81*(AM81*2+AN81*2+AO81*3)</f>
        <v>0.31407348286024717</v>
      </c>
      <c r="BW81">
        <f>BN81*BA81*(AP81*2+AQ81*2+AR81*3)</f>
        <v>0.30041317035456794</v>
      </c>
      <c r="BX81">
        <f>BV81/(2*V81*BL81+BV81)</f>
        <v>0.12535127651872013</v>
      </c>
      <c r="BY81">
        <f>BU81*BX81</f>
        <v>11.577075903122028</v>
      </c>
      <c r="BZ81">
        <f>BW81/(2*BN81*BA81+BW81)</f>
        <v>7.0887638750074769E-2</v>
      </c>
      <c r="CA81">
        <f>2*BN81*BA81/0.04</f>
        <v>98.436622724442998</v>
      </c>
      <c r="CB81">
        <f>(BS81+BL81)*2</f>
        <v>35.063572193875203</v>
      </c>
      <c r="CC81">
        <f>(BU81+BL81)*2</f>
        <v>206.62886118280801</v>
      </c>
      <c r="CD81">
        <f>(BT81+BN81)*2</f>
        <v>62.999438543643521</v>
      </c>
      <c r="CE81">
        <f>(CA81+BN81)*2</f>
        <v>236.24789453866319</v>
      </c>
      <c r="CF81">
        <f>'TEA Revised Non EYZ'!CB81</f>
        <v>3471.2936471936455</v>
      </c>
      <c r="CG81">
        <f>'TEA Revised Non EYZ'!CC81</f>
        <v>7796.1805197758858</v>
      </c>
      <c r="CH81">
        <f>'TEA Revised Non EYZ'!CD81</f>
        <v>4193.9657747282263</v>
      </c>
      <c r="CI81">
        <f>'TEA Revised Non EYZ'!CE81</f>
        <v>60132.633260312105</v>
      </c>
      <c r="CJ81">
        <f>BL81*V81</f>
        <v>1.0957366310586001</v>
      </c>
      <c r="CK81">
        <f>CJ81/2*1.2</f>
        <v>0.65744197863516007</v>
      </c>
      <c r="CL81">
        <f>'eLLE Bals'!CB81*'Oxidant Feed Composition'!$N$20</f>
        <v>3.6524554368620017E-2</v>
      </c>
      <c r="CM81">
        <f>'eLLE Bals'!CB81*'Oxidant Feed Composition'!$N$21</f>
        <v>1.8262277184310003</v>
      </c>
      <c r="CN81">
        <f>'eLLE Bals'!CB81*'Oxidant Feed Composition'!$N$22</f>
        <v>0.54786831552930004</v>
      </c>
      <c r="CO81">
        <f>CN81/CK81</f>
        <v>0.83333333333333326</v>
      </c>
      <c r="CP81">
        <f>CO81</f>
        <v>0.83333333333333326</v>
      </c>
      <c r="CQ81">
        <f>CL81/CO81</f>
        <v>4.3829465242344025E-2</v>
      </c>
      <c r="CR81">
        <f>CM81/CO81</f>
        <v>2.1914732621172006</v>
      </c>
      <c r="CS81">
        <f>BN81*BA81</f>
        <v>1.96873245448886</v>
      </c>
      <c r="CT81">
        <f>CS81/2*1.2</f>
        <v>1.181239472693316</v>
      </c>
      <c r="CU81">
        <f>'eLLE Bals'!CC81*'Oxidant Feed Composition'!$N$20</f>
        <v>6.5624415149628704E-2</v>
      </c>
      <c r="CV81">
        <f>'eLLE Bals'!CC81*'Oxidant Feed Composition'!$N$21</f>
        <v>3.2812207574814338</v>
      </c>
      <c r="CW81">
        <f>'eLLE Bals'!CC81*'Oxidant Feed Composition'!$N$22</f>
        <v>0.98436622724443001</v>
      </c>
      <c r="CX81">
        <f>CU81/CP81</f>
        <v>7.874929817955445E-2</v>
      </c>
      <c r="CY81">
        <f>CV81/CP81</f>
        <v>3.9374649089777209</v>
      </c>
      <c r="CZ81">
        <f>CJ81</f>
        <v>1.0957366310586001</v>
      </c>
      <c r="DA81">
        <f>'eLLE Bals'!BQ81</f>
        <v>2.1914732621172002</v>
      </c>
      <c r="DB81">
        <f>'eLLE Bals'!BU81</f>
        <v>5.4541181689677547</v>
      </c>
      <c r="DC81">
        <f>CS81</f>
        <v>1.96873245448886</v>
      </c>
      <c r="DD81">
        <f>'eLLE Bals'!BX81</f>
        <v>3.9374649089777201</v>
      </c>
      <c r="DE81">
        <f>'eLLE Bals'!CA81</f>
        <v>21.866380327122432</v>
      </c>
      <c r="DF81">
        <f>2*2*(CJ81*'Reagent cost'!$C$36*122.44/1000*1.5+CK81*'Oxidant Feed Composition'!$N$26+CQ81*'Reagent cost'!$C$34+CR81*'Reagent cost'!$C$35)</f>
        <v>111.50340573587894</v>
      </c>
      <c r="DG81">
        <f>2*2*(CS81*'Reagent cost'!$C$36*122.44/1000*1.5+CT81*'Oxidant Feed Composition'!$N$26+CX81*'Reagent cost'!$C$34+CY81*'Reagent cost'!$C$35)</f>
        <v>200.34045356883226</v>
      </c>
      <c r="DH81">
        <f>(AF81+3)*2*(CZ81*'Reagent cost'!$C$38+DA81*'Reagent cost'!$C$39+DB81*'Reagent cost'!$C$36*122.44/1000*1.5)</f>
        <v>2419.9907656733999</v>
      </c>
      <c r="DI81">
        <f>3*2*(DC81*'Reagent cost'!$C$38+DD81*'Reagent cost'!$C$39+DE81*'Reagent cost'!$C$36*122.44/1000*1.5)</f>
        <v>1754.3064354562403</v>
      </c>
      <c r="DJ81">
        <f>7963.6*(CB81/1000)^0.6*1.7*('CAPEX+OPEX'!$G$116/'CAPEX+OPEX'!$G$115)</f>
        <v>2138.7234102796551</v>
      </c>
      <c r="DK81">
        <f>7963.6*(CC81/1000)^0.6*1.7*('CAPEX+OPEX'!$G$116/'CAPEX+OPEX'!$G$115)</f>
        <v>6199.4836239091055</v>
      </c>
      <c r="DL81">
        <f>7963.6*(CD81/1000)^0.6*1.7*('CAPEX+OPEX'!$G$116/'CAPEX+OPEX'!$G$115)</f>
        <v>3039.7854734922639</v>
      </c>
      <c r="DM81">
        <f>7963.6*(CE81/1000)^0.6*1.7*('CAPEX+OPEX'!$G$116/'CAPEX+OPEX'!$G$115)</f>
        <v>6718.3356248651335</v>
      </c>
      <c r="DN81">
        <f>'TEA Revised Non EYZ'!CM81</f>
        <v>39625.826528698344</v>
      </c>
      <c r="DO81">
        <f>'TEA Revised Non EYZ'!CN81</f>
        <v>4586243.4239371875</v>
      </c>
      <c r="DP81">
        <f>'TEA Revised Non EYZ'!CO81</f>
        <v>11794834.586807497</v>
      </c>
      <c r="DQ81">
        <f>'TEA Revised Non EYZ'!CP81</f>
        <v>2275209.1661185985</v>
      </c>
      <c r="DR81">
        <f>'TEA Revised Non EYZ'!CQ81</f>
        <v>14083914.336508472</v>
      </c>
      <c r="DS81">
        <f>'TEA Revised Non EYZ'!CR81</f>
        <v>1662824.8986326549</v>
      </c>
      <c r="DT81">
        <f>'TEA Revised Non EYZ'!CS81</f>
        <v>847423.79840727116</v>
      </c>
      <c r="DU81">
        <f>'TEA Revised Non EYZ'!CT81</f>
        <v>2179392.2832288719</v>
      </c>
      <c r="DV81">
        <f>'TEA Revised Non EYZ'!CU81</f>
        <v>420402.1059283549</v>
      </c>
      <c r="DW81">
        <f>'TEA Revised Non EYZ'!CV81</f>
        <v>2602357.3282642425</v>
      </c>
      <c r="DX81">
        <f>'TEA Revised Non EYZ'!CW81</f>
        <v>307248.71347447456</v>
      </c>
      <c r="DY81">
        <f>'TEA Revised Non EYZ'!CX81</f>
        <v>6356824.2293032147</v>
      </c>
      <c r="DZ81">
        <f>'TEA Revised Non EYZ'!CY81</f>
        <v>924869.27650897147</v>
      </c>
      <c r="EA81">
        <f>'TEA Revised Non EYZ'!CZ81</f>
        <v>2378565.4450671924</v>
      </c>
      <c r="EB81">
        <f>'TEA Revised Non EYZ'!DA81</f>
        <v>458822.36524816178</v>
      </c>
      <c r="EC81">
        <f>'TEA Revised Non EYZ'!DB81</f>
        <v>2840184.9746646415</v>
      </c>
      <c r="ED81">
        <f>'TEA Revised Non EYZ'!DC81</f>
        <v>335327.96208170697</v>
      </c>
      <c r="EE81">
        <f>'TEA Revised Non EYZ'!DD81</f>
        <v>6937770.0235706745</v>
      </c>
      <c r="EF81">
        <v>0.7</v>
      </c>
      <c r="EG81">
        <v>100</v>
      </c>
      <c r="EH81">
        <f>96485*BL81*V81/EF81/EG81/60</f>
        <v>25.171940201830719</v>
      </c>
      <c r="EI81">
        <f>96485*BN81*BA81/EF81/EG81/60</f>
        <v>45.226940683656593</v>
      </c>
      <c r="EJ81">
        <f>EH81*('CAPEX+OPEX'!$O$25+'CAPEX+OPEX'!$O$26)</f>
        <v>802280.07811274868</v>
      </c>
      <c r="EK81">
        <f>EI81*('CAPEX+OPEX'!$O$25+'CAPEX+OPEX'!$O$26)</f>
        <v>1441473.0534695028</v>
      </c>
      <c r="EL81">
        <f>EJ81*1.12/0.6*'CAPEX+OPEX'!$G$116/'CAPEX+OPEX'!$G$115</f>
        <v>1766344.2502316802</v>
      </c>
      <c r="EM81">
        <f>EK81*1.12/0.6*'CAPEX+OPEX'!$G$116/'CAPEX+OPEX'!$G$115</f>
        <v>3173626.9032744672</v>
      </c>
      <c r="EN81">
        <f>EL81+EM81+DY81+EE81+1.15*(SUM(DF81:DM81)+SUM(CF81:CI81))</f>
        <v>18347468.430134278</v>
      </c>
      <c r="EO81">
        <f>EN81/15</f>
        <v>1223164.5620089518</v>
      </c>
      <c r="EP81">
        <f>('eLLE Bals'!CB81+'eLLE Bals'!CC81)*'Oxidant Feed Composition'!$N$28*60*7200</f>
        <v>17035919.33536708</v>
      </c>
      <c r="EQ81" s="53">
        <f>('eLLE Bals'!BR81+'eLLE Bals'!BY81)*'Reagent cost'!$C$38*60*7200*1.5</f>
        <v>757928.95274146204</v>
      </c>
      <c r="ER81">
        <f>'TEA Revised Non EYZ'!DI81</f>
        <v>504921.59999999998</v>
      </c>
      <c r="ES81">
        <f>'TEA Revised Non EYZ'!DJ81</f>
        <v>112.67474166969532</v>
      </c>
      <c r="ET81">
        <f>'TEA Revised Non EYZ'!DK81</f>
        <v>1286.5319807008066</v>
      </c>
      <c r="EU81">
        <f>1.2*SUM(EP81:ET81)</f>
        <v>21960202.913797099</v>
      </c>
      <c r="EV81">
        <f>'TEA Revised Non EYZ'!DM81</f>
        <v>0.70639694042110623</v>
      </c>
      <c r="EW81">
        <f>(BS81*CO81+BT81*CP81)/1000*('Oxidant Feed Composition'!$B$11*'Oxidant Feed Composition'!$O$20+'Oxidant Feed Composition'!$D$11*'Oxidant Feed Composition'!$O$21+'Oxidant Feed Composition'!$F$11*'Oxidant Feed Composition'!$O$27-'Oxidant Feed Composition'!$J$15*18.015)</f>
        <v>1.7894130624994036</v>
      </c>
      <c r="EX81">
        <f>(CZ81*BX81+DC81*BZ81)*368.34/1000</f>
        <v>0.10199731687495749</v>
      </c>
      <c r="EY81">
        <f>'TEA Revised Non EYZ'!DP81</f>
        <v>4.999938342565946E-2</v>
      </c>
      <c r="EZ81">
        <f>SUM(EV81:EX81)-EY81</f>
        <v>2.5478079363698076</v>
      </c>
      <c r="FA81">
        <f>EZ81*0.33*60*7200</f>
        <v>363215.49940887978</v>
      </c>
      <c r="FB81">
        <f>'TEA Revised Non EYZ'!DS81</f>
        <v>1.2</v>
      </c>
      <c r="FC81">
        <v>0.5</v>
      </c>
      <c r="FD81">
        <f>'TEA Revised Non EYZ'!DT81</f>
        <v>1405.8827911906292</v>
      </c>
      <c r="FE81">
        <f>'TEA Revised Non EYZ'!DU81</f>
        <v>705.80558246711394</v>
      </c>
      <c r="FF81">
        <f>'TEA Revised Non EYZ'!DV81</f>
        <v>0.7</v>
      </c>
      <c r="FG81">
        <f>'TEA Revised Non EYZ'!DW81</f>
        <v>46784.46952433938</v>
      </c>
      <c r="FH81">
        <f>'TEA Revised Non EYZ'!DX81</f>
        <v>45678.708869524045</v>
      </c>
      <c r="FI81">
        <f>'TEA Revised Non EYZ'!DY81</f>
        <v>19339.775932661389</v>
      </c>
      <c r="FJ81">
        <f>'TEA Revised Non EYZ'!DZ81</f>
        <v>10244.818866671721</v>
      </c>
      <c r="FK81">
        <f>'TEA Revised Non EYZ'!EA81</f>
        <v>10314.547164086078</v>
      </c>
      <c r="FL81">
        <f>'TEA Revised Non EYZ'!EB81</f>
        <v>850.27791211209262</v>
      </c>
      <c r="FM81">
        <f>'TEA Revised Non EYZ'!EC81</f>
        <v>51427.364195866423</v>
      </c>
      <c r="FN81">
        <f>'TEA Revised Non EYZ'!ED81</f>
        <v>54311.474408254369</v>
      </c>
      <c r="FO81">
        <f>'TEA Revised Non EYZ'!EE81</f>
        <v>22994.777471236728</v>
      </c>
      <c r="FP81">
        <f>'TEA Revised Non EYZ'!EF81</f>
        <v>12187.756432204143</v>
      </c>
      <c r="FQ81">
        <f>'TEA Revised Non EYZ'!EG81</f>
        <v>12263.881317992924</v>
      </c>
      <c r="FR81">
        <f>'TEA Revised Non EYZ'!EH81</f>
        <v>426.87121627611049</v>
      </c>
      <c r="FS81">
        <f>'TEA Revised Non EYZ'!EI81</f>
        <v>286824.72331122548</v>
      </c>
      <c r="FT81">
        <f>EG81*EH81</f>
        <v>2517.1940201830716</v>
      </c>
      <c r="FU81">
        <f>EG81*EI81</f>
        <v>4522.6940683656594</v>
      </c>
      <c r="FV81">
        <f>FC81*(FT81+FU81)/(3.6*10^6)*3600*7200*0.07</f>
        <v>1774.0517983142804</v>
      </c>
      <c r="FW81">
        <f>('CAPEX+OPEX'!$C$39/7/100+0.03)*EL81</f>
        <v>90840.561440486417</v>
      </c>
      <c r="FX81">
        <f>('CAPEX+OPEX'!$C$39/7/100+0.03)*EM81</f>
        <v>163215.09788268688</v>
      </c>
      <c r="FY81">
        <f>SUM(FV81:FX81)</f>
        <v>255829.71112148758</v>
      </c>
      <c r="FZ81">
        <f>FY81+FA81+FS81+EU81</f>
        <v>22866072.847638693</v>
      </c>
      <c r="GA81">
        <f>FZ81+EO81</f>
        <v>24089237.409647644</v>
      </c>
      <c r="GB81">
        <f>GA81/(BK81*60*7200)</f>
        <v>0.55762123633443617</v>
      </c>
      <c r="GC81">
        <f>'TEA Revised Non EYZ'!EM81/'TEA Revised Non EYZ'!EK81*GA81</f>
        <v>1865.5040828237993</v>
      </c>
      <c r="GD81">
        <f>'TEA Revised Non EYZ'!EN81/'TEA Revised Non EYZ'!EK81*GA81</f>
        <v>3423.6462263107705</v>
      </c>
    </row>
    <row r="82" spans="1:186">
      <c r="A82">
        <f>'TEA Revised Non EYZ'!A82</f>
        <v>11</v>
      </c>
      <c r="B82">
        <f>'TEA Revised Non EYZ'!B82</f>
        <v>1.54143585092054E-3</v>
      </c>
      <c r="C82">
        <f>'TEA Revised Non EYZ'!C82</f>
        <v>1.54143585092054E-3</v>
      </c>
      <c r="D82">
        <f>'TEA Revised Non EYZ'!D82</f>
        <v>3.4254130020456501E-4</v>
      </c>
      <c r="E82">
        <f>'TEA Revised Non EYZ'!E82</f>
        <v>0</v>
      </c>
      <c r="F82">
        <f>'TEA Revised Non EYZ'!F82</f>
        <v>0</v>
      </c>
      <c r="G82">
        <f>'TEA Revised Non EYZ'!G82</f>
        <v>0</v>
      </c>
      <c r="H82">
        <f>'TEA Revised Non EYZ'!H82</f>
        <v>1.7771367359861701E-5</v>
      </c>
      <c r="I82">
        <f>'TEA Revised Non EYZ'!I82</f>
        <v>1.8081057367328801E-10</v>
      </c>
      <c r="J82">
        <f>'TEA Revised Non EYZ'!J82</f>
        <v>3.3765941525589702E-4</v>
      </c>
      <c r="K82">
        <f>'TEA Revised Non EYZ'!K82</f>
        <v>0.139102253285185</v>
      </c>
      <c r="L82">
        <f>'TEA Revised Non EYZ'!L82</f>
        <v>0.14072466572308701</v>
      </c>
      <c r="M82">
        <f>'TEA Revised Non EYZ'!M82</f>
        <v>4.4568945720355099E-4</v>
      </c>
      <c r="N82">
        <f>'TEA Revised Non EYZ'!N82</f>
        <v>-8.03393809811758E-16</v>
      </c>
      <c r="O82">
        <f>'TEA Revised Non EYZ'!O82</f>
        <v>-8.4019770307808202E-13</v>
      </c>
      <c r="P82">
        <f>'TEA Revised Non EYZ'!P82</f>
        <v>-2.26157796916898E-19</v>
      </c>
      <c r="Q82">
        <f>'TEA Revised Non EYZ'!Q82</f>
        <v>0.10953557168033</v>
      </c>
      <c r="R82">
        <f>'TEA Revised Non EYZ'!R82</f>
        <v>98.5748039883795</v>
      </c>
      <c r="S82">
        <f>'TEA Revised Non EYZ'!S82</f>
        <v>500</v>
      </c>
      <c r="T82">
        <f>'TEA Revised Non EYZ'!T82</f>
        <v>95</v>
      </c>
      <c r="U82">
        <f>'TEA Revised Non EYZ'!U82</f>
        <v>1</v>
      </c>
      <c r="V82">
        <f>'TEA Revised Non EYZ'!V82</f>
        <v>0.1</v>
      </c>
      <c r="W82">
        <f>'TEA Revised Non EYZ'!W82</f>
        <v>91.294543376138293</v>
      </c>
      <c r="X82" t="str">
        <f>'TEA Revised Non EYZ'!X82</f>
        <v>ddFc</v>
      </c>
      <c r="Y82">
        <f>'TEA Revised Non EYZ'!Y82</f>
        <v>1</v>
      </c>
      <c r="Z82">
        <f>'TEA Revised Non EYZ'!Z82</f>
        <v>0.28318429382522198</v>
      </c>
      <c r="AA82">
        <f>'TEA Revised Non EYZ'!AA82</f>
        <v>0.56945642916197003</v>
      </c>
      <c r="AB82">
        <f>'TEA Revised Non EYZ'!AB82</f>
        <v>3.7698628972227502E-3</v>
      </c>
      <c r="AC82">
        <f>'TEA Revised Non EYZ'!AC82</f>
        <v>1822.2107908876901</v>
      </c>
      <c r="AD82">
        <f>'TEA Revised Non EYZ'!AD82</f>
        <v>2662.6059073104898</v>
      </c>
      <c r="AE82">
        <f>'TEA Revised Non EYZ'!AE82</f>
        <v>2401.5030938442701</v>
      </c>
      <c r="AF82">
        <f>'TEA Revised Non EYZ'!AF82</f>
        <v>4</v>
      </c>
      <c r="AG82">
        <f>'TEA Revised Non EYZ'!AG82</f>
        <v>1.6497569194096201E-3</v>
      </c>
      <c r="AH82">
        <f>'TEA Revised Non EYZ'!AH82</f>
        <v>1.6689987798565299E-3</v>
      </c>
      <c r="AI82">
        <f>'TEA Revised Non EYZ'!AI82</f>
        <v>5.28589040482341E-6</v>
      </c>
      <c r="AJ82">
        <f>'TEA Revised Non EYZ'!AJ82</f>
        <v>0</v>
      </c>
      <c r="AK82">
        <f>'TEA Revised Non EYZ'!AK82</f>
        <v>0</v>
      </c>
      <c r="AL82">
        <f>'TEA Revised Non EYZ'!AL82</f>
        <v>0</v>
      </c>
      <c r="AM82">
        <f>'TEA Revised Non EYZ'!AM82</f>
        <v>1.6048442786411501E-3</v>
      </c>
      <c r="AN82">
        <f>'TEA Revised Non EYZ'!AN82</f>
        <v>7.9221543426505204E-5</v>
      </c>
      <c r="AO82">
        <f>'TEA Revised Non EYZ'!AO82</f>
        <v>5.2439449251215197E-6</v>
      </c>
      <c r="AP82">
        <f>'TEA Revised Non EYZ'!AP82</f>
        <v>1.9874086219128402E-3</v>
      </c>
      <c r="AQ82">
        <f>'TEA Revised Non EYZ'!AQ82</f>
        <v>7.0348501715363707E-2</v>
      </c>
      <c r="AR82">
        <f>'TEA Revised Non EYZ'!AR82</f>
        <v>1.8561101411739801E-6</v>
      </c>
      <c r="AS82">
        <f>'TEA Revised Non EYZ'!AS82</f>
        <v>-9.4923594267000406E-15</v>
      </c>
      <c r="AT82">
        <f>'TEA Revised Non EYZ'!AT82</f>
        <v>-1.2240620843317799E-13</v>
      </c>
      <c r="AU82">
        <f>'TEA Revised Non EYZ'!AU82</f>
        <v>-3.0355146200531901E-18</v>
      </c>
      <c r="AV82">
        <f>'TEA Revised Non EYZ'!AV82</f>
        <v>0.20871362817040201</v>
      </c>
      <c r="AW82">
        <f>'TEA Revised Non EYZ'!AW82</f>
        <v>99.206463311013493</v>
      </c>
      <c r="AX82">
        <f>'TEA Revised Non EYZ'!AX82</f>
        <v>500</v>
      </c>
      <c r="AY82">
        <f>'TEA Revised Non EYZ'!AY82</f>
        <v>95</v>
      </c>
      <c r="AZ82">
        <f>'TEA Revised Non EYZ'!AZ82</f>
        <v>0.92356908198738696</v>
      </c>
      <c r="BA82">
        <f>'TEA Revised Non EYZ'!BA82</f>
        <v>0.1</v>
      </c>
      <c r="BB82">
        <f>'TEA Revised Non EYZ'!BB82</f>
        <v>44.250540325682302</v>
      </c>
      <c r="BC82" t="str">
        <f>'TEA Revised Non EYZ'!BC82</f>
        <v>coeFc</v>
      </c>
      <c r="BD82">
        <f>'TEA Revised Non EYZ'!BD82</f>
        <v>1</v>
      </c>
      <c r="BE82">
        <f>'TEA Revised Non EYZ'!BE82</f>
        <v>1.8775014999999999E-2</v>
      </c>
      <c r="BF82">
        <f>'TEA Revised Non EYZ'!BF82</f>
        <v>0.10492961100000001</v>
      </c>
      <c r="BG82">
        <f>'TEA Revised Non EYZ'!BG82</f>
        <v>1.814625E-3</v>
      </c>
      <c r="BH82">
        <f>'TEA Revised Non EYZ'!BH82</f>
        <v>285.1951444</v>
      </c>
      <c r="BI82">
        <f>'TEA Revised Non EYZ'!BI82</f>
        <v>2169.8944889999998</v>
      </c>
      <c r="BJ82">
        <f>'TEA Revised Non EYZ'!BJ82</f>
        <v>866.49409060000005</v>
      </c>
      <c r="BK82">
        <f>'TEA Revised Non EYZ'!BK82</f>
        <v>100</v>
      </c>
      <c r="BL82">
        <f>'TEA Revised Non EYZ'!BL82</f>
        <v>10.953557168032999</v>
      </c>
      <c r="BM82">
        <f>'TEA Revised Non EYZ'!BM82</f>
        <v>92.356908198738694</v>
      </c>
      <c r="BN82">
        <f>'TEA Revised Non EYZ'!BN82</f>
        <v>20.8713628170402</v>
      </c>
      <c r="BO82">
        <f>'TEA Revised Non EYZ'!BO82</f>
        <v>284.79248636885796</v>
      </c>
      <c r="BP82">
        <f>'TEA Revised Non EYZ'!BP82</f>
        <v>250.4563538044824</v>
      </c>
      <c r="BQ82">
        <f>'TEA Revised Non EYZ'!BQ82</f>
        <v>28.479248636885799</v>
      </c>
      <c r="BR82">
        <f>'TEA Revised Non EYZ'!BR82</f>
        <v>25.045635380448243</v>
      </c>
      <c r="BS82">
        <f>'eLLE Bals'!CF82</f>
        <v>6.5721343008197994</v>
      </c>
      <c r="BT82">
        <f>'eLLE Bals'!CG82</f>
        <v>12.52281769022412</v>
      </c>
      <c r="BU82">
        <f>BM82</f>
        <v>92.356908198738694</v>
      </c>
      <c r="BV82">
        <f>BU82*(AM82*2+AN82*2+AO82*3)</f>
        <v>0.31252316867881774</v>
      </c>
      <c r="BW82">
        <f>BN82*BA82*(AP82*2+AQ82*2+AR82*3)</f>
        <v>0.30196142773449303</v>
      </c>
      <c r="BX82">
        <f>BV82/(2*V82*BL82+BV82)</f>
        <v>0.12484773436476491</v>
      </c>
      <c r="BY82">
        <f>BU82*BX82</f>
        <v>11.530550741547108</v>
      </c>
      <c r="BZ82">
        <f>BW82/(2*BN82*BA82+BW82)</f>
        <v>6.745881210231798E-2</v>
      </c>
      <c r="CA82">
        <f>2*BN82*BA82/0.04</f>
        <v>104.35681408520101</v>
      </c>
      <c r="CB82">
        <f>(BS82+BL82)*2</f>
        <v>35.051382937705597</v>
      </c>
      <c r="CC82">
        <f>(BU82+BL82)*2</f>
        <v>206.62093073354339</v>
      </c>
      <c r="CD82">
        <f>(BT82+BN82)*2</f>
        <v>66.788361014528647</v>
      </c>
      <c r="CE82">
        <f>(CA82+BN82)*2</f>
        <v>250.45635380448243</v>
      </c>
      <c r="CF82">
        <f>'TEA Revised Non EYZ'!CB82</f>
        <v>3759.2608200689256</v>
      </c>
      <c r="CG82">
        <f>'TEA Revised Non EYZ'!CC82</f>
        <v>3306.0238702191682</v>
      </c>
      <c r="CH82">
        <f>'TEA Revised Non EYZ'!CD82</f>
        <v>4541.8834647976191</v>
      </c>
      <c r="CI82">
        <f>'TEA Revised Non EYZ'!CE82</f>
        <v>25499.65594478586</v>
      </c>
      <c r="CJ82">
        <f>BL82*V82</f>
        <v>1.0953557168032999</v>
      </c>
      <c r="CK82">
        <f>CJ82/2*1.2</f>
        <v>0.65721343008197997</v>
      </c>
      <c r="CL82">
        <f>'eLLE Bals'!CB82*'Oxidant Feed Composition'!$N$20</f>
        <v>3.6511857226776682E-2</v>
      </c>
      <c r="CM82">
        <f>'eLLE Bals'!CB82*'Oxidant Feed Composition'!$N$21</f>
        <v>1.8255928613388335</v>
      </c>
      <c r="CN82">
        <f>'eLLE Bals'!CB82*'Oxidant Feed Composition'!$N$22</f>
        <v>0.54767785840164995</v>
      </c>
      <c r="CO82">
        <f>CN82/CK82</f>
        <v>0.83333333333333326</v>
      </c>
      <c r="CP82">
        <f>CO82</f>
        <v>0.83333333333333326</v>
      </c>
      <c r="CQ82">
        <f>CL82/CO82</f>
        <v>4.381422867213202E-2</v>
      </c>
      <c r="CR82">
        <f>CM82/CO82</f>
        <v>2.1907114336066003</v>
      </c>
      <c r="CS82">
        <f>BN82*BA82</f>
        <v>2.0871362817040202</v>
      </c>
      <c r="CT82">
        <f>CS82/2*1.2</f>
        <v>1.2522817690224122</v>
      </c>
      <c r="CU82">
        <f>'eLLE Bals'!CC82*'Oxidant Feed Composition'!$N$20</f>
        <v>6.9571209390134031E-2</v>
      </c>
      <c r="CV82">
        <f>'eLLE Bals'!CC82*'Oxidant Feed Composition'!$N$21</f>
        <v>3.4785604695067005</v>
      </c>
      <c r="CW82">
        <f>'eLLE Bals'!CC82*'Oxidant Feed Composition'!$N$22</f>
        <v>1.0435681408520101</v>
      </c>
      <c r="CX82">
        <f>CU82/CP82</f>
        <v>8.3485451268160843E-2</v>
      </c>
      <c r="CY82">
        <f>CV82/CP82</f>
        <v>4.1742725634080413</v>
      </c>
      <c r="CZ82">
        <f>CJ82</f>
        <v>1.0953557168032999</v>
      </c>
      <c r="DA82">
        <f>'eLLE Bals'!BQ82</f>
        <v>2.1907114336065998</v>
      </c>
      <c r="DB82">
        <f>'eLLE Bals'!BU82</f>
        <v>5.4874658447993694</v>
      </c>
      <c r="DC82">
        <f>CS82</f>
        <v>2.0871362817040202</v>
      </c>
      <c r="DD82">
        <f>'eLLE Bals'!BX82</f>
        <v>4.1742725634080404</v>
      </c>
      <c r="DE82">
        <f>'eLLE Bals'!CA82</f>
        <v>24.678007617460118</v>
      </c>
      <c r="DF82">
        <f>2*2*(CJ82*'Reagent cost'!$C$36*122.44/1000*1.5+CK82*'Oxidant Feed Composition'!$N$26+CQ82*'Reagent cost'!$C$34+CR82*'Reagent cost'!$C$35)</f>
        <v>111.46464346805341</v>
      </c>
      <c r="DG82">
        <f>2*2*(CS82*'Reagent cost'!$C$36*122.44/1000*1.5+CT82*'Oxidant Feed Composition'!$N$26+CX82*'Reagent cost'!$C$34+CY82*'Reagent cost'!$C$35)</f>
        <v>212.38936168455157</v>
      </c>
      <c r="DH82">
        <f>(AF82+3)*2*(CZ82*'Reagent cost'!$C$38+DA82*'Reagent cost'!$C$39+DB82*'Reagent cost'!$C$36*122.44/1000*1.5)</f>
        <v>1064.7774914594954</v>
      </c>
      <c r="DI82">
        <f>3*2*(DC82*'Reagent cost'!$C$38+DD82*'Reagent cost'!$C$39+DE82*'Reagent cost'!$C$36*122.44/1000*1.5)</f>
        <v>1976.2752626045135</v>
      </c>
      <c r="DJ82">
        <f>7963.6*(CB82/1000)^0.6*1.7*('CAPEX+OPEX'!$G$116/'CAPEX+OPEX'!$G$115)</f>
        <v>2138.2772847076108</v>
      </c>
      <c r="DK82">
        <f>7963.6*(CC82/1000)^0.6*1.7*('CAPEX+OPEX'!$G$116/'CAPEX+OPEX'!$G$115)</f>
        <v>6199.3408604999822</v>
      </c>
      <c r="DL82">
        <f>7963.6*(CD82/1000)^0.6*1.7*('CAPEX+OPEX'!$G$116/'CAPEX+OPEX'!$G$115)</f>
        <v>3148.193366381196</v>
      </c>
      <c r="DM82">
        <f>7963.6*(CE82/1000)^0.6*1.7*('CAPEX+OPEX'!$G$116/'CAPEX+OPEX'!$G$115)</f>
        <v>6957.9316802984595</v>
      </c>
      <c r="DN82">
        <f>'TEA Revised Non EYZ'!CM82</f>
        <v>39625.826528698344</v>
      </c>
      <c r="DO82">
        <f>'TEA Revised Non EYZ'!CN82</f>
        <v>4586243.4239371875</v>
      </c>
      <c r="DP82">
        <f>'TEA Revised Non EYZ'!CO82</f>
        <v>11794834.586807497</v>
      </c>
      <c r="DQ82">
        <f>'TEA Revised Non EYZ'!CP82</f>
        <v>2275209.1661185985</v>
      </c>
      <c r="DR82">
        <f>'TEA Revised Non EYZ'!CQ82</f>
        <v>14083914.336508472</v>
      </c>
      <c r="DS82">
        <f>'TEA Revised Non EYZ'!CR82</f>
        <v>1662824.8986326549</v>
      </c>
      <c r="DT82">
        <f>'TEA Revised Non EYZ'!CS82</f>
        <v>892840.31653984461</v>
      </c>
      <c r="DU82">
        <f>'TEA Revised Non EYZ'!CT82</f>
        <v>2296193.8284949926</v>
      </c>
      <c r="DV82">
        <f>'TEA Revised Non EYZ'!CU82</f>
        <v>442932.9811560188</v>
      </c>
      <c r="DW82">
        <f>'TEA Revised Non EYZ'!CV82</f>
        <v>2741827.1059701391</v>
      </c>
      <c r="DX82">
        <f>'TEA Revised Non EYZ'!CW82</f>
        <v>323715.28756992728</v>
      </c>
      <c r="DY82">
        <f>'TEA Revised Non EYZ'!CX82</f>
        <v>6697509.5197309218</v>
      </c>
      <c r="DZ82">
        <f>'TEA Revised Non EYZ'!CY82</f>
        <v>498637.57922471326</v>
      </c>
      <c r="EA82">
        <f>'TEA Revised Non EYZ'!CZ82</f>
        <v>1282388.9231489168</v>
      </c>
      <c r="EB82">
        <f>'TEA Revised Non EYZ'!DA82</f>
        <v>247371.254849205</v>
      </c>
      <c r="EC82">
        <f>'TEA Revised Non EYZ'!DB82</f>
        <v>1531268.2519446225</v>
      </c>
      <c r="ED82">
        <f>'TEA Revised Non EYZ'!DC82</f>
        <v>180790.00730775911</v>
      </c>
      <c r="EE82">
        <f>'TEA Revised Non EYZ'!DD82</f>
        <v>3740456.016475217</v>
      </c>
      <c r="EF82">
        <v>0.7</v>
      </c>
      <c r="EG82">
        <v>100</v>
      </c>
      <c r="EH82">
        <f>96485*BL82*V82/EF82/EG82/60</f>
        <v>25.163189603753906</v>
      </c>
      <c r="EI82">
        <f>96485*BN82*BA82/EF82/EG82/60</f>
        <v>47.946986700050573</v>
      </c>
      <c r="EJ82">
        <f>EH82*('CAPEX+OPEX'!$O$25+'CAPEX+OPEX'!$O$26)</f>
        <v>802001.17905084451</v>
      </c>
      <c r="EK82">
        <f>EI82*('CAPEX+OPEX'!$O$25+'CAPEX+OPEX'!$O$26)</f>
        <v>1528166.3601040118</v>
      </c>
      <c r="EL82">
        <f>EJ82*1.12/0.6*'CAPEX+OPEX'!$G$116/'CAPEX+OPEX'!$G$115</f>
        <v>1765730.2106115664</v>
      </c>
      <c r="EM82">
        <f>EK82*1.12/0.6*'CAPEX+OPEX'!$G$116/'CAPEX+OPEX'!$G$115</f>
        <v>3364495.6882350184</v>
      </c>
      <c r="EN82">
        <f>EL82+EM82+DY82+EE82+1.15*(SUM(DF82:DM82)+SUM(CF82:CI82))</f>
        <v>15635944.230211345</v>
      </c>
      <c r="EO82">
        <f>EN82/15</f>
        <v>1042396.2820140898</v>
      </c>
      <c r="EP82">
        <f>('eLLE Bals'!CB82+'eLLE Bals'!CC82)*'Oxidant Feed Composition'!$N$28*60*7200</f>
        <v>17692029.339671478</v>
      </c>
      <c r="EQ82" s="53">
        <f>('eLLE Bals'!BR82+'eLLE Bals'!BY82)*'Reagent cost'!$C$38*60*7200*1.5</f>
        <v>759674.21086286521</v>
      </c>
      <c r="ER82">
        <f>'TEA Revised Non EYZ'!DI82</f>
        <v>504921.59999999998</v>
      </c>
      <c r="ES82">
        <f>'TEA Revised Non EYZ'!DJ82</f>
        <v>70.652846902880938</v>
      </c>
      <c r="ET82">
        <f>'TEA Revised Non EYZ'!DK82</f>
        <v>600.83078819166963</v>
      </c>
      <c r="EU82">
        <f>1.2*SUM(EP82:ET82)</f>
        <v>22748755.961003322</v>
      </c>
      <c r="EV82">
        <f>'TEA Revised Non EYZ'!DM82</f>
        <v>0.70639694042110623</v>
      </c>
      <c r="EW82">
        <f>(BS82*CO82+BT82*CP82)/1000*('Oxidant Feed Composition'!$B$11*'Oxidant Feed Composition'!$O$20+'Oxidant Feed Composition'!$D$11*'Oxidant Feed Composition'!$O$21+'Oxidant Feed Composition'!$F$11*'Oxidant Feed Composition'!$O$27-'Oxidant Feed Composition'!$J$15*18.015)</f>
        <v>1.8583293204967897</v>
      </c>
      <c r="EX82">
        <f>(CZ82*BX82+DC82*BZ82)*368.34/1000</f>
        <v>0.10223218274859043</v>
      </c>
      <c r="EY82">
        <f>'TEA Revised Non EYZ'!DP82</f>
        <v>4.999938342565946E-2</v>
      </c>
      <c r="EZ82">
        <f>SUM(EV82:EX82)-EY82</f>
        <v>2.616959060240827</v>
      </c>
      <c r="FA82">
        <f>EZ82*0.33*60*7200</f>
        <v>373073.68362793227</v>
      </c>
      <c r="FB82">
        <f>'TEA Revised Non EYZ'!DS82</f>
        <v>1.2</v>
      </c>
      <c r="FC82">
        <v>0.5</v>
      </c>
      <c r="FD82">
        <f>'TEA Revised Non EYZ'!DT82</f>
        <v>1398.9407935581069</v>
      </c>
      <c r="FE82">
        <f>'TEA Revised Non EYZ'!DU82</f>
        <v>712.74253559444992</v>
      </c>
      <c r="FF82">
        <f>'TEA Revised Non EYZ'!DV82</f>
        <v>0.7</v>
      </c>
      <c r="FG82">
        <f>'TEA Revised Non EYZ'!DW82</f>
        <v>49536.497143418172</v>
      </c>
      <c r="FH82">
        <f>'TEA Revised Non EYZ'!DX82</f>
        <v>49831.318766753509</v>
      </c>
      <c r="FI82">
        <f>'TEA Revised Non EYZ'!DY82</f>
        <v>21097.937381085154</v>
      </c>
      <c r="FJ82">
        <f>'TEA Revised Non EYZ'!DZ82</f>
        <v>11176.166036369152</v>
      </c>
      <c r="FK82">
        <f>'TEA Revised Non EYZ'!EA82</f>
        <v>11252.233269912085</v>
      </c>
      <c r="FL82">
        <f>'TEA Revised Non EYZ'!EB82</f>
        <v>846.07939194394294</v>
      </c>
      <c r="FM82">
        <f>'TEA Revised Non EYZ'!EC82</f>
        <v>28285.00948539532</v>
      </c>
      <c r="FN82">
        <f>'TEA Revised Non EYZ'!ED82</f>
        <v>19396.927085634903</v>
      </c>
      <c r="FO82">
        <f>'TEA Revised Non EYZ'!EE82</f>
        <v>8212.4086451276798</v>
      </c>
      <c r="FP82">
        <f>'TEA Revised Non EYZ'!EF82</f>
        <v>4352.763909014071</v>
      </c>
      <c r="FQ82">
        <f>'TEA Revised Non EYZ'!EG82</f>
        <v>4379.9512774014302</v>
      </c>
      <c r="FR82">
        <f>'TEA Revised Non EYZ'!EH82</f>
        <v>431.06668552752325</v>
      </c>
      <c r="FS82">
        <f>'TEA Revised Non EYZ'!EI82</f>
        <v>208798.35907758295</v>
      </c>
      <c r="FT82">
        <f>EG82*EH82</f>
        <v>2516.3189603753908</v>
      </c>
      <c r="FU82">
        <f>EG82*EI82</f>
        <v>4794.6986700050575</v>
      </c>
      <c r="FV82">
        <f>FC82*(FT82+FU82)/(3.6*10^6)*3600*7200*0.07</f>
        <v>1842.3764428558732</v>
      </c>
      <c r="FW82">
        <f>('CAPEX+OPEX'!$C$39/7/100+0.03)*EL82</f>
        <v>90808.982260023418</v>
      </c>
      <c r="FX82">
        <f>('CAPEX+OPEX'!$C$39/7/100+0.03)*EM82</f>
        <v>173031.20682351524</v>
      </c>
      <c r="FY82">
        <f>SUM(FV82:FX82)</f>
        <v>265682.56552639452</v>
      </c>
      <c r="FZ82">
        <f>FY82+FA82+FS82+EU82</f>
        <v>23596310.569235232</v>
      </c>
      <c r="GA82">
        <f>FZ82+EO82</f>
        <v>24638706.851249322</v>
      </c>
      <c r="GB82">
        <f>GA82/(BK82*60*7200)</f>
        <v>0.57034043637151211</v>
      </c>
      <c r="GC82">
        <f>'TEA Revised Non EYZ'!EM82/'TEA Revised Non EYZ'!EK82*GA82</f>
        <v>1917.5277887982202</v>
      </c>
      <c r="GD82">
        <f>'TEA Revised Non EYZ'!EN82/'TEA Revised Non EYZ'!EK82*GA82</f>
        <v>3470.2952421302698</v>
      </c>
    </row>
    <row r="83" spans="1:186">
      <c r="A83">
        <f>'TEA Revised Non EYZ'!A83</f>
        <v>11</v>
      </c>
      <c r="B83">
        <f>'TEA Revised Non EYZ'!B83</f>
        <v>1.54143585092054E-3</v>
      </c>
      <c r="C83">
        <f>'TEA Revised Non EYZ'!C83</f>
        <v>1.54143585092054E-3</v>
      </c>
      <c r="D83">
        <f>'TEA Revised Non EYZ'!D83</f>
        <v>3.4254130020456501E-4</v>
      </c>
      <c r="E83">
        <f>'TEA Revised Non EYZ'!E83</f>
        <v>0</v>
      </c>
      <c r="F83">
        <f>'TEA Revised Non EYZ'!F83</f>
        <v>0</v>
      </c>
      <c r="G83">
        <f>'TEA Revised Non EYZ'!G83</f>
        <v>0</v>
      </c>
      <c r="H83">
        <f>'TEA Revised Non EYZ'!H83</f>
        <v>1.7771367359861701E-5</v>
      </c>
      <c r="I83">
        <f>'TEA Revised Non EYZ'!I83</f>
        <v>1.8081057367328801E-10</v>
      </c>
      <c r="J83">
        <f>'TEA Revised Non EYZ'!J83</f>
        <v>3.3765941525589702E-4</v>
      </c>
      <c r="K83">
        <f>'TEA Revised Non EYZ'!K83</f>
        <v>0.139102253285185</v>
      </c>
      <c r="L83">
        <f>'TEA Revised Non EYZ'!L83</f>
        <v>0.14072466572308701</v>
      </c>
      <c r="M83">
        <f>'TEA Revised Non EYZ'!M83</f>
        <v>4.4568945720355099E-4</v>
      </c>
      <c r="N83">
        <f>'TEA Revised Non EYZ'!N83</f>
        <v>-8.03393809811758E-16</v>
      </c>
      <c r="O83">
        <f>'TEA Revised Non EYZ'!O83</f>
        <v>-8.4019770307808202E-13</v>
      </c>
      <c r="P83">
        <f>'TEA Revised Non EYZ'!P83</f>
        <v>-2.26157796916898E-19</v>
      </c>
      <c r="Q83">
        <f>'TEA Revised Non EYZ'!Q83</f>
        <v>0.10953557168033</v>
      </c>
      <c r="R83">
        <f>'TEA Revised Non EYZ'!R83</f>
        <v>98.5748039883795</v>
      </c>
      <c r="S83">
        <f>'TEA Revised Non EYZ'!S83</f>
        <v>500</v>
      </c>
      <c r="T83">
        <f>'TEA Revised Non EYZ'!T83</f>
        <v>95</v>
      </c>
      <c r="U83">
        <f>'TEA Revised Non EYZ'!U83</f>
        <v>1</v>
      </c>
      <c r="V83">
        <f>'TEA Revised Non EYZ'!V83</f>
        <v>0.1</v>
      </c>
      <c r="W83">
        <f>'TEA Revised Non EYZ'!W83</f>
        <v>91.294543376138293</v>
      </c>
      <c r="X83" t="str">
        <f>'TEA Revised Non EYZ'!X83</f>
        <v>ddFc</v>
      </c>
      <c r="Y83">
        <f>'TEA Revised Non EYZ'!Y83</f>
        <v>1</v>
      </c>
      <c r="Z83">
        <f>'TEA Revised Non EYZ'!Z83</f>
        <v>0.28318429382522198</v>
      </c>
      <c r="AA83">
        <f>'TEA Revised Non EYZ'!AA83</f>
        <v>0.56945642916197003</v>
      </c>
      <c r="AB83">
        <f>'TEA Revised Non EYZ'!AB83</f>
        <v>3.7698628972227502E-3</v>
      </c>
      <c r="AC83">
        <f>'TEA Revised Non EYZ'!AC83</f>
        <v>1822.2107908876901</v>
      </c>
      <c r="AD83">
        <f>'TEA Revised Non EYZ'!AD83</f>
        <v>2662.6059073104898</v>
      </c>
      <c r="AE83">
        <f>'TEA Revised Non EYZ'!AE83</f>
        <v>2401.5030938442701</v>
      </c>
      <c r="AF83">
        <f>'TEA Revised Non EYZ'!AF83</f>
        <v>5</v>
      </c>
      <c r="AG83">
        <f>'TEA Revised Non EYZ'!AG83</f>
        <v>1.6497569194096201E-3</v>
      </c>
      <c r="AH83">
        <f>'TEA Revised Non EYZ'!AH83</f>
        <v>1.6689987798565299E-3</v>
      </c>
      <c r="AI83">
        <f>'TEA Revised Non EYZ'!AI83</f>
        <v>5.28589040482341E-6</v>
      </c>
      <c r="AJ83">
        <f>'TEA Revised Non EYZ'!AJ83</f>
        <v>0</v>
      </c>
      <c r="AK83">
        <f>'TEA Revised Non EYZ'!AK83</f>
        <v>0</v>
      </c>
      <c r="AL83">
        <f>'TEA Revised Non EYZ'!AL83</f>
        <v>0</v>
      </c>
      <c r="AM83">
        <f>'TEA Revised Non EYZ'!AM83</f>
        <v>1.6104460290619601E-3</v>
      </c>
      <c r="AN83">
        <f>'TEA Revised Non EYZ'!AN83</f>
        <v>7.9511320807382698E-5</v>
      </c>
      <c r="AO83">
        <f>'TEA Revised Non EYZ'!AO83</f>
        <v>5.2489965417355999E-6</v>
      </c>
      <c r="AP83">
        <f>'TEA Revised Non EYZ'!AP83</f>
        <v>1.8118142403982199E-3</v>
      </c>
      <c r="AQ83">
        <f>'TEA Revised Non EYZ'!AQ83</f>
        <v>7.3258478446211001E-2</v>
      </c>
      <c r="AR83">
        <f>'TEA Revised Non EYZ'!AR83</f>
        <v>1.7004149724062101E-6</v>
      </c>
      <c r="AS83">
        <f>'TEA Revised Non EYZ'!AS83</f>
        <v>-4.4892746204477899E-17</v>
      </c>
      <c r="AT83">
        <f>'TEA Revised Non EYZ'!AT83</f>
        <v>1.89301699315969E-16</v>
      </c>
      <c r="AU83">
        <f>'TEA Revised Non EYZ'!AU83</f>
        <v>-3.52775987641615E-20</v>
      </c>
      <c r="AV83">
        <f>'TEA Revised Non EYZ'!AV83</f>
        <v>0.200386563373979</v>
      </c>
      <c r="AW83">
        <f>'TEA Revised Non EYZ'!AW83</f>
        <v>99.302031251836993</v>
      </c>
      <c r="AX83">
        <f>'TEA Revised Non EYZ'!AX83</f>
        <v>500</v>
      </c>
      <c r="AY83">
        <f>'TEA Revised Non EYZ'!AY83</f>
        <v>95</v>
      </c>
      <c r="AZ83">
        <f>'TEA Revised Non EYZ'!AZ83</f>
        <v>0.92356908198738696</v>
      </c>
      <c r="BA83">
        <f>'TEA Revised Non EYZ'!BA83</f>
        <v>0.1</v>
      </c>
      <c r="BB83">
        <f>'TEA Revised Non EYZ'!BB83</f>
        <v>46.089371784062003</v>
      </c>
      <c r="BC83" t="str">
        <f>'TEA Revised Non EYZ'!BC83</f>
        <v>coeFc</v>
      </c>
      <c r="BD83">
        <f>'TEA Revised Non EYZ'!BD83</f>
        <v>1</v>
      </c>
      <c r="BE83">
        <f>'TEA Revised Non EYZ'!BE83</f>
        <v>1.8775014999999999E-2</v>
      </c>
      <c r="BF83">
        <f>'TEA Revised Non EYZ'!BF83</f>
        <v>0.10492961100000001</v>
      </c>
      <c r="BG83">
        <f>'TEA Revised Non EYZ'!BG83</f>
        <v>1.814625E-3</v>
      </c>
      <c r="BH83">
        <f>'TEA Revised Non EYZ'!BH83</f>
        <v>285.1951444</v>
      </c>
      <c r="BI83">
        <f>'TEA Revised Non EYZ'!BI83</f>
        <v>2169.8944889999998</v>
      </c>
      <c r="BJ83">
        <f>'TEA Revised Non EYZ'!BJ83</f>
        <v>866.49409060000005</v>
      </c>
      <c r="BK83">
        <f>'TEA Revised Non EYZ'!BK83</f>
        <v>100</v>
      </c>
      <c r="BL83">
        <f>'TEA Revised Non EYZ'!BL83</f>
        <v>10.953557168032999</v>
      </c>
      <c r="BM83">
        <f>'TEA Revised Non EYZ'!BM83</f>
        <v>92.356908198738694</v>
      </c>
      <c r="BN83">
        <f>'TEA Revised Non EYZ'!BN83</f>
        <v>20.038656337397899</v>
      </c>
      <c r="BO83">
        <f>'TEA Revised Non EYZ'!BO83</f>
        <v>284.79248636885796</v>
      </c>
      <c r="BP83">
        <f>'TEA Revised Non EYZ'!BP83</f>
        <v>280.5411887235706</v>
      </c>
      <c r="BQ83">
        <f>'TEA Revised Non EYZ'!BQ83</f>
        <v>28.479248636885799</v>
      </c>
      <c r="BR83">
        <f>'TEA Revised Non EYZ'!BR83</f>
        <v>28.054118872357062</v>
      </c>
      <c r="BS83">
        <f>'eLLE Bals'!CF83</f>
        <v>6.5721343008197994</v>
      </c>
      <c r="BT83">
        <f>'eLLE Bals'!CG83</f>
        <v>12.023193802438739</v>
      </c>
      <c r="BU83">
        <f>BM83</f>
        <v>92.356908198738694</v>
      </c>
      <c r="BV83">
        <f>BU83*(AM83*2+AN83*2+AO83*3)</f>
        <v>0.31361281491855497</v>
      </c>
      <c r="BW83">
        <f>BN83*BA83*(AP83*2+AQ83*2+AR83*3)</f>
        <v>0.30087178146834637</v>
      </c>
      <c r="BX83">
        <f>BV83/(2*V83*BL83+BV83)</f>
        <v>0.12522851827324183</v>
      </c>
      <c r="BY83">
        <f>BU83*BX83</f>
        <v>11.565718766025867</v>
      </c>
      <c r="BZ83">
        <f>BW83/(2*BN83*BA83+BW83)</f>
        <v>6.9830471280433501E-2</v>
      </c>
      <c r="CA83">
        <f>2*BN83*BA83/0.04</f>
        <v>100.19328168698951</v>
      </c>
      <c r="CB83">
        <f>(BS83+BL83)*2</f>
        <v>35.051382937705597</v>
      </c>
      <c r="CC83">
        <f>(BU83+BL83)*2</f>
        <v>206.62093073354339</v>
      </c>
      <c r="CD83">
        <f>(BT83+BN83)*2</f>
        <v>64.123700279673272</v>
      </c>
      <c r="CE83">
        <f>(CA83+BN83)*2</f>
        <v>240.46387604877481</v>
      </c>
      <c r="CF83">
        <f>'TEA Revised Non EYZ'!CB83</f>
        <v>3759.2608200689256</v>
      </c>
      <c r="CG83">
        <f>'TEA Revised Non EYZ'!CC83</f>
        <v>3703.1436911511319</v>
      </c>
      <c r="CH83">
        <f>'TEA Revised Non EYZ'!CD83</f>
        <v>4541.8834647976191</v>
      </c>
      <c r="CI83">
        <f>'TEA Revised Non EYZ'!CE83</f>
        <v>28562.676418969168</v>
      </c>
      <c r="CJ83">
        <f>BL83*V83</f>
        <v>1.0953557168032999</v>
      </c>
      <c r="CK83">
        <f>CJ83/2*1.2</f>
        <v>0.65721343008197997</v>
      </c>
      <c r="CL83">
        <f>'eLLE Bals'!CB83*'Oxidant Feed Composition'!$N$20</f>
        <v>3.6511857226776682E-2</v>
      </c>
      <c r="CM83">
        <f>'eLLE Bals'!CB83*'Oxidant Feed Composition'!$N$21</f>
        <v>1.8255928613388335</v>
      </c>
      <c r="CN83">
        <f>'eLLE Bals'!CB83*'Oxidant Feed Composition'!$N$22</f>
        <v>0.54767785840164995</v>
      </c>
      <c r="CO83">
        <f>CN83/CK83</f>
        <v>0.83333333333333326</v>
      </c>
      <c r="CP83">
        <f>CO83</f>
        <v>0.83333333333333326</v>
      </c>
      <c r="CQ83">
        <f>CL83/CO83</f>
        <v>4.381422867213202E-2</v>
      </c>
      <c r="CR83">
        <f>CM83/CO83</f>
        <v>2.1907114336066003</v>
      </c>
      <c r="CS83">
        <f>BN83*BA83</f>
        <v>2.0038656337397902</v>
      </c>
      <c r="CT83">
        <f>CS83/2*1.2</f>
        <v>1.2023193802438741</v>
      </c>
      <c r="CU83">
        <f>'eLLE Bals'!CC83*'Oxidant Feed Composition'!$N$20</f>
        <v>6.6795521124659696E-2</v>
      </c>
      <c r="CV83">
        <f>'eLLE Bals'!CC83*'Oxidant Feed Composition'!$N$21</f>
        <v>3.3397760562329837</v>
      </c>
      <c r="CW83">
        <f>'eLLE Bals'!CC83*'Oxidant Feed Composition'!$N$22</f>
        <v>1.0019328168698951</v>
      </c>
      <c r="CX83">
        <f>CU83/CP83</f>
        <v>8.0154625349591641E-2</v>
      </c>
      <c r="CY83">
        <f>CV83/CP83</f>
        <v>4.0077312674795804</v>
      </c>
      <c r="CZ83">
        <f>CJ83</f>
        <v>1.0953557168032999</v>
      </c>
      <c r="DA83">
        <f>'eLLE Bals'!BQ83</f>
        <v>2.1907114336065998</v>
      </c>
      <c r="DB83">
        <f>'eLLE Bals'!BU83</f>
        <v>5.4607880540353682</v>
      </c>
      <c r="DC83">
        <f>CS83</f>
        <v>2.0038656337397902</v>
      </c>
      <c r="DD83">
        <f>'eLLE Bals'!BX83</f>
        <v>4.0077312674795804</v>
      </c>
      <c r="DE83">
        <f>'eLLE Bals'!CA83</f>
        <v>22.684552458741681</v>
      </c>
      <c r="DF83">
        <f>2*2*(CJ83*'Reagent cost'!$C$36*122.44/1000*1.5+CK83*'Oxidant Feed Composition'!$N$26+CQ83*'Reagent cost'!$C$34+CR83*'Reagent cost'!$C$35)</f>
        <v>111.46464346805341</v>
      </c>
      <c r="DG83">
        <f>2*2*(CS83*'Reagent cost'!$C$36*122.44/1000*1.5+CT83*'Oxidant Feed Composition'!$N$26+CX83*'Reagent cost'!$C$34+CY83*'Reagent cost'!$C$35)</f>
        <v>203.91564584566902</v>
      </c>
      <c r="DH83">
        <f>(AF83+3)*2*(CZ83*'Reagent cost'!$C$38+DA83*'Reagent cost'!$C$39+DB83*'Reagent cost'!$C$36*122.44/1000*1.5)</f>
        <v>1211.3523569909992</v>
      </c>
      <c r="DI83">
        <f>3*2*(DC83*'Reagent cost'!$C$38+DD83*'Reagent cost'!$C$39+DE83*'Reagent cost'!$C$36*122.44/1000*1.5)</f>
        <v>1818.9166010508377</v>
      </c>
      <c r="DJ83">
        <f>7963.6*(CB83/1000)^0.6*1.7*('CAPEX+OPEX'!$G$116/'CAPEX+OPEX'!$G$115)</f>
        <v>2138.2772847076108</v>
      </c>
      <c r="DK83">
        <f>7963.6*(CC83/1000)^0.6*1.7*('CAPEX+OPEX'!$G$116/'CAPEX+OPEX'!$G$115)</f>
        <v>6199.3408604999822</v>
      </c>
      <c r="DL83">
        <f>7963.6*(CD83/1000)^0.6*1.7*('CAPEX+OPEX'!$G$116/'CAPEX+OPEX'!$G$115)</f>
        <v>3072.218310067838</v>
      </c>
      <c r="DM83">
        <f>7963.6*(CE83/1000)^0.6*1.7*('CAPEX+OPEX'!$G$116/'CAPEX+OPEX'!$G$115)</f>
        <v>6790.0165652739934</v>
      </c>
      <c r="DN83">
        <f>'TEA Revised Non EYZ'!CM83</f>
        <v>39625.826528698344</v>
      </c>
      <c r="DO83">
        <f>'TEA Revised Non EYZ'!CN83</f>
        <v>4586243.4239371875</v>
      </c>
      <c r="DP83">
        <f>'TEA Revised Non EYZ'!CO83</f>
        <v>11794834.586807497</v>
      </c>
      <c r="DQ83">
        <f>'TEA Revised Non EYZ'!CP83</f>
        <v>2275209.1661185985</v>
      </c>
      <c r="DR83">
        <f>'TEA Revised Non EYZ'!CQ83</f>
        <v>14083914.336508472</v>
      </c>
      <c r="DS83">
        <f>'TEA Revised Non EYZ'!CR83</f>
        <v>1662824.8986326549</v>
      </c>
      <c r="DT83">
        <f>'TEA Revised Non EYZ'!CS83</f>
        <v>892840.31653984461</v>
      </c>
      <c r="DU83">
        <f>'TEA Revised Non EYZ'!CT83</f>
        <v>2296193.8284949926</v>
      </c>
      <c r="DV83">
        <f>'TEA Revised Non EYZ'!CU83</f>
        <v>442932.9811560188</v>
      </c>
      <c r="DW83">
        <f>'TEA Revised Non EYZ'!CV83</f>
        <v>2741827.1059701391</v>
      </c>
      <c r="DX83">
        <f>'TEA Revised Non EYZ'!CW83</f>
        <v>323715.28756992728</v>
      </c>
      <c r="DY83">
        <f>'TEA Revised Non EYZ'!CX83</f>
        <v>6697509.5197309218</v>
      </c>
      <c r="DZ83">
        <f>'TEA Revised Non EYZ'!CY83</f>
        <v>556280.39340094617</v>
      </c>
      <c r="EA83">
        <f>'TEA Revised Non EYZ'!CZ83</f>
        <v>1430633.8799643754</v>
      </c>
      <c r="EB83">
        <f>'TEA Revised Non EYZ'!DA83</f>
        <v>275967.52570786065</v>
      </c>
      <c r="EC83">
        <f>'TEA Revised Non EYZ'!DB83</f>
        <v>1708283.8139045672</v>
      </c>
      <c r="ED83">
        <f>'TEA Revised Non EYZ'!DC83</f>
        <v>201689.4445550761</v>
      </c>
      <c r="EE83">
        <f>'TEA Revised Non EYZ'!DD83</f>
        <v>4172855.0575328255</v>
      </c>
      <c r="EF83">
        <v>0.7</v>
      </c>
      <c r="EG83">
        <v>100</v>
      </c>
      <c r="EH83">
        <f>96485*BL83*V83/EF83/EG83/60</f>
        <v>25.163189603753906</v>
      </c>
      <c r="EI83">
        <f>96485*BN83*BA83/EF83/EG83/60</f>
        <v>46.034041826519918</v>
      </c>
      <c r="EJ83">
        <f>EH83*('CAPEX+OPEX'!$O$25+'CAPEX+OPEX'!$O$26)</f>
        <v>802001.17905084451</v>
      </c>
      <c r="EK83">
        <f>EI83*('CAPEX+OPEX'!$O$25+'CAPEX+OPEX'!$O$26)</f>
        <v>1467196.9810948428</v>
      </c>
      <c r="EL83">
        <f>EJ83*1.12/0.6*'CAPEX+OPEX'!$G$116/'CAPEX+OPEX'!$G$115</f>
        <v>1765730.2106115664</v>
      </c>
      <c r="EM83">
        <f>EK83*1.12/0.6*'CAPEX+OPEX'!$G$116/'CAPEX+OPEX'!$G$115</f>
        <v>3230262.1269251397</v>
      </c>
      <c r="EN83">
        <f>EL83+EM83+DY83+EE83+1.15*(SUM(DF83:DM83)+SUM(CF83:CI83))</f>
        <v>15937786.25146278</v>
      </c>
      <c r="EO83">
        <f>EN83/15</f>
        <v>1062519.083430852</v>
      </c>
      <c r="EP83">
        <f>('eLLE Bals'!CB83+'eLLE Bals'!CC83)*'Oxidant Feed Composition'!$N$28*60*7200</f>
        <v>17229113.251396123</v>
      </c>
      <c r="EQ83" s="53">
        <f>('eLLE Bals'!BR83+'eLLE Bals'!BY83)*'Reagent cost'!$C$38*60*7200*1.5</f>
        <v>758448.65586864029</v>
      </c>
      <c r="ER83">
        <f>'TEA Revised Non EYZ'!DI83</f>
        <v>504921.59999999998</v>
      </c>
      <c r="ES83">
        <f>'TEA Revised Non EYZ'!DJ83</f>
        <v>74.624045112200577</v>
      </c>
      <c r="ET83">
        <f>'TEA Revised Non EYZ'!DK83</f>
        <v>662.09119767533571</v>
      </c>
      <c r="EU83">
        <f>1.2*SUM(EP83:ET83)</f>
        <v>22191864.267009065</v>
      </c>
      <c r="EV83">
        <f>'TEA Revised Non EYZ'!DM83</f>
        <v>0.70639694042110623</v>
      </c>
      <c r="EW83">
        <f>(BS83*CO83+BT83*CP83)/1000*('Oxidant Feed Composition'!$B$11*'Oxidant Feed Composition'!$O$20+'Oxidant Feed Composition'!$D$11*'Oxidant Feed Composition'!$O$21+'Oxidant Feed Composition'!$F$11*'Oxidant Feed Composition'!$O$27-'Oxidant Feed Composition'!$J$15*18.015)</f>
        <v>1.8097056989067668</v>
      </c>
      <c r="EX83">
        <f>(CZ83*BX83+DC83*BZ83)*368.34/1000</f>
        <v>0.1020672552568493</v>
      </c>
      <c r="EY83">
        <f>'TEA Revised Non EYZ'!DP83</f>
        <v>4.999938342565946E-2</v>
      </c>
      <c r="EZ83">
        <f>SUM(EV83:EX83)-EY83</f>
        <v>2.5681705111590629</v>
      </c>
      <c r="FA83">
        <f>EZ83*0.33*60*7200</f>
        <v>366118.38807083602</v>
      </c>
      <c r="FB83">
        <f>'TEA Revised Non EYZ'!DS83</f>
        <v>1.2</v>
      </c>
      <c r="FC83">
        <v>0.5</v>
      </c>
      <c r="FD83">
        <f>'TEA Revised Non EYZ'!DT83</f>
        <v>1403.8210207975924</v>
      </c>
      <c r="FE83">
        <f>'TEA Revised Non EYZ'!DU83</f>
        <v>707.86230828995599</v>
      </c>
      <c r="FF83">
        <f>'TEA Revised Non EYZ'!DV83</f>
        <v>0.7</v>
      </c>
      <c r="FG83">
        <f>'TEA Revised Non EYZ'!DW83</f>
        <v>49536.497143418172</v>
      </c>
      <c r="FH83">
        <f>'TEA Revised Non EYZ'!DX83</f>
        <v>49831.318766753509</v>
      </c>
      <c r="FI83">
        <f>'TEA Revised Non EYZ'!DY83</f>
        <v>21097.937381085154</v>
      </c>
      <c r="FJ83">
        <f>'TEA Revised Non EYZ'!DZ83</f>
        <v>11176.166036369152</v>
      </c>
      <c r="FK83">
        <f>'TEA Revised Non EYZ'!EA83</f>
        <v>11252.233269912085</v>
      </c>
      <c r="FL83">
        <f>'TEA Revised Non EYZ'!EB83</f>
        <v>849.03095337838397</v>
      </c>
      <c r="FM83">
        <f>'TEA Revised Non EYZ'!EC83</f>
        <v>30856.373984067617</v>
      </c>
      <c r="FN83">
        <f>'TEA Revised Non EYZ'!ED83</f>
        <v>23276.312502761884</v>
      </c>
      <c r="FO83">
        <f>'TEA Revised Non EYZ'!EE83</f>
        <v>9854.8903741532158</v>
      </c>
      <c r="FP83">
        <f>'TEA Revised Non EYZ'!EF83</f>
        <v>5223.316690816886</v>
      </c>
      <c r="FQ83">
        <f>'TEA Revised Non EYZ'!EG83</f>
        <v>5255.9415328817167</v>
      </c>
      <c r="FR83">
        <f>'TEA Revised Non EYZ'!EH83</f>
        <v>428.11512405376538</v>
      </c>
      <c r="FS83">
        <f>'TEA Revised Non EYZ'!EI83</f>
        <v>218638.13375965157</v>
      </c>
      <c r="FT83">
        <f>EG83*EH83</f>
        <v>2516.3189603753908</v>
      </c>
      <c r="FU83">
        <f>EG83*EI83</f>
        <v>4603.4041826519915</v>
      </c>
      <c r="FV83">
        <f>FC83*(FT83+FU83)/(3.6*10^6)*3600*7200*0.07</f>
        <v>1794.1702320429004</v>
      </c>
      <c r="FW83">
        <f>('CAPEX+OPEX'!$C$39/7/100+0.03)*EL83</f>
        <v>90808.982260023418</v>
      </c>
      <c r="FX83">
        <f>('CAPEX+OPEX'!$C$39/7/100+0.03)*EM83</f>
        <v>166127.76652757861</v>
      </c>
      <c r="FY83">
        <f>SUM(FV83:FX83)</f>
        <v>258730.91901964493</v>
      </c>
      <c r="FZ83">
        <f>FY83+FA83+FS83+EU83</f>
        <v>23035351.707859196</v>
      </c>
      <c r="GA83">
        <f>FZ83+EO83</f>
        <v>24097870.791290049</v>
      </c>
      <c r="GB83">
        <f>GA83/(BK83*60*7200)</f>
        <v>0.55782108313171408</v>
      </c>
      <c r="GC83">
        <f>'TEA Revised Non EYZ'!EM83/'TEA Revised Non EYZ'!EK83*GA83</f>
        <v>1868.9130149706309</v>
      </c>
      <c r="GD83">
        <f>'TEA Revised Non EYZ'!EN83/'TEA Revised Non EYZ'!EK83*GA83</f>
        <v>3415.6980383071473</v>
      </c>
    </row>
    <row r="84" spans="1:186">
      <c r="A84">
        <f>'TEA Revised Non EYZ'!A84</f>
        <v>11</v>
      </c>
      <c r="B84">
        <f>'TEA Revised Non EYZ'!B84</f>
        <v>1.54143585092054E-3</v>
      </c>
      <c r="C84">
        <f>'TEA Revised Non EYZ'!C84</f>
        <v>1.54143585092054E-3</v>
      </c>
      <c r="D84">
        <f>'TEA Revised Non EYZ'!D84</f>
        <v>3.4254130020456501E-4</v>
      </c>
      <c r="E84">
        <f>'TEA Revised Non EYZ'!E84</f>
        <v>0</v>
      </c>
      <c r="F84">
        <f>'TEA Revised Non EYZ'!F84</f>
        <v>0</v>
      </c>
      <c r="G84">
        <f>'TEA Revised Non EYZ'!G84</f>
        <v>0</v>
      </c>
      <c r="H84">
        <f>'TEA Revised Non EYZ'!H84</f>
        <v>1.7771367359861701E-5</v>
      </c>
      <c r="I84">
        <f>'TEA Revised Non EYZ'!I84</f>
        <v>1.8081057367328801E-10</v>
      </c>
      <c r="J84">
        <f>'TEA Revised Non EYZ'!J84</f>
        <v>3.3765941525589702E-4</v>
      </c>
      <c r="K84">
        <f>'TEA Revised Non EYZ'!K84</f>
        <v>0.139102253285185</v>
      </c>
      <c r="L84">
        <f>'TEA Revised Non EYZ'!L84</f>
        <v>0.14072466572308701</v>
      </c>
      <c r="M84">
        <f>'TEA Revised Non EYZ'!M84</f>
        <v>4.4568945720355099E-4</v>
      </c>
      <c r="N84">
        <f>'TEA Revised Non EYZ'!N84</f>
        <v>-8.03393809811758E-16</v>
      </c>
      <c r="O84">
        <f>'TEA Revised Non EYZ'!O84</f>
        <v>-8.4019770307808202E-13</v>
      </c>
      <c r="P84">
        <f>'TEA Revised Non EYZ'!P84</f>
        <v>-2.26157796916898E-19</v>
      </c>
      <c r="Q84">
        <f>'TEA Revised Non EYZ'!Q84</f>
        <v>0.10953557168033</v>
      </c>
      <c r="R84">
        <f>'TEA Revised Non EYZ'!R84</f>
        <v>98.5748039883795</v>
      </c>
      <c r="S84">
        <f>'TEA Revised Non EYZ'!S84</f>
        <v>500</v>
      </c>
      <c r="T84">
        <f>'TEA Revised Non EYZ'!T84</f>
        <v>95</v>
      </c>
      <c r="U84">
        <f>'TEA Revised Non EYZ'!U84</f>
        <v>1</v>
      </c>
      <c r="V84">
        <f>'TEA Revised Non EYZ'!V84</f>
        <v>0.1</v>
      </c>
      <c r="W84">
        <f>'TEA Revised Non EYZ'!W84</f>
        <v>91.294543376138293</v>
      </c>
      <c r="X84" t="str">
        <f>'TEA Revised Non EYZ'!X84</f>
        <v>ddFc</v>
      </c>
      <c r="Y84">
        <f>'TEA Revised Non EYZ'!Y84</f>
        <v>1</v>
      </c>
      <c r="Z84">
        <f>'TEA Revised Non EYZ'!Z84</f>
        <v>0.28318429382522198</v>
      </c>
      <c r="AA84">
        <f>'TEA Revised Non EYZ'!AA84</f>
        <v>0.56945642916197003</v>
      </c>
      <c r="AB84">
        <f>'TEA Revised Non EYZ'!AB84</f>
        <v>3.7698628972227502E-3</v>
      </c>
      <c r="AC84">
        <f>'TEA Revised Non EYZ'!AC84</f>
        <v>1822.2107908876901</v>
      </c>
      <c r="AD84">
        <f>'TEA Revised Non EYZ'!AD84</f>
        <v>2662.6059073104898</v>
      </c>
      <c r="AE84">
        <f>'TEA Revised Non EYZ'!AE84</f>
        <v>2401.5030938442701</v>
      </c>
      <c r="AF84">
        <f>'TEA Revised Non EYZ'!AF84</f>
        <v>6</v>
      </c>
      <c r="AG84">
        <f>'TEA Revised Non EYZ'!AG84</f>
        <v>1.6497569194096201E-3</v>
      </c>
      <c r="AH84">
        <f>'TEA Revised Non EYZ'!AH84</f>
        <v>1.6689987798565299E-3</v>
      </c>
      <c r="AI84">
        <f>'TEA Revised Non EYZ'!AI84</f>
        <v>5.28589040482341E-6</v>
      </c>
      <c r="AJ84">
        <f>'TEA Revised Non EYZ'!AJ84</f>
        <v>0</v>
      </c>
      <c r="AK84">
        <f>'TEA Revised Non EYZ'!AK84</f>
        <v>0</v>
      </c>
      <c r="AL84">
        <f>'TEA Revised Non EYZ'!AL84</f>
        <v>0</v>
      </c>
      <c r="AM84">
        <f>'TEA Revised Non EYZ'!AM84</f>
        <v>1.61212756517482E-3</v>
      </c>
      <c r="AN84">
        <f>'TEA Revised Non EYZ'!AN84</f>
        <v>7.9598306534484298E-5</v>
      </c>
      <c r="AO84">
        <f>'TEA Revised Non EYZ'!AO84</f>
        <v>5.2505128878875599E-6</v>
      </c>
      <c r="AP84">
        <f>'TEA Revised Non EYZ'!AP84</f>
        <v>1.7562199861538999E-3</v>
      </c>
      <c r="AQ84">
        <f>'TEA Revised Non EYZ'!AQ84</f>
        <v>7.4179770926534203E-2</v>
      </c>
      <c r="AR84">
        <f>'TEA Revised Non EYZ'!AR84</f>
        <v>1.6511232671055801E-6</v>
      </c>
      <c r="AS84">
        <f>'TEA Revised Non EYZ'!AS84</f>
        <v>-1.8702487475374901E-18</v>
      </c>
      <c r="AT84">
        <f>'TEA Revised Non EYZ'!AT84</f>
        <v>-1.4853569763051401E-16</v>
      </c>
      <c r="AU84">
        <f>'TEA Revised Non EYZ'!AU84</f>
        <v>-1.8925892415213202E-21</v>
      </c>
      <c r="AV84">
        <f>'TEA Revised Non EYZ'!AV84</f>
        <v>0.197886986940187</v>
      </c>
      <c r="AW84">
        <f>'TEA Revised Non EYZ'!AW84</f>
        <v>99.330717925903897</v>
      </c>
      <c r="AX84">
        <f>'TEA Revised Non EYZ'!AX84</f>
        <v>500</v>
      </c>
      <c r="AY84">
        <f>'TEA Revised Non EYZ'!AY84</f>
        <v>95</v>
      </c>
      <c r="AZ84">
        <f>'TEA Revised Non EYZ'!AZ84</f>
        <v>0.92356908198738696</v>
      </c>
      <c r="BA84">
        <f>'TEA Revised Non EYZ'!BA84</f>
        <v>0.1</v>
      </c>
      <c r="BB84">
        <f>'TEA Revised Non EYZ'!BB84</f>
        <v>46.671541988081501</v>
      </c>
      <c r="BC84" t="str">
        <f>'TEA Revised Non EYZ'!BC84</f>
        <v>coeFc</v>
      </c>
      <c r="BD84">
        <f>'TEA Revised Non EYZ'!BD84</f>
        <v>1</v>
      </c>
      <c r="BE84">
        <f>'TEA Revised Non EYZ'!BE84</f>
        <v>1.8775014999999999E-2</v>
      </c>
      <c r="BF84">
        <f>'TEA Revised Non EYZ'!BF84</f>
        <v>0.10492961100000001</v>
      </c>
      <c r="BG84">
        <f>'TEA Revised Non EYZ'!BG84</f>
        <v>1.814625E-3</v>
      </c>
      <c r="BH84">
        <f>'TEA Revised Non EYZ'!BH84</f>
        <v>285.1951444</v>
      </c>
      <c r="BI84">
        <f>'TEA Revised Non EYZ'!BI84</f>
        <v>2169.8944889999998</v>
      </c>
      <c r="BJ84">
        <f>'TEA Revised Non EYZ'!BJ84</f>
        <v>866.49409060000005</v>
      </c>
      <c r="BK84">
        <f>'TEA Revised Non EYZ'!BK84</f>
        <v>100</v>
      </c>
      <c r="BL84">
        <f>'TEA Revised Non EYZ'!BL84</f>
        <v>10.953557168032999</v>
      </c>
      <c r="BM84">
        <f>'TEA Revised Non EYZ'!BM84</f>
        <v>92.356908198738694</v>
      </c>
      <c r="BN84">
        <f>'TEA Revised Non EYZ'!BN84</f>
        <v>19.788698694018699</v>
      </c>
      <c r="BO84">
        <f>'TEA Revised Non EYZ'!BO84</f>
        <v>284.79248636885796</v>
      </c>
      <c r="BP84">
        <f>'TEA Revised Non EYZ'!BP84</f>
        <v>316.61917910429918</v>
      </c>
      <c r="BQ84">
        <f>'TEA Revised Non EYZ'!BQ84</f>
        <v>28.479248636885799</v>
      </c>
      <c r="BR84">
        <f>'TEA Revised Non EYZ'!BR84</f>
        <v>31.661917910429921</v>
      </c>
      <c r="BS84">
        <f>'eLLE Bals'!CF84</f>
        <v>6.5721343008197994</v>
      </c>
      <c r="BT84">
        <f>'eLLE Bals'!CG84</f>
        <v>11.873219216411218</v>
      </c>
      <c r="BU84">
        <f>BM84</f>
        <v>92.356908198738694</v>
      </c>
      <c r="BV84">
        <f>BU84*(AM84*2+AN84*2+AO84*3)</f>
        <v>0.31393990547212364</v>
      </c>
      <c r="BW84">
        <f>BN84*BA84*(AP84*2+AQ84*2+AR84*3)</f>
        <v>0.30054469091483726</v>
      </c>
      <c r="BX84">
        <f>BV84/(2*V84*BL84+BV84)</f>
        <v>0.12534275752233004</v>
      </c>
      <c r="BY84">
        <f>BU84*BX84</f>
        <v>11.5762695498666</v>
      </c>
      <c r="BZ84">
        <f>BW84/(2*BN84*BA84+BW84)</f>
        <v>7.0578820150513005E-2</v>
      </c>
      <c r="CA84">
        <f>2*BN84*BA84/0.04</f>
        <v>98.9434934700935</v>
      </c>
      <c r="CB84">
        <f>(BS84+BL84)*2</f>
        <v>35.051382937705597</v>
      </c>
      <c r="CC84">
        <f>(BU84+BL84)*2</f>
        <v>206.62093073354339</v>
      </c>
      <c r="CD84">
        <f>(BT84+BN84)*2</f>
        <v>63.323835820859834</v>
      </c>
      <c r="CE84">
        <f>(CA84+BN84)*2</f>
        <v>237.46438432822441</v>
      </c>
      <c r="CF84">
        <f>'TEA Revised Non EYZ'!CB84</f>
        <v>3759.2608200689256</v>
      </c>
      <c r="CG84">
        <f>'TEA Revised Non EYZ'!CC84</f>
        <v>4179.373164176749</v>
      </c>
      <c r="CH84">
        <f>'TEA Revised Non EYZ'!CD84</f>
        <v>4541.8834647976191</v>
      </c>
      <c r="CI84">
        <f>'TEA Revised Non EYZ'!CE84</f>
        <v>32235.876670882313</v>
      </c>
      <c r="CJ84">
        <f>BL84*V84</f>
        <v>1.0953557168032999</v>
      </c>
      <c r="CK84">
        <f>CJ84/2*1.2</f>
        <v>0.65721343008197997</v>
      </c>
      <c r="CL84">
        <f>'eLLE Bals'!CB84*'Oxidant Feed Composition'!$N$20</f>
        <v>3.6511857226776682E-2</v>
      </c>
      <c r="CM84">
        <f>'eLLE Bals'!CB84*'Oxidant Feed Composition'!$N$21</f>
        <v>1.8255928613388335</v>
      </c>
      <c r="CN84">
        <f>'eLLE Bals'!CB84*'Oxidant Feed Composition'!$N$22</f>
        <v>0.54767785840164995</v>
      </c>
      <c r="CO84">
        <f>CN84/CK84</f>
        <v>0.83333333333333326</v>
      </c>
      <c r="CP84">
        <f>CO84</f>
        <v>0.83333333333333326</v>
      </c>
      <c r="CQ84">
        <f>CL84/CO84</f>
        <v>4.381422867213202E-2</v>
      </c>
      <c r="CR84">
        <f>CM84/CO84</f>
        <v>2.1907114336066003</v>
      </c>
      <c r="CS84">
        <f>BN84*BA84</f>
        <v>1.97886986940187</v>
      </c>
      <c r="CT84">
        <f>CS84/2*1.2</f>
        <v>1.1873219216411219</v>
      </c>
      <c r="CU84">
        <f>'eLLE Bals'!CC84*'Oxidant Feed Composition'!$N$20</f>
        <v>6.5962328980062365E-2</v>
      </c>
      <c r="CV84">
        <f>'eLLE Bals'!CC84*'Oxidant Feed Composition'!$N$21</f>
        <v>3.2981164490031167</v>
      </c>
      <c r="CW84">
        <f>'eLLE Bals'!CC84*'Oxidant Feed Composition'!$N$22</f>
        <v>0.98943493470093502</v>
      </c>
      <c r="CX84">
        <f>CU84/CP84</f>
        <v>7.9154794776074844E-2</v>
      </c>
      <c r="CY84">
        <f>CV84/CP84</f>
        <v>3.9577397388037405</v>
      </c>
      <c r="CZ84">
        <f>CJ84</f>
        <v>1.0953557168032999</v>
      </c>
      <c r="DA84">
        <f>'eLLE Bals'!BQ84</f>
        <v>2.1907114336065998</v>
      </c>
      <c r="DB84">
        <f>'eLLE Bals'!BU84</f>
        <v>5.4528160404133699</v>
      </c>
      <c r="DC84">
        <f>CS84</f>
        <v>1.97886986940187</v>
      </c>
      <c r="DD84">
        <f>'eLLE Bals'!BX84</f>
        <v>3.9577397388037401</v>
      </c>
      <c r="DE84">
        <f>'eLLE Bals'!CA84</f>
        <v>22.101119914359764</v>
      </c>
      <c r="DF84">
        <f>2*2*(CJ84*'Reagent cost'!$C$36*122.44/1000*1.5+CK84*'Oxidant Feed Composition'!$N$26+CQ84*'Reagent cost'!$C$34+CR84*'Reagent cost'!$C$35)</f>
        <v>111.46464346805341</v>
      </c>
      <c r="DG84">
        <f>2*2*(CS84*'Reagent cost'!$C$36*122.44/1000*1.5+CT84*'Oxidant Feed Composition'!$N$26+CX84*'Reagent cost'!$C$34+CY84*'Reagent cost'!$C$35)</f>
        <v>201.37204843945938</v>
      </c>
      <c r="DH84">
        <f>(AF84+3)*2*(CZ84*'Reagent cost'!$C$38+DA84*'Reagent cost'!$C$39+DB84*'Reagent cost'!$C$36*122.44/1000*1.5)</f>
        <v>1360.9102453847422</v>
      </c>
      <c r="DI84">
        <f>3*2*(DC84*'Reagent cost'!$C$38+DD84*'Reagent cost'!$C$39+DE84*'Reagent cost'!$C$36*122.44/1000*1.5)</f>
        <v>1772.8451024926928</v>
      </c>
      <c r="DJ84">
        <f>7963.6*(CB84/1000)^0.6*1.7*('CAPEX+OPEX'!$G$116/'CAPEX+OPEX'!$G$115)</f>
        <v>2138.2772847076108</v>
      </c>
      <c r="DK84">
        <f>7963.6*(CC84/1000)^0.6*1.7*('CAPEX+OPEX'!$G$116/'CAPEX+OPEX'!$G$115)</f>
        <v>6199.3408604999822</v>
      </c>
      <c r="DL84">
        <f>7963.6*(CD84/1000)^0.6*1.7*('CAPEX+OPEX'!$G$116/'CAPEX+OPEX'!$G$115)</f>
        <v>3049.1673193757256</v>
      </c>
      <c r="DM84">
        <f>7963.6*(CE84/1000)^0.6*1.7*('CAPEX+OPEX'!$G$116/'CAPEX+OPEX'!$G$115)</f>
        <v>6739.0707688335169</v>
      </c>
      <c r="DN84">
        <f>'TEA Revised Non EYZ'!CM84</f>
        <v>39625.826528698344</v>
      </c>
      <c r="DO84">
        <f>'TEA Revised Non EYZ'!CN84</f>
        <v>4586243.4239371875</v>
      </c>
      <c r="DP84">
        <f>'TEA Revised Non EYZ'!CO84</f>
        <v>11794834.586807497</v>
      </c>
      <c r="DQ84">
        <f>'TEA Revised Non EYZ'!CP84</f>
        <v>2275209.1661185985</v>
      </c>
      <c r="DR84">
        <f>'TEA Revised Non EYZ'!CQ84</f>
        <v>14083914.336508472</v>
      </c>
      <c r="DS84">
        <f>'TEA Revised Non EYZ'!CR84</f>
        <v>1662824.8986326549</v>
      </c>
      <c r="DT84">
        <f>'TEA Revised Non EYZ'!CS84</f>
        <v>892840.31653984461</v>
      </c>
      <c r="DU84">
        <f>'TEA Revised Non EYZ'!CT84</f>
        <v>2296193.8284949926</v>
      </c>
      <c r="DV84">
        <f>'TEA Revised Non EYZ'!CU84</f>
        <v>442932.9811560188</v>
      </c>
      <c r="DW84">
        <f>'TEA Revised Non EYZ'!CV84</f>
        <v>2741827.1059701391</v>
      </c>
      <c r="DX84">
        <f>'TEA Revised Non EYZ'!CW84</f>
        <v>323715.28756992728</v>
      </c>
      <c r="DY84">
        <f>'TEA Revised Non EYZ'!CX84</f>
        <v>6697509.5197309218</v>
      </c>
      <c r="DZ84">
        <f>'TEA Revised Non EYZ'!CY84</f>
        <v>610185.42092396237</v>
      </c>
      <c r="EA84">
        <f>'TEA Revised Non EYZ'!CZ84</f>
        <v>1569266.0510595285</v>
      </c>
      <c r="EB84">
        <f>'TEA Revised Non EYZ'!DA84</f>
        <v>302709.50195799035</v>
      </c>
      <c r="EC84">
        <f>'TEA Revised Non EYZ'!DB84</f>
        <v>1873820.9910153144</v>
      </c>
      <c r="ED84">
        <f>'TEA Revised Non EYZ'!DC84</f>
        <v>221233.6801398939</v>
      </c>
      <c r="EE84">
        <f>'TEA Revised Non EYZ'!DD84</f>
        <v>4577215.6450966895</v>
      </c>
      <c r="EF84">
        <v>0.7</v>
      </c>
      <c r="EG84">
        <v>100</v>
      </c>
      <c r="EH84">
        <f>96485*BL84*V84/EF84/EG84/60</f>
        <v>25.163189603753906</v>
      </c>
      <c r="EI84">
        <f>96485*BN84*BA84/EF84/EG84/60</f>
        <v>45.459823654580809</v>
      </c>
      <c r="EJ84">
        <f>EH84*('CAPEX+OPEX'!$O$25+'CAPEX+OPEX'!$O$26)</f>
        <v>802001.17905084451</v>
      </c>
      <c r="EK84">
        <f>EI84*('CAPEX+OPEX'!$O$25+'CAPEX+OPEX'!$O$26)</f>
        <v>1448895.4995187996</v>
      </c>
      <c r="EL84">
        <f>EJ84*1.12/0.6*'CAPEX+OPEX'!$G$116/'CAPEX+OPEX'!$G$115</f>
        <v>1765730.2106115664</v>
      </c>
      <c r="EM84">
        <f>EK84*1.12/0.6*'CAPEX+OPEX'!$G$116/'CAPEX+OPEX'!$G$115</f>
        <v>3189968.5715515488</v>
      </c>
      <c r="EN84">
        <f>EL84+EM84+DY84+EE84+1.15*(SUM(DF84:DM84)+SUM(CF84:CI84))</f>
        <v>16306656.115742823</v>
      </c>
      <c r="EO84">
        <f>EN84/15</f>
        <v>1087110.4077161881</v>
      </c>
      <c r="EP84">
        <f>('eLLE Bals'!CB84+'eLLE Bals'!CC84)*'Oxidant Feed Composition'!$N$28*60*7200</f>
        <v>17090157.428022049</v>
      </c>
      <c r="EQ84" s="53">
        <f>('eLLE Bals'!BR84+'eLLE Bals'!BY84)*'Reagent cost'!$C$38*60*7200*1.5</f>
        <v>758066.97355191654</v>
      </c>
      <c r="ER84">
        <f>'TEA Revised Non EYZ'!DI84</f>
        <v>504921.59999999998</v>
      </c>
      <c r="ES84">
        <f>'TEA Revised Non EYZ'!DJ84</f>
        <v>79.386339842456749</v>
      </c>
      <c r="ET84">
        <f>'TEA Revised Non EYZ'!DK84</f>
        <v>735.55520271359876</v>
      </c>
      <c r="EU84">
        <f>1.2*SUM(EP84:ET84)</f>
        <v>22024753.131739832</v>
      </c>
      <c r="EV84">
        <f>'TEA Revised Non EYZ'!DM84</f>
        <v>0.70639694042110623</v>
      </c>
      <c r="EW84">
        <f>(BS84*CO84+BT84*CP84)/1000*('Oxidant Feed Composition'!$B$11*'Oxidant Feed Composition'!$O$20+'Oxidant Feed Composition'!$D$11*'Oxidant Feed Composition'!$O$21+'Oxidant Feed Composition'!$F$11*'Oxidant Feed Composition'!$O$27-'Oxidant Feed Composition'!$J$15*18.015)</f>
        <v>1.795110104706005</v>
      </c>
      <c r="EX84">
        <f>(CZ84*BX84+DC84*BZ84)*368.34/1000</f>
        <v>0.1020158908485316</v>
      </c>
      <c r="EY84">
        <f>'TEA Revised Non EYZ'!DP84</f>
        <v>4.999938342565946E-2</v>
      </c>
      <c r="EZ84">
        <f>SUM(EV84:EX84)-EY84</f>
        <v>2.5535235525499833</v>
      </c>
      <c r="FA84">
        <f>EZ84*0.33*60*7200</f>
        <v>364030.31765152566</v>
      </c>
      <c r="FB84">
        <f>'TEA Revised Non EYZ'!DS84</f>
        <v>1.2</v>
      </c>
      <c r="FC84">
        <v>0.5</v>
      </c>
      <c r="FD84">
        <f>'TEA Revised Non EYZ'!DT84</f>
        <v>1405.2859697967249</v>
      </c>
      <c r="FE84">
        <f>'TEA Revised Non EYZ'!DU84</f>
        <v>706.39735929093831</v>
      </c>
      <c r="FF84">
        <f>'TEA Revised Non EYZ'!DV84</f>
        <v>0.7</v>
      </c>
      <c r="FG84">
        <f>'TEA Revised Non EYZ'!DW84</f>
        <v>49536.497143418172</v>
      </c>
      <c r="FH84">
        <f>'TEA Revised Non EYZ'!DX84</f>
        <v>49831.318766753509</v>
      </c>
      <c r="FI84">
        <f>'TEA Revised Non EYZ'!DY84</f>
        <v>21097.937381085154</v>
      </c>
      <c r="FJ84">
        <f>'TEA Revised Non EYZ'!DZ84</f>
        <v>11176.166036369152</v>
      </c>
      <c r="FK84">
        <f>'TEA Revised Non EYZ'!EA84</f>
        <v>11252.233269912085</v>
      </c>
      <c r="FL84">
        <f>'TEA Revised Non EYZ'!EB84</f>
        <v>849.9169545330592</v>
      </c>
      <c r="FM84">
        <f>'TEA Revised Non EYZ'!EC84</f>
        <v>33427.738482739922</v>
      </c>
      <c r="FN84">
        <f>'TEA Revised Non EYZ'!ED84</f>
        <v>27155.697919888862</v>
      </c>
      <c r="FO84">
        <f>'TEA Revised Non EYZ'!EE84</f>
        <v>11497.37210317875</v>
      </c>
      <c r="FP84">
        <f>'TEA Revised Non EYZ'!EF84</f>
        <v>6093.8694726196991</v>
      </c>
      <c r="FQ84">
        <f>'TEA Revised Non EYZ'!EG84</f>
        <v>6131.9317883620024</v>
      </c>
      <c r="FR84">
        <f>'TEA Revised Non EYZ'!EH84</f>
        <v>427.22912289915951</v>
      </c>
      <c r="FS84">
        <f>'TEA Revised Non EYZ'!EI84</f>
        <v>228477.90844175953</v>
      </c>
      <c r="FT84">
        <f>EG84*EH84</f>
        <v>2516.3189603753908</v>
      </c>
      <c r="FU84">
        <f>EG84*EI84</f>
        <v>4545.9823654580805</v>
      </c>
      <c r="FV84">
        <f>FC84*(FT84+FU84)/(3.6*10^6)*3600*7200*0.07</f>
        <v>1779.6999341100347</v>
      </c>
      <c r="FW84">
        <f>('CAPEX+OPEX'!$C$39/7/100+0.03)*EL84</f>
        <v>90808.982260023418</v>
      </c>
      <c r="FX84">
        <f>('CAPEX+OPEX'!$C$39/7/100+0.03)*EM84</f>
        <v>164055.52653693678</v>
      </c>
      <c r="FY84">
        <f>SUM(FV84:FX84)</f>
        <v>256644.20873107022</v>
      </c>
      <c r="FZ84">
        <f>FY84+FA84+FS84+EU84</f>
        <v>22873905.566564187</v>
      </c>
      <c r="GA84">
        <f>FZ84+EO84</f>
        <v>23961015.974280376</v>
      </c>
      <c r="GB84">
        <f>GA84/(BK84*60*7200)</f>
        <v>0.5546531475527865</v>
      </c>
      <c r="GC84">
        <f>'TEA Revised Non EYZ'!EM84/'TEA Revised Non EYZ'!EK84*GA84</f>
        <v>1856.3608382353023</v>
      </c>
      <c r="GD84">
        <f>'TEA Revised Non EYZ'!EN84/'TEA Revised Non EYZ'!EK84*GA84</f>
        <v>3402.7937381667384</v>
      </c>
    </row>
    <row r="85" spans="1:186">
      <c r="A85">
        <f>'TEA Revised Non EYZ'!A85</f>
        <v>11</v>
      </c>
      <c r="B85">
        <f>'TEA Revised Non EYZ'!B85</f>
        <v>1.54143585092054E-3</v>
      </c>
      <c r="C85">
        <f>'TEA Revised Non EYZ'!C85</f>
        <v>1.54143585092054E-3</v>
      </c>
      <c r="D85">
        <f>'TEA Revised Non EYZ'!D85</f>
        <v>3.4254130020456501E-4</v>
      </c>
      <c r="E85">
        <f>'TEA Revised Non EYZ'!E85</f>
        <v>0</v>
      </c>
      <c r="F85">
        <f>'TEA Revised Non EYZ'!F85</f>
        <v>0</v>
      </c>
      <c r="G85">
        <f>'TEA Revised Non EYZ'!G85</f>
        <v>0</v>
      </c>
      <c r="H85">
        <f>'TEA Revised Non EYZ'!H85</f>
        <v>1.7771367359861701E-5</v>
      </c>
      <c r="I85">
        <f>'TEA Revised Non EYZ'!I85</f>
        <v>1.8081057367328801E-10</v>
      </c>
      <c r="J85">
        <f>'TEA Revised Non EYZ'!J85</f>
        <v>3.3765941525589702E-4</v>
      </c>
      <c r="K85">
        <f>'TEA Revised Non EYZ'!K85</f>
        <v>0.139102253285185</v>
      </c>
      <c r="L85">
        <f>'TEA Revised Non EYZ'!L85</f>
        <v>0.14072466572308701</v>
      </c>
      <c r="M85">
        <f>'TEA Revised Non EYZ'!M85</f>
        <v>4.4568945720355099E-4</v>
      </c>
      <c r="N85">
        <f>'TEA Revised Non EYZ'!N85</f>
        <v>-8.03393809811758E-16</v>
      </c>
      <c r="O85">
        <f>'TEA Revised Non EYZ'!O85</f>
        <v>-8.4019770307808202E-13</v>
      </c>
      <c r="P85">
        <f>'TEA Revised Non EYZ'!P85</f>
        <v>-2.26157796916898E-19</v>
      </c>
      <c r="Q85">
        <f>'TEA Revised Non EYZ'!Q85</f>
        <v>0.10953557168033</v>
      </c>
      <c r="R85">
        <f>'TEA Revised Non EYZ'!R85</f>
        <v>98.5748039883795</v>
      </c>
      <c r="S85">
        <f>'TEA Revised Non EYZ'!S85</f>
        <v>500</v>
      </c>
      <c r="T85">
        <f>'TEA Revised Non EYZ'!T85</f>
        <v>95</v>
      </c>
      <c r="U85">
        <f>'TEA Revised Non EYZ'!U85</f>
        <v>1</v>
      </c>
      <c r="V85">
        <f>'TEA Revised Non EYZ'!V85</f>
        <v>0.1</v>
      </c>
      <c r="W85">
        <f>'TEA Revised Non EYZ'!W85</f>
        <v>91.294543376138293</v>
      </c>
      <c r="X85" t="str">
        <f>'TEA Revised Non EYZ'!X85</f>
        <v>ddFc</v>
      </c>
      <c r="Y85">
        <f>'TEA Revised Non EYZ'!Y85</f>
        <v>1</v>
      </c>
      <c r="Z85">
        <f>'TEA Revised Non EYZ'!Z85</f>
        <v>0.28318429382522198</v>
      </c>
      <c r="AA85">
        <f>'TEA Revised Non EYZ'!AA85</f>
        <v>0.56945642916197003</v>
      </c>
      <c r="AB85">
        <f>'TEA Revised Non EYZ'!AB85</f>
        <v>3.7698628972227502E-3</v>
      </c>
      <c r="AC85">
        <f>'TEA Revised Non EYZ'!AC85</f>
        <v>1822.2107908876901</v>
      </c>
      <c r="AD85">
        <f>'TEA Revised Non EYZ'!AD85</f>
        <v>2662.6059073104898</v>
      </c>
      <c r="AE85">
        <f>'TEA Revised Non EYZ'!AE85</f>
        <v>2401.5030938442701</v>
      </c>
      <c r="AF85">
        <f>'TEA Revised Non EYZ'!AF85</f>
        <v>7</v>
      </c>
      <c r="AG85">
        <f>'TEA Revised Non EYZ'!AG85</f>
        <v>1.6497569194096201E-3</v>
      </c>
      <c r="AH85">
        <f>'TEA Revised Non EYZ'!AH85</f>
        <v>1.6689987798565299E-3</v>
      </c>
      <c r="AI85">
        <f>'TEA Revised Non EYZ'!AI85</f>
        <v>5.28589040482341E-6</v>
      </c>
      <c r="AJ85">
        <f>'TEA Revised Non EYZ'!AJ85</f>
        <v>0</v>
      </c>
      <c r="AK85">
        <f>'TEA Revised Non EYZ'!AK85</f>
        <v>0</v>
      </c>
      <c r="AL85">
        <f>'TEA Revised Non EYZ'!AL85</f>
        <v>0</v>
      </c>
      <c r="AM85">
        <f>'TEA Revised Non EYZ'!AM85</f>
        <v>1.6126163799612099E-3</v>
      </c>
      <c r="AN85">
        <f>'TEA Revised Non EYZ'!AN85</f>
        <v>7.9623592631732702E-5</v>
      </c>
      <c r="AO85">
        <f>'TEA Revised Non EYZ'!AO85</f>
        <v>5.2509536820161704E-6</v>
      </c>
      <c r="AP85">
        <f>'TEA Revised Non EYZ'!AP85</f>
        <v>1.7397945404161699E-3</v>
      </c>
      <c r="AQ85">
        <f>'TEA Revised Non EYZ'!AQ85</f>
        <v>7.4451968508709498E-2</v>
      </c>
      <c r="AR85">
        <f>'TEA Revised Non EYZ'!AR85</f>
        <v>1.63655995585356E-6</v>
      </c>
      <c r="AS85">
        <f>'TEA Revised Non EYZ'!AS85</f>
        <v>-4.4791102250807402E-18</v>
      </c>
      <c r="AT85">
        <f>'TEA Revised Non EYZ'!AT85</f>
        <v>-1.66186508998578E-15</v>
      </c>
      <c r="AU85">
        <f>'TEA Revised Non EYZ'!AU85</f>
        <v>-5.8233515123733103E-21</v>
      </c>
      <c r="AV85">
        <f>'TEA Revised Non EYZ'!AV85</f>
        <v>0.19716037225109501</v>
      </c>
      <c r="AW85">
        <f>'TEA Revised Non EYZ'!AW85</f>
        <v>99.339056996426606</v>
      </c>
      <c r="AX85">
        <f>'TEA Revised Non EYZ'!AX85</f>
        <v>500</v>
      </c>
      <c r="AY85">
        <f>'TEA Revised Non EYZ'!AY85</f>
        <v>95</v>
      </c>
      <c r="AZ85">
        <f>'TEA Revised Non EYZ'!AZ85</f>
        <v>0.92356908198738696</v>
      </c>
      <c r="BA85">
        <f>'TEA Revised Non EYZ'!BA85</f>
        <v>0.1</v>
      </c>
      <c r="BB85">
        <f>'TEA Revised Non EYZ'!BB85</f>
        <v>46.8435452541733</v>
      </c>
      <c r="BC85" t="str">
        <f>'TEA Revised Non EYZ'!BC85</f>
        <v>coeFc</v>
      </c>
      <c r="BD85">
        <f>'TEA Revised Non EYZ'!BD85</f>
        <v>1</v>
      </c>
      <c r="BE85">
        <f>'TEA Revised Non EYZ'!BE85</f>
        <v>1.8775014999999999E-2</v>
      </c>
      <c r="BF85">
        <f>'TEA Revised Non EYZ'!BF85</f>
        <v>0.10492961100000001</v>
      </c>
      <c r="BG85">
        <f>'TEA Revised Non EYZ'!BG85</f>
        <v>1.814625E-3</v>
      </c>
      <c r="BH85">
        <f>'TEA Revised Non EYZ'!BH85</f>
        <v>285.1951444</v>
      </c>
      <c r="BI85">
        <f>'TEA Revised Non EYZ'!BI85</f>
        <v>2169.8944889999998</v>
      </c>
      <c r="BJ85">
        <f>'TEA Revised Non EYZ'!BJ85</f>
        <v>866.49409060000005</v>
      </c>
      <c r="BK85">
        <f>'TEA Revised Non EYZ'!BK85</f>
        <v>100</v>
      </c>
      <c r="BL85">
        <f>'TEA Revised Non EYZ'!BL85</f>
        <v>10.953557168032999</v>
      </c>
      <c r="BM85">
        <f>'TEA Revised Non EYZ'!BM85</f>
        <v>92.356908198738694</v>
      </c>
      <c r="BN85">
        <f>'TEA Revised Non EYZ'!BN85</f>
        <v>19.716037225109499</v>
      </c>
      <c r="BO85">
        <f>'TEA Revised Non EYZ'!BO85</f>
        <v>284.79248636885796</v>
      </c>
      <c r="BP85">
        <f>'TEA Revised Non EYZ'!BP85</f>
        <v>354.88867005197096</v>
      </c>
      <c r="BQ85">
        <f>'TEA Revised Non EYZ'!BQ85</f>
        <v>28.479248636885799</v>
      </c>
      <c r="BR85">
        <f>'TEA Revised Non EYZ'!BR85</f>
        <v>35.4888670051971</v>
      </c>
      <c r="BS85">
        <f>'eLLE Bals'!CF85</f>
        <v>6.5721343008197994</v>
      </c>
      <c r="BT85">
        <f>'eLLE Bals'!CG85</f>
        <v>11.829622335065698</v>
      </c>
      <c r="BU85">
        <f>BM85</f>
        <v>92.356908198738694</v>
      </c>
      <c r="BV85">
        <f>BU85*(AM85*2+AN85*2+AO85*3)</f>
        <v>0.3140349891395024</v>
      </c>
      <c r="BW85">
        <f>BN85*BA85*(AP85*2+AQ85*2+AR85*3)</f>
        <v>0.30044960724776004</v>
      </c>
      <c r="BX85">
        <f>BV85/(2*V85*BL85+BV85)</f>
        <v>0.12537596073106963</v>
      </c>
      <c r="BY85">
        <f>BU85*BX85</f>
        <v>11.579336095568065</v>
      </c>
      <c r="BZ85">
        <f>BW85/(2*BN85*BA85+BW85)</f>
        <v>7.0799690820225178E-2</v>
      </c>
      <c r="CA85">
        <f>2*BN85*BA85/0.04</f>
        <v>98.580186125547499</v>
      </c>
      <c r="CB85">
        <f>(BS85+BL85)*2</f>
        <v>35.051382937705597</v>
      </c>
      <c r="CC85">
        <f>(BU85+BL85)*2</f>
        <v>206.62093073354339</v>
      </c>
      <c r="CD85">
        <f>(BT85+BN85)*2</f>
        <v>63.091319120350391</v>
      </c>
      <c r="CE85">
        <f>(CA85+BN85)*2</f>
        <v>236.592446701314</v>
      </c>
      <c r="CF85">
        <f>'TEA Revised Non EYZ'!CB85</f>
        <v>3759.2608200689256</v>
      </c>
      <c r="CG85">
        <f>'TEA Revised Non EYZ'!CC85</f>
        <v>4684.5304446860173</v>
      </c>
      <c r="CH85">
        <f>'TEA Revised Non EYZ'!CD85</f>
        <v>4541.8834647976191</v>
      </c>
      <c r="CI85">
        <f>'TEA Revised Non EYZ'!CE85</f>
        <v>36132.199672971241</v>
      </c>
      <c r="CJ85">
        <f>BL85*V85</f>
        <v>1.0953557168032999</v>
      </c>
      <c r="CK85">
        <f>CJ85/2*1.2</f>
        <v>0.65721343008197997</v>
      </c>
      <c r="CL85">
        <f>'eLLE Bals'!CB85*'Oxidant Feed Composition'!$N$20</f>
        <v>3.6511857226776682E-2</v>
      </c>
      <c r="CM85">
        <f>'eLLE Bals'!CB85*'Oxidant Feed Composition'!$N$21</f>
        <v>1.8255928613388335</v>
      </c>
      <c r="CN85">
        <f>'eLLE Bals'!CB85*'Oxidant Feed Composition'!$N$22</f>
        <v>0.54767785840164995</v>
      </c>
      <c r="CO85">
        <f>CN85/CK85</f>
        <v>0.83333333333333326</v>
      </c>
      <c r="CP85">
        <f>CO85</f>
        <v>0.83333333333333326</v>
      </c>
      <c r="CQ85">
        <f>CL85/CO85</f>
        <v>4.381422867213202E-2</v>
      </c>
      <c r="CR85">
        <f>CM85/CO85</f>
        <v>2.1907114336066003</v>
      </c>
      <c r="CS85">
        <f>BN85*BA85</f>
        <v>1.97160372251095</v>
      </c>
      <c r="CT85">
        <f>CS85/2*1.2</f>
        <v>1.1829622335065699</v>
      </c>
      <c r="CU85">
        <f>'eLLE Bals'!CC85*'Oxidant Feed Composition'!$N$20</f>
        <v>6.5720124083698359E-2</v>
      </c>
      <c r="CV85">
        <f>'eLLE Bals'!CC85*'Oxidant Feed Composition'!$N$21</f>
        <v>3.286006204184917</v>
      </c>
      <c r="CW85">
        <f>'eLLE Bals'!CC85*'Oxidant Feed Composition'!$N$22</f>
        <v>0.98580186125547498</v>
      </c>
      <c r="CX85">
        <f>CU85/CP85</f>
        <v>7.8864148900438039E-2</v>
      </c>
      <c r="CY85">
        <f>CV85/CP85</f>
        <v>3.9432074450219008</v>
      </c>
      <c r="CZ85">
        <f>CJ85</f>
        <v>1.0953557168032999</v>
      </c>
      <c r="DA85">
        <f>'eLLE Bals'!BQ85</f>
        <v>2.1907114336065998</v>
      </c>
      <c r="DB85">
        <f>'eLLE Bals'!BU85</f>
        <v>5.4505017294339781</v>
      </c>
      <c r="DC85">
        <f>CS85</f>
        <v>1.97160372251095</v>
      </c>
      <c r="DD85">
        <f>'eLLE Bals'!BX85</f>
        <v>3.9432074450218999</v>
      </c>
      <c r="DE85">
        <f>'eLLE Bals'!CA85</f>
        <v>21.932820646527656</v>
      </c>
      <c r="DF85">
        <f>2*2*(CJ85*'Reagent cost'!$C$36*122.44/1000*1.5+CK85*'Oxidant Feed Composition'!$N$26+CQ85*'Reagent cost'!$C$34+CR85*'Reagent cost'!$C$35)</f>
        <v>111.46464346805341</v>
      </c>
      <c r="DG85">
        <f>2*2*(CS85*'Reagent cost'!$C$36*122.44/1000*1.5+CT85*'Oxidant Feed Composition'!$N$26+CX85*'Reagent cost'!$C$34+CY85*'Reagent cost'!$C$35)</f>
        <v>200.63263706819578</v>
      </c>
      <c r="DH85">
        <f>(AF85+3)*2*(CZ85*'Reagent cost'!$C$38+DA85*'Reagent cost'!$C$39+DB85*'Reagent cost'!$C$36*122.44/1000*1.5)</f>
        <v>1511.5221594008754</v>
      </c>
      <c r="DI85">
        <f>3*2*(DC85*'Reagent cost'!$C$38+DD85*'Reagent cost'!$C$39+DE85*'Reagent cost'!$C$36*122.44/1000*1.5)</f>
        <v>1759.5536435180436</v>
      </c>
      <c r="DJ85">
        <f>7963.6*(CB85/1000)^0.6*1.7*('CAPEX+OPEX'!$G$116/'CAPEX+OPEX'!$G$115)</f>
        <v>2138.2772847076108</v>
      </c>
      <c r="DK85">
        <f>7963.6*(CC85/1000)^0.6*1.7*('CAPEX+OPEX'!$G$116/'CAPEX+OPEX'!$G$115)</f>
        <v>6199.3408604999822</v>
      </c>
      <c r="DL85">
        <f>7963.6*(CD85/1000)^0.6*1.7*('CAPEX+OPEX'!$G$116/'CAPEX+OPEX'!$G$115)</f>
        <v>3042.4446955760445</v>
      </c>
      <c r="DM85">
        <f>7963.6*(CE85/1000)^0.6*1.7*('CAPEX+OPEX'!$G$116/'CAPEX+OPEX'!$G$115)</f>
        <v>6724.2128641031286</v>
      </c>
      <c r="DN85">
        <f>'TEA Revised Non EYZ'!CM85</f>
        <v>39625.826528698344</v>
      </c>
      <c r="DO85">
        <f>'TEA Revised Non EYZ'!CN85</f>
        <v>4586243.4239371875</v>
      </c>
      <c r="DP85">
        <f>'TEA Revised Non EYZ'!CO85</f>
        <v>11794834.586807497</v>
      </c>
      <c r="DQ85">
        <f>'TEA Revised Non EYZ'!CP85</f>
        <v>2275209.1661185985</v>
      </c>
      <c r="DR85">
        <f>'TEA Revised Non EYZ'!CQ85</f>
        <v>14083914.336508472</v>
      </c>
      <c r="DS85">
        <f>'TEA Revised Non EYZ'!CR85</f>
        <v>1662824.8986326549</v>
      </c>
      <c r="DT85">
        <f>'TEA Revised Non EYZ'!CS85</f>
        <v>892840.31653984461</v>
      </c>
      <c r="DU85">
        <f>'TEA Revised Non EYZ'!CT85</f>
        <v>2296193.8284949926</v>
      </c>
      <c r="DV85">
        <f>'TEA Revised Non EYZ'!CU85</f>
        <v>442932.9811560188</v>
      </c>
      <c r="DW85">
        <f>'TEA Revised Non EYZ'!CV85</f>
        <v>2741827.1059701391</v>
      </c>
      <c r="DX85">
        <f>'TEA Revised Non EYZ'!CW85</f>
        <v>323715.28756992728</v>
      </c>
      <c r="DY85">
        <f>'TEA Revised Non EYZ'!CX85</f>
        <v>6697509.5197309218</v>
      </c>
      <c r="DZ85">
        <f>'TEA Revised Non EYZ'!CY85</f>
        <v>661084.53106321464</v>
      </c>
      <c r="EA85">
        <f>'TEA Revised Non EYZ'!CZ85</f>
        <v>1700167.6472492905</v>
      </c>
      <c r="EB85">
        <f>'TEA Revised Non EYZ'!DA85</f>
        <v>327960.2597637524</v>
      </c>
      <c r="EC85">
        <f>'TEA Revised Non EYZ'!DB85</f>
        <v>2030127.2837132132</v>
      </c>
      <c r="ED85">
        <f>'TEA Revised Non EYZ'!DC85</f>
        <v>239688.06640645108</v>
      </c>
      <c r="EE85">
        <f>'TEA Revised Non EYZ'!DD85</f>
        <v>4959027.788195922</v>
      </c>
      <c r="EF85">
        <v>0.7</v>
      </c>
      <c r="EG85">
        <v>100</v>
      </c>
      <c r="EH85">
        <f>96485*BL85*V85/EF85/EG85/60</f>
        <v>25.163189603753906</v>
      </c>
      <c r="EI85">
        <f>96485*BN85*BA85/EF85/EG85/60</f>
        <v>45.292901230111667</v>
      </c>
      <c r="EJ85">
        <f>EH85*('CAPEX+OPEX'!$O$25+'CAPEX+OPEX'!$O$26)</f>
        <v>802001.17905084451</v>
      </c>
      <c r="EK85">
        <f>EI85*('CAPEX+OPEX'!$O$25+'CAPEX+OPEX'!$O$26)</f>
        <v>1443575.348006119</v>
      </c>
      <c r="EL85">
        <f>EJ85*1.12/0.6*'CAPEX+OPEX'!$G$116/'CAPEX+OPEX'!$G$115</f>
        <v>1765730.2106115664</v>
      </c>
      <c r="EM85">
        <f>EK85*1.12/0.6*'CAPEX+OPEX'!$G$116/'CAPEX+OPEX'!$G$115</f>
        <v>3178255.4313513208</v>
      </c>
      <c r="EN85">
        <f>EL85+EM85+DY85+EE85+1.15*(SUM(DF85:DM85)+SUM(CF85:CI85))</f>
        <v>16681949.071559226</v>
      </c>
      <c r="EO85">
        <f>EN85/15</f>
        <v>1112129.9381039485</v>
      </c>
      <c r="EP85">
        <f>('eLLE Bals'!CB85+'eLLE Bals'!CC85)*'Oxidant Feed Composition'!$N$28*60*7200</f>
        <v>17049763.647286441</v>
      </c>
      <c r="EQ85" s="53">
        <f>('eLLE Bals'!BR85+'eLLE Bals'!BY85)*'Reagent cost'!$C$38*60*7200*1.5</f>
        <v>757954.76032444264</v>
      </c>
      <c r="ER85">
        <f>'TEA Revised Non EYZ'!DI85</f>
        <v>504921.59999999998</v>
      </c>
      <c r="ES85">
        <f>'TEA Revised Non EYZ'!DJ85</f>
        <v>84.437912647549425</v>
      </c>
      <c r="ET85">
        <f>'TEA Revised Non EYZ'!DK85</f>
        <v>813.48166275537722</v>
      </c>
      <c r="EU85">
        <f>1.2*SUM(EP85:ET85)</f>
        <v>21976245.512623541</v>
      </c>
      <c r="EV85">
        <f>'TEA Revised Non EYZ'!DM85</f>
        <v>0.70639694042110623</v>
      </c>
      <c r="EW85">
        <f>(BS85*CO85+BT85*CP85)/1000*('Oxidant Feed Composition'!$B$11*'Oxidant Feed Composition'!$O$20+'Oxidant Feed Composition'!$D$11*'Oxidant Feed Composition'!$O$21+'Oxidant Feed Composition'!$F$11*'Oxidant Feed Composition'!$O$27-'Oxidant Feed Composition'!$J$15*18.015)</f>
        <v>1.7908672365948621</v>
      </c>
      <c r="EX85">
        <f>(CZ85*BX85+DC85*BZ85)*368.34/1000</f>
        <v>0.10200078989734243</v>
      </c>
      <c r="EY85">
        <f>'TEA Revised Non EYZ'!DP85</f>
        <v>4.999938342565946E-2</v>
      </c>
      <c r="EZ85">
        <f>SUM(EV85:EX85)-EY85</f>
        <v>2.5492655834876516</v>
      </c>
      <c r="FA85">
        <f>EZ85*0.33*60*7200</f>
        <v>363423.30158199964</v>
      </c>
      <c r="FB85">
        <f>'TEA Revised Non EYZ'!DS85</f>
        <v>1.2</v>
      </c>
      <c r="FC85">
        <v>0.5</v>
      </c>
      <c r="FD85">
        <f>'TEA Revised Non EYZ'!DT85</f>
        <v>1405.7118236014501</v>
      </c>
      <c r="FE85">
        <f>'TEA Revised Non EYZ'!DU85</f>
        <v>705.97150548690695</v>
      </c>
      <c r="FF85">
        <f>'TEA Revised Non EYZ'!DV85</f>
        <v>0.7</v>
      </c>
      <c r="FG85">
        <f>'TEA Revised Non EYZ'!DW85</f>
        <v>49536.497143418172</v>
      </c>
      <c r="FH85">
        <f>'TEA Revised Non EYZ'!DX85</f>
        <v>49831.318766753509</v>
      </c>
      <c r="FI85">
        <f>'TEA Revised Non EYZ'!DY85</f>
        <v>21097.937381085154</v>
      </c>
      <c r="FJ85">
        <f>'TEA Revised Non EYZ'!DZ85</f>
        <v>11176.166036369152</v>
      </c>
      <c r="FK85">
        <f>'TEA Revised Non EYZ'!EA85</f>
        <v>11252.233269912085</v>
      </c>
      <c r="FL85">
        <f>'TEA Revised Non EYZ'!EB85</f>
        <v>850.17451091415705</v>
      </c>
      <c r="FM85">
        <f>'TEA Revised Non EYZ'!EC85</f>
        <v>35999.102981412223</v>
      </c>
      <c r="FN85">
        <f>'TEA Revised Non EYZ'!ED85</f>
        <v>31035.083337015851</v>
      </c>
      <c r="FO85">
        <f>'TEA Revised Non EYZ'!EE85</f>
        <v>13139.85383220429</v>
      </c>
      <c r="FP85">
        <f>'TEA Revised Non EYZ'!EF85</f>
        <v>6964.4222544225158</v>
      </c>
      <c r="FQ85">
        <f>'TEA Revised Non EYZ'!EG85</f>
        <v>7007.9220438422899</v>
      </c>
      <c r="FR85">
        <f>'TEA Revised Non EYZ'!EH85</f>
        <v>426.97156651848138</v>
      </c>
      <c r="FS85">
        <f>'TEA Revised Non EYZ'!EI85</f>
        <v>238317.6831238679</v>
      </c>
      <c r="FT85">
        <f>EG85*EH85</f>
        <v>2516.3189603753908</v>
      </c>
      <c r="FU85">
        <f>EG85*EI85</f>
        <v>4529.2901230111665</v>
      </c>
      <c r="FV85">
        <f>FC85*(FT85+FU85)/(3.6*10^6)*3600*7200*0.07</f>
        <v>1775.4934890134127</v>
      </c>
      <c r="FW85">
        <f>('CAPEX+OPEX'!$C$39/7/100+0.03)*EL85</f>
        <v>90808.982260023418</v>
      </c>
      <c r="FX85">
        <f>('CAPEX+OPEX'!$C$39/7/100+0.03)*EM85</f>
        <v>163453.1364694965</v>
      </c>
      <c r="FY85">
        <f>SUM(FV85:FX85)</f>
        <v>256037.61221853335</v>
      </c>
      <c r="FZ85">
        <f>FY85+FA85+FS85+EU85</f>
        <v>22834024.109547943</v>
      </c>
      <c r="GA85">
        <f>FZ85+EO85</f>
        <v>23946154.047651891</v>
      </c>
      <c r="GB85">
        <f>GA85/(BK85*60*7200)</f>
        <v>0.55430912147342337</v>
      </c>
      <c r="GC85">
        <f>'TEA Revised Non EYZ'!EM85/'TEA Revised Non EYZ'!EK85*GA85</f>
        <v>1854.6470497835987</v>
      </c>
      <c r="GD85">
        <f>'TEA Revised Non EYZ'!EN85/'TEA Revised Non EYZ'!EK85*GA85</f>
        <v>3402.574366850029</v>
      </c>
    </row>
    <row r="86" spans="1:186">
      <c r="A86">
        <f>'TEA Revised Non EYZ'!A86</f>
        <v>11</v>
      </c>
      <c r="B86">
        <f>'TEA Revised Non EYZ'!B86</f>
        <v>1.54143585092054E-3</v>
      </c>
      <c r="C86">
        <f>'TEA Revised Non EYZ'!C86</f>
        <v>1.54143585092054E-3</v>
      </c>
      <c r="D86">
        <f>'TEA Revised Non EYZ'!D86</f>
        <v>3.4254130020456501E-4</v>
      </c>
      <c r="E86">
        <f>'TEA Revised Non EYZ'!E86</f>
        <v>0</v>
      </c>
      <c r="F86">
        <f>'TEA Revised Non EYZ'!F86</f>
        <v>0</v>
      </c>
      <c r="G86">
        <f>'TEA Revised Non EYZ'!G86</f>
        <v>0</v>
      </c>
      <c r="H86">
        <f>'TEA Revised Non EYZ'!H86</f>
        <v>1.7771367359861701E-5</v>
      </c>
      <c r="I86">
        <f>'TEA Revised Non EYZ'!I86</f>
        <v>1.8081057367328801E-10</v>
      </c>
      <c r="J86">
        <f>'TEA Revised Non EYZ'!J86</f>
        <v>3.3765941525589702E-4</v>
      </c>
      <c r="K86">
        <f>'TEA Revised Non EYZ'!K86</f>
        <v>0.139102253285185</v>
      </c>
      <c r="L86">
        <f>'TEA Revised Non EYZ'!L86</f>
        <v>0.14072466572308701</v>
      </c>
      <c r="M86">
        <f>'TEA Revised Non EYZ'!M86</f>
        <v>4.4568945720355099E-4</v>
      </c>
      <c r="N86">
        <f>'TEA Revised Non EYZ'!N86</f>
        <v>-8.03393809811758E-16</v>
      </c>
      <c r="O86">
        <f>'TEA Revised Non EYZ'!O86</f>
        <v>-8.4019770307808202E-13</v>
      </c>
      <c r="P86">
        <f>'TEA Revised Non EYZ'!P86</f>
        <v>-2.26157796916898E-19</v>
      </c>
      <c r="Q86">
        <f>'TEA Revised Non EYZ'!Q86</f>
        <v>0.10953557168033</v>
      </c>
      <c r="R86">
        <f>'TEA Revised Non EYZ'!R86</f>
        <v>98.5748039883795</v>
      </c>
      <c r="S86">
        <f>'TEA Revised Non EYZ'!S86</f>
        <v>500</v>
      </c>
      <c r="T86">
        <f>'TEA Revised Non EYZ'!T86</f>
        <v>95</v>
      </c>
      <c r="U86">
        <f>'TEA Revised Non EYZ'!U86</f>
        <v>1</v>
      </c>
      <c r="V86">
        <f>'TEA Revised Non EYZ'!V86</f>
        <v>0.1</v>
      </c>
      <c r="W86">
        <f>'TEA Revised Non EYZ'!W86</f>
        <v>91.294543376138293</v>
      </c>
      <c r="X86" t="str">
        <f>'TEA Revised Non EYZ'!X86</f>
        <v>ddFc</v>
      </c>
      <c r="Y86">
        <f>'TEA Revised Non EYZ'!Y86</f>
        <v>1</v>
      </c>
      <c r="Z86">
        <f>'TEA Revised Non EYZ'!Z86</f>
        <v>0.28318429382522198</v>
      </c>
      <c r="AA86">
        <f>'TEA Revised Non EYZ'!AA86</f>
        <v>0.56945642916197003</v>
      </c>
      <c r="AB86">
        <f>'TEA Revised Non EYZ'!AB86</f>
        <v>3.7698628972227502E-3</v>
      </c>
      <c r="AC86">
        <f>'TEA Revised Non EYZ'!AC86</f>
        <v>1822.2107908876901</v>
      </c>
      <c r="AD86">
        <f>'TEA Revised Non EYZ'!AD86</f>
        <v>2662.6059073104898</v>
      </c>
      <c r="AE86">
        <f>'TEA Revised Non EYZ'!AE86</f>
        <v>2401.5030938442701</v>
      </c>
      <c r="AF86">
        <f>'TEA Revised Non EYZ'!AF86</f>
        <v>8</v>
      </c>
      <c r="AG86">
        <f>'TEA Revised Non EYZ'!AG86</f>
        <v>1.6497569194096201E-3</v>
      </c>
      <c r="AH86">
        <f>'TEA Revised Non EYZ'!AH86</f>
        <v>1.6689987798565299E-3</v>
      </c>
      <c r="AI86">
        <f>'TEA Revised Non EYZ'!AI86</f>
        <v>5.28589040482341E-6</v>
      </c>
      <c r="AJ86">
        <f>'TEA Revised Non EYZ'!AJ86</f>
        <v>0</v>
      </c>
      <c r="AK86">
        <f>'TEA Revised Non EYZ'!AK86</f>
        <v>0</v>
      </c>
      <c r="AL86">
        <f>'TEA Revised Non EYZ'!AL86</f>
        <v>0</v>
      </c>
      <c r="AM86">
        <f>'TEA Revised Non EYZ'!AM86</f>
        <v>1.6127556677607399E-3</v>
      </c>
      <c r="AN86">
        <f>'TEA Revised Non EYZ'!AN86</f>
        <v>7.9630797964244996E-5</v>
      </c>
      <c r="AO86">
        <f>'TEA Revised Non EYZ'!AO86</f>
        <v>5.2510792863207299E-6</v>
      </c>
      <c r="AP86">
        <f>'TEA Revised Non EYZ'!AP86</f>
        <v>1.7350919198262601E-3</v>
      </c>
      <c r="AQ86">
        <f>'TEA Revised Non EYZ'!AQ86</f>
        <v>7.4529898928506394E-2</v>
      </c>
      <c r="AR86">
        <f>'TEA Revised Non EYZ'!AR86</f>
        <v>1.6323904665746701E-6</v>
      </c>
      <c r="AS86">
        <f>'TEA Revised Non EYZ'!AS86</f>
        <v>5.0343369338741403E-15</v>
      </c>
      <c r="AT86">
        <f>'TEA Revised Non EYZ'!AT86</f>
        <v>-1.17148695258362E-12</v>
      </c>
      <c r="AU86">
        <f>'TEA Revised Non EYZ'!AU86</f>
        <v>2.5583041985040001E-20</v>
      </c>
      <c r="AV86">
        <f>'TEA Revised Non EYZ'!AV86</f>
        <v>0.19695332346498701</v>
      </c>
      <c r="AW86">
        <f>'TEA Revised Non EYZ'!AW86</f>
        <v>99.341433214905294</v>
      </c>
      <c r="AX86">
        <f>'TEA Revised Non EYZ'!AX86</f>
        <v>500</v>
      </c>
      <c r="AY86">
        <f>'TEA Revised Non EYZ'!AY86</f>
        <v>95</v>
      </c>
      <c r="AZ86">
        <f>'TEA Revised Non EYZ'!AZ86</f>
        <v>0.92356908198738696</v>
      </c>
      <c r="BA86">
        <f>'TEA Revised Non EYZ'!BA86</f>
        <v>0.1</v>
      </c>
      <c r="BB86">
        <f>'TEA Revised Non EYZ'!BB86</f>
        <v>46.892789912812503</v>
      </c>
      <c r="BC86" t="str">
        <f>'TEA Revised Non EYZ'!BC86</f>
        <v>coeFc</v>
      </c>
      <c r="BD86">
        <f>'TEA Revised Non EYZ'!BD86</f>
        <v>1</v>
      </c>
      <c r="BE86">
        <f>'TEA Revised Non EYZ'!BE86</f>
        <v>1.8775014999999999E-2</v>
      </c>
      <c r="BF86">
        <f>'TEA Revised Non EYZ'!BF86</f>
        <v>0.10492961100000001</v>
      </c>
      <c r="BG86">
        <f>'TEA Revised Non EYZ'!BG86</f>
        <v>1.814625E-3</v>
      </c>
      <c r="BH86">
        <f>'TEA Revised Non EYZ'!BH86</f>
        <v>285.1951444</v>
      </c>
      <c r="BI86">
        <f>'TEA Revised Non EYZ'!BI86</f>
        <v>2169.8944889999998</v>
      </c>
      <c r="BJ86">
        <f>'TEA Revised Non EYZ'!BJ86</f>
        <v>866.49409060000005</v>
      </c>
      <c r="BK86">
        <f>'TEA Revised Non EYZ'!BK86</f>
        <v>100</v>
      </c>
      <c r="BL86">
        <f>'TEA Revised Non EYZ'!BL86</f>
        <v>10.953557168032999</v>
      </c>
      <c r="BM86">
        <f>'TEA Revised Non EYZ'!BM86</f>
        <v>92.356908198738694</v>
      </c>
      <c r="BN86">
        <f>'TEA Revised Non EYZ'!BN86</f>
        <v>19.695332346498702</v>
      </c>
      <c r="BO86">
        <f>'TEA Revised Non EYZ'!BO86</f>
        <v>284.79248636885796</v>
      </c>
      <c r="BP86">
        <f>'TEA Revised Non EYZ'!BP86</f>
        <v>393.90664692997404</v>
      </c>
      <c r="BQ86">
        <f>'TEA Revised Non EYZ'!BQ86</f>
        <v>28.479248636885799</v>
      </c>
      <c r="BR86">
        <f>'TEA Revised Non EYZ'!BR86</f>
        <v>39.390664692997404</v>
      </c>
      <c r="BS86">
        <f>'eLLE Bals'!CF86</f>
        <v>6.5721343008197994</v>
      </c>
      <c r="BT86">
        <f>'eLLE Bals'!CG86</f>
        <v>11.817199407899221</v>
      </c>
      <c r="BU86">
        <f>BM86</f>
        <v>92.356908198738694</v>
      </c>
      <c r="BV86">
        <f>BU86*(AM86*2+AN86*2+AO86*3)</f>
        <v>0.3140620832462736</v>
      </c>
      <c r="BW86">
        <f>BN86*BA86*(AP86*2+AQ86*2+AR86*3)</f>
        <v>0.30042251337394632</v>
      </c>
      <c r="BX86">
        <f>BV86/(2*V86*BL86+BV86)</f>
        <v>0.12538542152939935</v>
      </c>
      <c r="BY86">
        <f>BU86*BX86</f>
        <v>11.58020986565089</v>
      </c>
      <c r="BZ86">
        <f>BW86/(2*BN86*BA86+BW86)</f>
        <v>7.0862906968679293E-2</v>
      </c>
      <c r="CA86">
        <f>2*BN86*BA86/0.04</f>
        <v>98.476661732493511</v>
      </c>
      <c r="CB86">
        <f>(BS86+BL86)*2</f>
        <v>35.051382937705597</v>
      </c>
      <c r="CC86">
        <f>(BU86+BL86)*2</f>
        <v>206.62093073354339</v>
      </c>
      <c r="CD86">
        <f>(BT86+BN86)*2</f>
        <v>63.025063508795846</v>
      </c>
      <c r="CE86">
        <f>(CA86+BN86)*2</f>
        <v>236.34398815798443</v>
      </c>
      <c r="CF86">
        <f>'TEA Revised Non EYZ'!CB86</f>
        <v>3759.2608200689256</v>
      </c>
      <c r="CG86">
        <f>'TEA Revised Non EYZ'!CC86</f>
        <v>5199.5677394756585</v>
      </c>
      <c r="CH86">
        <f>'TEA Revised Non EYZ'!CD86</f>
        <v>4541.8834647976191</v>
      </c>
      <c r="CI86">
        <f>'TEA Revised Non EYZ'!CE86</f>
        <v>40104.72810332357</v>
      </c>
      <c r="CJ86">
        <f>BL86*V86</f>
        <v>1.0953557168032999</v>
      </c>
      <c r="CK86">
        <f>CJ86/2*1.2</f>
        <v>0.65721343008197997</v>
      </c>
      <c r="CL86">
        <f>'eLLE Bals'!CB86*'Oxidant Feed Composition'!$N$20</f>
        <v>3.6511857226776682E-2</v>
      </c>
      <c r="CM86">
        <f>'eLLE Bals'!CB86*'Oxidant Feed Composition'!$N$21</f>
        <v>1.8255928613388335</v>
      </c>
      <c r="CN86">
        <f>'eLLE Bals'!CB86*'Oxidant Feed Composition'!$N$22</f>
        <v>0.54767785840164995</v>
      </c>
      <c r="CO86">
        <f>CN86/CK86</f>
        <v>0.83333333333333326</v>
      </c>
      <c r="CP86">
        <f>CO86</f>
        <v>0.83333333333333326</v>
      </c>
      <c r="CQ86">
        <f>CL86/CO86</f>
        <v>4.381422867213202E-2</v>
      </c>
      <c r="CR86">
        <f>CM86/CO86</f>
        <v>2.1907114336066003</v>
      </c>
      <c r="CS86">
        <f>BN86*BA86</f>
        <v>1.9695332346498704</v>
      </c>
      <c r="CT86">
        <f>CS86/2*1.2</f>
        <v>1.1817199407899222</v>
      </c>
      <c r="CU86">
        <f>'eLLE Bals'!CC86*'Oxidant Feed Composition'!$N$20</f>
        <v>6.5651107821662377E-2</v>
      </c>
      <c r="CV86">
        <f>'eLLE Bals'!CC86*'Oxidant Feed Composition'!$N$21</f>
        <v>3.2825553910831173</v>
      </c>
      <c r="CW86">
        <f>'eLLE Bals'!CC86*'Oxidant Feed Composition'!$N$22</f>
        <v>0.9847666173249352</v>
      </c>
      <c r="CX86">
        <f>CU86/CP86</f>
        <v>7.8781329385994858E-2</v>
      </c>
      <c r="CY86">
        <f>CV86/CP86</f>
        <v>3.9390664692997412</v>
      </c>
      <c r="CZ86">
        <f>CJ86</f>
        <v>1.0953557168032999</v>
      </c>
      <c r="DA86">
        <f>'eLLE Bals'!BQ86</f>
        <v>2.1907114336065998</v>
      </c>
      <c r="DB86">
        <f>'eLLE Bals'!BU86</f>
        <v>5.4498425243086137</v>
      </c>
      <c r="DC86">
        <f>CS86</f>
        <v>1.9695332346498704</v>
      </c>
      <c r="DD86">
        <f>'eLLE Bals'!BX86</f>
        <v>3.9390664692997408</v>
      </c>
      <c r="DE86">
        <f>'eLLE Bals'!CA86</f>
        <v>21.884971275581115</v>
      </c>
      <c r="DF86">
        <f>2*2*(CJ86*'Reagent cost'!$C$36*122.44/1000*1.5+CK86*'Oxidant Feed Composition'!$N$26+CQ86*'Reagent cost'!$C$34+CR86*'Reagent cost'!$C$35)</f>
        <v>111.46464346805341</v>
      </c>
      <c r="DG86">
        <f>2*2*(CS86*'Reagent cost'!$C$36*122.44/1000*1.5+CT86*'Oxidant Feed Composition'!$N$26+CX86*'Reagent cost'!$C$34+CY86*'Reagent cost'!$C$35)</f>
        <v>200.42194186872791</v>
      </c>
      <c r="DH86">
        <f>(AF86+3)*2*(CZ86*'Reagent cost'!$C$38+DA86*'Reagent cost'!$C$39+DB86*'Reagent cost'!$C$36*122.44/1000*1.5)</f>
        <v>1662.4862767469176</v>
      </c>
      <c r="DI86">
        <f>3*2*(DC86*'Reagent cost'!$C$38+DD86*'Reagent cost'!$C$39+DE86*'Reagent cost'!$C$36*122.44/1000*1.5)</f>
        <v>1755.7746084184118</v>
      </c>
      <c r="DJ86">
        <f>7963.6*(CB86/1000)^0.6*1.7*('CAPEX+OPEX'!$G$116/'CAPEX+OPEX'!$G$115)</f>
        <v>2138.2772847076108</v>
      </c>
      <c r="DK86">
        <f>7963.6*(CC86/1000)^0.6*1.7*('CAPEX+OPEX'!$G$116/'CAPEX+OPEX'!$G$115)</f>
        <v>6199.3408604999822</v>
      </c>
      <c r="DL86">
        <f>7963.6*(CD86/1000)^0.6*1.7*('CAPEX+OPEX'!$G$116/'CAPEX+OPEX'!$G$115)</f>
        <v>3040.5272711635121</v>
      </c>
      <c r="DM86">
        <f>7963.6*(CE86/1000)^0.6*1.7*('CAPEX+OPEX'!$G$116/'CAPEX+OPEX'!$G$115)</f>
        <v>6719.9750977044669</v>
      </c>
      <c r="DN86">
        <f>'TEA Revised Non EYZ'!CM86</f>
        <v>39625.826528698344</v>
      </c>
      <c r="DO86">
        <f>'TEA Revised Non EYZ'!CN86</f>
        <v>4586243.4239371875</v>
      </c>
      <c r="DP86">
        <f>'TEA Revised Non EYZ'!CO86</f>
        <v>11794834.586807497</v>
      </c>
      <c r="DQ86">
        <f>'TEA Revised Non EYZ'!CP86</f>
        <v>2275209.1661185985</v>
      </c>
      <c r="DR86">
        <f>'TEA Revised Non EYZ'!CQ86</f>
        <v>14083914.336508472</v>
      </c>
      <c r="DS86">
        <f>'TEA Revised Non EYZ'!CR86</f>
        <v>1662824.8986326549</v>
      </c>
      <c r="DT86">
        <f>'TEA Revised Non EYZ'!CS86</f>
        <v>892840.31653984461</v>
      </c>
      <c r="DU86">
        <f>'TEA Revised Non EYZ'!CT86</f>
        <v>2296193.8284949926</v>
      </c>
      <c r="DV86">
        <f>'TEA Revised Non EYZ'!CU86</f>
        <v>442932.9811560188</v>
      </c>
      <c r="DW86">
        <f>'TEA Revised Non EYZ'!CV86</f>
        <v>2741827.1059701391</v>
      </c>
      <c r="DX86">
        <f>'TEA Revised Non EYZ'!CW86</f>
        <v>323715.28756992728</v>
      </c>
      <c r="DY86">
        <f>'TEA Revised Non EYZ'!CX86</f>
        <v>6697509.5197309218</v>
      </c>
      <c r="DZ86">
        <f>'TEA Revised Non EYZ'!CY86</f>
        <v>709493.64296132035</v>
      </c>
      <c r="EA86">
        <f>'TEA Revised Non EYZ'!CZ86</f>
        <v>1824665.5019319013</v>
      </c>
      <c r="EB86">
        <f>'TEA Revised Non EYZ'!DA86</f>
        <v>351975.74366488325</v>
      </c>
      <c r="EC86">
        <f>'TEA Revised Non EYZ'!DB86</f>
        <v>2178787.0302763539</v>
      </c>
      <c r="ED86">
        <f>'TEA Revised Non EYZ'!DC86</f>
        <v>257239.65910315106</v>
      </c>
      <c r="EE86">
        <f>'TEA Revised Non EYZ'!DD86</f>
        <v>5322161.5779376104</v>
      </c>
      <c r="EF86">
        <v>0.7</v>
      </c>
      <c r="EG86">
        <v>100</v>
      </c>
      <c r="EH86">
        <f>96485*BL86*V86/EF86/EG86/60</f>
        <v>25.163189603753906</v>
      </c>
      <c r="EI86">
        <f>96485*BN86*BA86/EF86/EG86/60</f>
        <v>45.245336701236376</v>
      </c>
      <c r="EJ86">
        <f>EH86*('CAPEX+OPEX'!$O$25+'CAPEX+OPEX'!$O$26)</f>
        <v>802001.17905084451</v>
      </c>
      <c r="EK86">
        <f>EI86*('CAPEX+OPEX'!$O$25+'CAPEX+OPEX'!$O$26)</f>
        <v>1442059.3713418057</v>
      </c>
      <c r="EL86">
        <f>EJ86*1.12/0.6*'CAPEX+OPEX'!$G$116/'CAPEX+OPEX'!$G$115</f>
        <v>1765730.2106115664</v>
      </c>
      <c r="EM86">
        <f>EK86*1.12/0.6*'CAPEX+OPEX'!$G$116/'CAPEX+OPEX'!$G$115</f>
        <v>3174917.7731724037</v>
      </c>
      <c r="EN86">
        <f>EL86+EM86+DY86+EE86+1.15*(SUM(DF86:DM86)+SUM(CF86:CI86))</f>
        <v>17047067.845781583</v>
      </c>
      <c r="EO86">
        <f>EN86/15</f>
        <v>1136471.1897187722</v>
      </c>
      <c r="EP86">
        <f>('eLLE Bals'!CB86+'eLLE Bals'!CC86)*'Oxidant Feed Composition'!$N$28*60*7200</f>
        <v>17038253.443332173</v>
      </c>
      <c r="EQ86" s="53">
        <f>('eLLE Bals'!BR86+'eLLE Bals'!BY86)*'Reagent cost'!$C$38*60*7200*1.5</f>
        <v>757922.67986822</v>
      </c>
      <c r="ER86">
        <f>'TEA Revised Non EYZ'!DI86</f>
        <v>504921.59999999998</v>
      </c>
      <c r="ES86">
        <f>'TEA Revised Non EYZ'!DJ86</f>
        <v>89.588285595445853</v>
      </c>
      <c r="ET86">
        <f>'TEA Revised Non EYZ'!DK86</f>
        <v>892.93223136242375</v>
      </c>
      <c r="EU86">
        <f>1.2*SUM(EP86:ET86)</f>
        <v>21962496.292460825</v>
      </c>
      <c r="EV86">
        <f>'TEA Revised Non EYZ'!DM86</f>
        <v>0.70639694042110623</v>
      </c>
      <c r="EW86">
        <f>(BS86*CO86+BT86*CP86)/1000*('Oxidant Feed Composition'!$B$11*'Oxidant Feed Composition'!$O$20+'Oxidant Feed Composition'!$D$11*'Oxidant Feed Composition'!$O$21+'Oxidant Feed Composition'!$F$11*'Oxidant Feed Composition'!$O$27-'Oxidant Feed Composition'!$J$15*18.015)</f>
        <v>1.7896582317327034</v>
      </c>
      <c r="EX86">
        <f>(CZ86*BX86+DC86*BZ86)*368.34/1000</f>
        <v>0.10199647271108506</v>
      </c>
      <c r="EY86">
        <f>'TEA Revised Non EYZ'!DP86</f>
        <v>4.999938342565946E-2</v>
      </c>
      <c r="EZ86">
        <f>SUM(EV86:EX86)-EY86</f>
        <v>2.5480522614392354</v>
      </c>
      <c r="FA86">
        <f>EZ86*0.33*60*7200</f>
        <v>363250.33039077744</v>
      </c>
      <c r="FB86">
        <f>'TEA Revised Non EYZ'!DS86</f>
        <v>1.2</v>
      </c>
      <c r="FC86">
        <v>0.5</v>
      </c>
      <c r="FD86">
        <f>'TEA Revised Non EYZ'!DT86</f>
        <v>1405.8331706903878</v>
      </c>
      <c r="FE86">
        <f>'TEA Revised Non EYZ'!DU86</f>
        <v>705.85015893081743</v>
      </c>
      <c r="FF86">
        <f>'TEA Revised Non EYZ'!DV86</f>
        <v>0.7</v>
      </c>
      <c r="FG86">
        <f>'TEA Revised Non EYZ'!DW86</f>
        <v>49536.497143418172</v>
      </c>
      <c r="FH86">
        <f>'TEA Revised Non EYZ'!DX86</f>
        <v>49831.318766753509</v>
      </c>
      <c r="FI86">
        <f>'TEA Revised Non EYZ'!DY86</f>
        <v>21097.937381085154</v>
      </c>
      <c r="FJ86">
        <f>'TEA Revised Non EYZ'!DZ86</f>
        <v>11176.166036369152</v>
      </c>
      <c r="FK86">
        <f>'TEA Revised Non EYZ'!EA86</f>
        <v>11252.233269912085</v>
      </c>
      <c r="FL86">
        <f>'TEA Revised Non EYZ'!EB86</f>
        <v>850.24790163354669</v>
      </c>
      <c r="FM86">
        <f>'TEA Revised Non EYZ'!EC86</f>
        <v>38570.467480084517</v>
      </c>
      <c r="FN86">
        <f>'TEA Revised Non EYZ'!ED86</f>
        <v>34914.468754142828</v>
      </c>
      <c r="FO86">
        <f>'TEA Revised Non EYZ'!EE86</f>
        <v>14782.335561229824</v>
      </c>
      <c r="FP86">
        <f>'TEA Revised Non EYZ'!EF86</f>
        <v>7834.9750362253289</v>
      </c>
      <c r="FQ86">
        <f>'TEA Revised Non EYZ'!EG86</f>
        <v>7883.9122993225756</v>
      </c>
      <c r="FR86">
        <f>'TEA Revised Non EYZ'!EH86</f>
        <v>426.8981761213584</v>
      </c>
      <c r="FS86">
        <f>'TEA Revised Non EYZ'!EI86</f>
        <v>248157.45780629804</v>
      </c>
      <c r="FT86">
        <f>EG86*EH86</f>
        <v>2516.3189603753908</v>
      </c>
      <c r="FU86">
        <f>EG86*EI86</f>
        <v>4524.5336701236374</v>
      </c>
      <c r="FV86">
        <f>FC86*(FT86+FU86)/(3.6*10^6)*3600*7200*0.07</f>
        <v>1774.2948628857555</v>
      </c>
      <c r="FW86">
        <f>('CAPEX+OPEX'!$C$39/7/100+0.03)*EL86</f>
        <v>90808.982260023418</v>
      </c>
      <c r="FX86">
        <f>('CAPEX+OPEX'!$C$39/7/100+0.03)*EM86</f>
        <v>163281.48547743791</v>
      </c>
      <c r="FY86">
        <f>SUM(FV86:FX86)</f>
        <v>255864.76260034708</v>
      </c>
      <c r="FZ86">
        <f>FY86+FA86+FS86+EU86</f>
        <v>22829768.843258247</v>
      </c>
      <c r="GA86">
        <f>FZ86+EO86</f>
        <v>23966240.032977019</v>
      </c>
      <c r="GB86">
        <f>GA86/(BK86*60*7200)</f>
        <v>0.55477407483743102</v>
      </c>
      <c r="GC86">
        <f>'TEA Revised Non EYZ'!EM86/'TEA Revised Non EYZ'!EK86*GA86</f>
        <v>1856.0424039284014</v>
      </c>
      <c r="GD86">
        <f>'TEA Revised Non EYZ'!EN86/'TEA Revised Non EYZ'!EK86*GA86</f>
        <v>3405.9681794926646</v>
      </c>
    </row>
    <row r="87" spans="1:186">
      <c r="A87">
        <f>'TEA Revised Non EYZ'!A87</f>
        <v>11</v>
      </c>
      <c r="B87">
        <f>'TEA Revised Non EYZ'!B87</f>
        <v>1.54143585092054E-3</v>
      </c>
      <c r="C87">
        <f>'TEA Revised Non EYZ'!C87</f>
        <v>1.54143585092054E-3</v>
      </c>
      <c r="D87">
        <f>'TEA Revised Non EYZ'!D87</f>
        <v>3.4254130020456501E-4</v>
      </c>
      <c r="E87">
        <f>'TEA Revised Non EYZ'!E87</f>
        <v>0</v>
      </c>
      <c r="F87">
        <f>'TEA Revised Non EYZ'!F87</f>
        <v>0</v>
      </c>
      <c r="G87">
        <f>'TEA Revised Non EYZ'!G87</f>
        <v>0</v>
      </c>
      <c r="H87">
        <f>'TEA Revised Non EYZ'!H87</f>
        <v>1.7771367359861701E-5</v>
      </c>
      <c r="I87">
        <f>'TEA Revised Non EYZ'!I87</f>
        <v>1.8081057367328801E-10</v>
      </c>
      <c r="J87">
        <f>'TEA Revised Non EYZ'!J87</f>
        <v>3.3765941525589702E-4</v>
      </c>
      <c r="K87">
        <f>'TEA Revised Non EYZ'!K87</f>
        <v>0.139102253285185</v>
      </c>
      <c r="L87">
        <f>'TEA Revised Non EYZ'!L87</f>
        <v>0.14072466572308701</v>
      </c>
      <c r="M87">
        <f>'TEA Revised Non EYZ'!M87</f>
        <v>4.4568945720355099E-4</v>
      </c>
      <c r="N87">
        <f>'TEA Revised Non EYZ'!N87</f>
        <v>-8.03393809811758E-16</v>
      </c>
      <c r="O87">
        <f>'TEA Revised Non EYZ'!O87</f>
        <v>-8.4019770307808202E-13</v>
      </c>
      <c r="P87">
        <f>'TEA Revised Non EYZ'!P87</f>
        <v>-2.26157796916898E-19</v>
      </c>
      <c r="Q87">
        <f>'TEA Revised Non EYZ'!Q87</f>
        <v>0.10953557168033</v>
      </c>
      <c r="R87">
        <f>'TEA Revised Non EYZ'!R87</f>
        <v>98.5748039883795</v>
      </c>
      <c r="S87">
        <f>'TEA Revised Non EYZ'!S87</f>
        <v>500</v>
      </c>
      <c r="T87">
        <f>'TEA Revised Non EYZ'!T87</f>
        <v>95</v>
      </c>
      <c r="U87">
        <f>'TEA Revised Non EYZ'!U87</f>
        <v>1</v>
      </c>
      <c r="V87">
        <f>'TEA Revised Non EYZ'!V87</f>
        <v>0.1</v>
      </c>
      <c r="W87">
        <f>'TEA Revised Non EYZ'!W87</f>
        <v>91.294543376138293</v>
      </c>
      <c r="X87" t="str">
        <f>'TEA Revised Non EYZ'!X87</f>
        <v>ddFc</v>
      </c>
      <c r="Y87">
        <f>'TEA Revised Non EYZ'!Y87</f>
        <v>1</v>
      </c>
      <c r="Z87">
        <f>'TEA Revised Non EYZ'!Z87</f>
        <v>0.28318429382522198</v>
      </c>
      <c r="AA87">
        <f>'TEA Revised Non EYZ'!AA87</f>
        <v>0.56945642916197003</v>
      </c>
      <c r="AB87">
        <f>'TEA Revised Non EYZ'!AB87</f>
        <v>3.7698628972227502E-3</v>
      </c>
      <c r="AC87">
        <f>'TEA Revised Non EYZ'!AC87</f>
        <v>1822.2107908876901</v>
      </c>
      <c r="AD87">
        <f>'TEA Revised Non EYZ'!AD87</f>
        <v>2662.6059073104898</v>
      </c>
      <c r="AE87">
        <f>'TEA Revised Non EYZ'!AE87</f>
        <v>2401.5030938442701</v>
      </c>
      <c r="AF87">
        <f>'TEA Revised Non EYZ'!AF87</f>
        <v>9</v>
      </c>
      <c r="AG87">
        <f>'TEA Revised Non EYZ'!AG87</f>
        <v>1.6497569194096201E-3</v>
      </c>
      <c r="AH87">
        <f>'TEA Revised Non EYZ'!AH87</f>
        <v>1.6689987798565299E-3</v>
      </c>
      <c r="AI87">
        <f>'TEA Revised Non EYZ'!AI87</f>
        <v>5.28589040482341E-6</v>
      </c>
      <c r="AJ87">
        <f>'TEA Revised Non EYZ'!AJ87</f>
        <v>0</v>
      </c>
      <c r="AK87">
        <f>'TEA Revised Non EYZ'!AK87</f>
        <v>0</v>
      </c>
      <c r="AL87">
        <f>'TEA Revised Non EYZ'!AL87</f>
        <v>0</v>
      </c>
      <c r="AM87">
        <f>'TEA Revised Non EYZ'!AM87</f>
        <v>1.6127950089356499E-3</v>
      </c>
      <c r="AN87">
        <f>'TEA Revised Non EYZ'!AN87</f>
        <v>7.9632833043740095E-5</v>
      </c>
      <c r="AO87">
        <f>'TEA Revised Non EYZ'!AO87</f>
        <v>5.2511147626523301E-6</v>
      </c>
      <c r="AP87">
        <f>'TEA Revised Non EYZ'!AP87</f>
        <v>1.7337618973110201E-3</v>
      </c>
      <c r="AQ87">
        <f>'TEA Revised Non EYZ'!AQ87</f>
        <v>7.4551939662868896E-2</v>
      </c>
      <c r="AR87">
        <f>'TEA Revised Non EYZ'!AR87</f>
        <v>1.6312112273867399E-6</v>
      </c>
      <c r="AS87">
        <f>'TEA Revised Non EYZ'!AS87</f>
        <v>3.6795111228726801E-17</v>
      </c>
      <c r="AT87">
        <f>'TEA Revised Non EYZ'!AT87</f>
        <v>-4.8355416892853498E-15</v>
      </c>
      <c r="AU87">
        <f>'TEA Revised Non EYZ'!AU87</f>
        <v>-1.38304598418866E-21</v>
      </c>
      <c r="AV87">
        <f>'TEA Revised Non EYZ'!AV87</f>
        <v>0.19689484339142299</v>
      </c>
      <c r="AW87">
        <f>'TEA Revised Non EYZ'!AW87</f>
        <v>99.342104366383694</v>
      </c>
      <c r="AX87">
        <f>'TEA Revised Non EYZ'!AX87</f>
        <v>500</v>
      </c>
      <c r="AY87">
        <f>'TEA Revised Non EYZ'!AY87</f>
        <v>95</v>
      </c>
      <c r="AZ87">
        <f>'TEA Revised Non EYZ'!AZ87</f>
        <v>0.92356908198738696</v>
      </c>
      <c r="BA87">
        <f>'TEA Revised Non EYZ'!BA87</f>
        <v>0.1</v>
      </c>
      <c r="BB87">
        <f>'TEA Revised Non EYZ'!BB87</f>
        <v>46.906717620397401</v>
      </c>
      <c r="BC87" t="str">
        <f>'TEA Revised Non EYZ'!BC87</f>
        <v>coeFc</v>
      </c>
      <c r="BD87">
        <f>'TEA Revised Non EYZ'!BD87</f>
        <v>1</v>
      </c>
      <c r="BE87">
        <f>'TEA Revised Non EYZ'!BE87</f>
        <v>1.8775014999999999E-2</v>
      </c>
      <c r="BF87">
        <f>'TEA Revised Non EYZ'!BF87</f>
        <v>0.10492961100000001</v>
      </c>
      <c r="BG87">
        <f>'TEA Revised Non EYZ'!BG87</f>
        <v>1.814625E-3</v>
      </c>
      <c r="BH87">
        <f>'TEA Revised Non EYZ'!BH87</f>
        <v>285.1951444</v>
      </c>
      <c r="BI87">
        <f>'TEA Revised Non EYZ'!BI87</f>
        <v>2169.8944889999998</v>
      </c>
      <c r="BJ87">
        <f>'TEA Revised Non EYZ'!BJ87</f>
        <v>866.49409060000005</v>
      </c>
      <c r="BK87">
        <f>'TEA Revised Non EYZ'!BK87</f>
        <v>100</v>
      </c>
      <c r="BL87">
        <f>'TEA Revised Non EYZ'!BL87</f>
        <v>10.953557168032999</v>
      </c>
      <c r="BM87">
        <f>'TEA Revised Non EYZ'!BM87</f>
        <v>92.356908198738694</v>
      </c>
      <c r="BN87">
        <f>'TEA Revised Non EYZ'!BN87</f>
        <v>19.6894843391423</v>
      </c>
      <c r="BO87">
        <f>'TEA Revised Non EYZ'!BO87</f>
        <v>284.79248636885796</v>
      </c>
      <c r="BP87">
        <f>'TEA Revised Non EYZ'!BP87</f>
        <v>433.16865546113058</v>
      </c>
      <c r="BQ87">
        <f>'TEA Revised Non EYZ'!BQ87</f>
        <v>28.479248636885799</v>
      </c>
      <c r="BR87">
        <f>'TEA Revised Non EYZ'!BR87</f>
        <v>43.316865546113064</v>
      </c>
      <c r="BS87">
        <f>'eLLE Bals'!CF87</f>
        <v>6.5721343008197994</v>
      </c>
      <c r="BT87">
        <f>'eLLE Bals'!CG87</f>
        <v>11.81369060348538</v>
      </c>
      <c r="BU87">
        <f>BM87</f>
        <v>92.356908198738694</v>
      </c>
      <c r="BV87">
        <f>BU87*(AM87*2+AN87*2+AO87*3)</f>
        <v>0.31406973584158593</v>
      </c>
      <c r="BW87">
        <f>BN87*BA87*(AP87*2+AQ87*2+AR87*3)</f>
        <v>0.30041486054630379</v>
      </c>
      <c r="BX87">
        <f>BV87/(2*V87*BL87+BV87)</f>
        <v>0.12538809364762865</v>
      </c>
      <c r="BY87">
        <f>BU87*BX87</f>
        <v>11.58045665422889</v>
      </c>
      <c r="BZ87">
        <f>BW87/(2*BN87*BA87+BW87)</f>
        <v>7.0880784566901556E-2</v>
      </c>
      <c r="CA87">
        <f>2*BN87*BA87/0.04</f>
        <v>98.447421695711498</v>
      </c>
      <c r="CB87">
        <f>(BS87+BL87)*2</f>
        <v>35.051382937705597</v>
      </c>
      <c r="CC87">
        <f>(BU87+BL87)*2</f>
        <v>206.62093073354339</v>
      </c>
      <c r="CD87">
        <f>(BT87+BN87)*2</f>
        <v>63.006349885255361</v>
      </c>
      <c r="CE87">
        <f>(CA87+BN87)*2</f>
        <v>236.27381206970759</v>
      </c>
      <c r="CF87">
        <f>'TEA Revised Non EYZ'!CB87</f>
        <v>3759.2608200689256</v>
      </c>
      <c r="CG87">
        <f>'TEA Revised Non EYZ'!CC87</f>
        <v>5717.8262520869239</v>
      </c>
      <c r="CH87">
        <f>'TEA Revised Non EYZ'!CD87</f>
        <v>4541.8834647976191</v>
      </c>
      <c r="CI87">
        <f>'TEA Revised Non EYZ'!CE87</f>
        <v>44102.102073030474</v>
      </c>
      <c r="CJ87">
        <f>BL87*V87</f>
        <v>1.0953557168032999</v>
      </c>
      <c r="CK87">
        <f>CJ87/2*1.2</f>
        <v>0.65721343008197997</v>
      </c>
      <c r="CL87">
        <f>'eLLE Bals'!CB87*'Oxidant Feed Composition'!$N$20</f>
        <v>3.6511857226776682E-2</v>
      </c>
      <c r="CM87">
        <f>'eLLE Bals'!CB87*'Oxidant Feed Composition'!$N$21</f>
        <v>1.8255928613388335</v>
      </c>
      <c r="CN87">
        <f>'eLLE Bals'!CB87*'Oxidant Feed Composition'!$N$22</f>
        <v>0.54767785840164995</v>
      </c>
      <c r="CO87">
        <f>CN87/CK87</f>
        <v>0.83333333333333326</v>
      </c>
      <c r="CP87">
        <f>CO87</f>
        <v>0.83333333333333326</v>
      </c>
      <c r="CQ87">
        <f>CL87/CO87</f>
        <v>4.381422867213202E-2</v>
      </c>
      <c r="CR87">
        <f>CM87/CO87</f>
        <v>2.1907114336066003</v>
      </c>
      <c r="CS87">
        <f>BN87*BA87</f>
        <v>1.96894843391423</v>
      </c>
      <c r="CT87">
        <f>CS87/2*1.2</f>
        <v>1.1813690603485381</v>
      </c>
      <c r="CU87">
        <f>'eLLE Bals'!CC87*'Oxidant Feed Composition'!$N$20</f>
        <v>6.5631614463807691E-2</v>
      </c>
      <c r="CV87">
        <f>'eLLE Bals'!CC87*'Oxidant Feed Composition'!$N$21</f>
        <v>3.2815807231903835</v>
      </c>
      <c r="CW87">
        <f>'eLLE Bals'!CC87*'Oxidant Feed Composition'!$N$22</f>
        <v>0.98447421695711501</v>
      </c>
      <c r="CX87">
        <f>CU87/CP87</f>
        <v>7.8757937356569233E-2</v>
      </c>
      <c r="CY87">
        <f>CV87/CP87</f>
        <v>3.9378968678284605</v>
      </c>
      <c r="CZ87">
        <f>CJ87</f>
        <v>1.0953557168032999</v>
      </c>
      <c r="DA87">
        <f>'eLLE Bals'!BQ87</f>
        <v>2.1907114336065998</v>
      </c>
      <c r="DB87">
        <f>'eLLE Bals'!BU87</f>
        <v>5.4496563536283551</v>
      </c>
      <c r="DC87">
        <f>CS87</f>
        <v>1.96894843391423</v>
      </c>
      <c r="DD87">
        <f>'eLLE Bals'!BX87</f>
        <v>3.93789686782846</v>
      </c>
      <c r="DE87">
        <f>'eLLE Bals'!CA87</f>
        <v>21.871465081599887</v>
      </c>
      <c r="DF87">
        <f>2*2*(CJ87*'Reagent cost'!$C$36*122.44/1000*1.5+CK87*'Oxidant Feed Composition'!$N$26+CQ87*'Reagent cost'!$C$34+CR87*'Reagent cost'!$C$35)</f>
        <v>111.46464346805341</v>
      </c>
      <c r="DG87">
        <f>2*2*(CS87*'Reagent cost'!$C$36*122.44/1000*1.5+CT87*'Oxidant Feed Composition'!$N$26+CX87*'Reagent cost'!$C$34+CY87*'Reagent cost'!$C$35)</f>
        <v>200.36243188078697</v>
      </c>
      <c r="DH87">
        <f>(AF87+3)*2*(CZ87*'Reagent cost'!$C$38+DA87*'Reagent cost'!$C$39+DB87*'Reagent cost'!$C$36*122.44/1000*1.5)</f>
        <v>1813.5634412962759</v>
      </c>
      <c r="DI87">
        <f>3*2*(DC87*'Reagent cost'!$C$38+DD87*'Reagent cost'!$C$39+DE87*'Reagent cost'!$C$36*122.44/1000*1.5)</f>
        <v>1754.7079097379374</v>
      </c>
      <c r="DJ87">
        <f>7963.6*(CB87/1000)^0.6*1.7*('CAPEX+OPEX'!$G$116/'CAPEX+OPEX'!$G$115)</f>
        <v>2138.2772847076108</v>
      </c>
      <c r="DK87">
        <f>7963.6*(CC87/1000)^0.6*1.7*('CAPEX+OPEX'!$G$116/'CAPEX+OPEX'!$G$115)</f>
        <v>6199.3408604999822</v>
      </c>
      <c r="DL87">
        <f>7963.6*(CD87/1000)^0.6*1.7*('CAPEX+OPEX'!$G$116/'CAPEX+OPEX'!$G$115)</f>
        <v>3039.9855565601665</v>
      </c>
      <c r="DM87">
        <f>7963.6*(CE87/1000)^0.6*1.7*('CAPEX+OPEX'!$G$116/'CAPEX+OPEX'!$G$115)</f>
        <v>6718.7778354141183</v>
      </c>
      <c r="DN87">
        <f>'TEA Revised Non EYZ'!CM87</f>
        <v>39625.826528698344</v>
      </c>
      <c r="DO87">
        <f>'TEA Revised Non EYZ'!CN87</f>
        <v>4586243.4239371875</v>
      </c>
      <c r="DP87">
        <f>'TEA Revised Non EYZ'!CO87</f>
        <v>11794834.586807497</v>
      </c>
      <c r="DQ87">
        <f>'TEA Revised Non EYZ'!CP87</f>
        <v>2275209.1661185985</v>
      </c>
      <c r="DR87">
        <f>'TEA Revised Non EYZ'!CQ87</f>
        <v>14083914.336508472</v>
      </c>
      <c r="DS87">
        <f>'TEA Revised Non EYZ'!CR87</f>
        <v>1662824.8986326549</v>
      </c>
      <c r="DT87">
        <f>'TEA Revised Non EYZ'!CS87</f>
        <v>892840.31653984461</v>
      </c>
      <c r="DU87">
        <f>'TEA Revised Non EYZ'!CT87</f>
        <v>2296193.8284949926</v>
      </c>
      <c r="DV87">
        <f>'TEA Revised Non EYZ'!CU87</f>
        <v>442932.9811560188</v>
      </c>
      <c r="DW87">
        <f>'TEA Revised Non EYZ'!CV87</f>
        <v>2741827.1059701391</v>
      </c>
      <c r="DX87">
        <f>'TEA Revised Non EYZ'!CW87</f>
        <v>323715.28756992728</v>
      </c>
      <c r="DY87">
        <f>'TEA Revised Non EYZ'!CX87</f>
        <v>6697509.5197309218</v>
      </c>
      <c r="DZ87">
        <f>'TEA Revised Non EYZ'!CY87</f>
        <v>755793.23951553891</v>
      </c>
      <c r="EA87">
        <f>'TEA Revised Non EYZ'!CZ87</f>
        <v>1943738.1355262429</v>
      </c>
      <c r="EB87">
        <f>'TEA Revised Non EYZ'!DA87</f>
        <v>374944.70905340556</v>
      </c>
      <c r="EC87">
        <f>'TEA Revised Non EYZ'!DB87</f>
        <v>2320968.6572438823</v>
      </c>
      <c r="ED87">
        <f>'TEA Revised Non EYZ'!DC87</f>
        <v>274026.40913590638</v>
      </c>
      <c r="EE87">
        <f>'TEA Revised Non EYZ'!DD87</f>
        <v>5669471.1504749758</v>
      </c>
      <c r="EF87">
        <v>0.7</v>
      </c>
      <c r="EG87">
        <v>100</v>
      </c>
      <c r="EH87">
        <f>96485*BL87*V87/EF87/EG87/60</f>
        <v>25.163189603753906</v>
      </c>
      <c r="EI87">
        <f>96485*BN87*BA87/EF87/EG87/60</f>
        <v>45.231902296717742</v>
      </c>
      <c r="EJ87">
        <f>EH87*('CAPEX+OPEX'!$O$25+'CAPEX+OPEX'!$O$26)</f>
        <v>802001.17905084451</v>
      </c>
      <c r="EK87">
        <f>EI87*('CAPEX+OPEX'!$O$25+'CAPEX+OPEX'!$O$26)</f>
        <v>1441631.1900009878</v>
      </c>
      <c r="EL87">
        <f>EJ87*1.12/0.6*'CAPEX+OPEX'!$G$116/'CAPEX+OPEX'!$G$115</f>
        <v>1765730.2106115664</v>
      </c>
      <c r="EM87">
        <f>EK87*1.12/0.6*'CAPEX+OPEX'!$G$116/'CAPEX+OPEX'!$G$115</f>
        <v>3173975.0654197824</v>
      </c>
      <c r="EN87">
        <f>EL87+EM87+DY87+EE87+1.15*(SUM(DF87:DM87)+SUM(CF87:CI87))</f>
        <v>17398798.131696828</v>
      </c>
      <c r="EO87">
        <f>EN87/15</f>
        <v>1159919.8754464551</v>
      </c>
      <c r="EP87">
        <f>('eLLE Bals'!CB87+'eLLE Bals'!CC87)*'Oxidant Feed Composition'!$N$28*60*7200</f>
        <v>17035002.433815841</v>
      </c>
      <c r="EQ87" s="53">
        <f>('eLLE Bals'!BR87+'eLLE Bals'!BY87)*'Reagent cost'!$C$38*60*7200*1.5</f>
        <v>757913.61000665813</v>
      </c>
      <c r="ER87">
        <f>'TEA Revised Non EYZ'!DI87</f>
        <v>504921.59999999998</v>
      </c>
      <c r="ES87">
        <f>'TEA Revised Non EYZ'!DJ87</f>
        <v>94.770870721558495</v>
      </c>
      <c r="ET87">
        <f>'TEA Revised Non EYZ'!DK87</f>
        <v>972.87971075656185</v>
      </c>
      <c r="EU87">
        <f>1.2*SUM(EP87:ET87)</f>
        <v>21958686.353284772</v>
      </c>
      <c r="EV87">
        <f>'TEA Revised Non EYZ'!DM87</f>
        <v>0.70639694042110623</v>
      </c>
      <c r="EW87">
        <f>(BS87*CO87+BT87*CP87)/1000*('Oxidant Feed Composition'!$B$11*'Oxidant Feed Composition'!$O$20+'Oxidant Feed Composition'!$D$11*'Oxidant Feed Composition'!$O$21+'Oxidant Feed Composition'!$F$11*'Oxidant Feed Composition'!$O$27-'Oxidant Feed Composition'!$J$15*18.015)</f>
        <v>1.7893167533081866</v>
      </c>
      <c r="EX87">
        <f>(CZ87*BX87+DC87*BZ87)*368.34/1000</f>
        <v>0.10199525214609623</v>
      </c>
      <c r="EY87">
        <f>'TEA Revised Non EYZ'!DP87</f>
        <v>4.999938342565946E-2</v>
      </c>
      <c r="EZ87">
        <f>SUM(EV87:EX87)-EY87</f>
        <v>2.5477095624497297</v>
      </c>
      <c r="FA87">
        <f>EZ87*0.33*60*7200</f>
        <v>363201.47522283351</v>
      </c>
      <c r="FB87">
        <f>'TEA Revised Non EYZ'!DS87</f>
        <v>1.2</v>
      </c>
      <c r="FC87">
        <v>0.5</v>
      </c>
      <c r="FD87">
        <f>'TEA Revised Non EYZ'!DT87</f>
        <v>1405.8674445834067</v>
      </c>
      <c r="FE87">
        <f>'TEA Revised Non EYZ'!DU87</f>
        <v>705.81588450637275</v>
      </c>
      <c r="FF87">
        <f>'TEA Revised Non EYZ'!DV87</f>
        <v>0.7</v>
      </c>
      <c r="FG87">
        <f>'TEA Revised Non EYZ'!DW87</f>
        <v>49536.497143418172</v>
      </c>
      <c r="FH87">
        <f>'TEA Revised Non EYZ'!DX87</f>
        <v>49831.318766753509</v>
      </c>
      <c r="FI87">
        <f>'TEA Revised Non EYZ'!DY87</f>
        <v>21097.937381085154</v>
      </c>
      <c r="FJ87">
        <f>'TEA Revised Non EYZ'!DZ87</f>
        <v>11176.166036369152</v>
      </c>
      <c r="FK87">
        <f>'TEA Revised Non EYZ'!EA87</f>
        <v>11252.233269912085</v>
      </c>
      <c r="FL87">
        <f>'TEA Revised Non EYZ'!EB87</f>
        <v>850.26863048404448</v>
      </c>
      <c r="FM87">
        <f>'TEA Revised Non EYZ'!EC87</f>
        <v>41141.831978756825</v>
      </c>
      <c r="FN87">
        <f>'TEA Revised Non EYZ'!ED87</f>
        <v>38793.854171269806</v>
      </c>
      <c r="FO87">
        <f>'TEA Revised Non EYZ'!EE87</f>
        <v>16424.81729025536</v>
      </c>
      <c r="FP87">
        <f>'TEA Revised Non EYZ'!EF87</f>
        <v>8705.5278180281439</v>
      </c>
      <c r="FQ87">
        <f>'TEA Revised Non EYZ'!EG87</f>
        <v>8759.9025548028621</v>
      </c>
      <c r="FR87">
        <f>'TEA Revised Non EYZ'!EH87</f>
        <v>426.87744694945422</v>
      </c>
      <c r="FS87">
        <f>'TEA Revised Non EYZ'!EI87</f>
        <v>257997.23248808456</v>
      </c>
      <c r="FT87">
        <f>EG87*EH87</f>
        <v>2516.3189603753908</v>
      </c>
      <c r="FU87">
        <f>EG87*EI87</f>
        <v>4523.1902296717744</v>
      </c>
      <c r="FV87">
        <f>FC87*(FT87+FU87)/(3.6*10^6)*3600*7200*0.07</f>
        <v>1773.9563158918857</v>
      </c>
      <c r="FW87">
        <f>('CAPEX+OPEX'!$C$39/7/100+0.03)*EL87</f>
        <v>90808.982260023418</v>
      </c>
      <c r="FX87">
        <f>('CAPEX+OPEX'!$C$39/7/100+0.03)*EM87</f>
        <v>163233.00336444596</v>
      </c>
      <c r="FY87">
        <f>SUM(FV87:FX87)</f>
        <v>255815.94194036128</v>
      </c>
      <c r="FZ87">
        <f>FY87+FA87+FS87+EU87</f>
        <v>22835701.00293605</v>
      </c>
      <c r="GA87">
        <f>FZ87+EO87</f>
        <v>23995620.878382504</v>
      </c>
      <c r="GB87">
        <f>GA87/(BK87*60*7200)</f>
        <v>0.55545418699959503</v>
      </c>
      <c r="GC87">
        <f>'TEA Revised Non EYZ'!EM87/'TEA Revised Non EYZ'!EK87*GA87</f>
        <v>1858.2724431380309</v>
      </c>
      <c r="GD87">
        <f>'TEA Revised Non EYZ'!EN87/'TEA Revised Non EYZ'!EK87*GA87</f>
        <v>3410.2963138639197</v>
      </c>
    </row>
    <row r="88" spans="1:186">
      <c r="A88">
        <f>'TEA Revised Non EYZ'!A88</f>
        <v>11</v>
      </c>
      <c r="B88">
        <f>'TEA Revised Non EYZ'!B88</f>
        <v>1.54143585092054E-3</v>
      </c>
      <c r="C88">
        <f>'TEA Revised Non EYZ'!C88</f>
        <v>1.54143585092054E-3</v>
      </c>
      <c r="D88">
        <f>'TEA Revised Non EYZ'!D88</f>
        <v>3.4254130020456501E-4</v>
      </c>
      <c r="E88">
        <f>'TEA Revised Non EYZ'!E88</f>
        <v>0</v>
      </c>
      <c r="F88">
        <f>'TEA Revised Non EYZ'!F88</f>
        <v>0</v>
      </c>
      <c r="G88">
        <f>'TEA Revised Non EYZ'!G88</f>
        <v>0</v>
      </c>
      <c r="H88">
        <f>'TEA Revised Non EYZ'!H88</f>
        <v>1.7771367359861701E-5</v>
      </c>
      <c r="I88">
        <f>'TEA Revised Non EYZ'!I88</f>
        <v>1.8081057367328801E-10</v>
      </c>
      <c r="J88">
        <f>'TEA Revised Non EYZ'!J88</f>
        <v>3.3765941525589702E-4</v>
      </c>
      <c r="K88">
        <f>'TEA Revised Non EYZ'!K88</f>
        <v>0.139102253285185</v>
      </c>
      <c r="L88">
        <f>'TEA Revised Non EYZ'!L88</f>
        <v>0.14072466572308701</v>
      </c>
      <c r="M88">
        <f>'TEA Revised Non EYZ'!M88</f>
        <v>4.4568945720355099E-4</v>
      </c>
      <c r="N88">
        <f>'TEA Revised Non EYZ'!N88</f>
        <v>-8.03393809811758E-16</v>
      </c>
      <c r="O88">
        <f>'TEA Revised Non EYZ'!O88</f>
        <v>-8.4019770307808202E-13</v>
      </c>
      <c r="P88">
        <f>'TEA Revised Non EYZ'!P88</f>
        <v>-2.26157796916898E-19</v>
      </c>
      <c r="Q88">
        <f>'TEA Revised Non EYZ'!Q88</f>
        <v>0.10953557168033</v>
      </c>
      <c r="R88">
        <f>'TEA Revised Non EYZ'!R88</f>
        <v>98.5748039883795</v>
      </c>
      <c r="S88">
        <f>'TEA Revised Non EYZ'!S88</f>
        <v>500</v>
      </c>
      <c r="T88">
        <f>'TEA Revised Non EYZ'!T88</f>
        <v>95</v>
      </c>
      <c r="U88">
        <f>'TEA Revised Non EYZ'!U88</f>
        <v>1</v>
      </c>
      <c r="V88">
        <f>'TEA Revised Non EYZ'!V88</f>
        <v>0.1</v>
      </c>
      <c r="W88">
        <f>'TEA Revised Non EYZ'!W88</f>
        <v>91.294543376138293</v>
      </c>
      <c r="X88" t="str">
        <f>'TEA Revised Non EYZ'!X88</f>
        <v>ddFc</v>
      </c>
      <c r="Y88">
        <f>'TEA Revised Non EYZ'!Y88</f>
        <v>1</v>
      </c>
      <c r="Z88">
        <f>'TEA Revised Non EYZ'!Z88</f>
        <v>0.28318429382522198</v>
      </c>
      <c r="AA88">
        <f>'TEA Revised Non EYZ'!AA88</f>
        <v>0.56945642916197003</v>
      </c>
      <c r="AB88">
        <f>'TEA Revised Non EYZ'!AB88</f>
        <v>3.7698628972227502E-3</v>
      </c>
      <c r="AC88">
        <f>'TEA Revised Non EYZ'!AC88</f>
        <v>1822.2107908876901</v>
      </c>
      <c r="AD88">
        <f>'TEA Revised Non EYZ'!AD88</f>
        <v>2662.6059073104898</v>
      </c>
      <c r="AE88">
        <f>'TEA Revised Non EYZ'!AE88</f>
        <v>2401.5030938442701</v>
      </c>
      <c r="AF88">
        <f>'TEA Revised Non EYZ'!AF88</f>
        <v>10</v>
      </c>
      <c r="AG88">
        <f>'TEA Revised Non EYZ'!AG88</f>
        <v>1.6497569194096201E-3</v>
      </c>
      <c r="AH88">
        <f>'TEA Revised Non EYZ'!AH88</f>
        <v>1.6689987798565299E-3</v>
      </c>
      <c r="AI88">
        <f>'TEA Revised Non EYZ'!AI88</f>
        <v>5.28589040482341E-6</v>
      </c>
      <c r="AJ88">
        <f>'TEA Revised Non EYZ'!AJ88</f>
        <v>0</v>
      </c>
      <c r="AK88">
        <f>'TEA Revised Non EYZ'!AK88</f>
        <v>0</v>
      </c>
      <c r="AL88">
        <f>'TEA Revised Non EYZ'!AL88</f>
        <v>0</v>
      </c>
      <c r="AM88">
        <f>'TEA Revised Non EYZ'!AM88</f>
        <v>1.61280608328623E-3</v>
      </c>
      <c r="AN88">
        <f>'TEA Revised Non EYZ'!AN88</f>
        <v>7.9633405949388404E-5</v>
      </c>
      <c r="AO88">
        <f>'TEA Revised Non EYZ'!AO88</f>
        <v>5.2511247490748196E-6</v>
      </c>
      <c r="AP88">
        <f>'TEA Revised Non EYZ'!AP88</f>
        <v>1.7333873588263201E-3</v>
      </c>
      <c r="AQ88">
        <f>'TEA Revised Non EYZ'!AQ88</f>
        <v>7.4558146402506298E-2</v>
      </c>
      <c r="AR88">
        <f>'TEA Revised Non EYZ'!AR88</f>
        <v>1.63087914994542E-6</v>
      </c>
      <c r="AS88">
        <f>'TEA Revised Non EYZ'!AS88</f>
        <v>6.1625306095082401E-15</v>
      </c>
      <c r="AT88">
        <f>'TEA Revised Non EYZ'!AT88</f>
        <v>-6.3828326304915498E-13</v>
      </c>
      <c r="AU88">
        <f>'TEA Revised Non EYZ'!AU88</f>
        <v>5.8087931335923803E-20</v>
      </c>
      <c r="AV88">
        <f>'TEA Revised Non EYZ'!AV88</f>
        <v>0.19687838161047699</v>
      </c>
      <c r="AW88">
        <f>'TEA Revised Non EYZ'!AW88</f>
        <v>99.342293292406097</v>
      </c>
      <c r="AX88">
        <f>'TEA Revised Non EYZ'!AX88</f>
        <v>500</v>
      </c>
      <c r="AY88">
        <f>'TEA Revised Non EYZ'!AY88</f>
        <v>95</v>
      </c>
      <c r="AZ88">
        <f>'TEA Revised Non EYZ'!AZ88</f>
        <v>0.92356908198738696</v>
      </c>
      <c r="BA88">
        <f>'TEA Revised Non EYZ'!BA88</f>
        <v>0.1</v>
      </c>
      <c r="BB88">
        <f>'TEA Revised Non EYZ'!BB88</f>
        <v>46.910639676765697</v>
      </c>
      <c r="BC88" t="str">
        <f>'TEA Revised Non EYZ'!BC88</f>
        <v>coeFc</v>
      </c>
      <c r="BD88">
        <f>'TEA Revised Non EYZ'!BD88</f>
        <v>1</v>
      </c>
      <c r="BE88">
        <f>'TEA Revised Non EYZ'!BE88</f>
        <v>1.8775014999999999E-2</v>
      </c>
      <c r="BF88">
        <f>'TEA Revised Non EYZ'!BF88</f>
        <v>0.10492961100000001</v>
      </c>
      <c r="BG88">
        <f>'TEA Revised Non EYZ'!BG88</f>
        <v>1.814625E-3</v>
      </c>
      <c r="BH88">
        <f>'TEA Revised Non EYZ'!BH88</f>
        <v>285.1951444</v>
      </c>
      <c r="BI88">
        <f>'TEA Revised Non EYZ'!BI88</f>
        <v>2169.8944889999998</v>
      </c>
      <c r="BJ88">
        <f>'TEA Revised Non EYZ'!BJ88</f>
        <v>866.49409060000005</v>
      </c>
      <c r="BK88">
        <f>'TEA Revised Non EYZ'!BK88</f>
        <v>100</v>
      </c>
      <c r="BL88">
        <f>'TEA Revised Non EYZ'!BL88</f>
        <v>10.953557168032999</v>
      </c>
      <c r="BM88">
        <f>'TEA Revised Non EYZ'!BM88</f>
        <v>92.356908198738694</v>
      </c>
      <c r="BN88">
        <f>'TEA Revised Non EYZ'!BN88</f>
        <v>19.687838161047701</v>
      </c>
      <c r="BO88">
        <f>'TEA Revised Non EYZ'!BO88</f>
        <v>284.79248636885796</v>
      </c>
      <c r="BP88">
        <f>'TEA Revised Non EYZ'!BP88</f>
        <v>472.50811586514482</v>
      </c>
      <c r="BQ88">
        <f>'TEA Revised Non EYZ'!BQ88</f>
        <v>28.479248636885799</v>
      </c>
      <c r="BR88">
        <f>'TEA Revised Non EYZ'!BR88</f>
        <v>47.250811586514487</v>
      </c>
      <c r="BS88">
        <f>'eLLE Bals'!CF88</f>
        <v>6.5721343008197994</v>
      </c>
      <c r="BT88">
        <f>'eLLE Bals'!CG88</f>
        <v>11.81270289662862</v>
      </c>
      <c r="BU88">
        <f>BM88</f>
        <v>92.356908198738694</v>
      </c>
      <c r="BV88">
        <f>BU88*(AM88*2+AN88*2+AO88*3)</f>
        <v>0.31407189001767971</v>
      </c>
      <c r="BW88">
        <f>BN88*BA88*(AP88*2+AQ88*2+AR88*3)</f>
        <v>0.30041270649567403</v>
      </c>
      <c r="BX88">
        <f>BV88/(2*V88*BL88+BV88)</f>
        <v>0.12538884583566912</v>
      </c>
      <c r="BY88">
        <f>BU88*BX88</f>
        <v>11.58052612399069</v>
      </c>
      <c r="BZ88">
        <f>BW88/(2*BN88*BA88+BW88)</f>
        <v>7.0885818830262903E-2</v>
      </c>
      <c r="CA88">
        <f>2*BN88*BA88/0.04</f>
        <v>98.439190805238511</v>
      </c>
      <c r="CB88">
        <f>(BS88+BL88)*2</f>
        <v>35.051382937705597</v>
      </c>
      <c r="CC88">
        <f>(BU88+BL88)*2</f>
        <v>206.62093073354339</v>
      </c>
      <c r="CD88">
        <f>(BT88+BN88)*2</f>
        <v>63.001082115352645</v>
      </c>
      <c r="CE88">
        <f>(CA88+BN88)*2</f>
        <v>236.25405793257244</v>
      </c>
      <c r="CF88">
        <f>'TEA Revised Non EYZ'!CB88</f>
        <v>3759.2608200689256</v>
      </c>
      <c r="CG88">
        <f>'TEA Revised Non EYZ'!CC88</f>
        <v>6237.1071294199119</v>
      </c>
      <c r="CH88">
        <f>'TEA Revised Non EYZ'!CD88</f>
        <v>4541.8834647976191</v>
      </c>
      <c r="CI88">
        <f>'TEA Revised Non EYZ'!CE88</f>
        <v>48107.36163270205</v>
      </c>
      <c r="CJ88">
        <f>BL88*V88</f>
        <v>1.0953557168032999</v>
      </c>
      <c r="CK88">
        <f>CJ88/2*1.2</f>
        <v>0.65721343008197997</v>
      </c>
      <c r="CL88">
        <f>'eLLE Bals'!CB88*'Oxidant Feed Composition'!$N$20</f>
        <v>3.6511857226776682E-2</v>
      </c>
      <c r="CM88">
        <f>'eLLE Bals'!CB88*'Oxidant Feed Composition'!$N$21</f>
        <v>1.8255928613388335</v>
      </c>
      <c r="CN88">
        <f>'eLLE Bals'!CB88*'Oxidant Feed Composition'!$N$22</f>
        <v>0.54767785840164995</v>
      </c>
      <c r="CO88">
        <f>CN88/CK88</f>
        <v>0.83333333333333326</v>
      </c>
      <c r="CP88">
        <f>CO88</f>
        <v>0.83333333333333326</v>
      </c>
      <c r="CQ88">
        <f>CL88/CO88</f>
        <v>4.381422867213202E-2</v>
      </c>
      <c r="CR88">
        <f>CM88/CO88</f>
        <v>2.1907114336066003</v>
      </c>
      <c r="CS88">
        <f>BN88*BA88</f>
        <v>1.9687838161047702</v>
      </c>
      <c r="CT88">
        <f>CS88/2*1.2</f>
        <v>1.181270289662862</v>
      </c>
      <c r="CU88">
        <f>'eLLE Bals'!CC88*'Oxidant Feed Composition'!$N$20</f>
        <v>6.5626127203492368E-2</v>
      </c>
      <c r="CV88">
        <f>'eLLE Bals'!CC88*'Oxidant Feed Composition'!$N$21</f>
        <v>3.2813063601746171</v>
      </c>
      <c r="CW88">
        <f>'eLLE Bals'!CC88*'Oxidant Feed Composition'!$N$22</f>
        <v>0.98439190805238508</v>
      </c>
      <c r="CX88">
        <f>CU88/CP88</f>
        <v>7.875135264419085E-2</v>
      </c>
      <c r="CY88">
        <f>CV88/CP88</f>
        <v>3.9375676322095408</v>
      </c>
      <c r="CZ88">
        <f>CJ88</f>
        <v>1.0953557168032999</v>
      </c>
      <c r="DA88">
        <f>'eLLE Bals'!BQ88</f>
        <v>2.1907114336065998</v>
      </c>
      <c r="DB88">
        <f>'eLLE Bals'!BU88</f>
        <v>5.4496039502668872</v>
      </c>
      <c r="DC88">
        <f>CS88</f>
        <v>1.9687838161047702</v>
      </c>
      <c r="DD88">
        <f>'eLLE Bals'!BX88</f>
        <v>3.9375676322095403</v>
      </c>
      <c r="DE88">
        <f>'eLLE Bals'!CA88</f>
        <v>21.867663842657375</v>
      </c>
      <c r="DF88">
        <f>2*2*(CJ88*'Reagent cost'!$C$36*122.44/1000*1.5+CK88*'Oxidant Feed Composition'!$N$26+CQ88*'Reagent cost'!$C$34+CR88*'Reagent cost'!$C$35)</f>
        <v>111.46464346805341</v>
      </c>
      <c r="DG88">
        <f>2*2*(CS88*'Reagent cost'!$C$36*122.44/1000*1.5+CT88*'Oxidant Feed Composition'!$N$26+CX88*'Reagent cost'!$C$34+CY88*'Reagent cost'!$C$35)</f>
        <v>200.3456801852798</v>
      </c>
      <c r="DH88">
        <f>(AF88+3)*2*(CZ88*'Reagent cost'!$C$38+DA88*'Reagent cost'!$C$39+DB88*'Reagent cost'!$C$36*122.44/1000*1.5)</f>
        <v>1964.6760565151274</v>
      </c>
      <c r="DI88">
        <f>3*2*(DC88*'Reagent cost'!$C$38+DD88*'Reagent cost'!$C$39+DE88*'Reagent cost'!$C$36*122.44/1000*1.5)</f>
        <v>1754.4076928838099</v>
      </c>
      <c r="DJ88">
        <f>7963.6*(CB88/1000)^0.6*1.7*('CAPEX+OPEX'!$G$116/'CAPEX+OPEX'!$G$115)</f>
        <v>2138.2772847076108</v>
      </c>
      <c r="DK88">
        <f>7963.6*(CC88/1000)^0.6*1.7*('CAPEX+OPEX'!$G$116/'CAPEX+OPEX'!$G$115)</f>
        <v>6199.3408604999822</v>
      </c>
      <c r="DL88">
        <f>7963.6*(CD88/1000)^0.6*1.7*('CAPEX+OPEX'!$G$116/'CAPEX+OPEX'!$G$115)</f>
        <v>3039.8330556242968</v>
      </c>
      <c r="DM88">
        <f>7963.6*(CE88/1000)^0.6*1.7*('CAPEX+OPEX'!$G$116/'CAPEX+OPEX'!$G$115)</f>
        <v>6718.4407877904569</v>
      </c>
      <c r="DN88">
        <f>'TEA Revised Non EYZ'!CM88</f>
        <v>39625.826528698344</v>
      </c>
      <c r="DO88">
        <f>'TEA Revised Non EYZ'!CN88</f>
        <v>4586243.4239371875</v>
      </c>
      <c r="DP88">
        <f>'TEA Revised Non EYZ'!CO88</f>
        <v>11794834.586807497</v>
      </c>
      <c r="DQ88">
        <f>'TEA Revised Non EYZ'!CP88</f>
        <v>2275209.1661185985</v>
      </c>
      <c r="DR88">
        <f>'TEA Revised Non EYZ'!CQ88</f>
        <v>14083914.336508472</v>
      </c>
      <c r="DS88">
        <f>'TEA Revised Non EYZ'!CR88</f>
        <v>1662824.8986326549</v>
      </c>
      <c r="DT88">
        <f>'TEA Revised Non EYZ'!CS88</f>
        <v>892840.31653984461</v>
      </c>
      <c r="DU88">
        <f>'TEA Revised Non EYZ'!CT88</f>
        <v>2296193.8284949926</v>
      </c>
      <c r="DV88">
        <f>'TEA Revised Non EYZ'!CU88</f>
        <v>442932.9811560188</v>
      </c>
      <c r="DW88">
        <f>'TEA Revised Non EYZ'!CV88</f>
        <v>2741827.1059701391</v>
      </c>
      <c r="DX88">
        <f>'TEA Revised Non EYZ'!CW88</f>
        <v>323715.28756992728</v>
      </c>
      <c r="DY88">
        <f>'TEA Revised Non EYZ'!CX88</f>
        <v>6697509.5197309218</v>
      </c>
      <c r="DZ88">
        <f>'TEA Revised Non EYZ'!CY88</f>
        <v>800273.82788002607</v>
      </c>
      <c r="EA88">
        <f>'TEA Revised Non EYZ'!CZ88</f>
        <v>2058132.6701348326</v>
      </c>
      <c r="EB88">
        <f>'TEA Revised Non EYZ'!DA88</f>
        <v>397011.27486912702</v>
      </c>
      <c r="EC88">
        <f>'TEA Revised Non EYZ'!DB88</f>
        <v>2457564.2842647284</v>
      </c>
      <c r="ED88">
        <f>'TEA Revised Non EYZ'!DC88</f>
        <v>290153.64508946665</v>
      </c>
      <c r="EE88">
        <f>'TEA Revised Non EYZ'!DD88</f>
        <v>6003135.7022381816</v>
      </c>
      <c r="EF88">
        <v>0.7</v>
      </c>
      <c r="EG88">
        <v>100</v>
      </c>
      <c r="EH88">
        <f>96485*BL88*V88/EF88/EG88/60</f>
        <v>25.163189603753906</v>
      </c>
      <c r="EI88">
        <f>96485*BN88*BA88/EF88/EG88/60</f>
        <v>45.228120594492573</v>
      </c>
      <c r="EJ88">
        <f>EH88*('CAPEX+OPEX'!$O$25+'CAPEX+OPEX'!$O$26)</f>
        <v>802001.17905084451</v>
      </c>
      <c r="EK88">
        <f>EI88*('CAPEX+OPEX'!$O$25+'CAPEX+OPEX'!$O$26)</f>
        <v>1441510.6595876673</v>
      </c>
      <c r="EL88">
        <f>EJ88*1.12/0.6*'CAPEX+OPEX'!$G$116/'CAPEX+OPEX'!$G$115</f>
        <v>1765730.2106115664</v>
      </c>
      <c r="EM88">
        <f>EK88*1.12/0.6*'CAPEX+OPEX'!$G$116/'CAPEX+OPEX'!$G$115</f>
        <v>3173709.6989868437</v>
      </c>
      <c r="EN88">
        <f>EL88+EM88+DY88+EE88+1.15*(SUM(DF88:DM88)+SUM(CF88:CI88))</f>
        <v>17737573.390542477</v>
      </c>
      <c r="EO88">
        <f>EN88/15</f>
        <v>1182504.8927028319</v>
      </c>
      <c r="EP88">
        <f>('eLLE Bals'!CB88+'eLLE Bals'!CC88)*'Oxidant Feed Composition'!$N$28*60*7200</f>
        <v>17034087.294636801</v>
      </c>
      <c r="EQ88" s="53">
        <f>('eLLE Bals'!BR88+'eLLE Bals'!BY88)*'Reagent cost'!$C$38*60*7200*1.5</f>
        <v>757911.05644174002</v>
      </c>
      <c r="ER88">
        <f>'TEA Revised Non EYZ'!DI88</f>
        <v>504921.59999999998</v>
      </c>
      <c r="ES88">
        <f>'TEA Revised Non EYZ'!DJ88</f>
        <v>99.963679494888382</v>
      </c>
      <c r="ET88">
        <f>'TEA Revised Non EYZ'!DK88</f>
        <v>1052.9849019499934</v>
      </c>
      <c r="EU88">
        <f>1.2*SUM(EP88:ET88)</f>
        <v>21957687.479591984</v>
      </c>
      <c r="EV88">
        <f>'TEA Revised Non EYZ'!DM88</f>
        <v>0.70639694042110623</v>
      </c>
      <c r="EW88">
        <f>(BS88*CO88+BT88*CP88)/1000*('Oxidant Feed Composition'!$B$11*'Oxidant Feed Composition'!$O$20+'Oxidant Feed Composition'!$D$11*'Oxidant Feed Composition'!$O$21+'Oxidant Feed Composition'!$F$11*'Oxidant Feed Composition'!$O$27-'Oxidant Feed Composition'!$J$15*18.015)</f>
        <v>1.7892206292324184</v>
      </c>
      <c r="EX88">
        <f>(CZ88*BX88+DC88*BZ88)*368.34/1000</f>
        <v>0.10199490850337199</v>
      </c>
      <c r="EY88">
        <f>'TEA Revised Non EYZ'!DP88</f>
        <v>4.999938342565946E-2</v>
      </c>
      <c r="EZ88">
        <f>SUM(EV88:EX88)-EY88</f>
        <v>2.5476130947312372</v>
      </c>
      <c r="FA88">
        <f>EZ88*0.33*60*7200</f>
        <v>363187.72278488521</v>
      </c>
      <c r="FB88">
        <f>'TEA Revised Non EYZ'!DS88</f>
        <v>1.2</v>
      </c>
      <c r="FC88">
        <v>0.5</v>
      </c>
      <c r="FD88">
        <f>'TEA Revised Non EYZ'!DT88</f>
        <v>1405.8770925358626</v>
      </c>
      <c r="FE88">
        <f>'TEA Revised Non EYZ'!DU88</f>
        <v>705.80623683932424</v>
      </c>
      <c r="FF88">
        <f>'TEA Revised Non EYZ'!DV88</f>
        <v>0.7</v>
      </c>
      <c r="FG88">
        <f>'TEA Revised Non EYZ'!DW88</f>
        <v>49536.497143418172</v>
      </c>
      <c r="FH88">
        <f>'TEA Revised Non EYZ'!DX88</f>
        <v>49831.318766753509</v>
      </c>
      <c r="FI88">
        <f>'TEA Revised Non EYZ'!DY88</f>
        <v>21097.937381085154</v>
      </c>
      <c r="FJ88">
        <f>'TEA Revised Non EYZ'!DZ88</f>
        <v>11176.166036369152</v>
      </c>
      <c r="FK88">
        <f>'TEA Revised Non EYZ'!EA88</f>
        <v>11252.233269912085</v>
      </c>
      <c r="FL88">
        <f>'TEA Revised Non EYZ'!EB88</f>
        <v>850.27446556568964</v>
      </c>
      <c r="FM88">
        <f>'TEA Revised Non EYZ'!EC88</f>
        <v>43713.196477429126</v>
      </c>
      <c r="FN88">
        <f>'TEA Revised Non EYZ'!ED88</f>
        <v>42673.239588396784</v>
      </c>
      <c r="FO88">
        <f>'TEA Revised Non EYZ'!EE88</f>
        <v>18067.299019280894</v>
      </c>
      <c r="FP88">
        <f>'TEA Revised Non EYZ'!EF88</f>
        <v>9576.080599830957</v>
      </c>
      <c r="FQ88">
        <f>'TEA Revised Non EYZ'!EG88</f>
        <v>9635.8928102831469</v>
      </c>
      <c r="FR88">
        <f>'TEA Revised Non EYZ'!EH88</f>
        <v>426.87161204042332</v>
      </c>
      <c r="FS88">
        <f>'TEA Revised Non EYZ'!EI88</f>
        <v>267837.00717036513</v>
      </c>
      <c r="FT88">
        <f>EG88*EH88</f>
        <v>2516.3189603753908</v>
      </c>
      <c r="FU88">
        <f>EG88*EI88</f>
        <v>4522.8120594492575</v>
      </c>
      <c r="FV88">
        <f>FC88*(FT88+FU88)/(3.6*10^6)*3600*7200*0.07</f>
        <v>1773.8610169958115</v>
      </c>
      <c r="FW88">
        <f>('CAPEX+OPEX'!$C$39/7/100+0.03)*EL88</f>
        <v>90808.982260023418</v>
      </c>
      <c r="FX88">
        <f>('CAPEX+OPEX'!$C$39/7/100+0.03)*EM88</f>
        <v>163219.35594789483</v>
      </c>
      <c r="FY88">
        <f>SUM(FV88:FX88)</f>
        <v>255802.19922491407</v>
      </c>
      <c r="FZ88">
        <f>FY88+FA88+FS88+EU88</f>
        <v>22844514.408772148</v>
      </c>
      <c r="GA88">
        <f>FZ88+EO88</f>
        <v>24027019.301474981</v>
      </c>
      <c r="GB88">
        <f>GA88/(BK88*60*7200)</f>
        <v>0.55618100234895784</v>
      </c>
      <c r="GC88">
        <f>'TEA Revised Non EYZ'!EM88/'TEA Revised Non EYZ'!EK88*GA88</f>
        <v>1860.6912274023466</v>
      </c>
      <c r="GD88">
        <f>'TEA Revised Non EYZ'!EN88/'TEA Revised Non EYZ'!EK88*GA88</f>
        <v>3414.8017403906251</v>
      </c>
    </row>
    <row r="89" spans="1:186">
      <c r="A89">
        <f>'TEA Revised Non EYZ'!A89</f>
        <v>11</v>
      </c>
      <c r="B89">
        <f>'TEA Revised Non EYZ'!B89</f>
        <v>1.54143585092054E-3</v>
      </c>
      <c r="C89">
        <f>'TEA Revised Non EYZ'!C89</f>
        <v>1.54143585092054E-3</v>
      </c>
      <c r="D89">
        <f>'TEA Revised Non EYZ'!D89</f>
        <v>3.4254130020456501E-4</v>
      </c>
      <c r="E89">
        <f>'TEA Revised Non EYZ'!E89</f>
        <v>0</v>
      </c>
      <c r="F89">
        <f>'TEA Revised Non EYZ'!F89</f>
        <v>0</v>
      </c>
      <c r="G89">
        <f>'TEA Revised Non EYZ'!G89</f>
        <v>0</v>
      </c>
      <c r="H89">
        <f>'TEA Revised Non EYZ'!H89</f>
        <v>1.7771367359861701E-5</v>
      </c>
      <c r="I89">
        <f>'TEA Revised Non EYZ'!I89</f>
        <v>1.8081057367328801E-10</v>
      </c>
      <c r="J89">
        <f>'TEA Revised Non EYZ'!J89</f>
        <v>3.3765941525589702E-4</v>
      </c>
      <c r="K89">
        <f>'TEA Revised Non EYZ'!K89</f>
        <v>0.139102253285185</v>
      </c>
      <c r="L89">
        <f>'TEA Revised Non EYZ'!L89</f>
        <v>0.14072466572308701</v>
      </c>
      <c r="M89">
        <f>'TEA Revised Non EYZ'!M89</f>
        <v>4.4568945720355099E-4</v>
      </c>
      <c r="N89">
        <f>'TEA Revised Non EYZ'!N89</f>
        <v>-8.03393809811758E-16</v>
      </c>
      <c r="O89">
        <f>'TEA Revised Non EYZ'!O89</f>
        <v>-8.4019770307808202E-13</v>
      </c>
      <c r="P89">
        <f>'TEA Revised Non EYZ'!P89</f>
        <v>-2.26157796916898E-19</v>
      </c>
      <c r="Q89">
        <f>'TEA Revised Non EYZ'!Q89</f>
        <v>0.10953557168033</v>
      </c>
      <c r="R89">
        <f>'TEA Revised Non EYZ'!R89</f>
        <v>98.5748039883795</v>
      </c>
      <c r="S89">
        <f>'TEA Revised Non EYZ'!S89</f>
        <v>500</v>
      </c>
      <c r="T89">
        <f>'TEA Revised Non EYZ'!T89</f>
        <v>95</v>
      </c>
      <c r="U89">
        <f>'TEA Revised Non EYZ'!U89</f>
        <v>1</v>
      </c>
      <c r="V89">
        <f>'TEA Revised Non EYZ'!V89</f>
        <v>0.1</v>
      </c>
      <c r="W89">
        <f>'TEA Revised Non EYZ'!W89</f>
        <v>91.294543376138293</v>
      </c>
      <c r="X89" t="str">
        <f>'TEA Revised Non EYZ'!X89</f>
        <v>ddFc</v>
      </c>
      <c r="Y89">
        <f>'TEA Revised Non EYZ'!Y89</f>
        <v>1</v>
      </c>
      <c r="Z89">
        <f>'TEA Revised Non EYZ'!Z89</f>
        <v>0.28318429382522198</v>
      </c>
      <c r="AA89">
        <f>'TEA Revised Non EYZ'!AA89</f>
        <v>0.56945642916197003</v>
      </c>
      <c r="AB89">
        <f>'TEA Revised Non EYZ'!AB89</f>
        <v>3.7698628972227502E-3</v>
      </c>
      <c r="AC89">
        <f>'TEA Revised Non EYZ'!AC89</f>
        <v>1822.2107908876901</v>
      </c>
      <c r="AD89">
        <f>'TEA Revised Non EYZ'!AD89</f>
        <v>2662.6059073104898</v>
      </c>
      <c r="AE89">
        <f>'TEA Revised Non EYZ'!AE89</f>
        <v>2401.5030938442701</v>
      </c>
      <c r="AF89">
        <f>'TEA Revised Non EYZ'!AF89</f>
        <v>11</v>
      </c>
      <c r="AG89">
        <f>'TEA Revised Non EYZ'!AG89</f>
        <v>1.6497569194096201E-3</v>
      </c>
      <c r="AH89">
        <f>'TEA Revised Non EYZ'!AH89</f>
        <v>1.6689987798565299E-3</v>
      </c>
      <c r="AI89">
        <f>'TEA Revised Non EYZ'!AI89</f>
        <v>5.28589040482341E-6</v>
      </c>
      <c r="AJ89">
        <f>'TEA Revised Non EYZ'!AJ89</f>
        <v>0</v>
      </c>
      <c r="AK89">
        <f>'TEA Revised Non EYZ'!AK89</f>
        <v>0</v>
      </c>
      <c r="AL89">
        <f>'TEA Revised Non EYZ'!AL89</f>
        <v>0</v>
      </c>
      <c r="AM89">
        <f>'TEA Revised Non EYZ'!AM89</f>
        <v>1.6128091969893901E-3</v>
      </c>
      <c r="AN89">
        <f>'TEA Revised Non EYZ'!AN89</f>
        <v>7.9633567021484305E-5</v>
      </c>
      <c r="AO89">
        <f>'TEA Revised Non EYZ'!AO89</f>
        <v>5.2511275568870697E-6</v>
      </c>
      <c r="AP89">
        <f>'TEA Revised Non EYZ'!AP89</f>
        <v>1.7332820417295799E-3</v>
      </c>
      <c r="AQ89">
        <f>'TEA Revised Non EYZ'!AQ89</f>
        <v>7.4559891685805804E-2</v>
      </c>
      <c r="AR89">
        <f>'TEA Revised Non EYZ'!AR89</f>
        <v>1.63078577254671E-6</v>
      </c>
      <c r="AS89">
        <f>'TEA Revised Non EYZ'!AS89</f>
        <v>1.9922621495235798E-15</v>
      </c>
      <c r="AT89">
        <f>'TEA Revised Non EYZ'!AT89</f>
        <v>-1.9831944246540001E-13</v>
      </c>
      <c r="AU89">
        <f>'TEA Revised Non EYZ'!AU89</f>
        <v>1.2917252445628E-20</v>
      </c>
      <c r="AV89">
        <f>'TEA Revised Non EYZ'!AV89</f>
        <v>0.19687375310907501</v>
      </c>
      <c r="AW89">
        <f>'TEA Revised Non EYZ'!AW89</f>
        <v>99.3423464114084</v>
      </c>
      <c r="AX89">
        <f>'TEA Revised Non EYZ'!AX89</f>
        <v>500</v>
      </c>
      <c r="AY89">
        <f>'TEA Revised Non EYZ'!AY89</f>
        <v>95</v>
      </c>
      <c r="AZ89">
        <f>'TEA Revised Non EYZ'!AZ89</f>
        <v>0.92356908198738696</v>
      </c>
      <c r="BA89">
        <f>'TEA Revised Non EYZ'!BA89</f>
        <v>0.1</v>
      </c>
      <c r="BB89">
        <f>'TEA Revised Non EYZ'!BB89</f>
        <v>46.911742545777201</v>
      </c>
      <c r="BC89" t="str">
        <f>'TEA Revised Non EYZ'!BC89</f>
        <v>coeFc</v>
      </c>
      <c r="BD89">
        <f>'TEA Revised Non EYZ'!BD89</f>
        <v>1</v>
      </c>
      <c r="BE89">
        <f>'TEA Revised Non EYZ'!BE89</f>
        <v>1.8775014999999999E-2</v>
      </c>
      <c r="BF89">
        <f>'TEA Revised Non EYZ'!BF89</f>
        <v>0.10492961100000001</v>
      </c>
      <c r="BG89">
        <f>'TEA Revised Non EYZ'!BG89</f>
        <v>1.814625E-3</v>
      </c>
      <c r="BH89">
        <f>'TEA Revised Non EYZ'!BH89</f>
        <v>285.1951444</v>
      </c>
      <c r="BI89">
        <f>'TEA Revised Non EYZ'!BI89</f>
        <v>2169.8944889999998</v>
      </c>
      <c r="BJ89">
        <f>'TEA Revised Non EYZ'!BJ89</f>
        <v>866.49409060000005</v>
      </c>
      <c r="BK89">
        <f>'TEA Revised Non EYZ'!BK89</f>
        <v>100</v>
      </c>
      <c r="BL89">
        <f>'TEA Revised Non EYZ'!BL89</f>
        <v>10.953557168032999</v>
      </c>
      <c r="BM89">
        <f>'TEA Revised Non EYZ'!BM89</f>
        <v>92.356908198738694</v>
      </c>
      <c r="BN89">
        <f>'TEA Revised Non EYZ'!BN89</f>
        <v>19.687375310907502</v>
      </c>
      <c r="BO89">
        <f>'TEA Revised Non EYZ'!BO89</f>
        <v>284.79248636885796</v>
      </c>
      <c r="BP89">
        <f>'TEA Revised Non EYZ'!BP89</f>
        <v>511.87175808359507</v>
      </c>
      <c r="BQ89">
        <f>'TEA Revised Non EYZ'!BQ89</f>
        <v>28.479248636885799</v>
      </c>
      <c r="BR89">
        <f>'TEA Revised Non EYZ'!BR89</f>
        <v>51.187175808359513</v>
      </c>
      <c r="BS89">
        <f>'eLLE Bals'!CF89</f>
        <v>6.5721343008197994</v>
      </c>
      <c r="BT89">
        <f>'eLLE Bals'!CG89</f>
        <v>11.8124251865445</v>
      </c>
      <c r="BU89">
        <f>BM89</f>
        <v>92.356908198738694</v>
      </c>
      <c r="BV89">
        <f>BU89*(AM89*2+AN89*2+AO89*3)</f>
        <v>0.31407249569187762</v>
      </c>
      <c r="BW89">
        <f>BN89*BA89*(AP89*2+AQ89*2+AR89*3)</f>
        <v>0.30041210073431812</v>
      </c>
      <c r="BX89">
        <f>BV89/(2*V89*BL89+BV89)</f>
        <v>0.12538905732273717</v>
      </c>
      <c r="BY89">
        <f>BU89*BX89</f>
        <v>11.580545656282421</v>
      </c>
      <c r="BZ89">
        <f>BW89/(2*BN89*BA89+BW89)</f>
        <v>7.088723441320316E-2</v>
      </c>
      <c r="CA89">
        <f>2*BN89*BA89/0.04</f>
        <v>98.436876554537506</v>
      </c>
      <c r="CB89">
        <f>(BS89+BL89)*2</f>
        <v>35.051382937705597</v>
      </c>
      <c r="CC89">
        <f>(BU89+BL89)*2</f>
        <v>206.62093073354339</v>
      </c>
      <c r="CD89">
        <f>(BT89+BN89)*2</f>
        <v>62.999600994904</v>
      </c>
      <c r="CE89">
        <f>(CA89+BN89)*2</f>
        <v>236.24850373089001</v>
      </c>
      <c r="CF89">
        <f>'TEA Revised Non EYZ'!CB89</f>
        <v>3759.2608200689256</v>
      </c>
      <c r="CG89">
        <f>'TEA Revised Non EYZ'!CC89</f>
        <v>6756.7072067034551</v>
      </c>
      <c r="CH89">
        <f>'TEA Revised Non EYZ'!CD89</f>
        <v>4541.8834647976191</v>
      </c>
      <c r="CI89">
        <f>'TEA Revised Non EYZ'!CE89</f>
        <v>52115.083209962198</v>
      </c>
      <c r="CJ89">
        <f>BL89*V89</f>
        <v>1.0953557168032999</v>
      </c>
      <c r="CK89">
        <f>CJ89/2*1.2</f>
        <v>0.65721343008197997</v>
      </c>
      <c r="CL89">
        <f>'eLLE Bals'!CB89*'Oxidant Feed Composition'!$N$20</f>
        <v>3.6511857226776682E-2</v>
      </c>
      <c r="CM89">
        <f>'eLLE Bals'!CB89*'Oxidant Feed Composition'!$N$21</f>
        <v>1.8255928613388335</v>
      </c>
      <c r="CN89">
        <f>'eLLE Bals'!CB89*'Oxidant Feed Composition'!$N$22</f>
        <v>0.54767785840164995</v>
      </c>
      <c r="CO89">
        <f>CN89/CK89</f>
        <v>0.83333333333333326</v>
      </c>
      <c r="CP89">
        <f>CO89</f>
        <v>0.83333333333333326</v>
      </c>
      <c r="CQ89">
        <f>CL89/CO89</f>
        <v>4.381422867213202E-2</v>
      </c>
      <c r="CR89">
        <f>CM89/CO89</f>
        <v>2.1907114336066003</v>
      </c>
      <c r="CS89">
        <f>BN89*BA89</f>
        <v>1.9687375310907502</v>
      </c>
      <c r="CT89">
        <f>CS89/2*1.2</f>
        <v>1.1812425186544502</v>
      </c>
      <c r="CU89">
        <f>'eLLE Bals'!CC89*'Oxidant Feed Composition'!$N$20</f>
        <v>6.5624584369691707E-2</v>
      </c>
      <c r="CV89">
        <f>'eLLE Bals'!CC89*'Oxidant Feed Composition'!$N$21</f>
        <v>3.2812292184845839</v>
      </c>
      <c r="CW89">
        <f>'eLLE Bals'!CC89*'Oxidant Feed Composition'!$N$22</f>
        <v>0.98436876554537511</v>
      </c>
      <c r="CX89">
        <f>CU89/CP89</f>
        <v>7.874950124363006E-2</v>
      </c>
      <c r="CY89">
        <f>CV89/CP89</f>
        <v>3.9374750621815009</v>
      </c>
      <c r="CZ89">
        <f>CJ89</f>
        <v>1.0953557168032999</v>
      </c>
      <c r="DA89">
        <f>'eLLE Bals'!BQ89</f>
        <v>2.1907114336065998</v>
      </c>
      <c r="DB89">
        <f>'eLLE Bals'!BU89</f>
        <v>5.4495892156661379</v>
      </c>
      <c r="DC89">
        <f>CS89</f>
        <v>1.9687375310907502</v>
      </c>
      <c r="DD89">
        <f>'eLLE Bals'!BX89</f>
        <v>3.9374750621815005</v>
      </c>
      <c r="DE89">
        <f>'eLLE Bals'!CA89</f>
        <v>21.866595125744379</v>
      </c>
      <c r="DF89">
        <f>2*2*(CJ89*'Reagent cost'!$C$36*122.44/1000*1.5+CK89*'Oxidant Feed Composition'!$N$26+CQ89*'Reagent cost'!$C$34+CR89*'Reagent cost'!$C$35)</f>
        <v>111.46464346805341</v>
      </c>
      <c r="DG89">
        <f>2*2*(CS89*'Reagent cost'!$C$36*122.44/1000*1.5+CT89*'Oxidant Feed Composition'!$N$26+CX89*'Reagent cost'!$C$34+CY89*'Reagent cost'!$C$35)</f>
        <v>200.34097016961411</v>
      </c>
      <c r="DH89">
        <f>(AF89+3)*2*(CZ89*'Reagent cost'!$C$38+DA89*'Reagent cost'!$C$39+DB89*'Reagent cost'!$C$36*122.44/1000*1.5)</f>
        <v>2115.7996328932099</v>
      </c>
      <c r="DI89">
        <f>3*2*(DC89*'Reagent cost'!$C$38+DD89*'Reagent cost'!$C$39+DE89*'Reagent cost'!$C$36*122.44/1000*1.5)</f>
        <v>1754.3232869527756</v>
      </c>
      <c r="DJ89">
        <f>7963.6*(CB89/1000)^0.6*1.7*('CAPEX+OPEX'!$G$116/'CAPEX+OPEX'!$G$115)</f>
        <v>2138.2772847076108</v>
      </c>
      <c r="DK89">
        <f>7963.6*(CC89/1000)^0.6*1.7*('CAPEX+OPEX'!$G$116/'CAPEX+OPEX'!$G$115)</f>
        <v>6199.3408604999822</v>
      </c>
      <c r="DL89">
        <f>7963.6*(CD89/1000)^0.6*1.7*('CAPEX+OPEX'!$G$116/'CAPEX+OPEX'!$G$115)</f>
        <v>3039.7901765506263</v>
      </c>
      <c r="DM89">
        <f>7963.6*(CE89/1000)^0.6*1.7*('CAPEX+OPEX'!$G$116/'CAPEX+OPEX'!$G$115)</f>
        <v>6718.3460192580314</v>
      </c>
      <c r="DN89">
        <f>'TEA Revised Non EYZ'!CM89</f>
        <v>39625.826528698344</v>
      </c>
      <c r="DO89">
        <f>'TEA Revised Non EYZ'!CN89</f>
        <v>4586243.4239371875</v>
      </c>
      <c r="DP89">
        <f>'TEA Revised Non EYZ'!CO89</f>
        <v>11794834.586807497</v>
      </c>
      <c r="DQ89">
        <f>'TEA Revised Non EYZ'!CP89</f>
        <v>2275209.1661185985</v>
      </c>
      <c r="DR89">
        <f>'TEA Revised Non EYZ'!CQ89</f>
        <v>14083914.336508472</v>
      </c>
      <c r="DS89">
        <f>'TEA Revised Non EYZ'!CR89</f>
        <v>1662824.8986326549</v>
      </c>
      <c r="DT89">
        <f>'TEA Revised Non EYZ'!CS89</f>
        <v>892840.31653984461</v>
      </c>
      <c r="DU89">
        <f>'TEA Revised Non EYZ'!CT89</f>
        <v>2296193.8284949926</v>
      </c>
      <c r="DV89">
        <f>'TEA Revised Non EYZ'!CU89</f>
        <v>442932.9811560188</v>
      </c>
      <c r="DW89">
        <f>'TEA Revised Non EYZ'!CV89</f>
        <v>2741827.1059701391</v>
      </c>
      <c r="DX89">
        <f>'TEA Revised Non EYZ'!CW89</f>
        <v>323715.28756992728</v>
      </c>
      <c r="DY89">
        <f>'TEA Revised Non EYZ'!CX89</f>
        <v>6697509.5197309218</v>
      </c>
      <c r="DZ89">
        <f>'TEA Revised Non EYZ'!CY89</f>
        <v>843163.40790273575</v>
      </c>
      <c r="EA89">
        <f>'TEA Revised Non EYZ'!CZ89</f>
        <v>2168435.4724730523</v>
      </c>
      <c r="EB89">
        <f>'TEA Revised Non EYZ'!DA89</f>
        <v>418288.55053428863</v>
      </c>
      <c r="EC89">
        <f>'TEA Revised Non EYZ'!DB89</f>
        <v>2589274.0770367184</v>
      </c>
      <c r="ED89">
        <f>'TEA Revised Non EYZ'!DC89</f>
        <v>305704.0324024093</v>
      </c>
      <c r="EE89">
        <f>'TEA Revised Non EYZ'!DD89</f>
        <v>6324865.5403492041</v>
      </c>
      <c r="EF89">
        <v>0.7</v>
      </c>
      <c r="EG89">
        <v>100</v>
      </c>
      <c r="EH89">
        <f>96485*BL89*V89/EF89/EG89/60</f>
        <v>25.163189603753906</v>
      </c>
      <c r="EI89">
        <f>96485*BN89*BA89/EF89/EG89/60</f>
        <v>45.227057306497869</v>
      </c>
      <c r="EJ89">
        <f>EH89*('CAPEX+OPEX'!$O$25+'CAPEX+OPEX'!$O$26)</f>
        <v>802001.17905084451</v>
      </c>
      <c r="EK89">
        <f>EI89*('CAPEX+OPEX'!$O$25+'CAPEX+OPEX'!$O$26)</f>
        <v>1441476.7704727</v>
      </c>
      <c r="EL89">
        <f>EJ89*1.12/0.6*'CAPEX+OPEX'!$G$116/'CAPEX+OPEX'!$G$115</f>
        <v>1765730.2106115664</v>
      </c>
      <c r="EM89">
        <f>EK89*1.12/0.6*'CAPEX+OPEX'!$G$116/'CAPEX+OPEX'!$G$115</f>
        <v>3173635.0868345532</v>
      </c>
      <c r="EN89">
        <f>EL89+EM89+DY89+EE89+1.15*(SUM(DF89:DM89)+SUM(CF89:CI89))</f>
        <v>18064608.567738682</v>
      </c>
      <c r="EO89">
        <f>EN89/15</f>
        <v>1204307.2378492455</v>
      </c>
      <c r="EP89">
        <f>('eLLE Bals'!CB89+'eLLE Bals'!CC89)*'Oxidant Feed Composition'!$N$28*60*7200</f>
        <v>17033829.988152951</v>
      </c>
      <c r="EQ89" s="53">
        <f>('eLLE Bals'!BR89+'eLLE Bals'!BY89)*'Reagent cost'!$C$38*60*7200*1.5</f>
        <v>757910.33826759434</v>
      </c>
      <c r="ER89">
        <f>'TEA Revised Non EYZ'!DI89</f>
        <v>504921.59999999998</v>
      </c>
      <c r="ES89">
        <f>'TEA Revised Non EYZ'!DJ89</f>
        <v>105.15968026772381</v>
      </c>
      <c r="ET89">
        <f>'TEA Revised Non EYZ'!DK89</f>
        <v>1133.1393334951963</v>
      </c>
      <c r="EU89">
        <f>1.2*SUM(EP89:ET89)</f>
        <v>21957480.270521168</v>
      </c>
      <c r="EV89">
        <f>'TEA Revised Non EYZ'!DM89</f>
        <v>0.70639694042110623</v>
      </c>
      <c r="EW89">
        <f>(BS89*CO89+BT89*CP89)/1000*('Oxidant Feed Composition'!$B$11*'Oxidant Feed Composition'!$O$20+'Oxidant Feed Composition'!$D$11*'Oxidant Feed Composition'!$O$21+'Oxidant Feed Composition'!$F$11*'Oxidant Feed Composition'!$O$27-'Oxidant Feed Composition'!$J$15*18.015)</f>
        <v>1.7891936023620623</v>
      </c>
      <c r="EX89">
        <f>(CZ89*BX89+DC89*BZ89)*368.34/1000</f>
        <v>0.10199481185600721</v>
      </c>
      <c r="EY89">
        <f>'TEA Revised Non EYZ'!DP89</f>
        <v>4.999938342565946E-2</v>
      </c>
      <c r="EZ89">
        <f>SUM(EV89:EX89)-EY89</f>
        <v>2.5475859712135165</v>
      </c>
      <c r="FA89">
        <f>EZ89*0.33*60*7200</f>
        <v>363183.85605619894</v>
      </c>
      <c r="FB89">
        <f>'TEA Revised Non EYZ'!DS89</f>
        <v>1.2</v>
      </c>
      <c r="FC89">
        <v>0.5</v>
      </c>
      <c r="FD89">
        <f>'TEA Revised Non EYZ'!DT89</f>
        <v>1405.879805184511</v>
      </c>
      <c r="FE89">
        <f>'TEA Revised Non EYZ'!DU89</f>
        <v>705.8035239923704</v>
      </c>
      <c r="FF89">
        <f>'TEA Revised Non EYZ'!DV89</f>
        <v>0.7</v>
      </c>
      <c r="FG89">
        <f>'TEA Revised Non EYZ'!DW89</f>
        <v>49536.497143418172</v>
      </c>
      <c r="FH89">
        <f>'TEA Revised Non EYZ'!DX89</f>
        <v>49831.318766753509</v>
      </c>
      <c r="FI89">
        <f>'TEA Revised Non EYZ'!DY89</f>
        <v>21097.937381085154</v>
      </c>
      <c r="FJ89">
        <f>'TEA Revised Non EYZ'!DZ89</f>
        <v>11176.166036369152</v>
      </c>
      <c r="FK89">
        <f>'TEA Revised Non EYZ'!EA89</f>
        <v>11252.233269912085</v>
      </c>
      <c r="FL89">
        <f>'TEA Revised Non EYZ'!EB89</f>
        <v>850.27610617559242</v>
      </c>
      <c r="FM89">
        <f>'TEA Revised Non EYZ'!EC89</f>
        <v>46284.560976101428</v>
      </c>
      <c r="FN89">
        <f>'TEA Revised Non EYZ'!ED89</f>
        <v>46552.625005523769</v>
      </c>
      <c r="FO89">
        <f>'TEA Revised Non EYZ'!EE89</f>
        <v>19709.780748306432</v>
      </c>
      <c r="FP89">
        <f>'TEA Revised Non EYZ'!EF89</f>
        <v>10446.633381633772</v>
      </c>
      <c r="FQ89">
        <f>'TEA Revised Non EYZ'!EG89</f>
        <v>10511.883065763433</v>
      </c>
      <c r="FR89">
        <f>'TEA Revised Non EYZ'!EH89</f>
        <v>426.86997131058564</v>
      </c>
      <c r="FS89">
        <f>'TEA Revised Non EYZ'!EI89</f>
        <v>277676.78185235313</v>
      </c>
      <c r="FT89">
        <f>EG89*EH89</f>
        <v>2516.3189603753908</v>
      </c>
      <c r="FU89">
        <f>EG89*EI89</f>
        <v>4522.7057306497873</v>
      </c>
      <c r="FV89">
        <f>FC89*(FT89+FU89)/(3.6*10^6)*3600*7200*0.07</f>
        <v>1773.8342221383452</v>
      </c>
      <c r="FW89">
        <f>('CAPEX+OPEX'!$C$39/7/100+0.03)*EL89</f>
        <v>90808.982260023418</v>
      </c>
      <c r="FX89">
        <f>('CAPEX+OPEX'!$C$39/7/100+0.03)*EM89</f>
        <v>163215.5187514913</v>
      </c>
      <c r="FY89">
        <f>SUM(FV89:FX89)</f>
        <v>255798.33523365308</v>
      </c>
      <c r="FZ89">
        <f>FY89+FA89+FS89+EU89</f>
        <v>22854139.243663374</v>
      </c>
      <c r="GA89">
        <f>FZ89+EO89</f>
        <v>24058446.481512621</v>
      </c>
      <c r="GB89">
        <f>GA89/(BK89*60*7200)</f>
        <v>0.55690848336834775</v>
      </c>
      <c r="GC89">
        <f>'TEA Revised Non EYZ'!EM89/'TEA Revised Non EYZ'!EK89*GA89</f>
        <v>1863.121401929996</v>
      </c>
      <c r="GD89">
        <f>'TEA Revised Non EYZ'!EN89/'TEA Revised Non EYZ'!EK89*GA89</f>
        <v>3419.2803945529786</v>
      </c>
    </row>
    <row r="90" spans="1:186">
      <c r="A90">
        <f>'TEA Revised Non EYZ'!A90</f>
        <v>11</v>
      </c>
      <c r="B90">
        <f>'TEA Revised Non EYZ'!B90</f>
        <v>1.54143585092054E-3</v>
      </c>
      <c r="C90">
        <f>'TEA Revised Non EYZ'!C90</f>
        <v>1.54143585092054E-3</v>
      </c>
      <c r="D90">
        <f>'TEA Revised Non EYZ'!D90</f>
        <v>3.4254130020456501E-4</v>
      </c>
      <c r="E90">
        <f>'TEA Revised Non EYZ'!E90</f>
        <v>0</v>
      </c>
      <c r="F90">
        <f>'TEA Revised Non EYZ'!F90</f>
        <v>0</v>
      </c>
      <c r="G90">
        <f>'TEA Revised Non EYZ'!G90</f>
        <v>0</v>
      </c>
      <c r="H90">
        <f>'TEA Revised Non EYZ'!H90</f>
        <v>1.7771367359861701E-5</v>
      </c>
      <c r="I90">
        <f>'TEA Revised Non EYZ'!I90</f>
        <v>1.8081057367328801E-10</v>
      </c>
      <c r="J90">
        <f>'TEA Revised Non EYZ'!J90</f>
        <v>3.3765941525589702E-4</v>
      </c>
      <c r="K90">
        <f>'TEA Revised Non EYZ'!K90</f>
        <v>0.139102253285185</v>
      </c>
      <c r="L90">
        <f>'TEA Revised Non EYZ'!L90</f>
        <v>0.14072466572308701</v>
      </c>
      <c r="M90">
        <f>'TEA Revised Non EYZ'!M90</f>
        <v>4.4568945720355099E-4</v>
      </c>
      <c r="N90">
        <f>'TEA Revised Non EYZ'!N90</f>
        <v>-8.03393809811758E-16</v>
      </c>
      <c r="O90">
        <f>'TEA Revised Non EYZ'!O90</f>
        <v>-8.4019770307808202E-13</v>
      </c>
      <c r="P90">
        <f>'TEA Revised Non EYZ'!P90</f>
        <v>-2.26157796916898E-19</v>
      </c>
      <c r="Q90">
        <f>'TEA Revised Non EYZ'!Q90</f>
        <v>0.10953557168033</v>
      </c>
      <c r="R90">
        <f>'TEA Revised Non EYZ'!R90</f>
        <v>98.5748039883795</v>
      </c>
      <c r="S90">
        <f>'TEA Revised Non EYZ'!S90</f>
        <v>500</v>
      </c>
      <c r="T90">
        <f>'TEA Revised Non EYZ'!T90</f>
        <v>95</v>
      </c>
      <c r="U90">
        <f>'TEA Revised Non EYZ'!U90</f>
        <v>1</v>
      </c>
      <c r="V90">
        <f>'TEA Revised Non EYZ'!V90</f>
        <v>0.1</v>
      </c>
      <c r="W90">
        <f>'TEA Revised Non EYZ'!W90</f>
        <v>91.294543376138293</v>
      </c>
      <c r="X90" t="str">
        <f>'TEA Revised Non EYZ'!X90</f>
        <v>ddFc</v>
      </c>
      <c r="Y90">
        <f>'TEA Revised Non EYZ'!Y90</f>
        <v>1</v>
      </c>
      <c r="Z90">
        <f>'TEA Revised Non EYZ'!Z90</f>
        <v>0.28318429382522198</v>
      </c>
      <c r="AA90">
        <f>'TEA Revised Non EYZ'!AA90</f>
        <v>0.56945642916197003</v>
      </c>
      <c r="AB90">
        <f>'TEA Revised Non EYZ'!AB90</f>
        <v>3.7698628972227502E-3</v>
      </c>
      <c r="AC90">
        <f>'TEA Revised Non EYZ'!AC90</f>
        <v>1822.2107908876901</v>
      </c>
      <c r="AD90">
        <f>'TEA Revised Non EYZ'!AD90</f>
        <v>2662.6059073104898</v>
      </c>
      <c r="AE90">
        <f>'TEA Revised Non EYZ'!AE90</f>
        <v>2401.5030938442701</v>
      </c>
      <c r="AF90">
        <f>'TEA Revised Non EYZ'!AF90</f>
        <v>12</v>
      </c>
      <c r="AG90">
        <f>'TEA Revised Non EYZ'!AG90</f>
        <v>1.6497569194096201E-3</v>
      </c>
      <c r="AH90">
        <f>'TEA Revised Non EYZ'!AH90</f>
        <v>1.6689987798565299E-3</v>
      </c>
      <c r="AI90">
        <f>'TEA Revised Non EYZ'!AI90</f>
        <v>5.28589040482341E-6</v>
      </c>
      <c r="AJ90">
        <f>'TEA Revised Non EYZ'!AJ90</f>
        <v>0</v>
      </c>
      <c r="AK90">
        <f>'TEA Revised Non EYZ'!AK90</f>
        <v>0</v>
      </c>
      <c r="AL90">
        <f>'TEA Revised Non EYZ'!AL90</f>
        <v>0</v>
      </c>
      <c r="AM90">
        <f>'TEA Revised Non EYZ'!AM90</f>
        <v>1.6128100720939401E-3</v>
      </c>
      <c r="AN90">
        <f>'TEA Revised Non EYZ'!AN90</f>
        <v>7.9633612290502494E-5</v>
      </c>
      <c r="AO90">
        <f>'TEA Revised Non EYZ'!AO90</f>
        <v>5.2511283460207698E-6</v>
      </c>
      <c r="AP90">
        <f>'TEA Revised Non EYZ'!AP90</f>
        <v>1.73325244157297E-3</v>
      </c>
      <c r="AQ90">
        <f>'TEA Revised Non EYZ'!AQ90</f>
        <v>7.4560382210708806E-2</v>
      </c>
      <c r="AR90">
        <f>'TEA Revised Non EYZ'!AR90</f>
        <v>1.63075952813163E-6</v>
      </c>
      <c r="AS90">
        <f>'TEA Revised Non EYZ'!AS90</f>
        <v>3.8857128235522602E-16</v>
      </c>
      <c r="AT90">
        <f>'TEA Revised Non EYZ'!AT90</f>
        <v>-3.7970928484787298E-14</v>
      </c>
      <c r="AU90">
        <f>'TEA Revised Non EYZ'!AU90</f>
        <v>-3.6660644748350096E-21</v>
      </c>
      <c r="AV90">
        <f>'TEA Revised Non EYZ'!AV90</f>
        <v>0.196872452268469</v>
      </c>
      <c r="AW90">
        <f>'TEA Revised Non EYZ'!AW90</f>
        <v>99.342361340467505</v>
      </c>
      <c r="AX90">
        <f>'TEA Revised Non EYZ'!AX90</f>
        <v>500</v>
      </c>
      <c r="AY90">
        <f>'TEA Revised Non EYZ'!AY90</f>
        <v>95</v>
      </c>
      <c r="AZ90">
        <f>'TEA Revised Non EYZ'!AZ90</f>
        <v>0.92356908198738696</v>
      </c>
      <c r="BA90">
        <f>'TEA Revised Non EYZ'!BA90</f>
        <v>0.1</v>
      </c>
      <c r="BB90">
        <f>'TEA Revised Non EYZ'!BB90</f>
        <v>46.912052516516702</v>
      </c>
      <c r="BC90" t="str">
        <f>'TEA Revised Non EYZ'!BC90</f>
        <v>coeFc</v>
      </c>
      <c r="BD90">
        <f>'TEA Revised Non EYZ'!BD90</f>
        <v>1</v>
      </c>
      <c r="BE90">
        <f>'TEA Revised Non EYZ'!BE90</f>
        <v>1.8775014999999999E-2</v>
      </c>
      <c r="BF90">
        <f>'TEA Revised Non EYZ'!BF90</f>
        <v>0.10492961100000001</v>
      </c>
      <c r="BG90">
        <f>'TEA Revised Non EYZ'!BG90</f>
        <v>1.814625E-3</v>
      </c>
      <c r="BH90">
        <f>'TEA Revised Non EYZ'!BH90</f>
        <v>285.1951444</v>
      </c>
      <c r="BI90">
        <f>'TEA Revised Non EYZ'!BI90</f>
        <v>2169.8944889999998</v>
      </c>
      <c r="BJ90">
        <f>'TEA Revised Non EYZ'!BJ90</f>
        <v>866.49409060000005</v>
      </c>
      <c r="BK90">
        <f>'TEA Revised Non EYZ'!BK90</f>
        <v>100</v>
      </c>
      <c r="BL90">
        <f>'TEA Revised Non EYZ'!BL90</f>
        <v>10.953557168032999</v>
      </c>
      <c r="BM90">
        <f>'TEA Revised Non EYZ'!BM90</f>
        <v>92.356908198738694</v>
      </c>
      <c r="BN90">
        <f>'TEA Revised Non EYZ'!BN90</f>
        <v>19.687245226846901</v>
      </c>
      <c r="BO90">
        <f>'TEA Revised Non EYZ'!BO90</f>
        <v>284.79248636885796</v>
      </c>
      <c r="BP90">
        <f>'TEA Revised Non EYZ'!BP90</f>
        <v>551.24286635171325</v>
      </c>
      <c r="BQ90">
        <f>'TEA Revised Non EYZ'!BQ90</f>
        <v>28.479248636885799</v>
      </c>
      <c r="BR90">
        <f>'TEA Revised Non EYZ'!BR90</f>
        <v>55.12428663517133</v>
      </c>
      <c r="BS90">
        <f>'eLLE Bals'!CF90</f>
        <v>6.5721343008197994</v>
      </c>
      <c r="BT90">
        <f>'eLLE Bals'!CG90</f>
        <v>11.812347136108141</v>
      </c>
      <c r="BU90">
        <f>BM90</f>
        <v>92.356908198738694</v>
      </c>
      <c r="BV90">
        <f>BU90*(AM90*2+AN90*2+AO90*3)</f>
        <v>0.31407266591623784</v>
      </c>
      <c r="BW90">
        <f>BN90*BA90*(AP90*2+AQ90*2+AR90*3)</f>
        <v>0.30041193047820802</v>
      </c>
      <c r="BX90">
        <f>BV90/(2*V90*BL90+BV90)</f>
        <v>0.12538911676102893</v>
      </c>
      <c r="BY90">
        <f>BU90*BX90</f>
        <v>11.580551145819276</v>
      </c>
      <c r="BZ90">
        <f>BW90/(2*BN90*BA90+BW90)</f>
        <v>7.0887632272581685E-2</v>
      </c>
      <c r="CA90">
        <f>2*BN90*BA90/0.04</f>
        <v>98.436226134234502</v>
      </c>
      <c r="CB90">
        <f>(BS90+BL90)*2</f>
        <v>35.051382937705597</v>
      </c>
      <c r="CC90">
        <f>(BU90+BL90)*2</f>
        <v>206.62093073354339</v>
      </c>
      <c r="CD90">
        <f>(BT90+BN90)*2</f>
        <v>62.999184725910084</v>
      </c>
      <c r="CE90">
        <f>(CA90+BN90)*2</f>
        <v>236.2469427221628</v>
      </c>
      <c r="CF90">
        <f>'TEA Revised Non EYZ'!CB90</f>
        <v>3759.2608200689256</v>
      </c>
      <c r="CG90">
        <f>'TEA Revised Non EYZ'!CC90</f>
        <v>7276.4058358426155</v>
      </c>
      <c r="CH90">
        <f>'TEA Revised Non EYZ'!CD90</f>
        <v>4541.8834647976191</v>
      </c>
      <c r="CI90">
        <f>'TEA Revised Non EYZ'!CE90</f>
        <v>56123.564926443862</v>
      </c>
      <c r="CJ90">
        <f>BL90*V90</f>
        <v>1.0953557168032999</v>
      </c>
      <c r="CK90">
        <f>CJ90/2*1.2</f>
        <v>0.65721343008197997</v>
      </c>
      <c r="CL90">
        <f>'eLLE Bals'!CB90*'Oxidant Feed Composition'!$N$20</f>
        <v>3.6511857226776682E-2</v>
      </c>
      <c r="CM90">
        <f>'eLLE Bals'!CB90*'Oxidant Feed Composition'!$N$21</f>
        <v>1.8255928613388335</v>
      </c>
      <c r="CN90">
        <f>'eLLE Bals'!CB90*'Oxidant Feed Composition'!$N$22</f>
        <v>0.54767785840164995</v>
      </c>
      <c r="CO90">
        <f>CN90/CK90</f>
        <v>0.83333333333333326</v>
      </c>
      <c r="CP90">
        <f>CO90</f>
        <v>0.83333333333333326</v>
      </c>
      <c r="CQ90">
        <f>CL90/CO90</f>
        <v>4.381422867213202E-2</v>
      </c>
      <c r="CR90">
        <f>CM90/CO90</f>
        <v>2.1907114336066003</v>
      </c>
      <c r="CS90">
        <f>BN90*BA90</f>
        <v>1.9687245226846901</v>
      </c>
      <c r="CT90">
        <f>CS90/2*1.2</f>
        <v>1.1812347136108141</v>
      </c>
      <c r="CU90">
        <f>'eLLE Bals'!CC90*'Oxidant Feed Composition'!$N$20</f>
        <v>6.5624150756156366E-2</v>
      </c>
      <c r="CV90">
        <f>'eLLE Bals'!CC90*'Oxidant Feed Composition'!$N$21</f>
        <v>3.2812075378078172</v>
      </c>
      <c r="CW90">
        <f>'eLLE Bals'!CC90*'Oxidant Feed Composition'!$N$22</f>
        <v>0.98436226134234506</v>
      </c>
      <c r="CX90">
        <f>CU90/CP90</f>
        <v>7.8748980907387647E-2</v>
      </c>
      <c r="CY90">
        <f>CV90/CP90</f>
        <v>3.9374490453693811</v>
      </c>
      <c r="CZ90">
        <f>CJ90</f>
        <v>1.0953557168032999</v>
      </c>
      <c r="DA90">
        <f>'eLLE Bals'!BQ90</f>
        <v>2.1907114336065998</v>
      </c>
      <c r="DB90">
        <f>'eLLE Bals'!BU90</f>
        <v>5.4495850744753067</v>
      </c>
      <c r="DC90">
        <f>CS90</f>
        <v>1.9687245226846901</v>
      </c>
      <c r="DD90">
        <f>'eLLE Bals'!BX90</f>
        <v>3.9374490453693802</v>
      </c>
      <c r="DE90">
        <f>'eLLE Bals'!CA90</f>
        <v>21.866294767669483</v>
      </c>
      <c r="DF90">
        <f>2*2*(CJ90*'Reagent cost'!$C$36*122.44/1000*1.5+CK90*'Oxidant Feed Composition'!$N$26+CQ90*'Reagent cost'!$C$34+CR90*'Reagent cost'!$C$35)</f>
        <v>111.46464346805341</v>
      </c>
      <c r="DG90">
        <f>2*2*(CS90*'Reagent cost'!$C$36*122.44/1000*1.5+CT90*'Oxidant Feed Composition'!$N$26+CX90*'Reagent cost'!$C$34+CY90*'Reagent cost'!$C$35)</f>
        <v>200.33964641941924</v>
      </c>
      <c r="DH90">
        <f>(AF90+3)*2*(CZ90*'Reagent cost'!$C$38+DA90*'Reagent cost'!$C$39+DB90*'Reagent cost'!$C$36*122.44/1000*1.5)</f>
        <v>2266.9265667539189</v>
      </c>
      <c r="DI90">
        <f>3*2*(DC90*'Reagent cost'!$C$38+DD90*'Reagent cost'!$C$39+DE90*'Reagent cost'!$C$36*122.44/1000*1.5)</f>
        <v>1754.2995650403707</v>
      </c>
      <c r="DJ90">
        <f>7963.6*(CB90/1000)^0.6*1.7*('CAPEX+OPEX'!$G$116/'CAPEX+OPEX'!$G$115)</f>
        <v>2138.2772847076108</v>
      </c>
      <c r="DK90">
        <f>7963.6*(CC90/1000)^0.6*1.7*('CAPEX+OPEX'!$G$116/'CAPEX+OPEX'!$G$115)</f>
        <v>6199.3408604999822</v>
      </c>
      <c r="DL90">
        <f>7963.6*(CD90/1000)^0.6*1.7*('CAPEX+OPEX'!$G$116/'CAPEX+OPEX'!$G$115)</f>
        <v>3039.7781253117219</v>
      </c>
      <c r="DM90">
        <f>7963.6*(CE90/1000)^0.6*1.7*('CAPEX+OPEX'!$G$116/'CAPEX+OPEX'!$G$115)</f>
        <v>6718.319384395686</v>
      </c>
      <c r="DN90">
        <f>'TEA Revised Non EYZ'!CM90</f>
        <v>39625.826528698344</v>
      </c>
      <c r="DO90">
        <f>'TEA Revised Non EYZ'!CN90</f>
        <v>4586243.4239371875</v>
      </c>
      <c r="DP90">
        <f>'TEA Revised Non EYZ'!CO90</f>
        <v>11794834.586807497</v>
      </c>
      <c r="DQ90">
        <f>'TEA Revised Non EYZ'!CP90</f>
        <v>2275209.1661185985</v>
      </c>
      <c r="DR90">
        <f>'TEA Revised Non EYZ'!CQ90</f>
        <v>14083914.336508472</v>
      </c>
      <c r="DS90">
        <f>'TEA Revised Non EYZ'!CR90</f>
        <v>1662824.8986326549</v>
      </c>
      <c r="DT90">
        <f>'TEA Revised Non EYZ'!CS90</f>
        <v>892840.31653984461</v>
      </c>
      <c r="DU90">
        <f>'TEA Revised Non EYZ'!CT90</f>
        <v>2296193.8284949926</v>
      </c>
      <c r="DV90">
        <f>'TEA Revised Non EYZ'!CU90</f>
        <v>442932.9811560188</v>
      </c>
      <c r="DW90">
        <f>'TEA Revised Non EYZ'!CV90</f>
        <v>2741827.1059701391</v>
      </c>
      <c r="DX90">
        <f>'TEA Revised Non EYZ'!CW90</f>
        <v>323715.28756992728</v>
      </c>
      <c r="DY90">
        <f>'TEA Revised Non EYZ'!CX90</f>
        <v>6697509.5197309218</v>
      </c>
      <c r="DZ90">
        <f>'TEA Revised Non EYZ'!CY90</f>
        <v>884644.97360172844</v>
      </c>
      <c r="EA90">
        <f>'TEA Revised Non EYZ'!CZ90</f>
        <v>2275117.1639130982</v>
      </c>
      <c r="EB90">
        <f>'TEA Revised Non EYZ'!DA90</f>
        <v>438867.31833599339</v>
      </c>
      <c r="EC90">
        <f>'TEA Revised Non EYZ'!DB90</f>
        <v>2716659.9926642226</v>
      </c>
      <c r="ED90">
        <f>'TEA Revised Non EYZ'!DC90</f>
        <v>320743.91884161107</v>
      </c>
      <c r="EE90">
        <f>'TEA Revised Non EYZ'!DD90</f>
        <v>6636033.3673566533</v>
      </c>
      <c r="EF90">
        <v>0.7</v>
      </c>
      <c r="EG90">
        <v>100</v>
      </c>
      <c r="EH90">
        <f>96485*BL90*V90/EF90/EG90/60</f>
        <v>25.163189603753906</v>
      </c>
      <c r="EI90">
        <f>96485*BN90*BA90/EF90/EG90/60</f>
        <v>45.226758469341029</v>
      </c>
      <c r="EJ90">
        <f>EH90*('CAPEX+OPEX'!$O$25+'CAPEX+OPEX'!$O$26)</f>
        <v>802001.17905084451</v>
      </c>
      <c r="EK90">
        <f>EI90*('CAPEX+OPEX'!$O$25+'CAPEX+OPEX'!$O$26)</f>
        <v>1441467.2459348373</v>
      </c>
      <c r="EL90">
        <f>EJ90*1.12/0.6*'CAPEX+OPEX'!$G$116/'CAPEX+OPEX'!$G$115</f>
        <v>1765730.2106115664</v>
      </c>
      <c r="EM90">
        <f>EK90*1.12/0.6*'CAPEX+OPEX'!$G$116/'CAPEX+OPEX'!$G$115</f>
        <v>3173614.1170845251</v>
      </c>
      <c r="EN90">
        <f>EL90+EM90+DY90+EE90+1.15*(SUM(DF90:DM90)+SUM(CF90:CI90))</f>
        <v>18381136.555075981</v>
      </c>
      <c r="EO90">
        <f>EN90/15</f>
        <v>1225409.1036717321</v>
      </c>
      <c r="EP90">
        <f>('eLLE Bals'!CB90+'eLLE Bals'!CC90)*'Oxidant Feed Composition'!$N$28*60*7200</f>
        <v>17033757.672149707</v>
      </c>
      <c r="EQ90" s="53">
        <f>('eLLE Bals'!BR90+'eLLE Bals'!BY90)*'Reagent cost'!$C$38*60*7200*1.5</f>
        <v>757910.13641195151</v>
      </c>
      <c r="ER90">
        <f>'TEA Revised Non EYZ'!DI90</f>
        <v>504921.59999999998</v>
      </c>
      <c r="ES90">
        <f>'TEA Revised Non EYZ'!DJ90</f>
        <v>110.35666655911541</v>
      </c>
      <c r="ET90">
        <f>'TEA Revised Non EYZ'!DK90</f>
        <v>1213.3089678248296</v>
      </c>
      <c r="EU90">
        <f>1.2*SUM(EP90:ET90)</f>
        <v>21957495.689035248</v>
      </c>
      <c r="EV90">
        <f>'TEA Revised Non EYZ'!DM90</f>
        <v>0.70639694042110623</v>
      </c>
      <c r="EW90">
        <f>(BS90*CO90+BT90*CP90)/1000*('Oxidant Feed Composition'!$B$11*'Oxidant Feed Composition'!$O$20+'Oxidant Feed Composition'!$D$11*'Oxidant Feed Composition'!$O$21+'Oxidant Feed Composition'!$F$11*'Oxidant Feed Composition'!$O$27-'Oxidant Feed Composition'!$J$15*18.015)</f>
        <v>1.7891860064584733</v>
      </c>
      <c r="EX90">
        <f>(CZ90*BX90+DC90*BZ90)*368.34/1000</f>
        <v>0.10199478469154295</v>
      </c>
      <c r="EY90">
        <f>'TEA Revised Non EYZ'!DP90</f>
        <v>4.999938342565946E-2</v>
      </c>
      <c r="EZ90">
        <f>SUM(EV90:EX90)-EY90</f>
        <v>2.5475783481454628</v>
      </c>
      <c r="FA90">
        <f>EZ90*0.33*60*7200</f>
        <v>363182.76931161719</v>
      </c>
      <c r="FB90">
        <f>'TEA Revised Non EYZ'!DS90</f>
        <v>1.2</v>
      </c>
      <c r="FC90">
        <v>0.5</v>
      </c>
      <c r="FD90">
        <f>'TEA Revised Non EYZ'!DT90</f>
        <v>1405.8805675728252</v>
      </c>
      <c r="FE90">
        <f>'TEA Revised Non EYZ'!DU90</f>
        <v>705.80276153185252</v>
      </c>
      <c r="FF90">
        <f>'TEA Revised Non EYZ'!DV90</f>
        <v>0.7</v>
      </c>
      <c r="FG90">
        <f>'TEA Revised Non EYZ'!DW90</f>
        <v>49536.497143418172</v>
      </c>
      <c r="FH90">
        <f>'TEA Revised Non EYZ'!DX90</f>
        <v>49831.318766753509</v>
      </c>
      <c r="FI90">
        <f>'TEA Revised Non EYZ'!DY90</f>
        <v>21097.937381085154</v>
      </c>
      <c r="FJ90">
        <f>'TEA Revised Non EYZ'!DZ90</f>
        <v>11176.166036369152</v>
      </c>
      <c r="FK90">
        <f>'TEA Revised Non EYZ'!EA90</f>
        <v>11252.233269912085</v>
      </c>
      <c r="FL90">
        <f>'TEA Revised Non EYZ'!EB90</f>
        <v>850.27656726804469</v>
      </c>
      <c r="FM90">
        <f>'TEA Revised Non EYZ'!EC90</f>
        <v>48855.925474773729</v>
      </c>
      <c r="FN90">
        <f>'TEA Revised Non EYZ'!ED90</f>
        <v>50432.010422650754</v>
      </c>
      <c r="FO90">
        <f>'TEA Revised Non EYZ'!EE90</f>
        <v>21352.262477331969</v>
      </c>
      <c r="FP90">
        <f>'TEA Revised Non EYZ'!EF90</f>
        <v>11317.186163436589</v>
      </c>
      <c r="FQ90">
        <f>'TEA Revised Non EYZ'!EG90</f>
        <v>11387.873321243722</v>
      </c>
      <c r="FR90">
        <f>'TEA Revised Non EYZ'!EH90</f>
        <v>426.86951017446444</v>
      </c>
      <c r="FS90">
        <f>'TEA Revised Non EYZ'!EI90</f>
        <v>287516.55653441726</v>
      </c>
      <c r="FT90">
        <f>EG90*EH90</f>
        <v>2516.3189603753908</v>
      </c>
      <c r="FU90">
        <f>EG90*EI90</f>
        <v>4522.675846934103</v>
      </c>
      <c r="FV90">
        <f>FC90*(FT90+FU90)/(3.6*10^6)*3600*7200*0.07</f>
        <v>1773.8266914419926</v>
      </c>
      <c r="FW90">
        <f>('CAPEX+OPEX'!$C$39/7/100+0.03)*EL90</f>
        <v>90808.982260023418</v>
      </c>
      <c r="FX90">
        <f>('CAPEX+OPEX'!$C$39/7/100+0.03)*EM90</f>
        <v>163214.44030720415</v>
      </c>
      <c r="FY90">
        <f>SUM(FV90:FX90)</f>
        <v>255797.24925866956</v>
      </c>
      <c r="FZ90">
        <f>FY90+FA90+FS90+EU90</f>
        <v>22863992.26413995</v>
      </c>
      <c r="GA90">
        <f>FZ90+EO90</f>
        <v>24089401.367811684</v>
      </c>
      <c r="GB90">
        <f>GA90/(BK90*60*7200)</f>
        <v>0.55762503166230748</v>
      </c>
      <c r="GC90">
        <f>'TEA Revised Non EYZ'!EM90/'TEA Revised Non EYZ'!EK90*GA90</f>
        <v>1865.5175814872018</v>
      </c>
      <c r="GD90">
        <f>'TEA Revised Non EYZ'!EN90/'TEA Revised Non EYZ'!EK90*GA90</f>
        <v>3423.6832336979287</v>
      </c>
    </row>
    <row r="91" spans="1:186">
      <c r="A91">
        <f>'TEA Revised Non EYZ'!A91</f>
        <v>11</v>
      </c>
      <c r="B91">
        <f>'TEA Revised Non EYZ'!B91</f>
        <v>1.54143585092054E-3</v>
      </c>
      <c r="C91">
        <f>'TEA Revised Non EYZ'!C91</f>
        <v>1.54143585092054E-3</v>
      </c>
      <c r="D91">
        <f>'TEA Revised Non EYZ'!D91</f>
        <v>3.4254130020456501E-4</v>
      </c>
      <c r="E91">
        <f>'TEA Revised Non EYZ'!E91</f>
        <v>0</v>
      </c>
      <c r="F91">
        <f>'TEA Revised Non EYZ'!F91</f>
        <v>0</v>
      </c>
      <c r="G91">
        <f>'TEA Revised Non EYZ'!G91</f>
        <v>0</v>
      </c>
      <c r="H91">
        <f>'TEA Revised Non EYZ'!H91</f>
        <v>1.7771367359861701E-5</v>
      </c>
      <c r="I91">
        <f>'TEA Revised Non EYZ'!I91</f>
        <v>1.8081057367328801E-10</v>
      </c>
      <c r="J91">
        <f>'TEA Revised Non EYZ'!J91</f>
        <v>3.3765941525589702E-4</v>
      </c>
      <c r="K91">
        <f>'TEA Revised Non EYZ'!K91</f>
        <v>0.139102253285185</v>
      </c>
      <c r="L91">
        <f>'TEA Revised Non EYZ'!L91</f>
        <v>0.14072466572308701</v>
      </c>
      <c r="M91">
        <f>'TEA Revised Non EYZ'!M91</f>
        <v>4.4568945720355099E-4</v>
      </c>
      <c r="N91">
        <f>'TEA Revised Non EYZ'!N91</f>
        <v>-8.03393809811758E-16</v>
      </c>
      <c r="O91">
        <f>'TEA Revised Non EYZ'!O91</f>
        <v>-8.4019770307808202E-13</v>
      </c>
      <c r="P91">
        <f>'TEA Revised Non EYZ'!P91</f>
        <v>-2.26157796916898E-19</v>
      </c>
      <c r="Q91">
        <f>'TEA Revised Non EYZ'!Q91</f>
        <v>0.10953557168033</v>
      </c>
      <c r="R91">
        <f>'TEA Revised Non EYZ'!R91</f>
        <v>98.5748039883795</v>
      </c>
      <c r="S91">
        <f>'TEA Revised Non EYZ'!S91</f>
        <v>500</v>
      </c>
      <c r="T91">
        <f>'TEA Revised Non EYZ'!T91</f>
        <v>95</v>
      </c>
      <c r="U91">
        <f>'TEA Revised Non EYZ'!U91</f>
        <v>1</v>
      </c>
      <c r="V91">
        <f>'TEA Revised Non EYZ'!V91</f>
        <v>0.1</v>
      </c>
      <c r="W91">
        <f>'TEA Revised Non EYZ'!W91</f>
        <v>91.294543376138293</v>
      </c>
      <c r="X91" t="str">
        <f>'TEA Revised Non EYZ'!X91</f>
        <v>ddFc</v>
      </c>
      <c r="Y91">
        <f>'TEA Revised Non EYZ'!Y91</f>
        <v>1</v>
      </c>
      <c r="Z91">
        <f>'TEA Revised Non EYZ'!Z91</f>
        <v>0.28318429382522198</v>
      </c>
      <c r="AA91">
        <f>'TEA Revised Non EYZ'!AA91</f>
        <v>0.56945642916197003</v>
      </c>
      <c r="AB91">
        <f>'TEA Revised Non EYZ'!AB91</f>
        <v>3.7698628972227502E-3</v>
      </c>
      <c r="AC91">
        <f>'TEA Revised Non EYZ'!AC91</f>
        <v>1822.2107908876901</v>
      </c>
      <c r="AD91">
        <f>'TEA Revised Non EYZ'!AD91</f>
        <v>2662.6059073104898</v>
      </c>
      <c r="AE91">
        <f>'TEA Revised Non EYZ'!AE91</f>
        <v>2401.5030938442701</v>
      </c>
      <c r="AF91">
        <f>'TEA Revised Non EYZ'!AF91</f>
        <v>13</v>
      </c>
      <c r="AG91">
        <f>'TEA Revised Non EYZ'!AG91</f>
        <v>1.6497569194096201E-3</v>
      </c>
      <c r="AH91">
        <f>'TEA Revised Non EYZ'!AH91</f>
        <v>1.6689987798565299E-3</v>
      </c>
      <c r="AI91">
        <f>'TEA Revised Non EYZ'!AI91</f>
        <v>5.28589040482341E-6</v>
      </c>
      <c r="AJ91">
        <f>'TEA Revised Non EYZ'!AJ91</f>
        <v>0</v>
      </c>
      <c r="AK91">
        <f>'TEA Revised Non EYZ'!AK91</f>
        <v>0</v>
      </c>
      <c r="AL91">
        <f>'TEA Revised Non EYZ'!AL91</f>
        <v>0</v>
      </c>
      <c r="AM91">
        <f>'TEA Revised Non EYZ'!AM91</f>
        <v>1.6128103180087E-3</v>
      </c>
      <c r="AN91">
        <f>'TEA Revised Non EYZ'!AN91</f>
        <v>7.9633625011629096E-5</v>
      </c>
      <c r="AO91">
        <f>'TEA Revised Non EYZ'!AO91</f>
        <v>5.2511285677767398E-6</v>
      </c>
      <c r="AP91">
        <f>'TEA Revised Non EYZ'!AP91</f>
        <v>1.7332441234993001E-3</v>
      </c>
      <c r="AQ91">
        <f>'TEA Revised Non EYZ'!AQ91</f>
        <v>7.4560520055328497E-2</v>
      </c>
      <c r="AR91">
        <f>'TEA Revised Non EYZ'!AR91</f>
        <v>1.6307521530699199E-6</v>
      </c>
      <c r="AS91">
        <f>'TEA Revised Non EYZ'!AS91</f>
        <v>4.9466724119651101E-19</v>
      </c>
      <c r="AT91">
        <f>'TEA Revised Non EYZ'!AT91</f>
        <v>-1.2576745200831801E-17</v>
      </c>
      <c r="AU91">
        <f>'TEA Revised Non EYZ'!AU91</f>
        <v>1.39628087398951E-21</v>
      </c>
      <c r="AV91">
        <f>'TEA Revised Non EYZ'!AV91</f>
        <v>0.19687208671741999</v>
      </c>
      <c r="AW91">
        <f>'TEA Revised Non EYZ'!AW91</f>
        <v>99.342365535710996</v>
      </c>
      <c r="AX91">
        <f>'TEA Revised Non EYZ'!AX91</f>
        <v>500</v>
      </c>
      <c r="AY91">
        <f>'TEA Revised Non EYZ'!AY91</f>
        <v>95</v>
      </c>
      <c r="AZ91">
        <f>'TEA Revised Non EYZ'!AZ91</f>
        <v>0.92356908198738696</v>
      </c>
      <c r="BA91">
        <f>'TEA Revised Non EYZ'!BA91</f>
        <v>0.1</v>
      </c>
      <c r="BB91">
        <f>'TEA Revised Non EYZ'!BB91</f>
        <v>46.912139622567501</v>
      </c>
      <c r="BC91" t="str">
        <f>'TEA Revised Non EYZ'!BC91</f>
        <v>coeFc</v>
      </c>
      <c r="BD91">
        <f>'TEA Revised Non EYZ'!BD91</f>
        <v>1</v>
      </c>
      <c r="BE91">
        <f>'TEA Revised Non EYZ'!BE91</f>
        <v>1.8775014999999999E-2</v>
      </c>
      <c r="BF91">
        <f>'TEA Revised Non EYZ'!BF91</f>
        <v>0.10492961100000001</v>
      </c>
      <c r="BG91">
        <f>'TEA Revised Non EYZ'!BG91</f>
        <v>1.814625E-3</v>
      </c>
      <c r="BH91">
        <f>'TEA Revised Non EYZ'!BH91</f>
        <v>285.1951444</v>
      </c>
      <c r="BI91">
        <f>'TEA Revised Non EYZ'!BI91</f>
        <v>2169.8944889999998</v>
      </c>
      <c r="BJ91">
        <f>'TEA Revised Non EYZ'!BJ91</f>
        <v>866.49409060000005</v>
      </c>
      <c r="BK91">
        <f>'TEA Revised Non EYZ'!BK91</f>
        <v>100</v>
      </c>
      <c r="BL91">
        <f>'TEA Revised Non EYZ'!BL91</f>
        <v>10.953557168032999</v>
      </c>
      <c r="BM91">
        <f>'TEA Revised Non EYZ'!BM91</f>
        <v>92.356908198738694</v>
      </c>
      <c r="BN91">
        <f>'TEA Revised Non EYZ'!BN91</f>
        <v>19.687208671741999</v>
      </c>
      <c r="BO91">
        <f>'TEA Revised Non EYZ'!BO91</f>
        <v>284.79248636885796</v>
      </c>
      <c r="BP91">
        <f>'TEA Revised Non EYZ'!BP91</f>
        <v>590.61626015226</v>
      </c>
      <c r="BQ91">
        <f>'TEA Revised Non EYZ'!BQ91</f>
        <v>28.479248636885799</v>
      </c>
      <c r="BR91">
        <f>'TEA Revised Non EYZ'!BR91</f>
        <v>59.061626015226004</v>
      </c>
      <c r="BS91">
        <f>'eLLE Bals'!CF91</f>
        <v>6.5721343008197994</v>
      </c>
      <c r="BT91">
        <f>'eLLE Bals'!CG91</f>
        <v>11.8123252030452</v>
      </c>
      <c r="BU91">
        <f>BM91</f>
        <v>92.356908198738694</v>
      </c>
      <c r="BV91">
        <f>BU91*(AM91*2+AN91*2+AO91*3)</f>
        <v>0.31407271375130152</v>
      </c>
      <c r="BW91">
        <f>BN91*BA91*(AP91*2+AQ91*2+AR91*3)</f>
        <v>0.3004118826356304</v>
      </c>
      <c r="BX91">
        <f>BV91/(2*V91*BL91+BV91)</f>
        <v>0.12538913346389227</v>
      </c>
      <c r="BY91">
        <f>BU91*BX91</f>
        <v>11.580552688444092</v>
      </c>
      <c r="BZ91">
        <f>BW91/(2*BN91*BA91+BW91)</f>
        <v>7.0887744076782361E-2</v>
      </c>
      <c r="CA91">
        <f>2*BN91*BA91/0.04</f>
        <v>98.436043358709995</v>
      </c>
      <c r="CB91">
        <f>(BS91+BL91)*2</f>
        <v>35.051382937705597</v>
      </c>
      <c r="CC91">
        <f>(BU91+BL91)*2</f>
        <v>206.62093073354339</v>
      </c>
      <c r="CD91">
        <f>(BT91+BN91)*2</f>
        <v>62.999067749574394</v>
      </c>
      <c r="CE91">
        <f>(CA91+BN91)*2</f>
        <v>236.24650406090399</v>
      </c>
      <c r="CF91">
        <f>'TEA Revised Non EYZ'!CB91</f>
        <v>3759.2608200689256</v>
      </c>
      <c r="CG91">
        <f>'TEA Revised Non EYZ'!CC91</f>
        <v>7796.1346340098326</v>
      </c>
      <c r="CH91">
        <f>'TEA Revised Non EYZ'!CD91</f>
        <v>4541.8834647976191</v>
      </c>
      <c r="CI91">
        <f>'TEA Revised Non EYZ'!CE91</f>
        <v>60132.279339320281</v>
      </c>
      <c r="CJ91">
        <f>BL91*V91</f>
        <v>1.0953557168032999</v>
      </c>
      <c r="CK91">
        <f>CJ91/2*1.2</f>
        <v>0.65721343008197997</v>
      </c>
      <c r="CL91">
        <f>'eLLE Bals'!CB91*'Oxidant Feed Composition'!$N$20</f>
        <v>3.6511857226776682E-2</v>
      </c>
      <c r="CM91">
        <f>'eLLE Bals'!CB91*'Oxidant Feed Composition'!$N$21</f>
        <v>1.8255928613388335</v>
      </c>
      <c r="CN91">
        <f>'eLLE Bals'!CB91*'Oxidant Feed Composition'!$N$22</f>
        <v>0.54767785840164995</v>
      </c>
      <c r="CO91">
        <f>CN91/CK91</f>
        <v>0.83333333333333326</v>
      </c>
      <c r="CP91">
        <f>CO91</f>
        <v>0.83333333333333326</v>
      </c>
      <c r="CQ91">
        <f>CL91/CO91</f>
        <v>4.381422867213202E-2</v>
      </c>
      <c r="CR91">
        <f>CM91/CO91</f>
        <v>2.1907114336066003</v>
      </c>
      <c r="CS91">
        <f>BN91*BA91</f>
        <v>1.9687208671742</v>
      </c>
      <c r="CT91">
        <f>CS91/2*1.2</f>
        <v>1.18123252030452</v>
      </c>
      <c r="CU91">
        <f>'eLLE Bals'!CC91*'Oxidant Feed Composition'!$N$20</f>
        <v>6.5624028905806694E-2</v>
      </c>
      <c r="CV91">
        <f>'eLLE Bals'!CC91*'Oxidant Feed Composition'!$N$21</f>
        <v>3.2812014452903333</v>
      </c>
      <c r="CW91">
        <f>'eLLE Bals'!CC91*'Oxidant Feed Composition'!$N$22</f>
        <v>0.98436043358710001</v>
      </c>
      <c r="CX91">
        <f>CU91/CP91</f>
        <v>7.8748834686968042E-2</v>
      </c>
      <c r="CY91">
        <f>CV91/CP91</f>
        <v>3.9374417343484005</v>
      </c>
      <c r="CZ91">
        <f>CJ91</f>
        <v>1.0953557168032999</v>
      </c>
      <c r="DA91">
        <f>'eLLE Bals'!BQ91</f>
        <v>2.1907114336065998</v>
      </c>
      <c r="DB91">
        <f>'eLLE Bals'!BU91</f>
        <v>5.4495839107622075</v>
      </c>
      <c r="DC91">
        <f>CS91</f>
        <v>1.9687208671742</v>
      </c>
      <c r="DD91">
        <f>'eLLE Bals'!BX91</f>
        <v>3.9374417343484001</v>
      </c>
      <c r="DE91">
        <f>'eLLE Bals'!CA91</f>
        <v>21.866210363848843</v>
      </c>
      <c r="DF91">
        <f>2*2*(CJ91*'Reagent cost'!$C$36*122.44/1000*1.5+CK91*'Oxidant Feed Composition'!$N$26+CQ91*'Reagent cost'!$C$34+CR91*'Reagent cost'!$C$35)</f>
        <v>111.46464346805341</v>
      </c>
      <c r="DG91">
        <f>2*2*(CS91*'Reagent cost'!$C$36*122.44/1000*1.5+CT91*'Oxidant Feed Composition'!$N$26+CX91*'Reagent cost'!$C$34+CY91*'Reagent cost'!$C$35)</f>
        <v>200.33927443051439</v>
      </c>
      <c r="DH91">
        <f>(AF91+3)*2*(CZ91*'Reagent cost'!$C$38+DA91*'Reagent cost'!$C$39+DB91*'Reagent cost'!$C$36*122.44/1000*1.5)</f>
        <v>2418.0545215474508</v>
      </c>
      <c r="DI91">
        <f>3*2*(DC91*'Reagent cost'!$C$38+DD91*'Reagent cost'!$C$39+DE91*'Reagent cost'!$C$36*122.44/1000*1.5)</f>
        <v>1754.2928989298669</v>
      </c>
      <c r="DJ91">
        <f>7963.6*(CB91/1000)^0.6*1.7*('CAPEX+OPEX'!$G$116/'CAPEX+OPEX'!$G$115)</f>
        <v>2138.2772847076108</v>
      </c>
      <c r="DK91">
        <f>7963.6*(CC91/1000)^0.6*1.7*('CAPEX+OPEX'!$G$116/'CAPEX+OPEX'!$G$115)</f>
        <v>6199.3408604999822</v>
      </c>
      <c r="DL91">
        <f>7963.6*(CD91/1000)^0.6*1.7*('CAPEX+OPEX'!$G$116/'CAPEX+OPEX'!$G$115)</f>
        <v>3039.7747387703889</v>
      </c>
      <c r="DM91">
        <f>7963.6*(CE91/1000)^0.6*1.7*('CAPEX+OPEX'!$G$116/'CAPEX+OPEX'!$G$115)</f>
        <v>6718.3118996828707</v>
      </c>
      <c r="DN91">
        <f>'TEA Revised Non EYZ'!CM91</f>
        <v>39625.826528698344</v>
      </c>
      <c r="DO91">
        <f>'TEA Revised Non EYZ'!CN91</f>
        <v>4586243.4239371875</v>
      </c>
      <c r="DP91">
        <f>'TEA Revised Non EYZ'!CO91</f>
        <v>11794834.586807497</v>
      </c>
      <c r="DQ91">
        <f>'TEA Revised Non EYZ'!CP91</f>
        <v>2275209.1661185985</v>
      </c>
      <c r="DR91">
        <f>'TEA Revised Non EYZ'!CQ91</f>
        <v>14083914.336508472</v>
      </c>
      <c r="DS91">
        <f>'TEA Revised Non EYZ'!CR91</f>
        <v>1662824.8986326549</v>
      </c>
      <c r="DT91">
        <f>'TEA Revised Non EYZ'!CS91</f>
        <v>892840.31653984461</v>
      </c>
      <c r="DU91">
        <f>'TEA Revised Non EYZ'!CT91</f>
        <v>2296193.8284949926</v>
      </c>
      <c r="DV91">
        <f>'TEA Revised Non EYZ'!CU91</f>
        <v>442932.9811560188</v>
      </c>
      <c r="DW91">
        <f>'TEA Revised Non EYZ'!CV91</f>
        <v>2741827.1059701391</v>
      </c>
      <c r="DX91">
        <f>'TEA Revised Non EYZ'!CW91</f>
        <v>323715.28756992728</v>
      </c>
      <c r="DY91">
        <f>'TEA Revised Non EYZ'!CX91</f>
        <v>6697509.5197309218</v>
      </c>
      <c r="DZ91">
        <f>'TEA Revised Non EYZ'!CY91</f>
        <v>924868.15113757015</v>
      </c>
      <c r="EA91">
        <f>'TEA Revised Non EYZ'!CZ91</f>
        <v>2378562.5508532794</v>
      </c>
      <c r="EB91">
        <f>'TEA Revised Non EYZ'!DA91</f>
        <v>458821.80695783772</v>
      </c>
      <c r="EC91">
        <f>'TEA Revised Non EYZ'!DB91</f>
        <v>2840181.5187568436</v>
      </c>
      <c r="ED91">
        <f>'TEA Revised Non EYZ'!DC91</f>
        <v>335327.55405809957</v>
      </c>
      <c r="EE91">
        <f>'TEA Revised Non EYZ'!DD91</f>
        <v>6937761.5817636298</v>
      </c>
      <c r="EF91">
        <v>0.7</v>
      </c>
      <c r="EG91">
        <v>100</v>
      </c>
      <c r="EH91">
        <f>96485*BL91*V91/EF91/EG91/60</f>
        <v>25.163189603753906</v>
      </c>
      <c r="EI91">
        <f>96485*BN91*BA91/EF91/EG91/60</f>
        <v>45.22667449269111</v>
      </c>
      <c r="EJ91">
        <f>EH91*('CAPEX+OPEX'!$O$25+'CAPEX+OPEX'!$O$26)</f>
        <v>802001.17905084451</v>
      </c>
      <c r="EK91">
        <f>EI91*('CAPEX+OPEX'!$O$25+'CAPEX+OPEX'!$O$26)</f>
        <v>1441464.5694310511</v>
      </c>
      <c r="EL91">
        <f>EJ91*1.12/0.6*'CAPEX+OPEX'!$G$116/'CAPEX+OPEX'!$G$115</f>
        <v>1765730.2106115664</v>
      </c>
      <c r="EM91">
        <f>EK91*1.12/0.6*'CAPEX+OPEX'!$G$116/'CAPEX+OPEX'!$G$115</f>
        <v>3173608.2243455658</v>
      </c>
      <c r="EN91">
        <f>EL91+EM91+DY91+EE91+1.15*(SUM(DF91:DM91)+SUM(CF91:CI91))</f>
        <v>18688240.362988953</v>
      </c>
      <c r="EO91">
        <f>EN91/15</f>
        <v>1245882.6908659302</v>
      </c>
      <c r="EP91">
        <f>('eLLE Bals'!CB91+'eLLE Bals'!CC91)*'Oxidant Feed Composition'!$N$28*60*7200</f>
        <v>17033737.35052789</v>
      </c>
      <c r="EQ91" s="53">
        <f>('eLLE Bals'!BR91+'eLLE Bals'!BY91)*'Reagent cost'!$C$38*60*7200*1.5</f>
        <v>757910.07968953147</v>
      </c>
      <c r="ER91">
        <f>'TEA Revised Non EYZ'!DI91</f>
        <v>504921.59999999998</v>
      </c>
      <c r="ES91">
        <f>'TEA Revised Non EYZ'!DJ91</f>
        <v>115.55395454078759</v>
      </c>
      <c r="ET91">
        <f>'TEA Revised Non EYZ'!DK91</f>
        <v>1293.4832560823579</v>
      </c>
      <c r="EU91">
        <f>1.2*SUM(EP91:ET91)</f>
        <v>21957573.680913657</v>
      </c>
      <c r="EV91">
        <f>'TEA Revised Non EYZ'!DM91</f>
        <v>0.70639694042110623</v>
      </c>
      <c r="EW91">
        <f>(BS91*CO91+BT91*CP91)/1000*('Oxidant Feed Composition'!$B$11*'Oxidant Feed Composition'!$O$20+'Oxidant Feed Composition'!$D$11*'Oxidant Feed Composition'!$O$21+'Oxidant Feed Composition'!$F$11*'Oxidant Feed Composition'!$O$27-'Oxidant Feed Composition'!$J$15*18.015)</f>
        <v>1.7891838719229181</v>
      </c>
      <c r="EX91">
        <f>(CZ91*BX91+DC91*BZ91)*368.34/1000</f>
        <v>0.10199477705819605</v>
      </c>
      <c r="EY91">
        <f>'TEA Revised Non EYZ'!DP91</f>
        <v>4.999938342565946E-2</v>
      </c>
      <c r="EZ91">
        <f>SUM(EV91:EX91)-EY91</f>
        <v>2.547576205976561</v>
      </c>
      <c r="FA91">
        <f>EZ91*0.33*60*7200</f>
        <v>363182.46392401849</v>
      </c>
      <c r="FB91">
        <f>'TEA Revised Non EYZ'!DS91</f>
        <v>1.2</v>
      </c>
      <c r="FC91">
        <v>0.5</v>
      </c>
      <c r="FD91">
        <f>'TEA Revised Non EYZ'!DT91</f>
        <v>1405.8807818129837</v>
      </c>
      <c r="FE91">
        <f>'TEA Revised Non EYZ'!DU91</f>
        <v>705.80254727461261</v>
      </c>
      <c r="FF91">
        <f>'TEA Revised Non EYZ'!DV91</f>
        <v>0.7</v>
      </c>
      <c r="FG91">
        <f>'TEA Revised Non EYZ'!DW91</f>
        <v>49536.497143418172</v>
      </c>
      <c r="FH91">
        <f>'TEA Revised Non EYZ'!DX91</f>
        <v>49831.318766753509</v>
      </c>
      <c r="FI91">
        <f>'TEA Revised Non EYZ'!DY91</f>
        <v>21097.937381085154</v>
      </c>
      <c r="FJ91">
        <f>'TEA Revised Non EYZ'!DZ91</f>
        <v>11176.166036369152</v>
      </c>
      <c r="FK91">
        <f>'TEA Revised Non EYZ'!EA91</f>
        <v>11252.233269912085</v>
      </c>
      <c r="FL91">
        <f>'TEA Revised Non EYZ'!EB91</f>
        <v>850.2766968404926</v>
      </c>
      <c r="FM91">
        <f>'TEA Revised Non EYZ'!EC91</f>
        <v>51427.28997344603</v>
      </c>
      <c r="FN91">
        <f>'TEA Revised Non EYZ'!ED91</f>
        <v>54311.395839777724</v>
      </c>
      <c r="FO91">
        <f>'TEA Revised Non EYZ'!EE91</f>
        <v>22994.7442063575</v>
      </c>
      <c r="FP91">
        <f>'TEA Revised Non EYZ'!EF91</f>
        <v>12187.738945239398</v>
      </c>
      <c r="FQ91">
        <f>'TEA Revised Non EYZ'!EG91</f>
        <v>12263.863576724005</v>
      </c>
      <c r="FR91">
        <f>'TEA Revised Non EYZ'!EH91</f>
        <v>426.86938059168574</v>
      </c>
      <c r="FS91">
        <f>'TEA Revised Non EYZ'!EI91</f>
        <v>297356.33121651493</v>
      </c>
      <c r="FT91">
        <f>EG91*EH91</f>
        <v>2516.3189603753908</v>
      </c>
      <c r="FU91">
        <f>EG91*EI91</f>
        <v>4522.6674492691109</v>
      </c>
      <c r="FV91">
        <f>FC91*(FT91+FU91)/(3.6*10^6)*3600*7200*0.07</f>
        <v>1773.8245752304144</v>
      </c>
      <c r="FW91">
        <f>('CAPEX+OPEX'!$C$39/7/100+0.03)*EL91</f>
        <v>90808.982260023418</v>
      </c>
      <c r="FX91">
        <f>('CAPEX+OPEX'!$C$39/7/100+0.03)*EM91</f>
        <v>163214.13725205767</v>
      </c>
      <c r="FY91">
        <f>SUM(FV91:FX91)</f>
        <v>255796.94408731151</v>
      </c>
      <c r="FZ91">
        <f>FY91+FA91+FS91+EU91</f>
        <v>22873909.420141503</v>
      </c>
      <c r="GA91">
        <f>FZ91+EO91</f>
        <v>24119792.111007433</v>
      </c>
      <c r="GB91">
        <f>GA91/(BK91*60*7200)</f>
        <v>0.55832852108813502</v>
      </c>
      <c r="GC91">
        <f>'TEA Revised Non EYZ'!EM91/'TEA Revised Non EYZ'!EK91*GA91</f>
        <v>1867.8707991453264</v>
      </c>
      <c r="GD91">
        <f>'TEA Revised Non EYZ'!EN91/'TEA Revised Non EYZ'!EK91*GA91</f>
        <v>3428.0034485234082</v>
      </c>
    </row>
    <row r="92" spans="1:186">
      <c r="A92">
        <f>'TEA Revised Non EYZ'!A92</f>
        <v>12</v>
      </c>
      <c r="B92">
        <f>'TEA Revised Non EYZ'!B92</f>
        <v>1.54143585092054E-3</v>
      </c>
      <c r="C92">
        <f>'TEA Revised Non EYZ'!C92</f>
        <v>1.54143585092054E-3</v>
      </c>
      <c r="D92">
        <f>'TEA Revised Non EYZ'!D92</f>
        <v>3.4254130020456501E-4</v>
      </c>
      <c r="E92">
        <f>'TEA Revised Non EYZ'!E92</f>
        <v>0</v>
      </c>
      <c r="F92">
        <f>'TEA Revised Non EYZ'!F92</f>
        <v>0</v>
      </c>
      <c r="G92">
        <f>'TEA Revised Non EYZ'!G92</f>
        <v>0</v>
      </c>
      <c r="H92">
        <f>'TEA Revised Non EYZ'!H92</f>
        <v>1.7771599281349402E-5</v>
      </c>
      <c r="I92">
        <f>'TEA Revised Non EYZ'!I92</f>
        <v>6.3113732322488897E-11</v>
      </c>
      <c r="J92">
        <f>'TEA Revised Non EYZ'!J92</f>
        <v>3.37661562480901E-4</v>
      </c>
      <c r="K92">
        <f>'TEA Revised Non EYZ'!K92</f>
        <v>0.13911791568267901</v>
      </c>
      <c r="L92">
        <f>'TEA Revised Non EYZ'!L92</f>
        <v>0.140740543921716</v>
      </c>
      <c r="M92">
        <f>'TEA Revised Non EYZ'!M92</f>
        <v>4.45543656000266E-4</v>
      </c>
      <c r="N92">
        <f>'TEA Revised Non EYZ'!N92</f>
        <v>-4.7646348672047899E-15</v>
      </c>
      <c r="O92">
        <f>'TEA Revised Non EYZ'!O92</f>
        <v>-1.1300289697036E-11</v>
      </c>
      <c r="P92">
        <f>'TEA Revised Non EYZ'!P92</f>
        <v>-4.6756218688437302E-19</v>
      </c>
      <c r="Q92">
        <f>'TEA Revised Non EYZ'!Q92</f>
        <v>0.10952322309941399</v>
      </c>
      <c r="R92">
        <f>'TEA Revised Non EYZ'!R92</f>
        <v>98.575430839799395</v>
      </c>
      <c r="S92">
        <f>'TEA Revised Non EYZ'!S92</f>
        <v>500</v>
      </c>
      <c r="T92">
        <f>'TEA Revised Non EYZ'!T92</f>
        <v>95</v>
      </c>
      <c r="U92">
        <f>'TEA Revised Non EYZ'!U92</f>
        <v>1</v>
      </c>
      <c r="V92">
        <f>'TEA Revised Non EYZ'!V92</f>
        <v>0.1</v>
      </c>
      <c r="W92">
        <f>'TEA Revised Non EYZ'!W92</f>
        <v>91.304836700459305</v>
      </c>
      <c r="X92" t="str">
        <f>'TEA Revised Non EYZ'!X92</f>
        <v>ddFc</v>
      </c>
      <c r="Y92">
        <f>'TEA Revised Non EYZ'!Y92</f>
        <v>1</v>
      </c>
      <c r="Z92">
        <f>'TEA Revised Non EYZ'!Z92</f>
        <v>0.28318429382522198</v>
      </c>
      <c r="AA92">
        <f>'TEA Revised Non EYZ'!AA92</f>
        <v>0.56945642916197003</v>
      </c>
      <c r="AB92">
        <f>'TEA Revised Non EYZ'!AB92</f>
        <v>3.7698628972227502E-3</v>
      </c>
      <c r="AC92">
        <f>'TEA Revised Non EYZ'!AC92</f>
        <v>1822.2107908876901</v>
      </c>
      <c r="AD92">
        <f>'TEA Revised Non EYZ'!AD92</f>
        <v>2662.6059073104898</v>
      </c>
      <c r="AE92">
        <f>'TEA Revised Non EYZ'!AE92</f>
        <v>2401.5030938442701</v>
      </c>
      <c r="AF92">
        <f>'TEA Revised Non EYZ'!AF92</f>
        <v>4</v>
      </c>
      <c r="AG92">
        <f>'TEA Revised Non EYZ'!AG92</f>
        <v>1.6497575706444501E-3</v>
      </c>
      <c r="AH92">
        <f>'TEA Revised Non EYZ'!AH92</f>
        <v>1.66899983148883E-3</v>
      </c>
      <c r="AI92">
        <f>'TEA Revised Non EYZ'!AI92</f>
        <v>5.28356837386519E-6</v>
      </c>
      <c r="AJ92">
        <f>'TEA Revised Non EYZ'!AJ92</f>
        <v>0</v>
      </c>
      <c r="AK92">
        <f>'TEA Revised Non EYZ'!AK92</f>
        <v>0</v>
      </c>
      <c r="AL92">
        <f>'TEA Revised Non EYZ'!AL92</f>
        <v>0</v>
      </c>
      <c r="AM92">
        <f>'TEA Revised Non EYZ'!AM92</f>
        <v>1.6048452348297699E-3</v>
      </c>
      <c r="AN92">
        <f>'TEA Revised Non EYZ'!AN92</f>
        <v>7.9223897063492306E-5</v>
      </c>
      <c r="AO92">
        <f>'TEA Revised Non EYZ'!AO92</f>
        <v>5.2416416138490404E-6</v>
      </c>
      <c r="AP92">
        <f>'TEA Revised Non EYZ'!AP92</f>
        <v>1.9874016210830801E-3</v>
      </c>
      <c r="AQ92">
        <f>'TEA Revised Non EYZ'!AQ92</f>
        <v>7.0348673954820695E-2</v>
      </c>
      <c r="AR92">
        <f>'TEA Revised Non EYZ'!AR92</f>
        <v>1.85528784684309E-6</v>
      </c>
      <c r="AS92">
        <f>'TEA Revised Non EYZ'!AS92</f>
        <v>-9.4900622733470806E-15</v>
      </c>
      <c r="AT92">
        <f>'TEA Revised Non EYZ'!AT92</f>
        <v>-1.22378452857563E-13</v>
      </c>
      <c r="AU92">
        <f>'TEA Revised Non EYZ'!AU92</f>
        <v>-3.0328014676440201E-18</v>
      </c>
      <c r="AV92">
        <f>'TEA Revised Non EYZ'!AV92</f>
        <v>0.20871283207273</v>
      </c>
      <c r="AW92">
        <f>'TEA Revised Non EYZ'!AW92</f>
        <v>99.206468866315106</v>
      </c>
      <c r="AX92">
        <f>'TEA Revised Non EYZ'!AX92</f>
        <v>500</v>
      </c>
      <c r="AY92">
        <f>'TEA Revised Non EYZ'!AY92</f>
        <v>95</v>
      </c>
      <c r="AZ92">
        <f>'TEA Revised Non EYZ'!AZ92</f>
        <v>0.92356857683566096</v>
      </c>
      <c r="BA92">
        <f>'TEA Revised Non EYZ'!BA92</f>
        <v>0.1</v>
      </c>
      <c r="BB92">
        <f>'TEA Revised Non EYZ'!BB92</f>
        <v>44.250684908239002</v>
      </c>
      <c r="BC92" t="str">
        <f>'TEA Revised Non EYZ'!BC92</f>
        <v>coeFc</v>
      </c>
      <c r="BD92">
        <f>'TEA Revised Non EYZ'!BD92</f>
        <v>1</v>
      </c>
      <c r="BE92">
        <f>'TEA Revised Non EYZ'!BE92</f>
        <v>1.8775014999999999E-2</v>
      </c>
      <c r="BF92">
        <f>'TEA Revised Non EYZ'!BF92</f>
        <v>0.10492961100000001</v>
      </c>
      <c r="BG92">
        <f>'TEA Revised Non EYZ'!BG92</f>
        <v>1.814625E-3</v>
      </c>
      <c r="BH92">
        <f>'TEA Revised Non EYZ'!BH92</f>
        <v>285.1951444</v>
      </c>
      <c r="BI92">
        <f>'TEA Revised Non EYZ'!BI92</f>
        <v>2169.8944889999998</v>
      </c>
      <c r="BJ92">
        <f>'TEA Revised Non EYZ'!BJ92</f>
        <v>866.49409060000005</v>
      </c>
      <c r="BK92">
        <f>'TEA Revised Non EYZ'!BK92</f>
        <v>100</v>
      </c>
      <c r="BL92">
        <f>'TEA Revised Non EYZ'!BL92</f>
        <v>10.952322309941399</v>
      </c>
      <c r="BM92">
        <f>'TEA Revised Non EYZ'!BM92</f>
        <v>92.356857683566091</v>
      </c>
      <c r="BN92">
        <f>'TEA Revised Non EYZ'!BN92</f>
        <v>20.871283207272999</v>
      </c>
      <c r="BO92">
        <f>'TEA Revised Non EYZ'!BO92</f>
        <v>306.6650246783592</v>
      </c>
      <c r="BP92">
        <f>'TEA Revised Non EYZ'!BP92</f>
        <v>250.455398487276</v>
      </c>
      <c r="BQ92">
        <f>'TEA Revised Non EYZ'!BQ92</f>
        <v>30.666502467835922</v>
      </c>
      <c r="BR92">
        <f>'TEA Revised Non EYZ'!BR92</f>
        <v>25.0455398487276</v>
      </c>
      <c r="BS92">
        <f>'eLLE Bals'!CF92</f>
        <v>6.5713933859648392</v>
      </c>
      <c r="BT92">
        <f>'eLLE Bals'!CG92</f>
        <v>12.522769924363798</v>
      </c>
      <c r="BU92">
        <f>BM92</f>
        <v>92.356857683566091</v>
      </c>
      <c r="BV92">
        <f>BU92*(AM92*2+AN92*2+AO92*3)</f>
        <v>0.31252297093278097</v>
      </c>
      <c r="BW92">
        <f>BN92*BA92*(AP92*2+AQ92*2+AR92*3)</f>
        <v>0.30196096056090294</v>
      </c>
      <c r="BX92">
        <f>BV92/(2*V92*BL92+BV92)</f>
        <v>0.12485998404237186</v>
      </c>
      <c r="BY92">
        <f>BU92*BX92</f>
        <v>11.531675776573671</v>
      </c>
      <c r="BZ92">
        <f>BW92/(2*BN92*BA92+BW92)</f>
        <v>6.7458954726628842E-2</v>
      </c>
      <c r="CA92">
        <f>2*BN92*BA92/0.04</f>
        <v>104.356416036365</v>
      </c>
      <c r="CB92">
        <f>(BS92+BL92)*2</f>
        <v>35.047431391812481</v>
      </c>
      <c r="CC92">
        <f>(BU92+BL92)*2</f>
        <v>206.61835998701497</v>
      </c>
      <c r="CD92">
        <f>(BT92+BN92)*2</f>
        <v>66.78810626327359</v>
      </c>
      <c r="CE92">
        <f>(CA92+BN92)*2</f>
        <v>250.455398487276</v>
      </c>
      <c r="CF92">
        <f>'TEA Revised Non EYZ'!CB92</f>
        <v>4047.9783257543413</v>
      </c>
      <c r="CG92">
        <f>'TEA Revised Non EYZ'!CC92</f>
        <v>3306.0112600320435</v>
      </c>
      <c r="CH92">
        <f>'TEA Revised Non EYZ'!CD92</f>
        <v>4890.707695899031</v>
      </c>
      <c r="CI92">
        <f>'TEA Revised Non EYZ'!CE92</f>
        <v>25499.558681291794</v>
      </c>
      <c r="CJ92">
        <f>BL92*V92</f>
        <v>1.09523223099414</v>
      </c>
      <c r="CK92">
        <f>CJ92/2*1.2</f>
        <v>0.65713933859648399</v>
      </c>
      <c r="CL92">
        <f>'eLLE Bals'!CB92*'Oxidant Feed Composition'!$N$20</f>
        <v>3.6507741033138016E-2</v>
      </c>
      <c r="CM92">
        <f>'eLLE Bals'!CB92*'Oxidant Feed Composition'!$N$21</f>
        <v>1.8253870516569002</v>
      </c>
      <c r="CN92">
        <f>'eLLE Bals'!CB92*'Oxidant Feed Composition'!$N$22</f>
        <v>0.54761611549707001</v>
      </c>
      <c r="CO92">
        <f>CN92/CK92</f>
        <v>0.83333333333333337</v>
      </c>
      <c r="CP92">
        <f>CO92</f>
        <v>0.83333333333333337</v>
      </c>
      <c r="CQ92">
        <f>CL92/CO92</f>
        <v>4.3809289239765618E-2</v>
      </c>
      <c r="CR92">
        <f>CM92/CO92</f>
        <v>2.19046446198828</v>
      </c>
      <c r="CS92">
        <f>BN92*BA92</f>
        <v>2.0871283207273001</v>
      </c>
      <c r="CT92">
        <f>CS92/2*1.2</f>
        <v>1.2522769924363801</v>
      </c>
      <c r="CU92">
        <f>'eLLE Bals'!CC92*'Oxidant Feed Composition'!$N$20</f>
        <v>6.9570944024243367E-2</v>
      </c>
      <c r="CV92">
        <f>'eLLE Bals'!CC92*'Oxidant Feed Composition'!$N$21</f>
        <v>3.4785472012121668</v>
      </c>
      <c r="CW92">
        <f>'eLLE Bals'!CC92*'Oxidant Feed Composition'!$N$22</f>
        <v>1.0435641603636501</v>
      </c>
      <c r="CX92">
        <f>CU92/CP92</f>
        <v>8.3485132829092035E-2</v>
      </c>
      <c r="CY92">
        <f>CV92/CP92</f>
        <v>4.1742566414546003</v>
      </c>
      <c r="CZ92">
        <f>CJ92</f>
        <v>1.09523223099414</v>
      </c>
      <c r="DA92">
        <f>'eLLE Bals'!BQ92</f>
        <v>2.19046446198828</v>
      </c>
      <c r="DB92">
        <f>'eLLE Bals'!BU92</f>
        <v>5.4859865602009936</v>
      </c>
      <c r="DC92">
        <f>CS92</f>
        <v>2.0871283207273001</v>
      </c>
      <c r="DD92">
        <f>'eLLE Bals'!BX92</f>
        <v>4.1742566414546003</v>
      </c>
      <c r="DE92">
        <f>'eLLE Bals'!CA92</f>
        <v>24.677848074932207</v>
      </c>
      <c r="DF92">
        <f>2*2*(CJ92*'Reagent cost'!$C$36*122.44/1000*1.5+CK92*'Oxidant Feed Composition'!$N$26+CQ92*'Reagent cost'!$C$34+CR92*'Reagent cost'!$C$35)</f>
        <v>111.45207741167536</v>
      </c>
      <c r="DG92">
        <f>2*2*(CS92*'Reagent cost'!$C$36*122.44/1000*1.5+CT92*'Oxidant Feed Composition'!$N$26+CX92*'Reagent cost'!$C$34+CY92*'Reagent cost'!$C$35)</f>
        <v>212.38855156650669</v>
      </c>
      <c r="DH92">
        <f>(AF92+3)*2*(CZ92*'Reagent cost'!$C$38+DA92*'Reagent cost'!$C$39+DB92*'Reagent cost'!$C$36*122.44/1000*1.5)</f>
        <v>1064.5011751204627</v>
      </c>
      <c r="DI92">
        <f>3*2*(DC92*'Reagent cost'!$C$38+DD92*'Reagent cost'!$C$39+DE92*'Reagent cost'!$C$36*122.44/1000*1.5)</f>
        <v>1976.2626340147845</v>
      </c>
      <c r="DJ92">
        <f>7963.6*(CB92/1000)^0.6*1.7*('CAPEX+OPEX'!$G$116/'CAPEX+OPEX'!$G$115)</f>
        <v>2138.1326451989207</v>
      </c>
      <c r="DK92">
        <f>7963.6*(CC92/1000)^0.6*1.7*('CAPEX+OPEX'!$G$116/'CAPEX+OPEX'!$G$115)</f>
        <v>6199.2945816251477</v>
      </c>
      <c r="DL92">
        <f>7963.6*(CD92/1000)^0.6*1.7*('CAPEX+OPEX'!$G$116/'CAPEX+OPEX'!$G$115)</f>
        <v>3148.1861614717395</v>
      </c>
      <c r="DM92">
        <f>7963.6*(CE92/1000)^0.6*1.7*('CAPEX+OPEX'!$G$116/'CAPEX+OPEX'!$G$115)</f>
        <v>6957.9157564774232</v>
      </c>
      <c r="DN92">
        <f>'TEA Revised Non EYZ'!CM92</f>
        <v>39625.826528698344</v>
      </c>
      <c r="DO92">
        <f>'TEA Revised Non EYZ'!CN92</f>
        <v>4586243.4239371875</v>
      </c>
      <c r="DP92">
        <f>'TEA Revised Non EYZ'!CO92</f>
        <v>11794834.586807497</v>
      </c>
      <c r="DQ92">
        <f>'TEA Revised Non EYZ'!CP92</f>
        <v>2275209.1661185985</v>
      </c>
      <c r="DR92">
        <f>'TEA Revised Non EYZ'!CQ92</f>
        <v>14083914.336508472</v>
      </c>
      <c r="DS92">
        <f>'TEA Revised Non EYZ'!CR92</f>
        <v>1662824.8986326549</v>
      </c>
      <c r="DT92">
        <f>'TEA Revised Non EYZ'!CS92</f>
        <v>936765.86395108781</v>
      </c>
      <c r="DU92">
        <f>'TEA Revised Non EYZ'!CT92</f>
        <v>2409160.916797909</v>
      </c>
      <c r="DV92">
        <f>'TEA Revised Non EYZ'!CU92</f>
        <v>464724.19432521454</v>
      </c>
      <c r="DW92">
        <f>'TEA Revised Non EYZ'!CV92</f>
        <v>2876718.2553791031</v>
      </c>
      <c r="DX92">
        <f>'TEA Revised Non EYZ'!CW92</f>
        <v>339641.28346021532</v>
      </c>
      <c r="DY92">
        <f>'TEA Revised Non EYZ'!CX92</f>
        <v>7027010.5139135299</v>
      </c>
      <c r="DZ92">
        <f>'TEA Revised Non EYZ'!CY92</f>
        <v>498637.38285704167</v>
      </c>
      <c r="EA92">
        <f>'TEA Revised Non EYZ'!CZ92</f>
        <v>1282388.4181333755</v>
      </c>
      <c r="EB92">
        <f>'TEA Revised Non EYZ'!DA92</f>
        <v>247371.15743232475</v>
      </c>
      <c r="EC92">
        <f>'TEA Revised Non EYZ'!DB92</f>
        <v>1531267.648918309</v>
      </c>
      <c r="ED92">
        <f>'TEA Revised Non EYZ'!DC92</f>
        <v>180789.93611113401</v>
      </c>
      <c r="EE92">
        <f>'TEA Revised Non EYZ'!DD92</f>
        <v>3740454.5434521851</v>
      </c>
      <c r="EF92">
        <v>0.7</v>
      </c>
      <c r="EG92">
        <v>100</v>
      </c>
      <c r="EH92">
        <f>96485*BL92*V92/EF92/EG92/60</f>
        <v>25.160352811302293</v>
      </c>
      <c r="EI92">
        <f>96485*BN92*BA92/EF92/EG92/60</f>
        <v>47.946803815565126</v>
      </c>
      <c r="EJ92">
        <f>EH92*('CAPEX+OPEX'!$O$25+'CAPEX+OPEX'!$O$26)</f>
        <v>801910.76480182668</v>
      </c>
      <c r="EK92">
        <f>EI92*('CAPEX+OPEX'!$O$25+'CAPEX+OPEX'!$O$26)</f>
        <v>1528160.5312096917</v>
      </c>
      <c r="EL92">
        <f>EJ92*1.12/0.6*'CAPEX+OPEX'!$G$116/'CAPEX+OPEX'!$G$115</f>
        <v>1765531.1495937889</v>
      </c>
      <c r="EM92">
        <f>EK92*1.12/0.6*'CAPEX+OPEX'!$G$116/'CAPEX+OPEX'!$G$115</f>
        <v>3364482.8550184793</v>
      </c>
      <c r="EN92">
        <f>EL92+EM92+DY92+EE92+1.15*(SUM(DF92:DM92)+SUM(CF92:CI92))</f>
        <v>15965964.309955725</v>
      </c>
      <c r="EO92">
        <f>EN92/15</f>
        <v>1064397.6206637151</v>
      </c>
      <c r="EP92">
        <f>('eLLE Bals'!CB92+'eLLE Bals'!CC92)*'Oxidant Feed Composition'!$N$28*60*7200</f>
        <v>17691298.604011025</v>
      </c>
      <c r="EQ92" s="53">
        <f>('eLLE Bals'!BR92+'eLLE Bals'!BY92)*'Reagent cost'!$C$38*60*7200*1.5</f>
        <v>759668.0796655732</v>
      </c>
      <c r="ER92">
        <f>'TEA Revised Non EYZ'!DI92</f>
        <v>504921.59999999998</v>
      </c>
      <c r="ES92">
        <f>'TEA Revised Non EYZ'!DJ92</f>
        <v>73.539895857863854</v>
      </c>
      <c r="ET92">
        <f>'TEA Revised Non EYZ'!DK92</f>
        <v>607.80532754381659</v>
      </c>
      <c r="EU92">
        <f>1.2*SUM(EP92:ET92)</f>
        <v>22747883.554679997</v>
      </c>
      <c r="EV92">
        <f>'TEA Revised Non EYZ'!DM92</f>
        <v>0.70639694042110623</v>
      </c>
      <c r="EW92">
        <f>(BS92*CO92+BT92*CP92)/1000*('Oxidant Feed Composition'!$B$11*'Oxidant Feed Composition'!$O$20+'Oxidant Feed Composition'!$D$11*'Oxidant Feed Composition'!$O$21+'Oxidant Feed Composition'!$F$11*'Oxidant Feed Composition'!$O$27-'Oxidant Feed Composition'!$J$15*18.015)</f>
        <v>1.8582525657346722</v>
      </c>
      <c r="EX92">
        <f>(CZ92*BX92+DC92*BZ92)*368.34/1000</f>
        <v>0.10223135765057732</v>
      </c>
      <c r="EY92">
        <f>'TEA Revised Non EYZ'!DP92</f>
        <v>4.999938342565946E-2</v>
      </c>
      <c r="EZ92">
        <f>SUM(EV92:EX92)-EY92</f>
        <v>2.6168814803806963</v>
      </c>
      <c r="FA92">
        <f>EZ92*0.33*60*7200</f>
        <v>373062.6238430721</v>
      </c>
      <c r="FB92">
        <f>'TEA Revised Non EYZ'!DS92</f>
        <v>1.2</v>
      </c>
      <c r="FC92">
        <v>0.5</v>
      </c>
      <c r="FD92">
        <f>'TEA Revised Non EYZ'!DT92</f>
        <v>1398.9403725553298</v>
      </c>
      <c r="FE92">
        <f>'TEA Revised Non EYZ'!DU92</f>
        <v>712.74132254763572</v>
      </c>
      <c r="FF92">
        <f>'TEA Revised Non EYZ'!DV92</f>
        <v>0.7</v>
      </c>
      <c r="FG92">
        <f>'TEA Revised Non EYZ'!DW92</f>
        <v>52288.524762496963</v>
      </c>
      <c r="FH92">
        <f>'TEA Revised Non EYZ'!DX92</f>
        <v>53983.928663982973</v>
      </c>
      <c r="FI92">
        <f>'TEA Revised Non EYZ'!DY92</f>
        <v>22856.098829508919</v>
      </c>
      <c r="FJ92">
        <f>'TEA Revised Non EYZ'!DZ92</f>
        <v>12107.513206066582</v>
      </c>
      <c r="FK92">
        <f>'TEA Revised Non EYZ'!EA92</f>
        <v>12189.919375738094</v>
      </c>
      <c r="FL92">
        <f>'TEA Revised Non EYZ'!EB92</f>
        <v>846.07913732146346</v>
      </c>
      <c r="FM92">
        <f>'TEA Revised Non EYZ'!EC92</f>
        <v>28284.996273452896</v>
      </c>
      <c r="FN92">
        <f>'TEA Revised Non EYZ'!ED92</f>
        <v>19396.918004101793</v>
      </c>
      <c r="FO92">
        <f>'TEA Revised Non EYZ'!EE92</f>
        <v>8212.4048001237406</v>
      </c>
      <c r="FP92">
        <f>'TEA Revised Non EYZ'!EF92</f>
        <v>4352.7618877396708</v>
      </c>
      <c r="FQ92">
        <f>'TEA Revised Non EYZ'!EG92</f>
        <v>4379.9492267326632</v>
      </c>
      <c r="FR92">
        <f>'TEA Revised Non EYZ'!EH92</f>
        <v>431.06595187681012</v>
      </c>
      <c r="FS92">
        <f>'TEA Revised Non EYZ'!EI92</f>
        <v>219330.16011914256</v>
      </c>
      <c r="FT92">
        <f>EG92*EH92</f>
        <v>2516.0352811302291</v>
      </c>
      <c r="FU92">
        <f>EG92*EI92</f>
        <v>4794.6803815565127</v>
      </c>
      <c r="FV92">
        <f>FC92*(FT92+FU92)/(3.6*10^6)*3600*7200*0.07</f>
        <v>1842.300346997059</v>
      </c>
      <c r="FW92">
        <f>('CAPEX+OPEX'!$C$39/7/100+0.03)*EL92</f>
        <v>90798.744836251994</v>
      </c>
      <c r="FX92">
        <f>('CAPEX+OPEX'!$C$39/7/100+0.03)*EM92</f>
        <v>173030.5468295218</v>
      </c>
      <c r="FY92">
        <f>SUM(FV92:FX92)</f>
        <v>265671.59201277082</v>
      </c>
      <c r="FZ92">
        <f>FY92+FA92+FS92+EU92</f>
        <v>23605947.930654984</v>
      </c>
      <c r="GA92">
        <f>FZ92+EO92</f>
        <v>24670345.551318698</v>
      </c>
      <c r="GB92">
        <f>GA92/(BK92*60*7200)</f>
        <v>0.57107281368793283</v>
      </c>
      <c r="GC92">
        <f>'TEA Revised Non EYZ'!EM92/'TEA Revised Non EYZ'!EK92*GA92</f>
        <v>1919.989954806618</v>
      </c>
      <c r="GD92">
        <f>'TEA Revised Non EYZ'!EN92/'TEA Revised Non EYZ'!EK92*GA92</f>
        <v>3474.7572729024441</v>
      </c>
    </row>
    <row r="93" spans="1:186">
      <c r="A93">
        <f>'TEA Revised Non EYZ'!A93</f>
        <v>12</v>
      </c>
      <c r="B93">
        <f>'TEA Revised Non EYZ'!B93</f>
        <v>1.54143585092054E-3</v>
      </c>
      <c r="C93">
        <f>'TEA Revised Non EYZ'!C93</f>
        <v>1.54143585092054E-3</v>
      </c>
      <c r="D93">
        <f>'TEA Revised Non EYZ'!D93</f>
        <v>3.4254130020456501E-4</v>
      </c>
      <c r="E93">
        <f>'TEA Revised Non EYZ'!E93</f>
        <v>0</v>
      </c>
      <c r="F93">
        <f>'TEA Revised Non EYZ'!F93</f>
        <v>0</v>
      </c>
      <c r="G93">
        <f>'TEA Revised Non EYZ'!G93</f>
        <v>0</v>
      </c>
      <c r="H93">
        <f>'TEA Revised Non EYZ'!H93</f>
        <v>1.7771599281349402E-5</v>
      </c>
      <c r="I93">
        <f>'TEA Revised Non EYZ'!I93</f>
        <v>6.3113732322488897E-11</v>
      </c>
      <c r="J93">
        <f>'TEA Revised Non EYZ'!J93</f>
        <v>3.37661562480901E-4</v>
      </c>
      <c r="K93">
        <f>'TEA Revised Non EYZ'!K93</f>
        <v>0.13911791568267901</v>
      </c>
      <c r="L93">
        <f>'TEA Revised Non EYZ'!L93</f>
        <v>0.140740543921716</v>
      </c>
      <c r="M93">
        <f>'TEA Revised Non EYZ'!M93</f>
        <v>4.45543656000266E-4</v>
      </c>
      <c r="N93">
        <f>'TEA Revised Non EYZ'!N93</f>
        <v>-4.7646348672047899E-15</v>
      </c>
      <c r="O93">
        <f>'TEA Revised Non EYZ'!O93</f>
        <v>-1.1300289697036E-11</v>
      </c>
      <c r="P93">
        <f>'TEA Revised Non EYZ'!P93</f>
        <v>-4.6756218688437302E-19</v>
      </c>
      <c r="Q93">
        <f>'TEA Revised Non EYZ'!Q93</f>
        <v>0.10952322309941399</v>
      </c>
      <c r="R93">
        <f>'TEA Revised Non EYZ'!R93</f>
        <v>98.575430839799395</v>
      </c>
      <c r="S93">
        <f>'TEA Revised Non EYZ'!S93</f>
        <v>500</v>
      </c>
      <c r="T93">
        <f>'TEA Revised Non EYZ'!T93</f>
        <v>95</v>
      </c>
      <c r="U93">
        <f>'TEA Revised Non EYZ'!U93</f>
        <v>1</v>
      </c>
      <c r="V93">
        <f>'TEA Revised Non EYZ'!V93</f>
        <v>0.1</v>
      </c>
      <c r="W93">
        <f>'TEA Revised Non EYZ'!W93</f>
        <v>91.304836700459305</v>
      </c>
      <c r="X93" t="str">
        <f>'TEA Revised Non EYZ'!X93</f>
        <v>ddFc</v>
      </c>
      <c r="Y93">
        <f>'TEA Revised Non EYZ'!Y93</f>
        <v>1</v>
      </c>
      <c r="Z93">
        <f>'TEA Revised Non EYZ'!Z93</f>
        <v>0.28318429382522198</v>
      </c>
      <c r="AA93">
        <f>'TEA Revised Non EYZ'!AA93</f>
        <v>0.56945642916197003</v>
      </c>
      <c r="AB93">
        <f>'TEA Revised Non EYZ'!AB93</f>
        <v>3.7698628972227502E-3</v>
      </c>
      <c r="AC93">
        <f>'TEA Revised Non EYZ'!AC93</f>
        <v>1822.2107908876901</v>
      </c>
      <c r="AD93">
        <f>'TEA Revised Non EYZ'!AD93</f>
        <v>2662.6059073104898</v>
      </c>
      <c r="AE93">
        <f>'TEA Revised Non EYZ'!AE93</f>
        <v>2401.5030938442701</v>
      </c>
      <c r="AF93">
        <f>'TEA Revised Non EYZ'!AF93</f>
        <v>5</v>
      </c>
      <c r="AG93">
        <f>'TEA Revised Non EYZ'!AG93</f>
        <v>1.6497575706444501E-3</v>
      </c>
      <c r="AH93">
        <f>'TEA Revised Non EYZ'!AH93</f>
        <v>1.66899983148883E-3</v>
      </c>
      <c r="AI93">
        <f>'TEA Revised Non EYZ'!AI93</f>
        <v>5.28356837386519E-6</v>
      </c>
      <c r="AJ93">
        <f>'TEA Revised Non EYZ'!AJ93</f>
        <v>0</v>
      </c>
      <c r="AK93">
        <f>'TEA Revised Non EYZ'!AK93</f>
        <v>0</v>
      </c>
      <c r="AL93">
        <f>'TEA Revised Non EYZ'!AL93</f>
        <v>0</v>
      </c>
      <c r="AM93">
        <f>'TEA Revised Non EYZ'!AM93</f>
        <v>1.61044680899333E-3</v>
      </c>
      <c r="AN93">
        <f>'TEA Revised Non EYZ'!AN93</f>
        <v>7.9513667548027593E-5</v>
      </c>
      <c r="AO93">
        <f>'TEA Revised Non EYZ'!AO93</f>
        <v>5.2466908500710802E-6</v>
      </c>
      <c r="AP93">
        <f>'TEA Revised Non EYZ'!AP93</f>
        <v>1.8118119800337601E-3</v>
      </c>
      <c r="AQ93">
        <f>'TEA Revised Non EYZ'!AQ93</f>
        <v>7.3258567195411697E-2</v>
      </c>
      <c r="AR93">
        <f>'TEA Revised Non EYZ'!AR93</f>
        <v>1.6996653485653601E-6</v>
      </c>
      <c r="AS93">
        <f>'TEA Revised Non EYZ'!AS93</f>
        <v>-4.4472617862639699E-17</v>
      </c>
      <c r="AT93">
        <f>'TEA Revised Non EYZ'!AT93</f>
        <v>1.89518539750466E-16</v>
      </c>
      <c r="AU93">
        <f>'TEA Revised Non EYZ'!AU93</f>
        <v>-3.4807760176231399E-20</v>
      </c>
      <c r="AV93">
        <f>'TEA Revised Non EYZ'!AV93</f>
        <v>0.20038604773893701</v>
      </c>
      <c r="AW93">
        <f>'TEA Revised Non EYZ'!AW93</f>
        <v>99.302033754753197</v>
      </c>
      <c r="AX93">
        <f>'TEA Revised Non EYZ'!AX93</f>
        <v>500</v>
      </c>
      <c r="AY93">
        <f>'TEA Revised Non EYZ'!AY93</f>
        <v>95</v>
      </c>
      <c r="AZ93">
        <f>'TEA Revised Non EYZ'!AZ93</f>
        <v>0.92356857683566096</v>
      </c>
      <c r="BA93">
        <f>'TEA Revised Non EYZ'!BA93</f>
        <v>0.1</v>
      </c>
      <c r="BB93">
        <f>'TEA Revised Non EYZ'!BB93</f>
        <v>46.089465172689103</v>
      </c>
      <c r="BC93" t="str">
        <f>'TEA Revised Non EYZ'!BC93</f>
        <v>coeFc</v>
      </c>
      <c r="BD93">
        <f>'TEA Revised Non EYZ'!BD93</f>
        <v>1</v>
      </c>
      <c r="BE93">
        <f>'TEA Revised Non EYZ'!BE93</f>
        <v>1.8775014999999999E-2</v>
      </c>
      <c r="BF93">
        <f>'TEA Revised Non EYZ'!BF93</f>
        <v>0.10492961100000001</v>
      </c>
      <c r="BG93">
        <f>'TEA Revised Non EYZ'!BG93</f>
        <v>1.814625E-3</v>
      </c>
      <c r="BH93">
        <f>'TEA Revised Non EYZ'!BH93</f>
        <v>285.1951444</v>
      </c>
      <c r="BI93">
        <f>'TEA Revised Non EYZ'!BI93</f>
        <v>2169.8944889999998</v>
      </c>
      <c r="BJ93">
        <f>'TEA Revised Non EYZ'!BJ93</f>
        <v>866.49409060000005</v>
      </c>
      <c r="BK93">
        <f>'TEA Revised Non EYZ'!BK93</f>
        <v>100</v>
      </c>
      <c r="BL93">
        <f>'TEA Revised Non EYZ'!BL93</f>
        <v>10.952322309941399</v>
      </c>
      <c r="BM93">
        <f>'TEA Revised Non EYZ'!BM93</f>
        <v>92.356857683566091</v>
      </c>
      <c r="BN93">
        <f>'TEA Revised Non EYZ'!BN93</f>
        <v>20.038604773893702</v>
      </c>
      <c r="BO93">
        <f>'TEA Revised Non EYZ'!BO93</f>
        <v>306.6650246783592</v>
      </c>
      <c r="BP93">
        <f>'TEA Revised Non EYZ'!BP93</f>
        <v>280.54046683451185</v>
      </c>
      <c r="BQ93">
        <f>'TEA Revised Non EYZ'!BQ93</f>
        <v>30.666502467835922</v>
      </c>
      <c r="BR93">
        <f>'TEA Revised Non EYZ'!BR93</f>
        <v>28.054046683451187</v>
      </c>
      <c r="BS93">
        <f>'eLLE Bals'!CF93</f>
        <v>6.5713933859648392</v>
      </c>
      <c r="BT93">
        <f>'eLLE Bals'!CG93</f>
        <v>12.023162864336221</v>
      </c>
      <c r="BU93">
        <f>BM93</f>
        <v>92.356857683566091</v>
      </c>
      <c r="BV93">
        <f>BU93*(AM93*2+AN93*2+AO93*3)</f>
        <v>0.31361258208601245</v>
      </c>
      <c r="BW93">
        <f>BN93*BA93*(AP93*2+AQ93*2+AR93*3)</f>
        <v>0.30087134938126869</v>
      </c>
      <c r="BX93">
        <f>BV93/(2*V93*BL93+BV93)</f>
        <v>0.12524078794945737</v>
      </c>
      <c r="BY93">
        <f>BU93*BX93</f>
        <v>11.566845628825712</v>
      </c>
      <c r="BZ93">
        <f>BW93/(2*BN93*BA93+BW93)</f>
        <v>6.9830545139017444E-2</v>
      </c>
      <c r="CA93">
        <f>2*BN93*BA93/0.04</f>
        <v>100.1930238694685</v>
      </c>
      <c r="CB93">
        <f>(BS93+BL93)*2</f>
        <v>35.047431391812481</v>
      </c>
      <c r="CC93">
        <f>(BU93+BL93)*2</f>
        <v>206.61835998701497</v>
      </c>
      <c r="CD93">
        <f>(BT93+BN93)*2</f>
        <v>64.123535276459847</v>
      </c>
      <c r="CE93">
        <f>(CA93+BN93)*2</f>
        <v>240.4632572867244</v>
      </c>
      <c r="CF93">
        <f>'TEA Revised Non EYZ'!CB93</f>
        <v>4047.9783257543413</v>
      </c>
      <c r="CG93">
        <f>'TEA Revised Non EYZ'!CC93</f>
        <v>3703.1341622155564</v>
      </c>
      <c r="CH93">
        <f>'TEA Revised Non EYZ'!CD93</f>
        <v>4890.707695899031</v>
      </c>
      <c r="CI93">
        <f>'TEA Revised Non EYZ'!CE93</f>
        <v>28562.602921442158</v>
      </c>
      <c r="CJ93">
        <f>BL93*V93</f>
        <v>1.09523223099414</v>
      </c>
      <c r="CK93">
        <f>CJ93/2*1.2</f>
        <v>0.65713933859648399</v>
      </c>
      <c r="CL93">
        <f>'eLLE Bals'!CB93*'Oxidant Feed Composition'!$N$20</f>
        <v>3.6507741033138016E-2</v>
      </c>
      <c r="CM93">
        <f>'eLLE Bals'!CB93*'Oxidant Feed Composition'!$N$21</f>
        <v>1.8253870516569002</v>
      </c>
      <c r="CN93">
        <f>'eLLE Bals'!CB93*'Oxidant Feed Composition'!$N$22</f>
        <v>0.54761611549707001</v>
      </c>
      <c r="CO93">
        <f>CN93/CK93</f>
        <v>0.83333333333333337</v>
      </c>
      <c r="CP93">
        <f>CO93</f>
        <v>0.83333333333333337</v>
      </c>
      <c r="CQ93">
        <f>CL93/CO93</f>
        <v>4.3809289239765618E-2</v>
      </c>
      <c r="CR93">
        <f>CM93/CO93</f>
        <v>2.19046446198828</v>
      </c>
      <c r="CS93">
        <f>BN93*BA93</f>
        <v>2.0038604773893702</v>
      </c>
      <c r="CT93">
        <f>CS93/2*1.2</f>
        <v>1.2023162864336221</v>
      </c>
      <c r="CU93">
        <f>'eLLE Bals'!CC93*'Oxidant Feed Composition'!$N$20</f>
        <v>6.6795349246312377E-2</v>
      </c>
      <c r="CV93">
        <f>'eLLE Bals'!CC93*'Oxidant Feed Composition'!$N$21</f>
        <v>3.3397674623156175</v>
      </c>
      <c r="CW93">
        <f>'eLLE Bals'!CC93*'Oxidant Feed Composition'!$N$22</f>
        <v>1.0019302386946851</v>
      </c>
      <c r="CX93">
        <f>CU93/CP93</f>
        <v>8.0154419095574844E-2</v>
      </c>
      <c r="CY93">
        <f>CV93/CP93</f>
        <v>4.0077209547787405</v>
      </c>
      <c r="CZ93">
        <f>CJ93</f>
        <v>1.09523223099414</v>
      </c>
      <c r="DA93">
        <f>'eLLE Bals'!BQ93</f>
        <v>2.19046446198828</v>
      </c>
      <c r="DB93">
        <f>'eLLE Bals'!BU93</f>
        <v>5.4593156063342487</v>
      </c>
      <c r="DC93">
        <f>CS93</f>
        <v>2.0038604773893702</v>
      </c>
      <c r="DD93">
        <f>'eLLE Bals'!BX93</f>
        <v>4.0077209547787405</v>
      </c>
      <c r="DE93">
        <f>'eLLE Bals'!CA93</f>
        <v>22.684463735460461</v>
      </c>
      <c r="DF93">
        <f>2*2*(CJ93*'Reagent cost'!$C$36*122.44/1000*1.5+CK93*'Oxidant Feed Composition'!$N$26+CQ93*'Reagent cost'!$C$34+CR93*'Reagent cost'!$C$35)</f>
        <v>111.45207741167536</v>
      </c>
      <c r="DG93">
        <f>2*2*(CS93*'Reagent cost'!$C$36*122.44/1000*1.5+CT93*'Oxidant Feed Composition'!$N$26+CX93*'Reagent cost'!$C$34+CY93*'Reagent cost'!$C$35)</f>
        <v>203.915121129586</v>
      </c>
      <c r="DH93">
        <f>(AF93+3)*2*(CZ93*'Reagent cost'!$C$38+DA93*'Reagent cost'!$C$39+DB93*'Reagent cost'!$C$36*122.44/1000*1.5)</f>
        <v>1211.0379856897362</v>
      </c>
      <c r="DI93">
        <f>3*2*(DC93*'Reagent cost'!$C$38+DD93*'Reagent cost'!$C$39+DE93*'Reagent cost'!$C$36*122.44/1000*1.5)</f>
        <v>1818.9095586567132</v>
      </c>
      <c r="DJ93">
        <f>7963.6*(CB93/1000)^0.6*1.7*('CAPEX+OPEX'!$G$116/'CAPEX+OPEX'!$G$115)</f>
        <v>2138.1326451989207</v>
      </c>
      <c r="DK93">
        <f>7963.6*(CC93/1000)^0.6*1.7*('CAPEX+OPEX'!$G$116/'CAPEX+OPEX'!$G$115)</f>
        <v>6199.2945816251477</v>
      </c>
      <c r="DL93">
        <f>7963.6*(CD93/1000)^0.6*1.7*('CAPEX+OPEX'!$G$116/'CAPEX+OPEX'!$G$115)</f>
        <v>3072.2135668030037</v>
      </c>
      <c r="DM93">
        <f>7963.6*(CE93/1000)^0.6*1.7*('CAPEX+OPEX'!$G$116/'CAPEX+OPEX'!$G$115)</f>
        <v>6790.0060820193685</v>
      </c>
      <c r="DN93">
        <f>'TEA Revised Non EYZ'!CM93</f>
        <v>39625.826528698344</v>
      </c>
      <c r="DO93">
        <f>'TEA Revised Non EYZ'!CN93</f>
        <v>4586243.4239371875</v>
      </c>
      <c r="DP93">
        <f>'TEA Revised Non EYZ'!CO93</f>
        <v>11794834.586807497</v>
      </c>
      <c r="DQ93">
        <f>'TEA Revised Non EYZ'!CP93</f>
        <v>2275209.1661185985</v>
      </c>
      <c r="DR93">
        <f>'TEA Revised Non EYZ'!CQ93</f>
        <v>14083914.336508472</v>
      </c>
      <c r="DS93">
        <f>'TEA Revised Non EYZ'!CR93</f>
        <v>1662824.8986326549</v>
      </c>
      <c r="DT93">
        <f>'TEA Revised Non EYZ'!CS93</f>
        <v>936765.86395108781</v>
      </c>
      <c r="DU93">
        <f>'TEA Revised Non EYZ'!CT93</f>
        <v>2409160.916797909</v>
      </c>
      <c r="DV93">
        <f>'TEA Revised Non EYZ'!CU93</f>
        <v>464724.19432521454</v>
      </c>
      <c r="DW93">
        <f>'TEA Revised Non EYZ'!CV93</f>
        <v>2876718.2553791031</v>
      </c>
      <c r="DX93">
        <f>'TEA Revised Non EYZ'!CW93</f>
        <v>339641.28346021532</v>
      </c>
      <c r="DY93">
        <f>'TEA Revised Non EYZ'!CX93</f>
        <v>7027010.5139135299</v>
      </c>
      <c r="DZ93">
        <f>'TEA Revised Non EYZ'!CY93</f>
        <v>556280.17433304957</v>
      </c>
      <c r="EA93">
        <f>'TEA Revised Non EYZ'!CZ93</f>
        <v>1430633.3165687236</v>
      </c>
      <c r="EB93">
        <f>'TEA Revised Non EYZ'!DA93</f>
        <v>275967.41702952847</v>
      </c>
      <c r="EC93">
        <f>'TEA Revised Non EYZ'!DB93</f>
        <v>1708283.1411680363</v>
      </c>
      <c r="ED93">
        <f>'TEA Revised Non EYZ'!DC93</f>
        <v>201689.36512807687</v>
      </c>
      <c r="EE93">
        <f>'TEA Revised Non EYZ'!DD93</f>
        <v>4172853.4142274149</v>
      </c>
      <c r="EF93">
        <v>0.7</v>
      </c>
      <c r="EG93">
        <v>100</v>
      </c>
      <c r="EH93">
        <f>96485*BL93*V93/EF93/EG93/60</f>
        <v>25.160352811302293</v>
      </c>
      <c r="EI93">
        <f>96485*BN93*BA93/EF93/EG93/60</f>
        <v>46.033923371646054</v>
      </c>
      <c r="EJ93">
        <f>EH93*('CAPEX+OPEX'!$O$25+'CAPEX+OPEX'!$O$26)</f>
        <v>801910.76480182668</v>
      </c>
      <c r="EK93">
        <f>EI93*('CAPEX+OPEX'!$O$25+'CAPEX+OPEX'!$O$26)</f>
        <v>1467193.205701103</v>
      </c>
      <c r="EL93">
        <f>EJ93*1.12/0.6*'CAPEX+OPEX'!$G$116/'CAPEX+OPEX'!$G$115</f>
        <v>1765531.1495937889</v>
      </c>
      <c r="EM93">
        <f>EK93*1.12/0.6*'CAPEX+OPEX'!$G$116/'CAPEX+OPEX'!$G$115</f>
        <v>3230253.8148092008</v>
      </c>
      <c r="EN93">
        <f>EL93+EM93+DY93+EE93+1.15*(SUM(DF93:DM93)+SUM(CF93:CI93))</f>
        <v>16267810.684976356</v>
      </c>
      <c r="EO93">
        <f>EN93/15</f>
        <v>1084520.7123317572</v>
      </c>
      <c r="EP93">
        <f>('eLLE Bals'!CB93+'eLLE Bals'!CC93)*'Oxidant Feed Composition'!$N$28*60*7200</f>
        <v>17228398.107143547</v>
      </c>
      <c r="EQ93" s="53">
        <f>('eLLE Bals'!BR93+'eLLE Bals'!BY93)*'Reagent cost'!$C$38*60*7200*1.5</f>
        <v>758442.53062840865</v>
      </c>
      <c r="ER93">
        <f>'TEA Revised Non EYZ'!DI93</f>
        <v>504921.59999999998</v>
      </c>
      <c r="ES93">
        <f>'TEA Revised Non EYZ'!DJ93</f>
        <v>77.511124879698983</v>
      </c>
      <c r="ET93">
        <f>'TEA Revised Non EYZ'!DK93</f>
        <v>669.0662123468237</v>
      </c>
      <c r="EU93">
        <f>1.2*SUM(EP93:ET93)</f>
        <v>22191010.578131024</v>
      </c>
      <c r="EV93">
        <f>'TEA Revised Non EYZ'!DM93</f>
        <v>0.70639694042110623</v>
      </c>
      <c r="EW93">
        <f>(BS93*CO93+BT93*CP93)/1000*('Oxidant Feed Composition'!$B$11*'Oxidant Feed Composition'!$O$20+'Oxidant Feed Composition'!$D$11*'Oxidant Feed Composition'!$O$21+'Oxidant Feed Composition'!$F$11*'Oxidant Feed Composition'!$O$27-'Oxidant Feed Composition'!$J$15*18.015)</f>
        <v>1.8096305818296117</v>
      </c>
      <c r="EX93">
        <f>(CZ93*BX93+DC93*BZ93)*368.34/1000</f>
        <v>0.10206643096049994</v>
      </c>
      <c r="EY93">
        <f>'TEA Revised Non EYZ'!DP93</f>
        <v>4.999938342565946E-2</v>
      </c>
      <c r="EZ93">
        <f>SUM(EV93:EX93)-EY93</f>
        <v>2.5680945697855586</v>
      </c>
      <c r="FA93">
        <f>EZ93*0.33*60*7200</f>
        <v>366107.5618686293</v>
      </c>
      <c r="FB93">
        <f>'TEA Revised Non EYZ'!DS93</f>
        <v>1.2</v>
      </c>
      <c r="FC93">
        <v>0.5</v>
      </c>
      <c r="FD93">
        <f>'TEA Revised Non EYZ'!DT93</f>
        <v>1403.8204430995365</v>
      </c>
      <c r="FE93">
        <f>'TEA Revised Non EYZ'!DU93</f>
        <v>707.86125193843873</v>
      </c>
      <c r="FF93">
        <f>'TEA Revised Non EYZ'!DV93</f>
        <v>0.7</v>
      </c>
      <c r="FG93">
        <f>'TEA Revised Non EYZ'!DW93</f>
        <v>52288.524762496963</v>
      </c>
      <c r="FH93">
        <f>'TEA Revised Non EYZ'!DX93</f>
        <v>53983.928663982973</v>
      </c>
      <c r="FI93">
        <f>'TEA Revised Non EYZ'!DY93</f>
        <v>22856.098829508919</v>
      </c>
      <c r="FJ93">
        <f>'TEA Revised Non EYZ'!DZ93</f>
        <v>12107.513206066582</v>
      </c>
      <c r="FK93">
        <f>'TEA Revised Non EYZ'!EA93</f>
        <v>12189.919375738094</v>
      </c>
      <c r="FL93">
        <f>'TEA Revised Non EYZ'!EB93</f>
        <v>849.03060398659966</v>
      </c>
      <c r="FM93">
        <f>'TEA Revised Non EYZ'!EC93</f>
        <v>30856.35957103952</v>
      </c>
      <c r="FN93">
        <f>'TEA Revised Non EYZ'!ED93</f>
        <v>23276.301604922155</v>
      </c>
      <c r="FO93">
        <f>'TEA Revised Non EYZ'!EE93</f>
        <v>9854.8857601484906</v>
      </c>
      <c r="FP93">
        <f>'TEA Revised Non EYZ'!EF93</f>
        <v>5223.3142652876058</v>
      </c>
      <c r="FQ93">
        <f>'TEA Revised Non EYZ'!EG93</f>
        <v>5255.9390720791962</v>
      </c>
      <c r="FR93">
        <f>'TEA Revised Non EYZ'!EH93</f>
        <v>428.11448517236784</v>
      </c>
      <c r="FS93">
        <f>'TEA Revised Non EYZ'!EI93</f>
        <v>229169.93020042952</v>
      </c>
      <c r="FT93">
        <f>EG93*EH93</f>
        <v>2516.0352811302291</v>
      </c>
      <c r="FU93">
        <f>EG93*EI93</f>
        <v>4603.3923371646051</v>
      </c>
      <c r="FV93">
        <f>FC93*(FT93+FU93)/(3.6*10^6)*3600*7200*0.07</f>
        <v>1794.0957598102984</v>
      </c>
      <c r="FW93">
        <f>('CAPEX+OPEX'!$C$39/7/100+0.03)*EL93</f>
        <v>90798.744836251994</v>
      </c>
      <c r="FX93">
        <f>('CAPEX+OPEX'!$C$39/7/100+0.03)*EM93</f>
        <v>166127.33904733032</v>
      </c>
      <c r="FY93">
        <f>SUM(FV93:FX93)</f>
        <v>258720.17964339262</v>
      </c>
      <c r="FZ93">
        <f>FY93+FA93+FS93+EU93</f>
        <v>23045008.249843474</v>
      </c>
      <c r="GA93">
        <f>FZ93+EO93</f>
        <v>24129528.962175231</v>
      </c>
      <c r="GB93">
        <f>GA93/(BK93*60*7200)</f>
        <v>0.55855391116146369</v>
      </c>
      <c r="GC93">
        <f>'TEA Revised Non EYZ'!EM93/'TEA Revised Non EYZ'!EK93*GA93</f>
        <v>1871.3683382500581</v>
      </c>
      <c r="GD93">
        <f>'TEA Revised Non EYZ'!EN93/'TEA Revised Non EYZ'!EK93*GA93</f>
        <v>3420.1904086029972</v>
      </c>
    </row>
    <row r="94" spans="1:186">
      <c r="A94">
        <f>'TEA Revised Non EYZ'!A94</f>
        <v>12</v>
      </c>
      <c r="B94">
        <f>'TEA Revised Non EYZ'!B94</f>
        <v>1.54143585092054E-3</v>
      </c>
      <c r="C94">
        <f>'TEA Revised Non EYZ'!C94</f>
        <v>1.54143585092054E-3</v>
      </c>
      <c r="D94">
        <f>'TEA Revised Non EYZ'!D94</f>
        <v>3.4254130020456501E-4</v>
      </c>
      <c r="E94">
        <f>'TEA Revised Non EYZ'!E94</f>
        <v>0</v>
      </c>
      <c r="F94">
        <f>'TEA Revised Non EYZ'!F94</f>
        <v>0</v>
      </c>
      <c r="G94">
        <f>'TEA Revised Non EYZ'!G94</f>
        <v>0</v>
      </c>
      <c r="H94">
        <f>'TEA Revised Non EYZ'!H94</f>
        <v>1.7771599281349402E-5</v>
      </c>
      <c r="I94">
        <f>'TEA Revised Non EYZ'!I94</f>
        <v>6.3113732322488897E-11</v>
      </c>
      <c r="J94">
        <f>'TEA Revised Non EYZ'!J94</f>
        <v>3.37661562480901E-4</v>
      </c>
      <c r="K94">
        <f>'TEA Revised Non EYZ'!K94</f>
        <v>0.13911791568267901</v>
      </c>
      <c r="L94">
        <f>'TEA Revised Non EYZ'!L94</f>
        <v>0.140740543921716</v>
      </c>
      <c r="M94">
        <f>'TEA Revised Non EYZ'!M94</f>
        <v>4.45543656000266E-4</v>
      </c>
      <c r="N94">
        <f>'TEA Revised Non EYZ'!N94</f>
        <v>-4.7646348672047899E-15</v>
      </c>
      <c r="O94">
        <f>'TEA Revised Non EYZ'!O94</f>
        <v>-1.1300289697036E-11</v>
      </c>
      <c r="P94">
        <f>'TEA Revised Non EYZ'!P94</f>
        <v>-4.6756218688437302E-19</v>
      </c>
      <c r="Q94">
        <f>'TEA Revised Non EYZ'!Q94</f>
        <v>0.10952322309941399</v>
      </c>
      <c r="R94">
        <f>'TEA Revised Non EYZ'!R94</f>
        <v>98.575430839799395</v>
      </c>
      <c r="S94">
        <f>'TEA Revised Non EYZ'!S94</f>
        <v>500</v>
      </c>
      <c r="T94">
        <f>'TEA Revised Non EYZ'!T94</f>
        <v>95</v>
      </c>
      <c r="U94">
        <f>'TEA Revised Non EYZ'!U94</f>
        <v>1</v>
      </c>
      <c r="V94">
        <f>'TEA Revised Non EYZ'!V94</f>
        <v>0.1</v>
      </c>
      <c r="W94">
        <f>'TEA Revised Non EYZ'!W94</f>
        <v>91.304836700459305</v>
      </c>
      <c r="X94" t="str">
        <f>'TEA Revised Non EYZ'!X94</f>
        <v>ddFc</v>
      </c>
      <c r="Y94">
        <f>'TEA Revised Non EYZ'!Y94</f>
        <v>1</v>
      </c>
      <c r="Z94">
        <f>'TEA Revised Non EYZ'!Z94</f>
        <v>0.28318429382522198</v>
      </c>
      <c r="AA94">
        <f>'TEA Revised Non EYZ'!AA94</f>
        <v>0.56945642916197003</v>
      </c>
      <c r="AB94">
        <f>'TEA Revised Non EYZ'!AB94</f>
        <v>3.7698628972227502E-3</v>
      </c>
      <c r="AC94">
        <f>'TEA Revised Non EYZ'!AC94</f>
        <v>1822.2107908876901</v>
      </c>
      <c r="AD94">
        <f>'TEA Revised Non EYZ'!AD94</f>
        <v>2662.6059073104898</v>
      </c>
      <c r="AE94">
        <f>'TEA Revised Non EYZ'!AE94</f>
        <v>2401.5030938442701</v>
      </c>
      <c r="AF94">
        <f>'TEA Revised Non EYZ'!AF94</f>
        <v>6</v>
      </c>
      <c r="AG94">
        <f>'TEA Revised Non EYZ'!AG94</f>
        <v>1.6497575706444501E-3</v>
      </c>
      <c r="AH94">
        <f>'TEA Revised Non EYZ'!AH94</f>
        <v>1.66899983148883E-3</v>
      </c>
      <c r="AI94">
        <f>'TEA Revised Non EYZ'!AI94</f>
        <v>5.28356837386519E-6</v>
      </c>
      <c r="AJ94">
        <f>'TEA Revised Non EYZ'!AJ94</f>
        <v>0</v>
      </c>
      <c r="AK94">
        <f>'TEA Revised Non EYZ'!AK94</f>
        <v>0</v>
      </c>
      <c r="AL94">
        <f>'TEA Revised Non EYZ'!AL94</f>
        <v>0</v>
      </c>
      <c r="AM94">
        <f>'TEA Revised Non EYZ'!AM94</f>
        <v>1.6121282837362799E-3</v>
      </c>
      <c r="AN94">
        <f>'TEA Revised Non EYZ'!AN94</f>
        <v>7.9600650767137996E-5</v>
      </c>
      <c r="AO94">
        <f>'TEA Revised Non EYZ'!AO94</f>
        <v>5.2482064740735796E-6</v>
      </c>
      <c r="AP94">
        <f>'TEA Revised Non EYZ'!AP94</f>
        <v>1.7562196007610399E-3</v>
      </c>
      <c r="AQ94">
        <f>'TEA Revised Non EYZ'!AQ94</f>
        <v>7.4179827043465804E-2</v>
      </c>
      <c r="AR94">
        <f>'TEA Revised Non EYZ'!AR94</f>
        <v>1.6503969816312101E-6</v>
      </c>
      <c r="AS94">
        <f>'TEA Revised Non EYZ'!AS94</f>
        <v>-1.9447876468958701E-18</v>
      </c>
      <c r="AT94">
        <f>'TEA Revised Non EYZ'!AT94</f>
        <v>-1.4658413372004E-16</v>
      </c>
      <c r="AU94">
        <f>'TEA Revised Non EYZ'!AU94</f>
        <v>-2.85211875208283E-21</v>
      </c>
      <c r="AV94">
        <f>'TEA Revised Non EYZ'!AV94</f>
        <v>0.19788656806963401</v>
      </c>
      <c r="AW94">
        <f>'TEA Revised Non EYZ'!AW94</f>
        <v>99.330719368248694</v>
      </c>
      <c r="AX94">
        <f>'TEA Revised Non EYZ'!AX94</f>
        <v>500</v>
      </c>
      <c r="AY94">
        <f>'TEA Revised Non EYZ'!AY94</f>
        <v>95</v>
      </c>
      <c r="AZ94">
        <f>'TEA Revised Non EYZ'!AZ94</f>
        <v>0.92356857683566096</v>
      </c>
      <c r="BA94">
        <f>'TEA Revised Non EYZ'!BA94</f>
        <v>0.1</v>
      </c>
      <c r="BB94">
        <f>'TEA Revised Non EYZ'!BB94</f>
        <v>46.671615251352797</v>
      </c>
      <c r="BC94" t="str">
        <f>'TEA Revised Non EYZ'!BC94</f>
        <v>coeFc</v>
      </c>
      <c r="BD94">
        <f>'TEA Revised Non EYZ'!BD94</f>
        <v>1</v>
      </c>
      <c r="BE94">
        <f>'TEA Revised Non EYZ'!BE94</f>
        <v>1.8775014999999999E-2</v>
      </c>
      <c r="BF94">
        <f>'TEA Revised Non EYZ'!BF94</f>
        <v>0.10492961100000001</v>
      </c>
      <c r="BG94">
        <f>'TEA Revised Non EYZ'!BG94</f>
        <v>1.814625E-3</v>
      </c>
      <c r="BH94">
        <f>'TEA Revised Non EYZ'!BH94</f>
        <v>285.1951444</v>
      </c>
      <c r="BI94">
        <f>'TEA Revised Non EYZ'!BI94</f>
        <v>2169.8944889999998</v>
      </c>
      <c r="BJ94">
        <f>'TEA Revised Non EYZ'!BJ94</f>
        <v>866.49409060000005</v>
      </c>
      <c r="BK94">
        <f>'TEA Revised Non EYZ'!BK94</f>
        <v>100</v>
      </c>
      <c r="BL94">
        <f>'TEA Revised Non EYZ'!BL94</f>
        <v>10.952322309941399</v>
      </c>
      <c r="BM94">
        <f>'TEA Revised Non EYZ'!BM94</f>
        <v>92.356857683566091</v>
      </c>
      <c r="BN94">
        <f>'TEA Revised Non EYZ'!BN94</f>
        <v>19.788656806963402</v>
      </c>
      <c r="BO94">
        <f>'TEA Revised Non EYZ'!BO94</f>
        <v>306.6650246783592</v>
      </c>
      <c r="BP94">
        <f>'TEA Revised Non EYZ'!BP94</f>
        <v>316.61850891141444</v>
      </c>
      <c r="BQ94">
        <f>'TEA Revised Non EYZ'!BQ94</f>
        <v>30.666502467835922</v>
      </c>
      <c r="BR94">
        <f>'TEA Revised Non EYZ'!BR94</f>
        <v>31.661850891141444</v>
      </c>
      <c r="BS94">
        <f>'eLLE Bals'!CF94</f>
        <v>6.5713933859648392</v>
      </c>
      <c r="BT94">
        <f>'eLLE Bals'!CG94</f>
        <v>11.87319408417804</v>
      </c>
      <c r="BU94">
        <f>BM94</f>
        <v>92.356857683566091</v>
      </c>
      <c r="BV94">
        <f>BU94*(AM94*2+AN94*2+AO94*3)</f>
        <v>0.3139396604614661</v>
      </c>
      <c r="BW94">
        <f>BN94*BA94*(AP94*2+AQ94*2+AR94*3)</f>
        <v>0.30054427100587344</v>
      </c>
      <c r="BX94">
        <f>BV94/(2*V94*BL94+BV94)</f>
        <v>0.1253550326192476</v>
      </c>
      <c r="BY94">
        <f>BU94*BX94</f>
        <v>11.577396907534636</v>
      </c>
      <c r="BZ94">
        <f>BW94/(2*BN94*BA94+BW94)</f>
        <v>7.05788673516623E-2</v>
      </c>
      <c r="CA94">
        <f>2*BN94*BA94/0.04</f>
        <v>98.943284034817012</v>
      </c>
      <c r="CB94">
        <f>(BS94+BL94)*2</f>
        <v>35.047431391812481</v>
      </c>
      <c r="CC94">
        <f>(BU94+BL94)*2</f>
        <v>206.61835998701497</v>
      </c>
      <c r="CD94">
        <f>(BT94+BN94)*2</f>
        <v>63.323701782282882</v>
      </c>
      <c r="CE94">
        <f>(CA94+BN94)*2</f>
        <v>237.46388168356083</v>
      </c>
      <c r="CF94">
        <f>'TEA Revised Non EYZ'!CB94</f>
        <v>4047.9783257543413</v>
      </c>
      <c r="CG94">
        <f>'TEA Revised Non EYZ'!CC94</f>
        <v>4179.3643176306714</v>
      </c>
      <c r="CH94">
        <f>'TEA Revised Non EYZ'!CD94</f>
        <v>4890.707695899031</v>
      </c>
      <c r="CI94">
        <f>'TEA Revised Non EYZ'!CE94</f>
        <v>32235.808436686144</v>
      </c>
      <c r="CJ94">
        <f>BL94*V94</f>
        <v>1.09523223099414</v>
      </c>
      <c r="CK94">
        <f>CJ94/2*1.2</f>
        <v>0.65713933859648399</v>
      </c>
      <c r="CL94">
        <f>'eLLE Bals'!CB94*'Oxidant Feed Composition'!$N$20</f>
        <v>3.6507741033138016E-2</v>
      </c>
      <c r="CM94">
        <f>'eLLE Bals'!CB94*'Oxidant Feed Composition'!$N$21</f>
        <v>1.8253870516569002</v>
      </c>
      <c r="CN94">
        <f>'eLLE Bals'!CB94*'Oxidant Feed Composition'!$N$22</f>
        <v>0.54761611549707001</v>
      </c>
      <c r="CO94">
        <f>CN94/CK94</f>
        <v>0.83333333333333337</v>
      </c>
      <c r="CP94">
        <f>CO94</f>
        <v>0.83333333333333337</v>
      </c>
      <c r="CQ94">
        <f>CL94/CO94</f>
        <v>4.3809289239765618E-2</v>
      </c>
      <c r="CR94">
        <f>CM94/CO94</f>
        <v>2.19046446198828</v>
      </c>
      <c r="CS94">
        <f>BN94*BA94</f>
        <v>1.9788656806963403</v>
      </c>
      <c r="CT94">
        <f>CS94/2*1.2</f>
        <v>1.187319408417804</v>
      </c>
      <c r="CU94">
        <f>'eLLE Bals'!CC94*'Oxidant Feed Composition'!$N$20</f>
        <v>6.5962189356544701E-2</v>
      </c>
      <c r="CV94">
        <f>'eLLE Bals'!CC94*'Oxidant Feed Composition'!$N$21</f>
        <v>3.298109467827234</v>
      </c>
      <c r="CW94">
        <f>'eLLE Bals'!CC94*'Oxidant Feed Composition'!$N$22</f>
        <v>0.98943284034817014</v>
      </c>
      <c r="CX94">
        <f>CU94/CP94</f>
        <v>7.9154627227853644E-2</v>
      </c>
      <c r="CY94">
        <f>CV94/CP94</f>
        <v>3.9577313613926806</v>
      </c>
      <c r="CZ94">
        <f>CJ94</f>
        <v>1.09523223099414</v>
      </c>
      <c r="DA94">
        <f>'eLLE Bals'!BQ94</f>
        <v>2.19046446198828</v>
      </c>
      <c r="DB94">
        <f>'eLLE Bals'!BU94</f>
        <v>5.4513456746807627</v>
      </c>
      <c r="DC94">
        <f>CS94</f>
        <v>1.9788656806963403</v>
      </c>
      <c r="DD94">
        <f>'eLLE Bals'!BX94</f>
        <v>3.9577313613926806</v>
      </c>
      <c r="DE94">
        <f>'eLLE Bals'!CA94</f>
        <v>22.101054381765024</v>
      </c>
      <c r="DF94">
        <f>2*2*(CJ94*'Reagent cost'!$C$36*122.44/1000*1.5+CK94*'Oxidant Feed Composition'!$N$26+CQ94*'Reagent cost'!$C$34+CR94*'Reagent cost'!$C$35)</f>
        <v>111.45207741167536</v>
      </c>
      <c r="DG94">
        <f>2*2*(CS94*'Reagent cost'!$C$36*122.44/1000*1.5+CT94*'Oxidant Feed Composition'!$N$26+CX94*'Reagent cost'!$C$34+CY94*'Reagent cost'!$C$35)</f>
        <v>201.37162219202094</v>
      </c>
      <c r="DH94">
        <f>(AF94+3)*2*(CZ94*'Reagent cost'!$C$38+DA94*'Reagent cost'!$C$39+DB94*'Reagent cost'!$C$36*122.44/1000*1.5)</f>
        <v>1360.5570637297833</v>
      </c>
      <c r="DI94">
        <f>3*2*(DC94*'Reagent cost'!$C$38+DD94*'Reagent cost'!$C$39+DE94*'Reagent cost'!$C$36*122.44/1000*1.5)</f>
        <v>1772.8398906880107</v>
      </c>
      <c r="DJ94">
        <f>7963.6*(CB94/1000)^0.6*1.7*('CAPEX+OPEX'!$G$116/'CAPEX+OPEX'!$G$115)</f>
        <v>2138.1326451989207</v>
      </c>
      <c r="DK94">
        <f>7963.6*(CC94/1000)^0.6*1.7*('CAPEX+OPEX'!$G$116/'CAPEX+OPEX'!$G$115)</f>
        <v>6199.2945816251477</v>
      </c>
      <c r="DL94">
        <f>7963.6*(CD94/1000)^0.6*1.7*('CAPEX+OPEX'!$G$116/'CAPEX+OPEX'!$G$115)</f>
        <v>3049.1634468413222</v>
      </c>
      <c r="DM94">
        <f>7963.6*(CE94/1000)^0.6*1.7*('CAPEX+OPEX'!$G$116/'CAPEX+OPEX'!$G$115)</f>
        <v>6739.0622100105093</v>
      </c>
      <c r="DN94">
        <f>'TEA Revised Non EYZ'!CM94</f>
        <v>39625.826528698344</v>
      </c>
      <c r="DO94">
        <f>'TEA Revised Non EYZ'!CN94</f>
        <v>4586243.4239371875</v>
      </c>
      <c r="DP94">
        <f>'TEA Revised Non EYZ'!CO94</f>
        <v>11794834.586807497</v>
      </c>
      <c r="DQ94">
        <f>'TEA Revised Non EYZ'!CP94</f>
        <v>2275209.1661185985</v>
      </c>
      <c r="DR94">
        <f>'TEA Revised Non EYZ'!CQ94</f>
        <v>14083914.336508472</v>
      </c>
      <c r="DS94">
        <f>'TEA Revised Non EYZ'!CR94</f>
        <v>1662824.8986326549</v>
      </c>
      <c r="DT94">
        <f>'TEA Revised Non EYZ'!CS94</f>
        <v>936765.86395108781</v>
      </c>
      <c r="DU94">
        <f>'TEA Revised Non EYZ'!CT94</f>
        <v>2409160.916797909</v>
      </c>
      <c r="DV94">
        <f>'TEA Revised Non EYZ'!CU94</f>
        <v>464724.19432521454</v>
      </c>
      <c r="DW94">
        <f>'TEA Revised Non EYZ'!CV94</f>
        <v>2876718.2553791031</v>
      </c>
      <c r="DX94">
        <f>'TEA Revised Non EYZ'!CW94</f>
        <v>339641.28346021532</v>
      </c>
      <c r="DY94">
        <f>'TEA Revised Non EYZ'!CX94</f>
        <v>7027010.5139135299</v>
      </c>
      <c r="DZ94">
        <f>'TEA Revised Non EYZ'!CY94</f>
        <v>610185.18062781263</v>
      </c>
      <c r="EA94">
        <f>'TEA Revised Non EYZ'!CZ94</f>
        <v>1569265.4330693621</v>
      </c>
      <c r="EB94">
        <f>'TEA Revised Non EYZ'!DA94</f>
        <v>302709.38274844305</v>
      </c>
      <c r="EC94">
        <f>'TEA Revised Non EYZ'!DB94</f>
        <v>1873820.2530888517</v>
      </c>
      <c r="ED94">
        <f>'TEA Revised Non EYZ'!DC94</f>
        <v>221233.59301621036</v>
      </c>
      <c r="EE94">
        <f>'TEA Revised Non EYZ'!DD94</f>
        <v>4577213.84255068</v>
      </c>
      <c r="EF94">
        <v>0.7</v>
      </c>
      <c r="EG94">
        <v>100</v>
      </c>
      <c r="EH94">
        <f>96485*BL94*V94/EF94/EG94/60</f>
        <v>25.160352811302293</v>
      </c>
      <c r="EI94">
        <f>96485*BN94*BA94/EF94/EG94/60</f>
        <v>45.459727429044385</v>
      </c>
      <c r="EJ94">
        <f>EH94*('CAPEX+OPEX'!$O$25+'CAPEX+OPEX'!$O$26)</f>
        <v>801910.76480182668</v>
      </c>
      <c r="EK94">
        <f>EI94*('CAPEX+OPEX'!$O$25+'CAPEX+OPEX'!$O$26)</f>
        <v>1448892.4326185025</v>
      </c>
      <c r="EL94">
        <f>EJ94*1.12/0.6*'CAPEX+OPEX'!$G$116/'CAPEX+OPEX'!$G$115</f>
        <v>1765531.1495937889</v>
      </c>
      <c r="EM94">
        <f>EK94*1.12/0.6*'CAPEX+OPEX'!$G$116/'CAPEX+OPEX'!$G$115</f>
        <v>3189961.8192940098</v>
      </c>
      <c r="EN94">
        <f>EL94+EM94+DY94+EE94+1.15*(SUM(DF94:DM94)+SUM(CF94:CI94))</f>
        <v>16636681.917512728</v>
      </c>
      <c r="EO94">
        <f>EN94/15</f>
        <v>1109112.1278341818</v>
      </c>
      <c r="EP94">
        <f>('eLLE Bals'!CB94+'eLLE Bals'!CC94)*'Oxidant Feed Composition'!$N$28*60*7200</f>
        <v>17089447.663076568</v>
      </c>
      <c r="EQ94" s="53">
        <f>('eLLE Bals'!BR94+'eLLE Bals'!BY94)*'Reagent cost'!$C$38*60*7200*1.5</f>
        <v>758060.8528796765</v>
      </c>
      <c r="ER94">
        <f>'TEA Revised Non EYZ'!DI94</f>
        <v>504921.59999999998</v>
      </c>
      <c r="ES94">
        <f>'TEA Revised Non EYZ'!DJ94</f>
        <v>82.273426433850133</v>
      </c>
      <c r="ET94">
        <f>'TEA Revised Non EYZ'!DK94</f>
        <v>742.5303226517035</v>
      </c>
      <c r="EU94">
        <f>1.2*SUM(EP94:ET94)</f>
        <v>22023905.903646398</v>
      </c>
      <c r="EV94">
        <f>'TEA Revised Non EYZ'!DM94</f>
        <v>0.70639694042110623</v>
      </c>
      <c r="EW94">
        <f>(BS94*CO94+BT94*CP94)/1000*('Oxidant Feed Composition'!$B$11*'Oxidant Feed Composition'!$O$20+'Oxidant Feed Composition'!$D$11*'Oxidant Feed Composition'!$O$21+'Oxidant Feed Composition'!$F$11*'Oxidant Feed Composition'!$O$27-'Oxidant Feed Composition'!$J$15*18.015)</f>
        <v>1.7950355526586665</v>
      </c>
      <c r="EX94">
        <f>(CZ94*BX94+DC94*BZ94)*368.34/1000</f>
        <v>0.10201506716691383</v>
      </c>
      <c r="EY94">
        <f>'TEA Revised Non EYZ'!DP94</f>
        <v>4.999938342565946E-2</v>
      </c>
      <c r="EZ94">
        <f>SUM(EV94:EX94)-EY94</f>
        <v>2.5534481768210275</v>
      </c>
      <c r="FA94">
        <f>EZ94*0.33*60*7200</f>
        <v>364019.57208760572</v>
      </c>
      <c r="FB94">
        <f>'TEA Revised Non EYZ'!DS94</f>
        <v>1.2</v>
      </c>
      <c r="FC94">
        <v>0.5</v>
      </c>
      <c r="FD94">
        <f>'TEA Revised Non EYZ'!DT94</f>
        <v>1405.285337690628</v>
      </c>
      <c r="FE94">
        <f>'TEA Revised Non EYZ'!DU94</f>
        <v>706.39635734745946</v>
      </c>
      <c r="FF94">
        <f>'TEA Revised Non EYZ'!DV94</f>
        <v>0.7</v>
      </c>
      <c r="FG94">
        <f>'TEA Revised Non EYZ'!DW94</f>
        <v>52288.524762496963</v>
      </c>
      <c r="FH94">
        <f>'TEA Revised Non EYZ'!DX94</f>
        <v>53983.928663982973</v>
      </c>
      <c r="FI94">
        <f>'TEA Revised Non EYZ'!DY94</f>
        <v>22856.098829508919</v>
      </c>
      <c r="FJ94">
        <f>'TEA Revised Non EYZ'!DZ94</f>
        <v>12107.513206066582</v>
      </c>
      <c r="FK94">
        <f>'TEA Revised Non EYZ'!EA94</f>
        <v>12189.919375738094</v>
      </c>
      <c r="FL94">
        <f>'TEA Revised Non EYZ'!EB94</f>
        <v>849.91657223529182</v>
      </c>
      <c r="FM94">
        <f>'TEA Revised Non EYZ'!EC94</f>
        <v>33427.722868626144</v>
      </c>
      <c r="FN94">
        <f>'TEA Revised Non EYZ'!ED94</f>
        <v>27155.685205742509</v>
      </c>
      <c r="FO94">
        <f>'TEA Revised Non EYZ'!EE94</f>
        <v>11497.366720173237</v>
      </c>
      <c r="FP94">
        <f>'TEA Revised Non EYZ'!EF94</f>
        <v>6093.8666428355391</v>
      </c>
      <c r="FQ94">
        <f>'TEA Revised Non EYZ'!EG94</f>
        <v>6131.9289174257283</v>
      </c>
      <c r="FR94">
        <f>'TEA Revised Non EYZ'!EH94</f>
        <v>427.22851692374354</v>
      </c>
      <c r="FS94">
        <f>'TEA Revised Non EYZ'!EI94</f>
        <v>239009.70028175577</v>
      </c>
      <c r="FT94">
        <f>EG94*EH94</f>
        <v>2516.0352811302291</v>
      </c>
      <c r="FU94">
        <f>EG94*EI94</f>
        <v>4545.9727429044387</v>
      </c>
      <c r="FV94">
        <f>FC94*(FT94+FU94)/(3.6*10^6)*3600*7200*0.07</f>
        <v>1779.6260220567365</v>
      </c>
      <c r="FW94">
        <f>('CAPEX+OPEX'!$C$39/7/100+0.03)*EL94</f>
        <v>90798.744836251994</v>
      </c>
      <c r="FX94">
        <f>('CAPEX+OPEX'!$C$39/7/100+0.03)*EM94</f>
        <v>164055.17927797764</v>
      </c>
      <c r="FY94">
        <f>SUM(FV94:FX94)</f>
        <v>256633.55013628636</v>
      </c>
      <c r="FZ94">
        <f>FY94+FA94+FS94+EU94</f>
        <v>22883568.726152048</v>
      </c>
      <c r="GA94">
        <f>FZ94+EO94</f>
        <v>23992680.85398623</v>
      </c>
      <c r="GB94">
        <f>GA94/(BK94*60*7200)</f>
        <v>0.55538613087931088</v>
      </c>
      <c r="GC94">
        <f>'TEA Revised Non EYZ'!EM94/'TEA Revised Non EYZ'!EK94*GA94</f>
        <v>1858.8141914741313</v>
      </c>
      <c r="GD94">
        <f>'TEA Revised Non EYZ'!EN94/'TEA Revised Non EYZ'!EK94*GA94</f>
        <v>3407.2953904358183</v>
      </c>
    </row>
    <row r="95" spans="1:186">
      <c r="A95">
        <f>'TEA Revised Non EYZ'!A95</f>
        <v>12</v>
      </c>
      <c r="B95">
        <f>'TEA Revised Non EYZ'!B95</f>
        <v>1.54143585092054E-3</v>
      </c>
      <c r="C95">
        <f>'TEA Revised Non EYZ'!C95</f>
        <v>1.54143585092054E-3</v>
      </c>
      <c r="D95">
        <f>'TEA Revised Non EYZ'!D95</f>
        <v>3.4254130020456501E-4</v>
      </c>
      <c r="E95">
        <f>'TEA Revised Non EYZ'!E95</f>
        <v>0</v>
      </c>
      <c r="F95">
        <f>'TEA Revised Non EYZ'!F95</f>
        <v>0</v>
      </c>
      <c r="G95">
        <f>'TEA Revised Non EYZ'!G95</f>
        <v>0</v>
      </c>
      <c r="H95">
        <f>'TEA Revised Non EYZ'!H95</f>
        <v>1.7771599281349402E-5</v>
      </c>
      <c r="I95">
        <f>'TEA Revised Non EYZ'!I95</f>
        <v>6.3113732322488897E-11</v>
      </c>
      <c r="J95">
        <f>'TEA Revised Non EYZ'!J95</f>
        <v>3.37661562480901E-4</v>
      </c>
      <c r="K95">
        <f>'TEA Revised Non EYZ'!K95</f>
        <v>0.13911791568267901</v>
      </c>
      <c r="L95">
        <f>'TEA Revised Non EYZ'!L95</f>
        <v>0.140740543921716</v>
      </c>
      <c r="M95">
        <f>'TEA Revised Non EYZ'!M95</f>
        <v>4.45543656000266E-4</v>
      </c>
      <c r="N95">
        <f>'TEA Revised Non EYZ'!N95</f>
        <v>-4.7646348672047899E-15</v>
      </c>
      <c r="O95">
        <f>'TEA Revised Non EYZ'!O95</f>
        <v>-1.1300289697036E-11</v>
      </c>
      <c r="P95">
        <f>'TEA Revised Non EYZ'!P95</f>
        <v>-4.6756218688437302E-19</v>
      </c>
      <c r="Q95">
        <f>'TEA Revised Non EYZ'!Q95</f>
        <v>0.10952322309941399</v>
      </c>
      <c r="R95">
        <f>'TEA Revised Non EYZ'!R95</f>
        <v>98.575430839799395</v>
      </c>
      <c r="S95">
        <f>'TEA Revised Non EYZ'!S95</f>
        <v>500</v>
      </c>
      <c r="T95">
        <f>'TEA Revised Non EYZ'!T95</f>
        <v>95</v>
      </c>
      <c r="U95">
        <f>'TEA Revised Non EYZ'!U95</f>
        <v>1</v>
      </c>
      <c r="V95">
        <f>'TEA Revised Non EYZ'!V95</f>
        <v>0.1</v>
      </c>
      <c r="W95">
        <f>'TEA Revised Non EYZ'!W95</f>
        <v>91.304836700459305</v>
      </c>
      <c r="X95" t="str">
        <f>'TEA Revised Non EYZ'!X95</f>
        <v>ddFc</v>
      </c>
      <c r="Y95">
        <f>'TEA Revised Non EYZ'!Y95</f>
        <v>1</v>
      </c>
      <c r="Z95">
        <f>'TEA Revised Non EYZ'!Z95</f>
        <v>0.28318429382522198</v>
      </c>
      <c r="AA95">
        <f>'TEA Revised Non EYZ'!AA95</f>
        <v>0.56945642916197003</v>
      </c>
      <c r="AB95">
        <f>'TEA Revised Non EYZ'!AB95</f>
        <v>3.7698628972227502E-3</v>
      </c>
      <c r="AC95">
        <f>'TEA Revised Non EYZ'!AC95</f>
        <v>1822.2107908876901</v>
      </c>
      <c r="AD95">
        <f>'TEA Revised Non EYZ'!AD95</f>
        <v>2662.6059073104898</v>
      </c>
      <c r="AE95">
        <f>'TEA Revised Non EYZ'!AE95</f>
        <v>2401.5030938442701</v>
      </c>
      <c r="AF95">
        <f>'TEA Revised Non EYZ'!AF95</f>
        <v>7</v>
      </c>
      <c r="AG95">
        <f>'TEA Revised Non EYZ'!AG95</f>
        <v>1.6497575706444501E-3</v>
      </c>
      <c r="AH95">
        <f>'TEA Revised Non EYZ'!AH95</f>
        <v>1.66899983148883E-3</v>
      </c>
      <c r="AI95">
        <f>'TEA Revised Non EYZ'!AI95</f>
        <v>5.28356837386519E-6</v>
      </c>
      <c r="AJ95">
        <f>'TEA Revised Non EYZ'!AJ95</f>
        <v>0</v>
      </c>
      <c r="AK95">
        <f>'TEA Revised Non EYZ'!AK95</f>
        <v>0</v>
      </c>
      <c r="AL95">
        <f>'TEA Revised Non EYZ'!AL95</f>
        <v>0</v>
      </c>
      <c r="AM95">
        <f>'TEA Revised Non EYZ'!AM95</f>
        <v>1.61261707866804E-3</v>
      </c>
      <c r="AN95">
        <f>'TEA Revised Non EYZ'!AN95</f>
        <v>7.9625936031329294E-5</v>
      </c>
      <c r="AO95">
        <f>'TEA Revised Non EYZ'!AO95</f>
        <v>5.2486470564610397E-6</v>
      </c>
      <c r="AP95">
        <f>'TEA Revised Non EYZ'!AP95</f>
        <v>1.7397947866492501E-3</v>
      </c>
      <c r="AQ95">
        <f>'TEA Revised Non EYZ'!AQ95</f>
        <v>7.4452013697398206E-2</v>
      </c>
      <c r="AR95">
        <f>'TEA Revised Non EYZ'!AR95</f>
        <v>1.6358406345626599E-6</v>
      </c>
      <c r="AS95">
        <f>'TEA Revised Non EYZ'!AS95</f>
        <v>-4.2216122091154298E-18</v>
      </c>
      <c r="AT95">
        <f>'TEA Revised Non EYZ'!AT95</f>
        <v>-1.65666091955785E-15</v>
      </c>
      <c r="AU95">
        <f>'TEA Revised Non EYZ'!AU95</f>
        <v>-4.3344264097778598E-21</v>
      </c>
      <c r="AV95">
        <f>'TEA Revised Non EYZ'!AV95</f>
        <v>0.19715998450427299</v>
      </c>
      <c r="AW95">
        <f>'TEA Revised Non EYZ'!AW95</f>
        <v>99.339058096098597</v>
      </c>
      <c r="AX95">
        <f>'TEA Revised Non EYZ'!AX95</f>
        <v>500</v>
      </c>
      <c r="AY95">
        <f>'TEA Revised Non EYZ'!AY95</f>
        <v>95</v>
      </c>
      <c r="AZ95">
        <f>'TEA Revised Non EYZ'!AZ95</f>
        <v>0.92356857683566096</v>
      </c>
      <c r="BA95">
        <f>'TEA Revised Non EYZ'!BA95</f>
        <v>0.1</v>
      </c>
      <c r="BB95">
        <f>'TEA Revised Non EYZ'!BB95</f>
        <v>46.843611758127501</v>
      </c>
      <c r="BC95" t="str">
        <f>'TEA Revised Non EYZ'!BC95</f>
        <v>coeFc</v>
      </c>
      <c r="BD95">
        <f>'TEA Revised Non EYZ'!BD95</f>
        <v>1</v>
      </c>
      <c r="BE95">
        <f>'TEA Revised Non EYZ'!BE95</f>
        <v>1.8775014999999999E-2</v>
      </c>
      <c r="BF95">
        <f>'TEA Revised Non EYZ'!BF95</f>
        <v>0.10492961100000001</v>
      </c>
      <c r="BG95">
        <f>'TEA Revised Non EYZ'!BG95</f>
        <v>1.814625E-3</v>
      </c>
      <c r="BH95">
        <f>'TEA Revised Non EYZ'!BH95</f>
        <v>285.1951444</v>
      </c>
      <c r="BI95">
        <f>'TEA Revised Non EYZ'!BI95</f>
        <v>2169.8944889999998</v>
      </c>
      <c r="BJ95">
        <f>'TEA Revised Non EYZ'!BJ95</f>
        <v>866.49409060000005</v>
      </c>
      <c r="BK95">
        <f>'TEA Revised Non EYZ'!BK95</f>
        <v>100</v>
      </c>
      <c r="BL95">
        <f>'TEA Revised Non EYZ'!BL95</f>
        <v>10.952322309941399</v>
      </c>
      <c r="BM95">
        <f>'TEA Revised Non EYZ'!BM95</f>
        <v>92.356857683566091</v>
      </c>
      <c r="BN95">
        <f>'TEA Revised Non EYZ'!BN95</f>
        <v>19.7159984504273</v>
      </c>
      <c r="BO95">
        <f>'TEA Revised Non EYZ'!BO95</f>
        <v>306.6650246783592</v>
      </c>
      <c r="BP95">
        <f>'TEA Revised Non EYZ'!BP95</f>
        <v>354.88797210769138</v>
      </c>
      <c r="BQ95">
        <f>'TEA Revised Non EYZ'!BQ95</f>
        <v>30.666502467835922</v>
      </c>
      <c r="BR95">
        <f>'TEA Revised Non EYZ'!BR95</f>
        <v>35.488797210769143</v>
      </c>
      <c r="BS95">
        <f>'eLLE Bals'!CF95</f>
        <v>6.5713933859648392</v>
      </c>
      <c r="BT95">
        <f>'eLLE Bals'!CG95</f>
        <v>11.82959907025638</v>
      </c>
      <c r="BU95">
        <f>BM95</f>
        <v>92.356857683566091</v>
      </c>
      <c r="BV95">
        <f>BU95*(AM95*2+AN95*2+AO95*3)</f>
        <v>0.3140347401968715</v>
      </c>
      <c r="BW95">
        <f>BN95*BA95*(AP95*2+AQ95*2+AR95*3)</f>
        <v>0.30044919127077152</v>
      </c>
      <c r="BX95">
        <f>BV95/(2*V95*BL95+BV95)</f>
        <v>0.12538823726630827</v>
      </c>
      <c r="BY95">
        <f>BU95*BX95</f>
        <v>11.58046358439765</v>
      </c>
      <c r="BZ95">
        <f>BW95/(2*BN95*BA95+BW95)</f>
        <v>7.0799729117728208E-2</v>
      </c>
      <c r="CA95">
        <f>2*BN95*BA95/0.04</f>
        <v>98.579992252136506</v>
      </c>
      <c r="CB95">
        <f>(BS95+BL95)*2</f>
        <v>35.047431391812481</v>
      </c>
      <c r="CC95">
        <f>(BU95+BL95)*2</f>
        <v>206.61835998701497</v>
      </c>
      <c r="CD95">
        <f>(BT95+BN95)*2</f>
        <v>63.091195041367357</v>
      </c>
      <c r="CE95">
        <f>(CA95+BN95)*2</f>
        <v>236.59198140512763</v>
      </c>
      <c r="CF95">
        <f>'TEA Revised Non EYZ'!CB95</f>
        <v>4047.9783257543413</v>
      </c>
      <c r="CG95">
        <f>'TEA Revised Non EYZ'!CC95</f>
        <v>4684.5212318215263</v>
      </c>
      <c r="CH95">
        <f>'TEA Revised Non EYZ'!CD95</f>
        <v>4890.707695899031</v>
      </c>
      <c r="CI95">
        <f>'TEA Revised Non EYZ'!CE95</f>
        <v>36132.128613328605</v>
      </c>
      <c r="CJ95">
        <f>BL95*V95</f>
        <v>1.09523223099414</v>
      </c>
      <c r="CK95">
        <f>CJ95/2*1.2</f>
        <v>0.65713933859648399</v>
      </c>
      <c r="CL95">
        <f>'eLLE Bals'!CB95*'Oxidant Feed Composition'!$N$20</f>
        <v>3.6507741033138016E-2</v>
      </c>
      <c r="CM95">
        <f>'eLLE Bals'!CB95*'Oxidant Feed Composition'!$N$21</f>
        <v>1.8253870516569002</v>
      </c>
      <c r="CN95">
        <f>'eLLE Bals'!CB95*'Oxidant Feed Composition'!$N$22</f>
        <v>0.54761611549707001</v>
      </c>
      <c r="CO95">
        <f>CN95/CK95</f>
        <v>0.83333333333333337</v>
      </c>
      <c r="CP95">
        <f>CO95</f>
        <v>0.83333333333333337</v>
      </c>
      <c r="CQ95">
        <f>CL95/CO95</f>
        <v>4.3809289239765618E-2</v>
      </c>
      <c r="CR95">
        <f>CM95/CO95</f>
        <v>2.19046446198828</v>
      </c>
      <c r="CS95">
        <f>BN95*BA95</f>
        <v>1.9715998450427301</v>
      </c>
      <c r="CT95">
        <f>CS95/2*1.2</f>
        <v>1.182959907025638</v>
      </c>
      <c r="CU95">
        <f>'eLLE Bals'!CC95*'Oxidant Feed Composition'!$N$20</f>
        <v>6.5719994834757697E-2</v>
      </c>
      <c r="CV95">
        <f>'eLLE Bals'!CC95*'Oxidant Feed Composition'!$N$21</f>
        <v>3.2859997417378835</v>
      </c>
      <c r="CW95">
        <f>'eLLE Bals'!CC95*'Oxidant Feed Composition'!$N$22</f>
        <v>0.98579992252136506</v>
      </c>
      <c r="CX95">
        <f>CU95/CP95</f>
        <v>7.8863993801709234E-2</v>
      </c>
      <c r="CY95">
        <f>CV95/CP95</f>
        <v>3.9431996900854598</v>
      </c>
      <c r="CZ95">
        <f>CJ95</f>
        <v>1.09523223099414</v>
      </c>
      <c r="DA95">
        <f>'eLLE Bals'!BQ95</f>
        <v>2.19046446198828</v>
      </c>
      <c r="DB95">
        <f>'eLLE Bals'!BU95</f>
        <v>5.4490319775251752</v>
      </c>
      <c r="DC95">
        <f>CS95</f>
        <v>1.9715998450427301</v>
      </c>
      <c r="DD95">
        <f>'eLLE Bals'!BX95</f>
        <v>3.9431996900854602</v>
      </c>
      <c r="DE95">
        <f>'eLLE Bals'!CA95</f>
        <v>21.932762448679501</v>
      </c>
      <c r="DF95">
        <f>2*2*(CJ95*'Reagent cost'!$C$36*122.44/1000*1.5+CK95*'Oxidant Feed Composition'!$N$26+CQ95*'Reagent cost'!$C$34+CR95*'Reagent cost'!$C$35)</f>
        <v>111.45207741167536</v>
      </c>
      <c r="DG95">
        <f>2*2*(CS95*'Reagent cost'!$C$36*122.44/1000*1.5+CT95*'Oxidant Feed Composition'!$N$26+CX95*'Reagent cost'!$C$34+CY95*'Reagent cost'!$C$35)</f>
        <v>200.63224249261998</v>
      </c>
      <c r="DH95">
        <f>(AF95+3)*2*(CZ95*'Reagent cost'!$C$38+DA95*'Reagent cost'!$C$39+DB95*'Reagent cost'!$C$36*122.44/1000*1.5)</f>
        <v>1511.1298945665544</v>
      </c>
      <c r="DI95">
        <f>3*2*(DC95*'Reagent cost'!$C$38+DD95*'Reagent cost'!$C$39+DE95*'Reagent cost'!$C$36*122.44/1000*1.5)</f>
        <v>1759.5490108307263</v>
      </c>
      <c r="DJ95">
        <f>7963.6*(CB95/1000)^0.6*1.7*('CAPEX+OPEX'!$G$116/'CAPEX+OPEX'!$G$115)</f>
        <v>2138.1326451989207</v>
      </c>
      <c r="DK95">
        <f>7963.6*(CC95/1000)^0.6*1.7*('CAPEX+OPEX'!$G$116/'CAPEX+OPEX'!$G$115)</f>
        <v>6199.2945816251477</v>
      </c>
      <c r="DL95">
        <f>7963.6*(CD95/1000)^0.6*1.7*('CAPEX+OPEX'!$G$116/'CAPEX+OPEX'!$G$115)</f>
        <v>3042.441105507577</v>
      </c>
      <c r="DM95">
        <f>7963.6*(CE95/1000)^0.6*1.7*('CAPEX+OPEX'!$G$116/'CAPEX+OPEX'!$G$115)</f>
        <v>6724.2049295679135</v>
      </c>
      <c r="DN95">
        <f>'TEA Revised Non EYZ'!CM95</f>
        <v>39625.826528698344</v>
      </c>
      <c r="DO95">
        <f>'TEA Revised Non EYZ'!CN95</f>
        <v>4586243.4239371875</v>
      </c>
      <c r="DP95">
        <f>'TEA Revised Non EYZ'!CO95</f>
        <v>11794834.586807497</v>
      </c>
      <c r="DQ95">
        <f>'TEA Revised Non EYZ'!CP95</f>
        <v>2275209.1661185985</v>
      </c>
      <c r="DR95">
        <f>'TEA Revised Non EYZ'!CQ95</f>
        <v>14083914.336508472</v>
      </c>
      <c r="DS95">
        <f>'TEA Revised Non EYZ'!CR95</f>
        <v>1662824.8986326549</v>
      </c>
      <c r="DT95">
        <f>'TEA Revised Non EYZ'!CS95</f>
        <v>936765.86395108781</v>
      </c>
      <c r="DU95">
        <f>'TEA Revised Non EYZ'!CT95</f>
        <v>2409160.916797909</v>
      </c>
      <c r="DV95">
        <f>'TEA Revised Non EYZ'!CU95</f>
        <v>464724.19432521454</v>
      </c>
      <c r="DW95">
        <f>'TEA Revised Non EYZ'!CV95</f>
        <v>2876718.2553791031</v>
      </c>
      <c r="DX95">
        <f>'TEA Revised Non EYZ'!CW95</f>
        <v>339641.28346021532</v>
      </c>
      <c r="DY95">
        <f>'TEA Revised Non EYZ'!CX95</f>
        <v>7027010.5139135299</v>
      </c>
      <c r="DZ95">
        <f>'TEA Revised Non EYZ'!CY95</f>
        <v>661084.27072256745</v>
      </c>
      <c r="EA95">
        <f>'TEA Revised Non EYZ'!CZ95</f>
        <v>1700166.9777089746</v>
      </c>
      <c r="EB95">
        <f>'TEA Revised Non EYZ'!DA95</f>
        <v>327960.13061024435</v>
      </c>
      <c r="EC95">
        <f>'TEA Revised Non EYZ'!DB95</f>
        <v>2030126.4842320178</v>
      </c>
      <c r="ED95">
        <f>'TEA Revised Non EYZ'!DC95</f>
        <v>239687.97201527501</v>
      </c>
      <c r="EE95">
        <f>'TEA Revised Non EYZ'!DD95</f>
        <v>4959025.8352890788</v>
      </c>
      <c r="EF95">
        <v>0.7</v>
      </c>
      <c r="EG95">
        <v>100</v>
      </c>
      <c r="EH95">
        <f>96485*BL95*V95/EF95/EG95/60</f>
        <v>25.160352811302293</v>
      </c>
      <c r="EI95">
        <f>96485*BN95*BA95/EF95/EG95/60</f>
        <v>45.292812154511388</v>
      </c>
      <c r="EJ95">
        <f>EH95*('CAPEX+OPEX'!$O$25+'CAPEX+OPEX'!$O$26)</f>
        <v>801910.76480182668</v>
      </c>
      <c r="EK95">
        <f>EI95*('CAPEX+OPEX'!$O$25+'CAPEX+OPEX'!$O$26)</f>
        <v>1443572.508988587</v>
      </c>
      <c r="EL95">
        <f>EJ95*1.12/0.6*'CAPEX+OPEX'!$G$116/'CAPEX+OPEX'!$G$115</f>
        <v>1765531.1495937889</v>
      </c>
      <c r="EM95">
        <f>EK95*1.12/0.6*'CAPEX+OPEX'!$G$116/'CAPEX+OPEX'!$G$115</f>
        <v>3178249.1808130969</v>
      </c>
      <c r="EN95">
        <f>EL95+EM95+DY95+EE95+1.15*(SUM(DF95:DM95)+SUM(CF95:CI95))</f>
        <v>17011975.1778166</v>
      </c>
      <c r="EO95">
        <f>EN95/15</f>
        <v>1134131.6785211067</v>
      </c>
      <c r="EP95">
        <f>('eLLE Bals'!CB95+'eLLE Bals'!CC95)*'Oxidant Feed Composition'!$N$28*60*7200</f>
        <v>17049055.612563573</v>
      </c>
      <c r="EQ95" s="53">
        <f>('eLLE Bals'!BR95+'eLLE Bals'!BY95)*'Reagent cost'!$C$38*60*7200*1.5</f>
        <v>757948.64153567515</v>
      </c>
      <c r="ER95">
        <f>'TEA Revised Non EYZ'!DI95</f>
        <v>504921.59999999998</v>
      </c>
      <c r="ES95">
        <f>'TEA Revised Non EYZ'!DJ95</f>
        <v>87.324995575758678</v>
      </c>
      <c r="ET95">
        <f>'TEA Revised Non EYZ'!DK95</f>
        <v>820.45672618455274</v>
      </c>
      <c r="EU95">
        <f>1.2*SUM(EP95:ET95)</f>
        <v>21975400.362985216</v>
      </c>
      <c r="EV95">
        <f>'TEA Revised Non EYZ'!DM95</f>
        <v>0.70639694042110623</v>
      </c>
      <c r="EW95">
        <f>(BS95*CO95+BT95*CP95)/1000*('Oxidant Feed Composition'!$B$11*'Oxidant Feed Composition'!$O$20+'Oxidant Feed Composition'!$D$11*'Oxidant Feed Composition'!$O$21+'Oxidant Feed Composition'!$F$11*'Oxidant Feed Composition'!$O$27-'Oxidant Feed Composition'!$J$15*18.015)</f>
        <v>1.7907928662860542</v>
      </c>
      <c r="EX95">
        <f>(CZ95*BX95+DC95*BZ95)*368.34/1000</f>
        <v>0.10199996646919054</v>
      </c>
      <c r="EY95">
        <f>'TEA Revised Non EYZ'!DP95</f>
        <v>4.999938342565946E-2</v>
      </c>
      <c r="EZ95">
        <f>SUM(EV95:EX95)-EY95</f>
        <v>2.5491903897506916</v>
      </c>
      <c r="FA95">
        <f>EZ95*0.33*60*7200</f>
        <v>363412.58196285862</v>
      </c>
      <c r="FB95">
        <f>'TEA Revised Non EYZ'!DS95</f>
        <v>1.2</v>
      </c>
      <c r="FC95">
        <v>0.5</v>
      </c>
      <c r="FD95">
        <f>'TEA Revised Non EYZ'!DT95</f>
        <v>1405.7111739241</v>
      </c>
      <c r="FE95">
        <f>'TEA Revised Non EYZ'!DU95</f>
        <v>705.9705211146869</v>
      </c>
      <c r="FF95">
        <f>'TEA Revised Non EYZ'!DV95</f>
        <v>0.7</v>
      </c>
      <c r="FG95">
        <f>'TEA Revised Non EYZ'!DW95</f>
        <v>52288.524762496963</v>
      </c>
      <c r="FH95">
        <f>'TEA Revised Non EYZ'!DX95</f>
        <v>53983.928663982973</v>
      </c>
      <c r="FI95">
        <f>'TEA Revised Non EYZ'!DY95</f>
        <v>22856.098829508919</v>
      </c>
      <c r="FJ95">
        <f>'TEA Revised Non EYZ'!DZ95</f>
        <v>12107.513206066582</v>
      </c>
      <c r="FK95">
        <f>'TEA Revised Non EYZ'!EA95</f>
        <v>12189.919375738094</v>
      </c>
      <c r="FL95">
        <f>'TEA Revised Non EYZ'!EB95</f>
        <v>850.17411798929584</v>
      </c>
      <c r="FM95">
        <f>'TEA Revised Non EYZ'!EC95</f>
        <v>35999.086166212779</v>
      </c>
      <c r="FN95">
        <f>'TEA Revised Non EYZ'!ED95</f>
        <v>31035.068806562878</v>
      </c>
      <c r="FO95">
        <f>'TEA Revised Non EYZ'!EE95</f>
        <v>13139.847680197989</v>
      </c>
      <c r="FP95">
        <f>'TEA Revised Non EYZ'!EF95</f>
        <v>6964.4190203834751</v>
      </c>
      <c r="FQ95">
        <f>'TEA Revised Non EYZ'!EG95</f>
        <v>7007.9187627722622</v>
      </c>
      <c r="FR95">
        <f>'TEA Revised Non EYZ'!EH95</f>
        <v>426.97097117016267</v>
      </c>
      <c r="FS95">
        <f>'TEA Revised Non EYZ'!EI95</f>
        <v>248849.47036308239</v>
      </c>
      <c r="FT95">
        <f>EG95*EH95</f>
        <v>2516.0352811302291</v>
      </c>
      <c r="FU95">
        <f>EG95*EI95</f>
        <v>4529.2812154511385</v>
      </c>
      <c r="FV95">
        <f>FC95*(FT95+FU95)/(3.6*10^6)*3600*7200*0.07</f>
        <v>1775.419757138505</v>
      </c>
      <c r="FW95">
        <f>('CAPEX+OPEX'!$C$39/7/100+0.03)*EL95</f>
        <v>90798.744836251994</v>
      </c>
      <c r="FX95">
        <f>('CAPEX+OPEX'!$C$39/7/100+0.03)*EM95</f>
        <v>163452.81501324498</v>
      </c>
      <c r="FY95">
        <f>SUM(FV95:FX95)</f>
        <v>256026.97960663546</v>
      </c>
      <c r="FZ95">
        <f>FY95+FA95+FS95+EU95</f>
        <v>22843689.394917794</v>
      </c>
      <c r="GA95">
        <f>FZ95+EO95</f>
        <v>23977821.073438901</v>
      </c>
      <c r="GB95">
        <f>GA95/(BK95*60*7200)</f>
        <v>0.5550421544777524</v>
      </c>
      <c r="GC95">
        <f>'TEA Revised Non EYZ'!EM95/'TEA Revised Non EYZ'!EK95*GA95</f>
        <v>1857.0998485883222</v>
      </c>
      <c r="GD95">
        <f>'TEA Revised Non EYZ'!EN95/'TEA Revised Non EYZ'!EK95*GA95</f>
        <v>3407.0787492811533</v>
      </c>
    </row>
    <row r="96" spans="1:186">
      <c r="A96">
        <f>'TEA Revised Non EYZ'!A96</f>
        <v>12</v>
      </c>
      <c r="B96">
        <f>'TEA Revised Non EYZ'!B96</f>
        <v>1.54143585092054E-3</v>
      </c>
      <c r="C96">
        <f>'TEA Revised Non EYZ'!C96</f>
        <v>1.54143585092054E-3</v>
      </c>
      <c r="D96">
        <f>'TEA Revised Non EYZ'!D96</f>
        <v>3.4254130020456501E-4</v>
      </c>
      <c r="E96">
        <f>'TEA Revised Non EYZ'!E96</f>
        <v>0</v>
      </c>
      <c r="F96">
        <f>'TEA Revised Non EYZ'!F96</f>
        <v>0</v>
      </c>
      <c r="G96">
        <f>'TEA Revised Non EYZ'!G96</f>
        <v>0</v>
      </c>
      <c r="H96">
        <f>'TEA Revised Non EYZ'!H96</f>
        <v>1.7771599281349402E-5</v>
      </c>
      <c r="I96">
        <f>'TEA Revised Non EYZ'!I96</f>
        <v>6.3113732322488897E-11</v>
      </c>
      <c r="J96">
        <f>'TEA Revised Non EYZ'!J96</f>
        <v>3.37661562480901E-4</v>
      </c>
      <c r="K96">
        <f>'TEA Revised Non EYZ'!K96</f>
        <v>0.13911791568267901</v>
      </c>
      <c r="L96">
        <f>'TEA Revised Non EYZ'!L96</f>
        <v>0.140740543921716</v>
      </c>
      <c r="M96">
        <f>'TEA Revised Non EYZ'!M96</f>
        <v>4.45543656000266E-4</v>
      </c>
      <c r="N96">
        <f>'TEA Revised Non EYZ'!N96</f>
        <v>-4.7646348672047899E-15</v>
      </c>
      <c r="O96">
        <f>'TEA Revised Non EYZ'!O96</f>
        <v>-1.1300289697036E-11</v>
      </c>
      <c r="P96">
        <f>'TEA Revised Non EYZ'!P96</f>
        <v>-4.6756218688437302E-19</v>
      </c>
      <c r="Q96">
        <f>'TEA Revised Non EYZ'!Q96</f>
        <v>0.10952322309941399</v>
      </c>
      <c r="R96">
        <f>'TEA Revised Non EYZ'!R96</f>
        <v>98.575430839799395</v>
      </c>
      <c r="S96">
        <f>'TEA Revised Non EYZ'!S96</f>
        <v>500</v>
      </c>
      <c r="T96">
        <f>'TEA Revised Non EYZ'!T96</f>
        <v>95</v>
      </c>
      <c r="U96">
        <f>'TEA Revised Non EYZ'!U96</f>
        <v>1</v>
      </c>
      <c r="V96">
        <f>'TEA Revised Non EYZ'!V96</f>
        <v>0.1</v>
      </c>
      <c r="W96">
        <f>'TEA Revised Non EYZ'!W96</f>
        <v>91.304836700459305</v>
      </c>
      <c r="X96" t="str">
        <f>'TEA Revised Non EYZ'!X96</f>
        <v>ddFc</v>
      </c>
      <c r="Y96">
        <f>'TEA Revised Non EYZ'!Y96</f>
        <v>1</v>
      </c>
      <c r="Z96">
        <f>'TEA Revised Non EYZ'!Z96</f>
        <v>0.28318429382522198</v>
      </c>
      <c r="AA96">
        <f>'TEA Revised Non EYZ'!AA96</f>
        <v>0.56945642916197003</v>
      </c>
      <c r="AB96">
        <f>'TEA Revised Non EYZ'!AB96</f>
        <v>3.7698628972227502E-3</v>
      </c>
      <c r="AC96">
        <f>'TEA Revised Non EYZ'!AC96</f>
        <v>1822.2107908876901</v>
      </c>
      <c r="AD96">
        <f>'TEA Revised Non EYZ'!AD96</f>
        <v>2662.6059073104898</v>
      </c>
      <c r="AE96">
        <f>'TEA Revised Non EYZ'!AE96</f>
        <v>2401.5030938442701</v>
      </c>
      <c r="AF96">
        <f>'TEA Revised Non EYZ'!AF96</f>
        <v>8</v>
      </c>
      <c r="AG96">
        <f>'TEA Revised Non EYZ'!AG96</f>
        <v>1.6497575706444501E-3</v>
      </c>
      <c r="AH96">
        <f>'TEA Revised Non EYZ'!AH96</f>
        <v>1.66899983148883E-3</v>
      </c>
      <c r="AI96">
        <f>'TEA Revised Non EYZ'!AI96</f>
        <v>5.28356837386519E-6</v>
      </c>
      <c r="AJ96">
        <f>'TEA Revised Non EYZ'!AJ96</f>
        <v>0</v>
      </c>
      <c r="AK96">
        <f>'TEA Revised Non EYZ'!AK96</f>
        <v>0</v>
      </c>
      <c r="AL96">
        <f>'TEA Revised Non EYZ'!AL96</f>
        <v>0</v>
      </c>
      <c r="AM96">
        <f>'TEA Revised Non EYZ'!AM96</f>
        <v>1.6127563603415801E-3</v>
      </c>
      <c r="AN96">
        <f>'TEA Revised Non EYZ'!AN96</f>
        <v>7.96331411021806E-5</v>
      </c>
      <c r="AO96">
        <f>'TEA Revised Non EYZ'!AO96</f>
        <v>5.2487726000077404E-6</v>
      </c>
      <c r="AP96">
        <f>'TEA Revised Non EYZ'!AP96</f>
        <v>1.73509236363433E-3</v>
      </c>
      <c r="AQ96">
        <f>'TEA Revised Non EYZ'!AQ96</f>
        <v>7.4529940711020898E-2</v>
      </c>
      <c r="AR96">
        <f>'TEA Revised Non EYZ'!AR96</f>
        <v>1.63167315397143E-6</v>
      </c>
      <c r="AS96">
        <f>'TEA Revised Non EYZ'!AS96</f>
        <v>5.0297494034318102E-15</v>
      </c>
      <c r="AT96">
        <f>'TEA Revised Non EYZ'!AT96</f>
        <v>-1.17018894574272E-12</v>
      </c>
      <c r="AU96">
        <f>'TEA Revised Non EYZ'!AU96</f>
        <v>2.31875269310864E-20</v>
      </c>
      <c r="AV96">
        <f>'TEA Revised Non EYZ'!AV96</f>
        <v>0.19695294528304</v>
      </c>
      <c r="AW96">
        <f>'TEA Revised Non EYZ'!AW96</f>
        <v>99.341434208941706</v>
      </c>
      <c r="AX96">
        <f>'TEA Revised Non EYZ'!AX96</f>
        <v>500</v>
      </c>
      <c r="AY96">
        <f>'TEA Revised Non EYZ'!AY96</f>
        <v>95</v>
      </c>
      <c r="AZ96">
        <f>'TEA Revised Non EYZ'!AZ96</f>
        <v>0.92356857683566096</v>
      </c>
      <c r="BA96">
        <f>'TEA Revised Non EYZ'!BA96</f>
        <v>0.1</v>
      </c>
      <c r="BB96">
        <f>'TEA Revised Non EYZ'!BB96</f>
        <v>46.892854306311698</v>
      </c>
      <c r="BC96" t="str">
        <f>'TEA Revised Non EYZ'!BC96</f>
        <v>coeFc</v>
      </c>
      <c r="BD96">
        <f>'TEA Revised Non EYZ'!BD96</f>
        <v>1</v>
      </c>
      <c r="BE96">
        <f>'TEA Revised Non EYZ'!BE96</f>
        <v>1.8775014999999999E-2</v>
      </c>
      <c r="BF96">
        <f>'TEA Revised Non EYZ'!BF96</f>
        <v>0.10492961100000001</v>
      </c>
      <c r="BG96">
        <f>'TEA Revised Non EYZ'!BG96</f>
        <v>1.814625E-3</v>
      </c>
      <c r="BH96">
        <f>'TEA Revised Non EYZ'!BH96</f>
        <v>285.1951444</v>
      </c>
      <c r="BI96">
        <f>'TEA Revised Non EYZ'!BI96</f>
        <v>2169.8944889999998</v>
      </c>
      <c r="BJ96">
        <f>'TEA Revised Non EYZ'!BJ96</f>
        <v>866.49409060000005</v>
      </c>
      <c r="BK96">
        <f>'TEA Revised Non EYZ'!BK96</f>
        <v>100</v>
      </c>
      <c r="BL96">
        <f>'TEA Revised Non EYZ'!BL96</f>
        <v>10.952322309941399</v>
      </c>
      <c r="BM96">
        <f>'TEA Revised Non EYZ'!BM96</f>
        <v>92.356857683566091</v>
      </c>
      <c r="BN96">
        <f>'TEA Revised Non EYZ'!BN96</f>
        <v>19.695294528304</v>
      </c>
      <c r="BO96">
        <f>'TEA Revised Non EYZ'!BO96</f>
        <v>306.6650246783592</v>
      </c>
      <c r="BP96">
        <f>'TEA Revised Non EYZ'!BP96</f>
        <v>393.90589056608002</v>
      </c>
      <c r="BQ96">
        <f>'TEA Revised Non EYZ'!BQ96</f>
        <v>30.666502467835922</v>
      </c>
      <c r="BR96">
        <f>'TEA Revised Non EYZ'!BR96</f>
        <v>39.390589056608007</v>
      </c>
      <c r="BS96">
        <f>'eLLE Bals'!CF96</f>
        <v>6.5713933859648392</v>
      </c>
      <c r="BT96">
        <f>'eLLE Bals'!CG96</f>
        <v>11.8171767169824</v>
      </c>
      <c r="BU96">
        <f>BM96</f>
        <v>92.356857683566091</v>
      </c>
      <c r="BV96">
        <f>BU96*(AM96*2+AN96*2+AO96*3)</f>
        <v>0.3140618330921025</v>
      </c>
      <c r="BW96">
        <f>BN96*BA96*(AP96*2+AQ96*2+AR96*3)</f>
        <v>0.30042209860823854</v>
      </c>
      <c r="BX96">
        <f>BV96/(2*V96*BL96+BV96)</f>
        <v>0.12539769844262014</v>
      </c>
      <c r="BY96">
        <f>BU96*BX96</f>
        <v>11.581337388911805</v>
      </c>
      <c r="BZ96">
        <f>BW96/(2*BN96*BA96+BW96)</f>
        <v>7.0862942493602837E-2</v>
      </c>
      <c r="CA96">
        <f>2*BN96*BA96/0.04</f>
        <v>98.476472641520004</v>
      </c>
      <c r="CB96">
        <f>(BS96+BL96)*2</f>
        <v>35.047431391812481</v>
      </c>
      <c r="CC96">
        <f>(BU96+BL96)*2</f>
        <v>206.61835998701497</v>
      </c>
      <c r="CD96">
        <f>(BT96+BN96)*2</f>
        <v>63.024942490572798</v>
      </c>
      <c r="CE96">
        <f>(CA96+BN96)*2</f>
        <v>236.34353433964802</v>
      </c>
      <c r="CF96">
        <f>'TEA Revised Non EYZ'!CB96</f>
        <v>4047.9783257543413</v>
      </c>
      <c r="CG96">
        <f>'TEA Revised Non EYZ'!CC96</f>
        <v>5199.5577554722568</v>
      </c>
      <c r="CH96">
        <f>'TEA Revised Non EYZ'!CD96</f>
        <v>4890.707695899031</v>
      </c>
      <c r="CI96">
        <f>'TEA Revised Non EYZ'!CE96</f>
        <v>40104.651095817979</v>
      </c>
      <c r="CJ96">
        <f>BL96*V96</f>
        <v>1.09523223099414</v>
      </c>
      <c r="CK96">
        <f>CJ96/2*1.2</f>
        <v>0.65713933859648399</v>
      </c>
      <c r="CL96">
        <f>'eLLE Bals'!CB96*'Oxidant Feed Composition'!$N$20</f>
        <v>3.6507741033138016E-2</v>
      </c>
      <c r="CM96">
        <f>'eLLE Bals'!CB96*'Oxidant Feed Composition'!$N$21</f>
        <v>1.8253870516569002</v>
      </c>
      <c r="CN96">
        <f>'eLLE Bals'!CB96*'Oxidant Feed Composition'!$N$22</f>
        <v>0.54761611549707001</v>
      </c>
      <c r="CO96">
        <f>CN96/CK96</f>
        <v>0.83333333333333337</v>
      </c>
      <c r="CP96">
        <f>CO96</f>
        <v>0.83333333333333337</v>
      </c>
      <c r="CQ96">
        <f>CL96/CO96</f>
        <v>4.3809289239765618E-2</v>
      </c>
      <c r="CR96">
        <f>CM96/CO96</f>
        <v>2.19046446198828</v>
      </c>
      <c r="CS96">
        <f>BN96*BA96</f>
        <v>1.9695294528304002</v>
      </c>
      <c r="CT96">
        <f>CS96/2*1.2</f>
        <v>1.18171767169824</v>
      </c>
      <c r="CU96">
        <f>'eLLE Bals'!CC96*'Oxidant Feed Composition'!$N$20</f>
        <v>6.5650981761013361E-2</v>
      </c>
      <c r="CV96">
        <f>'eLLE Bals'!CC96*'Oxidant Feed Composition'!$N$21</f>
        <v>3.2825490880506671</v>
      </c>
      <c r="CW96">
        <f>'eLLE Bals'!CC96*'Oxidant Feed Composition'!$N$22</f>
        <v>0.98476472641520008</v>
      </c>
      <c r="CX96">
        <f>CU96/CP96</f>
        <v>7.8781178113216027E-2</v>
      </c>
      <c r="CY96">
        <f>CV96/CP96</f>
        <v>3.9390589056608003</v>
      </c>
      <c r="CZ96">
        <f>CJ96</f>
        <v>1.09523223099414</v>
      </c>
      <c r="DA96">
        <f>'eLLE Bals'!BQ96</f>
        <v>2.19046446198828</v>
      </c>
      <c r="DB96">
        <f>'eLLE Bals'!BU96</f>
        <v>5.4483729494449484</v>
      </c>
      <c r="DC96">
        <f>CS96</f>
        <v>1.9695294528304002</v>
      </c>
      <c r="DD96">
        <f>'eLLE Bals'!BX96</f>
        <v>3.9390589056608003</v>
      </c>
      <c r="DE96">
        <f>'eLLE Bals'!CA96</f>
        <v>21.884915319516512</v>
      </c>
      <c r="DF96">
        <f>2*2*(CJ96*'Reagent cost'!$C$36*122.44/1000*1.5+CK96*'Oxidant Feed Composition'!$N$26+CQ96*'Reagent cost'!$C$34+CR96*'Reagent cost'!$C$35)</f>
        <v>111.45207741167536</v>
      </c>
      <c r="DG96">
        <f>2*2*(CS96*'Reagent cost'!$C$36*122.44/1000*1.5+CT96*'Oxidant Feed Composition'!$N$26+CX96*'Reagent cost'!$C$34+CY96*'Reagent cost'!$C$35)</f>
        <v>200.42155702647767</v>
      </c>
      <c r="DH96">
        <f>(AF96+3)*2*(CZ96*'Reagent cost'!$C$38+DA96*'Reagent cost'!$C$39+DB96*'Reagent cost'!$C$36*122.44/1000*1.5)</f>
        <v>1662.0548359474933</v>
      </c>
      <c r="DI96">
        <f>3*2*(DC96*'Reagent cost'!$C$38+DD96*'Reagent cost'!$C$39+DE96*'Reagent cost'!$C$36*122.44/1000*1.5)</f>
        <v>1755.7701527458396</v>
      </c>
      <c r="DJ96">
        <f>7963.6*(CB96/1000)^0.6*1.7*('CAPEX+OPEX'!$G$116/'CAPEX+OPEX'!$G$115)</f>
        <v>2138.1326451989207</v>
      </c>
      <c r="DK96">
        <f>7963.6*(CC96/1000)^0.6*1.7*('CAPEX+OPEX'!$G$116/'CAPEX+OPEX'!$G$115)</f>
        <v>6199.2945816251477</v>
      </c>
      <c r="DL96">
        <f>7963.6*(CD96/1000)^0.6*1.7*('CAPEX+OPEX'!$G$116/'CAPEX+OPEX'!$G$115)</f>
        <v>3040.5237681823655</v>
      </c>
      <c r="DM96">
        <f>7963.6*(CE96/1000)^0.6*1.7*('CAPEX+OPEX'!$G$116/'CAPEX+OPEX'!$G$115)</f>
        <v>6719.9673556439693</v>
      </c>
      <c r="DN96">
        <f>'TEA Revised Non EYZ'!CM96</f>
        <v>39625.826528698344</v>
      </c>
      <c r="DO96">
        <f>'TEA Revised Non EYZ'!CN96</f>
        <v>4586243.4239371875</v>
      </c>
      <c r="DP96">
        <f>'TEA Revised Non EYZ'!CO96</f>
        <v>11794834.586807497</v>
      </c>
      <c r="DQ96">
        <f>'TEA Revised Non EYZ'!CP96</f>
        <v>2275209.1661185985</v>
      </c>
      <c r="DR96">
        <f>'TEA Revised Non EYZ'!CQ96</f>
        <v>14083914.336508472</v>
      </c>
      <c r="DS96">
        <f>'TEA Revised Non EYZ'!CR96</f>
        <v>1662824.8986326549</v>
      </c>
      <c r="DT96">
        <f>'TEA Revised Non EYZ'!CS96</f>
        <v>936765.86395108781</v>
      </c>
      <c r="DU96">
        <f>'TEA Revised Non EYZ'!CT96</f>
        <v>2409160.916797909</v>
      </c>
      <c r="DV96">
        <f>'TEA Revised Non EYZ'!CU96</f>
        <v>464724.19432521454</v>
      </c>
      <c r="DW96">
        <f>'TEA Revised Non EYZ'!CV96</f>
        <v>2876718.2553791031</v>
      </c>
      <c r="DX96">
        <f>'TEA Revised Non EYZ'!CW96</f>
        <v>339641.28346021532</v>
      </c>
      <c r="DY96">
        <f>'TEA Revised Non EYZ'!CX96</f>
        <v>7027010.5139135299</v>
      </c>
      <c r="DZ96">
        <f>'TEA Revised Non EYZ'!CY96</f>
        <v>709493.36355675769</v>
      </c>
      <c r="EA96">
        <f>'TEA Revised Non EYZ'!CZ96</f>
        <v>1824664.7833632834</v>
      </c>
      <c r="EB96">
        <f>'TEA Revised Non EYZ'!DA96</f>
        <v>351975.60505387571</v>
      </c>
      <c r="EC96">
        <f>'TEA Revised Non EYZ'!DB96</f>
        <v>2178786.1722517004</v>
      </c>
      <c r="ED96">
        <f>'TEA Revised Non EYZ'!DC96</f>
        <v>257239.55780001023</v>
      </c>
      <c r="EE96">
        <f>'TEA Revised Non EYZ'!DD96</f>
        <v>5322159.482025627</v>
      </c>
      <c r="EF96">
        <v>0.7</v>
      </c>
      <c r="EG96">
        <v>100</v>
      </c>
      <c r="EH96">
        <f>96485*BL96*V96/EF96/EG96/60</f>
        <v>25.160352811302293</v>
      </c>
      <c r="EI96">
        <f>96485*BN96*BA96/EF96/EG96/60</f>
        <v>45.245249822938369</v>
      </c>
      <c r="EJ96">
        <f>EH96*('CAPEX+OPEX'!$O$25+'CAPEX+OPEX'!$O$26)</f>
        <v>801910.76480182668</v>
      </c>
      <c r="EK96">
        <f>EI96*('CAPEX+OPEX'!$O$25+'CAPEX+OPEX'!$O$26)</f>
        <v>1442056.6023566916</v>
      </c>
      <c r="EL96">
        <f>EJ96*1.12/0.6*'CAPEX+OPEX'!$G$116/'CAPEX+OPEX'!$G$115</f>
        <v>1765531.1495937889</v>
      </c>
      <c r="EM96">
        <f>EK96*1.12/0.6*'CAPEX+OPEX'!$G$116/'CAPEX+OPEX'!$G$115</f>
        <v>3174911.6768214302</v>
      </c>
      <c r="EN96">
        <f>EL96+EM96+DY96+EE96+1.15*(SUM(DF96:DM96)+SUM(CF96:CI96))</f>
        <v>17377093.910978112</v>
      </c>
      <c r="EO96">
        <f>EN96/15</f>
        <v>1158472.9273985408</v>
      </c>
      <c r="EP96">
        <f>('eLLE Bals'!CB96+'eLLE Bals'!CC96)*'Oxidant Feed Composition'!$N$28*60*7200</f>
        <v>17037545.940337423</v>
      </c>
      <c r="EQ96" s="53">
        <f>('eLLE Bals'!BR96+'eLLE Bals'!BY96)*'Reagent cost'!$C$38*60*7200*1.5</f>
        <v>757916.56173242815</v>
      </c>
      <c r="ER96">
        <f>'TEA Revised Non EYZ'!DI96</f>
        <v>504921.59999999998</v>
      </c>
      <c r="ES96">
        <f>'TEA Revised Non EYZ'!DJ96</f>
        <v>92.475360812265976</v>
      </c>
      <c r="ET96">
        <f>'TEA Revised Non EYZ'!DK96</f>
        <v>899.90717583434014</v>
      </c>
      <c r="EU96">
        <f>1.2*SUM(EP96:ET96)</f>
        <v>21961651.781527799</v>
      </c>
      <c r="EV96">
        <f>'TEA Revised Non EYZ'!DM96</f>
        <v>0.70639694042110623</v>
      </c>
      <c r="EW96">
        <f>(BS96*CO96+BT96*CP96)/1000*('Oxidant Feed Composition'!$B$11*'Oxidant Feed Composition'!$O$20+'Oxidant Feed Composition'!$D$11*'Oxidant Feed Composition'!$O$21+'Oxidant Feed Composition'!$F$11*'Oxidant Feed Composition'!$O$27-'Oxidant Feed Composition'!$J$15*18.015)</f>
        <v>1.7895839172753714</v>
      </c>
      <c r="EX96">
        <f>(CZ96*BX96+DC96*BZ96)*368.34/1000</f>
        <v>0.10199564937080653</v>
      </c>
      <c r="EY96">
        <f>'TEA Revised Non EYZ'!DP96</f>
        <v>4.999938342565946E-2</v>
      </c>
      <c r="EZ96">
        <f>SUM(EV96:EX96)-EY96</f>
        <v>2.5479771236416249</v>
      </c>
      <c r="FA96">
        <f>EZ96*0.33*60*7200</f>
        <v>363239.61874635011</v>
      </c>
      <c r="FB96">
        <f>'TEA Revised Non EYZ'!DS96</f>
        <v>1.2</v>
      </c>
      <c r="FC96">
        <v>0.5</v>
      </c>
      <c r="FD96">
        <f>'TEA Revised Non EYZ'!DT96</f>
        <v>1405.8325155980081</v>
      </c>
      <c r="FE96">
        <f>'TEA Revised Non EYZ'!DU96</f>
        <v>705.84917997303262</v>
      </c>
      <c r="FF96">
        <f>'TEA Revised Non EYZ'!DV96</f>
        <v>0.7</v>
      </c>
      <c r="FG96">
        <f>'TEA Revised Non EYZ'!DW96</f>
        <v>52288.524762496963</v>
      </c>
      <c r="FH96">
        <f>'TEA Revised Non EYZ'!DX96</f>
        <v>53983.928663982973</v>
      </c>
      <c r="FI96">
        <f>'TEA Revised Non EYZ'!DY96</f>
        <v>22856.098829508919</v>
      </c>
      <c r="FJ96">
        <f>'TEA Revised Non EYZ'!DZ96</f>
        <v>12107.513206066582</v>
      </c>
      <c r="FK96">
        <f>'TEA Revised Non EYZ'!EA96</f>
        <v>12189.919375738094</v>
      </c>
      <c r="FL96">
        <f>'TEA Revised Non EYZ'!EB96</f>
        <v>850.24750543367531</v>
      </c>
      <c r="FM96">
        <f>'TEA Revised Non EYZ'!EC96</f>
        <v>38570.449463799399</v>
      </c>
      <c r="FN96">
        <f>'TEA Revised Non EYZ'!ED96</f>
        <v>34914.452407383229</v>
      </c>
      <c r="FO96">
        <f>'TEA Revised Non EYZ'!EE96</f>
        <v>14782.328640222735</v>
      </c>
      <c r="FP96">
        <f>'TEA Revised Non EYZ'!EF96</f>
        <v>7834.9713979314092</v>
      </c>
      <c r="FQ96">
        <f>'TEA Revised Non EYZ'!EG96</f>
        <v>7883.9086081187943</v>
      </c>
      <c r="FR96">
        <f>'TEA Revised Non EYZ'!EH96</f>
        <v>426.89758404769015</v>
      </c>
      <c r="FS96">
        <f>'TEA Revised Non EYZ'!EI96</f>
        <v>258689.24044473047</v>
      </c>
      <c r="FT96">
        <f>EG96*EH96</f>
        <v>2516.0352811302291</v>
      </c>
      <c r="FU96">
        <f>EG96*EI96</f>
        <v>4524.5249822938367</v>
      </c>
      <c r="FV96">
        <f>FC96*(FT96+FU96)/(3.6*10^6)*3600*7200*0.07</f>
        <v>1774.221186382865</v>
      </c>
      <c r="FW96">
        <f>('CAPEX+OPEX'!$C$39/7/100+0.03)*EL96</f>
        <v>90798.744836251994</v>
      </c>
      <c r="FX96">
        <f>('CAPEX+OPEX'!$C$39/7/100+0.03)*EM96</f>
        <v>163281.17195081641</v>
      </c>
      <c r="FY96">
        <f>SUM(FV96:FX96)</f>
        <v>255854.13797345129</v>
      </c>
      <c r="FZ96">
        <f>FY96+FA96+FS96+EU96</f>
        <v>22839434.778692331</v>
      </c>
      <c r="GA96">
        <f>FZ96+EO96</f>
        <v>23997907.706090871</v>
      </c>
      <c r="GB96">
        <f>GA96/(BK96*60*7200)</f>
        <v>0.55550712282617754</v>
      </c>
      <c r="GC96">
        <f>'TEA Revised Non EYZ'!EM96/'TEA Revised Non EYZ'!EK96*GA96</f>
        <v>1858.4950482868176</v>
      </c>
      <c r="GD96">
        <f>'TEA Revised Non EYZ'!EN96/'TEA Revised Non EYZ'!EK96*GA96</f>
        <v>3410.4733484859325</v>
      </c>
    </row>
    <row r="97" spans="1:186">
      <c r="A97">
        <f>'TEA Revised Non EYZ'!A97</f>
        <v>12</v>
      </c>
      <c r="B97">
        <f>'TEA Revised Non EYZ'!B97</f>
        <v>1.54143585092054E-3</v>
      </c>
      <c r="C97">
        <f>'TEA Revised Non EYZ'!C97</f>
        <v>1.54143585092054E-3</v>
      </c>
      <c r="D97">
        <f>'TEA Revised Non EYZ'!D97</f>
        <v>3.4254130020456501E-4</v>
      </c>
      <c r="E97">
        <f>'TEA Revised Non EYZ'!E97</f>
        <v>0</v>
      </c>
      <c r="F97">
        <f>'TEA Revised Non EYZ'!F97</f>
        <v>0</v>
      </c>
      <c r="G97">
        <f>'TEA Revised Non EYZ'!G97</f>
        <v>0</v>
      </c>
      <c r="H97">
        <f>'TEA Revised Non EYZ'!H97</f>
        <v>1.7771599281349402E-5</v>
      </c>
      <c r="I97">
        <f>'TEA Revised Non EYZ'!I97</f>
        <v>6.3113732322488897E-11</v>
      </c>
      <c r="J97">
        <f>'TEA Revised Non EYZ'!J97</f>
        <v>3.37661562480901E-4</v>
      </c>
      <c r="K97">
        <f>'TEA Revised Non EYZ'!K97</f>
        <v>0.13911791568267901</v>
      </c>
      <c r="L97">
        <f>'TEA Revised Non EYZ'!L97</f>
        <v>0.140740543921716</v>
      </c>
      <c r="M97">
        <f>'TEA Revised Non EYZ'!M97</f>
        <v>4.45543656000266E-4</v>
      </c>
      <c r="N97">
        <f>'TEA Revised Non EYZ'!N97</f>
        <v>-4.7646348672047899E-15</v>
      </c>
      <c r="O97">
        <f>'TEA Revised Non EYZ'!O97</f>
        <v>-1.1300289697036E-11</v>
      </c>
      <c r="P97">
        <f>'TEA Revised Non EYZ'!P97</f>
        <v>-4.6756218688437302E-19</v>
      </c>
      <c r="Q97">
        <f>'TEA Revised Non EYZ'!Q97</f>
        <v>0.10952322309941399</v>
      </c>
      <c r="R97">
        <f>'TEA Revised Non EYZ'!R97</f>
        <v>98.575430839799395</v>
      </c>
      <c r="S97">
        <f>'TEA Revised Non EYZ'!S97</f>
        <v>500</v>
      </c>
      <c r="T97">
        <f>'TEA Revised Non EYZ'!T97</f>
        <v>95</v>
      </c>
      <c r="U97">
        <f>'TEA Revised Non EYZ'!U97</f>
        <v>1</v>
      </c>
      <c r="V97">
        <f>'TEA Revised Non EYZ'!V97</f>
        <v>0.1</v>
      </c>
      <c r="W97">
        <f>'TEA Revised Non EYZ'!W97</f>
        <v>91.304836700459305</v>
      </c>
      <c r="X97" t="str">
        <f>'TEA Revised Non EYZ'!X97</f>
        <v>ddFc</v>
      </c>
      <c r="Y97">
        <f>'TEA Revised Non EYZ'!Y97</f>
        <v>1</v>
      </c>
      <c r="Z97">
        <f>'TEA Revised Non EYZ'!Z97</f>
        <v>0.28318429382522198</v>
      </c>
      <c r="AA97">
        <f>'TEA Revised Non EYZ'!AA97</f>
        <v>0.56945642916197003</v>
      </c>
      <c r="AB97">
        <f>'TEA Revised Non EYZ'!AB97</f>
        <v>3.7698628972227502E-3</v>
      </c>
      <c r="AC97">
        <f>'TEA Revised Non EYZ'!AC97</f>
        <v>1822.2107908876901</v>
      </c>
      <c r="AD97">
        <f>'TEA Revised Non EYZ'!AD97</f>
        <v>2662.6059073104898</v>
      </c>
      <c r="AE97">
        <f>'TEA Revised Non EYZ'!AE97</f>
        <v>2401.5030938442701</v>
      </c>
      <c r="AF97">
        <f>'TEA Revised Non EYZ'!AF97</f>
        <v>9</v>
      </c>
      <c r="AG97">
        <f>'TEA Revised Non EYZ'!AG97</f>
        <v>1.6497575706444501E-3</v>
      </c>
      <c r="AH97">
        <f>'TEA Revised Non EYZ'!AH97</f>
        <v>1.66899983148883E-3</v>
      </c>
      <c r="AI97">
        <f>'TEA Revised Non EYZ'!AI97</f>
        <v>5.28356837386519E-6</v>
      </c>
      <c r="AJ97">
        <f>'TEA Revised Non EYZ'!AJ97</f>
        <v>0</v>
      </c>
      <c r="AK97">
        <f>'TEA Revised Non EYZ'!AK97</f>
        <v>0</v>
      </c>
      <c r="AL97">
        <f>'TEA Revised Non EYZ'!AL97</f>
        <v>0</v>
      </c>
      <c r="AM97">
        <f>'TEA Revised Non EYZ'!AM97</f>
        <v>1.6127956996690499E-3</v>
      </c>
      <c r="AN97">
        <f>'TEA Revised Non EYZ'!AN97</f>
        <v>7.9635176101710897E-5</v>
      </c>
      <c r="AO97">
        <f>'TEA Revised Non EYZ'!AO97</f>
        <v>5.24880805907295E-6</v>
      </c>
      <c r="AP97">
        <f>'TEA Revised Non EYZ'!AP97</f>
        <v>1.7337624010389399E-3</v>
      </c>
      <c r="AQ97">
        <f>'TEA Revised Non EYZ'!AQ97</f>
        <v>7.4551980415071106E-2</v>
      </c>
      <c r="AR97">
        <f>'TEA Revised Non EYZ'!AR97</f>
        <v>1.6304944864730899E-6</v>
      </c>
      <c r="AS97">
        <f>'TEA Revised Non EYZ'!AS97</f>
        <v>3.6971294081755701E-17</v>
      </c>
      <c r="AT97">
        <f>'TEA Revised Non EYZ'!AT97</f>
        <v>-4.8275185932089499E-15</v>
      </c>
      <c r="AU97">
        <f>'TEA Revised Non EYZ'!AU97</f>
        <v>-1.13158307797254E-21</v>
      </c>
      <c r="AV97">
        <f>'TEA Revised Non EYZ'!AV97</f>
        <v>0.19689446808536701</v>
      </c>
      <c r="AW97">
        <f>'TEA Revised Non EYZ'!AW97</f>
        <v>99.342105328584793</v>
      </c>
      <c r="AX97">
        <f>'TEA Revised Non EYZ'!AX97</f>
        <v>500</v>
      </c>
      <c r="AY97">
        <f>'TEA Revised Non EYZ'!AY97</f>
        <v>95</v>
      </c>
      <c r="AZ97">
        <f>'TEA Revised Non EYZ'!AZ97</f>
        <v>0.92356857683566096</v>
      </c>
      <c r="BA97">
        <f>'TEA Revised Non EYZ'!BA97</f>
        <v>0.1</v>
      </c>
      <c r="BB97">
        <f>'TEA Revised Non EYZ'!BB97</f>
        <v>46.906781374641298</v>
      </c>
      <c r="BC97" t="str">
        <f>'TEA Revised Non EYZ'!BC97</f>
        <v>coeFc</v>
      </c>
      <c r="BD97">
        <f>'TEA Revised Non EYZ'!BD97</f>
        <v>1</v>
      </c>
      <c r="BE97">
        <f>'TEA Revised Non EYZ'!BE97</f>
        <v>1.8775014999999999E-2</v>
      </c>
      <c r="BF97">
        <f>'TEA Revised Non EYZ'!BF97</f>
        <v>0.10492961100000001</v>
      </c>
      <c r="BG97">
        <f>'TEA Revised Non EYZ'!BG97</f>
        <v>1.814625E-3</v>
      </c>
      <c r="BH97">
        <f>'TEA Revised Non EYZ'!BH97</f>
        <v>285.1951444</v>
      </c>
      <c r="BI97">
        <f>'TEA Revised Non EYZ'!BI97</f>
        <v>2169.8944889999998</v>
      </c>
      <c r="BJ97">
        <f>'TEA Revised Non EYZ'!BJ97</f>
        <v>866.49409060000005</v>
      </c>
      <c r="BK97">
        <f>'TEA Revised Non EYZ'!BK97</f>
        <v>100</v>
      </c>
      <c r="BL97">
        <f>'TEA Revised Non EYZ'!BL97</f>
        <v>10.952322309941399</v>
      </c>
      <c r="BM97">
        <f>'TEA Revised Non EYZ'!BM97</f>
        <v>92.356857683566091</v>
      </c>
      <c r="BN97">
        <f>'TEA Revised Non EYZ'!BN97</f>
        <v>19.689446808536701</v>
      </c>
      <c r="BO97">
        <f>'TEA Revised Non EYZ'!BO97</f>
        <v>306.6650246783592</v>
      </c>
      <c r="BP97">
        <f>'TEA Revised Non EYZ'!BP97</f>
        <v>433.16782978780742</v>
      </c>
      <c r="BQ97">
        <f>'TEA Revised Non EYZ'!BQ97</f>
        <v>30.666502467835922</v>
      </c>
      <c r="BR97">
        <f>'TEA Revised Non EYZ'!BR97</f>
        <v>43.316782978780743</v>
      </c>
      <c r="BS97">
        <f>'eLLE Bals'!CF97</f>
        <v>6.5713933859648392</v>
      </c>
      <c r="BT97">
        <f>'eLLE Bals'!CG97</f>
        <v>11.813668085122019</v>
      </c>
      <c r="BU97">
        <f>BM97</f>
        <v>92.356857683566091</v>
      </c>
      <c r="BV97">
        <f>BU97*(AM97*2+AN97*2+AO97*3)</f>
        <v>0.31406948532242701</v>
      </c>
      <c r="BW97">
        <f>BN97*BA97*(AP97*2+AQ97*2+AR97*3)</f>
        <v>0.30041444614584079</v>
      </c>
      <c r="BX97">
        <f>BV97/(2*V97*BL97+BV97)</f>
        <v>0.12540037065964521</v>
      </c>
      <c r="BY97">
        <f>BU97*BX97</f>
        <v>11.58158418647929</v>
      </c>
      <c r="BZ97">
        <f>BW97/(2*BN97*BA97+BW97)</f>
        <v>7.0880819253494973E-2</v>
      </c>
      <c r="CA97">
        <f>2*BN97*BA97/0.04</f>
        <v>98.447234042683505</v>
      </c>
      <c r="CB97">
        <f>(BS97+BL97)*2</f>
        <v>35.047431391812481</v>
      </c>
      <c r="CC97">
        <f>(BU97+BL97)*2</f>
        <v>206.61835998701497</v>
      </c>
      <c r="CD97">
        <f>(BT97+BN97)*2</f>
        <v>63.006229787317437</v>
      </c>
      <c r="CE97">
        <f>(CA97+BN97)*2</f>
        <v>236.27336170244041</v>
      </c>
      <c r="CF97">
        <f>'TEA Revised Non EYZ'!CB97</f>
        <v>4047.9783257543413</v>
      </c>
      <c r="CG97">
        <f>'TEA Revised Non EYZ'!CC97</f>
        <v>5717.8153531990583</v>
      </c>
      <c r="CH97">
        <f>'TEA Revised Non EYZ'!CD97</f>
        <v>4890.707695899031</v>
      </c>
      <c r="CI97">
        <f>'TEA Revised Non EYZ'!CE97</f>
        <v>44102.018008939682</v>
      </c>
      <c r="CJ97">
        <f>BL97*V97</f>
        <v>1.09523223099414</v>
      </c>
      <c r="CK97">
        <f>CJ97/2*1.2</f>
        <v>0.65713933859648399</v>
      </c>
      <c r="CL97">
        <f>'eLLE Bals'!CB97*'Oxidant Feed Composition'!$N$20</f>
        <v>3.6507741033138016E-2</v>
      </c>
      <c r="CM97">
        <f>'eLLE Bals'!CB97*'Oxidant Feed Composition'!$N$21</f>
        <v>1.8253870516569002</v>
      </c>
      <c r="CN97">
        <f>'eLLE Bals'!CB97*'Oxidant Feed Composition'!$N$22</f>
        <v>0.54761611549707001</v>
      </c>
      <c r="CO97">
        <f>CN97/CK97</f>
        <v>0.83333333333333337</v>
      </c>
      <c r="CP97">
        <f>CO97</f>
        <v>0.83333333333333337</v>
      </c>
      <c r="CQ97">
        <f>CL97/CO97</f>
        <v>4.3809289239765618E-2</v>
      </c>
      <c r="CR97">
        <f>CM97/CO97</f>
        <v>2.19046446198828</v>
      </c>
      <c r="CS97">
        <f>BN97*BA97</f>
        <v>1.9689446808536701</v>
      </c>
      <c r="CT97">
        <f>CS97/2*1.2</f>
        <v>1.181366808512202</v>
      </c>
      <c r="CU97">
        <f>'eLLE Bals'!CC97*'Oxidant Feed Composition'!$N$20</f>
        <v>6.563148936178903E-2</v>
      </c>
      <c r="CV97">
        <f>'eLLE Bals'!CC97*'Oxidant Feed Composition'!$N$21</f>
        <v>3.2815744680894503</v>
      </c>
      <c r="CW97">
        <f>'eLLE Bals'!CC97*'Oxidant Feed Composition'!$N$22</f>
        <v>0.98447234042683507</v>
      </c>
      <c r="CX97">
        <f>CU97/CP97</f>
        <v>7.8757787234146837E-2</v>
      </c>
      <c r="CY97">
        <f>CV97/CP97</f>
        <v>3.9378893617073403</v>
      </c>
      <c r="CZ97">
        <f>CJ97</f>
        <v>1.09523223099414</v>
      </c>
      <c r="DA97">
        <f>'eLLE Bals'!BQ97</f>
        <v>2.19046446198828</v>
      </c>
      <c r="DB97">
        <f>'eLLE Bals'!BU97</f>
        <v>5.4481868293206954</v>
      </c>
      <c r="DC97">
        <f>CS97</f>
        <v>1.9689446808536701</v>
      </c>
      <c r="DD97">
        <f>'eLLE Bals'!BX97</f>
        <v>3.9378893617073403</v>
      </c>
      <c r="DE97">
        <f>'eLLE Bals'!CA97</f>
        <v>21.871409798160194</v>
      </c>
      <c r="DF97">
        <f>2*2*(CJ97*'Reagent cost'!$C$36*122.44/1000*1.5+CK97*'Oxidant Feed Composition'!$N$26+CQ97*'Reagent cost'!$C$34+CR97*'Reagent cost'!$C$35)</f>
        <v>111.45207741167536</v>
      </c>
      <c r="DG97">
        <f>2*2*(CS97*'Reagent cost'!$C$36*122.44/1000*1.5+CT97*'Oxidant Feed Composition'!$N$26+CX97*'Reagent cost'!$C$34+CY97*'Reagent cost'!$C$35)</f>
        <v>200.36204996507612</v>
      </c>
      <c r="DH97">
        <f>(AF97+3)*2*(CZ97*'Reagent cost'!$C$38+DA97*'Reagent cost'!$C$39+DB97*'Reagent cost'!$C$36*122.44/1000*1.5)</f>
        <v>1813.0927943431525</v>
      </c>
      <c r="DI97">
        <f>3*2*(DC97*'Reagent cost'!$C$38+DD97*'Reagent cost'!$C$39+DE97*'Reagent cost'!$C$36*122.44/1000*1.5)</f>
        <v>1754.7035071784994</v>
      </c>
      <c r="DJ97">
        <f>7963.6*(CB97/1000)^0.6*1.7*('CAPEX+OPEX'!$G$116/'CAPEX+OPEX'!$G$115)</f>
        <v>2138.1326451989207</v>
      </c>
      <c r="DK97">
        <f>7963.6*(CC97/1000)^0.6*1.7*('CAPEX+OPEX'!$G$116/'CAPEX+OPEX'!$G$115)</f>
        <v>6199.2945816251477</v>
      </c>
      <c r="DL97">
        <f>7963.6*(CD97/1000)^0.6*1.7*('CAPEX+OPEX'!$G$116/'CAPEX+OPEX'!$G$115)</f>
        <v>3039.9820798045407</v>
      </c>
      <c r="DM97">
        <f>7963.6*(CE97/1000)^0.6*1.7*('CAPEX+OPEX'!$G$116/'CAPEX+OPEX'!$G$115)</f>
        <v>6718.7701513155544</v>
      </c>
      <c r="DN97">
        <f>'TEA Revised Non EYZ'!CM97</f>
        <v>39625.826528698344</v>
      </c>
      <c r="DO97">
        <f>'TEA Revised Non EYZ'!CN97</f>
        <v>4586243.4239371875</v>
      </c>
      <c r="DP97">
        <f>'TEA Revised Non EYZ'!CO97</f>
        <v>11794834.586807497</v>
      </c>
      <c r="DQ97">
        <f>'TEA Revised Non EYZ'!CP97</f>
        <v>2275209.1661185985</v>
      </c>
      <c r="DR97">
        <f>'TEA Revised Non EYZ'!CQ97</f>
        <v>14083914.336508472</v>
      </c>
      <c r="DS97">
        <f>'TEA Revised Non EYZ'!CR97</f>
        <v>1662824.8986326549</v>
      </c>
      <c r="DT97">
        <f>'TEA Revised Non EYZ'!CS97</f>
        <v>936765.86395108781</v>
      </c>
      <c r="DU97">
        <f>'TEA Revised Non EYZ'!CT97</f>
        <v>2409160.916797909</v>
      </c>
      <c r="DV97">
        <f>'TEA Revised Non EYZ'!CU97</f>
        <v>464724.19432521454</v>
      </c>
      <c r="DW97">
        <f>'TEA Revised Non EYZ'!CV97</f>
        <v>2876718.2553791031</v>
      </c>
      <c r="DX97">
        <f>'TEA Revised Non EYZ'!CW97</f>
        <v>339641.28346021532</v>
      </c>
      <c r="DY97">
        <f>'TEA Revised Non EYZ'!CX97</f>
        <v>7027010.5139135299</v>
      </c>
      <c r="DZ97">
        <f>'TEA Revised Non EYZ'!CY97</f>
        <v>755792.94187780574</v>
      </c>
      <c r="EA97">
        <f>'TEA Revised Non EYZ'!CZ97</f>
        <v>1943737.3700658206</v>
      </c>
      <c r="EB97">
        <f>'TEA Revised Non EYZ'!DA97</f>
        <v>374944.56139702629</v>
      </c>
      <c r="EC97">
        <f>'TEA Revised Non EYZ'!DB97</f>
        <v>2320967.7432269086</v>
      </c>
      <c r="ED97">
        <f>'TEA Revised Non EYZ'!DC97</f>
        <v>274026.30122200225</v>
      </c>
      <c r="EE97">
        <f>'TEA Revised Non EYZ'!DD97</f>
        <v>5669468.9177895635</v>
      </c>
      <c r="EF97">
        <v>0.7</v>
      </c>
      <c r="EG97">
        <v>100</v>
      </c>
      <c r="EH97">
        <f>96485*BL97*V97/EF97/EG97/60</f>
        <v>25.160352811302293</v>
      </c>
      <c r="EI97">
        <f>96485*BN97*BA97/EF97/EG97/60</f>
        <v>45.231816079087238</v>
      </c>
      <c r="EJ97">
        <f>EH97*('CAPEX+OPEX'!$O$25+'CAPEX+OPEX'!$O$26)</f>
        <v>801910.76480182668</v>
      </c>
      <c r="EK97">
        <f>EI97*('CAPEX+OPEX'!$O$25+'CAPEX+OPEX'!$O$26)</f>
        <v>1441628.4420726683</v>
      </c>
      <c r="EL97">
        <f>EJ97*1.12/0.6*'CAPEX+OPEX'!$G$116/'CAPEX+OPEX'!$G$115</f>
        <v>1765531.1495937889</v>
      </c>
      <c r="EM97">
        <f>EK97*1.12/0.6*'CAPEX+OPEX'!$G$116/'CAPEX+OPEX'!$G$115</f>
        <v>3173969.0154286143</v>
      </c>
      <c r="EN97">
        <f>EL97+EM97+DY97+EE97+1.15*(SUM(DF97:DM97)+SUM(CF97:CI97))</f>
        <v>17728824.052386727</v>
      </c>
      <c r="EO97">
        <f>EN97/15</f>
        <v>1181921.6034924486</v>
      </c>
      <c r="EP97">
        <f>('eLLE Bals'!CB97+'eLLE Bals'!CC97)*'Oxidant Feed Composition'!$N$28*60*7200</f>
        <v>17034295.090696897</v>
      </c>
      <c r="EQ97" s="53">
        <f>('eLLE Bals'!BR97+'eLLE Bals'!BY97)*'Reagent cost'!$C$38*60*7200*1.5</f>
        <v>757907.49208348407</v>
      </c>
      <c r="ER97">
        <f>'TEA Revised Non EYZ'!DI97</f>
        <v>504921.59999999998</v>
      </c>
      <c r="ES97">
        <f>'TEA Revised Non EYZ'!DJ97</f>
        <v>97.657936789534006</v>
      </c>
      <c r="ET97">
        <f>'TEA Revised Non EYZ'!DK97</f>
        <v>979.85451409677421</v>
      </c>
      <c r="EU97">
        <f>1.2*SUM(EP97:ET97)</f>
        <v>21957842.034277517</v>
      </c>
      <c r="EV97">
        <f>'TEA Revised Non EYZ'!DM97</f>
        <v>0.70639694042110623</v>
      </c>
      <c r="EW97">
        <f>(BS97*CO97+BT97*CP97)/1000*('Oxidant Feed Composition'!$B$11*'Oxidant Feed Composition'!$O$20+'Oxidant Feed Composition'!$D$11*'Oxidant Feed Composition'!$O$21+'Oxidant Feed Composition'!$F$11*'Oxidant Feed Composition'!$O$27-'Oxidant Feed Composition'!$J$15*18.015)</f>
        <v>1.7892424556438349</v>
      </c>
      <c r="EX97">
        <f>(CZ97*BX97+DC97*BZ97)*368.34/1000</f>
        <v>0.10199442883443045</v>
      </c>
      <c r="EY97">
        <f>'TEA Revised Non EYZ'!DP97</f>
        <v>4.999938342565946E-2</v>
      </c>
      <c r="EZ97">
        <f>SUM(EV97:EX97)-EY97</f>
        <v>2.5476344414737122</v>
      </c>
      <c r="FA97">
        <f>EZ97*0.33*60*7200</f>
        <v>363190.76597649243</v>
      </c>
      <c r="FB97">
        <f>'TEA Revised Non EYZ'!DS97</f>
        <v>1.2</v>
      </c>
      <c r="FC97">
        <v>0.5</v>
      </c>
      <c r="FD97">
        <f>'TEA Revised Non EYZ'!DT97</f>
        <v>1405.8667878594886</v>
      </c>
      <c r="FE97">
        <f>'TEA Revised Non EYZ'!DU97</f>
        <v>705.81490718071291</v>
      </c>
      <c r="FF97">
        <f>'TEA Revised Non EYZ'!DV97</f>
        <v>0.7</v>
      </c>
      <c r="FG97">
        <f>'TEA Revised Non EYZ'!DW97</f>
        <v>52288.524762496963</v>
      </c>
      <c r="FH97">
        <f>'TEA Revised Non EYZ'!DX97</f>
        <v>53983.928663982973</v>
      </c>
      <c r="FI97">
        <f>'TEA Revised Non EYZ'!DY97</f>
        <v>22856.098829508919</v>
      </c>
      <c r="FJ97">
        <f>'TEA Revised Non EYZ'!DZ97</f>
        <v>12107.513206066582</v>
      </c>
      <c r="FK97">
        <f>'TEA Revised Non EYZ'!EA97</f>
        <v>12189.919375738094</v>
      </c>
      <c r="FL97">
        <f>'TEA Revised Non EYZ'!EB97</f>
        <v>850.26823329741865</v>
      </c>
      <c r="FM97">
        <f>'TEA Revised Non EYZ'!EC97</f>
        <v>41141.812761386027</v>
      </c>
      <c r="FN97">
        <f>'TEA Revised Non EYZ'!ED97</f>
        <v>38793.836008203594</v>
      </c>
      <c r="FO97">
        <f>'TEA Revised Non EYZ'!EE97</f>
        <v>16424.809600247485</v>
      </c>
      <c r="FP97">
        <f>'TEA Revised Non EYZ'!EF97</f>
        <v>8705.5237754793434</v>
      </c>
      <c r="FQ97">
        <f>'TEA Revised Non EYZ'!EG97</f>
        <v>8759.8984534653282</v>
      </c>
      <c r="FR97">
        <f>'TEA Revised Non EYZ'!EH97</f>
        <v>426.87685586289518</v>
      </c>
      <c r="FS97">
        <f>'TEA Revised Non EYZ'!EI97</f>
        <v>268529.01052573568</v>
      </c>
      <c r="FT97">
        <f>EG97*EH97</f>
        <v>2516.0352811302291</v>
      </c>
      <c r="FU97">
        <f>EG97*EI97</f>
        <v>4523.1816079087239</v>
      </c>
      <c r="FV97">
        <f>FC97*(FT97+FU97)/(3.6*10^6)*3600*7200*0.07</f>
        <v>1773.8826560378163</v>
      </c>
      <c r="FW97">
        <f>('CAPEX+OPEX'!$C$39/7/100+0.03)*EL97</f>
        <v>90798.744836251994</v>
      </c>
      <c r="FX97">
        <f>('CAPEX+OPEX'!$C$39/7/100+0.03)*EM97</f>
        <v>163232.69222204303</v>
      </c>
      <c r="FY97">
        <f>SUM(FV97:FX97)</f>
        <v>255805.31971433284</v>
      </c>
      <c r="FZ97">
        <f>FY97+FA97+FS97+EU97</f>
        <v>22845367.130494077</v>
      </c>
      <c r="GA97">
        <f>FZ97+EO97</f>
        <v>24027288.733986527</v>
      </c>
      <c r="GB97">
        <f>GA97/(BK97*60*7200)</f>
        <v>0.55618723921265112</v>
      </c>
      <c r="GC97">
        <f>'TEA Revised Non EYZ'!EM97/'TEA Revised Non EYZ'!EK97*GA97</f>
        <v>1860.7250441609519</v>
      </c>
      <c r="GD97">
        <f>'TEA Revised Non EYZ'!EN97/'TEA Revised Non EYZ'!EK97*GA97</f>
        <v>3414.8017091974821</v>
      </c>
    </row>
    <row r="98" spans="1:186">
      <c r="A98">
        <f>'TEA Revised Non EYZ'!A98</f>
        <v>12</v>
      </c>
      <c r="B98">
        <f>'TEA Revised Non EYZ'!B98</f>
        <v>1.54143585092054E-3</v>
      </c>
      <c r="C98">
        <f>'TEA Revised Non EYZ'!C98</f>
        <v>1.54143585092054E-3</v>
      </c>
      <c r="D98">
        <f>'TEA Revised Non EYZ'!D98</f>
        <v>3.4254130020456501E-4</v>
      </c>
      <c r="E98">
        <f>'TEA Revised Non EYZ'!E98</f>
        <v>0</v>
      </c>
      <c r="F98">
        <f>'TEA Revised Non EYZ'!F98</f>
        <v>0</v>
      </c>
      <c r="G98">
        <f>'TEA Revised Non EYZ'!G98</f>
        <v>0</v>
      </c>
      <c r="H98">
        <f>'TEA Revised Non EYZ'!H98</f>
        <v>1.7771599281349402E-5</v>
      </c>
      <c r="I98">
        <f>'TEA Revised Non EYZ'!I98</f>
        <v>6.3113732322488897E-11</v>
      </c>
      <c r="J98">
        <f>'TEA Revised Non EYZ'!J98</f>
        <v>3.37661562480901E-4</v>
      </c>
      <c r="K98">
        <f>'TEA Revised Non EYZ'!K98</f>
        <v>0.13911791568267901</v>
      </c>
      <c r="L98">
        <f>'TEA Revised Non EYZ'!L98</f>
        <v>0.140740543921716</v>
      </c>
      <c r="M98">
        <f>'TEA Revised Non EYZ'!M98</f>
        <v>4.45543656000266E-4</v>
      </c>
      <c r="N98">
        <f>'TEA Revised Non EYZ'!N98</f>
        <v>-4.7646348672047899E-15</v>
      </c>
      <c r="O98">
        <f>'TEA Revised Non EYZ'!O98</f>
        <v>-1.1300289697036E-11</v>
      </c>
      <c r="P98">
        <f>'TEA Revised Non EYZ'!P98</f>
        <v>-4.6756218688437302E-19</v>
      </c>
      <c r="Q98">
        <f>'TEA Revised Non EYZ'!Q98</f>
        <v>0.10952322309941399</v>
      </c>
      <c r="R98">
        <f>'TEA Revised Non EYZ'!R98</f>
        <v>98.575430839799395</v>
      </c>
      <c r="S98">
        <f>'TEA Revised Non EYZ'!S98</f>
        <v>500</v>
      </c>
      <c r="T98">
        <f>'TEA Revised Non EYZ'!T98</f>
        <v>95</v>
      </c>
      <c r="U98">
        <f>'TEA Revised Non EYZ'!U98</f>
        <v>1</v>
      </c>
      <c r="V98">
        <f>'TEA Revised Non EYZ'!V98</f>
        <v>0.1</v>
      </c>
      <c r="W98">
        <f>'TEA Revised Non EYZ'!W98</f>
        <v>91.304836700459305</v>
      </c>
      <c r="X98" t="str">
        <f>'TEA Revised Non EYZ'!X98</f>
        <v>ddFc</v>
      </c>
      <c r="Y98">
        <f>'TEA Revised Non EYZ'!Y98</f>
        <v>1</v>
      </c>
      <c r="Z98">
        <f>'TEA Revised Non EYZ'!Z98</f>
        <v>0.28318429382522198</v>
      </c>
      <c r="AA98">
        <f>'TEA Revised Non EYZ'!AA98</f>
        <v>0.56945642916197003</v>
      </c>
      <c r="AB98">
        <f>'TEA Revised Non EYZ'!AB98</f>
        <v>3.7698628972227502E-3</v>
      </c>
      <c r="AC98">
        <f>'TEA Revised Non EYZ'!AC98</f>
        <v>1822.2107908876901</v>
      </c>
      <c r="AD98">
        <f>'TEA Revised Non EYZ'!AD98</f>
        <v>2662.6059073104898</v>
      </c>
      <c r="AE98">
        <f>'TEA Revised Non EYZ'!AE98</f>
        <v>2401.5030938442701</v>
      </c>
      <c r="AF98">
        <f>'TEA Revised Non EYZ'!AF98</f>
        <v>10</v>
      </c>
      <c r="AG98">
        <f>'TEA Revised Non EYZ'!AG98</f>
        <v>1.6497575706444501E-3</v>
      </c>
      <c r="AH98">
        <f>'TEA Revised Non EYZ'!AH98</f>
        <v>1.66899983148883E-3</v>
      </c>
      <c r="AI98">
        <f>'TEA Revised Non EYZ'!AI98</f>
        <v>5.28356837386519E-6</v>
      </c>
      <c r="AJ98">
        <f>'TEA Revised Non EYZ'!AJ98</f>
        <v>0</v>
      </c>
      <c r="AK98">
        <f>'TEA Revised Non EYZ'!AK98</f>
        <v>0</v>
      </c>
      <c r="AL98">
        <f>'TEA Revised Non EYZ'!AL98</f>
        <v>0</v>
      </c>
      <c r="AM98">
        <f>'TEA Revised Non EYZ'!AM98</f>
        <v>1.61280677346842E-3</v>
      </c>
      <c r="AN98">
        <f>'TEA Revised Non EYZ'!AN98</f>
        <v>7.9635748983234095E-5</v>
      </c>
      <c r="AO98">
        <f>'TEA Revised Non EYZ'!AO98</f>
        <v>5.2488180406069303E-6</v>
      </c>
      <c r="AP98">
        <f>'TEA Revised Non EYZ'!AP98</f>
        <v>1.73338788049E-3</v>
      </c>
      <c r="AQ98">
        <f>'TEA Revised Non EYZ'!AQ98</f>
        <v>7.4558186846967897E-2</v>
      </c>
      <c r="AR98">
        <f>'TEA Revised Non EYZ'!AR98</f>
        <v>1.6301625709626699E-6</v>
      </c>
      <c r="AS98">
        <f>'TEA Revised Non EYZ'!AS98</f>
        <v>6.15638453844297E-15</v>
      </c>
      <c r="AT98">
        <f>'TEA Revised Non EYZ'!AT98</f>
        <v>-6.3767177302387295E-13</v>
      </c>
      <c r="AU98">
        <f>'TEA Revised Non EYZ'!AU98</f>
        <v>5.9788614675332804E-20</v>
      </c>
      <c r="AV98">
        <f>'TEA Revised Non EYZ'!AV98</f>
        <v>0.19687800716022599</v>
      </c>
      <c r="AW98">
        <f>'TEA Revised Non EYZ'!AW98</f>
        <v>99.342294245113806</v>
      </c>
      <c r="AX98">
        <f>'TEA Revised Non EYZ'!AX98</f>
        <v>500</v>
      </c>
      <c r="AY98">
        <f>'TEA Revised Non EYZ'!AY98</f>
        <v>95</v>
      </c>
      <c r="AZ98">
        <f>'TEA Revised Non EYZ'!AZ98</f>
        <v>0.92356857683566096</v>
      </c>
      <c r="BA98">
        <f>'TEA Revised Non EYZ'!BA98</f>
        <v>0.1</v>
      </c>
      <c r="BB98">
        <f>'TEA Revised Non EYZ'!BB98</f>
        <v>46.910703239901501</v>
      </c>
      <c r="BC98" t="str">
        <f>'TEA Revised Non EYZ'!BC98</f>
        <v>coeFc</v>
      </c>
      <c r="BD98">
        <f>'TEA Revised Non EYZ'!BD98</f>
        <v>1</v>
      </c>
      <c r="BE98">
        <f>'TEA Revised Non EYZ'!BE98</f>
        <v>1.8775014999999999E-2</v>
      </c>
      <c r="BF98">
        <f>'TEA Revised Non EYZ'!BF98</f>
        <v>0.10492961100000001</v>
      </c>
      <c r="BG98">
        <f>'TEA Revised Non EYZ'!BG98</f>
        <v>1.814625E-3</v>
      </c>
      <c r="BH98">
        <f>'TEA Revised Non EYZ'!BH98</f>
        <v>285.1951444</v>
      </c>
      <c r="BI98">
        <f>'TEA Revised Non EYZ'!BI98</f>
        <v>2169.8944889999998</v>
      </c>
      <c r="BJ98">
        <f>'TEA Revised Non EYZ'!BJ98</f>
        <v>866.49409060000005</v>
      </c>
      <c r="BK98">
        <f>'TEA Revised Non EYZ'!BK98</f>
        <v>100</v>
      </c>
      <c r="BL98">
        <f>'TEA Revised Non EYZ'!BL98</f>
        <v>10.952322309941399</v>
      </c>
      <c r="BM98">
        <f>'TEA Revised Non EYZ'!BM98</f>
        <v>92.356857683566091</v>
      </c>
      <c r="BN98">
        <f>'TEA Revised Non EYZ'!BN98</f>
        <v>19.687800716022601</v>
      </c>
      <c r="BO98">
        <f>'TEA Revised Non EYZ'!BO98</f>
        <v>306.6650246783592</v>
      </c>
      <c r="BP98">
        <f>'TEA Revised Non EYZ'!BP98</f>
        <v>472.50721718454241</v>
      </c>
      <c r="BQ98">
        <f>'TEA Revised Non EYZ'!BQ98</f>
        <v>30.666502467835922</v>
      </c>
      <c r="BR98">
        <f>'TEA Revised Non EYZ'!BR98</f>
        <v>47.250721718454244</v>
      </c>
      <c r="BS98">
        <f>'eLLE Bals'!CF98</f>
        <v>6.5713933859648392</v>
      </c>
      <c r="BT98">
        <f>'eLLE Bals'!CG98</f>
        <v>11.812680429613559</v>
      </c>
      <c r="BU98">
        <f>BM98</f>
        <v>92.356857683566091</v>
      </c>
      <c r="BV98">
        <f>BU98*(AM98*2+AN98*2+AO98*3)</f>
        <v>0.31407163938971588</v>
      </c>
      <c r="BW98">
        <f>BN98*BA98*(AP98*2+AQ98*2+AR98*3)</f>
        <v>0.30041229220389704</v>
      </c>
      <c r="BX98">
        <f>BV98/(2*V98*BL98+BV98)</f>
        <v>0.12540112287337907</v>
      </c>
      <c r="BY98">
        <f>BU98*BX98</f>
        <v>11.581653658576055</v>
      </c>
      <c r="BZ98">
        <f>BW98/(2*BN98*BA98+BW98)</f>
        <v>7.0885853266515184E-2</v>
      </c>
      <c r="CA98">
        <f>2*BN98*BA98/0.04</f>
        <v>98.43900358011301</v>
      </c>
      <c r="CB98">
        <f>(BS98+BL98)*2</f>
        <v>35.047431391812481</v>
      </c>
      <c r="CC98">
        <f>(BU98+BL98)*2</f>
        <v>206.61835998701497</v>
      </c>
      <c r="CD98">
        <f>(BT98+BN98)*2</f>
        <v>63.000962291272316</v>
      </c>
      <c r="CE98">
        <f>(CA98+BN98)*2</f>
        <v>236.25360859227123</v>
      </c>
      <c r="CF98">
        <f>'TEA Revised Non EYZ'!CB98</f>
        <v>4047.9783257543413</v>
      </c>
      <c r="CG98">
        <f>'TEA Revised Non EYZ'!CC98</f>
        <v>6237.0952668359596</v>
      </c>
      <c r="CH98">
        <f>'TEA Revised Non EYZ'!CD98</f>
        <v>4890.707695899031</v>
      </c>
      <c r="CI98">
        <f>'TEA Revised Non EYZ'!CE98</f>
        <v>48107.270135537699</v>
      </c>
      <c r="CJ98">
        <f>BL98*V98</f>
        <v>1.09523223099414</v>
      </c>
      <c r="CK98">
        <f>CJ98/2*1.2</f>
        <v>0.65713933859648399</v>
      </c>
      <c r="CL98">
        <f>'eLLE Bals'!CB98*'Oxidant Feed Composition'!$N$20</f>
        <v>3.6507741033138016E-2</v>
      </c>
      <c r="CM98">
        <f>'eLLE Bals'!CB98*'Oxidant Feed Composition'!$N$21</f>
        <v>1.8253870516569002</v>
      </c>
      <c r="CN98">
        <f>'eLLE Bals'!CB98*'Oxidant Feed Composition'!$N$22</f>
        <v>0.54761611549707001</v>
      </c>
      <c r="CO98">
        <f>CN98/CK98</f>
        <v>0.83333333333333337</v>
      </c>
      <c r="CP98">
        <f>CO98</f>
        <v>0.83333333333333337</v>
      </c>
      <c r="CQ98">
        <f>CL98/CO98</f>
        <v>4.3809289239765618E-2</v>
      </c>
      <c r="CR98">
        <f>CM98/CO98</f>
        <v>2.19046446198828</v>
      </c>
      <c r="CS98">
        <f>BN98*BA98</f>
        <v>1.9687800716022601</v>
      </c>
      <c r="CT98">
        <f>CS98/2*1.2</f>
        <v>1.181268042961356</v>
      </c>
      <c r="CU98">
        <f>'eLLE Bals'!CC98*'Oxidant Feed Composition'!$N$20</f>
        <v>6.562600238674203E-2</v>
      </c>
      <c r="CV98">
        <f>'eLLE Bals'!CC98*'Oxidant Feed Composition'!$N$21</f>
        <v>3.2813001193371005</v>
      </c>
      <c r="CW98">
        <f>'eLLE Bals'!CC98*'Oxidant Feed Composition'!$N$22</f>
        <v>0.98439003580113005</v>
      </c>
      <c r="CX98">
        <f>CU98/CP98</f>
        <v>7.875120286409043E-2</v>
      </c>
      <c r="CY98">
        <f>CV98/CP98</f>
        <v>3.9375601432045206</v>
      </c>
      <c r="CZ98">
        <f>CJ98</f>
        <v>1.09523223099414</v>
      </c>
      <c r="DA98">
        <f>'eLLE Bals'!BQ98</f>
        <v>2.19046446198828</v>
      </c>
      <c r="DB98">
        <f>'eLLE Bals'!BU98</f>
        <v>5.4481344403359842</v>
      </c>
      <c r="DC98">
        <f>CS98</f>
        <v>1.9687800716022601</v>
      </c>
      <c r="DD98">
        <f>'eLLE Bals'!BX98</f>
        <v>3.9375601432045202</v>
      </c>
      <c r="DE98">
        <f>'eLLE Bals'!CA98</f>
        <v>21.867608759187807</v>
      </c>
      <c r="DF98">
        <f>2*2*(CJ98*'Reagent cost'!$C$36*122.44/1000*1.5+CK98*'Oxidant Feed Composition'!$N$26+CQ98*'Reagent cost'!$C$34+CR98*'Reagent cost'!$C$35)</f>
        <v>111.45207741167536</v>
      </c>
      <c r="DG98">
        <f>2*2*(CS98*'Reagent cost'!$C$36*122.44/1000*1.5+CT98*'Oxidant Feed Composition'!$N$26+CX98*'Reagent cost'!$C$34+CY98*'Reagent cost'!$C$35)</f>
        <v>200.3452991404458</v>
      </c>
      <c r="DH98">
        <f>(AF98+3)*2*(CZ98*'Reagent cost'!$C$38+DA98*'Reagent cost'!$C$39+DB98*'Reagent cost'!$C$36*122.44/1000*1.5)</f>
        <v>1964.1661938307327</v>
      </c>
      <c r="DI98">
        <f>3*2*(DC98*'Reagent cost'!$C$38+DD98*'Reagent cost'!$C$39+DE98*'Reagent cost'!$C$36*122.44/1000*1.5)</f>
        <v>1754.403306115023</v>
      </c>
      <c r="DJ98">
        <f>7963.6*(CB98/1000)^0.6*1.7*('CAPEX+OPEX'!$G$116/'CAPEX+OPEX'!$G$115)</f>
        <v>2138.1326451989207</v>
      </c>
      <c r="DK98">
        <f>7963.6*(CC98/1000)^0.6*1.7*('CAPEX+OPEX'!$G$116/'CAPEX+OPEX'!$G$115)</f>
        <v>6199.2945816251477</v>
      </c>
      <c r="DL98">
        <f>7963.6*(CD98/1000)^0.6*1.7*('CAPEX+OPEX'!$G$116/'CAPEX+OPEX'!$G$115)</f>
        <v>3039.8295866806543</v>
      </c>
      <c r="DM98">
        <f>7963.6*(CE98/1000)^0.6*1.7*('CAPEX+OPEX'!$G$116/'CAPEX+OPEX'!$G$115)</f>
        <v>6718.433120957432</v>
      </c>
      <c r="DN98">
        <f>'TEA Revised Non EYZ'!CM98</f>
        <v>39625.826528698344</v>
      </c>
      <c r="DO98">
        <f>'TEA Revised Non EYZ'!CN98</f>
        <v>4586243.4239371875</v>
      </c>
      <c r="DP98">
        <f>'TEA Revised Non EYZ'!CO98</f>
        <v>11794834.586807497</v>
      </c>
      <c r="DQ98">
        <f>'TEA Revised Non EYZ'!CP98</f>
        <v>2275209.1661185985</v>
      </c>
      <c r="DR98">
        <f>'TEA Revised Non EYZ'!CQ98</f>
        <v>14083914.336508472</v>
      </c>
      <c r="DS98">
        <f>'TEA Revised Non EYZ'!CR98</f>
        <v>1662824.8986326549</v>
      </c>
      <c r="DT98">
        <f>'TEA Revised Non EYZ'!CS98</f>
        <v>936765.86395108781</v>
      </c>
      <c r="DU98">
        <f>'TEA Revised Non EYZ'!CT98</f>
        <v>2409160.916797909</v>
      </c>
      <c r="DV98">
        <f>'TEA Revised Non EYZ'!CU98</f>
        <v>464724.19432521454</v>
      </c>
      <c r="DW98">
        <f>'TEA Revised Non EYZ'!CV98</f>
        <v>2876718.2553791031</v>
      </c>
      <c r="DX98">
        <f>'TEA Revised Non EYZ'!CW98</f>
        <v>339641.28346021532</v>
      </c>
      <c r="DY98">
        <f>'TEA Revised Non EYZ'!CX98</f>
        <v>7027010.5139135299</v>
      </c>
      <c r="DZ98">
        <f>'TEA Revised Non EYZ'!CY98</f>
        <v>800273.51272546337</v>
      </c>
      <c r="EA98">
        <f>'TEA Revised Non EYZ'!CZ98</f>
        <v>2058131.8596248808</v>
      </c>
      <c r="EB98">
        <f>'TEA Revised Non EYZ'!DA98</f>
        <v>397011.11852274858</v>
      </c>
      <c r="EC98">
        <f>'TEA Revised Non EYZ'!DB98</f>
        <v>2457563.3164552483</v>
      </c>
      <c r="ED98">
        <f>'TEA Revised Non EYZ'!DC98</f>
        <v>290153.53082452138</v>
      </c>
      <c r="EE98">
        <f>'TEA Revised Non EYZ'!DD98</f>
        <v>6003133.3381528631</v>
      </c>
      <c r="EF98">
        <v>0.7</v>
      </c>
      <c r="EG98">
        <v>100</v>
      </c>
      <c r="EH98">
        <f>96485*BL98*V98/EF98/EG98/60</f>
        <v>25.160352811302293</v>
      </c>
      <c r="EI98">
        <f>96485*BN98*BA98/EF98/EG98/60</f>
        <v>45.228034573462878</v>
      </c>
      <c r="EJ98">
        <f>EH98*('CAPEX+OPEX'!$O$25+'CAPEX+OPEX'!$O$26)</f>
        <v>801910.76480182668</v>
      </c>
      <c r="EK98">
        <f>EI98*('CAPEX+OPEX'!$O$25+'CAPEX+OPEX'!$O$26)</f>
        <v>1441507.9179254088</v>
      </c>
      <c r="EL98">
        <f>EJ98*1.12/0.6*'CAPEX+OPEX'!$G$116/'CAPEX+OPEX'!$G$115</f>
        <v>1765531.1495937889</v>
      </c>
      <c r="EM98">
        <f>EK98*1.12/0.6*'CAPEX+OPEX'!$G$116/'CAPEX+OPEX'!$G$115</f>
        <v>3173703.6627913821</v>
      </c>
      <c r="EN98">
        <f>EL98+EM98+DY98+EE98+1.15*(SUM(DF98:DM98)+SUM(CF98:CI98))</f>
        <v>18067599.138921797</v>
      </c>
      <c r="EO98">
        <f>EN98/15</f>
        <v>1204506.6092614532</v>
      </c>
      <c r="EP98">
        <f>('eLLE Bals'!CB98+'eLLE Bals'!CC98)*'Oxidant Feed Composition'!$N$28*60*7200</f>
        <v>17033379.999093555</v>
      </c>
      <c r="EQ98" s="53">
        <f>('eLLE Bals'!BR98+'eLLE Bals'!BY98)*'Reagent cost'!$C$38*60*7200*1.5</f>
        <v>757904.9385854326</v>
      </c>
      <c r="ER98">
        <f>'TEA Revised Non EYZ'!DI98</f>
        <v>504921.59999999998</v>
      </c>
      <c r="ES98">
        <f>'TEA Revised Non EYZ'!DJ98</f>
        <v>102.85073592590301</v>
      </c>
      <c r="ET98">
        <f>'TEA Revised Non EYZ'!DK98</f>
        <v>1059.9595566287346</v>
      </c>
      <c r="EU98">
        <f>1.2*SUM(EP98:ET98)</f>
        <v>21956843.217565853</v>
      </c>
      <c r="EV98">
        <f>'TEA Revised Non EYZ'!DM98</f>
        <v>0.70639694042110623</v>
      </c>
      <c r="EW98">
        <f>(BS98*CO98+BT98*CP98)/1000*('Oxidant Feed Composition'!$B$11*'Oxidant Feed Composition'!$O$20+'Oxidant Feed Composition'!$D$11*'Oxidant Feed Composition'!$O$21+'Oxidant Feed Composition'!$F$11*'Oxidant Feed Composition'!$O$27-'Oxidant Feed Composition'!$J$15*18.015)</f>
        <v>1.7891463365653066</v>
      </c>
      <c r="EX98">
        <f>(CZ98*BX98+DC98*BZ98)*368.34/1000</f>
        <v>0.10199408520070469</v>
      </c>
      <c r="EY98">
        <f>'TEA Revised Non EYZ'!DP98</f>
        <v>4.999938342565946E-2</v>
      </c>
      <c r="EZ98">
        <f>SUM(EV98:EX98)-EY98</f>
        <v>2.5475379787614583</v>
      </c>
      <c r="FA98">
        <f>EZ98*0.33*60*7200</f>
        <v>363177.01425223349</v>
      </c>
      <c r="FB98">
        <f>'TEA Revised Non EYZ'!DS98</f>
        <v>1.2</v>
      </c>
      <c r="FC98">
        <v>0.5</v>
      </c>
      <c r="FD98">
        <f>'TEA Revised Non EYZ'!DT98</f>
        <v>1405.8764353255226</v>
      </c>
      <c r="FE98">
        <f>'TEA Revised Non EYZ'!DU98</f>
        <v>705.8052599998191</v>
      </c>
      <c r="FF98">
        <f>'TEA Revised Non EYZ'!DV98</f>
        <v>0.7</v>
      </c>
      <c r="FG98">
        <f>'TEA Revised Non EYZ'!DW98</f>
        <v>52288.524762496963</v>
      </c>
      <c r="FH98">
        <f>'TEA Revised Non EYZ'!DX98</f>
        <v>53983.928663982973</v>
      </c>
      <c r="FI98">
        <f>'TEA Revised Non EYZ'!DY98</f>
        <v>22856.098829508919</v>
      </c>
      <c r="FJ98">
        <f>'TEA Revised Non EYZ'!DZ98</f>
        <v>12107.513206066582</v>
      </c>
      <c r="FK98">
        <f>'TEA Revised Non EYZ'!EA98</f>
        <v>12189.919375738094</v>
      </c>
      <c r="FL98">
        <f>'TEA Revised Non EYZ'!EB98</f>
        <v>850.27406808487626</v>
      </c>
      <c r="FM98">
        <f>'TEA Revised Non EYZ'!EC98</f>
        <v>43713.176058972655</v>
      </c>
      <c r="FN98">
        <f>'TEA Revised Non EYZ'!ED98</f>
        <v>42673.219609023952</v>
      </c>
      <c r="FO98">
        <f>'TEA Revised Non EYZ'!EE98</f>
        <v>18067.290560272231</v>
      </c>
      <c r="FP98">
        <f>'TEA Revised Non EYZ'!EF98</f>
        <v>9576.0761530272775</v>
      </c>
      <c r="FQ98">
        <f>'TEA Revised Non EYZ'!EG98</f>
        <v>9635.8882988118585</v>
      </c>
      <c r="FR98">
        <f>'TEA Revised Non EYZ'!EH98</f>
        <v>426.87102124789061</v>
      </c>
      <c r="FS98">
        <f>'TEA Revised Non EYZ'!EI98</f>
        <v>278368.78060723428</v>
      </c>
      <c r="FT98">
        <f>EG98*EH98</f>
        <v>2516.0352811302291</v>
      </c>
      <c r="FU98">
        <f>EG98*EI98</f>
        <v>4522.8034573462883</v>
      </c>
      <c r="FV98">
        <f>FC98*(FT98+FU98)/(3.6*10^6)*3600*7200*0.07</f>
        <v>1773.7873620960827</v>
      </c>
      <c r="FW98">
        <f>('CAPEX+OPEX'!$C$39/7/100+0.03)*EL98</f>
        <v>90798.744836251994</v>
      </c>
      <c r="FX98">
        <f>('CAPEX+OPEX'!$C$39/7/100+0.03)*EM98</f>
        <v>163219.04551498537</v>
      </c>
      <c r="FY98">
        <f>SUM(FV98:FX98)</f>
        <v>255791.57771333345</v>
      </c>
      <c r="FZ98">
        <f>FY98+FA98+FS98+EU98</f>
        <v>22854180.590138655</v>
      </c>
      <c r="GA98">
        <f>FZ98+EO98</f>
        <v>24058687.199400108</v>
      </c>
      <c r="GB98">
        <f>GA98/(BK98*60*7200)</f>
        <v>0.55691405554166917</v>
      </c>
      <c r="GC98">
        <f>'TEA Revised Non EYZ'!EM98/'TEA Revised Non EYZ'!EK98*GA98</f>
        <v>1863.1438157313466</v>
      </c>
      <c r="GD98">
        <f>'TEA Revised Non EYZ'!EN98/'TEA Revised Non EYZ'!EK98*GA98</f>
        <v>3419.3072025609372</v>
      </c>
    </row>
    <row r="99" spans="1:186">
      <c r="A99">
        <f>'TEA Revised Non EYZ'!A99</f>
        <v>12</v>
      </c>
      <c r="B99">
        <f>'TEA Revised Non EYZ'!B99</f>
        <v>1.54143585092054E-3</v>
      </c>
      <c r="C99">
        <f>'TEA Revised Non EYZ'!C99</f>
        <v>1.54143585092054E-3</v>
      </c>
      <c r="D99">
        <f>'TEA Revised Non EYZ'!D99</f>
        <v>3.4254130020456501E-4</v>
      </c>
      <c r="E99">
        <f>'TEA Revised Non EYZ'!E99</f>
        <v>0</v>
      </c>
      <c r="F99">
        <f>'TEA Revised Non EYZ'!F99</f>
        <v>0</v>
      </c>
      <c r="G99">
        <f>'TEA Revised Non EYZ'!G99</f>
        <v>0</v>
      </c>
      <c r="H99">
        <f>'TEA Revised Non EYZ'!H99</f>
        <v>1.7771599281349402E-5</v>
      </c>
      <c r="I99">
        <f>'TEA Revised Non EYZ'!I99</f>
        <v>6.3113732322488897E-11</v>
      </c>
      <c r="J99">
        <f>'TEA Revised Non EYZ'!J99</f>
        <v>3.37661562480901E-4</v>
      </c>
      <c r="K99">
        <f>'TEA Revised Non EYZ'!K99</f>
        <v>0.13911791568267901</v>
      </c>
      <c r="L99">
        <f>'TEA Revised Non EYZ'!L99</f>
        <v>0.140740543921716</v>
      </c>
      <c r="M99">
        <f>'TEA Revised Non EYZ'!M99</f>
        <v>4.45543656000266E-4</v>
      </c>
      <c r="N99">
        <f>'TEA Revised Non EYZ'!N99</f>
        <v>-4.7646348672047899E-15</v>
      </c>
      <c r="O99">
        <f>'TEA Revised Non EYZ'!O99</f>
        <v>-1.1300289697036E-11</v>
      </c>
      <c r="P99">
        <f>'TEA Revised Non EYZ'!P99</f>
        <v>-4.6756218688437302E-19</v>
      </c>
      <c r="Q99">
        <f>'TEA Revised Non EYZ'!Q99</f>
        <v>0.10952322309941399</v>
      </c>
      <c r="R99">
        <f>'TEA Revised Non EYZ'!R99</f>
        <v>98.575430839799395</v>
      </c>
      <c r="S99">
        <f>'TEA Revised Non EYZ'!S99</f>
        <v>500</v>
      </c>
      <c r="T99">
        <f>'TEA Revised Non EYZ'!T99</f>
        <v>95</v>
      </c>
      <c r="U99">
        <f>'TEA Revised Non EYZ'!U99</f>
        <v>1</v>
      </c>
      <c r="V99">
        <f>'TEA Revised Non EYZ'!V99</f>
        <v>0.1</v>
      </c>
      <c r="W99">
        <f>'TEA Revised Non EYZ'!W99</f>
        <v>91.304836700459305</v>
      </c>
      <c r="X99" t="str">
        <f>'TEA Revised Non EYZ'!X99</f>
        <v>ddFc</v>
      </c>
      <c r="Y99">
        <f>'TEA Revised Non EYZ'!Y99</f>
        <v>1</v>
      </c>
      <c r="Z99">
        <f>'TEA Revised Non EYZ'!Z99</f>
        <v>0.28318429382522198</v>
      </c>
      <c r="AA99">
        <f>'TEA Revised Non EYZ'!AA99</f>
        <v>0.56945642916197003</v>
      </c>
      <c r="AB99">
        <f>'TEA Revised Non EYZ'!AB99</f>
        <v>3.7698628972227502E-3</v>
      </c>
      <c r="AC99">
        <f>'TEA Revised Non EYZ'!AC99</f>
        <v>1822.2107908876901</v>
      </c>
      <c r="AD99">
        <f>'TEA Revised Non EYZ'!AD99</f>
        <v>2662.6059073104898</v>
      </c>
      <c r="AE99">
        <f>'TEA Revised Non EYZ'!AE99</f>
        <v>2401.5030938442701</v>
      </c>
      <c r="AF99">
        <f>'TEA Revised Non EYZ'!AF99</f>
        <v>11</v>
      </c>
      <c r="AG99">
        <f>'TEA Revised Non EYZ'!AG99</f>
        <v>1.6497575706444501E-3</v>
      </c>
      <c r="AH99">
        <f>'TEA Revised Non EYZ'!AH99</f>
        <v>1.66899983148883E-3</v>
      </c>
      <c r="AI99">
        <f>'TEA Revised Non EYZ'!AI99</f>
        <v>5.28356837386519E-6</v>
      </c>
      <c r="AJ99">
        <f>'TEA Revised Non EYZ'!AJ99</f>
        <v>0</v>
      </c>
      <c r="AK99">
        <f>'TEA Revised Non EYZ'!AK99</f>
        <v>0</v>
      </c>
      <c r="AL99">
        <f>'TEA Revised Non EYZ'!AL99</f>
        <v>0</v>
      </c>
      <c r="AM99">
        <f>'TEA Revised Non EYZ'!AM99</f>
        <v>1.61280988700799E-3</v>
      </c>
      <c r="AN99">
        <f>'TEA Revised Non EYZ'!AN99</f>
        <v>7.9635910048100197E-5</v>
      </c>
      <c r="AO99">
        <f>'TEA Revised Non EYZ'!AO99</f>
        <v>5.2488208470369598E-6</v>
      </c>
      <c r="AP99">
        <f>'TEA Revised Non EYZ'!AP99</f>
        <v>1.73328256872752E-3</v>
      </c>
      <c r="AQ99">
        <f>'TEA Revised Non EYZ'!AQ99</f>
        <v>7.4559932038912993E-2</v>
      </c>
      <c r="AR99">
        <f>'TEA Revised Non EYZ'!AR99</f>
        <v>1.6300692393553599E-6</v>
      </c>
      <c r="AS99">
        <f>'TEA Revised Non EYZ'!AS99</f>
        <v>1.9909814357073302E-15</v>
      </c>
      <c r="AT99">
        <f>'TEA Revised Non EYZ'!AT99</f>
        <v>-1.9813924806433201E-13</v>
      </c>
      <c r="AU99">
        <f>'TEA Revised Non EYZ'!AU99</f>
        <v>1.5438498952689699E-20</v>
      </c>
      <c r="AV99">
        <f>'TEA Revised Non EYZ'!AV99</f>
        <v>0.19687337891228299</v>
      </c>
      <c r="AW99">
        <f>'TEA Revised Non EYZ'!AW99</f>
        <v>99.342347361300298</v>
      </c>
      <c r="AX99">
        <f>'TEA Revised Non EYZ'!AX99</f>
        <v>500</v>
      </c>
      <c r="AY99">
        <f>'TEA Revised Non EYZ'!AY99</f>
        <v>95</v>
      </c>
      <c r="AZ99">
        <f>'TEA Revised Non EYZ'!AZ99</f>
        <v>0.92356857683566096</v>
      </c>
      <c r="BA99">
        <f>'TEA Revised Non EYZ'!BA99</f>
        <v>0.1</v>
      </c>
      <c r="BB99">
        <f>'TEA Revised Non EYZ'!BB99</f>
        <v>46.911806052109903</v>
      </c>
      <c r="BC99" t="str">
        <f>'TEA Revised Non EYZ'!BC99</f>
        <v>coeFc</v>
      </c>
      <c r="BD99">
        <f>'TEA Revised Non EYZ'!BD99</f>
        <v>1</v>
      </c>
      <c r="BE99">
        <f>'TEA Revised Non EYZ'!BE99</f>
        <v>1.8775014999999999E-2</v>
      </c>
      <c r="BF99">
        <f>'TEA Revised Non EYZ'!BF99</f>
        <v>0.10492961100000001</v>
      </c>
      <c r="BG99">
        <f>'TEA Revised Non EYZ'!BG99</f>
        <v>1.814625E-3</v>
      </c>
      <c r="BH99">
        <f>'TEA Revised Non EYZ'!BH99</f>
        <v>285.1951444</v>
      </c>
      <c r="BI99">
        <f>'TEA Revised Non EYZ'!BI99</f>
        <v>2169.8944889999998</v>
      </c>
      <c r="BJ99">
        <f>'TEA Revised Non EYZ'!BJ99</f>
        <v>866.49409060000005</v>
      </c>
      <c r="BK99">
        <f>'TEA Revised Non EYZ'!BK99</f>
        <v>100</v>
      </c>
      <c r="BL99">
        <f>'TEA Revised Non EYZ'!BL99</f>
        <v>10.952322309941399</v>
      </c>
      <c r="BM99">
        <f>'TEA Revised Non EYZ'!BM99</f>
        <v>92.356857683566091</v>
      </c>
      <c r="BN99">
        <f>'TEA Revised Non EYZ'!BN99</f>
        <v>19.687337891228299</v>
      </c>
      <c r="BO99">
        <f>'TEA Revised Non EYZ'!BO99</f>
        <v>306.6650246783592</v>
      </c>
      <c r="BP99">
        <f>'TEA Revised Non EYZ'!BP99</f>
        <v>511.87078517193578</v>
      </c>
      <c r="BQ99">
        <f>'TEA Revised Non EYZ'!BQ99</f>
        <v>30.666502467835922</v>
      </c>
      <c r="BR99">
        <f>'TEA Revised Non EYZ'!BR99</f>
        <v>51.187078517193584</v>
      </c>
      <c r="BS99">
        <f>'eLLE Bals'!CF99</f>
        <v>6.5713933859648392</v>
      </c>
      <c r="BT99">
        <f>'eLLE Bals'!CG99</f>
        <v>11.812402734736979</v>
      </c>
      <c r="BU99">
        <f>BM99</f>
        <v>92.356857683566091</v>
      </c>
      <c r="BV99">
        <f>BU99*(AM99*2+AN99*2+AO99*3)</f>
        <v>0.31407224503164682</v>
      </c>
      <c r="BW99">
        <f>BN99*BA99*(AP99*2+AQ99*2+AR99*3)</f>
        <v>0.30041168647489314</v>
      </c>
      <c r="BX99">
        <f>BV99/(2*V99*BL99+BV99)</f>
        <v>0.1254013343670862</v>
      </c>
      <c r="BY99">
        <f>BU99*BX99</f>
        <v>11.581673191470266</v>
      </c>
      <c r="BZ99">
        <f>BW99/(2*BN99*BA99+BW99)</f>
        <v>7.0887268775152876E-2</v>
      </c>
      <c r="CA99">
        <f>2*BN99*BA99/0.04</f>
        <v>98.436689456141494</v>
      </c>
      <c r="CB99">
        <f>(BS99+BL99)*2</f>
        <v>35.047431391812481</v>
      </c>
      <c r="CC99">
        <f>(BU99+BL99)*2</f>
        <v>206.61835998701497</v>
      </c>
      <c r="CD99">
        <f>(BT99+BN99)*2</f>
        <v>62.999481251930561</v>
      </c>
      <c r="CE99">
        <f>(CA99+BN99)*2</f>
        <v>236.24805469473958</v>
      </c>
      <c r="CF99">
        <f>'TEA Revised Non EYZ'!CB99</f>
        <v>4047.9783257543413</v>
      </c>
      <c r="CG99">
        <f>'TEA Revised Non EYZ'!CC99</f>
        <v>6756.6943642695524</v>
      </c>
      <c r="CH99">
        <f>'TEA Revised Non EYZ'!CD99</f>
        <v>4890.707695899031</v>
      </c>
      <c r="CI99">
        <f>'TEA Revised Non EYZ'!CE99</f>
        <v>52114.984155128099</v>
      </c>
      <c r="CJ99">
        <f>BL99*V99</f>
        <v>1.09523223099414</v>
      </c>
      <c r="CK99">
        <f>CJ99/2*1.2</f>
        <v>0.65713933859648399</v>
      </c>
      <c r="CL99">
        <f>'eLLE Bals'!CB99*'Oxidant Feed Composition'!$N$20</f>
        <v>3.6507741033138016E-2</v>
      </c>
      <c r="CM99">
        <f>'eLLE Bals'!CB99*'Oxidant Feed Composition'!$N$21</f>
        <v>1.8253870516569002</v>
      </c>
      <c r="CN99">
        <f>'eLLE Bals'!CB99*'Oxidant Feed Composition'!$N$22</f>
        <v>0.54761611549707001</v>
      </c>
      <c r="CO99">
        <f>CN99/CK99</f>
        <v>0.83333333333333337</v>
      </c>
      <c r="CP99">
        <f>CO99</f>
        <v>0.83333333333333337</v>
      </c>
      <c r="CQ99">
        <f>CL99/CO99</f>
        <v>4.3809289239765618E-2</v>
      </c>
      <c r="CR99">
        <f>CM99/CO99</f>
        <v>2.19046446198828</v>
      </c>
      <c r="CS99">
        <f>BN99*BA99</f>
        <v>1.96873378912283</v>
      </c>
      <c r="CT99">
        <f>CS99/2*1.2</f>
        <v>1.181240273473698</v>
      </c>
      <c r="CU99">
        <f>'eLLE Bals'!CC99*'Oxidant Feed Composition'!$N$20</f>
        <v>6.562445963742769E-2</v>
      </c>
      <c r="CV99">
        <f>'eLLE Bals'!CC99*'Oxidant Feed Composition'!$N$21</f>
        <v>3.2812229818713834</v>
      </c>
      <c r="CW99">
        <f>'eLLE Bals'!CC99*'Oxidant Feed Composition'!$N$22</f>
        <v>0.98436689456141502</v>
      </c>
      <c r="CX99">
        <f>CU99/CP99</f>
        <v>7.8749351564913223E-2</v>
      </c>
      <c r="CY99">
        <f>CV99/CP99</f>
        <v>3.9374675782456601</v>
      </c>
      <c r="CZ99">
        <f>CJ99</f>
        <v>1.09523223099414</v>
      </c>
      <c r="DA99">
        <f>'eLLE Bals'!BQ99</f>
        <v>2.19046446198828</v>
      </c>
      <c r="DB99">
        <f>'eLLE Bals'!BU99</f>
        <v>5.4481197098190677</v>
      </c>
      <c r="DC99">
        <f>CS99</f>
        <v>1.96873378912283</v>
      </c>
      <c r="DD99">
        <f>'eLLE Bals'!BX99</f>
        <v>3.9374675782456601</v>
      </c>
      <c r="DE99">
        <f>'eLLE Bals'!CA99</f>
        <v>21.866540101448024</v>
      </c>
      <c r="DF99">
        <f>2*2*(CJ99*'Reagent cost'!$C$36*122.44/1000*1.5+CK99*'Oxidant Feed Composition'!$N$26+CQ99*'Reagent cost'!$C$34+CR99*'Reagent cost'!$C$35)</f>
        <v>111.45207741167536</v>
      </c>
      <c r="DG99">
        <f>2*2*(CS99*'Reagent cost'!$C$36*122.44/1000*1.5+CT99*'Oxidant Feed Composition'!$N$26+CX99*'Reagent cost'!$C$34+CY99*'Reagent cost'!$C$35)</f>
        <v>200.34058938270286</v>
      </c>
      <c r="DH99">
        <f>(AF99+3)*2*(CZ99*'Reagent cost'!$C$38+DA99*'Reagent cost'!$C$39+DB99*'Reagent cost'!$C$36*122.44/1000*1.5)</f>
        <v>2115.2505514854161</v>
      </c>
      <c r="DI99">
        <f>3*2*(DC99*'Reagent cost'!$C$38+DD99*'Reagent cost'!$C$39+DE99*'Reagent cost'!$C$36*122.44/1000*1.5)</f>
        <v>1754.3189048566633</v>
      </c>
      <c r="DJ99">
        <f>7963.6*(CB99/1000)^0.6*1.7*('CAPEX+OPEX'!$G$116/'CAPEX+OPEX'!$G$115)</f>
        <v>2138.1326451989207</v>
      </c>
      <c r="DK99">
        <f>7963.6*(CC99/1000)^0.6*1.7*('CAPEX+OPEX'!$G$116/'CAPEX+OPEX'!$G$115)</f>
        <v>6199.2945816251477</v>
      </c>
      <c r="DL99">
        <f>7963.6*(CD99/1000)^0.6*1.7*('CAPEX+OPEX'!$G$116/'CAPEX+OPEX'!$G$115)</f>
        <v>3039.7867099224536</v>
      </c>
      <c r="DM99">
        <f>7963.6*(CE99/1000)^0.6*1.7*('CAPEX+OPEX'!$G$116/'CAPEX+OPEX'!$G$115)</f>
        <v>6718.3383575425096</v>
      </c>
      <c r="DN99">
        <f>'TEA Revised Non EYZ'!CM99</f>
        <v>39625.826528698344</v>
      </c>
      <c r="DO99">
        <f>'TEA Revised Non EYZ'!CN99</f>
        <v>4586243.4239371875</v>
      </c>
      <c r="DP99">
        <f>'TEA Revised Non EYZ'!CO99</f>
        <v>11794834.586807497</v>
      </c>
      <c r="DQ99">
        <f>'TEA Revised Non EYZ'!CP99</f>
        <v>2275209.1661185985</v>
      </c>
      <c r="DR99">
        <f>'TEA Revised Non EYZ'!CQ99</f>
        <v>14083914.336508472</v>
      </c>
      <c r="DS99">
        <f>'TEA Revised Non EYZ'!CR99</f>
        <v>1662824.8986326549</v>
      </c>
      <c r="DT99">
        <f>'TEA Revised Non EYZ'!CS99</f>
        <v>936765.86395108781</v>
      </c>
      <c r="DU99">
        <f>'TEA Revised Non EYZ'!CT99</f>
        <v>2409160.916797909</v>
      </c>
      <c r="DV99">
        <f>'TEA Revised Non EYZ'!CU99</f>
        <v>464724.19432521454</v>
      </c>
      <c r="DW99">
        <f>'TEA Revised Non EYZ'!CV99</f>
        <v>2876718.2553791031</v>
      </c>
      <c r="DX99">
        <f>'TEA Revised Non EYZ'!CW99</f>
        <v>339641.28346021532</v>
      </c>
      <c r="DY99">
        <f>'TEA Revised Non EYZ'!CX99</f>
        <v>7027010.5139135299</v>
      </c>
      <c r="DZ99">
        <f>'TEA Revised Non EYZ'!CY99</f>
        <v>843163.07585789578</v>
      </c>
      <c r="EA99">
        <f>'TEA Revised Non EYZ'!CZ99</f>
        <v>2168434.6185249295</v>
      </c>
      <c r="EB99">
        <f>'TEA Revised Non EYZ'!DA99</f>
        <v>418288.3858087401</v>
      </c>
      <c r="EC99">
        <f>'TEA Revised Non EYZ'!DB99</f>
        <v>2589273.0573588139</v>
      </c>
      <c r="ED99">
        <f>'TEA Revised Non EYZ'!DC99</f>
        <v>305703.91201359074</v>
      </c>
      <c r="EE99">
        <f>'TEA Revised Non EYZ'!DD99</f>
        <v>6324863.0495639704</v>
      </c>
      <c r="EF99">
        <v>0.7</v>
      </c>
      <c r="EG99">
        <v>100</v>
      </c>
      <c r="EH99">
        <f>96485*BL99*V99/EF99/EG99/60</f>
        <v>25.160352811302293</v>
      </c>
      <c r="EI99">
        <f>96485*BN99*BA99/EF99/EG99/60</f>
        <v>45.226971343694352</v>
      </c>
      <c r="EJ99">
        <f>EH99*('CAPEX+OPEX'!$O$25+'CAPEX+OPEX'!$O$26)</f>
        <v>801910.76480182668</v>
      </c>
      <c r="EK99">
        <f>EI99*('CAPEX+OPEX'!$O$25+'CAPEX+OPEX'!$O$26)</f>
        <v>1441474.0306662263</v>
      </c>
      <c r="EL99">
        <f>EJ99*1.12/0.6*'CAPEX+OPEX'!$G$116/'CAPEX+OPEX'!$G$115</f>
        <v>1765531.1495937889</v>
      </c>
      <c r="EM99">
        <f>EK99*1.12/0.6*'CAPEX+OPEX'!$G$116/'CAPEX+OPEX'!$G$115</f>
        <v>3173629.0547248903</v>
      </c>
      <c r="EN99">
        <f>EL99+EM99+DY99+EE99+1.15*(SUM(DF99:DM99)+SUM(CF99:CI99))</f>
        <v>18394634.138598431</v>
      </c>
      <c r="EO99">
        <f>EN99/15</f>
        <v>1226308.9425732286</v>
      </c>
      <c r="EP99">
        <f>('eLLE Bals'!CB99+'eLLE Bals'!CC99)*'Oxidant Feed Composition'!$N$28*60*7200</f>
        <v>17033122.70669993</v>
      </c>
      <c r="EQ99" s="53">
        <f>('eLLE Bals'!BR99+'eLLE Bals'!BY99)*'Reagent cost'!$C$38*60*7200*1.5</f>
        <v>757904.22043222317</v>
      </c>
      <c r="ER99">
        <f>'TEA Revised Non EYZ'!DI99</f>
        <v>504921.59999999998</v>
      </c>
      <c r="ES99">
        <f>'TEA Revised Non EYZ'!DJ99</f>
        <v>108.04672690023894</v>
      </c>
      <c r="ET99">
        <f>'TEA Revised Non EYZ'!DK99</f>
        <v>1140.1138370205426</v>
      </c>
      <c r="EU99">
        <f>1.2*SUM(EP99:ET99)</f>
        <v>21956636.025235292</v>
      </c>
      <c r="EV99">
        <f>'TEA Revised Non EYZ'!DM99</f>
        <v>0.70639694042110623</v>
      </c>
      <c r="EW99">
        <f>(BS99*CO99+BT99*CP99)/1000*('Oxidant Feed Composition'!$B$11*'Oxidant Feed Composition'!$O$20+'Oxidant Feed Composition'!$D$11*'Oxidant Feed Composition'!$O$21+'Oxidant Feed Composition'!$F$11*'Oxidant Feed Composition'!$O$27-'Oxidant Feed Composition'!$J$15*18.015)</f>
        <v>1.789119311174955</v>
      </c>
      <c r="EX99">
        <f>(CZ99*BX99+DC99*BZ99)*368.34/1000</f>
        <v>0.10199398855615749</v>
      </c>
      <c r="EY99">
        <f>'TEA Revised Non EYZ'!DP99</f>
        <v>4.999938342565946E-2</v>
      </c>
      <c r="EZ99">
        <f>SUM(EV99:EX99)-EY99</f>
        <v>2.5475108567265594</v>
      </c>
      <c r="FA99">
        <f>EZ99*0.33*60*7200</f>
        <v>363173.14773493836</v>
      </c>
      <c r="FB99">
        <f>'TEA Revised Non EYZ'!DS99</f>
        <v>1.2</v>
      </c>
      <c r="FC99">
        <v>0.5</v>
      </c>
      <c r="FD99">
        <f>'TEA Revised Non EYZ'!DT99</f>
        <v>1405.8791478299054</v>
      </c>
      <c r="FE99">
        <f>'TEA Revised Non EYZ'!DU99</f>
        <v>705.80254729732212</v>
      </c>
      <c r="FF99">
        <f>'TEA Revised Non EYZ'!DV99</f>
        <v>0.7</v>
      </c>
      <c r="FG99">
        <f>'TEA Revised Non EYZ'!DW99</f>
        <v>52288.524762496963</v>
      </c>
      <c r="FH99">
        <f>'TEA Revised Non EYZ'!DX99</f>
        <v>53983.928663982973</v>
      </c>
      <c r="FI99">
        <f>'TEA Revised Non EYZ'!DY99</f>
        <v>22856.098829508919</v>
      </c>
      <c r="FJ99">
        <f>'TEA Revised Non EYZ'!DZ99</f>
        <v>12107.513206066582</v>
      </c>
      <c r="FK99">
        <f>'TEA Revised Non EYZ'!EA99</f>
        <v>12189.919375738094</v>
      </c>
      <c r="FL99">
        <f>'TEA Revised Non EYZ'!EB99</f>
        <v>850.27570860752689</v>
      </c>
      <c r="FM99">
        <f>'TEA Revised Non EYZ'!EC99</f>
        <v>46284.539356559282</v>
      </c>
      <c r="FN99">
        <f>'TEA Revised Non EYZ'!ED99</f>
        <v>46552.60320984431</v>
      </c>
      <c r="FO99">
        <f>'TEA Revised Non EYZ'!EE99</f>
        <v>19709.771520296981</v>
      </c>
      <c r="FP99">
        <f>'TEA Revised Non EYZ'!EF99</f>
        <v>10446.628530575212</v>
      </c>
      <c r="FQ99">
        <f>'TEA Revised Non EYZ'!EG99</f>
        <v>10511.878144158392</v>
      </c>
      <c r="FR99">
        <f>'TEA Revised Non EYZ'!EH99</f>
        <v>426.86938060542042</v>
      </c>
      <c r="FS99">
        <f>'TEA Revised Non EYZ'!EI99</f>
        <v>288208.55068844062</v>
      </c>
      <c r="FT99">
        <f>EG99*EH99</f>
        <v>2516.0352811302291</v>
      </c>
      <c r="FU99">
        <f>EG99*EI99</f>
        <v>4522.6971343694349</v>
      </c>
      <c r="FV99">
        <f>FC99*(FT99+FU99)/(3.6*10^6)*3600*7200*0.07</f>
        <v>1773.7605687059154</v>
      </c>
      <c r="FW99">
        <f>('CAPEX+OPEX'!$C$39/7/100+0.03)*EL99</f>
        <v>90798.744836251994</v>
      </c>
      <c r="FX99">
        <f>('CAPEX+OPEX'!$C$39/7/100+0.03)*EM99</f>
        <v>163215.20852870864</v>
      </c>
      <c r="FY99">
        <f>SUM(FV99:FX99)</f>
        <v>255787.71393366653</v>
      </c>
      <c r="FZ99">
        <f>FY99+FA99+FS99+EU99</f>
        <v>22863805.437592339</v>
      </c>
      <c r="GA99">
        <f>FZ99+EO99</f>
        <v>24090114.380165566</v>
      </c>
      <c r="GB99">
        <f>GA99/(BK99*60*7200)</f>
        <v>0.5576415365779066</v>
      </c>
      <c r="GC99">
        <f>'TEA Revised Non EYZ'!EM99/'TEA Revised Non EYZ'!EK99*GA99</f>
        <v>1865.5739859997543</v>
      </c>
      <c r="GD99">
        <f>'TEA Revised Non EYZ'!EN99/'TEA Revised Non EYZ'!EK99*GA99</f>
        <v>3423.7858783201541</v>
      </c>
    </row>
    <row r="100" spans="1:186">
      <c r="A100">
        <f>'TEA Revised Non EYZ'!A100</f>
        <v>12</v>
      </c>
      <c r="B100">
        <f>'TEA Revised Non EYZ'!B100</f>
        <v>1.54143585092054E-3</v>
      </c>
      <c r="C100">
        <f>'TEA Revised Non EYZ'!C100</f>
        <v>1.54143585092054E-3</v>
      </c>
      <c r="D100">
        <f>'TEA Revised Non EYZ'!D100</f>
        <v>3.4254130020456501E-4</v>
      </c>
      <c r="E100">
        <f>'TEA Revised Non EYZ'!E100</f>
        <v>0</v>
      </c>
      <c r="F100">
        <f>'TEA Revised Non EYZ'!F100</f>
        <v>0</v>
      </c>
      <c r="G100">
        <f>'TEA Revised Non EYZ'!G100</f>
        <v>0</v>
      </c>
      <c r="H100">
        <f>'TEA Revised Non EYZ'!H100</f>
        <v>1.7771599281349402E-5</v>
      </c>
      <c r="I100">
        <f>'TEA Revised Non EYZ'!I100</f>
        <v>6.3113732322488897E-11</v>
      </c>
      <c r="J100">
        <f>'TEA Revised Non EYZ'!J100</f>
        <v>3.37661562480901E-4</v>
      </c>
      <c r="K100">
        <f>'TEA Revised Non EYZ'!K100</f>
        <v>0.13911791568267901</v>
      </c>
      <c r="L100">
        <f>'TEA Revised Non EYZ'!L100</f>
        <v>0.140740543921716</v>
      </c>
      <c r="M100">
        <f>'TEA Revised Non EYZ'!M100</f>
        <v>4.45543656000266E-4</v>
      </c>
      <c r="N100">
        <f>'TEA Revised Non EYZ'!N100</f>
        <v>-4.7646348672047899E-15</v>
      </c>
      <c r="O100">
        <f>'TEA Revised Non EYZ'!O100</f>
        <v>-1.1300289697036E-11</v>
      </c>
      <c r="P100">
        <f>'TEA Revised Non EYZ'!P100</f>
        <v>-4.6756218688437302E-19</v>
      </c>
      <c r="Q100">
        <f>'TEA Revised Non EYZ'!Q100</f>
        <v>0.10952322309941399</v>
      </c>
      <c r="R100">
        <f>'TEA Revised Non EYZ'!R100</f>
        <v>98.575430839799395</v>
      </c>
      <c r="S100">
        <f>'TEA Revised Non EYZ'!S100</f>
        <v>500</v>
      </c>
      <c r="T100">
        <f>'TEA Revised Non EYZ'!T100</f>
        <v>95</v>
      </c>
      <c r="U100">
        <f>'TEA Revised Non EYZ'!U100</f>
        <v>1</v>
      </c>
      <c r="V100">
        <f>'TEA Revised Non EYZ'!V100</f>
        <v>0.1</v>
      </c>
      <c r="W100">
        <f>'TEA Revised Non EYZ'!W100</f>
        <v>91.304836700459305</v>
      </c>
      <c r="X100" t="str">
        <f>'TEA Revised Non EYZ'!X100</f>
        <v>ddFc</v>
      </c>
      <c r="Y100">
        <f>'TEA Revised Non EYZ'!Y100</f>
        <v>1</v>
      </c>
      <c r="Z100">
        <f>'TEA Revised Non EYZ'!Z100</f>
        <v>0.28318429382522198</v>
      </c>
      <c r="AA100">
        <f>'TEA Revised Non EYZ'!AA100</f>
        <v>0.56945642916197003</v>
      </c>
      <c r="AB100">
        <f>'TEA Revised Non EYZ'!AB100</f>
        <v>3.7698628972227502E-3</v>
      </c>
      <c r="AC100">
        <f>'TEA Revised Non EYZ'!AC100</f>
        <v>1822.2107908876901</v>
      </c>
      <c r="AD100">
        <f>'TEA Revised Non EYZ'!AD100</f>
        <v>2662.6059073104898</v>
      </c>
      <c r="AE100">
        <f>'TEA Revised Non EYZ'!AE100</f>
        <v>2401.5030938442701</v>
      </c>
      <c r="AF100">
        <f>'TEA Revised Non EYZ'!AF100</f>
        <v>12</v>
      </c>
      <c r="AG100">
        <f>'TEA Revised Non EYZ'!AG100</f>
        <v>1.6497575706444501E-3</v>
      </c>
      <c r="AH100">
        <f>'TEA Revised Non EYZ'!AH100</f>
        <v>1.66899983148883E-3</v>
      </c>
      <c r="AI100">
        <f>'TEA Revised Non EYZ'!AI100</f>
        <v>5.28356837386519E-6</v>
      </c>
      <c r="AJ100">
        <f>'TEA Revised Non EYZ'!AJ100</f>
        <v>0</v>
      </c>
      <c r="AK100">
        <f>'TEA Revised Non EYZ'!AK100</f>
        <v>0</v>
      </c>
      <c r="AL100">
        <f>'TEA Revised Non EYZ'!AL100</f>
        <v>0</v>
      </c>
      <c r="AM100">
        <f>'TEA Revised Non EYZ'!AM100</f>
        <v>1.6128107620641699E-3</v>
      </c>
      <c r="AN100">
        <f>'TEA Revised Non EYZ'!AN100</f>
        <v>7.9635955314965296E-5</v>
      </c>
      <c r="AO100">
        <f>'TEA Revised Non EYZ'!AO100</f>
        <v>5.2488216357800397E-6</v>
      </c>
      <c r="AP100">
        <f>'TEA Revised Non EYZ'!AP100</f>
        <v>1.7332529701511801E-3</v>
      </c>
      <c r="AQ100">
        <f>'TEA Revised Non EYZ'!AQ100</f>
        <v>7.4560422536797497E-2</v>
      </c>
      <c r="AR100">
        <f>'TEA Revised Non EYZ'!AR100</f>
        <v>1.6300430078820901E-6</v>
      </c>
      <c r="AS100">
        <f>'TEA Revised Non EYZ'!AS100</f>
        <v>3.8848996719229E-16</v>
      </c>
      <c r="AT100">
        <f>'TEA Revised Non EYZ'!AT100</f>
        <v>-3.7900455343575703E-14</v>
      </c>
      <c r="AU100">
        <f>'TEA Revised Non EYZ'!AU100</f>
        <v>-2.53448139686247E-21</v>
      </c>
      <c r="AV100">
        <f>'TEA Revised Non EYZ'!AV100</f>
        <v>0.19687207814646801</v>
      </c>
      <c r="AW100">
        <f>'TEA Revised Non EYZ'!AW100</f>
        <v>99.342362289527202</v>
      </c>
      <c r="AX100">
        <f>'TEA Revised Non EYZ'!AX100</f>
        <v>500</v>
      </c>
      <c r="AY100">
        <f>'TEA Revised Non EYZ'!AY100</f>
        <v>95</v>
      </c>
      <c r="AZ100">
        <f>'TEA Revised Non EYZ'!AZ100</f>
        <v>0.92356857683566096</v>
      </c>
      <c r="BA100">
        <f>'TEA Revised Non EYZ'!BA100</f>
        <v>0.1</v>
      </c>
      <c r="BB100">
        <f>'TEA Revised Non EYZ'!BB100</f>
        <v>46.912116006036399</v>
      </c>
      <c r="BC100" t="str">
        <f>'TEA Revised Non EYZ'!BC100</f>
        <v>coeFc</v>
      </c>
      <c r="BD100">
        <f>'TEA Revised Non EYZ'!BD100</f>
        <v>1</v>
      </c>
      <c r="BE100">
        <f>'TEA Revised Non EYZ'!BE100</f>
        <v>1.8775014999999999E-2</v>
      </c>
      <c r="BF100">
        <f>'TEA Revised Non EYZ'!BF100</f>
        <v>0.10492961100000001</v>
      </c>
      <c r="BG100">
        <f>'TEA Revised Non EYZ'!BG100</f>
        <v>1.814625E-3</v>
      </c>
      <c r="BH100">
        <f>'TEA Revised Non EYZ'!BH100</f>
        <v>285.1951444</v>
      </c>
      <c r="BI100">
        <f>'TEA Revised Non EYZ'!BI100</f>
        <v>2169.8944889999998</v>
      </c>
      <c r="BJ100">
        <f>'TEA Revised Non EYZ'!BJ100</f>
        <v>866.49409060000005</v>
      </c>
      <c r="BK100">
        <f>'TEA Revised Non EYZ'!BK100</f>
        <v>100</v>
      </c>
      <c r="BL100">
        <f>'TEA Revised Non EYZ'!BL100</f>
        <v>10.952322309941399</v>
      </c>
      <c r="BM100">
        <f>'TEA Revised Non EYZ'!BM100</f>
        <v>92.356857683566091</v>
      </c>
      <c r="BN100">
        <f>'TEA Revised Non EYZ'!BN100</f>
        <v>19.687207814646801</v>
      </c>
      <c r="BO100">
        <f>'TEA Revised Non EYZ'!BO100</f>
        <v>306.6650246783592</v>
      </c>
      <c r="BP100">
        <f>'TEA Revised Non EYZ'!BP100</f>
        <v>551.24181881011043</v>
      </c>
      <c r="BQ100">
        <f>'TEA Revised Non EYZ'!BQ100</f>
        <v>30.666502467835922</v>
      </c>
      <c r="BR100">
        <f>'TEA Revised Non EYZ'!BR100</f>
        <v>55.124181881011047</v>
      </c>
      <c r="BS100">
        <f>'eLLE Bals'!CF100</f>
        <v>6.5713933859648392</v>
      </c>
      <c r="BT100">
        <f>'eLLE Bals'!CG100</f>
        <v>11.812324688788079</v>
      </c>
      <c r="BU100">
        <f>BM100</f>
        <v>92.356857683566091</v>
      </c>
      <c r="BV100">
        <f>BU100*(AM100*2+AN100*2+AO100*3)</f>
        <v>0.31407241524647328</v>
      </c>
      <c r="BW100">
        <f>BN100*BA100*(AP100*2+AQ100*2+AR100*3)</f>
        <v>0.30041151622833834</v>
      </c>
      <c r="BX100">
        <f>BV100/(2*V100*BL100+BV100)</f>
        <v>0.12540139380708146</v>
      </c>
      <c r="BY100">
        <f>BU100*BX100</f>
        <v>11.581678681161447</v>
      </c>
      <c r="BZ100">
        <f>BW100/(2*BN100*BA100+BW100)</f>
        <v>7.0887666612559186E-2</v>
      </c>
      <c r="CA100">
        <f>2*BN100*BA100/0.04</f>
        <v>98.436039073233999</v>
      </c>
      <c r="CB100">
        <f>(BS100+BL100)*2</f>
        <v>35.047431391812481</v>
      </c>
      <c r="CC100">
        <f>(BU100+BL100)*2</f>
        <v>206.61835998701497</v>
      </c>
      <c r="CD100">
        <f>(BT100+BN100)*2</f>
        <v>62.999065006869756</v>
      </c>
      <c r="CE100">
        <f>(CA100+BN100)*2</f>
        <v>236.24649377576159</v>
      </c>
      <c r="CF100">
        <f>'TEA Revised Non EYZ'!CB100</f>
        <v>4047.9783257543413</v>
      </c>
      <c r="CG100">
        <f>'TEA Revised Non EYZ'!CC100</f>
        <v>7276.3920082934583</v>
      </c>
      <c r="CH100">
        <f>'TEA Revised Non EYZ'!CD100</f>
        <v>4890.707695899031</v>
      </c>
      <c r="CI100">
        <f>'TEA Revised Non EYZ'!CE100</f>
        <v>56123.458273328237</v>
      </c>
      <c r="CJ100">
        <f>BL100*V100</f>
        <v>1.09523223099414</v>
      </c>
      <c r="CK100">
        <f>CJ100/2*1.2</f>
        <v>0.65713933859648399</v>
      </c>
      <c r="CL100">
        <f>'eLLE Bals'!CB100*'Oxidant Feed Composition'!$N$20</f>
        <v>3.6507741033138016E-2</v>
      </c>
      <c r="CM100">
        <f>'eLLE Bals'!CB100*'Oxidant Feed Composition'!$N$21</f>
        <v>1.8253870516569002</v>
      </c>
      <c r="CN100">
        <f>'eLLE Bals'!CB100*'Oxidant Feed Composition'!$N$22</f>
        <v>0.54761611549707001</v>
      </c>
      <c r="CO100">
        <f>CN100/CK100</f>
        <v>0.83333333333333337</v>
      </c>
      <c r="CP100">
        <f>CO100</f>
        <v>0.83333333333333337</v>
      </c>
      <c r="CQ100">
        <f>CL100/CO100</f>
        <v>4.3809289239765618E-2</v>
      </c>
      <c r="CR100">
        <f>CM100/CO100</f>
        <v>2.19046446198828</v>
      </c>
      <c r="CS100">
        <f>BN100*BA100</f>
        <v>1.9687207814646801</v>
      </c>
      <c r="CT100">
        <f>CS100/2*1.2</f>
        <v>1.1812324688788081</v>
      </c>
      <c r="CU100">
        <f>'eLLE Bals'!CC100*'Oxidant Feed Composition'!$N$20</f>
        <v>6.5624026048822698E-2</v>
      </c>
      <c r="CV100">
        <f>'eLLE Bals'!CC100*'Oxidant Feed Composition'!$N$21</f>
        <v>3.2812013024411337</v>
      </c>
      <c r="CW100">
        <f>'eLLE Bals'!CC100*'Oxidant Feed Composition'!$N$22</f>
        <v>0.98436039073234005</v>
      </c>
      <c r="CX100">
        <f>CU100/CP100</f>
        <v>7.874883125858724E-2</v>
      </c>
      <c r="CY100">
        <f>CV100/CP100</f>
        <v>3.9374415629293602</v>
      </c>
      <c r="CZ100">
        <f>CJ100</f>
        <v>1.09523223099414</v>
      </c>
      <c r="DA100">
        <f>'eLLE Bals'!BQ100</f>
        <v>2.19046446198828</v>
      </c>
      <c r="DB100">
        <f>'eLLE Bals'!BU100</f>
        <v>5.4481155697872907</v>
      </c>
      <c r="DC100">
        <f>CS100</f>
        <v>1.9687207814646801</v>
      </c>
      <c r="DD100">
        <f>'eLLE Bals'!BX100</f>
        <v>3.9374415629293602</v>
      </c>
      <c r="DE100">
        <f>'eLLE Bals'!CA100</f>
        <v>21.866239760824659</v>
      </c>
      <c r="DF100">
        <f>2*2*(CJ100*'Reagent cost'!$C$36*122.44/1000*1.5+CK100*'Oxidant Feed Composition'!$N$26+CQ100*'Reagent cost'!$C$34+CR100*'Reagent cost'!$C$35)</f>
        <v>111.45207741167536</v>
      </c>
      <c r="DG100">
        <f>2*2*(CS100*'Reagent cost'!$C$36*122.44/1000*1.5+CT100*'Oxidant Feed Composition'!$N$26+CX100*'Reagent cost'!$C$34+CY100*'Reagent cost'!$C$35)</f>
        <v>200.33926570861618</v>
      </c>
      <c r="DH100">
        <f>(AF100+3)*2*(CZ100*'Reagent cost'!$C$38+DA100*'Reagent cost'!$C$39+DB100*'Reagent cost'!$C$36*122.44/1000*1.5)</f>
        <v>2266.3382656965578</v>
      </c>
      <c r="DI100">
        <f>3*2*(DC100*'Reagent cost'!$C$38+DD100*'Reagent cost'!$C$39+DE100*'Reagent cost'!$C$36*122.44/1000*1.5)</f>
        <v>1754.2951843223468</v>
      </c>
      <c r="DJ100">
        <f>7963.6*(CB100/1000)^0.6*1.7*('CAPEX+OPEX'!$G$116/'CAPEX+OPEX'!$G$115)</f>
        <v>2138.1326451989207</v>
      </c>
      <c r="DK100">
        <f>7963.6*(CC100/1000)^0.6*1.7*('CAPEX+OPEX'!$G$116/'CAPEX+OPEX'!$G$115)</f>
        <v>6199.2945816251477</v>
      </c>
      <c r="DL100">
        <f>7963.6*(CD100/1000)^0.6*1.7*('CAPEX+OPEX'!$G$116/'CAPEX+OPEX'!$G$115)</f>
        <v>3039.7746593672682</v>
      </c>
      <c r="DM100">
        <f>7963.6*(CE100/1000)^0.6*1.7*('CAPEX+OPEX'!$G$116/'CAPEX+OPEX'!$G$115)</f>
        <v>6718.3117241912714</v>
      </c>
      <c r="DN100">
        <f>'TEA Revised Non EYZ'!CM100</f>
        <v>39625.826528698344</v>
      </c>
      <c r="DO100">
        <f>'TEA Revised Non EYZ'!CN100</f>
        <v>4586243.4239371875</v>
      </c>
      <c r="DP100">
        <f>'TEA Revised Non EYZ'!CO100</f>
        <v>11794834.586807497</v>
      </c>
      <c r="DQ100">
        <f>'TEA Revised Non EYZ'!CP100</f>
        <v>2275209.1661185985</v>
      </c>
      <c r="DR100">
        <f>'TEA Revised Non EYZ'!CQ100</f>
        <v>14083914.336508472</v>
      </c>
      <c r="DS100">
        <f>'TEA Revised Non EYZ'!CR100</f>
        <v>1662824.8986326549</v>
      </c>
      <c r="DT100">
        <f>'TEA Revised Non EYZ'!CS100</f>
        <v>936765.86395108781</v>
      </c>
      <c r="DU100">
        <f>'TEA Revised Non EYZ'!CT100</f>
        <v>2409160.916797909</v>
      </c>
      <c r="DV100">
        <f>'TEA Revised Non EYZ'!CU100</f>
        <v>464724.19432521454</v>
      </c>
      <c r="DW100">
        <f>'TEA Revised Non EYZ'!CV100</f>
        <v>2876718.2553791031</v>
      </c>
      <c r="DX100">
        <f>'TEA Revised Non EYZ'!CW100</f>
        <v>339641.28346021532</v>
      </c>
      <c r="DY100">
        <f>'TEA Revised Non EYZ'!CX100</f>
        <v>7027010.5139135299</v>
      </c>
      <c r="DZ100">
        <f>'TEA Revised Non EYZ'!CY100</f>
        <v>884644.62522109901</v>
      </c>
      <c r="EA100">
        <f>'TEA Revised Non EYZ'!CZ100</f>
        <v>2275116.2679528282</v>
      </c>
      <c r="EB100">
        <f>'TEA Revised Non EYZ'!DA100</f>
        <v>438867.14550635306</v>
      </c>
      <c r="EC100">
        <f>'TEA Revised Non EYZ'!DB100</f>
        <v>2716658.9228206738</v>
      </c>
      <c r="ED100">
        <f>'TEA Revised Non EYZ'!DC100</f>
        <v>320743.79252995877</v>
      </c>
      <c r="EE100">
        <f>'TEA Revised Non EYZ'!DD100</f>
        <v>6636030.7540309131</v>
      </c>
      <c r="EF100">
        <v>0.7</v>
      </c>
      <c r="EG100">
        <v>100</v>
      </c>
      <c r="EH100">
        <f>96485*BL100*V100/EF100/EG100/60</f>
        <v>25.160352811302293</v>
      </c>
      <c r="EI100">
        <f>96485*BN100*BA100/EF100/EG100/60</f>
        <v>45.226672523718982</v>
      </c>
      <c r="EJ100">
        <f>EH100*('CAPEX+OPEX'!$O$25+'CAPEX+OPEX'!$O$26)</f>
        <v>801910.76480182668</v>
      </c>
      <c r="EK100">
        <f>EI100*('CAPEX+OPEX'!$O$25+'CAPEX+OPEX'!$O$26)</f>
        <v>1441464.5066759714</v>
      </c>
      <c r="EL100">
        <f>EJ100*1.12/0.6*'CAPEX+OPEX'!$G$116/'CAPEX+OPEX'!$G$115</f>
        <v>1765531.1495937889</v>
      </c>
      <c r="EM100">
        <f>EK100*1.12/0.6*'CAPEX+OPEX'!$G$116/'CAPEX+OPEX'!$G$115</f>
        <v>3173608.0861805067</v>
      </c>
      <c r="EN100">
        <f>EL100+EM100+DY100+EE100+1.15*(SUM(DF100:DM100)+SUM(CF100:CI100))</f>
        <v>18711161.949631553</v>
      </c>
      <c r="EO100">
        <f>EN100/15</f>
        <v>1247410.7966421035</v>
      </c>
      <c r="EP100">
        <f>('eLLE Bals'!CB100+'eLLE Bals'!CC100)*'Oxidant Feed Composition'!$N$28*60*7200</f>
        <v>17033050.394854452</v>
      </c>
      <c r="EQ100" s="53">
        <f>('eLLE Bals'!BR100+'eLLE Bals'!BY100)*'Reagent cost'!$C$38*60*7200*1.5</f>
        <v>757904.01858301426</v>
      </c>
      <c r="ER100">
        <f>'TEA Revised Non EYZ'!DI100</f>
        <v>504921.59999999998</v>
      </c>
      <c r="ES100">
        <f>'TEA Revised Non EYZ'!DJ100</f>
        <v>113.24370334047799</v>
      </c>
      <c r="ET100">
        <f>'TEA Revised Non EYZ'!DK100</f>
        <v>1220.2833193845454</v>
      </c>
      <c r="EU100">
        <f>1.2*SUM(EP100:ET100)</f>
        <v>21956651.448552229</v>
      </c>
      <c r="EV100">
        <f>'TEA Revised Non EYZ'!DM100</f>
        <v>0.70639694042110623</v>
      </c>
      <c r="EW100">
        <f>(BS100*CO100+BT100*CP100)/1000*('Oxidant Feed Composition'!$B$11*'Oxidant Feed Composition'!$O$20+'Oxidant Feed Composition'!$D$11*'Oxidant Feed Composition'!$O$21+'Oxidant Feed Composition'!$F$11*'Oxidant Feed Composition'!$O$27-'Oxidant Feed Composition'!$J$15*18.015)</f>
        <v>1.7891117157080874</v>
      </c>
      <c r="EX100">
        <f>(CZ100*BX100+DC100*BZ100)*368.34/1000</f>
        <v>0.10199396139255903</v>
      </c>
      <c r="EY100">
        <f>'TEA Revised Non EYZ'!DP100</f>
        <v>4.999938342565946E-2</v>
      </c>
      <c r="EZ100">
        <f>SUM(EV100:EX100)-EY100</f>
        <v>2.5475032340960935</v>
      </c>
      <c r="FA100">
        <f>EZ100*0.33*60*7200</f>
        <v>363172.0610527391</v>
      </c>
      <c r="FB100">
        <f>'TEA Revised Non EYZ'!DS100</f>
        <v>1.2</v>
      </c>
      <c r="FC100">
        <v>0.5</v>
      </c>
      <c r="FD100">
        <f>'TEA Revised Non EYZ'!DT100</f>
        <v>1405.8799101755899</v>
      </c>
      <c r="FE100">
        <f>'TEA Revised Non EYZ'!DU100</f>
        <v>705.80178487948251</v>
      </c>
      <c r="FF100">
        <f>'TEA Revised Non EYZ'!DV100</f>
        <v>0.7</v>
      </c>
      <c r="FG100">
        <f>'TEA Revised Non EYZ'!DW100</f>
        <v>52288.524762496963</v>
      </c>
      <c r="FH100">
        <f>'TEA Revised Non EYZ'!DX100</f>
        <v>53983.928663982973</v>
      </c>
      <c r="FI100">
        <f>'TEA Revised Non EYZ'!DY100</f>
        <v>22856.098829508919</v>
      </c>
      <c r="FJ100">
        <f>'TEA Revised Non EYZ'!DZ100</f>
        <v>12107.513206066582</v>
      </c>
      <c r="FK100">
        <f>'TEA Revised Non EYZ'!EA100</f>
        <v>12189.919375738094</v>
      </c>
      <c r="FL100">
        <f>'TEA Revised Non EYZ'!EB100</f>
        <v>850.27616967419681</v>
      </c>
      <c r="FM100">
        <f>'TEA Revised Non EYZ'!EC100</f>
        <v>48855.90265414591</v>
      </c>
      <c r="FN100">
        <f>'TEA Revised Non EYZ'!ED100</f>
        <v>50431.986810664675</v>
      </c>
      <c r="FO100">
        <f>'TEA Revised Non EYZ'!EE100</f>
        <v>21352.252480321731</v>
      </c>
      <c r="FP100">
        <f>'TEA Revised Non EYZ'!EF100</f>
        <v>11317.180908123148</v>
      </c>
      <c r="FQ100">
        <f>'TEA Revised Non EYZ'!EG100</f>
        <v>11387.867989504926</v>
      </c>
      <c r="FR100">
        <f>'TEA Revised Non EYZ'!EH100</f>
        <v>426.86891949511096</v>
      </c>
      <c r="FS100">
        <f>'TEA Revised Non EYZ'!EI100</f>
        <v>298048.32076972321</v>
      </c>
      <c r="FT100">
        <f>EG100*EH100</f>
        <v>2516.0352811302291</v>
      </c>
      <c r="FU100">
        <f>EG100*EI100</f>
        <v>4522.667252371898</v>
      </c>
      <c r="FV100">
        <f>FC100*(FT100+FU100)/(3.6*10^6)*3600*7200*0.07</f>
        <v>1773.7530384425365</v>
      </c>
      <c r="FW100">
        <f>('CAPEX+OPEX'!$C$39/7/100+0.03)*EL100</f>
        <v>90798.744836251994</v>
      </c>
      <c r="FX100">
        <f>('CAPEX+OPEX'!$C$39/7/100+0.03)*EM100</f>
        <v>163214.13014642606</v>
      </c>
      <c r="FY100">
        <f>SUM(FV100:FX100)</f>
        <v>255786.62802112059</v>
      </c>
      <c r="FZ100">
        <f>FY100+FA100+FS100+EU100</f>
        <v>22873658.458395813</v>
      </c>
      <c r="GA100">
        <f>FZ100+EO100</f>
        <v>24121069.255037915</v>
      </c>
      <c r="GB100">
        <f>GA100/(BK100*60*7200)</f>
        <v>0.55835808460735914</v>
      </c>
      <c r="GC100">
        <f>'TEA Revised Non EYZ'!EM100/'TEA Revised Non EYZ'!EK100*GA100</f>
        <v>1867.9701636232596</v>
      </c>
      <c r="GD100">
        <f>'TEA Revised Non EYZ'!EN100/'TEA Revised Non EYZ'!EK100*GA100</f>
        <v>3428.1887262050641</v>
      </c>
    </row>
    <row r="101" spans="1:186">
      <c r="A101">
        <f>'TEA Revised Non EYZ'!A101</f>
        <v>12</v>
      </c>
      <c r="B101">
        <f>'TEA Revised Non EYZ'!B101</f>
        <v>1.54143585092054E-3</v>
      </c>
      <c r="C101">
        <f>'TEA Revised Non EYZ'!C101</f>
        <v>1.54143585092054E-3</v>
      </c>
      <c r="D101">
        <f>'TEA Revised Non EYZ'!D101</f>
        <v>3.4254130020456501E-4</v>
      </c>
      <c r="E101">
        <f>'TEA Revised Non EYZ'!E101</f>
        <v>0</v>
      </c>
      <c r="F101">
        <f>'TEA Revised Non EYZ'!F101</f>
        <v>0</v>
      </c>
      <c r="G101">
        <f>'TEA Revised Non EYZ'!G101</f>
        <v>0</v>
      </c>
      <c r="H101">
        <f>'TEA Revised Non EYZ'!H101</f>
        <v>1.7771599281349402E-5</v>
      </c>
      <c r="I101">
        <f>'TEA Revised Non EYZ'!I101</f>
        <v>6.3113732322488897E-11</v>
      </c>
      <c r="J101">
        <f>'TEA Revised Non EYZ'!J101</f>
        <v>3.37661562480901E-4</v>
      </c>
      <c r="K101">
        <f>'TEA Revised Non EYZ'!K101</f>
        <v>0.13911791568267901</v>
      </c>
      <c r="L101">
        <f>'TEA Revised Non EYZ'!L101</f>
        <v>0.140740543921716</v>
      </c>
      <c r="M101">
        <f>'TEA Revised Non EYZ'!M101</f>
        <v>4.45543656000266E-4</v>
      </c>
      <c r="N101">
        <f>'TEA Revised Non EYZ'!N101</f>
        <v>-4.7646348672047899E-15</v>
      </c>
      <c r="O101">
        <f>'TEA Revised Non EYZ'!O101</f>
        <v>-1.1300289697036E-11</v>
      </c>
      <c r="P101">
        <f>'TEA Revised Non EYZ'!P101</f>
        <v>-4.6756218688437302E-19</v>
      </c>
      <c r="Q101">
        <f>'TEA Revised Non EYZ'!Q101</f>
        <v>0.10952322309941399</v>
      </c>
      <c r="R101">
        <f>'TEA Revised Non EYZ'!R101</f>
        <v>98.575430839799395</v>
      </c>
      <c r="S101">
        <f>'TEA Revised Non EYZ'!S101</f>
        <v>500</v>
      </c>
      <c r="T101">
        <f>'TEA Revised Non EYZ'!T101</f>
        <v>95</v>
      </c>
      <c r="U101">
        <f>'TEA Revised Non EYZ'!U101</f>
        <v>1</v>
      </c>
      <c r="V101">
        <f>'TEA Revised Non EYZ'!V101</f>
        <v>0.1</v>
      </c>
      <c r="W101">
        <f>'TEA Revised Non EYZ'!W101</f>
        <v>91.304836700459305</v>
      </c>
      <c r="X101" t="str">
        <f>'TEA Revised Non EYZ'!X101</f>
        <v>ddFc</v>
      </c>
      <c r="Y101">
        <f>'TEA Revised Non EYZ'!Y101</f>
        <v>1</v>
      </c>
      <c r="Z101">
        <f>'TEA Revised Non EYZ'!Z101</f>
        <v>0.28318429382522198</v>
      </c>
      <c r="AA101">
        <f>'TEA Revised Non EYZ'!AA101</f>
        <v>0.56945642916197003</v>
      </c>
      <c r="AB101">
        <f>'TEA Revised Non EYZ'!AB101</f>
        <v>3.7698628972227502E-3</v>
      </c>
      <c r="AC101">
        <f>'TEA Revised Non EYZ'!AC101</f>
        <v>1822.2107908876901</v>
      </c>
      <c r="AD101">
        <f>'TEA Revised Non EYZ'!AD101</f>
        <v>2662.6059073104898</v>
      </c>
      <c r="AE101">
        <f>'TEA Revised Non EYZ'!AE101</f>
        <v>2401.5030938442701</v>
      </c>
      <c r="AF101">
        <f>'TEA Revised Non EYZ'!AF101</f>
        <v>13</v>
      </c>
      <c r="AG101">
        <f>'TEA Revised Non EYZ'!AG101</f>
        <v>1.6497575706444501E-3</v>
      </c>
      <c r="AH101">
        <f>'TEA Revised Non EYZ'!AH101</f>
        <v>1.66899983148883E-3</v>
      </c>
      <c r="AI101">
        <f>'TEA Revised Non EYZ'!AI101</f>
        <v>5.28356837386519E-6</v>
      </c>
      <c r="AJ101">
        <f>'TEA Revised Non EYZ'!AJ101</f>
        <v>0</v>
      </c>
      <c r="AK101">
        <f>'TEA Revised Non EYZ'!AK101</f>
        <v>0</v>
      </c>
      <c r="AL101">
        <f>'TEA Revised Non EYZ'!AL101</f>
        <v>0</v>
      </c>
      <c r="AM101">
        <f>'TEA Revised Non EYZ'!AM101</f>
        <v>1.61281100796467E-3</v>
      </c>
      <c r="AN101">
        <f>'TEA Revised Non EYZ'!AN101</f>
        <v>7.9635968035451799E-5</v>
      </c>
      <c r="AO101">
        <f>'TEA Revised Non EYZ'!AO101</f>
        <v>5.2488218574256396E-6</v>
      </c>
      <c r="AP101">
        <f>'TEA Revised Non EYZ'!AP101</f>
        <v>1.73324465254427E-3</v>
      </c>
      <c r="AQ101">
        <f>'TEA Revised Non EYZ'!AQ101</f>
        <v>7.4560560373448506E-2</v>
      </c>
      <c r="AR101">
        <f>'TEA Revised Non EYZ'!AR101</f>
        <v>1.6300356364773401E-6</v>
      </c>
      <c r="AS101">
        <f>'TEA Revised Non EYZ'!AS101</f>
        <v>-7.4538899358378406E-20</v>
      </c>
      <c r="AT101">
        <f>'TEA Revised Non EYZ'!AT101</f>
        <v>-1.34441069388202E-17</v>
      </c>
      <c r="AU101">
        <f>'TEA Revised Non EYZ'!AU101</f>
        <v>3.44107134822059E-22</v>
      </c>
      <c r="AV101">
        <f>'TEA Revised Non EYZ'!AV101</f>
        <v>0.19687171261743899</v>
      </c>
      <c r="AW101">
        <f>'TEA Revised Non EYZ'!AW101</f>
        <v>99.3423664845254</v>
      </c>
      <c r="AX101">
        <f>'TEA Revised Non EYZ'!AX101</f>
        <v>500</v>
      </c>
      <c r="AY101">
        <f>'TEA Revised Non EYZ'!AY101</f>
        <v>95</v>
      </c>
      <c r="AZ101">
        <f>'TEA Revised Non EYZ'!AZ101</f>
        <v>0.92356857683566096</v>
      </c>
      <c r="BA101">
        <f>'TEA Revised Non EYZ'!BA101</f>
        <v>0.1</v>
      </c>
      <c r="BB101">
        <f>'TEA Revised Non EYZ'!BB101</f>
        <v>46.912203107123602</v>
      </c>
      <c r="BC101" t="str">
        <f>'TEA Revised Non EYZ'!BC101</f>
        <v>coeFc</v>
      </c>
      <c r="BD101">
        <f>'TEA Revised Non EYZ'!BD101</f>
        <v>1</v>
      </c>
      <c r="BE101">
        <f>'TEA Revised Non EYZ'!BE101</f>
        <v>1.8775014999999999E-2</v>
      </c>
      <c r="BF101">
        <f>'TEA Revised Non EYZ'!BF101</f>
        <v>0.10492961100000001</v>
      </c>
      <c r="BG101">
        <f>'TEA Revised Non EYZ'!BG101</f>
        <v>1.814625E-3</v>
      </c>
      <c r="BH101">
        <f>'TEA Revised Non EYZ'!BH101</f>
        <v>285.1951444</v>
      </c>
      <c r="BI101">
        <f>'TEA Revised Non EYZ'!BI101</f>
        <v>2169.8944889999998</v>
      </c>
      <c r="BJ101">
        <f>'TEA Revised Non EYZ'!BJ101</f>
        <v>866.49409060000005</v>
      </c>
      <c r="BK101">
        <f>'TEA Revised Non EYZ'!BK101</f>
        <v>100</v>
      </c>
      <c r="BL101">
        <f>'TEA Revised Non EYZ'!BL101</f>
        <v>10.952322309941399</v>
      </c>
      <c r="BM101">
        <f>'TEA Revised Non EYZ'!BM101</f>
        <v>92.356857683566091</v>
      </c>
      <c r="BN101">
        <f>'TEA Revised Non EYZ'!BN101</f>
        <v>19.687171261743899</v>
      </c>
      <c r="BO101">
        <f>'TEA Revised Non EYZ'!BO101</f>
        <v>306.6650246783592</v>
      </c>
      <c r="BP101">
        <f>'TEA Revised Non EYZ'!BP101</f>
        <v>590.61513785231693</v>
      </c>
      <c r="BQ101">
        <f>'TEA Revised Non EYZ'!BQ101</f>
        <v>30.666502467835922</v>
      </c>
      <c r="BR101">
        <f>'TEA Revised Non EYZ'!BR101</f>
        <v>59.061513785231696</v>
      </c>
      <c r="BS101">
        <f>'eLLE Bals'!CF101</f>
        <v>6.5713933859648392</v>
      </c>
      <c r="BT101">
        <f>'eLLE Bals'!CG101</f>
        <v>11.812302757046339</v>
      </c>
      <c r="BU101">
        <f>BM101</f>
        <v>92.356857683566091</v>
      </c>
      <c r="BV101">
        <f>BU101*(AM101*2+AN101*2+AO101*3)</f>
        <v>0.31407246307872805</v>
      </c>
      <c r="BW101">
        <f>BN101*BA101*(AP101*2+AQ101*2+AR101*3)</f>
        <v>0.30041146838858485</v>
      </c>
      <c r="BX101">
        <f>BV101/(2*V101*BL101+BV101)</f>
        <v>0.12540141051037812</v>
      </c>
      <c r="BY101">
        <f>BU101*BX101</f>
        <v>11.58168022382544</v>
      </c>
      <c r="BZ101">
        <f>BW101/(2*BN101*BA101+BW101)</f>
        <v>7.088777841028028E-2</v>
      </c>
      <c r="CA101">
        <f>2*BN101*BA101/0.04</f>
        <v>98.435856308719494</v>
      </c>
      <c r="CB101">
        <f>(BS101+BL101)*2</f>
        <v>35.047431391812481</v>
      </c>
      <c r="CC101">
        <f>(BU101+BL101)*2</f>
        <v>206.61835998701497</v>
      </c>
      <c r="CD101">
        <f>(BT101+BN101)*2</f>
        <v>62.998948037580476</v>
      </c>
      <c r="CE101">
        <f>(CA101+BN101)*2</f>
        <v>236.24605514092679</v>
      </c>
      <c r="CF101">
        <f>'TEA Revised Non EYZ'!CB101</f>
        <v>4047.9783257543413</v>
      </c>
      <c r="CG101">
        <f>'TEA Revised Non EYZ'!CC101</f>
        <v>7796.1198196505838</v>
      </c>
      <c r="CH101">
        <f>'TEA Revised Non EYZ'!CD101</f>
        <v>4890.707695899031</v>
      </c>
      <c r="CI101">
        <f>'TEA Revised Non EYZ'!CE101</f>
        <v>60132.165074850724</v>
      </c>
      <c r="CJ101">
        <f>BL101*V101</f>
        <v>1.09523223099414</v>
      </c>
      <c r="CK101">
        <f>CJ101/2*1.2</f>
        <v>0.65713933859648399</v>
      </c>
      <c r="CL101">
        <f>'eLLE Bals'!CB101*'Oxidant Feed Composition'!$N$20</f>
        <v>3.6507741033138016E-2</v>
      </c>
      <c r="CM101">
        <f>'eLLE Bals'!CB101*'Oxidant Feed Composition'!$N$21</f>
        <v>1.8253870516569002</v>
      </c>
      <c r="CN101">
        <f>'eLLE Bals'!CB101*'Oxidant Feed Composition'!$N$22</f>
        <v>0.54761611549707001</v>
      </c>
      <c r="CO101">
        <f>CN101/CK101</f>
        <v>0.83333333333333337</v>
      </c>
      <c r="CP101">
        <f>CO101</f>
        <v>0.83333333333333337</v>
      </c>
      <c r="CQ101">
        <f>CL101/CO101</f>
        <v>4.3809289239765618E-2</v>
      </c>
      <c r="CR101">
        <f>CM101/CO101</f>
        <v>2.19046446198828</v>
      </c>
      <c r="CS101">
        <f>BN101*BA101</f>
        <v>1.9687171261743899</v>
      </c>
      <c r="CT101">
        <f>CS101/2*1.2</f>
        <v>1.1812302757046338</v>
      </c>
      <c r="CU101">
        <f>'eLLE Bals'!CC101*'Oxidant Feed Composition'!$N$20</f>
        <v>6.562390420581303E-2</v>
      </c>
      <c r="CV101">
        <f>'eLLE Bals'!CC101*'Oxidant Feed Composition'!$N$21</f>
        <v>3.2811952102906501</v>
      </c>
      <c r="CW101">
        <f>'eLLE Bals'!CC101*'Oxidant Feed Composition'!$N$22</f>
        <v>0.98435856308719494</v>
      </c>
      <c r="CX101">
        <f>CU101/CP101</f>
        <v>7.8748685046975631E-2</v>
      </c>
      <c r="CY101">
        <f>CV101/CP101</f>
        <v>3.9374342523487798</v>
      </c>
      <c r="CZ101">
        <f>CJ101</f>
        <v>1.09523223099414</v>
      </c>
      <c r="DA101">
        <f>'eLLE Bals'!BQ101</f>
        <v>2.19046446198828</v>
      </c>
      <c r="DB101">
        <f>'eLLE Bals'!BU101</f>
        <v>5.4481144064031195</v>
      </c>
      <c r="DC101">
        <f>CS101</f>
        <v>1.9687171261743899</v>
      </c>
      <c r="DD101">
        <f>'eLLE Bals'!BX101</f>
        <v>3.9374342523487798</v>
      </c>
      <c r="DE101">
        <f>'eLLE Bals'!CA101</f>
        <v>21.866155362138951</v>
      </c>
      <c r="DF101">
        <f>2*2*(CJ101*'Reagent cost'!$C$36*122.44/1000*1.5+CK101*'Oxidant Feed Composition'!$N$26+CQ101*'Reagent cost'!$C$34+CR101*'Reagent cost'!$C$35)</f>
        <v>111.45207741167536</v>
      </c>
      <c r="DG101">
        <f>2*2*(CS101*'Reagent cost'!$C$36*122.44/1000*1.5+CT101*'Oxidant Feed Composition'!$N$26+CX101*'Reagent cost'!$C$34+CY101*'Reagent cost'!$C$35)</f>
        <v>200.33889374211918</v>
      </c>
      <c r="DH101">
        <f>(AF101+3)*2*(CZ101*'Reagent cost'!$C$38+DA101*'Reagent cost'!$C$39+DB101*'Reagent cost'!$C$36*122.44/1000*1.5)</f>
        <v>2417.4270005561193</v>
      </c>
      <c r="DI101">
        <f>3*2*(DC101*'Reagent cost'!$C$38+DD101*'Reagent cost'!$C$39+DE101*'Reagent cost'!$C$36*122.44/1000*1.5)</f>
        <v>1754.2885186173348</v>
      </c>
      <c r="DJ101">
        <f>7963.6*(CB101/1000)^0.6*1.7*('CAPEX+OPEX'!$G$116/'CAPEX+OPEX'!$G$115)</f>
        <v>2138.1326451989207</v>
      </c>
      <c r="DK101">
        <f>7963.6*(CC101/1000)^0.6*1.7*('CAPEX+OPEX'!$G$116/'CAPEX+OPEX'!$G$115)</f>
        <v>6199.2945816251477</v>
      </c>
      <c r="DL101">
        <f>7963.6*(CD101/1000)^0.6*1.7*('CAPEX+OPEX'!$G$116/'CAPEX+OPEX'!$G$115)</f>
        <v>3039.7712730273583</v>
      </c>
      <c r="DM101">
        <f>7963.6*(CE101/1000)^0.6*1.7*('CAPEX+OPEX'!$G$116/'CAPEX+OPEX'!$G$115)</f>
        <v>6718.304239923631</v>
      </c>
      <c r="DN101">
        <f>'TEA Revised Non EYZ'!CM101</f>
        <v>39625.826528698344</v>
      </c>
      <c r="DO101">
        <f>'TEA Revised Non EYZ'!CN101</f>
        <v>4586243.4239371875</v>
      </c>
      <c r="DP101">
        <f>'TEA Revised Non EYZ'!CO101</f>
        <v>11794834.586807497</v>
      </c>
      <c r="DQ101">
        <f>'TEA Revised Non EYZ'!CP101</f>
        <v>2275209.1661185985</v>
      </c>
      <c r="DR101">
        <f>'TEA Revised Non EYZ'!CQ101</f>
        <v>14083914.336508472</v>
      </c>
      <c r="DS101">
        <f>'TEA Revised Non EYZ'!CR101</f>
        <v>1662824.8986326549</v>
      </c>
      <c r="DT101">
        <f>'TEA Revised Non EYZ'!CS101</f>
        <v>936765.86395108781</v>
      </c>
      <c r="DU101">
        <f>'TEA Revised Non EYZ'!CT101</f>
        <v>2409160.916797909</v>
      </c>
      <c r="DV101">
        <f>'TEA Revised Non EYZ'!CU101</f>
        <v>464724.19432521454</v>
      </c>
      <c r="DW101">
        <f>'TEA Revised Non EYZ'!CV101</f>
        <v>2876718.2553791031</v>
      </c>
      <c r="DX101">
        <f>'TEA Revised Non EYZ'!CW101</f>
        <v>339641.28346021532</v>
      </c>
      <c r="DY101">
        <f>'TEA Revised Non EYZ'!CX101</f>
        <v>7027010.5139135299</v>
      </c>
      <c r="DZ101">
        <f>'TEA Revised Non EYZ'!CY101</f>
        <v>924867.78691671521</v>
      </c>
      <c r="EA101">
        <f>'TEA Revised Non EYZ'!CZ101</f>
        <v>2378561.6141553461</v>
      </c>
      <c r="EB101">
        <f>'TEA Revised Non EYZ'!DA101</f>
        <v>458821.62626995199</v>
      </c>
      <c r="EC101">
        <f>'TEA Revised Non EYZ'!DB101</f>
        <v>2840180.400269479</v>
      </c>
      <c r="ED101">
        <f>'TEA Revised Non EYZ'!DC101</f>
        <v>335327.4220032891</v>
      </c>
      <c r="EE101">
        <f>'TEA Revised Non EYZ'!DD101</f>
        <v>6937758.8496147813</v>
      </c>
      <c r="EF101">
        <v>0.7</v>
      </c>
      <c r="EG101">
        <v>100</v>
      </c>
      <c r="EH101">
        <f>96485*BL101*V101/EF101/EG101/60</f>
        <v>25.160352811302293</v>
      </c>
      <c r="EI101">
        <f>96485*BN101*BA101/EF101/EG101/60</f>
        <v>45.226588552127623</v>
      </c>
      <c r="EJ101">
        <f>EH101*('CAPEX+OPEX'!$O$25+'CAPEX+OPEX'!$O$26)</f>
        <v>801910.76480182668</v>
      </c>
      <c r="EK101">
        <f>EI101*('CAPEX+OPEX'!$O$25+'CAPEX+OPEX'!$O$26)</f>
        <v>1441461.8303334117</v>
      </c>
      <c r="EL101">
        <f>EJ101*1.12/0.6*'CAPEX+OPEX'!$G$116/'CAPEX+OPEX'!$G$115</f>
        <v>1765531.1495937889</v>
      </c>
      <c r="EM101">
        <f>EK101*1.12/0.6*'CAPEX+OPEX'!$G$116/'CAPEX+OPEX'!$G$115</f>
        <v>3173602.1937965113</v>
      </c>
      <c r="EN101">
        <f>EL101+EM101+DY101+EE101+1.15*(SUM(DF101:DM101)+SUM(CF101:CI101))</f>
        <v>19018265.584086809</v>
      </c>
      <c r="EO101">
        <f>EN101/15</f>
        <v>1267884.372272454</v>
      </c>
      <c r="EP101">
        <f>('eLLE Bals'!CB101+'eLLE Bals'!CC101)*'Oxidant Feed Composition'!$N$28*60*7200</f>
        <v>17033030.074456766</v>
      </c>
      <c r="EQ101" s="53">
        <f>('eLLE Bals'!BR101+'eLLE Bals'!BY101)*'Reagent cost'!$C$38*60*7200*1.5</f>
        <v>757903.96186256863</v>
      </c>
      <c r="ER101">
        <f>'TEA Revised Non EYZ'!DI101</f>
        <v>504921.59999999998</v>
      </c>
      <c r="ES101">
        <f>'TEA Revised Non EYZ'!DJ101</f>
        <v>118.44098145404925</v>
      </c>
      <c r="ET101">
        <f>'TEA Revised Non EYZ'!DK101</f>
        <v>1300.4574554149951</v>
      </c>
      <c r="EU101">
        <f>1.2*SUM(EP101:ET101)</f>
        <v>21956729.441707447</v>
      </c>
      <c r="EV101">
        <f>'TEA Revised Non EYZ'!DM101</f>
        <v>0.70639694042110623</v>
      </c>
      <c r="EW101">
        <f>(BS101*CO101+BT101*CP101)/1000*('Oxidant Feed Composition'!$B$11*'Oxidant Feed Composition'!$O$20+'Oxidant Feed Composition'!$D$11*'Oxidant Feed Composition'!$O$21+'Oxidant Feed Composition'!$F$11*'Oxidant Feed Composition'!$O$27-'Oxidant Feed Composition'!$J$15*18.015)</f>
        <v>1.789109581301112</v>
      </c>
      <c r="EX101">
        <f>(CZ101*BX101+DC101*BZ101)*368.34/1000</f>
        <v>0.10199395375947778</v>
      </c>
      <c r="EY101">
        <f>'TEA Revised Non EYZ'!DP101</f>
        <v>4.999938342565946E-2</v>
      </c>
      <c r="EZ101">
        <f>SUM(EV101:EX101)-EY101</f>
        <v>2.5475010920560366</v>
      </c>
      <c r="FA101">
        <f>EZ101*0.33*60*7200</f>
        <v>363171.75568350859</v>
      </c>
      <c r="FB101">
        <f>'TEA Revised Non EYZ'!DS101</f>
        <v>1.2</v>
      </c>
      <c r="FC101">
        <v>0.5</v>
      </c>
      <c r="FD101">
        <f>'TEA Revised Non EYZ'!DT101</f>
        <v>1405.8801244031877</v>
      </c>
      <c r="FE101">
        <f>'TEA Revised Non EYZ'!DU101</f>
        <v>705.80157063484023</v>
      </c>
      <c r="FF101">
        <f>'TEA Revised Non EYZ'!DV101</f>
        <v>0.7</v>
      </c>
      <c r="FG101">
        <f>'TEA Revised Non EYZ'!DW101</f>
        <v>52288.524762496963</v>
      </c>
      <c r="FH101">
        <f>'TEA Revised Non EYZ'!DX101</f>
        <v>53983.928663982973</v>
      </c>
      <c r="FI101">
        <f>'TEA Revised Non EYZ'!DY101</f>
        <v>22856.098829508919</v>
      </c>
      <c r="FJ101">
        <f>'TEA Revised Non EYZ'!DZ101</f>
        <v>12107.513206066582</v>
      </c>
      <c r="FK101">
        <f>'TEA Revised Non EYZ'!EA101</f>
        <v>12189.919375738094</v>
      </c>
      <c r="FL101">
        <f>'TEA Revised Non EYZ'!EB101</f>
        <v>850.27629923904806</v>
      </c>
      <c r="FM101">
        <f>'TEA Revised Non EYZ'!EC101</f>
        <v>51427.265951732537</v>
      </c>
      <c r="FN101">
        <f>'TEA Revised Non EYZ'!ED101</f>
        <v>54311.370411485019</v>
      </c>
      <c r="FO101">
        <f>'TEA Revised Non EYZ'!EE101</f>
        <v>22994.733440346474</v>
      </c>
      <c r="FP101">
        <f>'TEA Revised Non EYZ'!EF101</f>
        <v>12187.733285671078</v>
      </c>
      <c r="FQ101">
        <f>'TEA Revised Non EYZ'!EG101</f>
        <v>12263.857834851457</v>
      </c>
      <c r="FR101">
        <f>'TEA Revised Non EYZ'!EH101</f>
        <v>426.86878991995138</v>
      </c>
      <c r="FS101">
        <f>'TEA Revised Non EYZ'!EI101</f>
        <v>307888.0908510391</v>
      </c>
      <c r="FT101">
        <f>EG101*EH101</f>
        <v>2516.0352811302291</v>
      </c>
      <c r="FU101">
        <f>EG101*EI101</f>
        <v>4522.6588552127623</v>
      </c>
      <c r="FV101">
        <f>FC101*(FT101+FU101)/(3.6*10^6)*3600*7200*0.07</f>
        <v>1773.7509223584336</v>
      </c>
      <c r="FW101">
        <f>('CAPEX+OPEX'!$C$39/7/100+0.03)*EL101</f>
        <v>90798.744836251994</v>
      </c>
      <c r="FX101">
        <f>('CAPEX+OPEX'!$C$39/7/100+0.03)*EM101</f>
        <v>163213.82710953488</v>
      </c>
      <c r="FY101">
        <f>SUM(FV101:FX101)</f>
        <v>255786.3228681453</v>
      </c>
      <c r="FZ101">
        <f>FY101+FA101+FS101+EU101</f>
        <v>22883575.61111014</v>
      </c>
      <c r="GA101">
        <f>FZ101+EO101</f>
        <v>24151459.983382594</v>
      </c>
      <c r="GB101">
        <f>GA101/(BK101*60*7200)</f>
        <v>0.55906157368941189</v>
      </c>
      <c r="GC101">
        <f>'TEA Revised Non EYZ'!EM101/'TEA Revised Non EYZ'!EK101*GA101</f>
        <v>1870.3233799954887</v>
      </c>
      <c r="GD101">
        <f>'TEA Revised Non EYZ'!EN101/'TEA Revised Non EYZ'!EK101*GA101</f>
        <v>3432.5089460778349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DF2F-91B3-4874-85A2-91BB5C1FC7BE}">
  <dimension ref="A1:GD101"/>
  <sheetViews>
    <sheetView topLeftCell="T74" workbookViewId="0">
      <selection activeCell="AF108" sqref="AF108"/>
    </sheetView>
  </sheetViews>
  <sheetFormatPr defaultRowHeight="15"/>
  <cols>
    <col min="84" max="84" width="22.140625" bestFit="1" customWidth="1"/>
    <col min="85" max="85" width="23" bestFit="1" customWidth="1"/>
    <col min="86" max="86" width="22" bestFit="1" customWidth="1"/>
    <col min="87" max="87" width="23.7109375" bestFit="1" customWidth="1"/>
    <col min="113" max="113" width="13.42578125" bestFit="1" customWidth="1"/>
    <col min="114" max="114" width="12" bestFit="1" customWidth="1"/>
    <col min="115" max="115" width="12.5703125" bestFit="1" customWidth="1"/>
    <col min="116" max="116" width="12" bestFit="1" customWidth="1"/>
    <col min="117" max="117" width="12.5703125" bestFit="1" customWidth="1"/>
    <col min="146" max="146" width="31.85546875" bestFit="1" customWidth="1"/>
    <col min="147" max="147" width="33.5703125" bestFit="1" customWidth="1"/>
    <col min="148" max="148" width="18" bestFit="1" customWidth="1"/>
    <col min="149" max="149" width="34.28515625" bestFit="1" customWidth="1"/>
    <col min="150" max="150" width="25.85546875" bestFit="1" customWidth="1"/>
    <col min="181" max="181" width="15.5703125" bestFit="1" customWidth="1"/>
    <col min="182" max="183" width="12" bestFit="1" customWidth="1"/>
    <col min="184" max="184" width="21.5703125" bestFit="1" customWidth="1"/>
    <col min="185" max="185" width="18.85546875" bestFit="1" customWidth="1"/>
    <col min="186" max="186" width="19.28515625" bestFit="1" customWidth="1"/>
  </cols>
  <sheetData>
    <row r="1" spans="1:186">
      <c r="A1" t="str">
        <f>'TEA Revised Non EYZ'!A1</f>
        <v>S1 Stages</v>
      </c>
      <c r="B1" t="str">
        <f>'TEA Revised Non EYZ'!B1</f>
        <v>S1 C_Pt_in [M]</v>
      </c>
      <c r="C1" t="str">
        <f>'TEA Revised Non EYZ'!C1</f>
        <v>S1 C_Pd_in [M]</v>
      </c>
      <c r="D1" t="str">
        <f>'TEA Revised Non EYZ'!D1</f>
        <v>S1 C_Rh_in [M]</v>
      </c>
      <c r="E1" t="str">
        <f>'TEA Revised Non EYZ'!E1</f>
        <v>S1 q_Pt_in [mol PGM/mol ligand]</v>
      </c>
      <c r="F1" t="str">
        <f>'TEA Revised Non EYZ'!F1</f>
        <v>S1 q_Pd_in [mol PGM/mol ligand]</v>
      </c>
      <c r="G1" t="str">
        <f>'TEA Revised Non EYZ'!G1</f>
        <v>S1 q_Rh_in [mol PGM/mol ligand]</v>
      </c>
      <c r="H1" t="str">
        <f>'TEA Revised Non EYZ'!H1</f>
        <v>S1 C_Pt_out [M]</v>
      </c>
      <c r="I1" t="str">
        <f>'TEA Revised Non EYZ'!I1</f>
        <v>S1 C_Pd_out [M]</v>
      </c>
      <c r="J1" t="str">
        <f>'TEA Revised Non EYZ'!J1</f>
        <v>S1 C_Rh_out [M]</v>
      </c>
      <c r="K1" t="str">
        <f>'TEA Revised Non EYZ'!K1</f>
        <v>S1 q_Pt_out [mol PGM/mol ligand]</v>
      </c>
      <c r="L1" t="str">
        <f>'TEA Revised Non EYZ'!L1</f>
        <v>S1 q_Pd_out [mol PGM/mol ligand]</v>
      </c>
      <c r="M1" t="str">
        <f>'TEA Revised Non EYZ'!M1</f>
        <v>S1 q_Rh_out [mol PGM/mol ligand]</v>
      </c>
      <c r="N1" t="str">
        <f>'TEA Revised Non EYZ'!N1</f>
        <v>S1 Material Residual Pt [mol PGM/time]</v>
      </c>
      <c r="O1" t="str">
        <f>'TEA Revised Non EYZ'!O1</f>
        <v>S1 Material Residual Pd [mol PGM/time]</v>
      </c>
      <c r="P1" t="str">
        <f>'TEA Revised Non EYZ'!P1</f>
        <v>S1 Material Residual Rh [mol PGM/time]</v>
      </c>
      <c r="Q1" t="str">
        <f>'TEA Revised Non EYZ'!Q1</f>
        <v>S1 Q_org [L/time]</v>
      </c>
      <c r="R1" t="str">
        <f>'TEA Revised Non EYZ'!R1</f>
        <v>S1 PGM Recovery [%]</v>
      </c>
      <c r="S1" t="str">
        <f>'TEA Revised Non EYZ'!S1</f>
        <v>S1 PPM Mass Total Feed [mg/L]</v>
      </c>
      <c r="T1" t="str">
        <f>'TEA Revised Non EYZ'!T1</f>
        <v>S1 PGM Relative Purity [%]</v>
      </c>
      <c r="U1" t="str">
        <f>'TEA Revised Non EYZ'!U1</f>
        <v>S1 Q_aq [L/time]</v>
      </c>
      <c r="V1" t="str">
        <f>'TEA Revised Non EYZ'!V1</f>
        <v>S1 C_lig [L/time]</v>
      </c>
      <c r="W1" t="str">
        <f>'TEA Revised Non EYZ'!W1</f>
        <v>S1 Q_aq/(Q_org*C_lig) [1/M]</v>
      </c>
      <c r="X1" t="str">
        <f>'TEA Revised Non EYZ'!X1</f>
        <v>S1 Ligand</v>
      </c>
      <c r="Y1" t="str">
        <f>'TEA Revised Non EYZ'!Y1</f>
        <v>S1 ier</v>
      </c>
      <c r="Z1" t="str">
        <f>'TEA Revised Non EYZ'!Z1</f>
        <v>S1 q_max_Pt</v>
      </c>
      <c r="AA1" t="str">
        <f>'TEA Revised Non EYZ'!AA1</f>
        <v>S1 q_max_Pd</v>
      </c>
      <c r="AB1" t="str">
        <f>'TEA Revised Non EYZ'!AB1</f>
        <v>S1 q_max_Rh</v>
      </c>
      <c r="AC1" t="str">
        <f>'TEA Revised Non EYZ'!AC1</f>
        <v>S1 K_eq_Pt</v>
      </c>
      <c r="AD1" t="str">
        <f>'TEA Revised Non EYZ'!AD1</f>
        <v>S1 K_eq_Pd</v>
      </c>
      <c r="AE1" t="str">
        <f>'TEA Revised Non EYZ'!AE1</f>
        <v>S1 K_eq_Rh</v>
      </c>
      <c r="AF1" t="str">
        <f>'TEA Revised Non EYZ'!AF1</f>
        <v>S2 Stages</v>
      </c>
      <c r="AG1" t="str">
        <f>'TEA Revised Non EYZ'!AG1</f>
        <v>S2 C_Pt_in [M]</v>
      </c>
      <c r="AH1" t="str">
        <f>'TEA Revised Non EYZ'!AH1</f>
        <v>S2 C_Pd_in [M]</v>
      </c>
      <c r="AI1" t="str">
        <f>'TEA Revised Non EYZ'!AI1</f>
        <v>S2 C_Rh_in [M]</v>
      </c>
      <c r="AJ1" t="str">
        <f>'TEA Revised Non EYZ'!AJ1</f>
        <v>S2 q_Pt_in [mol PGM/mol ligand]</v>
      </c>
      <c r="AK1" t="str">
        <f>'TEA Revised Non EYZ'!AK1</f>
        <v>S2 q_Pd_in [mol PGM/mol ligand]</v>
      </c>
      <c r="AL1" t="str">
        <f>'TEA Revised Non EYZ'!AL1</f>
        <v>S2 q_Rh_in [mol PGM/mol ligand]</v>
      </c>
      <c r="AM1" t="str">
        <f>'TEA Revised Non EYZ'!AM1</f>
        <v>S2 C_Pt_out [M]</v>
      </c>
      <c r="AN1" t="str">
        <f>'TEA Revised Non EYZ'!AN1</f>
        <v>S2 C_Pd_out [M]</v>
      </c>
      <c r="AO1" t="str">
        <f>'TEA Revised Non EYZ'!AO1</f>
        <v>S2 C_Rh_out [M]</v>
      </c>
      <c r="AP1" t="str">
        <f>'TEA Revised Non EYZ'!AP1</f>
        <v>S2 q_Pt_out [mol PGM/mol ligand]</v>
      </c>
      <c r="AQ1" t="str">
        <f>'TEA Revised Non EYZ'!AQ1</f>
        <v>S2 q_Pd_out [mol PGM/mol ligand]</v>
      </c>
      <c r="AR1" t="str">
        <f>'TEA Revised Non EYZ'!AR1</f>
        <v>S2 q_Rh_out [mol PGM/mol ligand]</v>
      </c>
      <c r="AS1" t="str">
        <f>'TEA Revised Non EYZ'!AS1</f>
        <v>S2 Material Residual Pt [mol PGM/time]</v>
      </c>
      <c r="AT1" t="str">
        <f>'TEA Revised Non EYZ'!AT1</f>
        <v>S2 Material Residual Pd [mol PGM/time]</v>
      </c>
      <c r="AU1" t="str">
        <f>'TEA Revised Non EYZ'!AU1</f>
        <v>S2 Material Residual Rh [mol PGM/time]</v>
      </c>
      <c r="AV1" t="str">
        <f>'TEA Revised Non EYZ'!AV1</f>
        <v>S2 Q_org [L/time]</v>
      </c>
      <c r="AW1" t="str">
        <f>'TEA Revised Non EYZ'!AW1</f>
        <v>S2 PGM Recovery [%]</v>
      </c>
      <c r="AX1" t="str">
        <f>'TEA Revised Non EYZ'!AX1</f>
        <v>S2 PPM Mass Total Feed [mg/L]</v>
      </c>
      <c r="AY1" t="str">
        <f>'TEA Revised Non EYZ'!AY1</f>
        <v>S2 PGM Relative Purity [%]</v>
      </c>
      <c r="AZ1" t="str">
        <f>'TEA Revised Non EYZ'!AZ1</f>
        <v>S2 Q_aq [L/time]</v>
      </c>
      <c r="BA1" t="str">
        <f>'TEA Revised Non EYZ'!BA1</f>
        <v>S2 C_lig [L/time]</v>
      </c>
      <c r="BB1" t="str">
        <f>'TEA Revised Non EYZ'!BB1</f>
        <v>S2 Q_aq/(Q_org*C_lig) [1/M]</v>
      </c>
      <c r="BC1" t="str">
        <f>'TEA Revised Non EYZ'!BC1</f>
        <v>S2 Ligand</v>
      </c>
      <c r="BD1" t="str">
        <f>'TEA Revised Non EYZ'!BD1</f>
        <v>S2 ier</v>
      </c>
      <c r="BE1" t="str">
        <f>'TEA Revised Non EYZ'!BE1</f>
        <v>S2 q_max_Pt</v>
      </c>
      <c r="BF1" t="str">
        <f>'TEA Revised Non EYZ'!BF1</f>
        <v>S2 q_max_Pd</v>
      </c>
      <c r="BG1" t="str">
        <f>'TEA Revised Non EYZ'!BG1</f>
        <v>S2 q_max_Rh</v>
      </c>
      <c r="BH1" t="str">
        <f>'TEA Revised Non EYZ'!BH1</f>
        <v>S2 K_eq_Pt</v>
      </c>
      <c r="BI1" t="str">
        <f>'TEA Revised Non EYZ'!BI1</f>
        <v>S2 K_eq_Pd</v>
      </c>
      <c r="BJ1" t="str">
        <f>'TEA Revised Non EYZ'!BJ1</f>
        <v>S2 K_eq_Rh</v>
      </c>
      <c r="BK1" t="str">
        <f>'TEA Revised Non EYZ'!BK1</f>
        <v>S1 Q_aq Costing [L/min]</v>
      </c>
      <c r="BL1" t="str">
        <f>'TEA Revised Non EYZ'!BL1</f>
        <v>S1 Q_org Costing [L/min]</v>
      </c>
      <c r="BM1" t="str">
        <f>'TEA Revised Non EYZ'!BM1</f>
        <v>S2 Q_aq Costing [L/min]</v>
      </c>
      <c r="BN1" t="str">
        <f>'TEA Revised Non EYZ'!BN1</f>
        <v>S2 Q_org Costing [L/min]</v>
      </c>
      <c r="BO1" t="str">
        <f>'TEA Revised Non EYZ'!BO1</f>
        <v>V_ddFc_Recycle [L]</v>
      </c>
      <c r="BP1" t="str">
        <f>'TEA Revised Non EYZ'!BP1</f>
        <v>V_coeFc_Recycle [L]</v>
      </c>
      <c r="BQ1" t="str">
        <f>'TEA Revised Non EYZ'!BQ1</f>
        <v>ddFc_Recycle [mol]</v>
      </c>
      <c r="BR1" t="str">
        <f>'TEA Revised Non EYZ'!BR1</f>
        <v>coeFc_Recycle [mol]</v>
      </c>
      <c r="BS1" t="s">
        <v>575</v>
      </c>
      <c r="BT1" t="s">
        <v>576</v>
      </c>
      <c r="BU1" t="s">
        <v>577</v>
      </c>
      <c r="BV1" t="s">
        <v>585</v>
      </c>
      <c r="BW1" t="s">
        <v>586</v>
      </c>
      <c r="BX1" t="s">
        <v>587</v>
      </c>
      <c r="BY1" t="s">
        <v>588</v>
      </c>
      <c r="BZ1" t="s">
        <v>589</v>
      </c>
      <c r="CA1" t="s">
        <v>578</v>
      </c>
      <c r="CB1" t="s">
        <v>526</v>
      </c>
      <c r="CC1" t="s">
        <v>527</v>
      </c>
      <c r="CD1" t="s">
        <v>528</v>
      </c>
      <c r="CE1" t="s">
        <v>529</v>
      </c>
      <c r="CF1" s="56" t="s">
        <v>533</v>
      </c>
      <c r="CG1" s="56" t="s">
        <v>534</v>
      </c>
      <c r="CH1" s="56" t="s">
        <v>535</v>
      </c>
      <c r="CI1" s="56" t="s">
        <v>536</v>
      </c>
      <c r="CJ1" s="82" t="s">
        <v>594</v>
      </c>
      <c r="CK1" s="81" t="s">
        <v>595</v>
      </c>
      <c r="CL1" t="s">
        <v>598</v>
      </c>
      <c r="CM1" t="s">
        <v>599</v>
      </c>
      <c r="CN1" t="s">
        <v>600</v>
      </c>
      <c r="CO1" s="79" t="s">
        <v>601</v>
      </c>
      <c r="CP1" t="s">
        <v>602</v>
      </c>
      <c r="CQ1" s="81" t="s">
        <v>597</v>
      </c>
      <c r="CR1" s="81" t="s">
        <v>596</v>
      </c>
      <c r="CS1" s="81" t="s">
        <v>603</v>
      </c>
      <c r="CT1" s="81" t="s">
        <v>604</v>
      </c>
      <c r="CU1" t="s">
        <v>605</v>
      </c>
      <c r="CV1" t="s">
        <v>606</v>
      </c>
      <c r="CW1" t="s">
        <v>607</v>
      </c>
      <c r="CX1" s="81" t="s">
        <v>608</v>
      </c>
      <c r="CY1" s="81" t="s">
        <v>609</v>
      </c>
      <c r="CZ1" s="79" t="s">
        <v>610</v>
      </c>
      <c r="DA1" t="s">
        <v>611</v>
      </c>
      <c r="DB1" t="s">
        <v>612</v>
      </c>
      <c r="DC1" t="s">
        <v>613</v>
      </c>
      <c r="DD1" t="s">
        <v>614</v>
      </c>
      <c r="DE1" t="s">
        <v>615</v>
      </c>
      <c r="DF1" s="54" t="s">
        <v>590</v>
      </c>
      <c r="DG1" s="56" t="s">
        <v>592</v>
      </c>
      <c r="DH1" s="56" t="s">
        <v>591</v>
      </c>
      <c r="DI1" s="56" t="s">
        <v>593</v>
      </c>
      <c r="DJ1" s="56" t="s">
        <v>539</v>
      </c>
      <c r="DK1" s="56" t="s">
        <v>540</v>
      </c>
      <c r="DL1" s="56" t="s">
        <v>541</v>
      </c>
      <c r="DM1" s="56" t="s">
        <v>542</v>
      </c>
      <c r="DN1" t="str">
        <f>'TEA Revised Non EYZ'!CM1</f>
        <v>10000 L/min to ST [for costing]</v>
      </c>
      <c r="DO1" t="str">
        <f>'TEA Revised Non EYZ'!CN1</f>
        <v>CAPEX Labor Ref</v>
      </c>
      <c r="DP1" t="str">
        <f>'TEA Revised Non EYZ'!CO1</f>
        <v>CAPEX Equip Ref</v>
      </c>
      <c r="DQ1" t="str">
        <f>'TEA Revised Non EYZ'!CP1</f>
        <v>CAPEX Steel Ref</v>
      </c>
      <c r="DR1" t="str">
        <f>'TEA Revised Non EYZ'!CQ1</f>
        <v>CAPEX Const Ref</v>
      </c>
      <c r="DS1" t="str">
        <f>'TEA Revised Non EYZ'!CR1</f>
        <v>CAPEX Tax Ref</v>
      </c>
      <c r="DT1" t="str">
        <f>'TEA Revised Non EYZ'!CS1</f>
        <v>S1 labor</v>
      </c>
      <c r="DU1" t="str">
        <f>'TEA Revised Non EYZ'!CT1</f>
        <v>S1 Equip</v>
      </c>
      <c r="DV1" t="str">
        <f>'TEA Revised Non EYZ'!CU1</f>
        <v>S1 Steel</v>
      </c>
      <c r="DW1" t="str">
        <f>'TEA Revised Non EYZ'!CV1</f>
        <v>S1 Const</v>
      </c>
      <c r="DX1" t="str">
        <f>'TEA Revised Non EYZ'!CW1</f>
        <v>S1 Tax</v>
      </c>
      <c r="DY1" s="56" t="str">
        <f>'TEA Revised Non EYZ'!CX1</f>
        <v>CAPEX S1 LLE + EW</v>
      </c>
      <c r="DZ1" t="str">
        <f>'TEA Revised Non EYZ'!CY1</f>
        <v>S2 labor</v>
      </c>
      <c r="EA1" t="str">
        <f>'TEA Revised Non EYZ'!CZ1</f>
        <v>S2 Equip</v>
      </c>
      <c r="EB1" t="str">
        <f>'TEA Revised Non EYZ'!DA1</f>
        <v>S2 Steel</v>
      </c>
      <c r="EC1" t="str">
        <f>'TEA Revised Non EYZ'!DB1</f>
        <v>S2 Const</v>
      </c>
      <c r="ED1" t="str">
        <f>'TEA Revised Non EYZ'!DC1</f>
        <v>S2 Tax</v>
      </c>
      <c r="EE1" s="56" t="str">
        <f>'TEA Revised Non EYZ'!DD1</f>
        <v>CAPEX S2 LLE + EW</v>
      </c>
      <c r="EF1" t="s">
        <v>570</v>
      </c>
      <c r="EG1" t="s">
        <v>618</v>
      </c>
      <c r="EH1" t="s">
        <v>619</v>
      </c>
      <c r="EI1" t="s">
        <v>620</v>
      </c>
      <c r="EJ1" t="s">
        <v>621</v>
      </c>
      <c r="EK1" t="s">
        <v>622</v>
      </c>
      <c r="EL1" s="56" t="s">
        <v>623</v>
      </c>
      <c r="EM1" s="56" t="s">
        <v>624</v>
      </c>
      <c r="EN1" s="56" t="s">
        <v>625</v>
      </c>
      <c r="EO1" s="54" t="s">
        <v>626</v>
      </c>
      <c r="EP1" t="str">
        <f>'TEA Revised Non EYZ'!DG1</f>
        <v>Cost FF Aq OX1 + OX2 [annualized]</v>
      </c>
      <c r="EQ1" t="str">
        <f>'TEA Revised Non EYZ'!DH1</f>
        <v>Cost FF Aq RED1 + RED2 [annualized]</v>
      </c>
      <c r="ER1" t="str">
        <f>'TEA Revised Non EYZ'!DI1</f>
        <v>Cost NaCl Leachate</v>
      </c>
      <c r="ES1" t="str">
        <f>'TEA Revised Non EYZ'!DJ1</f>
        <v>Annual Cost DCM Makeup LLE1 + LLE2</v>
      </c>
      <c r="ET1" t="str">
        <f>'TEA Revised Non EYZ'!DK1</f>
        <v>Annual Cost Ligand Makeup</v>
      </c>
      <c r="EU1" s="56" t="str">
        <f>'TEA Revised Non EYZ'!DL1</f>
        <v>OPEX Chemical Purchase With Tariff</v>
      </c>
      <c r="EV1" t="str">
        <f>'TEA Revised Non EYZ'!DM1</f>
        <v>Mass Ions Entering Leachate [kg/min]</v>
      </c>
      <c r="EW1" t="str">
        <f>'TEA Revised Non EYZ'!DN1</f>
        <v>Mass Ions OX FF [kg/min]</v>
      </c>
      <c r="EX1" t="str">
        <f>'TEA Revised Non EYZ'!DO1</f>
        <v>Mass Ions RED FF [kg/min]</v>
      </c>
      <c r="EY1" t="str">
        <f>'TEA Revised Non EYZ'!DP1</f>
        <v>Mass PGM [kg/min]</v>
      </c>
      <c r="EZ1" t="str">
        <f>'TEA Revised Non EYZ'!DQ1</f>
        <v>Mass Waste [kg/min]</v>
      </c>
      <c r="FA1" s="56" t="str">
        <f>'TEA Revised Non EYZ'!DR1</f>
        <v>Annual Waste Treatment Cost</v>
      </c>
      <c r="FB1" t="s">
        <v>569</v>
      </c>
      <c r="FC1" t="s">
        <v>627</v>
      </c>
      <c r="FD1" t="str">
        <f>'TEA Revised Non EYZ'!DT1</f>
        <v>EW1 Current [A]</v>
      </c>
      <c r="FE1" t="str">
        <f>'TEA Revised Non EYZ'!DU1</f>
        <v>EW2 Current [A]</v>
      </c>
      <c r="FF1" t="str">
        <f>'TEA Revised Non EYZ'!DV1</f>
        <v>Faradaic Efficiency</v>
      </c>
      <c r="FG1" t="str">
        <f>'TEA Revised Non EYZ'!DW1</f>
        <v>opex labor S1</v>
      </c>
      <c r="FH1" t="str">
        <f>'TEA Revised Non EYZ'!DX1</f>
        <v>opex equip S1</v>
      </c>
      <c r="FI1" t="str">
        <f>'TEA Revised Non EYZ'!DY1</f>
        <v>opex steel S1</v>
      </c>
      <c r="FJ1" t="str">
        <f>'TEA Revised Non EYZ'!DZ1</f>
        <v>opex lube S1</v>
      </c>
      <c r="FK1" t="str">
        <f>'TEA Revised Non EYZ'!EA1</f>
        <v>opex sales tax S1</v>
      </c>
      <c r="FL1" t="str">
        <f>'TEA Revised Non EYZ'!EB1</f>
        <v>OPEX Electricity S1</v>
      </c>
      <c r="FM1" t="str">
        <f>'TEA Revised Non EYZ'!EC1</f>
        <v>opex labor S2</v>
      </c>
      <c r="FN1" t="str">
        <f>'TEA Revised Non EYZ'!ED1</f>
        <v>opex equip S2</v>
      </c>
      <c r="FO1" t="str">
        <f>'TEA Revised Non EYZ'!EE1</f>
        <v>opex steel S2</v>
      </c>
      <c r="FP1" t="str">
        <f>'TEA Revised Non EYZ'!EF1</f>
        <v>opex lube S2</v>
      </c>
      <c r="FQ1" t="str">
        <f>'TEA Revised Non EYZ'!EG1</f>
        <v>opex sales tax S2</v>
      </c>
      <c r="FR1" t="str">
        <f>'TEA Revised Non EYZ'!EH1</f>
        <v>opex electricity S2</v>
      </c>
      <c r="FS1" s="56" t="str">
        <f>'TEA Revised Non EYZ'!EI1</f>
        <v>OPEX S1+S2</v>
      </c>
      <c r="FT1" t="s">
        <v>628</v>
      </c>
      <c r="FU1" t="s">
        <v>629</v>
      </c>
      <c r="FV1" t="s">
        <v>630</v>
      </c>
      <c r="FW1" t="s">
        <v>631</v>
      </c>
      <c r="FX1" t="s">
        <v>632</v>
      </c>
      <c r="FY1" s="56" t="s">
        <v>633</v>
      </c>
      <c r="FZ1" s="56" t="s">
        <v>574</v>
      </c>
      <c r="GA1" s="56" t="s">
        <v>419</v>
      </c>
      <c r="GB1" s="56" t="s">
        <v>428</v>
      </c>
      <c r="GC1" s="56" t="s">
        <v>425</v>
      </c>
      <c r="GD1" s="56" t="s">
        <v>426</v>
      </c>
    </row>
    <row r="2" spans="1:186">
      <c r="A2">
        <f>'TEA Revised Non EYZ'!A2</f>
        <v>3</v>
      </c>
      <c r="B2">
        <f>'TEA Revised Non EYZ'!B2</f>
        <v>1.54143585092054E-3</v>
      </c>
      <c r="C2">
        <f>'TEA Revised Non EYZ'!C2</f>
        <v>1.54143585092054E-3</v>
      </c>
      <c r="D2">
        <f>'TEA Revised Non EYZ'!D2</f>
        <v>3.4254130020456501E-4</v>
      </c>
      <c r="E2">
        <f>'TEA Revised Non EYZ'!E2</f>
        <v>0</v>
      </c>
      <c r="F2">
        <f>'TEA Revised Non EYZ'!F2</f>
        <v>0</v>
      </c>
      <c r="G2">
        <f>'TEA Revised Non EYZ'!G2</f>
        <v>0</v>
      </c>
      <c r="H2">
        <f>'TEA Revised Non EYZ'!H2</f>
        <v>1.6300358850230801E-5</v>
      </c>
      <c r="I2">
        <f>'TEA Revised Non EYZ'!I2</f>
        <v>7.4474859607128495E-7</v>
      </c>
      <c r="J2">
        <f>'TEA Revised Non EYZ'!J2</f>
        <v>3.2385704147932398E-4</v>
      </c>
      <c r="K2">
        <f>'TEA Revised Non EYZ'!K2</f>
        <v>8.07271092797512E-2</v>
      </c>
      <c r="L2">
        <f>'TEA Revised Non EYZ'!L2</f>
        <v>8.15504849440159E-2</v>
      </c>
      <c r="M2">
        <f>'TEA Revised Non EYZ'!M2</f>
        <v>9.8897848995466706E-4</v>
      </c>
      <c r="N2">
        <f>'TEA Revised Non EYZ'!N2</f>
        <v>-9.8011876392689601E-17</v>
      </c>
      <c r="O2">
        <f>'TEA Revised Non EYZ'!O2</f>
        <v>1.94289029309402E-16</v>
      </c>
      <c r="P2">
        <f>'TEA Revised Non EYZ'!P2</f>
        <v>-4.3537493488870999E-18</v>
      </c>
      <c r="Q2">
        <f>'TEA Revised Non EYZ'!Q2</f>
        <v>0.18892482409907799</v>
      </c>
      <c r="R2">
        <f>'TEA Revised Non EYZ'!R2</f>
        <v>94.545399718491396</v>
      </c>
      <c r="S2">
        <f>'TEA Revised Non EYZ'!S2</f>
        <v>500</v>
      </c>
      <c r="T2">
        <f>'TEA Revised Non EYZ'!T2</f>
        <v>95</v>
      </c>
      <c r="U2">
        <f>'TEA Revised Non EYZ'!U2</f>
        <v>1</v>
      </c>
      <c r="V2">
        <f>'TEA Revised Non EYZ'!V2</f>
        <v>0.1</v>
      </c>
      <c r="W2">
        <f>'TEA Revised Non EYZ'!W2</f>
        <v>52.931106580020597</v>
      </c>
      <c r="X2" t="str">
        <f>'TEA Revised Non EYZ'!X2</f>
        <v>ddFc</v>
      </c>
      <c r="Y2">
        <f>'TEA Revised Non EYZ'!Y2</f>
        <v>1</v>
      </c>
      <c r="Z2">
        <f>'TEA Revised Non EYZ'!Z2</f>
        <v>0.28318429382522198</v>
      </c>
      <c r="AA2">
        <f>'TEA Revised Non EYZ'!AA2</f>
        <v>0.56945642916197003</v>
      </c>
      <c r="AB2">
        <f>'TEA Revised Non EYZ'!AB2</f>
        <v>3.7698628972227502E-3</v>
      </c>
      <c r="AC2">
        <f>'TEA Revised Non EYZ'!AC2</f>
        <v>1822.2107908876901</v>
      </c>
      <c r="AD2">
        <f>'TEA Revised Non EYZ'!AD2</f>
        <v>2662.6059073104898</v>
      </c>
      <c r="AE2">
        <f>'TEA Revised Non EYZ'!AE2</f>
        <v>2401.5030938442701</v>
      </c>
      <c r="AF2">
        <f>'TEA Revised Non EYZ'!AF2</f>
        <v>4</v>
      </c>
      <c r="AG2">
        <f>'TEA Revised Non EYZ'!AG2</f>
        <v>1.6455478770638001E-3</v>
      </c>
      <c r="AH2">
        <f>'TEA Revised Non EYZ'!AH2</f>
        <v>1.66233163271225E-3</v>
      </c>
      <c r="AI2">
        <f>'TEA Revised Non EYZ'!AI2</f>
        <v>2.0159416943409301E-5</v>
      </c>
      <c r="AJ2">
        <f>'TEA Revised Non EYZ'!AJ2</f>
        <v>0</v>
      </c>
      <c r="AK2">
        <f>'TEA Revised Non EYZ'!AK2</f>
        <v>0</v>
      </c>
      <c r="AL2">
        <f>'TEA Revised Non EYZ'!AL2</f>
        <v>0</v>
      </c>
      <c r="AM2">
        <f>'TEA Revised Non EYZ'!AM2</f>
        <v>1.5983351284394301E-3</v>
      </c>
      <c r="AN2">
        <f>'TEA Revised Non EYZ'!AN2</f>
        <v>6.4131851460064998E-5</v>
      </c>
      <c r="AO2">
        <f>'TEA Revised Non EYZ'!AO2</f>
        <v>1.99910500367739E-5</v>
      </c>
      <c r="AP2">
        <f>'TEA Revised Non EYZ'!AP2</f>
        <v>2.04098585158686E-3</v>
      </c>
      <c r="AQ2">
        <f>'TEA Revised Non EYZ'!AQ2</f>
        <v>6.9089456483383896E-2</v>
      </c>
      <c r="AR2">
        <f>'TEA Revised Non EYZ'!AR2</f>
        <v>7.2784255170584696E-6</v>
      </c>
      <c r="AS2">
        <f>'TEA Revised Non EYZ'!AS2</f>
        <v>-1.4297916149652499E-18</v>
      </c>
      <c r="AT2">
        <f>'TEA Revised Non EYZ'!AT2</f>
        <v>2.4286128663675299E-17</v>
      </c>
      <c r="AU2">
        <f>'TEA Revised Non EYZ'!AU2</f>
        <v>-3.7851784830426501E-21</v>
      </c>
      <c r="AV2">
        <f>'TEA Revised Non EYZ'!AV2</f>
        <v>0.21439625549974001</v>
      </c>
      <c r="AW2">
        <f>'TEA Revised Non EYZ'!AW2</f>
        <v>99.164822538727407</v>
      </c>
      <c r="AX2">
        <f>'TEA Revised Non EYZ'!AX2</f>
        <v>500</v>
      </c>
      <c r="AY2">
        <f>'TEA Revised Non EYZ'!AY2</f>
        <v>95</v>
      </c>
      <c r="AZ2">
        <f>'TEA Revised Non EYZ'!AZ2</f>
        <v>0.92682535301965796</v>
      </c>
      <c r="BA2">
        <f>'TEA Revised Non EYZ'!BA2</f>
        <v>0.1</v>
      </c>
      <c r="BB2">
        <f>'TEA Revised Non EYZ'!BB2</f>
        <v>43.229549455483898</v>
      </c>
      <c r="BC2" t="str">
        <f>'TEA Revised Non EYZ'!BC2</f>
        <v>coeFc</v>
      </c>
      <c r="BD2">
        <f>'TEA Revised Non EYZ'!BD2</f>
        <v>1</v>
      </c>
      <c r="BE2">
        <f>'TEA Revised Non EYZ'!BE2</f>
        <v>1.8775014999999999E-2</v>
      </c>
      <c r="BF2">
        <f>'TEA Revised Non EYZ'!BF2</f>
        <v>0.10492961100000001</v>
      </c>
      <c r="BG2">
        <f>'TEA Revised Non EYZ'!BG2</f>
        <v>1.814625E-3</v>
      </c>
      <c r="BH2">
        <f>'TEA Revised Non EYZ'!BH2</f>
        <v>285.1951444</v>
      </c>
      <c r="BI2">
        <f>'TEA Revised Non EYZ'!BI2</f>
        <v>2169.8944889999998</v>
      </c>
      <c r="BJ2">
        <f>'TEA Revised Non EYZ'!BJ2</f>
        <v>866.49409060000005</v>
      </c>
      <c r="BK2">
        <f>'TEA Revised Non EYZ'!BK2</f>
        <v>100</v>
      </c>
      <c r="BL2">
        <f>'TEA Revised Non EYZ'!BL2</f>
        <v>18.892482409907799</v>
      </c>
      <c r="BM2">
        <f>'TEA Revised Non EYZ'!BM2</f>
        <v>92.6825353019658</v>
      </c>
      <c r="BN2">
        <f>'TEA Revised Non EYZ'!BN2</f>
        <v>21.439625549974</v>
      </c>
      <c r="BO2">
        <f>'TEA Revised Non EYZ'!BO2</f>
        <v>188.92482409907799</v>
      </c>
      <c r="BP2">
        <f>'TEA Revised Non EYZ'!BP2</f>
        <v>257.27550659968801</v>
      </c>
      <c r="BQ2">
        <f>'TEA Revised Non EYZ'!BQ2</f>
        <v>18.892482409907799</v>
      </c>
      <c r="BR2">
        <f>'TEA Revised Non EYZ'!BR2</f>
        <v>25.727550659968802</v>
      </c>
      <c r="BS2">
        <f>'eLLE Bals'!CF2</f>
        <v>11.335489445944679</v>
      </c>
      <c r="BT2">
        <f>'eLLE Bals'!CG2</f>
        <v>12.863775329984399</v>
      </c>
      <c r="BU2">
        <f>BM2</f>
        <v>92.6825353019658</v>
      </c>
      <c r="BV2">
        <f>BU2*(AM2*2+AN2*2+AO2*3)</f>
        <v>0.31372177270804485</v>
      </c>
      <c r="BW2">
        <f>BN2*BA2*(AP2*2+AQ2*2+AR2*3)</f>
        <v>0.30504882378846204</v>
      </c>
      <c r="BX2">
        <f>BV2/(2*V2*BL2+BV2)</f>
        <v>7.6663010910653556E-2</v>
      </c>
      <c r="BY2">
        <f>BU2*BX2</f>
        <v>7.1053222150816371</v>
      </c>
      <c r="BZ2">
        <f>BW2/(2*BN2*BA2+BW2)</f>
        <v>6.6416406490944616E-2</v>
      </c>
      <c r="CA2">
        <f>2*BN2*BA2/0.04</f>
        <v>107.19812774987001</v>
      </c>
      <c r="CB2">
        <f>(BS2+BL2)*2</f>
        <v>60.455943711704961</v>
      </c>
      <c r="CC2">
        <f>(BU2+BL2)*2</f>
        <v>223.1500354237472</v>
      </c>
      <c r="CD2">
        <f>(BT2+BN2)*2</f>
        <v>68.606801759916806</v>
      </c>
      <c r="CE2">
        <f>(CA2+BN2)*2</f>
        <v>257.27550659968801</v>
      </c>
      <c r="CF2">
        <f>'TEA Revised Non EYZ'!CB2</f>
        <v>2493.8076781078298</v>
      </c>
      <c r="CG2">
        <f>'TEA Revised Non EYZ'!CC2</f>
        <v>3396.0366871158817</v>
      </c>
      <c r="CH2">
        <f>'TEA Revised Non EYZ'!CD2</f>
        <v>3012.9816471142385</v>
      </c>
      <c r="CI2">
        <f>'TEA Revised Non EYZ'!CE2</f>
        <v>26193.932801696468</v>
      </c>
      <c r="CJ2">
        <f>BL2*V2</f>
        <v>1.88924824099078</v>
      </c>
      <c r="CK2">
        <f>CJ2/2*1.2</f>
        <v>1.133548944594468</v>
      </c>
      <c r="CL2">
        <f>'eLLE Bals'!CB2*'Oxidant Feed Composition'!$N$20</f>
        <v>6.2974941366359366E-2</v>
      </c>
      <c r="CM2">
        <f>'eLLE Bals'!CB2*'Oxidant Feed Composition'!$N$21</f>
        <v>3.148747068317967</v>
      </c>
      <c r="CN2">
        <f>'eLLE Bals'!CB2*'Oxidant Feed Composition'!$N$22</f>
        <v>0.94462412049539002</v>
      </c>
      <c r="CO2">
        <f>CN2/CK2</f>
        <v>0.83333333333333337</v>
      </c>
      <c r="CP2">
        <f>CO2</f>
        <v>0.83333333333333337</v>
      </c>
      <c r="CQ2">
        <f>CL2/CO2</f>
        <v>7.5569929639631231E-2</v>
      </c>
      <c r="CR2">
        <f>CM2/CO2</f>
        <v>3.7784964819815601</v>
      </c>
      <c r="CS2">
        <f>BN2*BA2</f>
        <v>2.1439625549974002</v>
      </c>
      <c r="CT2">
        <f>CS2/2*1.2</f>
        <v>1.2863775329984402</v>
      </c>
      <c r="CU2">
        <f>'eLLE Bals'!CC2*'Oxidant Feed Composition'!$N$20</f>
        <v>7.1465418499913363E-2</v>
      </c>
      <c r="CV2">
        <f>'eLLE Bals'!CC2*'Oxidant Feed Composition'!$N$21</f>
        <v>3.5732709249956671</v>
      </c>
      <c r="CW2">
        <f>'eLLE Bals'!CC2*'Oxidant Feed Composition'!$N$22</f>
        <v>1.0719812774987001</v>
      </c>
      <c r="CX2">
        <f>CU2/CP2</f>
        <v>8.5758502199896031E-2</v>
      </c>
      <c r="CY2">
        <f>CV2/CP2</f>
        <v>4.2879251099948004</v>
      </c>
      <c r="CZ2">
        <f>CJ2</f>
        <v>1.88924824099078</v>
      </c>
      <c r="DA2">
        <f>'eLLE Bals'!BQ2</f>
        <v>3.7784964819815601</v>
      </c>
      <c r="DB2">
        <f>'eLLE Bals'!BU2</f>
        <v>18.975798734935829</v>
      </c>
      <c r="DC2">
        <f>CS2</f>
        <v>2.1439625549974002</v>
      </c>
      <c r="DD2">
        <f>'eLLE Bals'!BX2</f>
        <v>4.2879251099948004</v>
      </c>
      <c r="DE2">
        <f>'eLLE Bals'!CA2</f>
        <v>25.848728951772728</v>
      </c>
      <c r="DF2">
        <f>2*2*(CJ2*'Reagent cost'!$C$36*122.44/1000*0.5+CK2*'Oxidant Feed Composition'!$N$26+CQ2*'Reagent cost'!$C$34+CR2*'Reagent cost'!$C$35)</f>
        <v>126.90890181645143</v>
      </c>
      <c r="DG2">
        <f>2*2*(CS2*'Reagent cost'!$C$36*122.44/1000*0.5+CT2*'Oxidant Feed Composition'!$N$26+CX2*'Reagent cost'!$C$34+CY2*'Reagent cost'!$C$35)</f>
        <v>144.01915401420308</v>
      </c>
      <c r="DH2">
        <f>(AF2+3)*2*(CZ2*'Reagent cost'!$C$38*0.5+DA2*'Reagent cost'!$C$39+DB2*'Reagent cost'!$C$36*122.44/1000)</f>
        <v>2359.1387442415512</v>
      </c>
      <c r="DI2">
        <f>3*2*(DC2*'Reagent cost'!$C$38*0.5+DD2*'Reagent cost'!$C$39+DE2*'Reagent cost'!$C$36*122.44/1000)</f>
        <v>1371.2138993754406</v>
      </c>
      <c r="DJ2">
        <f>7963.6*(CB2/1000)^0.6*1.7*('CAPEX+OPEX'!$G$116/'CAPEX+OPEX'!$G$115)</f>
        <v>2965.5437179814326</v>
      </c>
      <c r="DK2">
        <f>7963.6*(CC2/1000)^0.6*1.7*('CAPEX+OPEX'!$G$116/'CAPEX+OPEX'!$G$115)</f>
        <v>6492.3078360569407</v>
      </c>
      <c r="DL2">
        <f>7963.6*(CD2/1000)^0.6*1.7*('CAPEX+OPEX'!$G$116/'CAPEX+OPEX'!$G$115)</f>
        <v>3199.3461630818579</v>
      </c>
      <c r="DM2">
        <f>7963.6*(CE2/1000)^0.6*1.7*('CAPEX+OPEX'!$G$116/'CAPEX+OPEX'!$G$115)</f>
        <v>7070.9862558210971</v>
      </c>
      <c r="DN2">
        <f>'TEA Revised Non EYZ'!CM2</f>
        <v>39625.826528698344</v>
      </c>
      <c r="DO2">
        <f>'TEA Revised Non EYZ'!CN2</f>
        <v>4586243.4239371875</v>
      </c>
      <c r="DP2">
        <f>'TEA Revised Non EYZ'!CO2</f>
        <v>11794834.586807497</v>
      </c>
      <c r="DQ2">
        <f>'TEA Revised Non EYZ'!CP2</f>
        <v>2275209.1661185985</v>
      </c>
      <c r="DR2">
        <f>'TEA Revised Non EYZ'!CQ2</f>
        <v>14083914.336508472</v>
      </c>
      <c r="DS2">
        <f>'TEA Revised Non EYZ'!CR2</f>
        <v>1662824.8986326549</v>
      </c>
      <c r="DT2">
        <f>'TEA Revised Non EYZ'!CS2</f>
        <v>461850.0978118488</v>
      </c>
      <c r="DU2">
        <f>'TEA Revised Non EYZ'!CT2</f>
        <v>1187779.4098672394</v>
      </c>
      <c r="DV2">
        <f>'TEA Revised Non EYZ'!CU2</f>
        <v>229121.19544936769</v>
      </c>
      <c r="DW2">
        <f>'TEA Revised Non EYZ'!CV2</f>
        <v>1418297.4196136401</v>
      </c>
      <c r="DX2">
        <f>'TEA Revised Non EYZ'!CW2</f>
        <v>167452.04540804314</v>
      </c>
      <c r="DY2">
        <f>'TEA Revised Non EYZ'!CX2</f>
        <v>3464500.168150139</v>
      </c>
      <c r="DZ2">
        <f>'TEA Revised Non EYZ'!CY2</f>
        <v>499902.7657598143</v>
      </c>
      <c r="EA2">
        <f>'TEA Revised Non EYZ'!CZ2</f>
        <v>1285642.7116035565</v>
      </c>
      <c r="EB2">
        <f>'TEA Revised Non EYZ'!DA2</f>
        <v>247998.90666255786</v>
      </c>
      <c r="EC2">
        <f>'TEA Revised Non EYZ'!DB2</f>
        <v>1535153.5186286946</v>
      </c>
      <c r="ED2">
        <f>'TEA Revised Non EYZ'!DC2</f>
        <v>181248.72340228659</v>
      </c>
      <c r="EE2">
        <f>'TEA Revised Non EYZ'!DD2</f>
        <v>3749946.6260569096</v>
      </c>
      <c r="EF2">
        <v>0.7</v>
      </c>
      <c r="EG2">
        <v>100</v>
      </c>
      <c r="EH2">
        <f>96485*BL2*V2/EF2/EG2/60</f>
        <v>43.40098012666558</v>
      </c>
      <c r="EI2">
        <f>96485*BN2*BA2/EF2/EG2/60</f>
        <v>49.252435028315283</v>
      </c>
      <c r="EJ2">
        <f>EH2*('CAPEX+OPEX'!$O$25+'CAPEX+OPEX'!$O$26)</f>
        <v>1383276.0385970853</v>
      </c>
      <c r="EK2">
        <f>EI2*('CAPEX+OPEX'!$O$25+'CAPEX+OPEX'!$O$26)</f>
        <v>1569773.6092224647</v>
      </c>
      <c r="EL2">
        <f>EJ2*1.12/0.6*'CAPEX+OPEX'!$G$116/'CAPEX+OPEX'!$G$115</f>
        <v>3045497.132381544</v>
      </c>
      <c r="EM2">
        <f>EK2*1.12/0.6*'CAPEX+OPEX'!$G$116/'CAPEX+OPEX'!$G$115</f>
        <v>3456100.5121030342</v>
      </c>
      <c r="EN2">
        <f>EL2+EM2+DY2+EE2+1.15*(SUM(DF2:DM2)+SUM(CF2:CI2))</f>
        <v>13783694.595701015</v>
      </c>
      <c r="EO2">
        <f>EN2/15</f>
        <v>918912.97304673435</v>
      </c>
      <c r="EP2">
        <f>('eLLE Bals'!CB2+'eLLE Bals'!CC2)*'Oxidant Feed Composition'!$N$29*60*7200</f>
        <v>10060268.388090847</v>
      </c>
      <c r="EQ2" s="53">
        <f>('eLLE Bals'!BR2+'eLLE Bals'!BY2)*'Reagent cost'!$C$38*60*7200*0.5</f>
        <v>262057.62138460233</v>
      </c>
      <c r="ER2">
        <f>'TEA Revised Non EYZ'!DI2</f>
        <v>504921.59999999998</v>
      </c>
      <c r="ES2">
        <f>'TEA Revised Non EYZ'!DJ2</f>
        <v>58.898443652237113</v>
      </c>
      <c r="ET2">
        <f>'TEA Revised Non EYZ'!DK2</f>
        <v>584.13828897621408</v>
      </c>
      <c r="EU2">
        <f>1.2*SUM(EP2:ET2)</f>
        <v>12993468.775449693</v>
      </c>
      <c r="EV2">
        <f>'TEA Revised Non EYZ'!DM2</f>
        <v>0.70639694042110623</v>
      </c>
      <c r="EW2">
        <f>(BS2*CO2+BT2*CP2)/1000*('Oxidant Feed Composition'!$B$11*'Oxidant Feed Composition'!$O$20+'Oxidant Feed Composition'!$D$11*'Oxidant Feed Composition'!$O$21+'Oxidant Feed Composition'!$F$11*'Oxidant Feed Composition'!$O$27-'Oxidant Feed Composition'!$J$15*18.015)</f>
        <v>2.3550833376625668</v>
      </c>
      <c r="EX2">
        <f>(CZ2*BX2+DC2*BZ2)*368.34/1000</f>
        <v>0.10579820503432018</v>
      </c>
      <c r="EY2">
        <f>'TEA Revised Non EYZ'!DP2</f>
        <v>4.999938342565946E-2</v>
      </c>
      <c r="EZ2">
        <f>SUM(EV2:EX2)-EY2</f>
        <v>3.1172790996923339</v>
      </c>
      <c r="FA2">
        <f>EZ2*0.33*60*7200</f>
        <v>444399.30845213908</v>
      </c>
      <c r="FB2">
        <f>'TEA Revised Non EYZ'!DS2</f>
        <v>1.2</v>
      </c>
      <c r="FC2">
        <v>0.5</v>
      </c>
      <c r="FD2">
        <f>'TEA Revised Non EYZ'!DT2</f>
        <v>1401.3235056334981</v>
      </c>
      <c r="FE2">
        <f>'TEA Revised Non EYZ'!DU2</f>
        <v>720.88174659145932</v>
      </c>
      <c r="FF2">
        <f>'TEA Revised Non EYZ'!DV2</f>
        <v>0.7</v>
      </c>
      <c r="FG2">
        <f>'TEA Revised Non EYZ'!DW2</f>
        <v>27520.276190787874</v>
      </c>
      <c r="FH2">
        <f>'TEA Revised Non EYZ'!DX2</f>
        <v>16610.439588917834</v>
      </c>
      <c r="FI2">
        <f>'TEA Revised Non EYZ'!DY2</f>
        <v>7032.645793695051</v>
      </c>
      <c r="FJ2">
        <f>'TEA Revised Non EYZ'!DZ2</f>
        <v>3725.3886787897172</v>
      </c>
      <c r="FK2">
        <f>'TEA Revised Non EYZ'!EA2</f>
        <v>3750.7444233040283</v>
      </c>
      <c r="FL2">
        <f>'TEA Revised Non EYZ'!EB2</f>
        <v>847.52045620713966</v>
      </c>
      <c r="FM2">
        <f>'TEA Revised Non EYZ'!EC2</f>
        <v>28370.153420241466</v>
      </c>
      <c r="FN2">
        <f>'TEA Revised Non EYZ'!ED2</f>
        <v>19455.45293762091</v>
      </c>
      <c r="FO2">
        <f>'TEA Revised Non EYZ'!EE2</f>
        <v>8237.1877356862715</v>
      </c>
      <c r="FP2">
        <f>'TEA Revised Non EYZ'!EF2</f>
        <v>4365.7898317079243</v>
      </c>
      <c r="FQ2">
        <f>'TEA Revised Non EYZ'!EG2</f>
        <v>4393.1667923660125</v>
      </c>
      <c r="FR2">
        <f>'TEA Revised Non EYZ'!EH2</f>
        <v>435.98928033851462</v>
      </c>
      <c r="FS2">
        <f>'TEA Revised Non EYZ'!EI2</f>
        <v>124744.75512966275</v>
      </c>
      <c r="FT2">
        <f>EG2*EH2</f>
        <v>4340.0980126665581</v>
      </c>
      <c r="FU2">
        <f>EG2*EI2</f>
        <v>4925.2435028315285</v>
      </c>
      <c r="FV2">
        <f>FC2*(FT2+FU2)/(3.6*10^6)*3600*7200*0.07</f>
        <v>2334.8660619055177</v>
      </c>
      <c r="FW2">
        <f>('CAPEX+OPEX'!$C$39/7/100+0.03)*EL2</f>
        <v>156625.56680819369</v>
      </c>
      <c r="FX2">
        <f>('CAPEX+OPEX'!$C$39/7/100+0.03)*EM2</f>
        <v>177742.31205101317</v>
      </c>
      <c r="FY2">
        <f>SUM(FV2:FX2)</f>
        <v>336702.74492111237</v>
      </c>
      <c r="FZ2">
        <f>FY2+FA2+FS2+EU2</f>
        <v>13899315.583952608</v>
      </c>
      <c r="GA2">
        <f>FZ2+EO2</f>
        <v>14818228.556999343</v>
      </c>
      <c r="GB2">
        <f>GA2/(BK2*60*7200)</f>
        <v>0.34301454993054031</v>
      </c>
      <c r="GC2">
        <f>'TEA Revised Non EYZ'!EM2/'TEA Revised Non EYZ'!EK2*GA2</f>
        <v>1154.0556553737053</v>
      </c>
      <c r="GD2">
        <f>'TEA Revised Non EYZ'!EN2/'TEA Revised Non EYZ'!EK2*GA2</f>
        <v>2064.0227869196947</v>
      </c>
    </row>
    <row r="3" spans="1:186">
      <c r="A3">
        <f>'TEA Revised Non EYZ'!A3</f>
        <v>3</v>
      </c>
      <c r="B3">
        <f>'TEA Revised Non EYZ'!B3</f>
        <v>1.54143585092054E-3</v>
      </c>
      <c r="C3">
        <f>'TEA Revised Non EYZ'!C3</f>
        <v>1.54143585092054E-3</v>
      </c>
      <c r="D3">
        <f>'TEA Revised Non EYZ'!D3</f>
        <v>3.4254130020456501E-4</v>
      </c>
      <c r="E3">
        <f>'TEA Revised Non EYZ'!E3</f>
        <v>0</v>
      </c>
      <c r="F3">
        <f>'TEA Revised Non EYZ'!F3</f>
        <v>0</v>
      </c>
      <c r="G3">
        <f>'TEA Revised Non EYZ'!G3</f>
        <v>0</v>
      </c>
      <c r="H3">
        <f>'TEA Revised Non EYZ'!H3</f>
        <v>1.6300358850230801E-5</v>
      </c>
      <c r="I3">
        <f>'TEA Revised Non EYZ'!I3</f>
        <v>7.4474859607128495E-7</v>
      </c>
      <c r="J3">
        <f>'TEA Revised Non EYZ'!J3</f>
        <v>3.2385704147932398E-4</v>
      </c>
      <c r="K3">
        <f>'TEA Revised Non EYZ'!K3</f>
        <v>8.07271092797512E-2</v>
      </c>
      <c r="L3">
        <f>'TEA Revised Non EYZ'!L3</f>
        <v>8.15504849440159E-2</v>
      </c>
      <c r="M3">
        <f>'TEA Revised Non EYZ'!M3</f>
        <v>9.8897848995466706E-4</v>
      </c>
      <c r="N3">
        <f>'TEA Revised Non EYZ'!N3</f>
        <v>-9.8011876392689601E-17</v>
      </c>
      <c r="O3">
        <f>'TEA Revised Non EYZ'!O3</f>
        <v>1.94289029309402E-16</v>
      </c>
      <c r="P3">
        <f>'TEA Revised Non EYZ'!P3</f>
        <v>-4.3537493488870999E-18</v>
      </c>
      <c r="Q3">
        <f>'TEA Revised Non EYZ'!Q3</f>
        <v>0.18892482409907799</v>
      </c>
      <c r="R3">
        <f>'TEA Revised Non EYZ'!R3</f>
        <v>94.545399718491396</v>
      </c>
      <c r="S3">
        <f>'TEA Revised Non EYZ'!S3</f>
        <v>500</v>
      </c>
      <c r="T3">
        <f>'TEA Revised Non EYZ'!T3</f>
        <v>95</v>
      </c>
      <c r="U3">
        <f>'TEA Revised Non EYZ'!U3</f>
        <v>1</v>
      </c>
      <c r="V3">
        <f>'TEA Revised Non EYZ'!V3</f>
        <v>0.1</v>
      </c>
      <c r="W3">
        <f>'TEA Revised Non EYZ'!W3</f>
        <v>52.931106580020597</v>
      </c>
      <c r="X3" t="str">
        <f>'TEA Revised Non EYZ'!X3</f>
        <v>ddFc</v>
      </c>
      <c r="Y3">
        <f>'TEA Revised Non EYZ'!Y3</f>
        <v>1</v>
      </c>
      <c r="Z3">
        <f>'TEA Revised Non EYZ'!Z3</f>
        <v>0.28318429382522198</v>
      </c>
      <c r="AA3">
        <f>'TEA Revised Non EYZ'!AA3</f>
        <v>0.56945642916197003</v>
      </c>
      <c r="AB3">
        <f>'TEA Revised Non EYZ'!AB3</f>
        <v>3.7698628972227502E-3</v>
      </c>
      <c r="AC3">
        <f>'TEA Revised Non EYZ'!AC3</f>
        <v>1822.2107908876901</v>
      </c>
      <c r="AD3">
        <f>'TEA Revised Non EYZ'!AD3</f>
        <v>2662.6059073104898</v>
      </c>
      <c r="AE3">
        <f>'TEA Revised Non EYZ'!AE3</f>
        <v>2401.5030938442701</v>
      </c>
      <c r="AF3">
        <f>'TEA Revised Non EYZ'!AF3</f>
        <v>5</v>
      </c>
      <c r="AG3">
        <f>'TEA Revised Non EYZ'!AG3</f>
        <v>1.6455478770638001E-3</v>
      </c>
      <c r="AH3">
        <f>'TEA Revised Non EYZ'!AH3</f>
        <v>1.66233163271225E-3</v>
      </c>
      <c r="AI3">
        <f>'TEA Revised Non EYZ'!AI3</f>
        <v>2.0159416943409301E-5</v>
      </c>
      <c r="AJ3">
        <f>'TEA Revised Non EYZ'!AJ3</f>
        <v>0</v>
      </c>
      <c r="AK3">
        <f>'TEA Revised Non EYZ'!AK3</f>
        <v>0</v>
      </c>
      <c r="AL3">
        <f>'TEA Revised Non EYZ'!AL3</f>
        <v>0</v>
      </c>
      <c r="AM3">
        <f>'TEA Revised Non EYZ'!AM3</f>
        <v>1.6052842060858799E-3</v>
      </c>
      <c r="AN3">
        <f>'TEA Revised Non EYZ'!AN3</f>
        <v>6.4473619347604606E-5</v>
      </c>
      <c r="AO3">
        <f>'TEA Revised Non EYZ'!AO3</f>
        <v>2.0015023078929502E-5</v>
      </c>
      <c r="AP3">
        <f>'TEA Revised Non EYZ'!AP3</f>
        <v>1.83001337116067E-3</v>
      </c>
      <c r="AQ3">
        <f>'TEA Revised Non EYZ'!AQ3</f>
        <v>7.2623818410792906E-2</v>
      </c>
      <c r="AR3">
        <f>'TEA Revised Non EYZ'!AR3</f>
        <v>6.5628070240175303E-6</v>
      </c>
      <c r="AS3">
        <f>'TEA Revised Non EYZ'!AS3</f>
        <v>-1.0199428649750001E-15</v>
      </c>
      <c r="AT3">
        <f>'TEA Revised Non EYZ'!AT3</f>
        <v>-2.9988815250514499E-14</v>
      </c>
      <c r="AU3">
        <f>'TEA Revised Non EYZ'!AU3</f>
        <v>-1.2040043949627799E-18</v>
      </c>
      <c r="AV3">
        <f>'TEA Revised Non EYZ'!AV3</f>
        <v>0.20391867981453801</v>
      </c>
      <c r="AW3">
        <f>'TEA Revised Non EYZ'!AW3</f>
        <v>99.283739877571406</v>
      </c>
      <c r="AX3">
        <f>'TEA Revised Non EYZ'!AX3</f>
        <v>500</v>
      </c>
      <c r="AY3">
        <f>'TEA Revised Non EYZ'!AY3</f>
        <v>95</v>
      </c>
      <c r="AZ3">
        <f>'TEA Revised Non EYZ'!AZ3</f>
        <v>0.92682535301965796</v>
      </c>
      <c r="BA3">
        <f>'TEA Revised Non EYZ'!BA3</f>
        <v>0.1</v>
      </c>
      <c r="BB3">
        <f>'TEA Revised Non EYZ'!BB3</f>
        <v>45.450733295379898</v>
      </c>
      <c r="BC3" t="str">
        <f>'TEA Revised Non EYZ'!BC3</f>
        <v>coeFc</v>
      </c>
      <c r="BD3">
        <f>'TEA Revised Non EYZ'!BD3</f>
        <v>1</v>
      </c>
      <c r="BE3">
        <f>'TEA Revised Non EYZ'!BE3</f>
        <v>1.8775014999999999E-2</v>
      </c>
      <c r="BF3">
        <f>'TEA Revised Non EYZ'!BF3</f>
        <v>0.10492961100000001</v>
      </c>
      <c r="BG3">
        <f>'TEA Revised Non EYZ'!BG3</f>
        <v>1.814625E-3</v>
      </c>
      <c r="BH3">
        <f>'TEA Revised Non EYZ'!BH3</f>
        <v>285.1951444</v>
      </c>
      <c r="BI3">
        <f>'TEA Revised Non EYZ'!BI3</f>
        <v>2169.8944889999998</v>
      </c>
      <c r="BJ3">
        <f>'TEA Revised Non EYZ'!BJ3</f>
        <v>866.49409060000005</v>
      </c>
      <c r="BK3">
        <f>'TEA Revised Non EYZ'!BK3</f>
        <v>100</v>
      </c>
      <c r="BL3">
        <f>'TEA Revised Non EYZ'!BL3</f>
        <v>18.892482409907799</v>
      </c>
      <c r="BM3">
        <f>'TEA Revised Non EYZ'!BM3</f>
        <v>92.6825353019658</v>
      </c>
      <c r="BN3">
        <f>'TEA Revised Non EYZ'!BN3</f>
        <v>20.3918679814538</v>
      </c>
      <c r="BO3">
        <f>'TEA Revised Non EYZ'!BO3</f>
        <v>188.92482409907799</v>
      </c>
      <c r="BP3">
        <f>'TEA Revised Non EYZ'!BP3</f>
        <v>285.48615174035319</v>
      </c>
      <c r="BQ3">
        <f>'TEA Revised Non EYZ'!BQ3</f>
        <v>18.892482409907799</v>
      </c>
      <c r="BR3">
        <f>'TEA Revised Non EYZ'!BR3</f>
        <v>28.548615174035319</v>
      </c>
      <c r="BS3">
        <f>'eLLE Bals'!CF3</f>
        <v>11.335489445944679</v>
      </c>
      <c r="BT3">
        <f>'eLLE Bals'!CG3</f>
        <v>12.23512078887228</v>
      </c>
      <c r="BU3">
        <f>BM3</f>
        <v>92.6825353019658</v>
      </c>
      <c r="BV3">
        <f>BU3*(AM3*2+AN3*2+AO3*3)</f>
        <v>0.3150799064521928</v>
      </c>
      <c r="BW3">
        <f>BN3*BA3*(AP3*2+AQ3*2+AR3*3)</f>
        <v>0.3036906900505198</v>
      </c>
      <c r="BX3">
        <f>BV3/(2*V3*BL3+BV3)</f>
        <v>7.6969348206726837E-2</v>
      </c>
      <c r="BY3">
        <f>BU3*BX3</f>
        <v>7.1337143323392578</v>
      </c>
      <c r="BZ3">
        <f>BW3/(2*BN3*BA3+BW3)</f>
        <v>6.9303111548845053E-2</v>
      </c>
      <c r="CA3">
        <f>2*BN3*BA3/0.04</f>
        <v>101.959339907269</v>
      </c>
      <c r="CB3">
        <f>(BS3+BL3)*2</f>
        <v>60.455943711704961</v>
      </c>
      <c r="CC3">
        <f>(BU3+BL3)*2</f>
        <v>223.1500354237472</v>
      </c>
      <c r="CD3">
        <f>(BT3+BN3)*2</f>
        <v>65.253977540652158</v>
      </c>
      <c r="CE3">
        <f>(CA3+BN3)*2</f>
        <v>244.70241577744559</v>
      </c>
      <c r="CF3">
        <f>'TEA Revised Non EYZ'!CB3</f>
        <v>2493.8076781078298</v>
      </c>
      <c r="CG3">
        <f>'TEA Revised Non EYZ'!CC3</f>
        <v>3768.4172029726624</v>
      </c>
      <c r="CH3">
        <f>'TEA Revised Non EYZ'!CD3</f>
        <v>3012.9816471142385</v>
      </c>
      <c r="CI3">
        <f>'TEA Revised Non EYZ'!CE3</f>
        <v>29066.136817047478</v>
      </c>
      <c r="CJ3">
        <f>BL3*V3</f>
        <v>1.88924824099078</v>
      </c>
      <c r="CK3">
        <f>CJ3/2*1.2</f>
        <v>1.133548944594468</v>
      </c>
      <c r="CL3">
        <f>'eLLE Bals'!CB3*'Oxidant Feed Composition'!$N$20</f>
        <v>6.2974941366359366E-2</v>
      </c>
      <c r="CM3">
        <f>'eLLE Bals'!CB3*'Oxidant Feed Composition'!$N$21</f>
        <v>3.148747068317967</v>
      </c>
      <c r="CN3">
        <f>'eLLE Bals'!CB3*'Oxidant Feed Composition'!$N$22</f>
        <v>0.94462412049539002</v>
      </c>
      <c r="CO3">
        <f>CN3/CK3</f>
        <v>0.83333333333333337</v>
      </c>
      <c r="CP3">
        <f>CO3</f>
        <v>0.83333333333333337</v>
      </c>
      <c r="CQ3">
        <f>CL3/CO3</f>
        <v>7.5569929639631231E-2</v>
      </c>
      <c r="CR3">
        <f>CM3/CO3</f>
        <v>3.7784964819815601</v>
      </c>
      <c r="CS3">
        <f>BN3*BA3</f>
        <v>2.03918679814538</v>
      </c>
      <c r="CT3">
        <f>CS3/2*1.2</f>
        <v>1.223512078887228</v>
      </c>
      <c r="CU3">
        <f>'eLLE Bals'!CC3*'Oxidant Feed Composition'!$N$20</f>
        <v>6.7972893271512694E-2</v>
      </c>
      <c r="CV3">
        <f>'eLLE Bals'!CC3*'Oxidant Feed Composition'!$N$21</f>
        <v>3.3986446635756336</v>
      </c>
      <c r="CW3">
        <f>'eLLE Bals'!CC3*'Oxidant Feed Composition'!$N$22</f>
        <v>1.01959339907269</v>
      </c>
      <c r="CX3">
        <f>CU3/CP3</f>
        <v>8.1567471925815233E-2</v>
      </c>
      <c r="CY3">
        <f>CV3/CP3</f>
        <v>4.0783735962907599</v>
      </c>
      <c r="CZ3">
        <f>CJ3</f>
        <v>1.88924824099078</v>
      </c>
      <c r="DA3">
        <f>'eLLE Bals'!BQ3</f>
        <v>3.7784964819815601</v>
      </c>
      <c r="DB3">
        <f>'eLLE Bals'!BU3</f>
        <v>18.877717659303535</v>
      </c>
      <c r="DC3">
        <f>CS3</f>
        <v>2.03918679814538</v>
      </c>
      <c r="DD3">
        <f>'eLLE Bals'!BX3</f>
        <v>4.0783735962907599</v>
      </c>
      <c r="DE3">
        <f>'eLLE Bals'!CA3</f>
        <v>23.306613391875818</v>
      </c>
      <c r="DF3">
        <f>2*2*(CJ3*'Reagent cost'!$C$36*122.44/1000*0.5+CK3*'Oxidant Feed Composition'!$N$26+CQ3*'Reagent cost'!$C$34+CR3*'Reagent cost'!$C$35)</f>
        <v>126.90890181645143</v>
      </c>
      <c r="DG3">
        <f>2*2*(CS3*'Reagent cost'!$C$36*122.44/1000*0.5+CT3*'Oxidant Feed Composition'!$N$26+CX3*'Reagent cost'!$C$34+CY3*'Reagent cost'!$C$35)</f>
        <v>136.98091734917699</v>
      </c>
      <c r="DH3">
        <f>(AF3+3)*2*(CZ3*'Reagent cost'!$C$38*0.5+DA3*'Reagent cost'!$C$39+DB3*'Reagent cost'!$C$36*122.44/1000)</f>
        <v>2682.5893025737664</v>
      </c>
      <c r="DI3">
        <f>3*2*(DC3*'Reagent cost'!$C$38*0.5+DD3*'Reagent cost'!$C$39+DE3*'Reagent cost'!$C$36*122.44/1000)</f>
        <v>1237.8535992267698</v>
      </c>
      <c r="DJ3">
        <f>7963.6*(CB3/1000)^0.6*1.7*('CAPEX+OPEX'!$G$116/'CAPEX+OPEX'!$G$115)</f>
        <v>2965.5437179814326</v>
      </c>
      <c r="DK3">
        <f>7963.6*(CC3/1000)^0.6*1.7*('CAPEX+OPEX'!$G$116/'CAPEX+OPEX'!$G$115)</f>
        <v>6492.3078360569407</v>
      </c>
      <c r="DL3">
        <f>7963.6*(CD3/1000)^0.6*1.7*('CAPEX+OPEX'!$G$116/'CAPEX+OPEX'!$G$115)</f>
        <v>3104.5961983371071</v>
      </c>
      <c r="DM3">
        <f>7963.6*(CE3/1000)^0.6*1.7*('CAPEX+OPEX'!$G$116/'CAPEX+OPEX'!$G$115)</f>
        <v>6861.5760625195089</v>
      </c>
      <c r="DN3">
        <f>'TEA Revised Non EYZ'!CM3</f>
        <v>39625.826528698344</v>
      </c>
      <c r="DO3">
        <f>'TEA Revised Non EYZ'!CN3</f>
        <v>4586243.4239371875</v>
      </c>
      <c r="DP3">
        <f>'TEA Revised Non EYZ'!CO3</f>
        <v>11794834.586807497</v>
      </c>
      <c r="DQ3">
        <f>'TEA Revised Non EYZ'!CP3</f>
        <v>2275209.1661185985</v>
      </c>
      <c r="DR3">
        <f>'TEA Revised Non EYZ'!CQ3</f>
        <v>14083914.336508472</v>
      </c>
      <c r="DS3">
        <f>'TEA Revised Non EYZ'!CR3</f>
        <v>1662824.8986326549</v>
      </c>
      <c r="DT3">
        <f>'TEA Revised Non EYZ'!CS3</f>
        <v>461850.0978118488</v>
      </c>
      <c r="DU3">
        <f>'TEA Revised Non EYZ'!CT3</f>
        <v>1187779.4098672394</v>
      </c>
      <c r="DV3">
        <f>'TEA Revised Non EYZ'!CU3</f>
        <v>229121.19544936769</v>
      </c>
      <c r="DW3">
        <f>'TEA Revised Non EYZ'!CV3</f>
        <v>1418297.4196136401</v>
      </c>
      <c r="DX3">
        <f>'TEA Revised Non EYZ'!CW3</f>
        <v>167452.04540804314</v>
      </c>
      <c r="DY3">
        <f>'TEA Revised Non EYZ'!CX3</f>
        <v>3464500.168150139</v>
      </c>
      <c r="DZ3">
        <f>'TEA Revised Non EYZ'!CY3</f>
        <v>557691.83628610906</v>
      </c>
      <c r="EA3">
        <f>'TEA Revised Non EYZ'!CZ3</f>
        <v>1434263.8083873487</v>
      </c>
      <c r="EB3">
        <f>'TEA Revised Non EYZ'!DA3</f>
        <v>276667.73446106695</v>
      </c>
      <c r="EC3">
        <f>'TEA Revised Non EYZ'!DB3</f>
        <v>1712618.2198329037</v>
      </c>
      <c r="ED3">
        <f>'TEA Revised Non EYZ'!DC3</f>
        <v>202201.18851532842</v>
      </c>
      <c r="EE3">
        <f>'TEA Revised Non EYZ'!DD3</f>
        <v>4183442.7874827567</v>
      </c>
      <c r="EF3">
        <v>0.7</v>
      </c>
      <c r="EG3">
        <v>100</v>
      </c>
      <c r="EH3">
        <f>96485*BL3*V3/EF3/EG3/60</f>
        <v>43.40098012666558</v>
      </c>
      <c r="EI3">
        <f>96485*BN3*BA3/EF3/EG3/60</f>
        <v>46.845461480727856</v>
      </c>
      <c r="EJ3">
        <f>EH3*('CAPEX+OPEX'!$O$25+'CAPEX+OPEX'!$O$26)</f>
        <v>1383276.0385970853</v>
      </c>
      <c r="EK3">
        <f>EI3*('CAPEX+OPEX'!$O$25+'CAPEX+OPEX'!$O$26)</f>
        <v>1493058.5483137583</v>
      </c>
      <c r="EL3">
        <f>EJ3*1.12/0.6*'CAPEX+OPEX'!$G$116/'CAPEX+OPEX'!$G$115</f>
        <v>3045497.132381544</v>
      </c>
      <c r="EM3">
        <f>EK3*1.12/0.6*'CAPEX+OPEX'!$G$116/'CAPEX+OPEX'!$G$115</f>
        <v>3287200.3855275079</v>
      </c>
      <c r="EN3">
        <f>EL3+EM3+DY3+EE3+1.15*(SUM(DF3:DM3)+SUM(CF3:CI3))</f>
        <v>14051882.628405217</v>
      </c>
      <c r="EO3">
        <f>EN3/15</f>
        <v>936792.17522701446</v>
      </c>
      <c r="EP3">
        <f>('eLLE Bals'!CB3+'eLLE Bals'!CC3)*'Oxidant Feed Composition'!$N$29*60*7200</f>
        <v>9798920.2246015612</v>
      </c>
      <c r="EQ3" s="53">
        <f>('eLLE Bals'!BR3+'eLLE Bals'!BY3)*'Reagent cost'!$C$38*60*7200*0.5</f>
        <v>261607.3238130933</v>
      </c>
      <c r="ER3">
        <f>'TEA Revised Non EYZ'!DI3</f>
        <v>504921.59999999998</v>
      </c>
      <c r="ES3">
        <f>'TEA Revised Non EYZ'!DJ3</f>
        <v>62.622248810804926</v>
      </c>
      <c r="ET3">
        <f>'TEA Revised Non EYZ'!DK3</f>
        <v>641.58236928323436</v>
      </c>
      <c r="EU3">
        <f>1.2*SUM(EP3:ET3)</f>
        <v>12679384.023639299</v>
      </c>
      <c r="EV3">
        <f>'TEA Revised Non EYZ'!DM3</f>
        <v>0.70639694042110623</v>
      </c>
      <c r="EW3">
        <f>(BS3*CO3+BT3*CP3)/1000*('Oxidant Feed Composition'!$B$11*'Oxidant Feed Composition'!$O$20+'Oxidant Feed Composition'!$D$11*'Oxidant Feed Composition'!$O$21+'Oxidant Feed Composition'!$F$11*'Oxidant Feed Composition'!$O$27-'Oxidant Feed Composition'!$J$15*18.015)</f>
        <v>2.2939023948269917</v>
      </c>
      <c r="EX3">
        <f>(CZ3*BX3+DC3*BZ3)*368.34/1000</f>
        <v>0.10561641037959783</v>
      </c>
      <c r="EY3">
        <f>'TEA Revised Non EYZ'!DP3</f>
        <v>4.999938342565946E-2</v>
      </c>
      <c r="EZ3">
        <f>SUM(EV3:EX3)-EY3</f>
        <v>3.0559163622020362</v>
      </c>
      <c r="FA3">
        <f>EZ3*0.33*60*7200</f>
        <v>435651.43659552239</v>
      </c>
      <c r="FB3">
        <f>'TEA Revised Non EYZ'!DS3</f>
        <v>1.2</v>
      </c>
      <c r="FC3">
        <v>0.5</v>
      </c>
      <c r="FD3">
        <f>'TEA Revised Non EYZ'!DT3</f>
        <v>1407.4026349781827</v>
      </c>
      <c r="FE3">
        <f>'TEA Revised Non EYZ'!DU3</f>
        <v>714.80261726149911</v>
      </c>
      <c r="FF3">
        <f>'TEA Revised Non EYZ'!DV3</f>
        <v>0.7</v>
      </c>
      <c r="FG3">
        <f>'TEA Revised Non EYZ'!DW3</f>
        <v>27520.276190787874</v>
      </c>
      <c r="FH3">
        <f>'TEA Revised Non EYZ'!DX3</f>
        <v>16610.439588917834</v>
      </c>
      <c r="FI3">
        <f>'TEA Revised Non EYZ'!DY3</f>
        <v>7032.645793695051</v>
      </c>
      <c r="FJ3">
        <f>'TEA Revised Non EYZ'!DZ3</f>
        <v>3725.3886787897172</v>
      </c>
      <c r="FK3">
        <f>'TEA Revised Non EYZ'!EA3</f>
        <v>3750.7444233040283</v>
      </c>
      <c r="FL3">
        <f>'TEA Revised Non EYZ'!EB3</f>
        <v>851.19711363480485</v>
      </c>
      <c r="FM3">
        <f>'TEA Revised Non EYZ'!EC3</f>
        <v>30949.25827662705</v>
      </c>
      <c r="FN3">
        <f>'TEA Revised Non EYZ'!ED3</f>
        <v>23346.543525145094</v>
      </c>
      <c r="FO3">
        <f>'TEA Revised Non EYZ'!EE3</f>
        <v>9884.6252828235265</v>
      </c>
      <c r="FP3">
        <f>'TEA Revised Non EYZ'!EF3</f>
        <v>5238.9477980495094</v>
      </c>
      <c r="FQ3">
        <f>'TEA Revised Non EYZ'!EG3</f>
        <v>5271.8001508392153</v>
      </c>
      <c r="FR3">
        <f>'TEA Revised Non EYZ'!EH3</f>
        <v>432.31262291975469</v>
      </c>
      <c r="FS3">
        <f>'TEA Revised Non EYZ'!EI3</f>
        <v>134614.17944553349</v>
      </c>
      <c r="FT3">
        <f>EG3*EH3</f>
        <v>4340.0980126665581</v>
      </c>
      <c r="FU3">
        <f>EG3*EI3</f>
        <v>4684.5461480727854</v>
      </c>
      <c r="FV3">
        <f>FC3*(FT3+FU3)/(3.6*10^6)*3600*7200*0.07</f>
        <v>2274.2103285063145</v>
      </c>
      <c r="FW3">
        <f>('CAPEX+OPEX'!$C$39/7/100+0.03)*EL3</f>
        <v>156625.56680819369</v>
      </c>
      <c r="FX3">
        <f>('CAPEX+OPEX'!$C$39/7/100+0.03)*EM3</f>
        <v>169056.01982712897</v>
      </c>
      <c r="FY3">
        <f>SUM(FV3:FX3)</f>
        <v>327955.79696382897</v>
      </c>
      <c r="FZ3">
        <f>FY3+FA3+FS3+EU3</f>
        <v>13577605.436644183</v>
      </c>
      <c r="GA3">
        <f>FZ3+EO3</f>
        <v>14514397.611871198</v>
      </c>
      <c r="GB3">
        <f>GA3/(BK3*60*7200)</f>
        <v>0.33598142620072219</v>
      </c>
      <c r="GC3">
        <f>'TEA Revised Non EYZ'!EM3/'TEA Revised Non EYZ'!EK3*GA3</f>
        <v>1125.4989508857982</v>
      </c>
      <c r="GD3">
        <f>'TEA Revised Non EYZ'!EN3/'TEA Revised Non EYZ'!EK3*GA3</f>
        <v>2037.5484953702551</v>
      </c>
    </row>
    <row r="4" spans="1:186">
      <c r="A4">
        <f>'TEA Revised Non EYZ'!A4</f>
        <v>3</v>
      </c>
      <c r="B4">
        <f>'TEA Revised Non EYZ'!B4</f>
        <v>1.54143585092054E-3</v>
      </c>
      <c r="C4">
        <f>'TEA Revised Non EYZ'!C4</f>
        <v>1.54143585092054E-3</v>
      </c>
      <c r="D4">
        <f>'TEA Revised Non EYZ'!D4</f>
        <v>3.4254130020456501E-4</v>
      </c>
      <c r="E4">
        <f>'TEA Revised Non EYZ'!E4</f>
        <v>0</v>
      </c>
      <c r="F4">
        <f>'TEA Revised Non EYZ'!F4</f>
        <v>0</v>
      </c>
      <c r="G4">
        <f>'TEA Revised Non EYZ'!G4</f>
        <v>0</v>
      </c>
      <c r="H4">
        <f>'TEA Revised Non EYZ'!H4</f>
        <v>1.6300358850230801E-5</v>
      </c>
      <c r="I4">
        <f>'TEA Revised Non EYZ'!I4</f>
        <v>7.4474859607128495E-7</v>
      </c>
      <c r="J4">
        <f>'TEA Revised Non EYZ'!J4</f>
        <v>3.2385704147932398E-4</v>
      </c>
      <c r="K4">
        <f>'TEA Revised Non EYZ'!K4</f>
        <v>8.07271092797512E-2</v>
      </c>
      <c r="L4">
        <f>'TEA Revised Non EYZ'!L4</f>
        <v>8.15504849440159E-2</v>
      </c>
      <c r="M4">
        <f>'TEA Revised Non EYZ'!M4</f>
        <v>9.8897848995466706E-4</v>
      </c>
      <c r="N4">
        <f>'TEA Revised Non EYZ'!N4</f>
        <v>-9.8011876392689601E-17</v>
      </c>
      <c r="O4">
        <f>'TEA Revised Non EYZ'!O4</f>
        <v>1.94289029309402E-16</v>
      </c>
      <c r="P4">
        <f>'TEA Revised Non EYZ'!P4</f>
        <v>-4.3537493488870999E-18</v>
      </c>
      <c r="Q4">
        <f>'TEA Revised Non EYZ'!Q4</f>
        <v>0.18892482409907799</v>
      </c>
      <c r="R4">
        <f>'TEA Revised Non EYZ'!R4</f>
        <v>94.545399718491396</v>
      </c>
      <c r="S4">
        <f>'TEA Revised Non EYZ'!S4</f>
        <v>500</v>
      </c>
      <c r="T4">
        <f>'TEA Revised Non EYZ'!T4</f>
        <v>95</v>
      </c>
      <c r="U4">
        <f>'TEA Revised Non EYZ'!U4</f>
        <v>1</v>
      </c>
      <c r="V4">
        <f>'TEA Revised Non EYZ'!V4</f>
        <v>0.1</v>
      </c>
      <c r="W4">
        <f>'TEA Revised Non EYZ'!W4</f>
        <v>52.931106580020597</v>
      </c>
      <c r="X4" t="str">
        <f>'TEA Revised Non EYZ'!X4</f>
        <v>ddFc</v>
      </c>
      <c r="Y4">
        <f>'TEA Revised Non EYZ'!Y4</f>
        <v>1</v>
      </c>
      <c r="Z4">
        <f>'TEA Revised Non EYZ'!Z4</f>
        <v>0.28318429382522198</v>
      </c>
      <c r="AA4">
        <f>'TEA Revised Non EYZ'!AA4</f>
        <v>0.56945642916197003</v>
      </c>
      <c r="AB4">
        <f>'TEA Revised Non EYZ'!AB4</f>
        <v>3.7698628972227502E-3</v>
      </c>
      <c r="AC4">
        <f>'TEA Revised Non EYZ'!AC4</f>
        <v>1822.2107908876901</v>
      </c>
      <c r="AD4">
        <f>'TEA Revised Non EYZ'!AD4</f>
        <v>2662.6059073104898</v>
      </c>
      <c r="AE4">
        <f>'TEA Revised Non EYZ'!AE4</f>
        <v>2401.5030938442701</v>
      </c>
      <c r="AF4">
        <f>'TEA Revised Non EYZ'!AF4</f>
        <v>6</v>
      </c>
      <c r="AG4">
        <f>'TEA Revised Non EYZ'!AG4</f>
        <v>1.6455478770638001E-3</v>
      </c>
      <c r="AH4">
        <f>'TEA Revised Non EYZ'!AH4</f>
        <v>1.66233163271225E-3</v>
      </c>
      <c r="AI4">
        <f>'TEA Revised Non EYZ'!AI4</f>
        <v>2.0159416943409301E-5</v>
      </c>
      <c r="AJ4">
        <f>'TEA Revised Non EYZ'!AJ4</f>
        <v>0</v>
      </c>
      <c r="AK4">
        <f>'TEA Revised Non EYZ'!AK4</f>
        <v>0</v>
      </c>
      <c r="AL4">
        <f>'TEA Revised Non EYZ'!AL4</f>
        <v>0</v>
      </c>
      <c r="AM4">
        <f>'TEA Revised Non EYZ'!AM4</f>
        <v>1.60744374164569E-3</v>
      </c>
      <c r="AN4">
        <f>'TEA Revised Non EYZ'!AN4</f>
        <v>6.4579829374686502E-5</v>
      </c>
      <c r="AO4">
        <f>'TEA Revised Non EYZ'!AO4</f>
        <v>2.0022472818809102E-5</v>
      </c>
      <c r="AP4">
        <f>'TEA Revised Non EYZ'!AP4</f>
        <v>1.75996255360512E-3</v>
      </c>
      <c r="AQ4">
        <f>'TEA Revised Non EYZ'!AQ4</f>
        <v>7.3797327061053505E-2</v>
      </c>
      <c r="AR4">
        <f>'TEA Revised Non EYZ'!AR4</f>
        <v>6.3252066629497999E-6</v>
      </c>
      <c r="AS4">
        <f>'TEA Revised Non EYZ'!AS4</f>
        <v>-1.5043305143236301E-18</v>
      </c>
      <c r="AT4">
        <f>'TEA Revised Non EYZ'!AT4</f>
        <v>1.5178830414797E-17</v>
      </c>
      <c r="AU4">
        <f>'TEA Revised Non EYZ'!AU4</f>
        <v>-9.2908926401955993E-21</v>
      </c>
      <c r="AV4">
        <f>'TEA Revised Non EYZ'!AV4</f>
        <v>0.20066267141911501</v>
      </c>
      <c r="AW4">
        <f>'TEA Revised Non EYZ'!AW4</f>
        <v>99.320694021138493</v>
      </c>
      <c r="AX4">
        <f>'TEA Revised Non EYZ'!AX4</f>
        <v>500</v>
      </c>
      <c r="AY4">
        <f>'TEA Revised Non EYZ'!AY4</f>
        <v>95</v>
      </c>
      <c r="AZ4">
        <f>'TEA Revised Non EYZ'!AZ4</f>
        <v>0.92682535301965796</v>
      </c>
      <c r="BA4">
        <f>'TEA Revised Non EYZ'!BA4</f>
        <v>0.1</v>
      </c>
      <c r="BB4">
        <f>'TEA Revised Non EYZ'!BB4</f>
        <v>46.188229552861699</v>
      </c>
      <c r="BC4" t="str">
        <f>'TEA Revised Non EYZ'!BC4</f>
        <v>coeFc</v>
      </c>
      <c r="BD4">
        <f>'TEA Revised Non EYZ'!BD4</f>
        <v>1</v>
      </c>
      <c r="BE4">
        <f>'TEA Revised Non EYZ'!BE4</f>
        <v>1.8775014999999999E-2</v>
      </c>
      <c r="BF4">
        <f>'TEA Revised Non EYZ'!BF4</f>
        <v>0.10492961100000001</v>
      </c>
      <c r="BG4">
        <f>'TEA Revised Non EYZ'!BG4</f>
        <v>1.814625E-3</v>
      </c>
      <c r="BH4">
        <f>'TEA Revised Non EYZ'!BH4</f>
        <v>285.1951444</v>
      </c>
      <c r="BI4">
        <f>'TEA Revised Non EYZ'!BI4</f>
        <v>2169.8944889999998</v>
      </c>
      <c r="BJ4">
        <f>'TEA Revised Non EYZ'!BJ4</f>
        <v>866.49409060000005</v>
      </c>
      <c r="BK4">
        <f>'TEA Revised Non EYZ'!BK4</f>
        <v>100</v>
      </c>
      <c r="BL4">
        <f>'TEA Revised Non EYZ'!BL4</f>
        <v>18.892482409907799</v>
      </c>
      <c r="BM4">
        <f>'TEA Revised Non EYZ'!BM4</f>
        <v>92.6825353019658</v>
      </c>
      <c r="BN4">
        <f>'TEA Revised Non EYZ'!BN4</f>
        <v>20.066267141911499</v>
      </c>
      <c r="BO4">
        <f>'TEA Revised Non EYZ'!BO4</f>
        <v>188.92482409907799</v>
      </c>
      <c r="BP4">
        <f>'TEA Revised Non EYZ'!BP4</f>
        <v>321.06027427058399</v>
      </c>
      <c r="BQ4">
        <f>'TEA Revised Non EYZ'!BQ4</f>
        <v>18.892482409907799</v>
      </c>
      <c r="BR4">
        <f>'TEA Revised Non EYZ'!BR4</f>
        <v>32.1060274270584</v>
      </c>
      <c r="BS4">
        <f>'eLLE Bals'!CF4</f>
        <v>11.335489445944679</v>
      </c>
      <c r="BT4">
        <f>'eLLE Bals'!CG4</f>
        <v>12.039760285146899</v>
      </c>
      <c r="BU4">
        <f>BM4</f>
        <v>92.6825353019658</v>
      </c>
      <c r="BV4">
        <f>BU4*(AM4*2+AN4*2+AO4*3)</f>
        <v>0.31550196792521573</v>
      </c>
      <c r="BW4">
        <f>BN4*BA4*(AP4*2+AQ4*2+AR4*3)</f>
        <v>0.30326862857129105</v>
      </c>
      <c r="BX4">
        <f>BV4/(2*V4*BL4+BV4)</f>
        <v>7.7064505955638546E-2</v>
      </c>
      <c r="BY4">
        <f>BU4*BX4</f>
        <v>7.1425337937620235</v>
      </c>
      <c r="BZ4">
        <f>BW4/(2*BN4*BA4+BW4)</f>
        <v>7.0257634403315089E-2</v>
      </c>
      <c r="CA4">
        <f>2*BN4*BA4/0.04</f>
        <v>100.33133570955749</v>
      </c>
      <c r="CB4">
        <f>(BS4+BL4)*2</f>
        <v>60.455943711704961</v>
      </c>
      <c r="CC4">
        <f>(BU4+BL4)*2</f>
        <v>223.1500354237472</v>
      </c>
      <c r="CD4">
        <f>(BT4+BN4)*2</f>
        <v>64.212054854116801</v>
      </c>
      <c r="CE4">
        <f>(CA4+BN4)*2</f>
        <v>240.79520570293798</v>
      </c>
      <c r="CF4">
        <f>'TEA Revised Non EYZ'!CB4</f>
        <v>2493.8076781078298</v>
      </c>
      <c r="CG4">
        <f>'TEA Revised Non EYZ'!CC4</f>
        <v>4237.9956203717084</v>
      </c>
      <c r="CH4">
        <f>'TEA Revised Non EYZ'!CD4</f>
        <v>3012.9816471142385</v>
      </c>
      <c r="CI4">
        <f>'TEA Revised Non EYZ'!CE4</f>
        <v>32688.036885778358</v>
      </c>
      <c r="CJ4">
        <f>BL4*V4</f>
        <v>1.88924824099078</v>
      </c>
      <c r="CK4">
        <f>CJ4/2*1.2</f>
        <v>1.133548944594468</v>
      </c>
      <c r="CL4">
        <f>'eLLE Bals'!CB4*'Oxidant Feed Composition'!$N$20</f>
        <v>6.2974941366359366E-2</v>
      </c>
      <c r="CM4">
        <f>'eLLE Bals'!CB4*'Oxidant Feed Composition'!$N$21</f>
        <v>3.148747068317967</v>
      </c>
      <c r="CN4">
        <f>'eLLE Bals'!CB4*'Oxidant Feed Composition'!$N$22</f>
        <v>0.94462412049539002</v>
      </c>
      <c r="CO4">
        <f>CN4/CK4</f>
        <v>0.83333333333333337</v>
      </c>
      <c r="CP4">
        <f>CO4</f>
        <v>0.83333333333333337</v>
      </c>
      <c r="CQ4">
        <f>CL4/CO4</f>
        <v>7.5569929639631231E-2</v>
      </c>
      <c r="CR4">
        <f>CM4/CO4</f>
        <v>3.7784964819815601</v>
      </c>
      <c r="CS4">
        <f>BN4*BA4</f>
        <v>2.00662671419115</v>
      </c>
      <c r="CT4">
        <f>CS4/2*1.2</f>
        <v>1.2039760285146899</v>
      </c>
      <c r="CU4">
        <f>'eLLE Bals'!CC4*'Oxidant Feed Composition'!$N$20</f>
        <v>6.6887557139705026E-2</v>
      </c>
      <c r="CV4">
        <f>'eLLE Bals'!CC4*'Oxidant Feed Composition'!$N$21</f>
        <v>3.3443778569852505</v>
      </c>
      <c r="CW4">
        <f>'eLLE Bals'!CC4*'Oxidant Feed Composition'!$N$22</f>
        <v>1.003313357095575</v>
      </c>
      <c r="CX4">
        <f>CU4/CP4</f>
        <v>8.0265068567646022E-2</v>
      </c>
      <c r="CY4">
        <f>CV4/CP4</f>
        <v>4.0132534283823</v>
      </c>
      <c r="CZ4">
        <f>CJ4</f>
        <v>1.88924824099078</v>
      </c>
      <c r="DA4">
        <f>'eLLE Bals'!BQ4</f>
        <v>3.7784964819815601</v>
      </c>
      <c r="DB4">
        <f>'eLLE Bals'!BU4</f>
        <v>18.847409401006679</v>
      </c>
      <c r="DC4">
        <f>CS4</f>
        <v>2.00662671419115</v>
      </c>
      <c r="DD4">
        <f>'eLLE Bals'!BX4</f>
        <v>4.0132534283823</v>
      </c>
      <c r="DE4">
        <f>'eLLE Bals'!CA4</f>
        <v>22.541097340273136</v>
      </c>
      <c r="DF4">
        <f>2*2*(CJ4*'Reagent cost'!$C$36*122.44/1000*0.5+CK4*'Oxidant Feed Composition'!$N$26+CQ4*'Reagent cost'!$C$34+CR4*'Reagent cost'!$C$35)</f>
        <v>126.90890181645143</v>
      </c>
      <c r="DG4">
        <f>2*2*(CS4*'Reagent cost'!$C$36*122.44/1000*0.5+CT4*'Oxidant Feed Composition'!$N$26+CX4*'Reagent cost'!$C$34+CY4*'Reagent cost'!$C$35)</f>
        <v>134.79371695484673</v>
      </c>
      <c r="DH4">
        <f>(AF4+3)*2*(CZ4*'Reagent cost'!$C$38*0.5+DA4*'Reagent cost'!$C$39+DB4*'Reagent cost'!$C$36*122.44/1000)</f>
        <v>3013.1957629061867</v>
      </c>
      <c r="DI4">
        <f>3*2*(DC4*'Reagent cost'!$C$38*0.5+DD4*'Reagent cost'!$C$39+DE4*'Reagent cost'!$C$36*122.44/1000)</f>
        <v>1197.680155487586</v>
      </c>
      <c r="DJ4">
        <f>7963.6*(CB4/1000)^0.6*1.7*('CAPEX+OPEX'!$G$116/'CAPEX+OPEX'!$G$115)</f>
        <v>2965.5437179814326</v>
      </c>
      <c r="DK4">
        <f>7963.6*(CC4/1000)^0.6*1.7*('CAPEX+OPEX'!$G$116/'CAPEX+OPEX'!$G$115)</f>
        <v>6492.3078360569407</v>
      </c>
      <c r="DL4">
        <f>7963.6*(CD4/1000)^0.6*1.7*('CAPEX+OPEX'!$G$116/'CAPEX+OPEX'!$G$115)</f>
        <v>3074.7574940340096</v>
      </c>
      <c r="DM4">
        <f>7963.6*(CE4/1000)^0.6*1.7*('CAPEX+OPEX'!$G$116/'CAPEX+OPEX'!$G$115)</f>
        <v>6795.6285040922976</v>
      </c>
      <c r="DN4">
        <f>'TEA Revised Non EYZ'!CM4</f>
        <v>39625.826528698344</v>
      </c>
      <c r="DO4">
        <f>'TEA Revised Non EYZ'!CN4</f>
        <v>4586243.4239371875</v>
      </c>
      <c r="DP4">
        <f>'TEA Revised Non EYZ'!CO4</f>
        <v>11794834.586807497</v>
      </c>
      <c r="DQ4">
        <f>'TEA Revised Non EYZ'!CP4</f>
        <v>2275209.1661185985</v>
      </c>
      <c r="DR4">
        <f>'TEA Revised Non EYZ'!CQ4</f>
        <v>14083914.336508472</v>
      </c>
      <c r="DS4">
        <f>'TEA Revised Non EYZ'!CR4</f>
        <v>1662824.8986326549</v>
      </c>
      <c r="DT4">
        <f>'TEA Revised Non EYZ'!CS4</f>
        <v>461850.0978118488</v>
      </c>
      <c r="DU4">
        <f>'TEA Revised Non EYZ'!CT4</f>
        <v>1187779.4098672394</v>
      </c>
      <c r="DV4">
        <f>'TEA Revised Non EYZ'!CU4</f>
        <v>229121.19544936769</v>
      </c>
      <c r="DW4">
        <f>'TEA Revised Non EYZ'!CV4</f>
        <v>1418297.4196136401</v>
      </c>
      <c r="DX4">
        <f>'TEA Revised Non EYZ'!CW4</f>
        <v>167452.04540804314</v>
      </c>
      <c r="DY4">
        <f>'TEA Revised Non EYZ'!CX4</f>
        <v>3464500.168150139</v>
      </c>
      <c r="DZ4">
        <f>'TEA Revised Non EYZ'!CY4</f>
        <v>611733.63632254547</v>
      </c>
      <c r="EA4">
        <f>'TEA Revised Non EYZ'!CZ4</f>
        <v>1573247.7290567602</v>
      </c>
      <c r="EB4">
        <f>'TEA Revised Non EYZ'!DA4</f>
        <v>303477.56277386361</v>
      </c>
      <c r="EC4">
        <f>'TEA Revised Non EYZ'!DB4</f>
        <v>1878575.4122338442</v>
      </c>
      <c r="ED4">
        <f>'TEA Revised Non EYZ'!DC4</f>
        <v>221795.01343061589</v>
      </c>
      <c r="EE4">
        <f>'TEA Revised Non EYZ'!DD4</f>
        <v>4588829.3538176296</v>
      </c>
      <c r="EF4">
        <v>0.7</v>
      </c>
      <c r="EG4">
        <v>100</v>
      </c>
      <c r="EH4">
        <f>96485*BL4*V4/EF4/EG4/60</f>
        <v>43.40098012666558</v>
      </c>
      <c r="EI4">
        <f>96485*BN4*BA4/EF4/EG4/60</f>
        <v>46.097471075888841</v>
      </c>
      <c r="EJ4">
        <f>EH4*('CAPEX+OPEX'!$O$25+'CAPEX+OPEX'!$O$26)</f>
        <v>1383276.0385970853</v>
      </c>
      <c r="EK4">
        <f>EI4*('CAPEX+OPEX'!$O$25+'CAPEX+OPEX'!$O$26)</f>
        <v>1469218.598130729</v>
      </c>
      <c r="EL4">
        <f>EJ4*1.12/0.6*'CAPEX+OPEX'!$G$116/'CAPEX+OPEX'!$G$115</f>
        <v>3045497.132381544</v>
      </c>
      <c r="EM4">
        <f>EK4*1.12/0.6*'CAPEX+OPEX'!$G$116/'CAPEX+OPEX'!$G$115</f>
        <v>3234713.0309484676</v>
      </c>
      <c r="EN4">
        <f>EL4+EM4+DY4+EE4+1.15*(SUM(DF4:DM4)+SUM(CF4:CI4))</f>
        <v>14409708.368906587</v>
      </c>
      <c r="EO4">
        <f>EN4/15</f>
        <v>960647.22459377244</v>
      </c>
      <c r="EP4">
        <f>('eLLE Bals'!CB4+'eLLE Bals'!CC4)*'Oxidant Feed Composition'!$N$29*60*7200</f>
        <v>9717703.7447577212</v>
      </c>
      <c r="EQ4" s="53">
        <f>('eLLE Bals'!BR4+'eLLE Bals'!BY4)*'Reagent cost'!$C$38*60*7200*0.5</f>
        <v>261460.09820864993</v>
      </c>
      <c r="ER4">
        <f>'TEA Revised Non EYZ'!DI4</f>
        <v>504921.59999999998</v>
      </c>
      <c r="ES4">
        <f>'TEA Revised Non EYZ'!DJ4</f>
        <v>67.31803298479538</v>
      </c>
      <c r="ET4">
        <f>'TEA Revised Non EYZ'!DK4</f>
        <v>714.02037065785191</v>
      </c>
      <c r="EU4">
        <f>1.2*SUM(EP4:ET4)</f>
        <v>12581840.137644017</v>
      </c>
      <c r="EV4">
        <f>'TEA Revised Non EYZ'!DM4</f>
        <v>0.70639694042110623</v>
      </c>
      <c r="EW4">
        <f>(BS4*CO4+BT4*CP4)/1000*('Oxidant Feed Composition'!$B$11*'Oxidant Feed Composition'!$O$20+'Oxidant Feed Composition'!$D$11*'Oxidant Feed Composition'!$O$21+'Oxidant Feed Composition'!$F$11*'Oxidant Feed Composition'!$O$27-'Oxidant Feed Composition'!$J$15*18.015)</f>
        <v>2.2748898226922107</v>
      </c>
      <c r="EX4">
        <f>(CZ4*BX4+DC4*BZ4)*368.34/1000</f>
        <v>0.10555697228883405</v>
      </c>
      <c r="EY4">
        <f>'TEA Revised Non EYZ'!DP4</f>
        <v>4.999938342565946E-2</v>
      </c>
      <c r="EZ4">
        <f>SUM(EV4:EX4)-EY4</f>
        <v>3.0368443519764914</v>
      </c>
      <c r="FA4">
        <f>EZ4*0.33*60*7200</f>
        <v>432932.53081776859</v>
      </c>
      <c r="FB4">
        <f>'TEA Revised Non EYZ'!DS4</f>
        <v>1.2</v>
      </c>
      <c r="FC4">
        <v>0.5</v>
      </c>
      <c r="FD4">
        <f>'TEA Revised Non EYZ'!DT4</f>
        <v>1409.2918203168488</v>
      </c>
      <c r="FE4">
        <f>'TEA Revised Non EYZ'!DU4</f>
        <v>712.91343190810642</v>
      </c>
      <c r="FF4">
        <f>'TEA Revised Non EYZ'!DV4</f>
        <v>0.7</v>
      </c>
      <c r="FG4">
        <f>'TEA Revised Non EYZ'!DW4</f>
        <v>27520.276190787874</v>
      </c>
      <c r="FH4">
        <f>'TEA Revised Non EYZ'!DX4</f>
        <v>16610.439588917834</v>
      </c>
      <c r="FI4">
        <f>'TEA Revised Non EYZ'!DY4</f>
        <v>7032.645793695051</v>
      </c>
      <c r="FJ4">
        <f>'TEA Revised Non EYZ'!DZ4</f>
        <v>3725.3886787897172</v>
      </c>
      <c r="FK4">
        <f>'TEA Revised Non EYZ'!EA4</f>
        <v>3750.7444233040283</v>
      </c>
      <c r="FL4">
        <f>'TEA Revised Non EYZ'!EB4</f>
        <v>852.33969292763015</v>
      </c>
      <c r="FM4">
        <f>'TEA Revised Non EYZ'!EC4</f>
        <v>33528.363133012637</v>
      </c>
      <c r="FN4">
        <f>'TEA Revised Non EYZ'!ED4</f>
        <v>27237.634112669275</v>
      </c>
      <c r="FO4">
        <f>'TEA Revised Non EYZ'!EE4</f>
        <v>11532.06282996078</v>
      </c>
      <c r="FP4">
        <f>'TEA Revised Non EYZ'!EF4</f>
        <v>6112.1057643910935</v>
      </c>
      <c r="FQ4">
        <f>'TEA Revised Non EYZ'!EG4</f>
        <v>6150.4335093124173</v>
      </c>
      <c r="FR4">
        <f>'TEA Revised Non EYZ'!EH4</f>
        <v>431.1700436180227</v>
      </c>
      <c r="FS4">
        <f>'TEA Revised Non EYZ'!EI4</f>
        <v>144483.60376138636</v>
      </c>
      <c r="FT4">
        <f>EG4*EH4</f>
        <v>4340.0980126665581</v>
      </c>
      <c r="FU4">
        <f>EG4*EI4</f>
        <v>4609.7471075888843</v>
      </c>
      <c r="FV4">
        <f>FC4*(FT4+FU4)/(3.6*10^6)*3600*7200*0.07</f>
        <v>2255.3609703043717</v>
      </c>
      <c r="FW4">
        <f>('CAPEX+OPEX'!$C$39/7/100+0.03)*EL4</f>
        <v>156625.56680819369</v>
      </c>
      <c r="FX4">
        <f>('CAPEX+OPEX'!$C$39/7/100+0.03)*EM4</f>
        <v>166356.67016306403</v>
      </c>
      <c r="FY4">
        <f>SUM(FV4:FX4)</f>
        <v>325237.59794156207</v>
      </c>
      <c r="FZ4">
        <f>FY4+FA4+FS4+EU4</f>
        <v>13484493.870164733</v>
      </c>
      <c r="GA4">
        <f>FZ4+EO4</f>
        <v>14445141.094758505</v>
      </c>
      <c r="GB4">
        <f>GA4/(BK4*60*7200)</f>
        <v>0.33437826608237281</v>
      </c>
      <c r="GC4">
        <f>'TEA Revised Non EYZ'!EM4/'TEA Revised Non EYZ'!EK4*GA4</f>
        <v>1118.6234653851575</v>
      </c>
      <c r="GD4">
        <f>'TEA Revised Non EYZ'!EN4/'TEA Revised Non EYZ'!EK4*GA4</f>
        <v>2032.7776013438324</v>
      </c>
    </row>
    <row r="5" spans="1:186">
      <c r="A5">
        <f>'TEA Revised Non EYZ'!A5</f>
        <v>3</v>
      </c>
      <c r="B5">
        <f>'TEA Revised Non EYZ'!B5</f>
        <v>1.54143585092054E-3</v>
      </c>
      <c r="C5">
        <f>'TEA Revised Non EYZ'!C5</f>
        <v>1.54143585092054E-3</v>
      </c>
      <c r="D5">
        <f>'TEA Revised Non EYZ'!D5</f>
        <v>3.4254130020456501E-4</v>
      </c>
      <c r="E5">
        <f>'TEA Revised Non EYZ'!E5</f>
        <v>0</v>
      </c>
      <c r="F5">
        <f>'TEA Revised Non EYZ'!F5</f>
        <v>0</v>
      </c>
      <c r="G5">
        <f>'TEA Revised Non EYZ'!G5</f>
        <v>0</v>
      </c>
      <c r="H5">
        <f>'TEA Revised Non EYZ'!H5</f>
        <v>1.6300358850230801E-5</v>
      </c>
      <c r="I5">
        <f>'TEA Revised Non EYZ'!I5</f>
        <v>7.4474859607128495E-7</v>
      </c>
      <c r="J5">
        <f>'TEA Revised Non EYZ'!J5</f>
        <v>3.2385704147932398E-4</v>
      </c>
      <c r="K5">
        <f>'TEA Revised Non EYZ'!K5</f>
        <v>8.07271092797512E-2</v>
      </c>
      <c r="L5">
        <f>'TEA Revised Non EYZ'!L5</f>
        <v>8.15504849440159E-2</v>
      </c>
      <c r="M5">
        <f>'TEA Revised Non EYZ'!M5</f>
        <v>9.8897848995466706E-4</v>
      </c>
      <c r="N5">
        <f>'TEA Revised Non EYZ'!N5</f>
        <v>-9.8011876392689601E-17</v>
      </c>
      <c r="O5">
        <f>'TEA Revised Non EYZ'!O5</f>
        <v>1.94289029309402E-16</v>
      </c>
      <c r="P5">
        <f>'TEA Revised Non EYZ'!P5</f>
        <v>-4.3537493488870999E-18</v>
      </c>
      <c r="Q5">
        <f>'TEA Revised Non EYZ'!Q5</f>
        <v>0.18892482409907799</v>
      </c>
      <c r="R5">
        <f>'TEA Revised Non EYZ'!R5</f>
        <v>94.545399718491396</v>
      </c>
      <c r="S5">
        <f>'TEA Revised Non EYZ'!S5</f>
        <v>500</v>
      </c>
      <c r="T5">
        <f>'TEA Revised Non EYZ'!T5</f>
        <v>95</v>
      </c>
      <c r="U5">
        <f>'TEA Revised Non EYZ'!U5</f>
        <v>1</v>
      </c>
      <c r="V5">
        <f>'TEA Revised Non EYZ'!V5</f>
        <v>0.1</v>
      </c>
      <c r="W5">
        <f>'TEA Revised Non EYZ'!W5</f>
        <v>52.931106580020597</v>
      </c>
      <c r="X5" t="str">
        <f>'TEA Revised Non EYZ'!X5</f>
        <v>ddFc</v>
      </c>
      <c r="Y5">
        <f>'TEA Revised Non EYZ'!Y5</f>
        <v>1</v>
      </c>
      <c r="Z5">
        <f>'TEA Revised Non EYZ'!Z5</f>
        <v>0.28318429382522198</v>
      </c>
      <c r="AA5">
        <f>'TEA Revised Non EYZ'!AA5</f>
        <v>0.56945642916197003</v>
      </c>
      <c r="AB5">
        <f>'TEA Revised Non EYZ'!AB5</f>
        <v>3.7698628972227502E-3</v>
      </c>
      <c r="AC5">
        <f>'TEA Revised Non EYZ'!AC5</f>
        <v>1822.2107908876901</v>
      </c>
      <c r="AD5">
        <f>'TEA Revised Non EYZ'!AD5</f>
        <v>2662.6059073104898</v>
      </c>
      <c r="AE5">
        <f>'TEA Revised Non EYZ'!AE5</f>
        <v>2401.5030938442701</v>
      </c>
      <c r="AF5">
        <f>'TEA Revised Non EYZ'!AF5</f>
        <v>7</v>
      </c>
      <c r="AG5">
        <f>'TEA Revised Non EYZ'!AG5</f>
        <v>1.6455478770638001E-3</v>
      </c>
      <c r="AH5">
        <f>'TEA Revised Non EYZ'!AH5</f>
        <v>1.66233163271225E-3</v>
      </c>
      <c r="AI5">
        <f>'TEA Revised Non EYZ'!AI5</f>
        <v>2.0159416943409301E-5</v>
      </c>
      <c r="AJ5">
        <f>'TEA Revised Non EYZ'!AJ5</f>
        <v>0</v>
      </c>
      <c r="AK5">
        <f>'TEA Revised Non EYZ'!AK5</f>
        <v>0</v>
      </c>
      <c r="AL5">
        <f>'TEA Revised Non EYZ'!AL5</f>
        <v>0</v>
      </c>
      <c r="AM5">
        <f>'TEA Revised Non EYZ'!AM5</f>
        <v>1.60808949136668E-3</v>
      </c>
      <c r="AN5">
        <f>'TEA Revised Non EYZ'!AN5</f>
        <v>6.4611588564249294E-5</v>
      </c>
      <c r="AO5">
        <f>'TEA Revised Non EYZ'!AO5</f>
        <v>2.0024700455054798E-5</v>
      </c>
      <c r="AP5">
        <f>'TEA Revised Non EYZ'!AP5</f>
        <v>1.7385721005278799E-3</v>
      </c>
      <c r="AQ5">
        <f>'TEA Revised Non EYZ'!AQ5</f>
        <v>7.4155664786925493E-2</v>
      </c>
      <c r="AR5">
        <f>'TEA Revised Non EYZ'!AR5</f>
        <v>6.2526540793269999E-6</v>
      </c>
      <c r="AS5">
        <f>'TEA Revised Non EYZ'!AS5</f>
        <v>-2.20838430008141E-17</v>
      </c>
      <c r="AT5">
        <f>'TEA Revised Non EYZ'!AT5</f>
        <v>-3.7493879528893699E-15</v>
      </c>
      <c r="AU5">
        <f>'TEA Revised Non EYZ'!AU5</f>
        <v>-5.9159957409792503E-20</v>
      </c>
      <c r="AV5">
        <f>'TEA Revised Non EYZ'!AV5</f>
        <v>0.19968905250902499</v>
      </c>
      <c r="AW5">
        <f>'TEA Revised Non EYZ'!AW5</f>
        <v>99.331744123688495</v>
      </c>
      <c r="AX5">
        <f>'TEA Revised Non EYZ'!AX5</f>
        <v>500</v>
      </c>
      <c r="AY5">
        <f>'TEA Revised Non EYZ'!AY5</f>
        <v>95</v>
      </c>
      <c r="AZ5">
        <f>'TEA Revised Non EYZ'!AZ5</f>
        <v>0.92682535301965796</v>
      </c>
      <c r="BA5">
        <f>'TEA Revised Non EYZ'!BA5</f>
        <v>0.1</v>
      </c>
      <c r="BB5">
        <f>'TEA Revised Non EYZ'!BB5</f>
        <v>46.413428346442103</v>
      </c>
      <c r="BC5" t="str">
        <f>'TEA Revised Non EYZ'!BC5</f>
        <v>coeFc</v>
      </c>
      <c r="BD5">
        <f>'TEA Revised Non EYZ'!BD5</f>
        <v>1</v>
      </c>
      <c r="BE5">
        <f>'TEA Revised Non EYZ'!BE5</f>
        <v>1.8775014999999999E-2</v>
      </c>
      <c r="BF5">
        <f>'TEA Revised Non EYZ'!BF5</f>
        <v>0.10492961100000001</v>
      </c>
      <c r="BG5">
        <f>'TEA Revised Non EYZ'!BG5</f>
        <v>1.814625E-3</v>
      </c>
      <c r="BH5">
        <f>'TEA Revised Non EYZ'!BH5</f>
        <v>285.1951444</v>
      </c>
      <c r="BI5">
        <f>'TEA Revised Non EYZ'!BI5</f>
        <v>2169.8944889999998</v>
      </c>
      <c r="BJ5">
        <f>'TEA Revised Non EYZ'!BJ5</f>
        <v>866.49409060000005</v>
      </c>
      <c r="BK5">
        <f>'TEA Revised Non EYZ'!BK5</f>
        <v>100</v>
      </c>
      <c r="BL5">
        <f>'TEA Revised Non EYZ'!BL5</f>
        <v>18.892482409907799</v>
      </c>
      <c r="BM5">
        <f>'TEA Revised Non EYZ'!BM5</f>
        <v>92.6825353019658</v>
      </c>
      <c r="BN5">
        <f>'TEA Revised Non EYZ'!BN5</f>
        <v>19.968905250902498</v>
      </c>
      <c r="BO5">
        <f>'TEA Revised Non EYZ'!BO5</f>
        <v>188.92482409907799</v>
      </c>
      <c r="BP5">
        <f>'TEA Revised Non EYZ'!BP5</f>
        <v>359.44029451624499</v>
      </c>
      <c r="BQ5">
        <f>'TEA Revised Non EYZ'!BQ5</f>
        <v>18.892482409907799</v>
      </c>
      <c r="BR5">
        <f>'TEA Revised Non EYZ'!BR5</f>
        <v>35.944029451624502</v>
      </c>
      <c r="BS5">
        <f>'eLLE Bals'!CF5</f>
        <v>11.335489445944679</v>
      </c>
      <c r="BT5">
        <f>'eLLE Bals'!CG5</f>
        <v>11.981343150541498</v>
      </c>
      <c r="BU5">
        <f>BM5</f>
        <v>92.6825353019658</v>
      </c>
      <c r="BV5">
        <f>BU5*(AM5*2+AN5*2+AO5*3)</f>
        <v>0.31562817380118002</v>
      </c>
      <c r="BW5">
        <f>BN5*BA5*(AP5*2+AQ5*2+AR5*3)</f>
        <v>0.30314242269608427</v>
      </c>
      <c r="BX5">
        <f>BV5/(2*V5*BL5+BV5)</f>
        <v>7.7092956452943243E-2</v>
      </c>
      <c r="BY5">
        <f>BU5*BX5</f>
        <v>7.145170657982824</v>
      </c>
      <c r="BZ5">
        <f>BW5/(2*BN5*BA5+BW5)</f>
        <v>7.0548713424757575E-2</v>
      </c>
      <c r="CA5">
        <f>2*BN5*BA5/0.04</f>
        <v>99.844526254512502</v>
      </c>
      <c r="CB5">
        <f>(BS5+BL5)*2</f>
        <v>60.455943711704961</v>
      </c>
      <c r="CC5">
        <f>(BU5+BL5)*2</f>
        <v>223.1500354237472</v>
      </c>
      <c r="CD5">
        <f>(BT5+BN5)*2</f>
        <v>63.900496802887993</v>
      </c>
      <c r="CE5">
        <f>(CA5+BN5)*2</f>
        <v>239.62686301082999</v>
      </c>
      <c r="CF5">
        <f>'TEA Revised Non EYZ'!CB5</f>
        <v>2493.8076781078298</v>
      </c>
      <c r="CG5">
        <f>'TEA Revised Non EYZ'!CC5</f>
        <v>4744.6118876144337</v>
      </c>
      <c r="CH5">
        <f>'TEA Revised Non EYZ'!CD5</f>
        <v>3012.9816471142385</v>
      </c>
      <c r="CI5">
        <f>'TEA Revised Non EYZ'!CE5</f>
        <v>36595.613182214707</v>
      </c>
      <c r="CJ5">
        <f>BL5*V5</f>
        <v>1.88924824099078</v>
      </c>
      <c r="CK5">
        <f>CJ5/2*1.2</f>
        <v>1.133548944594468</v>
      </c>
      <c r="CL5">
        <f>'eLLE Bals'!CB5*'Oxidant Feed Composition'!$N$20</f>
        <v>6.2974941366359366E-2</v>
      </c>
      <c r="CM5">
        <f>'eLLE Bals'!CB5*'Oxidant Feed Composition'!$N$21</f>
        <v>3.148747068317967</v>
      </c>
      <c r="CN5">
        <f>'eLLE Bals'!CB5*'Oxidant Feed Composition'!$N$22</f>
        <v>0.94462412049539002</v>
      </c>
      <c r="CO5">
        <f>CN5/CK5</f>
        <v>0.83333333333333337</v>
      </c>
      <c r="CP5">
        <f>CO5</f>
        <v>0.83333333333333337</v>
      </c>
      <c r="CQ5">
        <f>CL5/CO5</f>
        <v>7.5569929639631231E-2</v>
      </c>
      <c r="CR5">
        <f>CM5/CO5</f>
        <v>3.7784964819815601</v>
      </c>
      <c r="CS5">
        <f>BN5*BA5</f>
        <v>1.99689052509025</v>
      </c>
      <c r="CT5">
        <f>CS5/2*1.2</f>
        <v>1.1981343150541499</v>
      </c>
      <c r="CU5">
        <f>'eLLE Bals'!CC5*'Oxidant Feed Composition'!$N$20</f>
        <v>6.6563017503008359E-2</v>
      </c>
      <c r="CV5">
        <f>'eLLE Bals'!CC5*'Oxidant Feed Composition'!$N$21</f>
        <v>3.3281508751504165</v>
      </c>
      <c r="CW5">
        <f>'eLLE Bals'!CC5*'Oxidant Feed Composition'!$N$22</f>
        <v>0.998445262545125</v>
      </c>
      <c r="CX5">
        <f>CU5/CP5</f>
        <v>7.9875621003610023E-2</v>
      </c>
      <c r="CY5">
        <f>CV5/CP5</f>
        <v>3.9937810501804996</v>
      </c>
      <c r="CZ5">
        <f>CJ5</f>
        <v>1.88924824099078</v>
      </c>
      <c r="DA5">
        <f>'eLLE Bals'!BQ5</f>
        <v>3.7784964819815601</v>
      </c>
      <c r="DB5">
        <f>'eLLE Bals'!BU5</f>
        <v>18.838362292714045</v>
      </c>
      <c r="DC5">
        <f>CS5</f>
        <v>1.99689052509025</v>
      </c>
      <c r="DD5">
        <f>'eLLE Bals'!BX5</f>
        <v>3.9937810501805</v>
      </c>
      <c r="DE5">
        <f>'eLLE Bals'!CA5</f>
        <v>22.314458712044793</v>
      </c>
      <c r="DF5">
        <f>2*2*(CJ5*'Reagent cost'!$C$36*122.44/1000*0.5+CK5*'Oxidant Feed Composition'!$N$26+CQ5*'Reagent cost'!$C$34+CR5*'Reagent cost'!$C$35)</f>
        <v>126.90890181645143</v>
      </c>
      <c r="DG5">
        <f>2*2*(CS5*'Reagent cost'!$C$36*122.44/1000*0.5+CT5*'Oxidant Feed Composition'!$N$26+CX5*'Reagent cost'!$C$34+CY5*'Reagent cost'!$C$35)</f>
        <v>134.13969540285387</v>
      </c>
      <c r="DH5">
        <f>(AF5+3)*2*(CZ5*'Reagent cost'!$C$38*0.5+DA5*'Reagent cost'!$C$39+DB5*'Reagent cost'!$C$36*122.44/1000)</f>
        <v>3346.4307371764471</v>
      </c>
      <c r="DI5">
        <f>3*2*(DC5*'Reagent cost'!$C$38*0.5+DD5*'Reagent cost'!$C$39+DE5*'Reagent cost'!$C$36*122.44/1000)</f>
        <v>1185.7850510647122</v>
      </c>
      <c r="DJ5">
        <f>7963.6*(CB5/1000)^0.6*1.7*('CAPEX+OPEX'!$G$116/'CAPEX+OPEX'!$G$115)</f>
        <v>2965.5437179814326</v>
      </c>
      <c r="DK5">
        <f>7963.6*(CC5/1000)^0.6*1.7*('CAPEX+OPEX'!$G$116/'CAPEX+OPEX'!$G$115)</f>
        <v>6492.3078360569407</v>
      </c>
      <c r="DL5">
        <f>7963.6*(CD5/1000)^0.6*1.7*('CAPEX+OPEX'!$G$116/'CAPEX+OPEX'!$G$115)</f>
        <v>3065.7975205909352</v>
      </c>
      <c r="DM5">
        <f>7963.6*(CE5/1000)^0.6*1.7*('CAPEX+OPEX'!$G$116/'CAPEX+OPEX'!$G$115)</f>
        <v>6775.8257550807739</v>
      </c>
      <c r="DN5">
        <f>'TEA Revised Non EYZ'!CM5</f>
        <v>39625.826528698344</v>
      </c>
      <c r="DO5">
        <f>'TEA Revised Non EYZ'!CN5</f>
        <v>4586243.4239371875</v>
      </c>
      <c r="DP5">
        <f>'TEA Revised Non EYZ'!CO5</f>
        <v>11794834.586807497</v>
      </c>
      <c r="DQ5">
        <f>'TEA Revised Non EYZ'!CP5</f>
        <v>2275209.1661185985</v>
      </c>
      <c r="DR5">
        <f>'TEA Revised Non EYZ'!CQ5</f>
        <v>14083914.336508472</v>
      </c>
      <c r="DS5">
        <f>'TEA Revised Non EYZ'!CR5</f>
        <v>1662824.8986326549</v>
      </c>
      <c r="DT5">
        <f>'TEA Revised Non EYZ'!CS5</f>
        <v>461850.0978118488</v>
      </c>
      <c r="DU5">
        <f>'TEA Revised Non EYZ'!CT5</f>
        <v>1187779.4098672394</v>
      </c>
      <c r="DV5">
        <f>'TEA Revised Non EYZ'!CU5</f>
        <v>229121.19544936769</v>
      </c>
      <c r="DW5">
        <f>'TEA Revised Non EYZ'!CV5</f>
        <v>1418297.4196136401</v>
      </c>
      <c r="DX5">
        <f>'TEA Revised Non EYZ'!CW5</f>
        <v>167452.04540804314</v>
      </c>
      <c r="DY5">
        <f>'TEA Revised Non EYZ'!CX5</f>
        <v>3464500.168150139</v>
      </c>
      <c r="DZ5">
        <f>'TEA Revised Non EYZ'!CY5</f>
        <v>662761.89210079471</v>
      </c>
      <c r="EA5">
        <f>'TEA Revised Non EYZ'!CZ5</f>
        <v>1704481.4601353123</v>
      </c>
      <c r="EB5">
        <f>'TEA Revised Non EYZ'!DA5</f>
        <v>328792.38899345568</v>
      </c>
      <c r="EC5">
        <f>'TEA Revised Non EYZ'!DB5</f>
        <v>2035278.2988209969</v>
      </c>
      <c r="ED5">
        <f>'TEA Revised Non EYZ'!DC5</f>
        <v>240296.22376738113</v>
      </c>
      <c r="EE5">
        <f>'TEA Revised Non EYZ'!DD5</f>
        <v>4971610.2638179408</v>
      </c>
      <c r="EF5">
        <v>0.7</v>
      </c>
      <c r="EG5">
        <v>100</v>
      </c>
      <c r="EH5">
        <f>96485*BL5*V5/EF5/EG5/60</f>
        <v>43.40098012666558</v>
      </c>
      <c r="EI5">
        <f>96485*BN5*BA5/EF5/EG5/60</f>
        <v>45.873805312698281</v>
      </c>
      <c r="EJ5">
        <f>EH5*('CAPEX+OPEX'!$O$25+'CAPEX+OPEX'!$O$26)</f>
        <v>1383276.0385970853</v>
      </c>
      <c r="EK5">
        <f>EI5*('CAPEX+OPEX'!$O$25+'CAPEX+OPEX'!$O$26)</f>
        <v>1462089.9229263195</v>
      </c>
      <c r="EL5">
        <f>EJ5*1.12/0.6*'CAPEX+OPEX'!$G$116/'CAPEX+OPEX'!$G$115</f>
        <v>3045497.132381544</v>
      </c>
      <c r="EM5">
        <f>EK5*1.12/0.6*'CAPEX+OPEX'!$G$116/'CAPEX+OPEX'!$G$115</f>
        <v>3219018.1448325147</v>
      </c>
      <c r="EN5">
        <f>EL5+EM5+DY5+EE5+1.15*(SUM(DF5:DM5)+SUM(CF5:CI5))</f>
        <v>14782206.425833894</v>
      </c>
      <c r="EO5">
        <f>EN5/15</f>
        <v>985480.42838892632</v>
      </c>
      <c r="EP5">
        <f>('eLLE Bals'!CB5+'eLLE Bals'!CC5)*'Oxidant Feed Composition'!$N$29*60*7200</f>
        <v>9693418.211373331</v>
      </c>
      <c r="EQ5" s="53">
        <f>('eLLE Bals'!BR5+'eLLE Bals'!BY5)*'Reagent cost'!$C$38*60*7200*0.5</f>
        <v>261415.35721344867</v>
      </c>
      <c r="ER5">
        <f>'TEA Revised Non EYZ'!DI5</f>
        <v>504921.59999999998</v>
      </c>
      <c r="ES5">
        <f>'TEA Revised Non EYZ'!DJ5</f>
        <v>72.384195657222634</v>
      </c>
      <c r="ET5">
        <f>'TEA Revised Non EYZ'!DK5</f>
        <v>792.17189658657901</v>
      </c>
      <c r="EU5">
        <f>1.2*SUM(EP5:ET5)</f>
        <v>12552743.669614827</v>
      </c>
      <c r="EV5">
        <f>'TEA Revised Non EYZ'!DM5</f>
        <v>0.70639694042110623</v>
      </c>
      <c r="EW5">
        <f>(BS5*CO5+BT5*CP5)/1000*('Oxidant Feed Composition'!$B$11*'Oxidant Feed Composition'!$O$20+'Oxidant Feed Composition'!$D$11*'Oxidant Feed Composition'!$O$21+'Oxidant Feed Composition'!$F$11*'Oxidant Feed Composition'!$O$27-'Oxidant Feed Composition'!$J$15*18.015)</f>
        <v>2.2692046408647024</v>
      </c>
      <c r="EX5">
        <f>(CZ5*BX5+DC5*BZ5)*368.34/1000</f>
        <v>0.10553890940266906</v>
      </c>
      <c r="EY5">
        <f>'TEA Revised Non EYZ'!DP5</f>
        <v>4.999938342565946E-2</v>
      </c>
      <c r="EZ5">
        <f>SUM(EV5:EX5)-EY5</f>
        <v>3.031141107262818</v>
      </c>
      <c r="FA5">
        <f>EZ5*0.33*60*7200</f>
        <v>432119.47625138739</v>
      </c>
      <c r="FB5">
        <f>'TEA Revised Non EYZ'!DS5</f>
        <v>1.2</v>
      </c>
      <c r="FC5">
        <v>0.5</v>
      </c>
      <c r="FD5">
        <f>'TEA Revised Non EYZ'!DT5</f>
        <v>1409.8567292374196</v>
      </c>
      <c r="FE5">
        <f>'TEA Revised Non EYZ'!DU5</f>
        <v>712.34852298928593</v>
      </c>
      <c r="FF5">
        <f>'TEA Revised Non EYZ'!DV5</f>
        <v>0.7</v>
      </c>
      <c r="FG5">
        <f>'TEA Revised Non EYZ'!DW5</f>
        <v>27520.276190787874</v>
      </c>
      <c r="FH5">
        <f>'TEA Revised Non EYZ'!DX5</f>
        <v>16610.439588917834</v>
      </c>
      <c r="FI5">
        <f>'TEA Revised Non EYZ'!DY5</f>
        <v>7032.645793695051</v>
      </c>
      <c r="FJ5">
        <f>'TEA Revised Non EYZ'!DZ5</f>
        <v>3725.3886787897172</v>
      </c>
      <c r="FK5">
        <f>'TEA Revised Non EYZ'!EA5</f>
        <v>3750.7444233040283</v>
      </c>
      <c r="FL5">
        <f>'TEA Revised Non EYZ'!EB5</f>
        <v>852.68134984279141</v>
      </c>
      <c r="FM5">
        <f>'TEA Revised Non EYZ'!EC5</f>
        <v>36107.467989398225</v>
      </c>
      <c r="FN5">
        <f>'TEA Revised Non EYZ'!ED5</f>
        <v>31128.724700193463</v>
      </c>
      <c r="FO5">
        <f>'TEA Revised Non EYZ'!EE5</f>
        <v>13179.500377098037</v>
      </c>
      <c r="FP5">
        <f>'TEA Revised Non EYZ'!EF5</f>
        <v>6985.2637307326804</v>
      </c>
      <c r="FQ5">
        <f>'TEA Revised Non EYZ'!EG5</f>
        <v>7029.0668677856211</v>
      </c>
      <c r="FR5">
        <f>'TEA Revised Non EYZ'!EH5</f>
        <v>430.82838670392022</v>
      </c>
      <c r="FS5">
        <f>'TEA Revised Non EYZ'!EI5</f>
        <v>154353.02807724921</v>
      </c>
      <c r="FT5">
        <f>EG5*EH5</f>
        <v>4340.0980126665581</v>
      </c>
      <c r="FU5">
        <f>EG5*EI5</f>
        <v>4587.3805312698278</v>
      </c>
      <c r="FV5">
        <f>FC5*(FT5+FU5)/(3.6*10^6)*3600*7200*0.07</f>
        <v>2249.7245930719696</v>
      </c>
      <c r="FW5">
        <f>('CAPEX+OPEX'!$C$39/7/100+0.03)*EL5</f>
        <v>156625.56680819369</v>
      </c>
      <c r="FX5">
        <f>('CAPEX+OPEX'!$C$39/7/100+0.03)*EM5</f>
        <v>165549.50459138647</v>
      </c>
      <c r="FY5">
        <f>SUM(FV5:FX5)</f>
        <v>324424.79599265213</v>
      </c>
      <c r="FZ5">
        <f>FY5+FA5+FS5+EU5</f>
        <v>13463640.969936116</v>
      </c>
      <c r="GA5">
        <f>FZ5+EO5</f>
        <v>14449121.398325043</v>
      </c>
      <c r="GB5">
        <f>GA5/(BK5*60*7200)</f>
        <v>0.33447040273900563</v>
      </c>
      <c r="GC5">
        <f>'TEA Revised Non EYZ'!EM5/'TEA Revised Non EYZ'!EK5*GA5</f>
        <v>1118.4823051686058</v>
      </c>
      <c r="GD5">
        <f>'TEA Revised Non EYZ'!EN5/'TEA Revised Non EYZ'!EK5*GA5</f>
        <v>2034.8234199553372</v>
      </c>
    </row>
    <row r="6" spans="1:186">
      <c r="A6">
        <f>'TEA Revised Non EYZ'!A6</f>
        <v>3</v>
      </c>
      <c r="B6">
        <f>'TEA Revised Non EYZ'!B6</f>
        <v>1.54143585092054E-3</v>
      </c>
      <c r="C6">
        <f>'TEA Revised Non EYZ'!C6</f>
        <v>1.54143585092054E-3</v>
      </c>
      <c r="D6">
        <f>'TEA Revised Non EYZ'!D6</f>
        <v>3.4254130020456501E-4</v>
      </c>
      <c r="E6">
        <f>'TEA Revised Non EYZ'!E6</f>
        <v>0</v>
      </c>
      <c r="F6">
        <f>'TEA Revised Non EYZ'!F6</f>
        <v>0</v>
      </c>
      <c r="G6">
        <f>'TEA Revised Non EYZ'!G6</f>
        <v>0</v>
      </c>
      <c r="H6">
        <f>'TEA Revised Non EYZ'!H6</f>
        <v>1.6300358850230801E-5</v>
      </c>
      <c r="I6">
        <f>'TEA Revised Non EYZ'!I6</f>
        <v>7.4474859607128495E-7</v>
      </c>
      <c r="J6">
        <f>'TEA Revised Non EYZ'!J6</f>
        <v>3.2385704147932398E-4</v>
      </c>
      <c r="K6">
        <f>'TEA Revised Non EYZ'!K6</f>
        <v>8.07271092797512E-2</v>
      </c>
      <c r="L6">
        <f>'TEA Revised Non EYZ'!L6</f>
        <v>8.15504849440159E-2</v>
      </c>
      <c r="M6">
        <f>'TEA Revised Non EYZ'!M6</f>
        <v>9.8897848995466706E-4</v>
      </c>
      <c r="N6">
        <f>'TEA Revised Non EYZ'!N6</f>
        <v>-9.8011876392689601E-17</v>
      </c>
      <c r="O6">
        <f>'TEA Revised Non EYZ'!O6</f>
        <v>1.94289029309402E-16</v>
      </c>
      <c r="P6">
        <f>'TEA Revised Non EYZ'!P6</f>
        <v>-4.3537493488870999E-18</v>
      </c>
      <c r="Q6">
        <f>'TEA Revised Non EYZ'!Q6</f>
        <v>0.18892482409907799</v>
      </c>
      <c r="R6">
        <f>'TEA Revised Non EYZ'!R6</f>
        <v>94.545399718491396</v>
      </c>
      <c r="S6">
        <f>'TEA Revised Non EYZ'!S6</f>
        <v>500</v>
      </c>
      <c r="T6">
        <f>'TEA Revised Non EYZ'!T6</f>
        <v>95</v>
      </c>
      <c r="U6">
        <f>'TEA Revised Non EYZ'!U6</f>
        <v>1</v>
      </c>
      <c r="V6">
        <f>'TEA Revised Non EYZ'!V6</f>
        <v>0.1</v>
      </c>
      <c r="W6">
        <f>'TEA Revised Non EYZ'!W6</f>
        <v>52.931106580020597</v>
      </c>
      <c r="X6" t="str">
        <f>'TEA Revised Non EYZ'!X6</f>
        <v>ddFc</v>
      </c>
      <c r="Y6">
        <f>'TEA Revised Non EYZ'!Y6</f>
        <v>1</v>
      </c>
      <c r="Z6">
        <f>'TEA Revised Non EYZ'!Z6</f>
        <v>0.28318429382522198</v>
      </c>
      <c r="AA6">
        <f>'TEA Revised Non EYZ'!AA6</f>
        <v>0.56945642916197003</v>
      </c>
      <c r="AB6">
        <f>'TEA Revised Non EYZ'!AB6</f>
        <v>3.7698628972227502E-3</v>
      </c>
      <c r="AC6">
        <f>'TEA Revised Non EYZ'!AC6</f>
        <v>1822.2107908876901</v>
      </c>
      <c r="AD6">
        <f>'TEA Revised Non EYZ'!AD6</f>
        <v>2662.6059073104898</v>
      </c>
      <c r="AE6">
        <f>'TEA Revised Non EYZ'!AE6</f>
        <v>2401.5030938442701</v>
      </c>
      <c r="AF6">
        <f>'TEA Revised Non EYZ'!AF6</f>
        <v>8</v>
      </c>
      <c r="AG6">
        <f>'TEA Revised Non EYZ'!AG6</f>
        <v>1.6455478770638001E-3</v>
      </c>
      <c r="AH6">
        <f>'TEA Revised Non EYZ'!AH6</f>
        <v>1.66233163271225E-3</v>
      </c>
      <c r="AI6">
        <f>'TEA Revised Non EYZ'!AI6</f>
        <v>2.0159416943409301E-5</v>
      </c>
      <c r="AJ6">
        <f>'TEA Revised Non EYZ'!AJ6</f>
        <v>0</v>
      </c>
      <c r="AK6">
        <f>'TEA Revised Non EYZ'!AK6</f>
        <v>0</v>
      </c>
      <c r="AL6">
        <f>'TEA Revised Non EYZ'!AL6</f>
        <v>0</v>
      </c>
      <c r="AM6">
        <f>'TEA Revised Non EYZ'!AM6</f>
        <v>1.60827767677345E-3</v>
      </c>
      <c r="AN6">
        <f>'TEA Revised Non EYZ'!AN6</f>
        <v>6.4620843878105105E-5</v>
      </c>
      <c r="AO6">
        <f>'TEA Revised Non EYZ'!AO6</f>
        <v>2.0025349636286901E-5</v>
      </c>
      <c r="AP6">
        <f>'TEA Revised Non EYZ'!AP6</f>
        <v>1.7322991543913E-3</v>
      </c>
      <c r="AQ6">
        <f>'TEA Revised Non EYZ'!AQ6</f>
        <v>7.4260750598247896E-2</v>
      </c>
      <c r="AR6">
        <f>'TEA Revised Non EYZ'!AR6</f>
        <v>6.23137737256415E-6</v>
      </c>
      <c r="AS6">
        <f>'TEA Revised Non EYZ'!AS6</f>
        <v>8.2236734783025499E-17</v>
      </c>
      <c r="AT6">
        <f>'TEA Revised Non EYZ'!AT6</f>
        <v>-2.2797735921287199E-14</v>
      </c>
      <c r="AU6">
        <f>'TEA Revised Non EYZ'!AU6</f>
        <v>-1.82906177047725E-20</v>
      </c>
      <c r="AV6">
        <f>'TEA Revised Non EYZ'!AV6</f>
        <v>0.19940531895758401</v>
      </c>
      <c r="AW6">
        <f>'TEA Revised Non EYZ'!AW6</f>
        <v>99.334964361822799</v>
      </c>
      <c r="AX6">
        <f>'TEA Revised Non EYZ'!AX6</f>
        <v>500</v>
      </c>
      <c r="AY6">
        <f>'TEA Revised Non EYZ'!AY6</f>
        <v>95</v>
      </c>
      <c r="AZ6">
        <f>'TEA Revised Non EYZ'!AZ6</f>
        <v>0.92682535301965796</v>
      </c>
      <c r="BA6">
        <f>'TEA Revised Non EYZ'!BA6</f>
        <v>0.1</v>
      </c>
      <c r="BB6">
        <f>'TEA Revised Non EYZ'!BB6</f>
        <v>46.479469949184399</v>
      </c>
      <c r="BC6" t="str">
        <f>'TEA Revised Non EYZ'!BC6</f>
        <v>coeFc</v>
      </c>
      <c r="BD6">
        <f>'TEA Revised Non EYZ'!BD6</f>
        <v>1</v>
      </c>
      <c r="BE6">
        <f>'TEA Revised Non EYZ'!BE6</f>
        <v>1.8775014999999999E-2</v>
      </c>
      <c r="BF6">
        <f>'TEA Revised Non EYZ'!BF6</f>
        <v>0.10492961100000001</v>
      </c>
      <c r="BG6">
        <f>'TEA Revised Non EYZ'!BG6</f>
        <v>1.814625E-3</v>
      </c>
      <c r="BH6">
        <f>'TEA Revised Non EYZ'!BH6</f>
        <v>285.1951444</v>
      </c>
      <c r="BI6">
        <f>'TEA Revised Non EYZ'!BI6</f>
        <v>2169.8944889999998</v>
      </c>
      <c r="BJ6">
        <f>'TEA Revised Non EYZ'!BJ6</f>
        <v>866.49409060000005</v>
      </c>
      <c r="BK6">
        <f>'TEA Revised Non EYZ'!BK6</f>
        <v>100</v>
      </c>
      <c r="BL6">
        <f>'TEA Revised Non EYZ'!BL6</f>
        <v>18.892482409907799</v>
      </c>
      <c r="BM6">
        <f>'TEA Revised Non EYZ'!BM6</f>
        <v>92.6825353019658</v>
      </c>
      <c r="BN6">
        <f>'TEA Revised Non EYZ'!BN6</f>
        <v>19.940531895758401</v>
      </c>
      <c r="BO6">
        <f>'TEA Revised Non EYZ'!BO6</f>
        <v>188.92482409907799</v>
      </c>
      <c r="BP6">
        <f>'TEA Revised Non EYZ'!BP6</f>
        <v>398.810637915168</v>
      </c>
      <c r="BQ6">
        <f>'TEA Revised Non EYZ'!BQ6</f>
        <v>18.892482409907799</v>
      </c>
      <c r="BR6">
        <f>'TEA Revised Non EYZ'!BR6</f>
        <v>39.881063791516802</v>
      </c>
      <c r="BS6">
        <f>'eLLE Bals'!CF6</f>
        <v>11.335489445944679</v>
      </c>
      <c r="BT6">
        <f>'eLLE Bals'!CG6</f>
        <v>11.964319137455041</v>
      </c>
      <c r="BU6">
        <f>BM6</f>
        <v>92.6825353019658</v>
      </c>
      <c r="BV6">
        <f>BU6*(AM6*2+AN6*2+AO6*3)</f>
        <v>0.31566495291758628</v>
      </c>
      <c r="BW6">
        <f>BN6*BA6*(AP6*2+AQ6*2+AR6*3)</f>
        <v>0.30310564358346703</v>
      </c>
      <c r="BX6">
        <f>BV6/(2*V6*BL6+BV6)</f>
        <v>7.7101247211899981E-2</v>
      </c>
      <c r="BY6">
        <f>BU6*BX6</f>
        <v>7.1459390665425122</v>
      </c>
      <c r="BZ6">
        <f>BW6/(2*BN6*BA6+BW6)</f>
        <v>7.0634040447685106E-2</v>
      </c>
      <c r="CA6">
        <f>2*BN6*BA6/0.04</f>
        <v>99.702659478792015</v>
      </c>
      <c r="CB6">
        <f>(BS6+BL6)*2</f>
        <v>60.455943711704961</v>
      </c>
      <c r="CC6">
        <f>(BU6+BL6)*2</f>
        <v>223.1500354237472</v>
      </c>
      <c r="CD6">
        <f>(BT6+BN6)*2</f>
        <v>63.80970206642688</v>
      </c>
      <c r="CE6">
        <f>(CA6+BN6)*2</f>
        <v>239.28638274910082</v>
      </c>
      <c r="CF6">
        <f>'TEA Revised Non EYZ'!CB6</f>
        <v>2493.8076781078298</v>
      </c>
      <c r="CG6">
        <f>'TEA Revised Non EYZ'!CC6</f>
        <v>5264.3004204802173</v>
      </c>
      <c r="CH6">
        <f>'TEA Revised Non EYZ'!CD6</f>
        <v>3012.9816471142385</v>
      </c>
      <c r="CI6">
        <f>'TEA Revised Non EYZ'!CE6</f>
        <v>40604.017025242465</v>
      </c>
      <c r="CJ6">
        <f>BL6*V6</f>
        <v>1.88924824099078</v>
      </c>
      <c r="CK6">
        <f>CJ6/2*1.2</f>
        <v>1.133548944594468</v>
      </c>
      <c r="CL6">
        <f>'eLLE Bals'!CB6*'Oxidant Feed Composition'!$N$20</f>
        <v>6.2974941366359366E-2</v>
      </c>
      <c r="CM6">
        <f>'eLLE Bals'!CB6*'Oxidant Feed Composition'!$N$21</f>
        <v>3.148747068317967</v>
      </c>
      <c r="CN6">
        <f>'eLLE Bals'!CB6*'Oxidant Feed Composition'!$N$22</f>
        <v>0.94462412049539002</v>
      </c>
      <c r="CO6">
        <f>CN6/CK6</f>
        <v>0.83333333333333337</v>
      </c>
      <c r="CP6">
        <f>CO6</f>
        <v>0.83333333333333337</v>
      </c>
      <c r="CQ6">
        <f>CL6/CO6</f>
        <v>7.5569929639631231E-2</v>
      </c>
      <c r="CR6">
        <f>CM6/CO6</f>
        <v>3.7784964819815601</v>
      </c>
      <c r="CS6">
        <f>BN6*BA6</f>
        <v>1.9940531895758402</v>
      </c>
      <c r="CT6">
        <f>CS6/2*1.2</f>
        <v>1.1964319137455042</v>
      </c>
      <c r="CU6">
        <f>'eLLE Bals'!CC6*'Oxidant Feed Composition'!$N$20</f>
        <v>6.6468439652528036E-2</v>
      </c>
      <c r="CV6">
        <f>'eLLE Bals'!CC6*'Oxidant Feed Composition'!$N$21</f>
        <v>3.3234219826264004</v>
      </c>
      <c r="CW6">
        <f>'eLLE Bals'!CC6*'Oxidant Feed Composition'!$N$22</f>
        <v>0.99702659478792011</v>
      </c>
      <c r="CX6">
        <f>CU6/CP6</f>
        <v>7.9762127583033637E-2</v>
      </c>
      <c r="CY6">
        <f>CV6/CP6</f>
        <v>3.9881063791516804</v>
      </c>
      <c r="CZ6">
        <f>CJ6</f>
        <v>1.88924824099078</v>
      </c>
      <c r="DA6">
        <f>'eLLE Bals'!BQ6</f>
        <v>3.7784964819815601</v>
      </c>
      <c r="DB6">
        <f>'eLLE Bals'!BU6</f>
        <v>18.835727131415286</v>
      </c>
      <c r="DC6">
        <f>CS6</f>
        <v>1.9940531895758402</v>
      </c>
      <c r="DD6">
        <f>'eLLE Bals'!BX6</f>
        <v>3.9881063791516804</v>
      </c>
      <c r="DE6">
        <f>'eLLE Bals'!CA6</f>
        <v>22.248608159372779</v>
      </c>
      <c r="DF6">
        <f>2*2*(CJ6*'Reagent cost'!$C$36*122.44/1000*0.5+CK6*'Oxidant Feed Composition'!$N$26+CQ6*'Reagent cost'!$C$34+CR6*'Reagent cost'!$C$35)</f>
        <v>126.90890181645143</v>
      </c>
      <c r="DG6">
        <f>2*2*(CS6*'Reagent cost'!$C$36*122.44/1000*0.5+CT6*'Oxidant Feed Composition'!$N$26+CX6*'Reagent cost'!$C$34+CY6*'Reagent cost'!$C$35)</f>
        <v>133.94909941530398</v>
      </c>
      <c r="DH6">
        <f>(AF6+3)*2*(CZ6*'Reagent cost'!$C$38*0.5+DA6*'Reagent cost'!$C$39+DB6*'Reagent cost'!$C$36*122.44/1000)</f>
        <v>3680.5725302695869</v>
      </c>
      <c r="DI6">
        <f>3*2*(DC6*'Reagent cost'!$C$38*0.5+DD6*'Reagent cost'!$C$39+DE6*'Reagent cost'!$C$36*122.44/1000)</f>
        <v>1182.3287727669181</v>
      </c>
      <c r="DJ6">
        <f>7963.6*(CB6/1000)^0.6*1.7*('CAPEX+OPEX'!$G$116/'CAPEX+OPEX'!$G$115)</f>
        <v>2965.5437179814326</v>
      </c>
      <c r="DK6">
        <f>7963.6*(CC6/1000)^0.6*1.7*('CAPEX+OPEX'!$G$116/'CAPEX+OPEX'!$G$115)</f>
        <v>6492.3078360569407</v>
      </c>
      <c r="DL6">
        <f>7963.6*(CD6/1000)^0.6*1.7*('CAPEX+OPEX'!$G$116/'CAPEX+OPEX'!$G$115)</f>
        <v>3063.1831049267225</v>
      </c>
      <c r="DM6">
        <f>7963.6*(CE6/1000)^0.6*1.7*('CAPEX+OPEX'!$G$116/'CAPEX+OPEX'!$G$115)</f>
        <v>6770.047544069419</v>
      </c>
      <c r="DN6">
        <f>'TEA Revised Non EYZ'!CM6</f>
        <v>39625.826528698344</v>
      </c>
      <c r="DO6">
        <f>'TEA Revised Non EYZ'!CN6</f>
        <v>4586243.4239371875</v>
      </c>
      <c r="DP6">
        <f>'TEA Revised Non EYZ'!CO6</f>
        <v>11794834.586807497</v>
      </c>
      <c r="DQ6">
        <f>'TEA Revised Non EYZ'!CP6</f>
        <v>2275209.1661185985</v>
      </c>
      <c r="DR6">
        <f>'TEA Revised Non EYZ'!CQ6</f>
        <v>14083914.336508472</v>
      </c>
      <c r="DS6">
        <f>'TEA Revised Non EYZ'!CR6</f>
        <v>1662824.8986326549</v>
      </c>
      <c r="DT6">
        <f>'TEA Revised Non EYZ'!CS6</f>
        <v>461850.0978118488</v>
      </c>
      <c r="DU6">
        <f>'TEA Revised Non EYZ'!CT6</f>
        <v>1187779.4098672394</v>
      </c>
      <c r="DV6">
        <f>'TEA Revised Non EYZ'!CU6</f>
        <v>229121.19544936769</v>
      </c>
      <c r="DW6">
        <f>'TEA Revised Non EYZ'!CV6</f>
        <v>1418297.4196136401</v>
      </c>
      <c r="DX6">
        <f>'TEA Revised Non EYZ'!CW6</f>
        <v>167452.04540804314</v>
      </c>
      <c r="DY6">
        <f>'TEA Revised Non EYZ'!CX6</f>
        <v>3464500.168150139</v>
      </c>
      <c r="DZ6">
        <f>'TEA Revised Non EYZ'!CY6</f>
        <v>711293.83179829107</v>
      </c>
      <c r="EA6">
        <f>'TEA Revised Non EYZ'!CZ6</f>
        <v>1829295.2015780793</v>
      </c>
      <c r="EB6">
        <f>'TEA Revised Non EYZ'!DA6</f>
        <v>352868.80706427526</v>
      </c>
      <c r="EC6">
        <f>'TEA Revised Non EYZ'!DB6</f>
        <v>2184315.2377930121</v>
      </c>
      <c r="ED6">
        <f>'TEA Revised Non EYZ'!DC6</f>
        <v>257892.34988810416</v>
      </c>
      <c r="EE6">
        <f>'TEA Revised Non EYZ'!DD6</f>
        <v>5335665.4281217614</v>
      </c>
      <c r="EF6">
        <v>0.7</v>
      </c>
      <c r="EG6">
        <v>100</v>
      </c>
      <c r="EH6">
        <f>96485*BL6*V6/EF6/EG6/60</f>
        <v>43.40098012666558</v>
      </c>
      <c r="EI6">
        <f>96485*BN6*BA6/EF6/EG6/60</f>
        <v>45.808624284815465</v>
      </c>
      <c r="EJ6">
        <f>EH6*('CAPEX+OPEX'!$O$25+'CAPEX+OPEX'!$O$26)</f>
        <v>1383276.0385970853</v>
      </c>
      <c r="EK6">
        <f>EI6*('CAPEX+OPEX'!$O$25+'CAPEX+OPEX'!$O$26)</f>
        <v>1460012.4732056386</v>
      </c>
      <c r="EL6">
        <f>EJ6*1.12/0.6*'CAPEX+OPEX'!$G$116/'CAPEX+OPEX'!$G$115</f>
        <v>3045497.132381544</v>
      </c>
      <c r="EM6">
        <f>EK6*1.12/0.6*'CAPEX+OPEX'!$G$116/'CAPEX+OPEX'!$G$115</f>
        <v>3214444.3164783292</v>
      </c>
      <c r="EN6">
        <f>EL6+EM6+DY6+EE6+1.15*(SUM(DF6:DM6)+SUM(CF6:CI6))</f>
        <v>15147265.485651758</v>
      </c>
      <c r="EO6">
        <f>EN6/15</f>
        <v>1009817.6990434505</v>
      </c>
      <c r="EP6">
        <f>('eLLE Bals'!CB6+'eLLE Bals'!CC6)*'Oxidant Feed Composition'!$N$29*60*7200</f>
        <v>9686340.8831041474</v>
      </c>
      <c r="EQ6" s="53">
        <f>('eLLE Bals'!BR6+'eLLE Bals'!BY6)*'Reagent cost'!$C$38*60*7200*0.5</f>
        <v>261402.25528238466</v>
      </c>
      <c r="ER6">
        <f>'TEA Revised Non EYZ'!DI6</f>
        <v>504921.59999999998</v>
      </c>
      <c r="ES6">
        <f>'TEA Revised Non EYZ'!DJ6</f>
        <v>77.581080985880476</v>
      </c>
      <c r="ET6">
        <f>'TEA Revised Non EYZ'!DK6</f>
        <v>872.33997344713407</v>
      </c>
      <c r="EU6">
        <f>1.2*SUM(EP6:ET6)</f>
        <v>12544337.591329159</v>
      </c>
      <c r="EV6">
        <f>'TEA Revised Non EYZ'!DM6</f>
        <v>0.70639694042110623</v>
      </c>
      <c r="EW6">
        <f>(BS6*CO6+BT6*CP6)/1000*('Oxidant Feed Composition'!$B$11*'Oxidant Feed Composition'!$O$20+'Oxidant Feed Composition'!$D$11*'Oxidant Feed Composition'!$O$21+'Oxidant Feed Composition'!$F$11*'Oxidant Feed Composition'!$O$27-'Oxidant Feed Composition'!$J$15*18.015)</f>
        <v>2.2675478562503226</v>
      </c>
      <c r="EX6">
        <f>(CZ6*BX6+DC6*BZ6)*368.34/1000</f>
        <v>0.10553361987595447</v>
      </c>
      <c r="EY6">
        <f>'TEA Revised Non EYZ'!DP6</f>
        <v>4.999938342565946E-2</v>
      </c>
      <c r="EZ6">
        <f>SUM(EV6:EX6)-EY6</f>
        <v>3.0294790331217238</v>
      </c>
      <c r="FA6">
        <f>EZ6*0.33*60*7200</f>
        <v>431882.53096183302</v>
      </c>
      <c r="FB6">
        <f>'TEA Revised Non EYZ'!DS6</f>
        <v>1.2</v>
      </c>
      <c r="FC6">
        <v>0.5</v>
      </c>
      <c r="FD6">
        <f>'TEA Revised Non EYZ'!DT6</f>
        <v>1410.0213558902396</v>
      </c>
      <c r="FE6">
        <f>'TEA Revised Non EYZ'!DU6</f>
        <v>712.18389634512152</v>
      </c>
      <c r="FF6">
        <f>'TEA Revised Non EYZ'!DV6</f>
        <v>0.7</v>
      </c>
      <c r="FG6">
        <f>'TEA Revised Non EYZ'!DW6</f>
        <v>27520.276190787874</v>
      </c>
      <c r="FH6">
        <f>'TEA Revised Non EYZ'!DX6</f>
        <v>16610.439588917834</v>
      </c>
      <c r="FI6">
        <f>'TEA Revised Non EYZ'!DY6</f>
        <v>7032.645793695051</v>
      </c>
      <c r="FJ6">
        <f>'TEA Revised Non EYZ'!DZ6</f>
        <v>3725.3886787897172</v>
      </c>
      <c r="FK6">
        <f>'TEA Revised Non EYZ'!EA6</f>
        <v>3750.7444233040283</v>
      </c>
      <c r="FL6">
        <f>'TEA Revised Non EYZ'!EB6</f>
        <v>852.78091604241706</v>
      </c>
      <c r="FM6">
        <f>'TEA Revised Non EYZ'!EC6</f>
        <v>38686.572845783812</v>
      </c>
      <c r="FN6">
        <f>'TEA Revised Non EYZ'!ED6</f>
        <v>35019.81528771764</v>
      </c>
      <c r="FO6">
        <f>'TEA Revised Non EYZ'!EE6</f>
        <v>14826.93792423529</v>
      </c>
      <c r="FP6">
        <f>'TEA Revised Non EYZ'!EF6</f>
        <v>7858.4216970742636</v>
      </c>
      <c r="FQ6">
        <f>'TEA Revised Non EYZ'!EG6</f>
        <v>7907.700226258823</v>
      </c>
      <c r="FR6">
        <f>'TEA Revised Non EYZ'!EH6</f>
        <v>430.72882050952956</v>
      </c>
      <c r="FS6">
        <f>'TEA Revised Non EYZ'!EI6</f>
        <v>164222.45239311631</v>
      </c>
      <c r="FT6">
        <f>EG6*EH6</f>
        <v>4340.0980126665581</v>
      </c>
      <c r="FU6">
        <f>EG6*EI6</f>
        <v>4580.8624284815469</v>
      </c>
      <c r="FV6">
        <f>FC6*(FT6+FU6)/(3.6*10^6)*3600*7200*0.07</f>
        <v>2248.0820311693228</v>
      </c>
      <c r="FW6">
        <f>('CAPEX+OPEX'!$C$39/7/100+0.03)*EL6</f>
        <v>156625.56680819369</v>
      </c>
      <c r="FX6">
        <f>('CAPEX+OPEX'!$C$39/7/100+0.03)*EM6</f>
        <v>165314.27913317122</v>
      </c>
      <c r="FY6">
        <f>SUM(FV6:FX6)</f>
        <v>324187.92797253421</v>
      </c>
      <c r="FZ6">
        <f>FY6+FA6+FS6+EU6</f>
        <v>13464630.502656642</v>
      </c>
      <c r="GA6">
        <f>FZ6+EO6</f>
        <v>14474448.201700093</v>
      </c>
      <c r="GB6">
        <f>GA6/(BK6*60*7200)</f>
        <v>0.33505667133565031</v>
      </c>
      <c r="GC6">
        <f>'TEA Revised Non EYZ'!EM6/'TEA Revised Non EYZ'!EK6*GA6</f>
        <v>1120.3116863952591</v>
      </c>
      <c r="GD6">
        <f>'TEA Revised Non EYZ'!EN6/'TEA Revised Non EYZ'!EK6*GA6</f>
        <v>2038.824244114458</v>
      </c>
    </row>
    <row r="7" spans="1:186">
      <c r="A7">
        <f>'TEA Revised Non EYZ'!A7</f>
        <v>3</v>
      </c>
      <c r="B7">
        <f>'TEA Revised Non EYZ'!B7</f>
        <v>1.54143585092054E-3</v>
      </c>
      <c r="C7">
        <f>'TEA Revised Non EYZ'!C7</f>
        <v>1.54143585092054E-3</v>
      </c>
      <c r="D7">
        <f>'TEA Revised Non EYZ'!D7</f>
        <v>3.4254130020456501E-4</v>
      </c>
      <c r="E7">
        <f>'TEA Revised Non EYZ'!E7</f>
        <v>0</v>
      </c>
      <c r="F7">
        <f>'TEA Revised Non EYZ'!F7</f>
        <v>0</v>
      </c>
      <c r="G7">
        <f>'TEA Revised Non EYZ'!G7</f>
        <v>0</v>
      </c>
      <c r="H7">
        <f>'TEA Revised Non EYZ'!H7</f>
        <v>1.6300358850230801E-5</v>
      </c>
      <c r="I7">
        <f>'TEA Revised Non EYZ'!I7</f>
        <v>7.4474859607128495E-7</v>
      </c>
      <c r="J7">
        <f>'TEA Revised Non EYZ'!J7</f>
        <v>3.2385704147932398E-4</v>
      </c>
      <c r="K7">
        <f>'TEA Revised Non EYZ'!K7</f>
        <v>8.07271092797512E-2</v>
      </c>
      <c r="L7">
        <f>'TEA Revised Non EYZ'!L7</f>
        <v>8.15504849440159E-2</v>
      </c>
      <c r="M7">
        <f>'TEA Revised Non EYZ'!M7</f>
        <v>9.8897848995466706E-4</v>
      </c>
      <c r="N7">
        <f>'TEA Revised Non EYZ'!N7</f>
        <v>-9.8011876392689601E-17</v>
      </c>
      <c r="O7">
        <f>'TEA Revised Non EYZ'!O7</f>
        <v>1.94289029309402E-16</v>
      </c>
      <c r="P7">
        <f>'TEA Revised Non EYZ'!P7</f>
        <v>-4.3537493488870999E-18</v>
      </c>
      <c r="Q7">
        <f>'TEA Revised Non EYZ'!Q7</f>
        <v>0.18892482409907799</v>
      </c>
      <c r="R7">
        <f>'TEA Revised Non EYZ'!R7</f>
        <v>94.545399718491396</v>
      </c>
      <c r="S7">
        <f>'TEA Revised Non EYZ'!S7</f>
        <v>500</v>
      </c>
      <c r="T7">
        <f>'TEA Revised Non EYZ'!T7</f>
        <v>95</v>
      </c>
      <c r="U7">
        <f>'TEA Revised Non EYZ'!U7</f>
        <v>1</v>
      </c>
      <c r="V7">
        <f>'TEA Revised Non EYZ'!V7</f>
        <v>0.1</v>
      </c>
      <c r="W7">
        <f>'TEA Revised Non EYZ'!W7</f>
        <v>52.931106580020597</v>
      </c>
      <c r="X7" t="str">
        <f>'TEA Revised Non EYZ'!X7</f>
        <v>ddFc</v>
      </c>
      <c r="Y7">
        <f>'TEA Revised Non EYZ'!Y7</f>
        <v>1</v>
      </c>
      <c r="Z7">
        <f>'TEA Revised Non EYZ'!Z7</f>
        <v>0.28318429382522198</v>
      </c>
      <c r="AA7">
        <f>'TEA Revised Non EYZ'!AA7</f>
        <v>0.56945642916197003</v>
      </c>
      <c r="AB7">
        <f>'TEA Revised Non EYZ'!AB7</f>
        <v>3.7698628972227502E-3</v>
      </c>
      <c r="AC7">
        <f>'TEA Revised Non EYZ'!AC7</f>
        <v>1822.2107908876901</v>
      </c>
      <c r="AD7">
        <f>'TEA Revised Non EYZ'!AD7</f>
        <v>2662.6059073104898</v>
      </c>
      <c r="AE7">
        <f>'TEA Revised Non EYZ'!AE7</f>
        <v>2401.5030938442701</v>
      </c>
      <c r="AF7">
        <f>'TEA Revised Non EYZ'!AF7</f>
        <v>9</v>
      </c>
      <c r="AG7">
        <f>'TEA Revised Non EYZ'!AG7</f>
        <v>1.6455478770638001E-3</v>
      </c>
      <c r="AH7">
        <f>'TEA Revised Non EYZ'!AH7</f>
        <v>1.66233163271225E-3</v>
      </c>
      <c r="AI7">
        <f>'TEA Revised Non EYZ'!AI7</f>
        <v>2.0159416943409301E-5</v>
      </c>
      <c r="AJ7">
        <f>'TEA Revised Non EYZ'!AJ7</f>
        <v>0</v>
      </c>
      <c r="AK7">
        <f>'TEA Revised Non EYZ'!AK7</f>
        <v>0</v>
      </c>
      <c r="AL7">
        <f>'TEA Revised Non EYZ'!AL7</f>
        <v>0</v>
      </c>
      <c r="AM7">
        <f>'TEA Revised Non EYZ'!AM7</f>
        <v>1.6083318712016E-3</v>
      </c>
      <c r="AN7">
        <f>'TEA Revised Non EYZ'!AN7</f>
        <v>6.46235091896047E-5</v>
      </c>
      <c r="AO7">
        <f>'TEA Revised Non EYZ'!AO7</f>
        <v>2.0025536590245201E-5</v>
      </c>
      <c r="AP7">
        <f>'TEA Revised Non EYZ'!AP7</f>
        <v>1.7304893324093099E-3</v>
      </c>
      <c r="AQ7">
        <f>'TEA Revised Non EYZ'!AQ7</f>
        <v>7.4291069145050903E-2</v>
      </c>
      <c r="AR7">
        <f>'TEA Revised Non EYZ'!AR7</f>
        <v>6.2252387814425299E-6</v>
      </c>
      <c r="AS7">
        <f>'TEA Revised Non EYZ'!AS7</f>
        <v>2.10275590342701E-15</v>
      </c>
      <c r="AT7">
        <f>'TEA Revised Non EYZ'!AT7</f>
        <v>-3.1233609448788598E-13</v>
      </c>
      <c r="AU7">
        <f>'TEA Revised Non EYZ'!AU7</f>
        <v>8.7085574889582693E-21</v>
      </c>
      <c r="AV7">
        <f>'TEA Revised Non EYZ'!AV7</f>
        <v>0.19932360820213499</v>
      </c>
      <c r="AW7">
        <f>'TEA Revised Non EYZ'!AW7</f>
        <v>99.335891739627598</v>
      </c>
      <c r="AX7">
        <f>'TEA Revised Non EYZ'!AX7</f>
        <v>500</v>
      </c>
      <c r="AY7">
        <f>'TEA Revised Non EYZ'!AY7</f>
        <v>95</v>
      </c>
      <c r="AZ7">
        <f>'TEA Revised Non EYZ'!AZ7</f>
        <v>0.92682535301965796</v>
      </c>
      <c r="BA7">
        <f>'TEA Revised Non EYZ'!BA7</f>
        <v>0.1</v>
      </c>
      <c r="BB7">
        <f>'TEA Revised Non EYZ'!BB7</f>
        <v>46.498523751374002</v>
      </c>
      <c r="BC7" t="str">
        <f>'TEA Revised Non EYZ'!BC7</f>
        <v>coeFc</v>
      </c>
      <c r="BD7">
        <f>'TEA Revised Non EYZ'!BD7</f>
        <v>1</v>
      </c>
      <c r="BE7">
        <f>'TEA Revised Non EYZ'!BE7</f>
        <v>1.8775014999999999E-2</v>
      </c>
      <c r="BF7">
        <f>'TEA Revised Non EYZ'!BF7</f>
        <v>0.10492961100000001</v>
      </c>
      <c r="BG7">
        <f>'TEA Revised Non EYZ'!BG7</f>
        <v>1.814625E-3</v>
      </c>
      <c r="BH7">
        <f>'TEA Revised Non EYZ'!BH7</f>
        <v>285.1951444</v>
      </c>
      <c r="BI7">
        <f>'TEA Revised Non EYZ'!BI7</f>
        <v>2169.8944889999998</v>
      </c>
      <c r="BJ7">
        <f>'TEA Revised Non EYZ'!BJ7</f>
        <v>866.49409060000005</v>
      </c>
      <c r="BK7">
        <f>'TEA Revised Non EYZ'!BK7</f>
        <v>100</v>
      </c>
      <c r="BL7">
        <f>'TEA Revised Non EYZ'!BL7</f>
        <v>18.892482409907799</v>
      </c>
      <c r="BM7">
        <f>'TEA Revised Non EYZ'!BM7</f>
        <v>92.6825353019658</v>
      </c>
      <c r="BN7">
        <f>'TEA Revised Non EYZ'!BN7</f>
        <v>19.9323608202135</v>
      </c>
      <c r="BO7">
        <f>'TEA Revised Non EYZ'!BO7</f>
        <v>188.92482409907799</v>
      </c>
      <c r="BP7">
        <f>'TEA Revised Non EYZ'!BP7</f>
        <v>438.51193804469699</v>
      </c>
      <c r="BQ7">
        <f>'TEA Revised Non EYZ'!BQ7</f>
        <v>18.892482409907799</v>
      </c>
      <c r="BR7">
        <f>'TEA Revised Non EYZ'!BR7</f>
        <v>43.851193804469702</v>
      </c>
      <c r="BS7">
        <f>'eLLE Bals'!CF7</f>
        <v>11.335489445944679</v>
      </c>
      <c r="BT7">
        <f>'eLLE Bals'!CG7</f>
        <v>11.959416492128099</v>
      </c>
      <c r="BU7">
        <f>BM7</f>
        <v>92.6825353019658</v>
      </c>
      <c r="BV7">
        <f>BU7*(AM7*2+AN7*2+AO7*3)</f>
        <v>0.31567554470934156</v>
      </c>
      <c r="BW7">
        <f>BN7*BA7*(AP7*2+AQ7*2+AR7*3)</f>
        <v>0.30309505184921465</v>
      </c>
      <c r="BX7">
        <f>BV7/(2*V7*BL7+BV7)</f>
        <v>7.7103634789006434E-2</v>
      </c>
      <c r="BY7">
        <f>BU7*BX7</f>
        <v>7.1461603532419673</v>
      </c>
      <c r="BZ7">
        <f>BW7/(2*BN7*BA7+BW7)</f>
        <v>7.0658655429459954E-2</v>
      </c>
      <c r="CA7">
        <f>2*BN7*BA7/0.04</f>
        <v>99.661804101067503</v>
      </c>
      <c r="CB7">
        <f>(BS7+BL7)*2</f>
        <v>60.455943711704961</v>
      </c>
      <c r="CC7">
        <f>(BU7+BL7)*2</f>
        <v>223.1500354237472</v>
      </c>
      <c r="CD7">
        <f>(BT7+BN7)*2</f>
        <v>63.783554624683198</v>
      </c>
      <c r="CE7">
        <f>(CA7+BN7)*2</f>
        <v>239.18832984256201</v>
      </c>
      <c r="CF7">
        <f>'TEA Revised Non EYZ'!CB7</f>
        <v>2493.8076781078298</v>
      </c>
      <c r="CG7">
        <f>'TEA Revised Non EYZ'!CC7</f>
        <v>5788.3575821900004</v>
      </c>
      <c r="CH7">
        <f>'TEA Revised Non EYZ'!CD7</f>
        <v>3012.9816471142385</v>
      </c>
      <c r="CI7">
        <f>'TEA Revised Non EYZ'!CE7</f>
        <v>44646.116490820306</v>
      </c>
      <c r="CJ7">
        <f>BL7*V7</f>
        <v>1.88924824099078</v>
      </c>
      <c r="CK7">
        <f>CJ7/2*1.2</f>
        <v>1.133548944594468</v>
      </c>
      <c r="CL7">
        <f>'eLLE Bals'!CB7*'Oxidant Feed Composition'!$N$20</f>
        <v>6.2974941366359366E-2</v>
      </c>
      <c r="CM7">
        <f>'eLLE Bals'!CB7*'Oxidant Feed Composition'!$N$21</f>
        <v>3.148747068317967</v>
      </c>
      <c r="CN7">
        <f>'eLLE Bals'!CB7*'Oxidant Feed Composition'!$N$22</f>
        <v>0.94462412049539002</v>
      </c>
      <c r="CO7">
        <f>CN7/CK7</f>
        <v>0.83333333333333337</v>
      </c>
      <c r="CP7">
        <f>CO7</f>
        <v>0.83333333333333337</v>
      </c>
      <c r="CQ7">
        <f>CL7/CO7</f>
        <v>7.5569929639631231E-2</v>
      </c>
      <c r="CR7">
        <f>CM7/CO7</f>
        <v>3.7784964819815601</v>
      </c>
      <c r="CS7">
        <f>BN7*BA7</f>
        <v>1.9932360820213502</v>
      </c>
      <c r="CT7">
        <f>CS7/2*1.2</f>
        <v>1.1959416492128101</v>
      </c>
      <c r="CU7">
        <f>'eLLE Bals'!CC7*'Oxidant Feed Composition'!$N$20</f>
        <v>6.6441202734045024E-2</v>
      </c>
      <c r="CV7">
        <f>'eLLE Bals'!CC7*'Oxidant Feed Composition'!$N$21</f>
        <v>3.3220601367022504</v>
      </c>
      <c r="CW7">
        <f>'eLLE Bals'!CC7*'Oxidant Feed Composition'!$N$22</f>
        <v>0.99661804101067508</v>
      </c>
      <c r="CX7">
        <f>CU7/CP7</f>
        <v>7.9729443280854032E-2</v>
      </c>
      <c r="CY7">
        <f>CV7/CP7</f>
        <v>3.9864721640427003</v>
      </c>
      <c r="CZ7">
        <f>CJ7</f>
        <v>1.88924824099078</v>
      </c>
      <c r="DA7">
        <f>'eLLE Bals'!BQ7</f>
        <v>3.7784964819815601</v>
      </c>
      <c r="DB7">
        <f>'eLLE Bals'!BU7</f>
        <v>18.834968362058714</v>
      </c>
      <c r="DC7">
        <f>CS7</f>
        <v>1.9932360820213502</v>
      </c>
      <c r="DD7">
        <f>'eLLE Bals'!BX7</f>
        <v>3.9864721640427003</v>
      </c>
      <c r="DE7">
        <f>'eLLE Bals'!CA7</f>
        <v>22.229660725176007</v>
      </c>
      <c r="DF7">
        <f>2*2*(CJ7*'Reagent cost'!$C$36*122.44/1000*0.5+CK7*'Oxidant Feed Composition'!$N$26+CQ7*'Reagent cost'!$C$34+CR7*'Reagent cost'!$C$35)</f>
        <v>126.90890181645143</v>
      </c>
      <c r="DG7">
        <f>2*2*(CS7*'Reagent cost'!$C$36*122.44/1000*0.5+CT7*'Oxidant Feed Composition'!$N$26+CX7*'Reagent cost'!$C$34+CY7*'Reagent cost'!$C$35)</f>
        <v>133.89421079868052</v>
      </c>
      <c r="DH7">
        <f>(AF7+3)*2*(CZ7*'Reagent cost'!$C$38*0.5+DA7*'Reagent cost'!$C$39+DB7*'Reagent cost'!$C$36*122.44/1000)</f>
        <v>4015.0125723643832</v>
      </c>
      <c r="DI7">
        <f>3*2*(DC7*'Reagent cost'!$C$38*0.5+DD7*'Reagent cost'!$C$39+DE7*'Reagent cost'!$C$36*122.44/1000)</f>
        <v>1181.3342744519696</v>
      </c>
      <c r="DJ7">
        <f>7963.6*(CB7/1000)^0.6*1.7*('CAPEX+OPEX'!$G$116/'CAPEX+OPEX'!$G$115)</f>
        <v>2965.5437179814326</v>
      </c>
      <c r="DK7">
        <f>7963.6*(CC7/1000)^0.6*1.7*('CAPEX+OPEX'!$G$116/'CAPEX+OPEX'!$G$115)</f>
        <v>6492.3078360569407</v>
      </c>
      <c r="DL7">
        <f>7963.6*(CD7/1000)^0.6*1.7*('CAPEX+OPEX'!$G$116/'CAPEX+OPEX'!$G$115)</f>
        <v>3062.4299188323866</v>
      </c>
      <c r="DM7">
        <f>7963.6*(CE7/1000)^0.6*1.7*('CAPEX+OPEX'!$G$116/'CAPEX+OPEX'!$G$115)</f>
        <v>6768.3829012800315</v>
      </c>
      <c r="DN7">
        <f>'TEA Revised Non EYZ'!CM7</f>
        <v>39625.826528698344</v>
      </c>
      <c r="DO7">
        <f>'TEA Revised Non EYZ'!CN7</f>
        <v>4586243.4239371875</v>
      </c>
      <c r="DP7">
        <f>'TEA Revised Non EYZ'!CO7</f>
        <v>11794834.586807497</v>
      </c>
      <c r="DQ7">
        <f>'TEA Revised Non EYZ'!CP7</f>
        <v>2275209.1661185985</v>
      </c>
      <c r="DR7">
        <f>'TEA Revised Non EYZ'!CQ7</f>
        <v>14083914.336508472</v>
      </c>
      <c r="DS7">
        <f>'TEA Revised Non EYZ'!CR7</f>
        <v>1662824.8986326549</v>
      </c>
      <c r="DT7">
        <f>'TEA Revised Non EYZ'!CS7</f>
        <v>461850.0978118488</v>
      </c>
      <c r="DU7">
        <f>'TEA Revised Non EYZ'!CT7</f>
        <v>1187779.4098672394</v>
      </c>
      <c r="DV7">
        <f>'TEA Revised Non EYZ'!CU7</f>
        <v>229121.19544936769</v>
      </c>
      <c r="DW7">
        <f>'TEA Revised Non EYZ'!CV7</f>
        <v>1418297.4196136401</v>
      </c>
      <c r="DX7">
        <f>'TEA Revised Non EYZ'!CW7</f>
        <v>167452.04540804314</v>
      </c>
      <c r="DY7">
        <f>'TEA Revised Non EYZ'!CX7</f>
        <v>3464500.168150139</v>
      </c>
      <c r="DZ7">
        <f>'TEA Revised Non EYZ'!CY7</f>
        <v>757710.90370651742</v>
      </c>
      <c r="EA7">
        <f>'TEA Revised Non EYZ'!CZ7</f>
        <v>1948669.9565908599</v>
      </c>
      <c r="EB7">
        <f>'TEA Revised Non EYZ'!DA7</f>
        <v>375896.05130490486</v>
      </c>
      <c r="EC7">
        <f>'TEA Revised Non EYZ'!DB7</f>
        <v>2326857.620322241</v>
      </c>
      <c r="ED7">
        <f>'TEA Revised Non EYZ'!DC7</f>
        <v>274721.69271970663</v>
      </c>
      <c r="EE7">
        <f>'TEA Revised Non EYZ'!DD7</f>
        <v>5683856.2246442297</v>
      </c>
      <c r="EF7">
        <v>0.7</v>
      </c>
      <c r="EG7">
        <v>100</v>
      </c>
      <c r="EH7">
        <f>96485*BL7*V7/EF7/EG7/60</f>
        <v>43.40098012666558</v>
      </c>
      <c r="EI7">
        <f>96485*BN7*BA7/EF7/EG7/60</f>
        <v>45.789853184245231</v>
      </c>
      <c r="EJ7">
        <f>EH7*('CAPEX+OPEX'!$O$25+'CAPEX+OPEX'!$O$26)</f>
        <v>1383276.0385970853</v>
      </c>
      <c r="EK7">
        <f>EI7*('CAPEX+OPEX'!$O$25+'CAPEX+OPEX'!$O$26)</f>
        <v>1459414.2006882641</v>
      </c>
      <c r="EL7">
        <f>EJ7*1.12/0.6*'CAPEX+OPEX'!$G$116/'CAPEX+OPEX'!$G$115</f>
        <v>3045497.132381544</v>
      </c>
      <c r="EM7">
        <f>EK7*1.12/0.6*'CAPEX+OPEX'!$G$116/'CAPEX+OPEX'!$G$115</f>
        <v>3213127.1265717549</v>
      </c>
      <c r="EN7">
        <f>EL7+EM7+DY7+EE7+1.15*(SUM(DF7:DM7)+SUM(CF7:CI7))</f>
        <v>15499770.791139252</v>
      </c>
      <c r="EO7">
        <f>EN7/15</f>
        <v>1033318.0527426169</v>
      </c>
      <c r="EP7">
        <f>('eLLE Bals'!CB7+'eLLE Bals'!CC7)*'Oxidant Feed Composition'!$N$29*60*7200</f>
        <v>9684302.7249924336</v>
      </c>
      <c r="EQ7" s="53">
        <f>('eLLE Bals'!BR7+'eLLE Bals'!BY7)*'Reagent cost'!$C$38*60*7200*0.5</f>
        <v>261398.47681345211</v>
      </c>
      <c r="ER7">
        <f>'TEA Revised Non EYZ'!DI7</f>
        <v>504921.59999999998</v>
      </c>
      <c r="ES7">
        <f>'TEA Revised Non EYZ'!DJ7</f>
        <v>82.821652602978304</v>
      </c>
      <c r="ET7">
        <f>'TEA Revised Non EYZ'!DK7</f>
        <v>953.18196275869093</v>
      </c>
      <c r="EU7">
        <f>1.2*SUM(EP7:ET7)</f>
        <v>12541990.566505495</v>
      </c>
      <c r="EV7">
        <f>'TEA Revised Non EYZ'!DM7</f>
        <v>0.70639694042110623</v>
      </c>
      <c r="EW7">
        <f>(BS7*CO7+BT7*CP7)/1000*('Oxidant Feed Composition'!$B$11*'Oxidant Feed Composition'!$O$20+'Oxidant Feed Composition'!$D$11*'Oxidant Feed Composition'!$O$21+'Oxidant Feed Composition'!$F$11*'Oxidant Feed Composition'!$O$27-'Oxidant Feed Composition'!$J$15*18.015)</f>
        <v>2.2670707286009146</v>
      </c>
      <c r="EX7">
        <f>(CZ7*BX7+DC7*BZ7)*368.34/1000</f>
        <v>0.10553209442812084</v>
      </c>
      <c r="EY7">
        <f>'TEA Revised Non EYZ'!DP7</f>
        <v>4.999938342565946E-2</v>
      </c>
      <c r="EZ7">
        <f>SUM(EV7:EX7)-EY7</f>
        <v>3.0290003800244825</v>
      </c>
      <c r="FA7">
        <f>EZ7*0.33*60*7200</f>
        <v>431814.29417629022</v>
      </c>
      <c r="FB7">
        <f>'TEA Revised Non EYZ'!DS7</f>
        <v>1.2</v>
      </c>
      <c r="FC7">
        <v>0.5</v>
      </c>
      <c r="FD7">
        <f>'TEA Revised Non EYZ'!DT7</f>
        <v>1410.0687657379119</v>
      </c>
      <c r="FE7">
        <f>'TEA Revised Non EYZ'!DU7</f>
        <v>712.1364866286201</v>
      </c>
      <c r="FF7">
        <f>'TEA Revised Non EYZ'!DV7</f>
        <v>0.7</v>
      </c>
      <c r="FG7">
        <f>'TEA Revised Non EYZ'!DW7</f>
        <v>27520.276190787874</v>
      </c>
      <c r="FH7">
        <f>'TEA Revised Non EYZ'!DX7</f>
        <v>16610.439588917834</v>
      </c>
      <c r="FI7">
        <f>'TEA Revised Non EYZ'!DY7</f>
        <v>7032.645793695051</v>
      </c>
      <c r="FJ7">
        <f>'TEA Revised Non EYZ'!DZ7</f>
        <v>3725.3886787897172</v>
      </c>
      <c r="FK7">
        <f>'TEA Revised Non EYZ'!EA7</f>
        <v>3750.7444233040283</v>
      </c>
      <c r="FL7">
        <f>'TEA Revised Non EYZ'!EB7</f>
        <v>852.80958951828916</v>
      </c>
      <c r="FM7">
        <f>'TEA Revised Non EYZ'!EC7</f>
        <v>41265.6777021694</v>
      </c>
      <c r="FN7">
        <f>'TEA Revised Non EYZ'!ED7</f>
        <v>38910.905875241828</v>
      </c>
      <c r="FO7">
        <f>'TEA Revised Non EYZ'!EE7</f>
        <v>16474.375471372547</v>
      </c>
      <c r="FP7">
        <f>'TEA Revised Non EYZ'!EF7</f>
        <v>8731.5796634158487</v>
      </c>
      <c r="FQ7">
        <f>'TEA Revised Non EYZ'!EG7</f>
        <v>8786.3335847320268</v>
      </c>
      <c r="FR7">
        <f>'TEA Revised Non EYZ'!EH7</f>
        <v>430.7001471129895</v>
      </c>
      <c r="FS7">
        <f>'TEA Revised Non EYZ'!EI7</f>
        <v>174091.87670905743</v>
      </c>
      <c r="FT7">
        <f>EG7*EH7</f>
        <v>4340.0980126665581</v>
      </c>
      <c r="FU7">
        <f>EG7*EI7</f>
        <v>4578.985318424523</v>
      </c>
      <c r="FV7">
        <f>FC7*(FT7+FU7)/(3.6*10^6)*3600*7200*0.07</f>
        <v>2247.6089994349531</v>
      </c>
      <c r="FW7">
        <f>('CAPEX+OPEX'!$C$39/7/100+0.03)*EL7</f>
        <v>156625.56680819369</v>
      </c>
      <c r="FX7">
        <f>('CAPEX+OPEX'!$C$39/7/100+0.03)*EM7</f>
        <v>165246.53793797595</v>
      </c>
      <c r="FY7">
        <f>SUM(FV7:FX7)</f>
        <v>324119.71374560462</v>
      </c>
      <c r="FZ7">
        <f>FY7+FA7+FS7+EU7</f>
        <v>13472016.451136447</v>
      </c>
      <c r="GA7">
        <f>FZ7+EO7</f>
        <v>14505334.503879065</v>
      </c>
      <c r="GB7">
        <f>GA7/(BK7*60*7200)</f>
        <v>0.3357716320342376</v>
      </c>
      <c r="GC7">
        <f>'TEA Revised Non EYZ'!EM7/'TEA Revised Non EYZ'!EK7*GA7</f>
        <v>1122.6644269976414</v>
      </c>
      <c r="GD7">
        <f>'TEA Revised Non EYZ'!EN7/'TEA Revised Non EYZ'!EK7*GA7</f>
        <v>2043.3001131167221</v>
      </c>
    </row>
    <row r="8" spans="1:186">
      <c r="A8">
        <f>'TEA Revised Non EYZ'!A8</f>
        <v>3</v>
      </c>
      <c r="B8">
        <f>'TEA Revised Non EYZ'!B8</f>
        <v>1.54143585092054E-3</v>
      </c>
      <c r="C8">
        <f>'TEA Revised Non EYZ'!C8</f>
        <v>1.54143585092054E-3</v>
      </c>
      <c r="D8">
        <f>'TEA Revised Non EYZ'!D8</f>
        <v>3.4254130020456501E-4</v>
      </c>
      <c r="E8">
        <f>'TEA Revised Non EYZ'!E8</f>
        <v>0</v>
      </c>
      <c r="F8">
        <f>'TEA Revised Non EYZ'!F8</f>
        <v>0</v>
      </c>
      <c r="G8">
        <f>'TEA Revised Non EYZ'!G8</f>
        <v>0</v>
      </c>
      <c r="H8">
        <f>'TEA Revised Non EYZ'!H8</f>
        <v>1.6300358850230801E-5</v>
      </c>
      <c r="I8">
        <f>'TEA Revised Non EYZ'!I8</f>
        <v>7.4474859607128495E-7</v>
      </c>
      <c r="J8">
        <f>'TEA Revised Non EYZ'!J8</f>
        <v>3.2385704147932398E-4</v>
      </c>
      <c r="K8">
        <f>'TEA Revised Non EYZ'!K8</f>
        <v>8.07271092797512E-2</v>
      </c>
      <c r="L8">
        <f>'TEA Revised Non EYZ'!L8</f>
        <v>8.15504849440159E-2</v>
      </c>
      <c r="M8">
        <f>'TEA Revised Non EYZ'!M8</f>
        <v>9.8897848995466706E-4</v>
      </c>
      <c r="N8">
        <f>'TEA Revised Non EYZ'!N8</f>
        <v>-9.8011876392689601E-17</v>
      </c>
      <c r="O8">
        <f>'TEA Revised Non EYZ'!O8</f>
        <v>1.94289029309402E-16</v>
      </c>
      <c r="P8">
        <f>'TEA Revised Non EYZ'!P8</f>
        <v>-4.3537493488870999E-18</v>
      </c>
      <c r="Q8">
        <f>'TEA Revised Non EYZ'!Q8</f>
        <v>0.18892482409907799</v>
      </c>
      <c r="R8">
        <f>'TEA Revised Non EYZ'!R8</f>
        <v>94.545399718491396</v>
      </c>
      <c r="S8">
        <f>'TEA Revised Non EYZ'!S8</f>
        <v>500</v>
      </c>
      <c r="T8">
        <f>'TEA Revised Non EYZ'!T8</f>
        <v>95</v>
      </c>
      <c r="U8">
        <f>'TEA Revised Non EYZ'!U8</f>
        <v>1</v>
      </c>
      <c r="V8">
        <f>'TEA Revised Non EYZ'!V8</f>
        <v>0.1</v>
      </c>
      <c r="W8">
        <f>'TEA Revised Non EYZ'!W8</f>
        <v>52.931106580020597</v>
      </c>
      <c r="X8" t="str">
        <f>'TEA Revised Non EYZ'!X8</f>
        <v>ddFc</v>
      </c>
      <c r="Y8">
        <f>'TEA Revised Non EYZ'!Y8</f>
        <v>1</v>
      </c>
      <c r="Z8">
        <f>'TEA Revised Non EYZ'!Z8</f>
        <v>0.28318429382522198</v>
      </c>
      <c r="AA8">
        <f>'TEA Revised Non EYZ'!AA8</f>
        <v>0.56945642916197003</v>
      </c>
      <c r="AB8">
        <f>'TEA Revised Non EYZ'!AB8</f>
        <v>3.7698628972227502E-3</v>
      </c>
      <c r="AC8">
        <f>'TEA Revised Non EYZ'!AC8</f>
        <v>1822.2107908876901</v>
      </c>
      <c r="AD8">
        <f>'TEA Revised Non EYZ'!AD8</f>
        <v>2662.6059073104898</v>
      </c>
      <c r="AE8">
        <f>'TEA Revised Non EYZ'!AE8</f>
        <v>2401.5030938442701</v>
      </c>
      <c r="AF8">
        <f>'TEA Revised Non EYZ'!AF8</f>
        <v>10</v>
      </c>
      <c r="AG8">
        <f>'TEA Revised Non EYZ'!AG8</f>
        <v>1.6455478770638001E-3</v>
      </c>
      <c r="AH8">
        <f>'TEA Revised Non EYZ'!AH8</f>
        <v>1.66233163271225E-3</v>
      </c>
      <c r="AI8">
        <f>'TEA Revised Non EYZ'!AI8</f>
        <v>2.0159416943409301E-5</v>
      </c>
      <c r="AJ8">
        <f>'TEA Revised Non EYZ'!AJ8</f>
        <v>0</v>
      </c>
      <c r="AK8">
        <f>'TEA Revised Non EYZ'!AK8</f>
        <v>0</v>
      </c>
      <c r="AL8">
        <f>'TEA Revised Non EYZ'!AL8</f>
        <v>0</v>
      </c>
      <c r="AM8">
        <f>'TEA Revised Non EYZ'!AM8</f>
        <v>1.6083474060022401E-3</v>
      </c>
      <c r="AN8">
        <f>'TEA Revised Non EYZ'!AN8</f>
        <v>6.4624273291128494E-5</v>
      </c>
      <c r="AO8">
        <f>'TEA Revised Non EYZ'!AO8</f>
        <v>2.0025590180477699E-5</v>
      </c>
      <c r="AP8">
        <f>'TEA Revised Non EYZ'!AP8</f>
        <v>1.7299702748473499E-3</v>
      </c>
      <c r="AQ8">
        <f>'TEA Revised Non EYZ'!AQ8</f>
        <v>7.42997645145482E-2</v>
      </c>
      <c r="AR8">
        <f>'TEA Revised Non EYZ'!AR8</f>
        <v>6.2234782314335099E-6</v>
      </c>
      <c r="AS8">
        <f>'TEA Revised Non EYZ'!AS8</f>
        <v>1.84991995680339E-18</v>
      </c>
      <c r="AT8">
        <f>'TEA Revised Non EYZ'!AT8</f>
        <v>-4.37800837249646E-16</v>
      </c>
      <c r="AU8">
        <f>'TEA Revised Non EYZ'!AU8</f>
        <v>-4.9498487855173101E-21</v>
      </c>
      <c r="AV8">
        <f>'TEA Revised Non EYZ'!AV8</f>
        <v>0.19930018582065301</v>
      </c>
      <c r="AW8">
        <f>'TEA Revised Non EYZ'!AW8</f>
        <v>99.336157571881799</v>
      </c>
      <c r="AX8">
        <f>'TEA Revised Non EYZ'!AX8</f>
        <v>500</v>
      </c>
      <c r="AY8">
        <f>'TEA Revised Non EYZ'!AY8</f>
        <v>95</v>
      </c>
      <c r="AZ8">
        <f>'TEA Revised Non EYZ'!AZ8</f>
        <v>0.92682535301965796</v>
      </c>
      <c r="BA8">
        <f>'TEA Revised Non EYZ'!BA8</f>
        <v>0.1</v>
      </c>
      <c r="BB8">
        <f>'TEA Revised Non EYZ'!BB8</f>
        <v>46.503988403387098</v>
      </c>
      <c r="BC8" t="str">
        <f>'TEA Revised Non EYZ'!BC8</f>
        <v>coeFc</v>
      </c>
      <c r="BD8">
        <f>'TEA Revised Non EYZ'!BD8</f>
        <v>1</v>
      </c>
      <c r="BE8">
        <f>'TEA Revised Non EYZ'!BE8</f>
        <v>1.8775014999999999E-2</v>
      </c>
      <c r="BF8">
        <f>'TEA Revised Non EYZ'!BF8</f>
        <v>0.10492961100000001</v>
      </c>
      <c r="BG8">
        <f>'TEA Revised Non EYZ'!BG8</f>
        <v>1.814625E-3</v>
      </c>
      <c r="BH8">
        <f>'TEA Revised Non EYZ'!BH8</f>
        <v>285.1951444</v>
      </c>
      <c r="BI8">
        <f>'TEA Revised Non EYZ'!BI8</f>
        <v>2169.8944889999998</v>
      </c>
      <c r="BJ8">
        <f>'TEA Revised Non EYZ'!BJ8</f>
        <v>866.49409060000005</v>
      </c>
      <c r="BK8">
        <f>'TEA Revised Non EYZ'!BK8</f>
        <v>100</v>
      </c>
      <c r="BL8">
        <f>'TEA Revised Non EYZ'!BL8</f>
        <v>18.892482409907799</v>
      </c>
      <c r="BM8">
        <f>'TEA Revised Non EYZ'!BM8</f>
        <v>92.6825353019658</v>
      </c>
      <c r="BN8">
        <f>'TEA Revised Non EYZ'!BN8</f>
        <v>19.930018582065301</v>
      </c>
      <c r="BO8">
        <f>'TEA Revised Non EYZ'!BO8</f>
        <v>188.92482409907799</v>
      </c>
      <c r="BP8">
        <f>'TEA Revised Non EYZ'!BP8</f>
        <v>478.32044596956723</v>
      </c>
      <c r="BQ8">
        <f>'TEA Revised Non EYZ'!BQ8</f>
        <v>18.892482409907799</v>
      </c>
      <c r="BR8">
        <f>'TEA Revised Non EYZ'!BR8</f>
        <v>47.832044596956727</v>
      </c>
      <c r="BS8">
        <f>'eLLE Bals'!CF8</f>
        <v>11.335489445944679</v>
      </c>
      <c r="BT8">
        <f>'eLLE Bals'!CG8</f>
        <v>11.95801114923918</v>
      </c>
      <c r="BU8">
        <f>BM8</f>
        <v>92.6825353019658</v>
      </c>
      <c r="BV8">
        <f>BU8*(AM8*2+AN8*2+AO8*3)</f>
        <v>0.31567858085712774</v>
      </c>
      <c r="BW8">
        <f>BN8*BA8*(AP8*2+AQ8*2+AR8*3)</f>
        <v>0.3030920156394693</v>
      </c>
      <c r="BX8">
        <f>BV8/(2*V8*BL8+BV8)</f>
        <v>7.7104319188113238E-2</v>
      </c>
      <c r="BY8">
        <f>BU8*BX8</f>
        <v>7.1462237850863444</v>
      </c>
      <c r="BZ8">
        <f>BW8/(2*BN8*BA8+BW8)</f>
        <v>7.0665714773968408E-2</v>
      </c>
      <c r="CA8">
        <f>2*BN8*BA8/0.04</f>
        <v>99.650092910326507</v>
      </c>
      <c r="CB8">
        <f>(BS8+BL8)*2</f>
        <v>60.455943711704961</v>
      </c>
      <c r="CC8">
        <f>(BU8+BL8)*2</f>
        <v>223.1500354237472</v>
      </c>
      <c r="CD8">
        <f>(BT8+BN8)*2</f>
        <v>63.776059462608963</v>
      </c>
      <c r="CE8">
        <f>(CA8+BN8)*2</f>
        <v>239.16022298478362</v>
      </c>
      <c r="CF8">
        <f>'TEA Revised Non EYZ'!CB8</f>
        <v>2493.8076781078298</v>
      </c>
      <c r="CG8">
        <f>'TEA Revised Non EYZ'!CC8</f>
        <v>6313.8298867982885</v>
      </c>
      <c r="CH8">
        <f>'TEA Revised Non EYZ'!CD8</f>
        <v>3012.9816471142385</v>
      </c>
      <c r="CI8">
        <f>'TEA Revised Non EYZ'!CE8</f>
        <v>48699.131079349805</v>
      </c>
      <c r="CJ8">
        <f>BL8*V8</f>
        <v>1.88924824099078</v>
      </c>
      <c r="CK8">
        <f>CJ8/2*1.2</f>
        <v>1.133548944594468</v>
      </c>
      <c r="CL8">
        <f>'eLLE Bals'!CB8*'Oxidant Feed Composition'!$N$20</f>
        <v>6.2974941366359366E-2</v>
      </c>
      <c r="CM8">
        <f>'eLLE Bals'!CB8*'Oxidant Feed Composition'!$N$21</f>
        <v>3.148747068317967</v>
      </c>
      <c r="CN8">
        <f>'eLLE Bals'!CB8*'Oxidant Feed Composition'!$N$22</f>
        <v>0.94462412049539002</v>
      </c>
      <c r="CO8">
        <f>CN8/CK8</f>
        <v>0.83333333333333337</v>
      </c>
      <c r="CP8">
        <f>CO8</f>
        <v>0.83333333333333337</v>
      </c>
      <c r="CQ8">
        <f>CL8/CO8</f>
        <v>7.5569929639631231E-2</v>
      </c>
      <c r="CR8">
        <f>CM8/CO8</f>
        <v>3.7784964819815601</v>
      </c>
      <c r="CS8">
        <f>BN8*BA8</f>
        <v>1.9930018582065303</v>
      </c>
      <c r="CT8">
        <f>CS8/2*1.2</f>
        <v>1.1958011149239181</v>
      </c>
      <c r="CU8">
        <f>'eLLE Bals'!CC8*'Oxidant Feed Composition'!$N$20</f>
        <v>6.6433395273551035E-2</v>
      </c>
      <c r="CV8">
        <f>'eLLE Bals'!CC8*'Oxidant Feed Composition'!$N$21</f>
        <v>3.3216697636775505</v>
      </c>
      <c r="CW8">
        <f>'eLLE Bals'!CC8*'Oxidant Feed Composition'!$N$22</f>
        <v>0.99650092910326515</v>
      </c>
      <c r="CX8">
        <f>CU8/CP8</f>
        <v>7.972007432826124E-2</v>
      </c>
      <c r="CY8">
        <f>CV8/CP8</f>
        <v>3.9860037164130606</v>
      </c>
      <c r="CZ8">
        <f>CJ8</f>
        <v>1.88924824099078</v>
      </c>
      <c r="DA8">
        <f>'eLLE Bals'!BQ8</f>
        <v>3.7784964819815601</v>
      </c>
      <c r="DB8">
        <f>'eLLE Bals'!BU8</f>
        <v>18.834750868508316</v>
      </c>
      <c r="DC8">
        <f>CS8</f>
        <v>1.9930018582065303</v>
      </c>
      <c r="DD8">
        <f>'eLLE Bals'!BX8</f>
        <v>3.9860037164130606</v>
      </c>
      <c r="DE8">
        <f>'eLLE Bals'!CA8</f>
        <v>22.224230812097126</v>
      </c>
      <c r="DF8">
        <f>2*2*(CJ8*'Reagent cost'!$C$36*122.44/1000*0.5+CK8*'Oxidant Feed Composition'!$N$26+CQ8*'Reagent cost'!$C$34+CR8*'Reagent cost'!$C$35)</f>
        <v>126.90890181645143</v>
      </c>
      <c r="DG8">
        <f>2*2*(CS8*'Reagent cost'!$C$36*122.44/1000*0.5+CT8*'Oxidant Feed Composition'!$N$26+CX8*'Reagent cost'!$C$34+CY8*'Reagent cost'!$C$35)</f>
        <v>133.87847698113706</v>
      </c>
      <c r="DH8">
        <f>(AF8+3)*2*(CZ8*'Reagent cost'!$C$38*0.5+DA8*'Reagent cost'!$C$39+DB8*'Reagent cost'!$C$36*122.44/1000)</f>
        <v>4349.5480576838272</v>
      </c>
      <c r="DI8">
        <f>3*2*(DC8*'Reagent cost'!$C$38*0.5+DD8*'Reagent cost'!$C$39+DE8*'Reagent cost'!$C$36*122.44/1000)</f>
        <v>1181.0492725315698</v>
      </c>
      <c r="DJ8">
        <f>7963.6*(CB8/1000)^0.6*1.7*('CAPEX+OPEX'!$G$116/'CAPEX+OPEX'!$G$115)</f>
        <v>2965.5437179814326</v>
      </c>
      <c r="DK8">
        <f>7963.6*(CC8/1000)^0.6*1.7*('CAPEX+OPEX'!$G$116/'CAPEX+OPEX'!$G$115)</f>
        <v>6492.3078360569407</v>
      </c>
      <c r="DL8">
        <f>7963.6*(CD8/1000)^0.6*1.7*('CAPEX+OPEX'!$G$116/'CAPEX+OPEX'!$G$115)</f>
        <v>3062.2139953248757</v>
      </c>
      <c r="DM8">
        <f>7963.6*(CE8/1000)^0.6*1.7*('CAPEX+OPEX'!$G$116/'CAPEX+OPEX'!$G$115)</f>
        <v>6767.9056812244044</v>
      </c>
      <c r="DN8">
        <f>'TEA Revised Non EYZ'!CM8</f>
        <v>39625.826528698344</v>
      </c>
      <c r="DO8">
        <f>'TEA Revised Non EYZ'!CN8</f>
        <v>4586243.4239371875</v>
      </c>
      <c r="DP8">
        <f>'TEA Revised Non EYZ'!CO8</f>
        <v>11794834.586807497</v>
      </c>
      <c r="DQ8">
        <f>'TEA Revised Non EYZ'!CP8</f>
        <v>2275209.1661185985</v>
      </c>
      <c r="DR8">
        <f>'TEA Revised Non EYZ'!CQ8</f>
        <v>14083914.336508472</v>
      </c>
      <c r="DS8">
        <f>'TEA Revised Non EYZ'!CR8</f>
        <v>1662824.8986326549</v>
      </c>
      <c r="DT8">
        <f>'TEA Revised Non EYZ'!CS8</f>
        <v>461850.0978118488</v>
      </c>
      <c r="DU8">
        <f>'TEA Revised Non EYZ'!CT8</f>
        <v>1187779.4098672394</v>
      </c>
      <c r="DV8">
        <f>'TEA Revised Non EYZ'!CU8</f>
        <v>229121.19544936769</v>
      </c>
      <c r="DW8">
        <f>'TEA Revised Non EYZ'!CV8</f>
        <v>1418297.4196136401</v>
      </c>
      <c r="DX8">
        <f>'TEA Revised Non EYZ'!CW8</f>
        <v>167452.04540804314</v>
      </c>
      <c r="DY8">
        <f>'TEA Revised Non EYZ'!CX8</f>
        <v>3464500.168150139</v>
      </c>
      <c r="DZ8">
        <f>'TEA Revised Non EYZ'!CY8</f>
        <v>802304.35207958962</v>
      </c>
      <c r="EA8">
        <f>'TEA Revised Non EYZ'!CZ8</f>
        <v>2063354.7429392026</v>
      </c>
      <c r="EB8">
        <f>'TEA Revised Non EYZ'!DA8</f>
        <v>398018.60632623197</v>
      </c>
      <c r="EC8">
        <f>'TEA Revised Non EYZ'!DB8</f>
        <v>2463799.8296209997</v>
      </c>
      <c r="ED8">
        <f>'TEA Revised Non EYZ'!DC8</f>
        <v>290889.84809576324</v>
      </c>
      <c r="EE8">
        <f>'TEA Revised Non EYZ'!DD8</f>
        <v>6018367.3790617865</v>
      </c>
      <c r="EF8">
        <v>0.7</v>
      </c>
      <c r="EG8">
        <v>100</v>
      </c>
      <c r="EH8">
        <f>96485*BL8*V8/EF8/EG8/60</f>
        <v>43.40098012666558</v>
      </c>
      <c r="EI8">
        <f>96485*BN8*BA8/EF8/EG8/60</f>
        <v>45.7844724497755</v>
      </c>
      <c r="EJ8">
        <f>EH8*('CAPEX+OPEX'!$O$25+'CAPEX+OPEX'!$O$26)</f>
        <v>1383276.0385970853</v>
      </c>
      <c r="EK8">
        <f>EI8*('CAPEX+OPEX'!$O$25+'CAPEX+OPEX'!$O$26)</f>
        <v>1459242.7059192448</v>
      </c>
      <c r="EL8">
        <f>EJ8*1.12/0.6*'CAPEX+OPEX'!$G$116/'CAPEX+OPEX'!$G$115</f>
        <v>3045497.132381544</v>
      </c>
      <c r="EM8">
        <f>EK8*1.12/0.6*'CAPEX+OPEX'!$G$116/'CAPEX+OPEX'!$G$115</f>
        <v>3212749.5541909034</v>
      </c>
      <c r="EN8">
        <f>EL8+EM8+DY8+EE8+1.15*(SUM(DF8:DM8)+SUM(CF8:CI8))</f>
        <v>15839553.205949988</v>
      </c>
      <c r="EO8">
        <f>EN8/15</f>
        <v>1055970.2137299993</v>
      </c>
      <c r="EP8">
        <f>('eLLE Bals'!CB8+'eLLE Bals'!CC8)*'Oxidant Feed Composition'!$N$29*60*7200</f>
        <v>9683718.4871335234</v>
      </c>
      <c r="EQ8" s="53">
        <f>('eLLE Bals'!BR8+'eLLE Bals'!BY8)*'Reagent cost'!$C$38*60*7200*0.5</f>
        <v>261397.39324324334</v>
      </c>
      <c r="ER8">
        <f>'TEA Revised Non EYZ'!DI8</f>
        <v>504921.59999999998</v>
      </c>
      <c r="ES8">
        <f>'TEA Revised Non EYZ'!DJ8</f>
        <v>88.076375649061191</v>
      </c>
      <c r="ET8">
        <f>'TEA Revised Non EYZ'!DK8</f>
        <v>1034.2422545292809</v>
      </c>
      <c r="EU8">
        <f>1.2*SUM(EP8:ET8)</f>
        <v>12541391.758808333</v>
      </c>
      <c r="EV8">
        <f>'TEA Revised Non EYZ'!DM8</f>
        <v>0.70639694042110623</v>
      </c>
      <c r="EW8">
        <f>(BS8*CO8+BT8*CP8)/1000*('Oxidant Feed Composition'!$B$11*'Oxidant Feed Composition'!$O$20+'Oxidant Feed Composition'!$D$11*'Oxidant Feed Composition'!$O$21+'Oxidant Feed Composition'!$F$11*'Oxidant Feed Composition'!$O$27-'Oxidant Feed Composition'!$J$15*18.015)</f>
        <v>2.266933959998561</v>
      </c>
      <c r="EX8">
        <f>(CZ8*BX8+DC8*BZ8)*368.34/1000</f>
        <v>0.10553165696790689</v>
      </c>
      <c r="EY8">
        <f>'TEA Revised Non EYZ'!DP8</f>
        <v>4.999938342565946E-2</v>
      </c>
      <c r="EZ8">
        <f>SUM(EV8:EX8)-EY8</f>
        <v>3.0288631739619145</v>
      </c>
      <c r="FA8">
        <f>EZ8*0.33*60*7200</f>
        <v>431794.73408001056</v>
      </c>
      <c r="FB8">
        <f>'TEA Revised Non EYZ'!DS8</f>
        <v>1.2</v>
      </c>
      <c r="FC8">
        <v>0.5</v>
      </c>
      <c r="FD8">
        <f>'TEA Revised Non EYZ'!DT8</f>
        <v>1410.0823557815738</v>
      </c>
      <c r="FE8">
        <f>'TEA Revised Non EYZ'!DU8</f>
        <v>712.12289644358816</v>
      </c>
      <c r="FF8">
        <f>'TEA Revised Non EYZ'!DV8</f>
        <v>0.7</v>
      </c>
      <c r="FG8">
        <f>'TEA Revised Non EYZ'!DW8</f>
        <v>27520.276190787874</v>
      </c>
      <c r="FH8">
        <f>'TEA Revised Non EYZ'!DX8</f>
        <v>16610.439588917834</v>
      </c>
      <c r="FI8">
        <f>'TEA Revised Non EYZ'!DY8</f>
        <v>7032.645793695051</v>
      </c>
      <c r="FJ8">
        <f>'TEA Revised Non EYZ'!DZ8</f>
        <v>3725.3886787897172</v>
      </c>
      <c r="FK8">
        <f>'TEA Revised Non EYZ'!EA8</f>
        <v>3750.7444233040283</v>
      </c>
      <c r="FL8">
        <f>'TEA Revised Non EYZ'!EB8</f>
        <v>852.81780877669598</v>
      </c>
      <c r="FM8">
        <f>'TEA Revised Non EYZ'!EC8</f>
        <v>43844.782558554987</v>
      </c>
      <c r="FN8">
        <f>'TEA Revised Non EYZ'!ED8</f>
        <v>42801.996462766008</v>
      </c>
      <c r="FO8">
        <f>'TEA Revised Non EYZ'!EE8</f>
        <v>18121.813018509798</v>
      </c>
      <c r="FP8">
        <f>'TEA Revised Non EYZ'!EF8</f>
        <v>9604.7376297574338</v>
      </c>
      <c r="FQ8">
        <f>'TEA Revised Non EYZ'!EG8</f>
        <v>9664.9669432052269</v>
      </c>
      <c r="FR8">
        <f>'TEA Revised Non EYZ'!EH8</f>
        <v>430.6919277690821</v>
      </c>
      <c r="FS8">
        <f>'TEA Revised Non EYZ'!EI8</f>
        <v>183961.30102483375</v>
      </c>
      <c r="FT8">
        <f>EG8*EH8</f>
        <v>4340.0980126665581</v>
      </c>
      <c r="FU8">
        <f>EG8*EI8</f>
        <v>4578.4472449775503</v>
      </c>
      <c r="FV8">
        <f>FC8*(FT8+FU8)/(3.6*10^6)*3600*7200*0.07</f>
        <v>2247.4734049263157</v>
      </c>
      <c r="FW8">
        <f>('CAPEX+OPEX'!$C$39/7/100+0.03)*EL8</f>
        <v>156625.56680819369</v>
      </c>
      <c r="FX8">
        <f>('CAPEX+OPEX'!$C$39/7/100+0.03)*EM8</f>
        <v>165227.11992981788</v>
      </c>
      <c r="FY8">
        <f>SUM(FV8:FX8)</f>
        <v>324100.16014293791</v>
      </c>
      <c r="FZ8">
        <f>FY8+FA8+FS8+EU8</f>
        <v>13481247.954056116</v>
      </c>
      <c r="GA8">
        <f>FZ8+EO8</f>
        <v>14537218.167786116</v>
      </c>
      <c r="GB8">
        <f>GA8/(BK8*60*7200)</f>
        <v>0.33650967980986379</v>
      </c>
      <c r="GC8">
        <f>'TEA Revised Non EYZ'!EM8/'TEA Revised Non EYZ'!EK8*GA8</f>
        <v>1125.121246828548</v>
      </c>
      <c r="GD8">
        <f>'TEA Revised Non EYZ'!EN8/'TEA Revised Non EYZ'!EK8*GA8</f>
        <v>2047.8274254081812</v>
      </c>
    </row>
    <row r="9" spans="1:186">
      <c r="A9">
        <f>'TEA Revised Non EYZ'!A9</f>
        <v>3</v>
      </c>
      <c r="B9">
        <f>'TEA Revised Non EYZ'!B9</f>
        <v>1.54143585092054E-3</v>
      </c>
      <c r="C9">
        <f>'TEA Revised Non EYZ'!C9</f>
        <v>1.54143585092054E-3</v>
      </c>
      <c r="D9">
        <f>'TEA Revised Non EYZ'!D9</f>
        <v>3.4254130020456501E-4</v>
      </c>
      <c r="E9">
        <f>'TEA Revised Non EYZ'!E9</f>
        <v>0</v>
      </c>
      <c r="F9">
        <f>'TEA Revised Non EYZ'!F9</f>
        <v>0</v>
      </c>
      <c r="G9">
        <f>'TEA Revised Non EYZ'!G9</f>
        <v>0</v>
      </c>
      <c r="H9">
        <f>'TEA Revised Non EYZ'!H9</f>
        <v>1.6300358850230801E-5</v>
      </c>
      <c r="I9">
        <f>'TEA Revised Non EYZ'!I9</f>
        <v>7.4474859607128495E-7</v>
      </c>
      <c r="J9">
        <f>'TEA Revised Non EYZ'!J9</f>
        <v>3.2385704147932398E-4</v>
      </c>
      <c r="K9">
        <f>'TEA Revised Non EYZ'!K9</f>
        <v>8.07271092797512E-2</v>
      </c>
      <c r="L9">
        <f>'TEA Revised Non EYZ'!L9</f>
        <v>8.15504849440159E-2</v>
      </c>
      <c r="M9">
        <f>'TEA Revised Non EYZ'!M9</f>
        <v>9.8897848995466706E-4</v>
      </c>
      <c r="N9">
        <f>'TEA Revised Non EYZ'!N9</f>
        <v>-9.8011876392689601E-17</v>
      </c>
      <c r="O9">
        <f>'TEA Revised Non EYZ'!O9</f>
        <v>1.94289029309402E-16</v>
      </c>
      <c r="P9">
        <f>'TEA Revised Non EYZ'!P9</f>
        <v>-4.3537493488870999E-18</v>
      </c>
      <c r="Q9">
        <f>'TEA Revised Non EYZ'!Q9</f>
        <v>0.18892482409907799</v>
      </c>
      <c r="R9">
        <f>'TEA Revised Non EYZ'!R9</f>
        <v>94.545399718491396</v>
      </c>
      <c r="S9">
        <f>'TEA Revised Non EYZ'!S9</f>
        <v>500</v>
      </c>
      <c r="T9">
        <f>'TEA Revised Non EYZ'!T9</f>
        <v>95</v>
      </c>
      <c r="U9">
        <f>'TEA Revised Non EYZ'!U9</f>
        <v>1</v>
      </c>
      <c r="V9">
        <f>'TEA Revised Non EYZ'!V9</f>
        <v>0.1</v>
      </c>
      <c r="W9">
        <f>'TEA Revised Non EYZ'!W9</f>
        <v>52.931106580020597</v>
      </c>
      <c r="X9" t="str">
        <f>'TEA Revised Non EYZ'!X9</f>
        <v>ddFc</v>
      </c>
      <c r="Y9">
        <f>'TEA Revised Non EYZ'!Y9</f>
        <v>1</v>
      </c>
      <c r="Z9">
        <f>'TEA Revised Non EYZ'!Z9</f>
        <v>0.28318429382522198</v>
      </c>
      <c r="AA9">
        <f>'TEA Revised Non EYZ'!AA9</f>
        <v>0.56945642916197003</v>
      </c>
      <c r="AB9">
        <f>'TEA Revised Non EYZ'!AB9</f>
        <v>3.7698628972227502E-3</v>
      </c>
      <c r="AC9">
        <f>'TEA Revised Non EYZ'!AC9</f>
        <v>1822.2107908876901</v>
      </c>
      <c r="AD9">
        <f>'TEA Revised Non EYZ'!AD9</f>
        <v>2662.6059073104898</v>
      </c>
      <c r="AE9">
        <f>'TEA Revised Non EYZ'!AE9</f>
        <v>2401.5030938442701</v>
      </c>
      <c r="AF9">
        <f>'TEA Revised Non EYZ'!AF9</f>
        <v>11</v>
      </c>
      <c r="AG9">
        <f>'TEA Revised Non EYZ'!AG9</f>
        <v>1.6455478770638001E-3</v>
      </c>
      <c r="AH9">
        <f>'TEA Revised Non EYZ'!AH9</f>
        <v>1.66233163271225E-3</v>
      </c>
      <c r="AI9">
        <f>'TEA Revised Non EYZ'!AI9</f>
        <v>2.0159416943409301E-5</v>
      </c>
      <c r="AJ9">
        <f>'TEA Revised Non EYZ'!AJ9</f>
        <v>0</v>
      </c>
      <c r="AK9">
        <f>'TEA Revised Non EYZ'!AK9</f>
        <v>0</v>
      </c>
      <c r="AL9">
        <f>'TEA Revised Non EYZ'!AL9</f>
        <v>0</v>
      </c>
      <c r="AM9">
        <f>'TEA Revised Non EYZ'!AM9</f>
        <v>1.60835185158262E-3</v>
      </c>
      <c r="AN9">
        <f>'TEA Revised Non EYZ'!AN9</f>
        <v>6.4624491935312605E-5</v>
      </c>
      <c r="AO9">
        <f>'TEA Revised Non EYZ'!AO9</f>
        <v>2.0025605516349801E-5</v>
      </c>
      <c r="AP9">
        <f>'TEA Revised Non EYZ'!AP9</f>
        <v>1.72982171403333E-3</v>
      </c>
      <c r="AQ9">
        <f>'TEA Revised Non EYZ'!AQ9</f>
        <v>7.4302253238869895E-2</v>
      </c>
      <c r="AR9">
        <f>'TEA Revised Non EYZ'!AR9</f>
        <v>6.2229743398349396E-6</v>
      </c>
      <c r="AS9">
        <f>'TEA Revised Non EYZ'!AS9</f>
        <v>1.3552527156068801E-19</v>
      </c>
      <c r="AT9">
        <f>'TEA Revised Non EYZ'!AT9</f>
        <v>-2.168404344971E-19</v>
      </c>
      <c r="AU9">
        <f>'TEA Revised Non EYZ'!AU9</f>
        <v>2.46168950295781E-21</v>
      </c>
      <c r="AV9">
        <f>'TEA Revised Non EYZ'!AV9</f>
        <v>0.19929348306734301</v>
      </c>
      <c r="AW9">
        <f>'TEA Revised Non EYZ'!AW9</f>
        <v>99.336233644876302</v>
      </c>
      <c r="AX9">
        <f>'TEA Revised Non EYZ'!AX9</f>
        <v>500</v>
      </c>
      <c r="AY9">
        <f>'TEA Revised Non EYZ'!AY9</f>
        <v>95</v>
      </c>
      <c r="AZ9">
        <f>'TEA Revised Non EYZ'!AZ9</f>
        <v>0.92682535301965796</v>
      </c>
      <c r="BA9">
        <f>'TEA Revised Non EYZ'!BA9</f>
        <v>0.1</v>
      </c>
      <c r="BB9">
        <f>'TEA Revised Non EYZ'!BB9</f>
        <v>46.505552452333497</v>
      </c>
      <c r="BC9" t="str">
        <f>'TEA Revised Non EYZ'!BC9</f>
        <v>coeFc</v>
      </c>
      <c r="BD9">
        <f>'TEA Revised Non EYZ'!BD9</f>
        <v>1</v>
      </c>
      <c r="BE9">
        <f>'TEA Revised Non EYZ'!BE9</f>
        <v>1.8775014999999999E-2</v>
      </c>
      <c r="BF9">
        <f>'TEA Revised Non EYZ'!BF9</f>
        <v>0.10492961100000001</v>
      </c>
      <c r="BG9">
        <f>'TEA Revised Non EYZ'!BG9</f>
        <v>1.814625E-3</v>
      </c>
      <c r="BH9">
        <f>'TEA Revised Non EYZ'!BH9</f>
        <v>285.1951444</v>
      </c>
      <c r="BI9">
        <f>'TEA Revised Non EYZ'!BI9</f>
        <v>2169.8944889999998</v>
      </c>
      <c r="BJ9">
        <f>'TEA Revised Non EYZ'!BJ9</f>
        <v>866.49409060000005</v>
      </c>
      <c r="BK9">
        <f>'TEA Revised Non EYZ'!BK9</f>
        <v>100</v>
      </c>
      <c r="BL9">
        <f>'TEA Revised Non EYZ'!BL9</f>
        <v>18.892482409907799</v>
      </c>
      <c r="BM9">
        <f>'TEA Revised Non EYZ'!BM9</f>
        <v>92.6825353019658</v>
      </c>
      <c r="BN9">
        <f>'TEA Revised Non EYZ'!BN9</f>
        <v>19.929348306734301</v>
      </c>
      <c r="BO9">
        <f>'TEA Revised Non EYZ'!BO9</f>
        <v>188.92482409907799</v>
      </c>
      <c r="BP9">
        <f>'TEA Revised Non EYZ'!BP9</f>
        <v>518.16305597509188</v>
      </c>
      <c r="BQ9">
        <f>'TEA Revised Non EYZ'!BQ9</f>
        <v>18.892482409907799</v>
      </c>
      <c r="BR9">
        <f>'TEA Revised Non EYZ'!BR9</f>
        <v>51.816305597509192</v>
      </c>
      <c r="BS9">
        <f>'eLLE Bals'!CF9</f>
        <v>11.335489445944679</v>
      </c>
      <c r="BT9">
        <f>'eLLE Bals'!CG9</f>
        <v>11.957608984040581</v>
      </c>
      <c r="BU9">
        <f>BM9</f>
        <v>92.6825353019658</v>
      </c>
      <c r="BV9">
        <f>BU9*(AM9*2+AN9*2+AO9*3)</f>
        <v>0.3156794497055459</v>
      </c>
      <c r="BW9">
        <f>BN9*BA9*(AP9*2+AQ9*2+AR9*3)</f>
        <v>0.30309114679096416</v>
      </c>
      <c r="BX9">
        <f>BV9/(2*V9*BL9+BV9)</f>
        <v>7.7104515041067717E-2</v>
      </c>
      <c r="BY9">
        <f>BU9*BX9</f>
        <v>7.1462419372347119</v>
      </c>
      <c r="BZ9">
        <f>BW9/(2*BN9*BA9+BW9)</f>
        <v>7.066773522758299E-2</v>
      </c>
      <c r="CA9">
        <f>2*BN9*BA9/0.04</f>
        <v>99.646741533671516</v>
      </c>
      <c r="CB9">
        <f>(BS9+BL9)*2</f>
        <v>60.455943711704961</v>
      </c>
      <c r="CC9">
        <f>(BU9+BL9)*2</f>
        <v>223.1500354237472</v>
      </c>
      <c r="CD9">
        <f>(BT9+BN9)*2</f>
        <v>63.773914581549761</v>
      </c>
      <c r="CE9">
        <f>(CA9+BN9)*2</f>
        <v>239.15217968081163</v>
      </c>
      <c r="CF9">
        <f>'TEA Revised Non EYZ'!CB9</f>
        <v>2493.8076781078298</v>
      </c>
      <c r="CG9">
        <f>'TEA Revised Non EYZ'!CC9</f>
        <v>6839.7523388712134</v>
      </c>
      <c r="CH9">
        <f>'TEA Revised Non EYZ'!CD9</f>
        <v>3012.9816471142385</v>
      </c>
      <c r="CI9">
        <f>'TEA Revised Non EYZ'!CE9</f>
        <v>52755.617695282395</v>
      </c>
      <c r="CJ9">
        <f>BL9*V9</f>
        <v>1.88924824099078</v>
      </c>
      <c r="CK9">
        <f>CJ9/2*1.2</f>
        <v>1.133548944594468</v>
      </c>
      <c r="CL9">
        <f>'eLLE Bals'!CB9*'Oxidant Feed Composition'!$N$20</f>
        <v>6.2974941366359366E-2</v>
      </c>
      <c r="CM9">
        <f>'eLLE Bals'!CB9*'Oxidant Feed Composition'!$N$21</f>
        <v>3.148747068317967</v>
      </c>
      <c r="CN9">
        <f>'eLLE Bals'!CB9*'Oxidant Feed Composition'!$N$22</f>
        <v>0.94462412049539002</v>
      </c>
      <c r="CO9">
        <f>CN9/CK9</f>
        <v>0.83333333333333337</v>
      </c>
      <c r="CP9">
        <f>CO9</f>
        <v>0.83333333333333337</v>
      </c>
      <c r="CQ9">
        <f>CL9/CO9</f>
        <v>7.5569929639631231E-2</v>
      </c>
      <c r="CR9">
        <f>CM9/CO9</f>
        <v>3.7784964819815601</v>
      </c>
      <c r="CS9">
        <f>BN9*BA9</f>
        <v>1.9929348306734302</v>
      </c>
      <c r="CT9">
        <f>CS9/2*1.2</f>
        <v>1.1957608984040582</v>
      </c>
      <c r="CU9">
        <f>'eLLE Bals'!CC9*'Oxidant Feed Composition'!$N$20</f>
        <v>6.6431161022447699E-2</v>
      </c>
      <c r="CV9">
        <f>'eLLE Bals'!CC9*'Oxidant Feed Composition'!$N$21</f>
        <v>3.3215580511223837</v>
      </c>
      <c r="CW9">
        <f>'eLLE Bals'!CC9*'Oxidant Feed Composition'!$N$22</f>
        <v>0.99646741533671512</v>
      </c>
      <c r="CX9">
        <f>CU9/CP9</f>
        <v>7.971739322693723E-2</v>
      </c>
      <c r="CY9">
        <f>CV9/CP9</f>
        <v>3.98586966134686</v>
      </c>
      <c r="CZ9">
        <f>CJ9</f>
        <v>1.88924824099078</v>
      </c>
      <c r="DA9">
        <f>'eLLE Bals'!BQ9</f>
        <v>3.7784964819815601</v>
      </c>
      <c r="DB9">
        <f>'eLLE Bals'!BU9</f>
        <v>18.834688629789458</v>
      </c>
      <c r="DC9">
        <f>CS9</f>
        <v>1.9929348306734302</v>
      </c>
      <c r="DD9">
        <f>'eLLE Bals'!BX9</f>
        <v>3.9858696613468605</v>
      </c>
      <c r="DE9">
        <f>'eLLE Bals'!CA9</f>
        <v>22.222677050514676</v>
      </c>
      <c r="DF9">
        <f>2*2*(CJ9*'Reagent cost'!$C$36*122.44/1000*0.5+CK9*'Oxidant Feed Composition'!$N$26+CQ9*'Reagent cost'!$C$34+CR9*'Reagent cost'!$C$35)</f>
        <v>126.90890181645143</v>
      </c>
      <c r="DG9">
        <f>2*2*(CS9*'Reagent cost'!$C$36*122.44/1000*0.5+CT9*'Oxidant Feed Composition'!$N$26+CX9*'Reagent cost'!$C$34+CY9*'Reagent cost'!$C$35)</f>
        <v>133.87397445445339</v>
      </c>
      <c r="DH9">
        <f>(AF9+3)*2*(CZ9*'Reagent cost'!$C$38*0.5+DA9*'Reagent cost'!$C$39+DB9*'Reagent cost'!$C$36*122.44/1000)</f>
        <v>4684.1136090165055</v>
      </c>
      <c r="DI9">
        <f>3*2*(DC9*'Reagent cost'!$C$38*0.5+DD9*'Reagent cost'!$C$39+DE9*'Reagent cost'!$C$36*122.44/1000)</f>
        <v>1180.9677195876629</v>
      </c>
      <c r="DJ9">
        <f>7963.6*(CB9/1000)^0.6*1.7*('CAPEX+OPEX'!$G$116/'CAPEX+OPEX'!$G$115)</f>
        <v>2965.5437179814326</v>
      </c>
      <c r="DK9">
        <f>7963.6*(CC9/1000)^0.6*1.7*('CAPEX+OPEX'!$G$116/'CAPEX+OPEX'!$G$115)</f>
        <v>6492.3078360569407</v>
      </c>
      <c r="DL9">
        <f>7963.6*(CD9/1000)^0.6*1.7*('CAPEX+OPEX'!$G$116/'CAPEX+OPEX'!$G$115)</f>
        <v>3062.152202899636</v>
      </c>
      <c r="DM9">
        <f>7963.6*(CE9/1000)^0.6*1.7*('CAPEX+OPEX'!$G$116/'CAPEX+OPEX'!$G$115)</f>
        <v>6767.76911163571</v>
      </c>
      <c r="DN9">
        <f>'TEA Revised Non EYZ'!CM9</f>
        <v>39625.826528698344</v>
      </c>
      <c r="DO9">
        <f>'TEA Revised Non EYZ'!CN9</f>
        <v>4586243.4239371875</v>
      </c>
      <c r="DP9">
        <f>'TEA Revised Non EYZ'!CO9</f>
        <v>11794834.586807497</v>
      </c>
      <c r="DQ9">
        <f>'TEA Revised Non EYZ'!CP9</f>
        <v>2275209.1661185985</v>
      </c>
      <c r="DR9">
        <f>'TEA Revised Non EYZ'!CQ9</f>
        <v>14083914.336508472</v>
      </c>
      <c r="DS9">
        <f>'TEA Revised Non EYZ'!CR9</f>
        <v>1662824.8986326549</v>
      </c>
      <c r="DT9">
        <f>'TEA Revised Non EYZ'!CS9</f>
        <v>461850.0978118488</v>
      </c>
      <c r="DU9">
        <f>'TEA Revised Non EYZ'!CT9</f>
        <v>1187779.4098672394</v>
      </c>
      <c r="DV9">
        <f>'TEA Revised Non EYZ'!CU9</f>
        <v>229121.19544936769</v>
      </c>
      <c r="DW9">
        <f>'TEA Revised Non EYZ'!CV9</f>
        <v>1418297.4196136401</v>
      </c>
      <c r="DX9">
        <f>'TEA Revised Non EYZ'!CW9</f>
        <v>167452.04540804314</v>
      </c>
      <c r="DY9">
        <f>'TEA Revised Non EYZ'!CX9</f>
        <v>3464500.168150139</v>
      </c>
      <c r="DZ9">
        <f>'TEA Revised Non EYZ'!CY9</f>
        <v>845302.75526646047</v>
      </c>
      <c r="EA9">
        <f>'TEA Revised Non EYZ'!CZ9</f>
        <v>2173937.4151190002</v>
      </c>
      <c r="EB9">
        <f>'TEA Revised Non EYZ'!DA9</f>
        <v>419349.86854153901</v>
      </c>
      <c r="EC9">
        <f>'TEA Revised Non EYZ'!DB9</f>
        <v>2595843.8079082798</v>
      </c>
      <c r="ED9">
        <f>'TEA Revised Non EYZ'!DC9</f>
        <v>306479.69120077539</v>
      </c>
      <c r="EE9">
        <f>'TEA Revised Non EYZ'!DD9</f>
        <v>6340913.5380360549</v>
      </c>
      <c r="EF9">
        <v>0.7</v>
      </c>
      <c r="EG9">
        <v>100</v>
      </c>
      <c r="EH9">
        <f>96485*BL9*V9/EF9/EG9/60</f>
        <v>43.40098012666558</v>
      </c>
      <c r="EI9">
        <f>96485*BN9*BA9/EF9/EG9/60</f>
        <v>45.782932651791882</v>
      </c>
      <c r="EJ9">
        <f>EH9*('CAPEX+OPEX'!$O$25+'CAPEX+OPEX'!$O$26)</f>
        <v>1383276.0385970853</v>
      </c>
      <c r="EK9">
        <f>EI9*('CAPEX+OPEX'!$O$25+'CAPEX+OPEX'!$O$26)</f>
        <v>1459193.6294779109</v>
      </c>
      <c r="EL9">
        <f>EJ9*1.12/0.6*'CAPEX+OPEX'!$G$116/'CAPEX+OPEX'!$G$115</f>
        <v>3045497.132381544</v>
      </c>
      <c r="EM9">
        <f>EK9*1.12/0.6*'CAPEX+OPEX'!$G$116/'CAPEX+OPEX'!$G$115</f>
        <v>3212641.5047798106</v>
      </c>
      <c r="EN9">
        <f>EL9+EM9+DY9+EE9+1.15*(SUM(DF9:DM9)+SUM(CF9:CI9))</f>
        <v>16167645.509245297</v>
      </c>
      <c r="EO9">
        <f>EN9/15</f>
        <v>1077843.0339496864</v>
      </c>
      <c r="EP9">
        <f>('eLLE Bals'!CB9+'eLLE Bals'!CC9)*'Oxidant Feed Composition'!$N$29*60*7200</f>
        <v>9683551.2965237387</v>
      </c>
      <c r="EQ9" s="53">
        <f>('eLLE Bals'!BR9+'eLLE Bals'!BY9)*'Reagent cost'!$C$38*60*7200*0.5</f>
        <v>261397.08313007388</v>
      </c>
      <c r="ER9">
        <f>'TEA Revised Non EYZ'!DI9</f>
        <v>504921.59999999998</v>
      </c>
      <c r="ES9">
        <f>'TEA Revised Non EYZ'!DJ9</f>
        <v>93.335600169790439</v>
      </c>
      <c r="ET9">
        <f>'TEA Revised Non EYZ'!DK9</f>
        <v>1115.3719868479327</v>
      </c>
      <c r="EU9">
        <f>1.2*SUM(EP9:ET9)</f>
        <v>12541294.424688995</v>
      </c>
      <c r="EV9">
        <f>'TEA Revised Non EYZ'!DM9</f>
        <v>0.70639694042110623</v>
      </c>
      <c r="EW9">
        <f>(BS9*CO9+BT9*CP9)/1000*('Oxidant Feed Composition'!$B$11*'Oxidant Feed Composition'!$O$20+'Oxidant Feed Composition'!$D$11*'Oxidant Feed Composition'!$O$21+'Oxidant Feed Composition'!$F$11*'Oxidant Feed Composition'!$O$27-'Oxidant Feed Composition'!$J$15*18.015)</f>
        <v>2.2668948211004585</v>
      </c>
      <c r="EX9">
        <f>(CZ9*BX9+DC9*BZ9)*368.34/1000</f>
        <v>0.10553153176866059</v>
      </c>
      <c r="EY9">
        <f>'TEA Revised Non EYZ'!DP9</f>
        <v>4.999938342565946E-2</v>
      </c>
      <c r="EZ9">
        <f>SUM(EV9:EX9)-EY9</f>
        <v>3.028823909864566</v>
      </c>
      <c r="FA9">
        <f>EZ9*0.33*60*7200</f>
        <v>431789.13659029256</v>
      </c>
      <c r="FB9">
        <f>'TEA Revised Non EYZ'!DS9</f>
        <v>1.2</v>
      </c>
      <c r="FC9">
        <v>0.5</v>
      </c>
      <c r="FD9">
        <f>'TEA Revised Non EYZ'!DT9</f>
        <v>1410.0862448248422</v>
      </c>
      <c r="FE9">
        <f>'TEA Revised Non EYZ'!DU9</f>
        <v>712.11900740011947</v>
      </c>
      <c r="FF9">
        <f>'TEA Revised Non EYZ'!DV9</f>
        <v>0.7</v>
      </c>
      <c r="FG9">
        <f>'TEA Revised Non EYZ'!DW9</f>
        <v>27520.276190787874</v>
      </c>
      <c r="FH9">
        <f>'TEA Revised Non EYZ'!DX9</f>
        <v>16610.439588917834</v>
      </c>
      <c r="FI9">
        <f>'TEA Revised Non EYZ'!DY9</f>
        <v>7032.645793695051</v>
      </c>
      <c r="FJ9">
        <f>'TEA Revised Non EYZ'!DZ9</f>
        <v>3725.3886787897172</v>
      </c>
      <c r="FK9">
        <f>'TEA Revised Non EYZ'!EA9</f>
        <v>3750.7444233040283</v>
      </c>
      <c r="FL9">
        <f>'TEA Revised Non EYZ'!EB9</f>
        <v>852.82016087006468</v>
      </c>
      <c r="FM9">
        <f>'TEA Revised Non EYZ'!EC9</f>
        <v>46423.887414940575</v>
      </c>
      <c r="FN9">
        <f>'TEA Revised Non EYZ'!ED9</f>
        <v>46693.087050290189</v>
      </c>
      <c r="FO9">
        <f>'TEA Revised Non EYZ'!EE9</f>
        <v>19769.250565647053</v>
      </c>
      <c r="FP9">
        <f>'TEA Revised Non EYZ'!EF9</f>
        <v>10477.895596099019</v>
      </c>
      <c r="FQ9">
        <f>'TEA Revised Non EYZ'!EG9</f>
        <v>10543.600301678431</v>
      </c>
      <c r="FR9">
        <f>'TEA Revised Non EYZ'!EH9</f>
        <v>430.68957567559227</v>
      </c>
      <c r="FS9">
        <f>'TEA Revised Non EYZ'!EI9</f>
        <v>193830.72534069544</v>
      </c>
      <c r="FT9">
        <f>EG9*EH9</f>
        <v>4340.0980126665581</v>
      </c>
      <c r="FU9">
        <f>EG9*EI9</f>
        <v>4578.293265179188</v>
      </c>
      <c r="FV9">
        <f>FC9*(FT9+FU9)/(3.6*10^6)*3600*7200*0.07</f>
        <v>2247.4346020171283</v>
      </c>
      <c r="FW9">
        <f>('CAPEX+OPEX'!$C$39/7/100+0.03)*EL9</f>
        <v>156625.56680819369</v>
      </c>
      <c r="FX9">
        <f>('CAPEX+OPEX'!$C$39/7/100+0.03)*EM9</f>
        <v>165221.56310296169</v>
      </c>
      <c r="FY9">
        <f>SUM(FV9:FX9)</f>
        <v>324094.56451317249</v>
      </c>
      <c r="FZ9">
        <f>FY9+FA9+FS9+EU9</f>
        <v>13491008.851133155</v>
      </c>
      <c r="GA9">
        <f>FZ9+EO9</f>
        <v>14568851.885082841</v>
      </c>
      <c r="GB9">
        <f>GA9/(BK9*60*7200)</f>
        <v>0.33724194178432504</v>
      </c>
      <c r="GC9">
        <f>'TEA Revised Non EYZ'!EM9/'TEA Revised Non EYZ'!EK9*GA9</f>
        <v>1127.5664500433613</v>
      </c>
      <c r="GD9">
        <f>'TEA Revised Non EYZ'!EN9/'TEA Revised Non EYZ'!EK9*GA9</f>
        <v>2052.2939272403873</v>
      </c>
    </row>
    <row r="10" spans="1:186">
      <c r="A10">
        <f>'TEA Revised Non EYZ'!A10</f>
        <v>3</v>
      </c>
      <c r="B10">
        <f>'TEA Revised Non EYZ'!B10</f>
        <v>1.54143585092054E-3</v>
      </c>
      <c r="C10">
        <f>'TEA Revised Non EYZ'!C10</f>
        <v>1.54143585092054E-3</v>
      </c>
      <c r="D10">
        <f>'TEA Revised Non EYZ'!D10</f>
        <v>3.4254130020456501E-4</v>
      </c>
      <c r="E10">
        <f>'TEA Revised Non EYZ'!E10</f>
        <v>0</v>
      </c>
      <c r="F10">
        <f>'TEA Revised Non EYZ'!F10</f>
        <v>0</v>
      </c>
      <c r="G10">
        <f>'TEA Revised Non EYZ'!G10</f>
        <v>0</v>
      </c>
      <c r="H10">
        <f>'TEA Revised Non EYZ'!H10</f>
        <v>1.6300358850230801E-5</v>
      </c>
      <c r="I10">
        <f>'TEA Revised Non EYZ'!I10</f>
        <v>7.4474859607128495E-7</v>
      </c>
      <c r="J10">
        <f>'TEA Revised Non EYZ'!J10</f>
        <v>3.2385704147932398E-4</v>
      </c>
      <c r="K10">
        <f>'TEA Revised Non EYZ'!K10</f>
        <v>8.07271092797512E-2</v>
      </c>
      <c r="L10">
        <f>'TEA Revised Non EYZ'!L10</f>
        <v>8.15504849440159E-2</v>
      </c>
      <c r="M10">
        <f>'TEA Revised Non EYZ'!M10</f>
        <v>9.8897848995466706E-4</v>
      </c>
      <c r="N10">
        <f>'TEA Revised Non EYZ'!N10</f>
        <v>-9.8011876392689601E-17</v>
      </c>
      <c r="O10">
        <f>'TEA Revised Non EYZ'!O10</f>
        <v>1.94289029309402E-16</v>
      </c>
      <c r="P10">
        <f>'TEA Revised Non EYZ'!P10</f>
        <v>-4.3537493488870999E-18</v>
      </c>
      <c r="Q10">
        <f>'TEA Revised Non EYZ'!Q10</f>
        <v>0.18892482409907799</v>
      </c>
      <c r="R10">
        <f>'TEA Revised Non EYZ'!R10</f>
        <v>94.545399718491396</v>
      </c>
      <c r="S10">
        <f>'TEA Revised Non EYZ'!S10</f>
        <v>500</v>
      </c>
      <c r="T10">
        <f>'TEA Revised Non EYZ'!T10</f>
        <v>95</v>
      </c>
      <c r="U10">
        <f>'TEA Revised Non EYZ'!U10</f>
        <v>1</v>
      </c>
      <c r="V10">
        <f>'TEA Revised Non EYZ'!V10</f>
        <v>0.1</v>
      </c>
      <c r="W10">
        <f>'TEA Revised Non EYZ'!W10</f>
        <v>52.931106580020597</v>
      </c>
      <c r="X10" t="str">
        <f>'TEA Revised Non EYZ'!X10</f>
        <v>ddFc</v>
      </c>
      <c r="Y10">
        <f>'TEA Revised Non EYZ'!Y10</f>
        <v>1</v>
      </c>
      <c r="Z10">
        <f>'TEA Revised Non EYZ'!Z10</f>
        <v>0.28318429382522198</v>
      </c>
      <c r="AA10">
        <f>'TEA Revised Non EYZ'!AA10</f>
        <v>0.56945642916197003</v>
      </c>
      <c r="AB10">
        <f>'TEA Revised Non EYZ'!AB10</f>
        <v>3.7698628972227502E-3</v>
      </c>
      <c r="AC10">
        <f>'TEA Revised Non EYZ'!AC10</f>
        <v>1822.2107908876901</v>
      </c>
      <c r="AD10">
        <f>'TEA Revised Non EYZ'!AD10</f>
        <v>2662.6059073104898</v>
      </c>
      <c r="AE10">
        <f>'TEA Revised Non EYZ'!AE10</f>
        <v>2401.5030938442701</v>
      </c>
      <c r="AF10">
        <f>'TEA Revised Non EYZ'!AF10</f>
        <v>12</v>
      </c>
      <c r="AG10">
        <f>'TEA Revised Non EYZ'!AG10</f>
        <v>1.6455478770638001E-3</v>
      </c>
      <c r="AH10">
        <f>'TEA Revised Non EYZ'!AH10</f>
        <v>1.66233163271225E-3</v>
      </c>
      <c r="AI10">
        <f>'TEA Revised Non EYZ'!AI10</f>
        <v>2.0159416943409301E-5</v>
      </c>
      <c r="AJ10">
        <f>'TEA Revised Non EYZ'!AJ10</f>
        <v>0</v>
      </c>
      <c r="AK10">
        <f>'TEA Revised Non EYZ'!AK10</f>
        <v>0</v>
      </c>
      <c r="AL10">
        <f>'TEA Revised Non EYZ'!AL10</f>
        <v>0</v>
      </c>
      <c r="AM10">
        <f>'TEA Revised Non EYZ'!AM10</f>
        <v>1.6083531230386601E-3</v>
      </c>
      <c r="AN10">
        <f>'TEA Revised Non EYZ'!AN10</f>
        <v>6.4624554467975802E-5</v>
      </c>
      <c r="AO10">
        <f>'TEA Revised Non EYZ'!AO10</f>
        <v>2.0025609902478401E-5</v>
      </c>
      <c r="AP10">
        <f>'TEA Revised Non EYZ'!AP10</f>
        <v>1.72977922313241E-3</v>
      </c>
      <c r="AQ10">
        <f>'TEA Revised Non EYZ'!AQ10</f>
        <v>7.4302965056042405E-2</v>
      </c>
      <c r="AR10">
        <f>'TEA Revised Non EYZ'!AR10</f>
        <v>6.2228302183306801E-6</v>
      </c>
      <c r="AS10">
        <f>'TEA Revised Non EYZ'!AS10</f>
        <v>6.7762635780344003E-20</v>
      </c>
      <c r="AT10">
        <f>'TEA Revised Non EYZ'!AT10</f>
        <v>2.168404344971E-19</v>
      </c>
      <c r="AU10">
        <f>'TEA Revised Non EYZ'!AU10</f>
        <v>3.8381180422460401E-21</v>
      </c>
      <c r="AV10">
        <f>'TEA Revised Non EYZ'!AV10</f>
        <v>0.199291566049737</v>
      </c>
      <c r="AW10">
        <f>'TEA Revised Non EYZ'!AW10</f>
        <v>99.336255402095702</v>
      </c>
      <c r="AX10">
        <f>'TEA Revised Non EYZ'!AX10</f>
        <v>500</v>
      </c>
      <c r="AY10">
        <f>'TEA Revised Non EYZ'!AY10</f>
        <v>95</v>
      </c>
      <c r="AZ10">
        <f>'TEA Revised Non EYZ'!AZ10</f>
        <v>0.92682535301965796</v>
      </c>
      <c r="BA10">
        <f>'TEA Revised Non EYZ'!BA10</f>
        <v>0.1</v>
      </c>
      <c r="BB10">
        <f>'TEA Revised Non EYZ'!BB10</f>
        <v>46.505999796717497</v>
      </c>
      <c r="BC10" t="str">
        <f>'TEA Revised Non EYZ'!BC10</f>
        <v>coeFc</v>
      </c>
      <c r="BD10">
        <f>'TEA Revised Non EYZ'!BD10</f>
        <v>1</v>
      </c>
      <c r="BE10">
        <f>'TEA Revised Non EYZ'!BE10</f>
        <v>1.8775014999999999E-2</v>
      </c>
      <c r="BF10">
        <f>'TEA Revised Non EYZ'!BF10</f>
        <v>0.10492961100000001</v>
      </c>
      <c r="BG10">
        <f>'TEA Revised Non EYZ'!BG10</f>
        <v>1.814625E-3</v>
      </c>
      <c r="BH10">
        <f>'TEA Revised Non EYZ'!BH10</f>
        <v>285.1951444</v>
      </c>
      <c r="BI10">
        <f>'TEA Revised Non EYZ'!BI10</f>
        <v>2169.8944889999998</v>
      </c>
      <c r="BJ10">
        <f>'TEA Revised Non EYZ'!BJ10</f>
        <v>866.49409060000005</v>
      </c>
      <c r="BK10">
        <f>'TEA Revised Non EYZ'!BK10</f>
        <v>100</v>
      </c>
      <c r="BL10">
        <f>'TEA Revised Non EYZ'!BL10</f>
        <v>18.892482409907799</v>
      </c>
      <c r="BM10">
        <f>'TEA Revised Non EYZ'!BM10</f>
        <v>92.6825353019658</v>
      </c>
      <c r="BN10">
        <f>'TEA Revised Non EYZ'!BN10</f>
        <v>19.929156604973699</v>
      </c>
      <c r="BO10">
        <f>'TEA Revised Non EYZ'!BO10</f>
        <v>188.92482409907799</v>
      </c>
      <c r="BP10">
        <f>'TEA Revised Non EYZ'!BP10</f>
        <v>558.01638493926362</v>
      </c>
      <c r="BQ10">
        <f>'TEA Revised Non EYZ'!BQ10</f>
        <v>18.892482409907799</v>
      </c>
      <c r="BR10">
        <f>'TEA Revised Non EYZ'!BR10</f>
        <v>55.801638493926362</v>
      </c>
      <c r="BS10">
        <f>'eLLE Bals'!CF10</f>
        <v>11.335489445944679</v>
      </c>
      <c r="BT10">
        <f>'eLLE Bals'!CG10</f>
        <v>11.957493962984218</v>
      </c>
      <c r="BU10">
        <f>BM10</f>
        <v>92.6825353019658</v>
      </c>
      <c r="BV10">
        <f>BU10*(AM10*2+AN10*2+AO10*3)</f>
        <v>0.31567969820000863</v>
      </c>
      <c r="BW10">
        <f>BN10*BA10*(AP10*2+AQ10*2+AR10*3)</f>
        <v>0.30309089829650282</v>
      </c>
      <c r="BX10">
        <f>BV10/(2*V10*BL10+BV10)</f>
        <v>7.7104571055857413E-2</v>
      </c>
      <c r="BY10">
        <f>BU10*BX10</f>
        <v>7.1462471288274347</v>
      </c>
      <c r="BZ10">
        <f>BW10/(2*BN10*BA10+BW10)</f>
        <v>7.0668313109811892E-2</v>
      </c>
      <c r="CA10">
        <f>2*BN10*BA10/0.04</f>
        <v>99.645783024868493</v>
      </c>
      <c r="CB10">
        <f>(BS10+BL10)*2</f>
        <v>60.455943711704961</v>
      </c>
      <c r="CC10">
        <f>(BU10+BL10)*2</f>
        <v>223.1500354237472</v>
      </c>
      <c r="CD10">
        <f>(BT10+BN10)*2</f>
        <v>63.77330113591583</v>
      </c>
      <c r="CE10">
        <f>(CA10+BN10)*2</f>
        <v>239.14987925968438</v>
      </c>
      <c r="CF10">
        <f>'TEA Revised Non EYZ'!CB10</f>
        <v>2493.8076781078298</v>
      </c>
      <c r="CG10">
        <f>'TEA Revised Non EYZ'!CC10</f>
        <v>7365.8162811982802</v>
      </c>
      <c r="CH10">
        <f>'TEA Revised Non EYZ'!CD10</f>
        <v>3012.9816471142385</v>
      </c>
      <c r="CI10">
        <f>'TEA Revised Non EYZ'!CE10</f>
        <v>56813.195638120589</v>
      </c>
      <c r="CJ10">
        <f>BL10*V10</f>
        <v>1.88924824099078</v>
      </c>
      <c r="CK10">
        <f>CJ10/2*1.2</f>
        <v>1.133548944594468</v>
      </c>
      <c r="CL10">
        <f>'eLLE Bals'!CB10*'Oxidant Feed Composition'!$N$20</f>
        <v>6.2974941366359366E-2</v>
      </c>
      <c r="CM10">
        <f>'eLLE Bals'!CB10*'Oxidant Feed Composition'!$N$21</f>
        <v>3.148747068317967</v>
      </c>
      <c r="CN10">
        <f>'eLLE Bals'!CB10*'Oxidant Feed Composition'!$N$22</f>
        <v>0.94462412049539002</v>
      </c>
      <c r="CO10">
        <f>CN10/CK10</f>
        <v>0.83333333333333337</v>
      </c>
      <c r="CP10">
        <f>CO10</f>
        <v>0.83333333333333337</v>
      </c>
      <c r="CQ10">
        <f>CL10/CO10</f>
        <v>7.5569929639631231E-2</v>
      </c>
      <c r="CR10">
        <f>CM10/CO10</f>
        <v>3.7784964819815601</v>
      </c>
      <c r="CS10">
        <f>BN10*BA10</f>
        <v>1.9929156604973699</v>
      </c>
      <c r="CT10">
        <f>CS10/2*1.2</f>
        <v>1.1957493962984218</v>
      </c>
      <c r="CU10">
        <f>'eLLE Bals'!CC10*'Oxidant Feed Composition'!$N$20</f>
        <v>6.6430522016579022E-2</v>
      </c>
      <c r="CV10">
        <f>'eLLE Bals'!CC10*'Oxidant Feed Composition'!$N$21</f>
        <v>3.3215261008289501</v>
      </c>
      <c r="CW10">
        <f>'eLLE Bals'!CC10*'Oxidant Feed Composition'!$N$22</f>
        <v>0.99645783024868495</v>
      </c>
      <c r="CX10">
        <f>CU10/CP10</f>
        <v>7.9716626419894826E-2</v>
      </c>
      <c r="CY10">
        <f>CV10/CP10</f>
        <v>3.9858313209947398</v>
      </c>
      <c r="CZ10">
        <f>CJ10</f>
        <v>1.88924824099078</v>
      </c>
      <c r="DA10">
        <f>'eLLE Bals'!BQ10</f>
        <v>3.7784964819815601</v>
      </c>
      <c r="DB10">
        <f>'eLLE Bals'!BU10</f>
        <v>18.834670829305892</v>
      </c>
      <c r="DC10">
        <f>CS10</f>
        <v>1.9929156604973699</v>
      </c>
      <c r="DD10">
        <f>'eLLE Bals'!BX10</f>
        <v>3.9858313209947398</v>
      </c>
      <c r="DE10">
        <f>'eLLE Bals'!CA10</f>
        <v>22.222232676824724</v>
      </c>
      <c r="DF10">
        <f>2*2*(CJ10*'Reagent cost'!$C$36*122.44/1000*0.5+CK10*'Oxidant Feed Composition'!$N$26+CQ10*'Reagent cost'!$C$34+CR10*'Reagent cost'!$C$35)</f>
        <v>126.90890181645143</v>
      </c>
      <c r="DG10">
        <f>2*2*(CS10*'Reagent cost'!$C$36*122.44/1000*0.5+CT10*'Oxidant Feed Composition'!$N$26+CX10*'Reagent cost'!$C$34+CY10*'Reagent cost'!$C$35)</f>
        <v>133.87268671156249</v>
      </c>
      <c r="DH10">
        <f>(AF10+3)*2*(CZ10*'Reagent cost'!$C$38*0.5+DA10*'Reagent cost'!$C$39+DB10*'Reagent cost'!$C$36*122.44/1000)</f>
        <v>5018.6885350476114</v>
      </c>
      <c r="DI10">
        <f>3*2*(DC10*'Reagent cost'!$C$38*0.5+DD10*'Reagent cost'!$C$39+DE10*'Reagent cost'!$C$36*122.44/1000)</f>
        <v>1180.9443955515833</v>
      </c>
      <c r="DJ10">
        <f>7963.6*(CB10/1000)^0.6*1.7*('CAPEX+OPEX'!$G$116/'CAPEX+OPEX'!$G$115)</f>
        <v>2965.5437179814326</v>
      </c>
      <c r="DK10">
        <f>7963.6*(CC10/1000)^0.6*1.7*('CAPEX+OPEX'!$G$116/'CAPEX+OPEX'!$G$115)</f>
        <v>6492.3078360569407</v>
      </c>
      <c r="DL10">
        <f>7963.6*(CD10/1000)^0.6*1.7*('CAPEX+OPEX'!$G$116/'CAPEX+OPEX'!$G$115)</f>
        <v>3062.1345298351043</v>
      </c>
      <c r="DM10">
        <f>7963.6*(CE10/1000)^0.6*1.7*('CAPEX+OPEX'!$G$116/'CAPEX+OPEX'!$G$115)</f>
        <v>6767.7300517809663</v>
      </c>
      <c r="DN10">
        <f>'TEA Revised Non EYZ'!CM10</f>
        <v>39625.826528698344</v>
      </c>
      <c r="DO10">
        <f>'TEA Revised Non EYZ'!CN10</f>
        <v>4586243.4239371875</v>
      </c>
      <c r="DP10">
        <f>'TEA Revised Non EYZ'!CO10</f>
        <v>11794834.586807497</v>
      </c>
      <c r="DQ10">
        <f>'TEA Revised Non EYZ'!CP10</f>
        <v>2275209.1661185985</v>
      </c>
      <c r="DR10">
        <f>'TEA Revised Non EYZ'!CQ10</f>
        <v>14083914.336508472</v>
      </c>
      <c r="DS10">
        <f>'TEA Revised Non EYZ'!CR10</f>
        <v>1662824.8986326549</v>
      </c>
      <c r="DT10">
        <f>'TEA Revised Non EYZ'!CS10</f>
        <v>461850.0978118488</v>
      </c>
      <c r="DU10">
        <f>'TEA Revised Non EYZ'!CT10</f>
        <v>1187779.4098672394</v>
      </c>
      <c r="DV10">
        <f>'TEA Revised Non EYZ'!CU10</f>
        <v>229121.19544936769</v>
      </c>
      <c r="DW10">
        <f>'TEA Revised Non EYZ'!CV10</f>
        <v>1418297.4196136401</v>
      </c>
      <c r="DX10">
        <f>'TEA Revised Non EYZ'!CW10</f>
        <v>167452.04540804314</v>
      </c>
      <c r="DY10">
        <f>'TEA Revised Non EYZ'!CX10</f>
        <v>3464500.168150139</v>
      </c>
      <c r="DZ10">
        <f>'TEA Revised Non EYZ'!CY10</f>
        <v>886889.57159349206</v>
      </c>
      <c r="EA10">
        <f>'TEA Revised Non EYZ'!CZ10</f>
        <v>2280889.7886038315</v>
      </c>
      <c r="EB10">
        <f>'TEA Revised Non EYZ'!DA10</f>
        <v>439980.85057862528</v>
      </c>
      <c r="EC10">
        <f>'TEA Revised Non EYZ'!DB10</f>
        <v>2723552.9381347802</v>
      </c>
      <c r="ED10">
        <f>'TEA Revised Non EYZ'!DC10</f>
        <v>321557.73814493133</v>
      </c>
      <c r="EE10">
        <f>'TEA Revised Non EYZ'!DD10</f>
        <v>6652870.8870556606</v>
      </c>
      <c r="EF10">
        <v>0.7</v>
      </c>
      <c r="EG10">
        <v>100</v>
      </c>
      <c r="EH10">
        <f>96485*BL10*V10/EF10/EG10/60</f>
        <v>43.40098012666558</v>
      </c>
      <c r="EI10">
        <f>96485*BN10*BA10/EF10/EG10/60</f>
        <v>45.782492262640183</v>
      </c>
      <c r="EJ10">
        <f>EH10*('CAPEX+OPEX'!$O$25+'CAPEX+OPEX'!$O$26)</f>
        <v>1383276.0385970853</v>
      </c>
      <c r="EK10">
        <f>EI10*('CAPEX+OPEX'!$O$25+'CAPEX+OPEX'!$O$26)</f>
        <v>1459179.5933948678</v>
      </c>
      <c r="EL10">
        <f>EJ10*1.12/0.6*'CAPEX+OPEX'!$G$116/'CAPEX+OPEX'!$G$115</f>
        <v>3045497.132381544</v>
      </c>
      <c r="EM10">
        <f>EK10*1.12/0.6*'CAPEX+OPEX'!$G$116/'CAPEX+OPEX'!$G$115</f>
        <v>3212610.602162065</v>
      </c>
      <c r="EN10">
        <f>EL10+EM10+DY10+EE10+1.15*(SUM(DF10:DM10)+SUM(CF10:CI10))</f>
        <v>16485227.81143363</v>
      </c>
      <c r="EO10">
        <f>EN10/15</f>
        <v>1099015.1874289087</v>
      </c>
      <c r="EP10">
        <f>('eLLE Bals'!CB10+'eLLE Bals'!CC10)*'Oxidant Feed Composition'!$N$29*60*7200</f>
        <v>9683503.4792570565</v>
      </c>
      <c r="EQ10" s="53">
        <f>('eLLE Bals'!BR10+'eLLE Bals'!BY10)*'Reagent cost'!$C$38*60*7200*0.5</f>
        <v>261396.99443335869</v>
      </c>
      <c r="ER10">
        <f>'TEA Revised Non EYZ'!DI10</f>
        <v>504921.59999999998</v>
      </c>
      <c r="ES10">
        <f>'TEA Revised Non EYZ'!DJ10</f>
        <v>98.596239593061114</v>
      </c>
      <c r="ET10">
        <f>'TEA Revised Non EYZ'!DK10</f>
        <v>1196.5235457046965</v>
      </c>
      <c r="EU10">
        <f>1.2*SUM(EP10:ET10)</f>
        <v>12541340.632170854</v>
      </c>
      <c r="EV10">
        <f>'TEA Revised Non EYZ'!DM10</f>
        <v>0.70639694042110623</v>
      </c>
      <c r="EW10">
        <f>(BS10*CO10+BT10*CP10)/1000*('Oxidant Feed Composition'!$B$11*'Oxidant Feed Composition'!$O$20+'Oxidant Feed Composition'!$D$11*'Oxidant Feed Composition'!$O$21+'Oxidant Feed Composition'!$F$11*'Oxidant Feed Composition'!$O$27-'Oxidant Feed Composition'!$J$15*18.015)</f>
        <v>2.2668836271994941</v>
      </c>
      <c r="EX10">
        <f>(CZ10*BX10+DC10*BZ10)*368.34/1000</f>
        <v>0.10553149595992048</v>
      </c>
      <c r="EY10">
        <f>'TEA Revised Non EYZ'!DP10</f>
        <v>4.999938342565946E-2</v>
      </c>
      <c r="EZ10">
        <f>SUM(EV10:EX10)-EY10</f>
        <v>3.0288126801548612</v>
      </c>
      <c r="FA10">
        <f>EZ10*0.33*60*7200</f>
        <v>431787.53568287706</v>
      </c>
      <c r="FB10">
        <f>'TEA Revised Non EYZ'!DS10</f>
        <v>1.2</v>
      </c>
      <c r="FC10">
        <v>0.5</v>
      </c>
      <c r="FD10">
        <f>'TEA Revised Non EYZ'!DT10</f>
        <v>1410.0873571085197</v>
      </c>
      <c r="FE10">
        <f>'TEA Revised Non EYZ'!DU10</f>
        <v>712.11789511644781</v>
      </c>
      <c r="FF10">
        <f>'TEA Revised Non EYZ'!DV10</f>
        <v>0.7</v>
      </c>
      <c r="FG10">
        <f>'TEA Revised Non EYZ'!DW10</f>
        <v>27520.276190787874</v>
      </c>
      <c r="FH10">
        <f>'TEA Revised Non EYZ'!DX10</f>
        <v>16610.439588917834</v>
      </c>
      <c r="FI10">
        <f>'TEA Revised Non EYZ'!DY10</f>
        <v>7032.645793695051</v>
      </c>
      <c r="FJ10">
        <f>'TEA Revised Non EYZ'!DZ10</f>
        <v>3725.3886787897172</v>
      </c>
      <c r="FK10">
        <f>'TEA Revised Non EYZ'!EA10</f>
        <v>3750.7444233040283</v>
      </c>
      <c r="FL10">
        <f>'TEA Revised Non EYZ'!EB10</f>
        <v>852.82083357923284</v>
      </c>
      <c r="FM10">
        <f>'TEA Revised Non EYZ'!EC10</f>
        <v>49002.992271326162</v>
      </c>
      <c r="FN10">
        <f>'TEA Revised Non EYZ'!ED10</f>
        <v>50584.177637814377</v>
      </c>
      <c r="FO10">
        <f>'TEA Revised Non EYZ'!EE10</f>
        <v>21416.688112784312</v>
      </c>
      <c r="FP10">
        <f>'TEA Revised Non EYZ'!EF10</f>
        <v>11351.053562440606</v>
      </c>
      <c r="FQ10">
        <f>'TEA Revised Non EYZ'!EG10</f>
        <v>11422.233660151634</v>
      </c>
      <c r="FR10">
        <f>'TEA Revised Non EYZ'!EH10</f>
        <v>430.68890296642769</v>
      </c>
      <c r="FS10">
        <f>'TEA Revised Non EYZ'!EI10</f>
        <v>203700.14965655727</v>
      </c>
      <c r="FT10">
        <f>EG10*EH10</f>
        <v>4340.0980126665581</v>
      </c>
      <c r="FU10">
        <f>EG10*EI10</f>
        <v>4578.249226264018</v>
      </c>
      <c r="FV10">
        <f>FC10*(FT10+FU10)/(3.6*10^6)*3600*7200*0.07</f>
        <v>2247.4235042105051</v>
      </c>
      <c r="FW10">
        <f>('CAPEX+OPEX'!$C$39/7/100+0.03)*EL10</f>
        <v>156625.56680819369</v>
      </c>
      <c r="FX10">
        <f>('CAPEX+OPEX'!$C$39/7/100+0.03)*EM10</f>
        <v>165219.97382547762</v>
      </c>
      <c r="FY10">
        <f>SUM(FV10:FX10)</f>
        <v>324092.96413788182</v>
      </c>
      <c r="FZ10">
        <f>FY10+FA10+FS10+EU10</f>
        <v>13500921.28164817</v>
      </c>
      <c r="GA10">
        <f>FZ10+EO10</f>
        <v>14599936.469077079</v>
      </c>
      <c r="GB10">
        <f>GA10/(BK10*60*7200)</f>
        <v>0.3379614923397472</v>
      </c>
      <c r="GC10">
        <f>'TEA Revised Non EYZ'!EM10/'TEA Revised Non EYZ'!EK10*GA10</f>
        <v>1129.971369675008</v>
      </c>
      <c r="GD10">
        <f>'TEA Revised Non EYZ'!EN10/'TEA Revised Non EYZ'!EK10*GA10</f>
        <v>2056.6757291362237</v>
      </c>
    </row>
    <row r="11" spans="1:186">
      <c r="A11">
        <f>'TEA Revised Non EYZ'!A11</f>
        <v>3</v>
      </c>
      <c r="B11">
        <f>'TEA Revised Non EYZ'!B11</f>
        <v>1.54143585092054E-3</v>
      </c>
      <c r="C11">
        <f>'TEA Revised Non EYZ'!C11</f>
        <v>1.54143585092054E-3</v>
      </c>
      <c r="D11">
        <f>'TEA Revised Non EYZ'!D11</f>
        <v>3.4254130020456501E-4</v>
      </c>
      <c r="E11">
        <f>'TEA Revised Non EYZ'!E11</f>
        <v>0</v>
      </c>
      <c r="F11">
        <f>'TEA Revised Non EYZ'!F11</f>
        <v>0</v>
      </c>
      <c r="G11">
        <f>'TEA Revised Non EYZ'!G11</f>
        <v>0</v>
      </c>
      <c r="H11">
        <f>'TEA Revised Non EYZ'!H11</f>
        <v>1.6300358850230801E-5</v>
      </c>
      <c r="I11">
        <f>'TEA Revised Non EYZ'!I11</f>
        <v>7.4474859607128495E-7</v>
      </c>
      <c r="J11">
        <f>'TEA Revised Non EYZ'!J11</f>
        <v>3.2385704147932398E-4</v>
      </c>
      <c r="K11">
        <f>'TEA Revised Non EYZ'!K11</f>
        <v>8.07271092797512E-2</v>
      </c>
      <c r="L11">
        <f>'TEA Revised Non EYZ'!L11</f>
        <v>8.15504849440159E-2</v>
      </c>
      <c r="M11">
        <f>'TEA Revised Non EYZ'!M11</f>
        <v>9.8897848995466706E-4</v>
      </c>
      <c r="N11">
        <f>'TEA Revised Non EYZ'!N11</f>
        <v>-9.8011876392689601E-17</v>
      </c>
      <c r="O11">
        <f>'TEA Revised Non EYZ'!O11</f>
        <v>1.94289029309402E-16</v>
      </c>
      <c r="P11">
        <f>'TEA Revised Non EYZ'!P11</f>
        <v>-4.3537493488870999E-18</v>
      </c>
      <c r="Q11">
        <f>'TEA Revised Non EYZ'!Q11</f>
        <v>0.18892482409907799</v>
      </c>
      <c r="R11">
        <f>'TEA Revised Non EYZ'!R11</f>
        <v>94.545399718491396</v>
      </c>
      <c r="S11">
        <f>'TEA Revised Non EYZ'!S11</f>
        <v>500</v>
      </c>
      <c r="T11">
        <f>'TEA Revised Non EYZ'!T11</f>
        <v>95</v>
      </c>
      <c r="U11">
        <f>'TEA Revised Non EYZ'!U11</f>
        <v>1</v>
      </c>
      <c r="V11">
        <f>'TEA Revised Non EYZ'!V11</f>
        <v>0.1</v>
      </c>
      <c r="W11">
        <f>'TEA Revised Non EYZ'!W11</f>
        <v>52.931106580020597</v>
      </c>
      <c r="X11" t="str">
        <f>'TEA Revised Non EYZ'!X11</f>
        <v>ddFc</v>
      </c>
      <c r="Y11">
        <f>'TEA Revised Non EYZ'!Y11</f>
        <v>1</v>
      </c>
      <c r="Z11">
        <f>'TEA Revised Non EYZ'!Z11</f>
        <v>0.28318429382522198</v>
      </c>
      <c r="AA11">
        <f>'TEA Revised Non EYZ'!AA11</f>
        <v>0.56945642916197003</v>
      </c>
      <c r="AB11">
        <f>'TEA Revised Non EYZ'!AB11</f>
        <v>3.7698628972227502E-3</v>
      </c>
      <c r="AC11">
        <f>'TEA Revised Non EYZ'!AC11</f>
        <v>1822.2107908876901</v>
      </c>
      <c r="AD11">
        <f>'TEA Revised Non EYZ'!AD11</f>
        <v>2662.6059073104898</v>
      </c>
      <c r="AE11">
        <f>'TEA Revised Non EYZ'!AE11</f>
        <v>2401.5030938442701</v>
      </c>
      <c r="AF11">
        <f>'TEA Revised Non EYZ'!AF11</f>
        <v>13</v>
      </c>
      <c r="AG11">
        <f>'TEA Revised Non EYZ'!AG11</f>
        <v>1.6455478770638001E-3</v>
      </c>
      <c r="AH11">
        <f>'TEA Revised Non EYZ'!AH11</f>
        <v>1.66233163271225E-3</v>
      </c>
      <c r="AI11">
        <f>'TEA Revised Non EYZ'!AI11</f>
        <v>2.0159416943409301E-5</v>
      </c>
      <c r="AJ11">
        <f>'TEA Revised Non EYZ'!AJ11</f>
        <v>0</v>
      </c>
      <c r="AK11">
        <f>'TEA Revised Non EYZ'!AK11</f>
        <v>0</v>
      </c>
      <c r="AL11">
        <f>'TEA Revised Non EYZ'!AL11</f>
        <v>0</v>
      </c>
      <c r="AM11">
        <f>'TEA Revised Non EYZ'!AM11</f>
        <v>1.60835348661086E-3</v>
      </c>
      <c r="AN11">
        <f>'TEA Revised Non EYZ'!AN11</f>
        <v>6.4624572349144705E-5</v>
      </c>
      <c r="AO11">
        <f>'TEA Revised Non EYZ'!AO11</f>
        <v>2.0025611156689701E-5</v>
      </c>
      <c r="AP11">
        <f>'TEA Revised Non EYZ'!AP11</f>
        <v>1.72976707272807E-3</v>
      </c>
      <c r="AQ11">
        <f>'TEA Revised Non EYZ'!AQ11</f>
        <v>7.43031686023614E-2</v>
      </c>
      <c r="AR11">
        <f>'TEA Revised Non EYZ'!AR11</f>
        <v>6.2227890063413899E-6</v>
      </c>
      <c r="AS11">
        <f>'TEA Revised Non EYZ'!AS11</f>
        <v>2.6305455209929499E-17</v>
      </c>
      <c r="AT11">
        <f>'TEA Revised Non EYZ'!AT11</f>
        <v>-2.1278551837200498E-15</v>
      </c>
      <c r="AU11">
        <f>'TEA Revised Non EYZ'!AU11</f>
        <v>-5.2939559203393696E-22</v>
      </c>
      <c r="AV11">
        <f>'TEA Revised Non EYZ'!AV11</f>
        <v>0.19929101787970099</v>
      </c>
      <c r="AW11">
        <f>'TEA Revised Non EYZ'!AW11</f>
        <v>99.336261623561896</v>
      </c>
      <c r="AX11">
        <f>'TEA Revised Non EYZ'!AX11</f>
        <v>500</v>
      </c>
      <c r="AY11">
        <f>'TEA Revised Non EYZ'!AY11</f>
        <v>95</v>
      </c>
      <c r="AZ11">
        <f>'TEA Revised Non EYZ'!AZ11</f>
        <v>0.92682535301965796</v>
      </c>
      <c r="BA11">
        <f>'TEA Revised Non EYZ'!BA11</f>
        <v>0.1</v>
      </c>
      <c r="BB11">
        <f>'TEA Revised Non EYZ'!BB11</f>
        <v>46.506127716158304</v>
      </c>
      <c r="BC11" t="str">
        <f>'TEA Revised Non EYZ'!BC11</f>
        <v>coeFc</v>
      </c>
      <c r="BD11">
        <f>'TEA Revised Non EYZ'!BD11</f>
        <v>1</v>
      </c>
      <c r="BE11">
        <f>'TEA Revised Non EYZ'!BE11</f>
        <v>1.8775014999999999E-2</v>
      </c>
      <c r="BF11">
        <f>'TEA Revised Non EYZ'!BF11</f>
        <v>0.10492961100000001</v>
      </c>
      <c r="BG11">
        <f>'TEA Revised Non EYZ'!BG11</f>
        <v>1.814625E-3</v>
      </c>
      <c r="BH11">
        <f>'TEA Revised Non EYZ'!BH11</f>
        <v>285.1951444</v>
      </c>
      <c r="BI11">
        <f>'TEA Revised Non EYZ'!BI11</f>
        <v>2169.8944889999998</v>
      </c>
      <c r="BJ11">
        <f>'TEA Revised Non EYZ'!BJ11</f>
        <v>866.49409060000005</v>
      </c>
      <c r="BK11">
        <f>'TEA Revised Non EYZ'!BK11</f>
        <v>100</v>
      </c>
      <c r="BL11">
        <f>'TEA Revised Non EYZ'!BL11</f>
        <v>18.892482409907799</v>
      </c>
      <c r="BM11">
        <f>'TEA Revised Non EYZ'!BM11</f>
        <v>92.6825353019658</v>
      </c>
      <c r="BN11">
        <f>'TEA Revised Non EYZ'!BN11</f>
        <v>19.929101787970101</v>
      </c>
      <c r="BO11">
        <f>'TEA Revised Non EYZ'!BO11</f>
        <v>188.92482409907799</v>
      </c>
      <c r="BP11">
        <f>'TEA Revised Non EYZ'!BP11</f>
        <v>597.87305363910298</v>
      </c>
      <c r="BQ11">
        <f>'TEA Revised Non EYZ'!BQ11</f>
        <v>18.892482409907799</v>
      </c>
      <c r="BR11">
        <f>'TEA Revised Non EYZ'!BR11</f>
        <v>59.787305363910299</v>
      </c>
      <c r="BS11">
        <f>'eLLE Bals'!CF11</f>
        <v>11.335489445944679</v>
      </c>
      <c r="BT11">
        <f>'eLLE Bals'!CG11</f>
        <v>11.95746107278206</v>
      </c>
      <c r="BU11">
        <f>BM11</f>
        <v>92.6825353019658</v>
      </c>
      <c r="BV11">
        <f>BU11*(AM11*2+AN11*2+AO11*3)</f>
        <v>0.31567976925686969</v>
      </c>
      <c r="BW11">
        <f>BN11*BA11*(AP11*2+AQ11*2+AR11*3)</f>
        <v>0.30309082724006198</v>
      </c>
      <c r="BX11">
        <f>BV11/(2*V11*BL11+BV11)</f>
        <v>7.7104587073255834E-2</v>
      </c>
      <c r="BY11">
        <f>BU11*BX11</f>
        <v>7.1462486133605294</v>
      </c>
      <c r="BZ11">
        <f>BW11/(2*BN11*BA11+BW11)</f>
        <v>7.0668478356887943E-2</v>
      </c>
      <c r="CA11">
        <f>2*BN11*BA11/0.04</f>
        <v>99.645508939850515</v>
      </c>
      <c r="CB11">
        <f>(BS11+BL11)*2</f>
        <v>60.455943711704961</v>
      </c>
      <c r="CC11">
        <f>(BU11+BL11)*2</f>
        <v>223.1500354237472</v>
      </c>
      <c r="CD11">
        <f>(BT11+BN11)*2</f>
        <v>63.773125721504321</v>
      </c>
      <c r="CE11">
        <f>(CA11+BN11)*2</f>
        <v>239.14922145564123</v>
      </c>
      <c r="CF11">
        <f>'TEA Revised Non EYZ'!CB11</f>
        <v>2493.8076781078298</v>
      </c>
      <c r="CG11">
        <f>'TEA Revised Non EYZ'!CC11</f>
        <v>7891.9243080361593</v>
      </c>
      <c r="CH11">
        <f>'TEA Revised Non EYZ'!CD11</f>
        <v>3012.9816471142385</v>
      </c>
      <c r="CI11">
        <f>'TEA Revised Non EYZ'!CE11</f>
        <v>60871.113608708845</v>
      </c>
      <c r="CJ11">
        <f>BL11*V11</f>
        <v>1.88924824099078</v>
      </c>
      <c r="CK11">
        <f>CJ11/2*1.2</f>
        <v>1.133548944594468</v>
      </c>
      <c r="CL11">
        <f>'eLLE Bals'!CB11*'Oxidant Feed Composition'!$N$20</f>
        <v>6.2974941366359366E-2</v>
      </c>
      <c r="CM11">
        <f>'eLLE Bals'!CB11*'Oxidant Feed Composition'!$N$21</f>
        <v>3.148747068317967</v>
      </c>
      <c r="CN11">
        <f>'eLLE Bals'!CB11*'Oxidant Feed Composition'!$N$22</f>
        <v>0.94462412049539002</v>
      </c>
      <c r="CO11">
        <f>CN11/CK11</f>
        <v>0.83333333333333337</v>
      </c>
      <c r="CP11">
        <f>CO11</f>
        <v>0.83333333333333337</v>
      </c>
      <c r="CQ11">
        <f>CL11/CO11</f>
        <v>7.5569929639631231E-2</v>
      </c>
      <c r="CR11">
        <f>CM11/CO11</f>
        <v>3.7784964819815601</v>
      </c>
      <c r="CS11">
        <f>BN11*BA11</f>
        <v>1.9929101787970103</v>
      </c>
      <c r="CT11">
        <f>CS11/2*1.2</f>
        <v>1.1957461072782061</v>
      </c>
      <c r="CU11">
        <f>'eLLE Bals'!CC11*'Oxidant Feed Composition'!$N$20</f>
        <v>6.6430339293233706E-2</v>
      </c>
      <c r="CV11">
        <f>'eLLE Bals'!CC11*'Oxidant Feed Composition'!$N$21</f>
        <v>3.3215169646616838</v>
      </c>
      <c r="CW11">
        <f>'eLLE Bals'!CC11*'Oxidant Feed Composition'!$N$22</f>
        <v>0.99645508939850513</v>
      </c>
      <c r="CX11">
        <f>CU11/CP11</f>
        <v>7.9716407151880442E-2</v>
      </c>
      <c r="CY11">
        <f>CV11/CP11</f>
        <v>3.9858203575940205</v>
      </c>
      <c r="CZ11">
        <f>CJ11</f>
        <v>1.88924824099078</v>
      </c>
      <c r="DA11">
        <f>'eLLE Bals'!BQ11</f>
        <v>3.7784964819815601</v>
      </c>
      <c r="DB11">
        <f>'eLLE Bals'!BU11</f>
        <v>18.834665739277149</v>
      </c>
      <c r="DC11">
        <f>CS11</f>
        <v>1.9929101787970103</v>
      </c>
      <c r="DD11">
        <f>'eLLE Bals'!BX11</f>
        <v>3.9858203575940205</v>
      </c>
      <c r="DE11">
        <f>'eLLE Bals'!CA11</f>
        <v>22.222105609145771</v>
      </c>
      <c r="DF11">
        <f>2*2*(CJ11*'Reagent cost'!$C$36*122.44/1000*0.5+CK11*'Oxidant Feed Composition'!$N$26+CQ11*'Reagent cost'!$C$34+CR11*'Reagent cost'!$C$35)</f>
        <v>126.90890181645143</v>
      </c>
      <c r="DG11">
        <f>2*2*(CS11*'Reagent cost'!$C$36*122.44/1000*0.5+CT11*'Oxidant Feed Composition'!$N$26+CX11*'Reagent cost'!$C$34+CY11*'Reagent cost'!$C$35)</f>
        <v>133.87231848225431</v>
      </c>
      <c r="DH11">
        <f>(AF11+3)*2*(CZ11*'Reagent cost'!$C$38*0.5+DA11*'Reagent cost'!$C$39+DB11*'Reagent cost'!$C$36*122.44/1000)</f>
        <v>5353.2663623329172</v>
      </c>
      <c r="DI11">
        <f>3*2*(DC11*'Reagent cost'!$C$38*0.5+DD11*'Reagent cost'!$C$39+DE11*'Reagent cost'!$C$36*122.44/1000)</f>
        <v>1180.9377260943509</v>
      </c>
      <c r="DJ11">
        <f>7963.6*(CB11/1000)^0.6*1.7*('CAPEX+OPEX'!$G$116/'CAPEX+OPEX'!$G$115)</f>
        <v>2965.5437179814326</v>
      </c>
      <c r="DK11">
        <f>7963.6*(CC11/1000)^0.6*1.7*('CAPEX+OPEX'!$G$116/'CAPEX+OPEX'!$G$115)</f>
        <v>6492.3078360569407</v>
      </c>
      <c r="DL11">
        <f>7963.6*(CD11/1000)^0.6*1.7*('CAPEX+OPEX'!$G$116/'CAPEX+OPEX'!$G$115)</f>
        <v>3062.1294762203861</v>
      </c>
      <c r="DM11">
        <f>7963.6*(CE11/1000)^0.6*1.7*('CAPEX+OPEX'!$G$116/'CAPEX+OPEX'!$G$115)</f>
        <v>6767.7188826112706</v>
      </c>
      <c r="DN11">
        <f>'TEA Revised Non EYZ'!CM11</f>
        <v>39625.826528698344</v>
      </c>
      <c r="DO11">
        <f>'TEA Revised Non EYZ'!CN11</f>
        <v>4586243.4239371875</v>
      </c>
      <c r="DP11">
        <f>'TEA Revised Non EYZ'!CO11</f>
        <v>11794834.586807497</v>
      </c>
      <c r="DQ11">
        <f>'TEA Revised Non EYZ'!CP11</f>
        <v>2275209.1661185985</v>
      </c>
      <c r="DR11">
        <f>'TEA Revised Non EYZ'!CQ11</f>
        <v>14083914.336508472</v>
      </c>
      <c r="DS11">
        <f>'TEA Revised Non EYZ'!CR11</f>
        <v>1662824.8986326549</v>
      </c>
      <c r="DT11">
        <f>'TEA Revised Non EYZ'!CS11</f>
        <v>461850.0978118488</v>
      </c>
      <c r="DU11">
        <f>'TEA Revised Non EYZ'!CT11</f>
        <v>1187779.4098672394</v>
      </c>
      <c r="DV11">
        <f>'TEA Revised Non EYZ'!CU11</f>
        <v>229121.19544936769</v>
      </c>
      <c r="DW11">
        <f>'TEA Revised Non EYZ'!CV11</f>
        <v>1418297.4196136401</v>
      </c>
      <c r="DX11">
        <f>'TEA Revised Non EYZ'!CW11</f>
        <v>167452.04540804314</v>
      </c>
      <c r="DY11">
        <f>'TEA Revised Non EYZ'!CX11</f>
        <v>3464500.168150139</v>
      </c>
      <c r="DZ11">
        <f>'TEA Revised Non EYZ'!CY11</f>
        <v>927214.80686572916</v>
      </c>
      <c r="EA11">
        <f>'TEA Revised Non EYZ'!CZ11</f>
        <v>2384597.6461561932</v>
      </c>
      <c r="EB11">
        <f>'TEA Revised Non EYZ'!DA11</f>
        <v>459985.96946054435</v>
      </c>
      <c r="EC11">
        <f>'TEA Revised Non EYZ'!DB11</f>
        <v>2847387.873761938</v>
      </c>
      <c r="ED11">
        <f>'TEA Revised Non EYZ'!DC11</f>
        <v>336178.3762261807</v>
      </c>
      <c r="EE11">
        <f>'TEA Revised Non EYZ'!DD11</f>
        <v>6955364.6724705845</v>
      </c>
      <c r="EF11">
        <v>0.7</v>
      </c>
      <c r="EG11">
        <v>100</v>
      </c>
      <c r="EH11">
        <f>96485*BL11*V11/EF11/EG11/60</f>
        <v>43.40098012666558</v>
      </c>
      <c r="EI11">
        <f>96485*BN11*BA11/EF11/EG11/60</f>
        <v>45.782366333626086</v>
      </c>
      <c r="EJ11">
        <f>EH11*('CAPEX+OPEX'!$O$25+'CAPEX+OPEX'!$O$26)</f>
        <v>1383276.0385970853</v>
      </c>
      <c r="EK11">
        <f>EI11*('CAPEX+OPEX'!$O$25+'CAPEX+OPEX'!$O$26)</f>
        <v>1459175.5797853307</v>
      </c>
      <c r="EL11">
        <f>EJ11*1.12/0.6*'CAPEX+OPEX'!$G$116/'CAPEX+OPEX'!$G$115</f>
        <v>3045497.132381544</v>
      </c>
      <c r="EM11">
        <f>EK11*1.12/0.6*'CAPEX+OPEX'!$G$116/'CAPEX+OPEX'!$G$115</f>
        <v>3212601.7655770336</v>
      </c>
      <c r="EN11">
        <f>EL11+EM11+DY11+EE11+1.15*(SUM(DF11:DM11)+SUM(CF11:CI11))</f>
        <v>16793369.127912398</v>
      </c>
      <c r="EO11">
        <f>EN11/15</f>
        <v>1119557.9418608265</v>
      </c>
      <c r="EP11">
        <f>('eLLE Bals'!CB11+'eLLE Bals'!CC11)*'Oxidant Feed Composition'!$N$29*60*7200</f>
        <v>9683489.805938296</v>
      </c>
      <c r="EQ11" s="53">
        <f>('eLLE Bals'!BR11+'eLLE Bals'!BY11)*'Reagent cost'!$C$38*60*7200*0.5</f>
        <v>261396.96907050905</v>
      </c>
      <c r="ER11">
        <f>'TEA Revised Non EYZ'!DI11</f>
        <v>504921.59999999998</v>
      </c>
      <c r="ES11">
        <f>'TEA Revised Non EYZ'!DJ11</f>
        <v>103.8573198614399</v>
      </c>
      <c r="ET11">
        <f>'TEA Revised Non EYZ'!DK11</f>
        <v>1277.6819051164618</v>
      </c>
      <c r="EU11">
        <f>1.2*SUM(EP11:ET11)</f>
        <v>12541427.897080539</v>
      </c>
      <c r="EV11">
        <f>'TEA Revised Non EYZ'!DM11</f>
        <v>0.70639694042110623</v>
      </c>
      <c r="EW11">
        <f>(BS11*CO11+BT11*CP11)/1000*('Oxidant Feed Composition'!$B$11*'Oxidant Feed Composition'!$O$20+'Oxidant Feed Composition'!$D$11*'Oxidant Feed Composition'!$O$21+'Oxidant Feed Composition'!$F$11*'Oxidant Feed Composition'!$O$27-'Oxidant Feed Composition'!$J$15*18.015)</f>
        <v>2.2668804263102191</v>
      </c>
      <c r="EX11">
        <f>(CZ11*BX11+DC11*BZ11)*368.34/1000</f>
        <v>0.10553148572040158</v>
      </c>
      <c r="EY11">
        <f>'TEA Revised Non EYZ'!DP11</f>
        <v>4.999938342565946E-2</v>
      </c>
      <c r="EZ11">
        <f>SUM(EV11:EX11)-EY11</f>
        <v>3.0288094690260676</v>
      </c>
      <c r="FA11">
        <f>EZ11*0.33*60*7200</f>
        <v>431787.07790435624</v>
      </c>
      <c r="FB11">
        <f>'TEA Revised Non EYZ'!DS11</f>
        <v>1.2</v>
      </c>
      <c r="FC11">
        <v>0.5</v>
      </c>
      <c r="FD11">
        <f>'TEA Revised Non EYZ'!DT11</f>
        <v>1410.0876751654584</v>
      </c>
      <c r="FE11">
        <f>'TEA Revised Non EYZ'!DU11</f>
        <v>712.11757706046228</v>
      </c>
      <c r="FF11">
        <f>'TEA Revised Non EYZ'!DV11</f>
        <v>0.7</v>
      </c>
      <c r="FG11">
        <f>'TEA Revised Non EYZ'!DW11</f>
        <v>27520.276190787874</v>
      </c>
      <c r="FH11">
        <f>'TEA Revised Non EYZ'!DX11</f>
        <v>16610.439588917834</v>
      </c>
      <c r="FI11">
        <f>'TEA Revised Non EYZ'!DY11</f>
        <v>7032.645793695051</v>
      </c>
      <c r="FJ11">
        <f>'TEA Revised Non EYZ'!DZ11</f>
        <v>3725.3886787897172</v>
      </c>
      <c r="FK11">
        <f>'TEA Revised Non EYZ'!EA11</f>
        <v>3750.7444233040283</v>
      </c>
      <c r="FL11">
        <f>'TEA Revised Non EYZ'!EB11</f>
        <v>852.82102594006926</v>
      </c>
      <c r="FM11">
        <f>'TEA Revised Non EYZ'!EC11</f>
        <v>51582.09712771175</v>
      </c>
      <c r="FN11">
        <f>'TEA Revised Non EYZ'!ED11</f>
        <v>54475.26822533855</v>
      </c>
      <c r="FO11">
        <f>'TEA Revised Non EYZ'!EE11</f>
        <v>23064.125659921559</v>
      </c>
      <c r="FP11">
        <f>'TEA Revised Non EYZ'!EF11</f>
        <v>12224.211528782187</v>
      </c>
      <c r="FQ11">
        <f>'TEA Revised Non EYZ'!EG11</f>
        <v>12300.867018624835</v>
      </c>
      <c r="FR11">
        <f>'TEA Revised Non EYZ'!EH11</f>
        <v>430.6887106061676</v>
      </c>
      <c r="FS11">
        <f>'TEA Revised Non EYZ'!EI11</f>
        <v>213569.57397241963</v>
      </c>
      <c r="FT11">
        <f>EG11*EH11</f>
        <v>4340.0980126665581</v>
      </c>
      <c r="FU11">
        <f>EG11*EI11</f>
        <v>4578.2366333626087</v>
      </c>
      <c r="FV11">
        <f>FC11*(FT11+FU11)/(3.6*10^6)*3600*7200*0.07</f>
        <v>2247.4203307993503</v>
      </c>
      <c r="FW11">
        <f>('CAPEX+OPEX'!$C$39/7/100+0.03)*EL11</f>
        <v>156625.56680819369</v>
      </c>
      <c r="FX11">
        <f>('CAPEX+OPEX'!$C$39/7/100+0.03)*EM11</f>
        <v>165219.51937253316</v>
      </c>
      <c r="FY11">
        <f>SUM(FV11:FX11)</f>
        <v>324092.50651152618</v>
      </c>
      <c r="FZ11">
        <f>FY11+FA11+FS11+EU11</f>
        <v>13510877.055468841</v>
      </c>
      <c r="GA11">
        <f>FZ11+EO11</f>
        <v>14630434.997329667</v>
      </c>
      <c r="GB11">
        <f>GA11/(BK11*60*7200)</f>
        <v>0.33866747679003861</v>
      </c>
      <c r="GC11">
        <f>'TEA Revised Non EYZ'!EM11/'TEA Revised Non EYZ'!EK11*GA11</f>
        <v>1132.3315666618146</v>
      </c>
      <c r="GD11">
        <f>'TEA Revised Non EYZ'!EN11/'TEA Revised Non EYZ'!EK11*GA11</f>
        <v>2060.9728687275306</v>
      </c>
    </row>
    <row r="12" spans="1:186">
      <c r="A12">
        <f>'TEA Revised Non EYZ'!A12</f>
        <v>4</v>
      </c>
      <c r="B12">
        <f>'TEA Revised Non EYZ'!B12</f>
        <v>1.54143585092054E-3</v>
      </c>
      <c r="C12">
        <f>'TEA Revised Non EYZ'!C12</f>
        <v>1.54143585092054E-3</v>
      </c>
      <c r="D12">
        <f>'TEA Revised Non EYZ'!D12</f>
        <v>3.4254130020456501E-4</v>
      </c>
      <c r="E12">
        <f>'TEA Revised Non EYZ'!E12</f>
        <v>0</v>
      </c>
      <c r="F12">
        <f>'TEA Revised Non EYZ'!F12</f>
        <v>0</v>
      </c>
      <c r="G12">
        <f>'TEA Revised Non EYZ'!G12</f>
        <v>0</v>
      </c>
      <c r="H12">
        <f>'TEA Revised Non EYZ'!H12</f>
        <v>1.7208960911287699E-5</v>
      </c>
      <c r="I12">
        <f>'TEA Revised Non EYZ'!I12</f>
        <v>2.8768784818324402E-7</v>
      </c>
      <c r="J12">
        <f>'TEA Revised Non EYZ'!J12</f>
        <v>3.3243632642994598E-4</v>
      </c>
      <c r="K12">
        <f>'TEA Revised Non EYZ'!K12</f>
        <v>0.10920586178936199</v>
      </c>
      <c r="L12">
        <f>'TEA Revised Non EYZ'!L12</f>
        <v>0.110418215553449</v>
      </c>
      <c r="M12">
        <f>'TEA Revised Non EYZ'!M12</f>
        <v>7.2398825703009801E-4</v>
      </c>
      <c r="N12">
        <f>'TEA Revised Non EYZ'!N12</f>
        <v>-2.168404344971E-18</v>
      </c>
      <c r="O12">
        <f>'TEA Revised Non EYZ'!O12</f>
        <v>2.3635607360183901E-17</v>
      </c>
      <c r="P12">
        <f>'TEA Revised Non EYZ'!P12</f>
        <v>-7.4538899358378406E-20</v>
      </c>
      <c r="Q12">
        <f>'TEA Revised Non EYZ'!Q12</f>
        <v>0.13957372480144001</v>
      </c>
      <c r="R12">
        <f>'TEA Revised Non EYZ'!R12</f>
        <v>97.0499984181222</v>
      </c>
      <c r="S12">
        <f>'TEA Revised Non EYZ'!S12</f>
        <v>500</v>
      </c>
      <c r="T12">
        <f>'TEA Revised Non EYZ'!T12</f>
        <v>95</v>
      </c>
      <c r="U12">
        <f>'TEA Revised Non EYZ'!U12</f>
        <v>1</v>
      </c>
      <c r="V12">
        <f>'TEA Revised Non EYZ'!V12</f>
        <v>0.1</v>
      </c>
      <c r="W12">
        <f>'TEA Revised Non EYZ'!W12</f>
        <v>71.646723007687299</v>
      </c>
      <c r="X12" t="str">
        <f>'TEA Revised Non EYZ'!X12</f>
        <v>ddFc</v>
      </c>
      <c r="Y12">
        <f>'TEA Revised Non EYZ'!Y12</f>
        <v>1</v>
      </c>
      <c r="Z12">
        <f>'TEA Revised Non EYZ'!Z12</f>
        <v>0.28318429382522198</v>
      </c>
      <c r="AA12">
        <f>'TEA Revised Non EYZ'!AA12</f>
        <v>0.56945642916197003</v>
      </c>
      <c r="AB12">
        <f>'TEA Revised Non EYZ'!AB12</f>
        <v>3.7698628972227502E-3</v>
      </c>
      <c r="AC12">
        <f>'TEA Revised Non EYZ'!AC12</f>
        <v>1822.2107908876901</v>
      </c>
      <c r="AD12">
        <f>'TEA Revised Non EYZ'!AD12</f>
        <v>2662.6059073104898</v>
      </c>
      <c r="AE12">
        <f>'TEA Revised Non EYZ'!AE12</f>
        <v>2401.5030938442701</v>
      </c>
      <c r="AF12">
        <f>'TEA Revised Non EYZ'!AF12</f>
        <v>4</v>
      </c>
      <c r="AG12">
        <f>'TEA Revised Non EYZ'!AG12</f>
        <v>1.6481650483119699E-3</v>
      </c>
      <c r="AH12">
        <f>'TEA Revised Non EYZ'!AH12</f>
        <v>1.6664622263884801E-3</v>
      </c>
      <c r="AI12">
        <f>'TEA Revised Non EYZ'!AI12</f>
        <v>1.0926630870116399E-5</v>
      </c>
      <c r="AJ12">
        <f>'TEA Revised Non EYZ'!AJ12</f>
        <v>0</v>
      </c>
      <c r="AK12">
        <f>'TEA Revised Non EYZ'!AK12</f>
        <v>0</v>
      </c>
      <c r="AL12">
        <f>'TEA Revised Non EYZ'!AL12</f>
        <v>0</v>
      </c>
      <c r="AM12">
        <f>'TEA Revised Non EYZ'!AM12</f>
        <v>1.6024673892141501E-3</v>
      </c>
      <c r="AN12">
        <f>'TEA Revised Non EYZ'!AN12</f>
        <v>7.3502024125801294E-5</v>
      </c>
      <c r="AO12">
        <f>'TEA Revised Non EYZ'!AO12</f>
        <v>1.0838364815948499E-5</v>
      </c>
      <c r="AP12">
        <f>'TEA Revised Non EYZ'!AP12</f>
        <v>2.0055299493415999E-3</v>
      </c>
      <c r="AQ12">
        <f>'TEA Revised Non EYZ'!AQ12</f>
        <v>6.9910132309146902E-2</v>
      </c>
      <c r="AR12">
        <f>'TEA Revised Non EYZ'!AR12</f>
        <v>3.8737261084868501E-6</v>
      </c>
      <c r="AS12">
        <f>'TEA Revised Non EYZ'!AS12</f>
        <v>-3.2526065174565099E-19</v>
      </c>
      <c r="AT12">
        <f>'TEA Revised Non EYZ'!AT12</f>
        <v>2.6020852139652099E-18</v>
      </c>
      <c r="AU12">
        <f>'TEA Revised Non EYZ'!AU12</f>
        <v>7.9409338805090598E-23</v>
      </c>
      <c r="AV12">
        <f>'TEA Revised Non EYZ'!AV12</f>
        <v>0.21072386371722801</v>
      </c>
      <c r="AW12">
        <f>'TEA Revised Non EYZ'!AW12</f>
        <v>99.192193319083202</v>
      </c>
      <c r="AX12">
        <f>'TEA Revised Non EYZ'!AX12</f>
        <v>500</v>
      </c>
      <c r="AY12">
        <f>'TEA Revised Non EYZ'!AY12</f>
        <v>95</v>
      </c>
      <c r="AZ12">
        <f>'TEA Revised Non EYZ'!AZ12</f>
        <v>0.92480233795174105</v>
      </c>
      <c r="BA12">
        <f>'TEA Revised Non EYZ'!BA12</f>
        <v>0.1</v>
      </c>
      <c r="BB12">
        <f>'TEA Revised Non EYZ'!BB12</f>
        <v>43.8869296356837</v>
      </c>
      <c r="BC12" t="str">
        <f>'TEA Revised Non EYZ'!BC12</f>
        <v>coeFc</v>
      </c>
      <c r="BD12">
        <f>'TEA Revised Non EYZ'!BD12</f>
        <v>1</v>
      </c>
      <c r="BE12">
        <f>'TEA Revised Non EYZ'!BE12</f>
        <v>1.8775014999999999E-2</v>
      </c>
      <c r="BF12">
        <f>'TEA Revised Non EYZ'!BF12</f>
        <v>0.10492961100000001</v>
      </c>
      <c r="BG12">
        <f>'TEA Revised Non EYZ'!BG12</f>
        <v>1.814625E-3</v>
      </c>
      <c r="BH12">
        <f>'TEA Revised Non EYZ'!BH12</f>
        <v>285.1951444</v>
      </c>
      <c r="BI12">
        <f>'TEA Revised Non EYZ'!BI12</f>
        <v>2169.8944889999998</v>
      </c>
      <c r="BJ12">
        <f>'TEA Revised Non EYZ'!BJ12</f>
        <v>866.49409060000005</v>
      </c>
      <c r="BK12">
        <f>'TEA Revised Non EYZ'!BK12</f>
        <v>100</v>
      </c>
      <c r="BL12">
        <f>'TEA Revised Non EYZ'!BL12</f>
        <v>13.957372480144</v>
      </c>
      <c r="BM12">
        <f>'TEA Revised Non EYZ'!BM12</f>
        <v>92.480233795174101</v>
      </c>
      <c r="BN12">
        <f>'TEA Revised Non EYZ'!BN12</f>
        <v>21.0723863717228</v>
      </c>
      <c r="BO12">
        <f>'TEA Revised Non EYZ'!BO12</f>
        <v>167.488469761728</v>
      </c>
      <c r="BP12">
        <f>'TEA Revised Non EYZ'!BP12</f>
        <v>252.8686364606736</v>
      </c>
      <c r="BQ12">
        <f>'TEA Revised Non EYZ'!BQ12</f>
        <v>16.7488469761728</v>
      </c>
      <c r="BR12">
        <f>'TEA Revised Non EYZ'!BR12</f>
        <v>25.28686364606736</v>
      </c>
      <c r="BS12">
        <f>'eLLE Bals'!CF12</f>
        <v>8.3744234880863999</v>
      </c>
      <c r="BT12">
        <f>'eLLE Bals'!CG12</f>
        <v>12.64343182303368</v>
      </c>
      <c r="BU12">
        <f>BM12</f>
        <v>92.480233795174101</v>
      </c>
      <c r="BV12">
        <f>BU12*(AM12*2+AN12*2+AO12*3)</f>
        <v>0.31299508989488789</v>
      </c>
      <c r="BW12">
        <f>BN12*BA12*(AP12*2+AQ12*2+AR12*3)</f>
        <v>0.30311141285381543</v>
      </c>
      <c r="BX12">
        <f>BV12/(2*V12*BL12+BV12)</f>
        <v>0.10082079441656405</v>
      </c>
      <c r="BY12">
        <f>BU12*BX12</f>
        <v>9.3239306390590269</v>
      </c>
      <c r="BZ12">
        <f>BW12/(2*BN12*BA12+BW12)</f>
        <v>6.709584113152027E-2</v>
      </c>
      <c r="CA12">
        <f>2*BN12*BA12/0.04</f>
        <v>105.361931858614</v>
      </c>
      <c r="CB12">
        <f>(BS12+BL12)*2</f>
        <v>44.663591936460804</v>
      </c>
      <c r="CC12">
        <f>(BU12+BL12)*2</f>
        <v>212.87521255063621</v>
      </c>
      <c r="CD12">
        <f>(BT12+BN12)*2</f>
        <v>67.43163638951296</v>
      </c>
      <c r="CE12">
        <f>(CA12+BN12)*2</f>
        <v>252.8686364606736</v>
      </c>
      <c r="CF12">
        <f>'TEA Revised Non EYZ'!CB12</f>
        <v>2210.8478008548095</v>
      </c>
      <c r="CG12">
        <f>'TEA Revised Non EYZ'!CC12</f>
        <v>3337.8660012808914</v>
      </c>
      <c r="CH12">
        <f>'TEA Revised Non EYZ'!CD12</f>
        <v>2671.1136977461792</v>
      </c>
      <c r="CI12">
        <f>'TEA Revised Non EYZ'!CE12</f>
        <v>25745.25713173945</v>
      </c>
      <c r="CJ12">
        <f>BL12*V12</f>
        <v>1.3957372480144001</v>
      </c>
      <c r="CK12">
        <f>CJ12/2*1.2</f>
        <v>0.8374423488086401</v>
      </c>
      <c r="CL12">
        <f>'eLLE Bals'!CB12*'Oxidant Feed Composition'!$N$20</f>
        <v>4.6524574933813359E-2</v>
      </c>
      <c r="CM12">
        <f>'eLLE Bals'!CB12*'Oxidant Feed Composition'!$N$21</f>
        <v>2.326228746690667</v>
      </c>
      <c r="CN12">
        <f>'eLLE Bals'!CB12*'Oxidant Feed Composition'!$N$22</f>
        <v>0.69786862400720007</v>
      </c>
      <c r="CO12">
        <f>CN12/CK12</f>
        <v>0.83333333333333326</v>
      </c>
      <c r="CP12">
        <f>CO12</f>
        <v>0.83333333333333326</v>
      </c>
      <c r="CQ12">
        <f>CL12/CO12</f>
        <v>5.5829489920576035E-2</v>
      </c>
      <c r="CR12">
        <f>CM12/CO12</f>
        <v>2.7914744960288007</v>
      </c>
      <c r="CS12">
        <f>BN12*BA12</f>
        <v>2.10723863717228</v>
      </c>
      <c r="CT12">
        <f>CS12/2*1.2</f>
        <v>1.264343182303368</v>
      </c>
      <c r="CU12">
        <f>'eLLE Bals'!CC12*'Oxidant Feed Composition'!$N$20</f>
        <v>7.0241287905742703E-2</v>
      </c>
      <c r="CV12">
        <f>'eLLE Bals'!CC12*'Oxidant Feed Composition'!$N$21</f>
        <v>3.5120643952871338</v>
      </c>
      <c r="CW12">
        <f>'eLLE Bals'!CC12*'Oxidant Feed Composition'!$N$22</f>
        <v>1.05361931858614</v>
      </c>
      <c r="CX12">
        <f>CU12/CP12</f>
        <v>8.4289545486891257E-2</v>
      </c>
      <c r="CY12">
        <f>CV12/CP12</f>
        <v>4.2144772743445609</v>
      </c>
      <c r="CZ12">
        <f>CJ12</f>
        <v>1.3957372480144001</v>
      </c>
      <c r="DA12">
        <f>'eLLE Bals'!BQ12</f>
        <v>2.7914744960288003</v>
      </c>
      <c r="DB12">
        <f>'eLLE Bals'!BU12</f>
        <v>9.6565320599145217</v>
      </c>
      <c r="DC12">
        <f>CS12</f>
        <v>2.10723863717228</v>
      </c>
      <c r="DD12">
        <f>'eLLE Bals'!BX12</f>
        <v>4.21447727434456</v>
      </c>
      <c r="DE12">
        <f>'eLLE Bals'!CA12</f>
        <v>25.08468129038577</v>
      </c>
      <c r="DF12">
        <f>2*2*(CJ12*'Reagent cost'!$C$36*122.44/1000*0.5+CK12*'Oxidant Feed Composition'!$N$26+CQ12*'Reagent cost'!$C$34+CR12*'Reagent cost'!$C$35)</f>
        <v>93.757653190631231</v>
      </c>
      <c r="DG12">
        <f>2*2*(CS12*'Reagent cost'!$C$36*122.44/1000*0.5+CT12*'Oxidant Feed Composition'!$N$26+CX12*'Reagent cost'!$C$34+CY12*'Reagent cost'!$C$35)</f>
        <v>141.55225105224008</v>
      </c>
      <c r="DH12">
        <f>(AF12+3)*2*(CZ12*'Reagent cost'!$C$38*0.5+DA12*'Reagent cost'!$C$39+DB12*'Reagent cost'!$C$36*122.44/1000)</f>
        <v>1214.7975586055838</v>
      </c>
      <c r="DI12">
        <f>3*2*(DC12*'Reagent cost'!$C$38*0.5+DD12*'Reagent cost'!$C$39+DE12*'Reagent cost'!$C$36*122.44/1000)</f>
        <v>1331.0580332466034</v>
      </c>
      <c r="DJ12">
        <f>7963.6*(CB12/1000)^0.6*1.7*('CAPEX+OPEX'!$G$116/'CAPEX+OPEX'!$G$115)</f>
        <v>2472.9373618126128</v>
      </c>
      <c r="DK12">
        <f>7963.6*(CC12/1000)^0.6*1.7*('CAPEX+OPEX'!$G$116/'CAPEX+OPEX'!$G$115)</f>
        <v>6311.2587327211604</v>
      </c>
      <c r="DL12">
        <f>7963.6*(CD12/1000)^0.6*1.7*('CAPEX+OPEX'!$G$116/'CAPEX+OPEX'!$G$115)</f>
        <v>3166.3516645760283</v>
      </c>
      <c r="DM12">
        <f>7963.6*(CE12/1000)^0.6*1.7*('CAPEX+OPEX'!$G$116/'CAPEX+OPEX'!$G$115)</f>
        <v>6998.0639668407448</v>
      </c>
      <c r="DN12">
        <f>'TEA Revised Non EYZ'!CM12</f>
        <v>39625.826528698344</v>
      </c>
      <c r="DO12">
        <f>'TEA Revised Non EYZ'!CN12</f>
        <v>4586243.4239371875</v>
      </c>
      <c r="DP12">
        <f>'TEA Revised Non EYZ'!CO12</f>
        <v>11794834.586807497</v>
      </c>
      <c r="DQ12">
        <f>'TEA Revised Non EYZ'!CP12</f>
        <v>2275209.1661185985</v>
      </c>
      <c r="DR12">
        <f>'TEA Revised Non EYZ'!CQ12</f>
        <v>14083914.336508472</v>
      </c>
      <c r="DS12">
        <f>'TEA Revised Non EYZ'!CR12</f>
        <v>1662824.8986326549</v>
      </c>
      <c r="DT12">
        <f>'TEA Revised Non EYZ'!CS12</f>
        <v>528015.95740622084</v>
      </c>
      <c r="DU12">
        <f>'TEA Revised Non EYZ'!CT12</f>
        <v>1357943.8117688675</v>
      </c>
      <c r="DV12">
        <f>'TEA Revised Non EYZ'!CU12</f>
        <v>261945.7004565605</v>
      </c>
      <c r="DW12">
        <f>'TEA Revised Non EYZ'!CV12</f>
        <v>1621486.4378120217</v>
      </c>
      <c r="DX12">
        <f>'TEA Revised Non EYZ'!CW12</f>
        <v>191441.6658016555</v>
      </c>
      <c r="DY12">
        <f>'TEA Revised Non EYZ'!CX12</f>
        <v>3960833.5732453261</v>
      </c>
      <c r="DZ12">
        <f>'TEA Revised Non EYZ'!CY12</f>
        <v>499116.89330887963</v>
      </c>
      <c r="EA12">
        <f>'TEA Revised Non EYZ'!CZ12</f>
        <v>1283621.6161866134</v>
      </c>
      <c r="EB12">
        <f>'TEA Revised Non EYZ'!DA12</f>
        <v>247609.03982853101</v>
      </c>
      <c r="EC12">
        <f>'TEA Revised Non EYZ'!DB12</f>
        <v>1532740.1795938283</v>
      </c>
      <c r="ED12">
        <f>'TEA Revised Non EYZ'!DC12</f>
        <v>180963.79123498313</v>
      </c>
      <c r="EE12">
        <f>'TEA Revised Non EYZ'!DD12</f>
        <v>3744051.5201528352</v>
      </c>
      <c r="EF12">
        <v>0.7</v>
      </c>
      <c r="EG12">
        <v>100</v>
      </c>
      <c r="EH12">
        <f>96485*BL12*V12/EF12/EG12/60</f>
        <v>32.063740089207002</v>
      </c>
      <c r="EI12">
        <f>96485*BN12*BA12/EF12/EG12/60</f>
        <v>48.408790454182729</v>
      </c>
      <c r="EJ12">
        <f>EH12*('CAPEX+OPEX'!$O$25+'CAPEX+OPEX'!$O$26)</f>
        <v>1021935.5241232056</v>
      </c>
      <c r="EK12">
        <f>EI12*('CAPEX+OPEX'!$O$25+'CAPEX+OPEX'!$O$26)</f>
        <v>1542884.9693557119</v>
      </c>
      <c r="EL12">
        <f>EJ12*1.12/0.6*'CAPEX+OPEX'!$G$116/'CAPEX+OPEX'!$G$115</f>
        <v>2249949.8446835969</v>
      </c>
      <c r="EM12">
        <f>EK12*1.12/0.6*'CAPEX+OPEX'!$G$116/'CAPEX+OPEX'!$G$115</f>
        <v>3396900.9934799206</v>
      </c>
      <c r="EN12">
        <f>EL12+EM12+DY12+EE12+1.15*(SUM(DF12:DM12)+SUM(CF12:CI12))</f>
        <v>13415785.022693396</v>
      </c>
      <c r="EO12">
        <f>EN12/15</f>
        <v>894385.66817955975</v>
      </c>
      <c r="EP12">
        <f>('eLLE Bals'!CB12+'eLLE Bals'!CC12)*'Oxidant Feed Composition'!$N$29*60*7200</f>
        <v>8737673.1206417698</v>
      </c>
      <c r="EQ12" s="53">
        <f>('eLLE Bals'!BR12+'eLLE Bals'!BY12)*'Reagent cost'!$C$38*60*7200*0.5</f>
        <v>257383.16903276913</v>
      </c>
      <c r="ER12">
        <f>'TEA Revised Non EYZ'!DI12</f>
        <v>504921.59999999998</v>
      </c>
      <c r="ES12">
        <f>'TEA Revised Non EYZ'!DJ12</f>
        <v>55.487138021357005</v>
      </c>
      <c r="ET12">
        <f>'TEA Revised Non EYZ'!DK12</f>
        <v>568.32741658971258</v>
      </c>
      <c r="EU12">
        <f>1.2*SUM(EP12:ET12)</f>
        <v>11400722.045074979</v>
      </c>
      <c r="EV12">
        <f>'TEA Revised Non EYZ'!DM12</f>
        <v>0.70639694042110623</v>
      </c>
      <c r="EW12">
        <f>(BS12*CO12+BT12*CP12)/1000*('Oxidant Feed Composition'!$B$11*'Oxidant Feed Composition'!$O$20+'Oxidant Feed Composition'!$D$11*'Oxidant Feed Composition'!$O$21+'Oxidant Feed Composition'!$F$11*'Oxidant Feed Composition'!$O$27-'Oxidant Feed Composition'!$J$15*18.015)</f>
        <v>2.0454671369130955</v>
      </c>
      <c r="EX12">
        <f>(CZ12*BX12+DC12*BZ12)*368.34/1000</f>
        <v>0.10391102974161383</v>
      </c>
      <c r="EY12">
        <f>'TEA Revised Non EYZ'!DP12</f>
        <v>4.999938342565946E-2</v>
      </c>
      <c r="EZ12">
        <f>SUM(EV12:EX12)-EY12</f>
        <v>2.8057757236501559</v>
      </c>
      <c r="FA12">
        <f>EZ12*0.33*60*7200</f>
        <v>399991.38716356625</v>
      </c>
      <c r="FB12">
        <f>'TEA Revised Non EYZ'!DS12</f>
        <v>1.2</v>
      </c>
      <c r="FC12">
        <v>0.5</v>
      </c>
      <c r="FD12">
        <f>'TEA Revised Non EYZ'!DT12</f>
        <v>1399.9243143059966</v>
      </c>
      <c r="FE12">
        <f>'TEA Revised Non EYZ'!DU12</f>
        <v>715.74335746108125</v>
      </c>
      <c r="FF12">
        <f>'TEA Revised Non EYZ'!DV12</f>
        <v>0.7</v>
      </c>
      <c r="FG12">
        <f>'TEA Revised Non EYZ'!DW12</f>
        <v>30272.303809866662</v>
      </c>
      <c r="FH12">
        <f>'TEA Revised Non EYZ'!DX12</f>
        <v>20763.049486147294</v>
      </c>
      <c r="FI12">
        <f>'TEA Revised Non EYZ'!DY12</f>
        <v>8790.8072421188135</v>
      </c>
      <c r="FJ12">
        <f>'TEA Revised Non EYZ'!DZ12</f>
        <v>4656.7358484871465</v>
      </c>
      <c r="FK12">
        <f>'TEA Revised Non EYZ'!EA12</f>
        <v>4688.4305291300352</v>
      </c>
      <c r="FL12">
        <f>'TEA Revised Non EYZ'!EB12</f>
        <v>846.6742252922669</v>
      </c>
      <c r="FM12">
        <f>'TEA Revised Non EYZ'!EC12</f>
        <v>28317.261416507248</v>
      </c>
      <c r="FN12">
        <f>'TEA Revised Non EYZ'!ED12</f>
        <v>19419.096223372169</v>
      </c>
      <c r="FO12">
        <f>'TEA Revised Non EYZ'!EE12</f>
        <v>8221.7947719922486</v>
      </c>
      <c r="FP12">
        <f>'TEA Revised Non EYZ'!EF12</f>
        <v>4357.6980650255673</v>
      </c>
      <c r="FQ12">
        <f>'TEA Revised Non EYZ'!EG12</f>
        <v>4384.9572117292009</v>
      </c>
      <c r="FR12">
        <f>'TEA Revised Non EYZ'!EH12</f>
        <v>432.88158259246194</v>
      </c>
      <c r="FS12">
        <f>'TEA Revised Non EYZ'!EI12</f>
        <v>135151.69041226112</v>
      </c>
      <c r="FT12">
        <f>EG12*EH12</f>
        <v>3206.3740089207004</v>
      </c>
      <c r="FU12">
        <f>EG12*EI12</f>
        <v>4840.8790454182727</v>
      </c>
      <c r="FV12">
        <f>FC12*(FT12+FU12)/(3.6*10^6)*3600*7200*0.07</f>
        <v>2027.9077696934212</v>
      </c>
      <c r="FW12">
        <f>('CAPEX+OPEX'!$C$39/7/100+0.03)*EL12</f>
        <v>115711.70629801355</v>
      </c>
      <c r="FX12">
        <f>('CAPEX+OPEX'!$C$39/7/100+0.03)*EM12</f>
        <v>174697.76537896733</v>
      </c>
      <c r="FY12">
        <f>SUM(FV12:FX12)</f>
        <v>292437.37944667431</v>
      </c>
      <c r="FZ12">
        <f>FY12+FA12+FS12+EU12</f>
        <v>12228302.50209748</v>
      </c>
      <c r="GA12">
        <f>FZ12+EO12</f>
        <v>13122688.17027704</v>
      </c>
      <c r="GB12">
        <f>GA12/(BK12*60*7200)</f>
        <v>0.3037659298675241</v>
      </c>
      <c r="GC12">
        <f>'TEA Revised Non EYZ'!EM12/'TEA Revised Non EYZ'!EK12*GA12</f>
        <v>1021.4974328254144</v>
      </c>
      <c r="GD12">
        <f>'TEA Revised Non EYZ'!EN12/'TEA Revised Non EYZ'!EK12*GA12</f>
        <v>1840.6931755288745</v>
      </c>
    </row>
    <row r="13" spans="1:186">
      <c r="A13">
        <f>'TEA Revised Non EYZ'!A13</f>
        <v>4</v>
      </c>
      <c r="B13">
        <f>'TEA Revised Non EYZ'!B13</f>
        <v>1.54143585092054E-3</v>
      </c>
      <c r="C13">
        <f>'TEA Revised Non EYZ'!C13</f>
        <v>1.54143585092054E-3</v>
      </c>
      <c r="D13">
        <f>'TEA Revised Non EYZ'!D13</f>
        <v>3.4254130020456501E-4</v>
      </c>
      <c r="E13">
        <f>'TEA Revised Non EYZ'!E13</f>
        <v>0</v>
      </c>
      <c r="F13">
        <f>'TEA Revised Non EYZ'!F13</f>
        <v>0</v>
      </c>
      <c r="G13">
        <f>'TEA Revised Non EYZ'!G13</f>
        <v>0</v>
      </c>
      <c r="H13">
        <f>'TEA Revised Non EYZ'!H13</f>
        <v>1.7208960911287699E-5</v>
      </c>
      <c r="I13">
        <f>'TEA Revised Non EYZ'!I13</f>
        <v>2.8768784818324402E-7</v>
      </c>
      <c r="J13">
        <f>'TEA Revised Non EYZ'!J13</f>
        <v>3.3243632642994598E-4</v>
      </c>
      <c r="K13">
        <f>'TEA Revised Non EYZ'!K13</f>
        <v>0.10920586178936199</v>
      </c>
      <c r="L13">
        <f>'TEA Revised Non EYZ'!L13</f>
        <v>0.110418215553449</v>
      </c>
      <c r="M13">
        <f>'TEA Revised Non EYZ'!M13</f>
        <v>7.2398825703009801E-4</v>
      </c>
      <c r="N13">
        <f>'TEA Revised Non EYZ'!N13</f>
        <v>-2.168404344971E-18</v>
      </c>
      <c r="O13">
        <f>'TEA Revised Non EYZ'!O13</f>
        <v>2.3635607360183901E-17</v>
      </c>
      <c r="P13">
        <f>'TEA Revised Non EYZ'!P13</f>
        <v>-7.4538899358378406E-20</v>
      </c>
      <c r="Q13">
        <f>'TEA Revised Non EYZ'!Q13</f>
        <v>0.13957372480144001</v>
      </c>
      <c r="R13">
        <f>'TEA Revised Non EYZ'!R13</f>
        <v>97.0499984181222</v>
      </c>
      <c r="S13">
        <f>'TEA Revised Non EYZ'!S13</f>
        <v>500</v>
      </c>
      <c r="T13">
        <f>'TEA Revised Non EYZ'!T13</f>
        <v>95</v>
      </c>
      <c r="U13">
        <f>'TEA Revised Non EYZ'!U13</f>
        <v>1</v>
      </c>
      <c r="V13">
        <f>'TEA Revised Non EYZ'!V13</f>
        <v>0.1</v>
      </c>
      <c r="W13">
        <f>'TEA Revised Non EYZ'!W13</f>
        <v>71.646723007687299</v>
      </c>
      <c r="X13" t="str">
        <f>'TEA Revised Non EYZ'!X13</f>
        <v>ddFc</v>
      </c>
      <c r="Y13">
        <f>'TEA Revised Non EYZ'!Y13</f>
        <v>1</v>
      </c>
      <c r="Z13">
        <f>'TEA Revised Non EYZ'!Z13</f>
        <v>0.28318429382522198</v>
      </c>
      <c r="AA13">
        <f>'TEA Revised Non EYZ'!AA13</f>
        <v>0.56945642916197003</v>
      </c>
      <c r="AB13">
        <f>'TEA Revised Non EYZ'!AB13</f>
        <v>3.7698628972227502E-3</v>
      </c>
      <c r="AC13">
        <f>'TEA Revised Non EYZ'!AC13</f>
        <v>1822.2107908876901</v>
      </c>
      <c r="AD13">
        <f>'TEA Revised Non EYZ'!AD13</f>
        <v>2662.6059073104898</v>
      </c>
      <c r="AE13">
        <f>'TEA Revised Non EYZ'!AE13</f>
        <v>2401.5030938442701</v>
      </c>
      <c r="AF13">
        <f>'TEA Revised Non EYZ'!AF13</f>
        <v>5</v>
      </c>
      <c r="AG13">
        <f>'TEA Revised Non EYZ'!AG13</f>
        <v>1.6481650483119699E-3</v>
      </c>
      <c r="AH13">
        <f>'TEA Revised Non EYZ'!AH13</f>
        <v>1.6664622263884801E-3</v>
      </c>
      <c r="AI13">
        <f>'TEA Revised Non EYZ'!AI13</f>
        <v>1.0926630870116399E-5</v>
      </c>
      <c r="AJ13">
        <f>'TEA Revised Non EYZ'!AJ13</f>
        <v>0</v>
      </c>
      <c r="AK13">
        <f>'TEA Revised Non EYZ'!AK13</f>
        <v>0</v>
      </c>
      <c r="AL13">
        <f>'TEA Revised Non EYZ'!AL13</f>
        <v>0</v>
      </c>
      <c r="AM13">
        <f>'TEA Revised Non EYZ'!AM13</f>
        <v>1.6085253260061899E-3</v>
      </c>
      <c r="AN13">
        <f>'TEA Revised Non EYZ'!AN13</f>
        <v>7.3809557032336595E-5</v>
      </c>
      <c r="AO13">
        <f>'TEA Revised Non EYZ'!AO13</f>
        <v>1.08496706522018E-5</v>
      </c>
      <c r="AP13">
        <f>'TEA Revised Non EYZ'!AP13</f>
        <v>1.817766908322E-3</v>
      </c>
      <c r="AQ13">
        <f>'TEA Revised Non EYZ'!AQ13</f>
        <v>7.3034601414750294E-2</v>
      </c>
      <c r="AR13">
        <f>'TEA Revised Non EYZ'!AR13</f>
        <v>3.5291805604209299E-6</v>
      </c>
      <c r="AS13">
        <f>'TEA Revised Non EYZ'!AS13</f>
        <v>-2.4283418158244002E-16</v>
      </c>
      <c r="AT13">
        <f>'TEA Revised Non EYZ'!AT13</f>
        <v>-3.67848113080881E-15</v>
      </c>
      <c r="AU13">
        <f>'TEA Revised Non EYZ'!AU13</f>
        <v>-2.6574335231123502E-19</v>
      </c>
      <c r="AV13">
        <f>'TEA Revised Non EYZ'!AV13</f>
        <v>0.201670014436726</v>
      </c>
      <c r="AW13">
        <f>'TEA Revised Non EYZ'!AW13</f>
        <v>99.295663788504896</v>
      </c>
      <c r="AX13">
        <f>'TEA Revised Non EYZ'!AX13</f>
        <v>500</v>
      </c>
      <c r="AY13">
        <f>'TEA Revised Non EYZ'!AY13</f>
        <v>95</v>
      </c>
      <c r="AZ13">
        <f>'TEA Revised Non EYZ'!AZ13</f>
        <v>0.92480233795174105</v>
      </c>
      <c r="BA13">
        <f>'TEA Revised Non EYZ'!BA13</f>
        <v>0.1</v>
      </c>
      <c r="BB13">
        <f>'TEA Revised Non EYZ'!BB13</f>
        <v>45.857205918031703</v>
      </c>
      <c r="BC13" t="str">
        <f>'TEA Revised Non EYZ'!BC13</f>
        <v>coeFc</v>
      </c>
      <c r="BD13">
        <f>'TEA Revised Non EYZ'!BD13</f>
        <v>1</v>
      </c>
      <c r="BE13">
        <f>'TEA Revised Non EYZ'!BE13</f>
        <v>1.8775014999999999E-2</v>
      </c>
      <c r="BF13">
        <f>'TEA Revised Non EYZ'!BF13</f>
        <v>0.10492961100000001</v>
      </c>
      <c r="BG13">
        <f>'TEA Revised Non EYZ'!BG13</f>
        <v>1.814625E-3</v>
      </c>
      <c r="BH13">
        <f>'TEA Revised Non EYZ'!BH13</f>
        <v>285.1951444</v>
      </c>
      <c r="BI13">
        <f>'TEA Revised Non EYZ'!BI13</f>
        <v>2169.8944889999998</v>
      </c>
      <c r="BJ13">
        <f>'TEA Revised Non EYZ'!BJ13</f>
        <v>866.49409060000005</v>
      </c>
      <c r="BK13">
        <f>'TEA Revised Non EYZ'!BK13</f>
        <v>100</v>
      </c>
      <c r="BL13">
        <f>'TEA Revised Non EYZ'!BL13</f>
        <v>13.957372480144</v>
      </c>
      <c r="BM13">
        <f>'TEA Revised Non EYZ'!BM13</f>
        <v>92.480233795174101</v>
      </c>
      <c r="BN13">
        <f>'TEA Revised Non EYZ'!BN13</f>
        <v>20.1670014436726</v>
      </c>
      <c r="BO13">
        <f>'TEA Revised Non EYZ'!BO13</f>
        <v>167.488469761728</v>
      </c>
      <c r="BP13">
        <f>'TEA Revised Non EYZ'!BP13</f>
        <v>282.33802021141639</v>
      </c>
      <c r="BQ13">
        <f>'TEA Revised Non EYZ'!BQ13</f>
        <v>16.7488469761728</v>
      </c>
      <c r="BR13">
        <f>'TEA Revised Non EYZ'!BR13</f>
        <v>28.233802021141642</v>
      </c>
      <c r="BS13">
        <f>'eLLE Bals'!CF13</f>
        <v>8.3744234880863999</v>
      </c>
      <c r="BT13">
        <f>'eLLE Bals'!CG13</f>
        <v>12.10020086620356</v>
      </c>
      <c r="BU13">
        <f>BM13</f>
        <v>92.480233795174101</v>
      </c>
      <c r="BV13">
        <f>BU13*(AM13*2+AN13*2+AO13*3)</f>
        <v>0.31417558684590846</v>
      </c>
      <c r="BW13">
        <f>BN13*BA13*(AP13*2+AQ13*2+AR13*3)</f>
        <v>0.30193091590357951</v>
      </c>
      <c r="BX13">
        <f>BV13/(2*V13*BL13+BV13)</f>
        <v>0.10116258382692474</v>
      </c>
      <c r="BY13">
        <f>BU13*BX13</f>
        <v>9.3555394036378985</v>
      </c>
      <c r="BZ13">
        <f>BW13/(2*BN13*BA13+BW13)</f>
        <v>6.9644255917647654E-2</v>
      </c>
      <c r="CA13">
        <f>2*BN13*BA13/0.04</f>
        <v>100.835007218363</v>
      </c>
      <c r="CB13">
        <f>(BS13+BL13)*2</f>
        <v>44.663591936460804</v>
      </c>
      <c r="CC13">
        <f>(BU13+BL13)*2</f>
        <v>212.87521255063621</v>
      </c>
      <c r="CD13">
        <f>(BT13+BN13)*2</f>
        <v>64.534404619752323</v>
      </c>
      <c r="CE13">
        <f>(CA13+BN13)*2</f>
        <v>242.00401732407121</v>
      </c>
      <c r="CF13">
        <f>'TEA Revised Non EYZ'!CB13</f>
        <v>2210.8478008548095</v>
      </c>
      <c r="CG13">
        <f>'TEA Revised Non EYZ'!CC13</f>
        <v>3726.8618667906962</v>
      </c>
      <c r="CH13">
        <f>'TEA Revised Non EYZ'!CD13</f>
        <v>2671.1136977461792</v>
      </c>
      <c r="CI13">
        <f>'TEA Revised Non EYZ'!CE13</f>
        <v>28745.61681570829</v>
      </c>
      <c r="CJ13">
        <f>BL13*V13</f>
        <v>1.3957372480144001</v>
      </c>
      <c r="CK13">
        <f>CJ13/2*1.2</f>
        <v>0.8374423488086401</v>
      </c>
      <c r="CL13">
        <f>'eLLE Bals'!CB13*'Oxidant Feed Composition'!$N$20</f>
        <v>4.6524574933813359E-2</v>
      </c>
      <c r="CM13">
        <f>'eLLE Bals'!CB13*'Oxidant Feed Composition'!$N$21</f>
        <v>2.326228746690667</v>
      </c>
      <c r="CN13">
        <f>'eLLE Bals'!CB13*'Oxidant Feed Composition'!$N$22</f>
        <v>0.69786862400720007</v>
      </c>
      <c r="CO13">
        <f>CN13/CK13</f>
        <v>0.83333333333333326</v>
      </c>
      <c r="CP13">
        <f>CO13</f>
        <v>0.83333333333333326</v>
      </c>
      <c r="CQ13">
        <f>CL13/CO13</f>
        <v>5.5829489920576035E-2</v>
      </c>
      <c r="CR13">
        <f>CM13/CO13</f>
        <v>2.7914744960288007</v>
      </c>
      <c r="CS13">
        <f>BN13*BA13</f>
        <v>2.0167001443672601</v>
      </c>
      <c r="CT13">
        <f>CS13/2*1.2</f>
        <v>1.2100200866203561</v>
      </c>
      <c r="CU13">
        <f>'eLLE Bals'!CC13*'Oxidant Feed Composition'!$N$20</f>
        <v>6.7223338145575365E-2</v>
      </c>
      <c r="CV13">
        <f>'eLLE Bals'!CC13*'Oxidant Feed Composition'!$N$21</f>
        <v>3.3611669072787671</v>
      </c>
      <c r="CW13">
        <f>'eLLE Bals'!CC13*'Oxidant Feed Composition'!$N$22</f>
        <v>1.00835007218363</v>
      </c>
      <c r="CX13">
        <f>CU13/CP13</f>
        <v>8.0668005774690452E-2</v>
      </c>
      <c r="CY13">
        <f>CV13/CP13</f>
        <v>4.0334002887345211</v>
      </c>
      <c r="CZ13">
        <f>CJ13</f>
        <v>1.3957372480144001</v>
      </c>
      <c r="DA13">
        <f>'eLLE Bals'!BQ13</f>
        <v>2.7914744960288003</v>
      </c>
      <c r="DB13">
        <f>'eLLE Bals'!BU13</f>
        <v>9.6097593812003357</v>
      </c>
      <c r="DC13">
        <f>CS13</f>
        <v>2.0167001443672601</v>
      </c>
      <c r="DD13">
        <f>'eLLE Bals'!BX13</f>
        <v>4.0334002887345202</v>
      </c>
      <c r="DE13">
        <f>'eLLE Bals'!CA13</f>
        <v>22.907063625797061</v>
      </c>
      <c r="DF13">
        <f>2*2*(CJ13*'Reagent cost'!$C$36*122.44/1000*0.5+CK13*'Oxidant Feed Composition'!$N$26+CQ13*'Reagent cost'!$C$34+CR13*'Reagent cost'!$C$35)</f>
        <v>93.757653190631231</v>
      </c>
      <c r="DG13">
        <f>2*2*(CS13*'Reagent cost'!$C$36*122.44/1000*0.5+CT13*'Oxidant Feed Composition'!$N$26+CX13*'Reagent cost'!$C$34+CY13*'Reagent cost'!$C$35)</f>
        <v>135.47039243530364</v>
      </c>
      <c r="DH13">
        <f>(AF13+3)*2*(CZ13*'Reagent cost'!$C$38*0.5+DA13*'Reagent cost'!$C$39+DB13*'Reagent cost'!$C$36*122.44/1000)</f>
        <v>1381.8691882621583</v>
      </c>
      <c r="DI13">
        <f>3*2*(DC13*'Reagent cost'!$C$38*0.5+DD13*'Reagent cost'!$C$39+DE13*'Reagent cost'!$C$36*122.44/1000)</f>
        <v>1216.8083637554255</v>
      </c>
      <c r="DJ13">
        <f>7963.6*(CB13/1000)^0.6*1.7*('CAPEX+OPEX'!$G$116/'CAPEX+OPEX'!$G$115)</f>
        <v>2472.9373618126128</v>
      </c>
      <c r="DK13">
        <f>7963.6*(CC13/1000)^0.6*1.7*('CAPEX+OPEX'!$G$116/'CAPEX+OPEX'!$G$115)</f>
        <v>6311.2587327211604</v>
      </c>
      <c r="DL13">
        <f>7963.6*(CD13/1000)^0.6*1.7*('CAPEX+OPEX'!$G$116/'CAPEX+OPEX'!$G$115)</f>
        <v>3084.0095376508261</v>
      </c>
      <c r="DM13">
        <f>7963.6*(CE13/1000)^0.6*1.7*('CAPEX+OPEX'!$G$116/'CAPEX+OPEX'!$G$115)</f>
        <v>6816.076767555528</v>
      </c>
      <c r="DN13">
        <f>'TEA Revised Non EYZ'!CM13</f>
        <v>39625.826528698344</v>
      </c>
      <c r="DO13">
        <f>'TEA Revised Non EYZ'!CN13</f>
        <v>4586243.4239371875</v>
      </c>
      <c r="DP13">
        <f>'TEA Revised Non EYZ'!CO13</f>
        <v>11794834.586807497</v>
      </c>
      <c r="DQ13">
        <f>'TEA Revised Non EYZ'!CP13</f>
        <v>2275209.1661185985</v>
      </c>
      <c r="DR13">
        <f>'TEA Revised Non EYZ'!CQ13</f>
        <v>14083914.336508472</v>
      </c>
      <c r="DS13">
        <f>'TEA Revised Non EYZ'!CR13</f>
        <v>1662824.8986326549</v>
      </c>
      <c r="DT13">
        <f>'TEA Revised Non EYZ'!CS13</f>
        <v>528015.95740622084</v>
      </c>
      <c r="DU13">
        <f>'TEA Revised Non EYZ'!CT13</f>
        <v>1357943.8117688675</v>
      </c>
      <c r="DV13">
        <f>'TEA Revised Non EYZ'!CU13</f>
        <v>261945.7004565605</v>
      </c>
      <c r="DW13">
        <f>'TEA Revised Non EYZ'!CV13</f>
        <v>1621486.4378120217</v>
      </c>
      <c r="DX13">
        <f>'TEA Revised Non EYZ'!CW13</f>
        <v>191441.6658016555</v>
      </c>
      <c r="DY13">
        <f>'TEA Revised Non EYZ'!CX13</f>
        <v>3960833.5732453261</v>
      </c>
      <c r="DZ13">
        <f>'TEA Revised Non EYZ'!CY13</f>
        <v>556815.11649124604</v>
      </c>
      <c r="EA13">
        <f>'TEA Revised Non EYZ'!CZ13</f>
        <v>1432009.0730836319</v>
      </c>
      <c r="EB13">
        <f>'TEA Revised Non EYZ'!DA13</f>
        <v>276232.79877863475</v>
      </c>
      <c r="EC13">
        <f>'TEA Revised Non EYZ'!DB13</f>
        <v>1709925.8973051622</v>
      </c>
      <c r="ED13">
        <f>'TEA Revised Non EYZ'!DC13</f>
        <v>201883.31801233388</v>
      </c>
      <c r="EE13">
        <f>'TEA Revised Non EYZ'!DD13</f>
        <v>4176866.2036710088</v>
      </c>
      <c r="EF13">
        <v>0.7</v>
      </c>
      <c r="EG13">
        <v>100</v>
      </c>
      <c r="EH13">
        <f>96485*BL13*V13/EF13/EG13/60</f>
        <v>32.063740089207002</v>
      </c>
      <c r="EI13">
        <f>96485*BN13*BA13/EF13/EG13/60</f>
        <v>46.328884149827402</v>
      </c>
      <c r="EJ13">
        <f>EH13*('CAPEX+OPEX'!$O$25+'CAPEX+OPEX'!$O$26)</f>
        <v>1021935.5241232056</v>
      </c>
      <c r="EK13">
        <f>EI13*('CAPEX+OPEX'!$O$25+'CAPEX+OPEX'!$O$26)</f>
        <v>1476594.1956232989</v>
      </c>
      <c r="EL13">
        <f>EJ13*1.12/0.6*'CAPEX+OPEX'!$G$116/'CAPEX+OPEX'!$G$115</f>
        <v>2249949.8446835969</v>
      </c>
      <c r="EM13">
        <f>EK13*1.12/0.6*'CAPEX+OPEX'!$G$116/'CAPEX+OPEX'!$G$115</f>
        <v>3250951.5548485876</v>
      </c>
      <c r="EN13">
        <f>EL13+EM13+DY13+EE13+1.15*(SUM(DF13:DM13)+SUM(CF13:CI13))</f>
        <v>13706297.798853775</v>
      </c>
      <c r="EO13">
        <f>EN13/15</f>
        <v>913753.18659025175</v>
      </c>
      <c r="EP13">
        <f>('eLLE Bals'!CB13+'eLLE Bals'!CC13)*'Oxidant Feed Composition'!$N$29*60*7200</f>
        <v>8511837.7792364191</v>
      </c>
      <c r="EQ13" s="53">
        <f>('eLLE Bals'!BR13+'eLLE Bals'!BY13)*'Reagent cost'!$C$38*60*7200*0.5</f>
        <v>256965.01541562795</v>
      </c>
      <c r="ER13">
        <f>'TEA Revised Non EYZ'!DI13</f>
        <v>504921.59999999998</v>
      </c>
      <c r="ES13">
        <f>'TEA Revised Non EYZ'!DJ13</f>
        <v>59.377096676455061</v>
      </c>
      <c r="ET13">
        <f>'TEA Revised Non EYZ'!DK13</f>
        <v>628.33461026908935</v>
      </c>
      <c r="EU13">
        <f>1.2*SUM(EP13:ET13)</f>
        <v>11129294.527630789</v>
      </c>
      <c r="EV13">
        <f>'TEA Revised Non EYZ'!DM13</f>
        <v>0.70639694042110623</v>
      </c>
      <c r="EW13">
        <f>(BS13*CO13+BT13*CP13)/1000*('Oxidant Feed Composition'!$B$11*'Oxidant Feed Composition'!$O$20+'Oxidant Feed Composition'!$D$11*'Oxidant Feed Composition'!$O$21+'Oxidant Feed Composition'!$F$11*'Oxidant Feed Composition'!$O$27-'Oxidant Feed Composition'!$J$15*18.015)</f>
        <v>1.9925996557404575</v>
      </c>
      <c r="EX13">
        <f>(CZ13*BX13+DC13*BZ13)*368.34/1000</f>
        <v>0.10374221228120802</v>
      </c>
      <c r="EY13">
        <f>'TEA Revised Non EYZ'!DP13</f>
        <v>4.999938342565946E-2</v>
      </c>
      <c r="EZ13">
        <f>SUM(EV13:EX13)-EY13</f>
        <v>2.7527394250171127</v>
      </c>
      <c r="FA13">
        <f>EZ13*0.33*60*7200</f>
        <v>392430.53243043955</v>
      </c>
      <c r="FB13">
        <f>'TEA Revised Non EYZ'!DS13</f>
        <v>1.2</v>
      </c>
      <c r="FC13">
        <v>0.5</v>
      </c>
      <c r="FD13">
        <f>'TEA Revised Non EYZ'!DT13</f>
        <v>1405.210258292421</v>
      </c>
      <c r="FE13">
        <f>'TEA Revised Non EYZ'!DU13</f>
        <v>710.45741347657167</v>
      </c>
      <c r="FF13">
        <f>'TEA Revised Non EYZ'!DV13</f>
        <v>0.7</v>
      </c>
      <c r="FG13">
        <f>'TEA Revised Non EYZ'!DW13</f>
        <v>30272.303809866662</v>
      </c>
      <c r="FH13">
        <f>'TEA Revised Non EYZ'!DX13</f>
        <v>20763.049486147294</v>
      </c>
      <c r="FI13">
        <f>'TEA Revised Non EYZ'!DY13</f>
        <v>8790.8072421188135</v>
      </c>
      <c r="FJ13">
        <f>'TEA Revised Non EYZ'!DZ13</f>
        <v>4656.7358484871465</v>
      </c>
      <c r="FK13">
        <f>'TEA Revised Non EYZ'!EA13</f>
        <v>4688.4305291300352</v>
      </c>
      <c r="FL13">
        <f>'TEA Revised Non EYZ'!EB13</f>
        <v>849.87116421525627</v>
      </c>
      <c r="FM13">
        <f>'TEA Revised Non EYZ'!EC13</f>
        <v>30891.557908916995</v>
      </c>
      <c r="FN13">
        <f>'TEA Revised Non EYZ'!ED13</f>
        <v>23302.915468046605</v>
      </c>
      <c r="FO13">
        <f>'TEA Revised Non EYZ'!EE13</f>
        <v>9866.1537263906994</v>
      </c>
      <c r="FP13">
        <f>'TEA Revised Non EYZ'!EF13</f>
        <v>5229.2376780306813</v>
      </c>
      <c r="FQ13">
        <f>'TEA Revised Non EYZ'!EG13</f>
        <v>5261.9486540750413</v>
      </c>
      <c r="FR13">
        <f>'TEA Revised Non EYZ'!EH13</f>
        <v>429.68464367063052</v>
      </c>
      <c r="FS13">
        <f>'TEA Revised Non EYZ'!EI13</f>
        <v>145002.69615909585</v>
      </c>
      <c r="FT13">
        <f>EG13*EH13</f>
        <v>3206.3740089207004</v>
      </c>
      <c r="FU13">
        <f>EG13*EI13</f>
        <v>4632.88841498274</v>
      </c>
      <c r="FV13">
        <f>FC13*(FT13+FU13)/(3.6*10^6)*3600*7200*0.07</f>
        <v>1975.4941308236669</v>
      </c>
      <c r="FW13">
        <f>('CAPEX+OPEX'!$C$39/7/100+0.03)*EL13</f>
        <v>115711.70629801355</v>
      </c>
      <c r="FX13">
        <f>('CAPEX+OPEX'!$C$39/7/100+0.03)*EM13</f>
        <v>167191.79424935594</v>
      </c>
      <c r="FY13">
        <f>SUM(FV13:FX13)</f>
        <v>284878.99467819318</v>
      </c>
      <c r="FZ13">
        <f>FY13+FA13+FS13+EU13</f>
        <v>11951606.750898518</v>
      </c>
      <c r="GA13">
        <f>FZ13+EO13</f>
        <v>12865359.93748877</v>
      </c>
      <c r="GB13">
        <f>GA13/(BK13*60*7200)</f>
        <v>0.29780925781224005</v>
      </c>
      <c r="GC13">
        <f>'TEA Revised Non EYZ'!EM13/'TEA Revised Non EYZ'!EK13*GA13</f>
        <v>997.69447822677648</v>
      </c>
      <c r="GD13">
        <f>'TEA Revised Non EYZ'!EN13/'TEA Revised Non EYZ'!EK13*GA13</f>
        <v>1816.9767083020781</v>
      </c>
    </row>
    <row r="14" spans="1:186">
      <c r="A14">
        <f>'TEA Revised Non EYZ'!A14</f>
        <v>4</v>
      </c>
      <c r="B14">
        <f>'TEA Revised Non EYZ'!B14</f>
        <v>1.54143585092054E-3</v>
      </c>
      <c r="C14">
        <f>'TEA Revised Non EYZ'!C14</f>
        <v>1.54143585092054E-3</v>
      </c>
      <c r="D14">
        <f>'TEA Revised Non EYZ'!D14</f>
        <v>3.4254130020456501E-4</v>
      </c>
      <c r="E14">
        <f>'TEA Revised Non EYZ'!E14</f>
        <v>0</v>
      </c>
      <c r="F14">
        <f>'TEA Revised Non EYZ'!F14</f>
        <v>0</v>
      </c>
      <c r="G14">
        <f>'TEA Revised Non EYZ'!G14</f>
        <v>0</v>
      </c>
      <c r="H14">
        <f>'TEA Revised Non EYZ'!H14</f>
        <v>1.7208960911287699E-5</v>
      </c>
      <c r="I14">
        <f>'TEA Revised Non EYZ'!I14</f>
        <v>2.8768784818324402E-7</v>
      </c>
      <c r="J14">
        <f>'TEA Revised Non EYZ'!J14</f>
        <v>3.3243632642994598E-4</v>
      </c>
      <c r="K14">
        <f>'TEA Revised Non EYZ'!K14</f>
        <v>0.10920586178936199</v>
      </c>
      <c r="L14">
        <f>'TEA Revised Non EYZ'!L14</f>
        <v>0.110418215553449</v>
      </c>
      <c r="M14">
        <f>'TEA Revised Non EYZ'!M14</f>
        <v>7.2398825703009801E-4</v>
      </c>
      <c r="N14">
        <f>'TEA Revised Non EYZ'!N14</f>
        <v>-2.168404344971E-18</v>
      </c>
      <c r="O14">
        <f>'TEA Revised Non EYZ'!O14</f>
        <v>2.3635607360183901E-17</v>
      </c>
      <c r="P14">
        <f>'TEA Revised Non EYZ'!P14</f>
        <v>-7.4538899358378406E-20</v>
      </c>
      <c r="Q14">
        <f>'TEA Revised Non EYZ'!Q14</f>
        <v>0.13957372480144001</v>
      </c>
      <c r="R14">
        <f>'TEA Revised Non EYZ'!R14</f>
        <v>97.0499984181222</v>
      </c>
      <c r="S14">
        <f>'TEA Revised Non EYZ'!S14</f>
        <v>500</v>
      </c>
      <c r="T14">
        <f>'TEA Revised Non EYZ'!T14</f>
        <v>95</v>
      </c>
      <c r="U14">
        <f>'TEA Revised Non EYZ'!U14</f>
        <v>1</v>
      </c>
      <c r="V14">
        <f>'TEA Revised Non EYZ'!V14</f>
        <v>0.1</v>
      </c>
      <c r="W14">
        <f>'TEA Revised Non EYZ'!W14</f>
        <v>71.646723007687299</v>
      </c>
      <c r="X14" t="str">
        <f>'TEA Revised Non EYZ'!X14</f>
        <v>ddFc</v>
      </c>
      <c r="Y14">
        <f>'TEA Revised Non EYZ'!Y14</f>
        <v>1</v>
      </c>
      <c r="Z14">
        <f>'TEA Revised Non EYZ'!Z14</f>
        <v>0.28318429382522198</v>
      </c>
      <c r="AA14">
        <f>'TEA Revised Non EYZ'!AA14</f>
        <v>0.56945642916197003</v>
      </c>
      <c r="AB14">
        <f>'TEA Revised Non EYZ'!AB14</f>
        <v>3.7698628972227502E-3</v>
      </c>
      <c r="AC14">
        <f>'TEA Revised Non EYZ'!AC14</f>
        <v>1822.2107908876901</v>
      </c>
      <c r="AD14">
        <f>'TEA Revised Non EYZ'!AD14</f>
        <v>2662.6059073104898</v>
      </c>
      <c r="AE14">
        <f>'TEA Revised Non EYZ'!AE14</f>
        <v>2401.5030938442701</v>
      </c>
      <c r="AF14">
        <f>'TEA Revised Non EYZ'!AF14</f>
        <v>6</v>
      </c>
      <c r="AG14">
        <f>'TEA Revised Non EYZ'!AG14</f>
        <v>1.6481650483119699E-3</v>
      </c>
      <c r="AH14">
        <f>'TEA Revised Non EYZ'!AH14</f>
        <v>1.6664622263884801E-3</v>
      </c>
      <c r="AI14">
        <f>'TEA Revised Non EYZ'!AI14</f>
        <v>1.0926630870116399E-5</v>
      </c>
      <c r="AJ14">
        <f>'TEA Revised Non EYZ'!AJ14</f>
        <v>0</v>
      </c>
      <c r="AK14">
        <f>'TEA Revised Non EYZ'!AK14</f>
        <v>0</v>
      </c>
      <c r="AL14">
        <f>'TEA Revised Non EYZ'!AL14</f>
        <v>0</v>
      </c>
      <c r="AM14">
        <f>'TEA Revised Non EYZ'!AM14</f>
        <v>1.61036674463848E-3</v>
      </c>
      <c r="AN14">
        <f>'TEA Revised Non EYZ'!AN14</f>
        <v>7.3903037307057197E-5</v>
      </c>
      <c r="AO14">
        <f>'TEA Revised Non EYZ'!AO14</f>
        <v>1.0853107147603801E-5</v>
      </c>
      <c r="AP14">
        <f>'TEA Revised Non EYZ'!AP14</f>
        <v>1.75730512408255E-3</v>
      </c>
      <c r="AQ14">
        <f>'TEA Revised Non EYZ'!AQ14</f>
        <v>7.4040688374865299E-2</v>
      </c>
      <c r="AR14">
        <f>'TEA Revised Non EYZ'!AR14</f>
        <v>3.41823843284434E-6</v>
      </c>
      <c r="AS14">
        <f>'TEA Revised Non EYZ'!AS14</f>
        <v>-3.20923843055709E-17</v>
      </c>
      <c r="AT14">
        <f>'TEA Revised Non EYZ'!AT14</f>
        <v>-6.4501355645507598E-15</v>
      </c>
      <c r="AU14">
        <f>'TEA Revised Non EYZ'!AU14</f>
        <v>-2.57948002218536E-20</v>
      </c>
      <c r="AV14">
        <f>'TEA Revised Non EYZ'!AV14</f>
        <v>0.19891798600503799</v>
      </c>
      <c r="AW14">
        <f>'TEA Revised Non EYZ'!AW14</f>
        <v>99.327114429080396</v>
      </c>
      <c r="AX14">
        <f>'TEA Revised Non EYZ'!AX14</f>
        <v>500</v>
      </c>
      <c r="AY14">
        <f>'TEA Revised Non EYZ'!AY14</f>
        <v>95</v>
      </c>
      <c r="AZ14">
        <f>'TEA Revised Non EYZ'!AZ14</f>
        <v>0.92480233795174105</v>
      </c>
      <c r="BA14">
        <f>'TEA Revised Non EYZ'!BA14</f>
        <v>0.1</v>
      </c>
      <c r="BB14">
        <f>'TEA Revised Non EYZ'!BB14</f>
        <v>46.491639922813</v>
      </c>
      <c r="BC14" t="str">
        <f>'TEA Revised Non EYZ'!BC14</f>
        <v>coeFc</v>
      </c>
      <c r="BD14">
        <f>'TEA Revised Non EYZ'!BD14</f>
        <v>1</v>
      </c>
      <c r="BE14">
        <f>'TEA Revised Non EYZ'!BE14</f>
        <v>1.8775014999999999E-2</v>
      </c>
      <c r="BF14">
        <f>'TEA Revised Non EYZ'!BF14</f>
        <v>0.10492961100000001</v>
      </c>
      <c r="BG14">
        <f>'TEA Revised Non EYZ'!BG14</f>
        <v>1.814625E-3</v>
      </c>
      <c r="BH14">
        <f>'TEA Revised Non EYZ'!BH14</f>
        <v>285.1951444</v>
      </c>
      <c r="BI14">
        <f>'TEA Revised Non EYZ'!BI14</f>
        <v>2169.8944889999998</v>
      </c>
      <c r="BJ14">
        <f>'TEA Revised Non EYZ'!BJ14</f>
        <v>866.49409060000005</v>
      </c>
      <c r="BK14">
        <f>'TEA Revised Non EYZ'!BK14</f>
        <v>100</v>
      </c>
      <c r="BL14">
        <f>'TEA Revised Non EYZ'!BL14</f>
        <v>13.957372480144</v>
      </c>
      <c r="BM14">
        <f>'TEA Revised Non EYZ'!BM14</f>
        <v>92.480233795174101</v>
      </c>
      <c r="BN14">
        <f>'TEA Revised Non EYZ'!BN14</f>
        <v>19.891798600503797</v>
      </c>
      <c r="BO14">
        <f>'TEA Revised Non EYZ'!BO14</f>
        <v>167.488469761728</v>
      </c>
      <c r="BP14">
        <f>'TEA Revised Non EYZ'!BP14</f>
        <v>318.26877760806076</v>
      </c>
      <c r="BQ14">
        <f>'TEA Revised Non EYZ'!BQ14</f>
        <v>16.7488469761728</v>
      </c>
      <c r="BR14">
        <f>'TEA Revised Non EYZ'!BR14</f>
        <v>31.826877760806077</v>
      </c>
      <c r="BS14">
        <f>'eLLE Bals'!CF14</f>
        <v>8.3744234880863999</v>
      </c>
      <c r="BT14">
        <f>'eLLE Bals'!CG14</f>
        <v>11.935079160302278</v>
      </c>
      <c r="BU14">
        <f>BM14</f>
        <v>92.480233795174101</v>
      </c>
      <c r="BV14">
        <f>BU14*(AM14*2+AN14*2+AO14*3)</f>
        <v>0.31453442007618376</v>
      </c>
      <c r="BW14">
        <f>BN14*BA14*(AP14*2+AQ14*2+AR14*3)</f>
        <v>0.30157208267381574</v>
      </c>
      <c r="BX14">
        <f>BV14/(2*V14*BL14+BV14)</f>
        <v>0.10126642536191367</v>
      </c>
      <c r="BY14">
        <f>BU14*BX14</f>
        <v>9.3651426930713253</v>
      </c>
      <c r="BZ14">
        <f>BW14/(2*BN14*BA14+BW14)</f>
        <v>7.0461889714764595E-2</v>
      </c>
      <c r="CA14">
        <f>2*BN14*BA14/0.04</f>
        <v>99.458993002518994</v>
      </c>
      <c r="CB14">
        <f>(BS14+BL14)*2</f>
        <v>44.663591936460804</v>
      </c>
      <c r="CC14">
        <f>(BU14+BL14)*2</f>
        <v>212.87521255063621</v>
      </c>
      <c r="CD14">
        <f>(BT14+BN14)*2</f>
        <v>63.653755521612155</v>
      </c>
      <c r="CE14">
        <f>(CA14+BN14)*2</f>
        <v>238.7015832060456</v>
      </c>
      <c r="CF14">
        <f>'TEA Revised Non EYZ'!CB14</f>
        <v>2210.8478008548095</v>
      </c>
      <c r="CG14">
        <f>'TEA Revised Non EYZ'!CC14</f>
        <v>4201.1478644264016</v>
      </c>
      <c r="CH14">
        <f>'TEA Revised Non EYZ'!CD14</f>
        <v>2671.1136977461792</v>
      </c>
      <c r="CI14">
        <f>'TEA Revised Non EYZ'!CE14</f>
        <v>32403.826869206256</v>
      </c>
      <c r="CJ14">
        <f>BL14*V14</f>
        <v>1.3957372480144001</v>
      </c>
      <c r="CK14">
        <f>CJ14/2*1.2</f>
        <v>0.8374423488086401</v>
      </c>
      <c r="CL14">
        <f>'eLLE Bals'!CB14*'Oxidant Feed Composition'!$N$20</f>
        <v>4.6524574933813359E-2</v>
      </c>
      <c r="CM14">
        <f>'eLLE Bals'!CB14*'Oxidant Feed Composition'!$N$21</f>
        <v>2.326228746690667</v>
      </c>
      <c r="CN14">
        <f>'eLLE Bals'!CB14*'Oxidant Feed Composition'!$N$22</f>
        <v>0.69786862400720007</v>
      </c>
      <c r="CO14">
        <f>CN14/CK14</f>
        <v>0.83333333333333326</v>
      </c>
      <c r="CP14">
        <f>CO14</f>
        <v>0.83333333333333326</v>
      </c>
      <c r="CQ14">
        <f>CL14/CO14</f>
        <v>5.5829489920576035E-2</v>
      </c>
      <c r="CR14">
        <f>CM14/CO14</f>
        <v>2.7914744960288007</v>
      </c>
      <c r="CS14">
        <f>BN14*BA14</f>
        <v>1.9891798600503798</v>
      </c>
      <c r="CT14">
        <f>CS14/2*1.2</f>
        <v>1.1935079160302278</v>
      </c>
      <c r="CU14">
        <f>'eLLE Bals'!CC14*'Oxidant Feed Composition'!$N$20</f>
        <v>6.6305995335012691E-2</v>
      </c>
      <c r="CV14">
        <f>'eLLE Bals'!CC14*'Oxidant Feed Composition'!$N$21</f>
        <v>3.3152997667506332</v>
      </c>
      <c r="CW14">
        <f>'eLLE Bals'!CC14*'Oxidant Feed Composition'!$N$22</f>
        <v>0.99458993002518992</v>
      </c>
      <c r="CX14">
        <f>CU14/CP14</f>
        <v>7.9567194402015234E-2</v>
      </c>
      <c r="CY14">
        <f>CV14/CP14</f>
        <v>3.9783597201007601</v>
      </c>
      <c r="CZ14">
        <f>CJ14</f>
        <v>1.3957372480144001</v>
      </c>
      <c r="DA14">
        <f>'eLLE Bals'!BQ14</f>
        <v>2.7914744960288003</v>
      </c>
      <c r="DB14">
        <f>'eLLE Bals'!BU14</f>
        <v>9.5956115661247701</v>
      </c>
      <c r="DC14">
        <f>CS14</f>
        <v>1.9891798600503798</v>
      </c>
      <c r="DD14">
        <f>'eLLE Bals'!BX14</f>
        <v>3.9783597201007597</v>
      </c>
      <c r="DE14">
        <f>'eLLE Bals'!CA14</f>
        <v>22.263038227267021</v>
      </c>
      <c r="DF14">
        <f>2*2*(CJ14*'Reagent cost'!$C$36*122.44/1000*0.5+CK14*'Oxidant Feed Composition'!$N$26+CQ14*'Reagent cost'!$C$34+CR14*'Reagent cost'!$C$35)</f>
        <v>93.757653190631231</v>
      </c>
      <c r="DG14">
        <f>2*2*(CS14*'Reagent cost'!$C$36*122.44/1000*0.5+CT14*'Oxidant Feed Composition'!$N$26+CX14*'Reagent cost'!$C$34+CY14*'Reagent cost'!$C$35)</f>
        <v>133.62173698359859</v>
      </c>
      <c r="DH14">
        <f>(AF14+3)*2*(CZ14*'Reagent cost'!$C$38*0.5+DA14*'Reagent cost'!$C$39+DB14*'Reagent cost'!$C$36*122.44/1000)</f>
        <v>1552.4008591082213</v>
      </c>
      <c r="DI14">
        <f>3*2*(DC14*'Reagent cost'!$C$38*0.5+DD14*'Reagent cost'!$C$39+DE14*'Reagent cost'!$C$36*122.44/1000)</f>
        <v>1183.0088201767071</v>
      </c>
      <c r="DJ14">
        <f>7963.6*(CB14/1000)^0.6*1.7*('CAPEX+OPEX'!$G$116/'CAPEX+OPEX'!$G$115)</f>
        <v>2472.9373618126128</v>
      </c>
      <c r="DK14">
        <f>7963.6*(CC14/1000)^0.6*1.7*('CAPEX+OPEX'!$G$116/'CAPEX+OPEX'!$G$115)</f>
        <v>6311.2587327211604</v>
      </c>
      <c r="DL14">
        <f>7963.6*(CD14/1000)^0.6*1.7*('CAPEX+OPEX'!$G$116/'CAPEX+OPEX'!$G$115)</f>
        <v>3058.6891810035263</v>
      </c>
      <c r="DM14">
        <f>7963.6*(CE14/1000)^0.6*1.7*('CAPEX+OPEX'!$G$116/'CAPEX+OPEX'!$G$115)</f>
        <v>6760.1153664694148</v>
      </c>
      <c r="DN14">
        <f>'TEA Revised Non EYZ'!CM14</f>
        <v>39625.826528698344</v>
      </c>
      <c r="DO14">
        <f>'TEA Revised Non EYZ'!CN14</f>
        <v>4586243.4239371875</v>
      </c>
      <c r="DP14">
        <f>'TEA Revised Non EYZ'!CO14</f>
        <v>11794834.586807497</v>
      </c>
      <c r="DQ14">
        <f>'TEA Revised Non EYZ'!CP14</f>
        <v>2275209.1661185985</v>
      </c>
      <c r="DR14">
        <f>'TEA Revised Non EYZ'!CQ14</f>
        <v>14083914.336508472</v>
      </c>
      <c r="DS14">
        <f>'TEA Revised Non EYZ'!CR14</f>
        <v>1662824.8986326549</v>
      </c>
      <c r="DT14">
        <f>'TEA Revised Non EYZ'!CS14</f>
        <v>528015.95740622084</v>
      </c>
      <c r="DU14">
        <f>'TEA Revised Non EYZ'!CT14</f>
        <v>1357943.8117688675</v>
      </c>
      <c r="DV14">
        <f>'TEA Revised Non EYZ'!CU14</f>
        <v>261945.7004565605</v>
      </c>
      <c r="DW14">
        <f>'TEA Revised Non EYZ'!CV14</f>
        <v>1621486.4378120217</v>
      </c>
      <c r="DX14">
        <f>'TEA Revised Non EYZ'!CW14</f>
        <v>191441.6658016555</v>
      </c>
      <c r="DY14">
        <f>'TEA Revised Non EYZ'!CX14</f>
        <v>3960833.5732453261</v>
      </c>
      <c r="DZ14">
        <f>'TEA Revised Non EYZ'!CY14</f>
        <v>610771.96008263668</v>
      </c>
      <c r="EA14">
        <f>'TEA Revised Non EYZ'!CZ14</f>
        <v>1570774.5039949177</v>
      </c>
      <c r="EB14">
        <f>'TEA Revised Non EYZ'!DA14</f>
        <v>303000.48068431305</v>
      </c>
      <c r="EC14">
        <f>'TEA Revised Non EYZ'!DB14</f>
        <v>1875622.1965995319</v>
      </c>
      <c r="ED14">
        <f>'TEA Revised Non EYZ'!DC14</f>
        <v>221446.34044309024</v>
      </c>
      <c r="EE14">
        <f>'TEA Revised Non EYZ'!DD14</f>
        <v>4581615.4818044901</v>
      </c>
      <c r="EF14">
        <v>0.7</v>
      </c>
      <c r="EG14">
        <v>100</v>
      </c>
      <c r="EH14">
        <f>96485*BL14*V14/EF14/EG14/60</f>
        <v>32.063740089207002</v>
      </c>
      <c r="EI14">
        <f>96485*BN14*BA14/EF14/EG14/60</f>
        <v>45.69667114213356</v>
      </c>
      <c r="EJ14">
        <f>EH14*('CAPEX+OPEX'!$O$25+'CAPEX+OPEX'!$O$26)</f>
        <v>1021935.5241232056</v>
      </c>
      <c r="EK14">
        <f>EI14*('CAPEX+OPEX'!$O$25+'CAPEX+OPEX'!$O$26)</f>
        <v>1456444.3026420809</v>
      </c>
      <c r="EL14">
        <f>EJ14*1.12/0.6*'CAPEX+OPEX'!$G$116/'CAPEX+OPEX'!$G$115</f>
        <v>2249949.8446835969</v>
      </c>
      <c r="EM14">
        <f>EK14*1.12/0.6*'CAPEX+OPEX'!$G$116/'CAPEX+OPEX'!$G$115</f>
        <v>3206588.4345603683</v>
      </c>
      <c r="EN14">
        <f>EL14+EM14+DY14+EE14+1.15*(SUM(DF14:DM14)+SUM(CF14:CI14))</f>
        <v>14071497.969129035</v>
      </c>
      <c r="EO14">
        <f>EN14/15</f>
        <v>938099.86460860237</v>
      </c>
      <c r="EP14">
        <f>('eLLE Bals'!CB14+'eLLE Bals'!CC14)*'Oxidant Feed Composition'!$N$29*60*7200</f>
        <v>8443192.3599045612</v>
      </c>
      <c r="EQ14" s="53">
        <f>('eLLE Bals'!BR14+'eLLE Bals'!BY14)*'Reagent cost'!$C$38*60*7200*0.5</f>
        <v>256832.4732968288</v>
      </c>
      <c r="ER14">
        <f>'TEA Revised Non EYZ'!DI14</f>
        <v>504921.59999999998</v>
      </c>
      <c r="ES14">
        <f>'TEA Revised Non EYZ'!DJ14</f>
        <v>64.119956652812107</v>
      </c>
      <c r="ET14">
        <f>'TEA Revised Non EYZ'!DK14</f>
        <v>701.49881133904876</v>
      </c>
      <c r="EU14">
        <f>1.2*SUM(EP14:ET14)</f>
        <v>11046854.46236326</v>
      </c>
      <c r="EV14">
        <f>'TEA Revised Non EYZ'!DM14</f>
        <v>0.70639694042110623</v>
      </c>
      <c r="EW14">
        <f>(BS14*CO14+BT14*CP14)/1000*('Oxidant Feed Composition'!$B$11*'Oxidant Feed Composition'!$O$20+'Oxidant Feed Composition'!$D$11*'Oxidant Feed Composition'!$O$21+'Oxidant Feed Composition'!$F$11*'Oxidant Feed Composition'!$O$27-'Oxidant Feed Composition'!$J$15*18.015)</f>
        <v>1.9765299370173772</v>
      </c>
      <c r="EX14">
        <f>(CZ14*BX14+DC14*BZ14)*368.34/1000</f>
        <v>0.10368870222419717</v>
      </c>
      <c r="EY14">
        <f>'TEA Revised Non EYZ'!DP14</f>
        <v>4.999938342565946E-2</v>
      </c>
      <c r="EZ14">
        <f>SUM(EV14:EX14)-EY14</f>
        <v>2.736616196237021</v>
      </c>
      <c r="FA14">
        <f>EZ14*0.33*60*7200</f>
        <v>390132.00493554969</v>
      </c>
      <c r="FB14">
        <f>'TEA Revised Non EYZ'!DS14</f>
        <v>1.2</v>
      </c>
      <c r="FC14">
        <v>0.5</v>
      </c>
      <c r="FD14">
        <f>'TEA Revised Non EYZ'!DT14</f>
        <v>1406.8170158334865</v>
      </c>
      <c r="FE14">
        <f>'TEA Revised Non EYZ'!DU14</f>
        <v>708.85065593658192</v>
      </c>
      <c r="FF14">
        <f>'TEA Revised Non EYZ'!DV14</f>
        <v>0.7</v>
      </c>
      <c r="FG14">
        <f>'TEA Revised Non EYZ'!DW14</f>
        <v>30272.303809866662</v>
      </c>
      <c r="FH14">
        <f>'TEA Revised Non EYZ'!DX14</f>
        <v>20763.049486147294</v>
      </c>
      <c r="FI14">
        <f>'TEA Revised Non EYZ'!DY14</f>
        <v>8790.8072421188135</v>
      </c>
      <c r="FJ14">
        <f>'TEA Revised Non EYZ'!DZ14</f>
        <v>4656.7358484871465</v>
      </c>
      <c r="FK14">
        <f>'TEA Revised Non EYZ'!EA14</f>
        <v>4688.4305291300352</v>
      </c>
      <c r="FL14">
        <f>'TEA Revised Non EYZ'!EB14</f>
        <v>850.84293117609263</v>
      </c>
      <c r="FM14">
        <f>'TEA Revised Non EYZ'!EC14</f>
        <v>33465.854401326746</v>
      </c>
      <c r="FN14">
        <f>'TEA Revised Non EYZ'!ED14</f>
        <v>27186.734712721038</v>
      </c>
      <c r="FO14">
        <f>'TEA Revised Non EYZ'!EE14</f>
        <v>11510.512680789148</v>
      </c>
      <c r="FP14">
        <f>'TEA Revised Non EYZ'!EF14</f>
        <v>6100.7772910357944</v>
      </c>
      <c r="FQ14">
        <f>'TEA Revised Non EYZ'!EG14</f>
        <v>6138.9400964208808</v>
      </c>
      <c r="FR14">
        <f>'TEA Revised Non EYZ'!EH14</f>
        <v>428.71287671044473</v>
      </c>
      <c r="FS14">
        <f>'TEA Revised Non EYZ'!EI14</f>
        <v>154853.70190593012</v>
      </c>
      <c r="FT14">
        <f>EG14*EH14</f>
        <v>3206.3740089207004</v>
      </c>
      <c r="FU14">
        <f>EG14*EI14</f>
        <v>4569.6671142133564</v>
      </c>
      <c r="FV14">
        <f>FC14*(FT14+FU14)/(3.6*10^6)*3600*7200*0.07</f>
        <v>1959.5623630297828</v>
      </c>
      <c r="FW14">
        <f>('CAPEX+OPEX'!$C$39/7/100+0.03)*EL14</f>
        <v>115711.70629801355</v>
      </c>
      <c r="FX14">
        <f>('CAPEX+OPEX'!$C$39/7/100+0.03)*EM14</f>
        <v>164910.26234881894</v>
      </c>
      <c r="FY14">
        <f>SUM(FV14:FX14)</f>
        <v>282581.53100986226</v>
      </c>
      <c r="FZ14">
        <f>FY14+FA14+FS14+EU14</f>
        <v>11874421.700214602</v>
      </c>
      <c r="GA14">
        <f>FZ14+EO14</f>
        <v>12812521.564823205</v>
      </c>
      <c r="GB14">
        <f>GA14/(BK14*60*7200)</f>
        <v>0.29658614733387045</v>
      </c>
      <c r="GC14">
        <f>'TEA Revised Non EYZ'!EM14/'TEA Revised Non EYZ'!EK14*GA14</f>
        <v>992.46066783380263</v>
      </c>
      <c r="GD14">
        <f>'TEA Revised Non EYZ'!EN14/'TEA Revised Non EYZ'!EK14*GA14</f>
        <v>1813.29512189404</v>
      </c>
    </row>
    <row r="15" spans="1:186">
      <c r="A15">
        <f>'TEA Revised Non EYZ'!A15</f>
        <v>4</v>
      </c>
      <c r="B15">
        <f>'TEA Revised Non EYZ'!B15</f>
        <v>1.54143585092054E-3</v>
      </c>
      <c r="C15">
        <f>'TEA Revised Non EYZ'!C15</f>
        <v>1.54143585092054E-3</v>
      </c>
      <c r="D15">
        <f>'TEA Revised Non EYZ'!D15</f>
        <v>3.4254130020456501E-4</v>
      </c>
      <c r="E15">
        <f>'TEA Revised Non EYZ'!E15</f>
        <v>0</v>
      </c>
      <c r="F15">
        <f>'TEA Revised Non EYZ'!F15</f>
        <v>0</v>
      </c>
      <c r="G15">
        <f>'TEA Revised Non EYZ'!G15</f>
        <v>0</v>
      </c>
      <c r="H15">
        <f>'TEA Revised Non EYZ'!H15</f>
        <v>1.7208960911287699E-5</v>
      </c>
      <c r="I15">
        <f>'TEA Revised Non EYZ'!I15</f>
        <v>2.8768784818324402E-7</v>
      </c>
      <c r="J15">
        <f>'TEA Revised Non EYZ'!J15</f>
        <v>3.3243632642994598E-4</v>
      </c>
      <c r="K15">
        <f>'TEA Revised Non EYZ'!K15</f>
        <v>0.10920586178936199</v>
      </c>
      <c r="L15">
        <f>'TEA Revised Non EYZ'!L15</f>
        <v>0.110418215553449</v>
      </c>
      <c r="M15">
        <f>'TEA Revised Non EYZ'!M15</f>
        <v>7.2398825703009801E-4</v>
      </c>
      <c r="N15">
        <f>'TEA Revised Non EYZ'!N15</f>
        <v>-2.168404344971E-18</v>
      </c>
      <c r="O15">
        <f>'TEA Revised Non EYZ'!O15</f>
        <v>2.3635607360183901E-17</v>
      </c>
      <c r="P15">
        <f>'TEA Revised Non EYZ'!P15</f>
        <v>-7.4538899358378406E-20</v>
      </c>
      <c r="Q15">
        <f>'TEA Revised Non EYZ'!Q15</f>
        <v>0.13957372480144001</v>
      </c>
      <c r="R15">
        <f>'TEA Revised Non EYZ'!R15</f>
        <v>97.0499984181222</v>
      </c>
      <c r="S15">
        <f>'TEA Revised Non EYZ'!S15</f>
        <v>500</v>
      </c>
      <c r="T15">
        <f>'TEA Revised Non EYZ'!T15</f>
        <v>95</v>
      </c>
      <c r="U15">
        <f>'TEA Revised Non EYZ'!U15</f>
        <v>1</v>
      </c>
      <c r="V15">
        <f>'TEA Revised Non EYZ'!V15</f>
        <v>0.1</v>
      </c>
      <c r="W15">
        <f>'TEA Revised Non EYZ'!W15</f>
        <v>71.646723007687299</v>
      </c>
      <c r="X15" t="str">
        <f>'TEA Revised Non EYZ'!X15</f>
        <v>ddFc</v>
      </c>
      <c r="Y15">
        <f>'TEA Revised Non EYZ'!Y15</f>
        <v>1</v>
      </c>
      <c r="Z15">
        <f>'TEA Revised Non EYZ'!Z15</f>
        <v>0.28318429382522198</v>
      </c>
      <c r="AA15">
        <f>'TEA Revised Non EYZ'!AA15</f>
        <v>0.56945642916197003</v>
      </c>
      <c r="AB15">
        <f>'TEA Revised Non EYZ'!AB15</f>
        <v>3.7698628972227502E-3</v>
      </c>
      <c r="AC15">
        <f>'TEA Revised Non EYZ'!AC15</f>
        <v>1822.2107908876901</v>
      </c>
      <c r="AD15">
        <f>'TEA Revised Non EYZ'!AD15</f>
        <v>2662.6059073104898</v>
      </c>
      <c r="AE15">
        <f>'TEA Revised Non EYZ'!AE15</f>
        <v>2401.5030938442701</v>
      </c>
      <c r="AF15">
        <f>'TEA Revised Non EYZ'!AF15</f>
        <v>7</v>
      </c>
      <c r="AG15">
        <f>'TEA Revised Non EYZ'!AG15</f>
        <v>1.6481650483119699E-3</v>
      </c>
      <c r="AH15">
        <f>'TEA Revised Non EYZ'!AH15</f>
        <v>1.6664622263884801E-3</v>
      </c>
      <c r="AI15">
        <f>'TEA Revised Non EYZ'!AI15</f>
        <v>1.0926630870116399E-5</v>
      </c>
      <c r="AJ15">
        <f>'TEA Revised Non EYZ'!AJ15</f>
        <v>0</v>
      </c>
      <c r="AK15">
        <f>'TEA Revised Non EYZ'!AK15</f>
        <v>0</v>
      </c>
      <c r="AL15">
        <f>'TEA Revised Non EYZ'!AL15</f>
        <v>0</v>
      </c>
      <c r="AM15">
        <f>'TEA Revised Non EYZ'!AM15</f>
        <v>1.61090754837377E-3</v>
      </c>
      <c r="AN15">
        <f>'TEA Revised Non EYZ'!AN15</f>
        <v>7.3930491403475195E-5</v>
      </c>
      <c r="AO15">
        <f>'TEA Revised Non EYZ'!AO15</f>
        <v>1.08541164056693E-5</v>
      </c>
      <c r="AP15">
        <f>'TEA Revised Non EYZ'!AP15</f>
        <v>1.73922906321953E-3</v>
      </c>
      <c r="AQ15">
        <f>'TEA Revised Non EYZ'!AQ15</f>
        <v>7.4341474522921697E-2</v>
      </c>
      <c r="AR15">
        <f>'TEA Revised Non EYZ'!AR15</f>
        <v>3.3850705039854299E-6</v>
      </c>
      <c r="AS15">
        <f>'TEA Revised Non EYZ'!AS15</f>
        <v>6.2377335826972699E-15</v>
      </c>
      <c r="AT15">
        <f>'TEA Revised Non EYZ'!AT15</f>
        <v>-2.31652956365902E-12</v>
      </c>
      <c r="AU15">
        <f>'TEA Revised Non EYZ'!AU15</f>
        <v>-1.8555315500789499E-20</v>
      </c>
      <c r="AV15">
        <f>'TEA Revised Non EYZ'!AV15</f>
        <v>0.19810974742489201</v>
      </c>
      <c r="AW15">
        <f>'TEA Revised Non EYZ'!AW15</f>
        <v>99.336351110337105</v>
      </c>
      <c r="AX15">
        <f>'TEA Revised Non EYZ'!AX15</f>
        <v>500</v>
      </c>
      <c r="AY15">
        <f>'TEA Revised Non EYZ'!AY15</f>
        <v>95</v>
      </c>
      <c r="AZ15">
        <f>'TEA Revised Non EYZ'!AZ15</f>
        <v>0.92480233795174105</v>
      </c>
      <c r="BA15">
        <f>'TEA Revised Non EYZ'!BA15</f>
        <v>0.1</v>
      </c>
      <c r="BB15">
        <f>'TEA Revised Non EYZ'!BB15</f>
        <v>46.681314270129498</v>
      </c>
      <c r="BC15" t="str">
        <f>'TEA Revised Non EYZ'!BC15</f>
        <v>coeFc</v>
      </c>
      <c r="BD15">
        <f>'TEA Revised Non EYZ'!BD15</f>
        <v>1</v>
      </c>
      <c r="BE15">
        <f>'TEA Revised Non EYZ'!BE15</f>
        <v>1.8775014999999999E-2</v>
      </c>
      <c r="BF15">
        <f>'TEA Revised Non EYZ'!BF15</f>
        <v>0.10492961100000001</v>
      </c>
      <c r="BG15">
        <f>'TEA Revised Non EYZ'!BG15</f>
        <v>1.814625E-3</v>
      </c>
      <c r="BH15">
        <f>'TEA Revised Non EYZ'!BH15</f>
        <v>285.1951444</v>
      </c>
      <c r="BI15">
        <f>'TEA Revised Non EYZ'!BI15</f>
        <v>2169.8944889999998</v>
      </c>
      <c r="BJ15">
        <f>'TEA Revised Non EYZ'!BJ15</f>
        <v>866.49409060000005</v>
      </c>
      <c r="BK15">
        <f>'TEA Revised Non EYZ'!BK15</f>
        <v>100</v>
      </c>
      <c r="BL15">
        <f>'TEA Revised Non EYZ'!BL15</f>
        <v>13.957372480144</v>
      </c>
      <c r="BM15">
        <f>'TEA Revised Non EYZ'!BM15</f>
        <v>92.480233795174101</v>
      </c>
      <c r="BN15">
        <f>'TEA Revised Non EYZ'!BN15</f>
        <v>19.810974742489201</v>
      </c>
      <c r="BO15">
        <f>'TEA Revised Non EYZ'!BO15</f>
        <v>167.488469761728</v>
      </c>
      <c r="BP15">
        <f>'TEA Revised Non EYZ'!BP15</f>
        <v>356.59754536480563</v>
      </c>
      <c r="BQ15">
        <f>'TEA Revised Non EYZ'!BQ15</f>
        <v>16.7488469761728</v>
      </c>
      <c r="BR15">
        <f>'TEA Revised Non EYZ'!BR15</f>
        <v>35.659754536480563</v>
      </c>
      <c r="BS15">
        <f>'eLLE Bals'!CF15</f>
        <v>8.3744234880863999</v>
      </c>
      <c r="BT15">
        <f>'eLLE Bals'!CG15</f>
        <v>11.88658484549352</v>
      </c>
      <c r="BU15">
        <f>BM15</f>
        <v>92.480233795174101</v>
      </c>
      <c r="BV15">
        <f>BU15*(AM15*2+AN15*2+AO15*3)</f>
        <v>0.31463980531971397</v>
      </c>
      <c r="BW15">
        <f>BN15*BA15*(AP15*2+AQ15*2+AR15*3)</f>
        <v>0.30146669789104713</v>
      </c>
      <c r="BX15">
        <f>BV15/(2*V15*BL15+BV15)</f>
        <v>0.10129691788325806</v>
      </c>
      <c r="BY15">
        <f>BU15*BX15</f>
        <v>9.3679626485742578</v>
      </c>
      <c r="BZ15">
        <f>BW15/(2*BN15*BA15+BW15)</f>
        <v>7.070605570833105E-2</v>
      </c>
      <c r="CA15">
        <f>2*BN15*BA15/0.04</f>
        <v>99.05487371244601</v>
      </c>
      <c r="CB15">
        <f>(BS15+BL15)*2</f>
        <v>44.663591936460804</v>
      </c>
      <c r="CC15">
        <f>(BU15+BL15)*2</f>
        <v>212.87521255063621</v>
      </c>
      <c r="CD15">
        <f>(BT15+BN15)*2</f>
        <v>63.395119175965441</v>
      </c>
      <c r="CE15">
        <f>(CA15+BN15)*2</f>
        <v>237.73169690987044</v>
      </c>
      <c r="CF15">
        <f>'TEA Revised Non EYZ'!CB15</f>
        <v>2210.8478008548095</v>
      </c>
      <c r="CG15">
        <f>'TEA Revised Non EYZ'!CC15</f>
        <v>4707.0875988154348</v>
      </c>
      <c r="CH15">
        <f>'TEA Revised Non EYZ'!CD15</f>
        <v>2671.1136977461792</v>
      </c>
      <c r="CI15">
        <f>'TEA Revised Non EYZ'!CE15</f>
        <v>36306.185007612978</v>
      </c>
      <c r="CJ15">
        <f>BL15*V15</f>
        <v>1.3957372480144001</v>
      </c>
      <c r="CK15">
        <f>CJ15/2*1.2</f>
        <v>0.8374423488086401</v>
      </c>
      <c r="CL15">
        <f>'eLLE Bals'!CB15*'Oxidant Feed Composition'!$N$20</f>
        <v>4.6524574933813359E-2</v>
      </c>
      <c r="CM15">
        <f>'eLLE Bals'!CB15*'Oxidant Feed Composition'!$N$21</f>
        <v>2.326228746690667</v>
      </c>
      <c r="CN15">
        <f>'eLLE Bals'!CB15*'Oxidant Feed Composition'!$N$22</f>
        <v>0.69786862400720007</v>
      </c>
      <c r="CO15">
        <f>CN15/CK15</f>
        <v>0.83333333333333326</v>
      </c>
      <c r="CP15">
        <f>CO15</f>
        <v>0.83333333333333326</v>
      </c>
      <c r="CQ15">
        <f>CL15/CO15</f>
        <v>5.5829489920576035E-2</v>
      </c>
      <c r="CR15">
        <f>CM15/CO15</f>
        <v>2.7914744960288007</v>
      </c>
      <c r="CS15">
        <f>BN15*BA15</f>
        <v>1.9810974742489202</v>
      </c>
      <c r="CT15">
        <f>CS15/2*1.2</f>
        <v>1.1886584845493522</v>
      </c>
      <c r="CU15">
        <f>'eLLE Bals'!CC15*'Oxidant Feed Composition'!$N$20</f>
        <v>6.6036582474964037E-2</v>
      </c>
      <c r="CV15">
        <f>'eLLE Bals'!CC15*'Oxidant Feed Composition'!$N$21</f>
        <v>3.3018291237482003</v>
      </c>
      <c r="CW15">
        <f>'eLLE Bals'!CC15*'Oxidant Feed Composition'!$N$22</f>
        <v>0.99054873712446012</v>
      </c>
      <c r="CX15">
        <f>CU15/CP15</f>
        <v>7.9243898969956858E-2</v>
      </c>
      <c r="CY15">
        <f>CV15/CP15</f>
        <v>3.9621949484978405</v>
      </c>
      <c r="CZ15">
        <f>CJ15</f>
        <v>1.3957372480144001</v>
      </c>
      <c r="DA15">
        <f>'eLLE Bals'!BQ15</f>
        <v>2.7914744960288003</v>
      </c>
      <c r="DB15">
        <f>'eLLE Bals'!BU15</f>
        <v>9.5914626479872211</v>
      </c>
      <c r="DC15">
        <f>CS15</f>
        <v>1.9810974742489202</v>
      </c>
      <c r="DD15">
        <f>'eLLE Bals'!BX15</f>
        <v>3.9621949484978405</v>
      </c>
      <c r="DE15">
        <f>'eLLE Bals'!CA15</f>
        <v>22.075488350729405</v>
      </c>
      <c r="DF15">
        <f>2*2*(CJ15*'Reagent cost'!$C$36*122.44/1000*0.5+CK15*'Oxidant Feed Composition'!$N$26+CQ15*'Reagent cost'!$C$34+CR15*'Reagent cost'!$C$35)</f>
        <v>93.757653190631231</v>
      </c>
      <c r="DG15">
        <f>2*2*(CS15*'Reagent cost'!$C$36*122.44/1000*0.5+CT15*'Oxidant Feed Composition'!$N$26+CX15*'Reagent cost'!$C$34+CY15*'Reagent cost'!$C$35)</f>
        <v>133.07880848756241</v>
      </c>
      <c r="DH15">
        <f>(AF15+3)*2*(CZ15*'Reagent cost'!$C$38*0.5+DA15*'Reagent cost'!$C$39+DB15*'Reagent cost'!$C$36*122.44/1000)</f>
        <v>1724.1723533822571</v>
      </c>
      <c r="DI15">
        <f>3*2*(DC15*'Reagent cost'!$C$38*0.5+DD15*'Reagent cost'!$C$39+DE15*'Reagent cost'!$C$36*122.44/1000)</f>
        <v>1173.1649270689395</v>
      </c>
      <c r="DJ15">
        <f>7963.6*(CB15/1000)^0.6*1.7*('CAPEX+OPEX'!$G$116/'CAPEX+OPEX'!$G$115)</f>
        <v>2472.9373618126128</v>
      </c>
      <c r="DK15">
        <f>7963.6*(CC15/1000)^0.6*1.7*('CAPEX+OPEX'!$G$116/'CAPEX+OPEX'!$G$115)</f>
        <v>6311.2587327211604</v>
      </c>
      <c r="DL15">
        <f>7963.6*(CD15/1000)^0.6*1.7*('CAPEX+OPEX'!$G$116/'CAPEX+OPEX'!$G$115)</f>
        <v>3051.226316256721</v>
      </c>
      <c r="DM15">
        <f>7963.6*(CE15/1000)^0.6*1.7*('CAPEX+OPEX'!$G$116/'CAPEX+OPEX'!$G$115)</f>
        <v>6743.6214294698348</v>
      </c>
      <c r="DN15">
        <f>'TEA Revised Non EYZ'!CM15</f>
        <v>39625.826528698344</v>
      </c>
      <c r="DO15">
        <f>'TEA Revised Non EYZ'!CN15</f>
        <v>4586243.4239371875</v>
      </c>
      <c r="DP15">
        <f>'TEA Revised Non EYZ'!CO15</f>
        <v>11794834.586807497</v>
      </c>
      <c r="DQ15">
        <f>'TEA Revised Non EYZ'!CP15</f>
        <v>2275209.1661185985</v>
      </c>
      <c r="DR15">
        <f>'TEA Revised Non EYZ'!CQ15</f>
        <v>14083914.336508472</v>
      </c>
      <c r="DS15">
        <f>'TEA Revised Non EYZ'!CR15</f>
        <v>1662824.8986326549</v>
      </c>
      <c r="DT15">
        <f>'TEA Revised Non EYZ'!CS15</f>
        <v>528015.95740622084</v>
      </c>
      <c r="DU15">
        <f>'TEA Revised Non EYZ'!CT15</f>
        <v>1357943.8117688675</v>
      </c>
      <c r="DV15">
        <f>'TEA Revised Non EYZ'!CU15</f>
        <v>261945.7004565605</v>
      </c>
      <c r="DW15">
        <f>'TEA Revised Non EYZ'!CV15</f>
        <v>1621486.4378120217</v>
      </c>
      <c r="DX15">
        <f>'TEA Revised Non EYZ'!CW15</f>
        <v>191441.6658016555</v>
      </c>
      <c r="DY15">
        <f>'TEA Revised Non EYZ'!CX15</f>
        <v>3960833.5732453261</v>
      </c>
      <c r="DZ15">
        <f>'TEA Revised Non EYZ'!CY15</f>
        <v>661719.9968599478</v>
      </c>
      <c r="EA15">
        <f>'TEA Revised Non EYZ'!CZ15</f>
        <v>1701801.9290056669</v>
      </c>
      <c r="EB15">
        <f>'TEA Revised Non EYZ'!DA15</f>
        <v>328275.51071574847</v>
      </c>
      <c r="EC15">
        <f>'TEA Revised Non EYZ'!DB15</f>
        <v>2032078.7383172708</v>
      </c>
      <c r="ED15">
        <f>'TEA Revised Non EYZ'!DC15</f>
        <v>239918.46594074578</v>
      </c>
      <c r="EE15">
        <f>'TEA Revised Non EYZ'!DD15</f>
        <v>4963794.6408393793</v>
      </c>
      <c r="EF15">
        <v>0.7</v>
      </c>
      <c r="EG15">
        <v>100</v>
      </c>
      <c r="EH15">
        <f>96485*BL15*V15/EF15/EG15/60</f>
        <v>32.063740089207002</v>
      </c>
      <c r="EI15">
        <f>96485*BN15*BA15/EF15/EG15/60</f>
        <v>45.510997572120729</v>
      </c>
      <c r="EJ15">
        <f>EH15*('CAPEX+OPEX'!$O$25+'CAPEX+OPEX'!$O$26)</f>
        <v>1021935.5241232056</v>
      </c>
      <c r="EK15">
        <f>EI15*('CAPEX+OPEX'!$O$25+'CAPEX+OPEX'!$O$26)</f>
        <v>1450526.5146186319</v>
      </c>
      <c r="EL15">
        <f>EJ15*1.12/0.6*'CAPEX+OPEX'!$G$116/'CAPEX+OPEX'!$G$115</f>
        <v>2249949.8446835969</v>
      </c>
      <c r="EM15">
        <f>EK15*1.12/0.6*'CAPEX+OPEX'!$G$116/'CAPEX+OPEX'!$G$115</f>
        <v>3193559.5047209309</v>
      </c>
      <c r="EN15">
        <f>EL15+EM15+DY15+EE15+1.15*(SUM(DF15:DM15)+SUM(CF15:CI15))</f>
        <v>14445875.782929765</v>
      </c>
      <c r="EO15">
        <f>EN15/15</f>
        <v>963058.38552865095</v>
      </c>
      <c r="EP15">
        <f>('eLLE Bals'!CB15+'eLLE Bals'!CC15)*'Oxidant Feed Composition'!$N$29*60*7200</f>
        <v>8423032.0026875138</v>
      </c>
      <c r="EQ15" s="53">
        <f>('eLLE Bals'!BR15+'eLLE Bals'!BY15)*'Reagent cost'!$C$38*60*7200*0.5</f>
        <v>256793.03734810383</v>
      </c>
      <c r="ER15">
        <f>'TEA Revised Non EYZ'!DI15</f>
        <v>504921.59999999998</v>
      </c>
      <c r="ES15">
        <f>'TEA Revised Non EYZ'!DJ15</f>
        <v>69.179353996702446</v>
      </c>
      <c r="ET15">
        <f>'TEA Revised Non EYZ'!DK15</f>
        <v>779.54597410718316</v>
      </c>
      <c r="EU15">
        <f>1.2*SUM(EP15:ET15)</f>
        <v>11022714.438436467</v>
      </c>
      <c r="EV15">
        <f>'TEA Revised Non EYZ'!DM15</f>
        <v>0.70639694042110623</v>
      </c>
      <c r="EW15">
        <f>(BS15*CO15+BT15*CP15)/1000*('Oxidant Feed Composition'!$B$11*'Oxidant Feed Composition'!$O$20+'Oxidant Feed Composition'!$D$11*'Oxidant Feed Composition'!$O$21+'Oxidant Feed Composition'!$F$11*'Oxidant Feed Composition'!$O$27-'Oxidant Feed Composition'!$J$15*18.015)</f>
        <v>1.9718104484777472</v>
      </c>
      <c r="EX15">
        <f>(CZ15*BX15+DC15*BZ15)*368.34/1000</f>
        <v>0.10367278109751189</v>
      </c>
      <c r="EY15">
        <f>'TEA Revised Non EYZ'!DP15</f>
        <v>4.999938342565946E-2</v>
      </c>
      <c r="EZ15">
        <f>SUM(EV15:EX15)-EY15</f>
        <v>2.7318807865707062</v>
      </c>
      <c r="FA15">
        <f>EZ15*0.33*60*7200</f>
        <v>389456.92493351985</v>
      </c>
      <c r="FB15">
        <f>'TEA Revised Non EYZ'!DS15</f>
        <v>1.2</v>
      </c>
      <c r="FC15">
        <v>0.5</v>
      </c>
      <c r="FD15">
        <f>'TEA Revised Non EYZ'!DT15</f>
        <v>1407.2889022715001</v>
      </c>
      <c r="FE15">
        <f>'TEA Revised Non EYZ'!DU15</f>
        <v>708.37877055417789</v>
      </c>
      <c r="FF15">
        <f>'TEA Revised Non EYZ'!DV15</f>
        <v>0.7</v>
      </c>
      <c r="FG15">
        <f>'TEA Revised Non EYZ'!DW15</f>
        <v>30272.303809866662</v>
      </c>
      <c r="FH15">
        <f>'TEA Revised Non EYZ'!DX15</f>
        <v>20763.049486147294</v>
      </c>
      <c r="FI15">
        <f>'TEA Revised Non EYZ'!DY15</f>
        <v>8790.8072421188135</v>
      </c>
      <c r="FJ15">
        <f>'TEA Revised Non EYZ'!DZ15</f>
        <v>4656.7358484871465</v>
      </c>
      <c r="FK15">
        <f>'TEA Revised Non EYZ'!EA15</f>
        <v>4688.4305291300352</v>
      </c>
      <c r="FL15">
        <f>'TEA Revised Non EYZ'!EB15</f>
        <v>851.12832809380325</v>
      </c>
      <c r="FM15">
        <f>'TEA Revised Non EYZ'!EC15</f>
        <v>36040.1508937365</v>
      </c>
      <c r="FN15">
        <f>'TEA Revised Non EYZ'!ED15</f>
        <v>31070.553957395477</v>
      </c>
      <c r="FO15">
        <f>'TEA Revised Non EYZ'!EE15</f>
        <v>13154.871635187601</v>
      </c>
      <c r="FP15">
        <f>'TEA Revised Non EYZ'!EF15</f>
        <v>6972.3169040409093</v>
      </c>
      <c r="FQ15">
        <f>'TEA Revised Non EYZ'!EG15</f>
        <v>7015.931538766723</v>
      </c>
      <c r="FR15">
        <f>'TEA Revised Non EYZ'!EH15</f>
        <v>428.42748043116683</v>
      </c>
      <c r="FS15">
        <f>'TEA Revised Non EYZ'!EI15</f>
        <v>164704.70765340209</v>
      </c>
      <c r="FT15">
        <f>EG15*EH15</f>
        <v>3206.3740089207004</v>
      </c>
      <c r="FU15">
        <f>EG15*EI15</f>
        <v>4551.0997572120732</v>
      </c>
      <c r="FV15">
        <f>FC15*(FT15+FU15)/(3.6*10^6)*3600*7200*0.07</f>
        <v>1954.8833890654589</v>
      </c>
      <c r="FW15">
        <f>('CAPEX+OPEX'!$C$39/7/100+0.03)*EL15</f>
        <v>115711.70629801355</v>
      </c>
      <c r="FX15">
        <f>('CAPEX+OPEX'!$C$39/7/100+0.03)*EM15</f>
        <v>164240.2030999336</v>
      </c>
      <c r="FY15">
        <f>SUM(FV15:FX15)</f>
        <v>281906.79278701264</v>
      </c>
      <c r="FZ15">
        <f>FY15+FA15+FS15+EU15</f>
        <v>11858782.863810401</v>
      </c>
      <c r="GA15">
        <f>FZ15+EO15</f>
        <v>12821841.249339052</v>
      </c>
      <c r="GB15">
        <f>GA15/(BK15*60*7200)</f>
        <v>0.2968018807717373</v>
      </c>
      <c r="GC15">
        <f>'TEA Revised Non EYZ'!EM15/'TEA Revised Non EYZ'!EK15*GA15</f>
        <v>992.84911919242359</v>
      </c>
      <c r="GD15">
        <f>'TEA Revised Non EYZ'!EN15/'TEA Revised Non EYZ'!EK15*GA15</f>
        <v>1815.7282763508281</v>
      </c>
    </row>
    <row r="16" spans="1:186">
      <c r="A16">
        <f>'TEA Revised Non EYZ'!A16</f>
        <v>4</v>
      </c>
      <c r="B16">
        <f>'TEA Revised Non EYZ'!B16</f>
        <v>1.54143585092054E-3</v>
      </c>
      <c r="C16">
        <f>'TEA Revised Non EYZ'!C16</f>
        <v>1.54143585092054E-3</v>
      </c>
      <c r="D16">
        <f>'TEA Revised Non EYZ'!D16</f>
        <v>3.4254130020456501E-4</v>
      </c>
      <c r="E16">
        <f>'TEA Revised Non EYZ'!E16</f>
        <v>0</v>
      </c>
      <c r="F16">
        <f>'TEA Revised Non EYZ'!F16</f>
        <v>0</v>
      </c>
      <c r="G16">
        <f>'TEA Revised Non EYZ'!G16</f>
        <v>0</v>
      </c>
      <c r="H16">
        <f>'TEA Revised Non EYZ'!H16</f>
        <v>1.7208960911287699E-5</v>
      </c>
      <c r="I16">
        <f>'TEA Revised Non EYZ'!I16</f>
        <v>2.8768784818324402E-7</v>
      </c>
      <c r="J16">
        <f>'TEA Revised Non EYZ'!J16</f>
        <v>3.3243632642994598E-4</v>
      </c>
      <c r="K16">
        <f>'TEA Revised Non EYZ'!K16</f>
        <v>0.10920586178936199</v>
      </c>
      <c r="L16">
        <f>'TEA Revised Non EYZ'!L16</f>
        <v>0.110418215553449</v>
      </c>
      <c r="M16">
        <f>'TEA Revised Non EYZ'!M16</f>
        <v>7.2398825703009801E-4</v>
      </c>
      <c r="N16">
        <f>'TEA Revised Non EYZ'!N16</f>
        <v>-2.168404344971E-18</v>
      </c>
      <c r="O16">
        <f>'TEA Revised Non EYZ'!O16</f>
        <v>2.3635607360183901E-17</v>
      </c>
      <c r="P16">
        <f>'TEA Revised Non EYZ'!P16</f>
        <v>-7.4538899358378406E-20</v>
      </c>
      <c r="Q16">
        <f>'TEA Revised Non EYZ'!Q16</f>
        <v>0.13957372480144001</v>
      </c>
      <c r="R16">
        <f>'TEA Revised Non EYZ'!R16</f>
        <v>97.0499984181222</v>
      </c>
      <c r="S16">
        <f>'TEA Revised Non EYZ'!S16</f>
        <v>500</v>
      </c>
      <c r="T16">
        <f>'TEA Revised Non EYZ'!T16</f>
        <v>95</v>
      </c>
      <c r="U16">
        <f>'TEA Revised Non EYZ'!U16</f>
        <v>1</v>
      </c>
      <c r="V16">
        <f>'TEA Revised Non EYZ'!V16</f>
        <v>0.1</v>
      </c>
      <c r="W16">
        <f>'TEA Revised Non EYZ'!W16</f>
        <v>71.646723007687299</v>
      </c>
      <c r="X16" t="str">
        <f>'TEA Revised Non EYZ'!X16</f>
        <v>ddFc</v>
      </c>
      <c r="Y16">
        <f>'TEA Revised Non EYZ'!Y16</f>
        <v>1</v>
      </c>
      <c r="Z16">
        <f>'TEA Revised Non EYZ'!Z16</f>
        <v>0.28318429382522198</v>
      </c>
      <c r="AA16">
        <f>'TEA Revised Non EYZ'!AA16</f>
        <v>0.56945642916197003</v>
      </c>
      <c r="AB16">
        <f>'TEA Revised Non EYZ'!AB16</f>
        <v>3.7698628972227502E-3</v>
      </c>
      <c r="AC16">
        <f>'TEA Revised Non EYZ'!AC16</f>
        <v>1822.2107908876901</v>
      </c>
      <c r="AD16">
        <f>'TEA Revised Non EYZ'!AD16</f>
        <v>2662.6059073104898</v>
      </c>
      <c r="AE16">
        <f>'TEA Revised Non EYZ'!AE16</f>
        <v>2401.5030938442701</v>
      </c>
      <c r="AF16">
        <f>'TEA Revised Non EYZ'!AF16</f>
        <v>8</v>
      </c>
      <c r="AG16">
        <f>'TEA Revised Non EYZ'!AG16</f>
        <v>1.6481650483119699E-3</v>
      </c>
      <c r="AH16">
        <f>'TEA Revised Non EYZ'!AH16</f>
        <v>1.6664622263884801E-3</v>
      </c>
      <c r="AI16">
        <f>'TEA Revised Non EYZ'!AI16</f>
        <v>1.0926630870116399E-5</v>
      </c>
      <c r="AJ16">
        <f>'TEA Revised Non EYZ'!AJ16</f>
        <v>0</v>
      </c>
      <c r="AK16">
        <f>'TEA Revised Non EYZ'!AK16</f>
        <v>0</v>
      </c>
      <c r="AL16">
        <f>'TEA Revised Non EYZ'!AL16</f>
        <v>0</v>
      </c>
      <c r="AM16">
        <f>'TEA Revised Non EYZ'!AM16</f>
        <v>1.6110629319685101E-3</v>
      </c>
      <c r="AN16">
        <f>'TEA Revised Non EYZ'!AN16</f>
        <v>7.3938379507668505E-5</v>
      </c>
      <c r="AO16">
        <f>'TEA Revised Non EYZ'!AO16</f>
        <v>1.085440638541E-5</v>
      </c>
      <c r="AP16">
        <f>'TEA Revised Non EYZ'!AP16</f>
        <v>1.73400814806823E-3</v>
      </c>
      <c r="AQ16">
        <f>'TEA Revised Non EYZ'!AQ16</f>
        <v>7.4428350688171094E-2</v>
      </c>
      <c r="AR16">
        <f>'TEA Revised Non EYZ'!AR16</f>
        <v>3.37549060036281E-6</v>
      </c>
      <c r="AS16">
        <f>'TEA Revised Non EYZ'!AS16</f>
        <v>-2.23616698075135E-19</v>
      </c>
      <c r="AT16">
        <f>'TEA Revised Non EYZ'!AT16</f>
        <v>-1.3010426069825999E-18</v>
      </c>
      <c r="AU16">
        <f>'TEA Revised Non EYZ'!AU16</f>
        <v>-9.26442286059391E-23</v>
      </c>
      <c r="AV16">
        <f>'TEA Revised Non EYZ'!AV16</f>
        <v>0.19787752425277699</v>
      </c>
      <c r="AW16">
        <f>'TEA Revised Non EYZ'!AW16</f>
        <v>99.339004990971901</v>
      </c>
      <c r="AX16">
        <f>'TEA Revised Non EYZ'!AX16</f>
        <v>500</v>
      </c>
      <c r="AY16">
        <f>'TEA Revised Non EYZ'!AY16</f>
        <v>95</v>
      </c>
      <c r="AZ16">
        <f>'TEA Revised Non EYZ'!AZ16</f>
        <v>0.92480233795174105</v>
      </c>
      <c r="BA16">
        <f>'TEA Revised Non EYZ'!BA16</f>
        <v>0.1</v>
      </c>
      <c r="BB16">
        <f>'TEA Revised Non EYZ'!BB16</f>
        <v>46.736098070964097</v>
      </c>
      <c r="BC16" t="str">
        <f>'TEA Revised Non EYZ'!BC16</f>
        <v>coeFc</v>
      </c>
      <c r="BD16">
        <f>'TEA Revised Non EYZ'!BD16</f>
        <v>1</v>
      </c>
      <c r="BE16">
        <f>'TEA Revised Non EYZ'!BE16</f>
        <v>1.8775014999999999E-2</v>
      </c>
      <c r="BF16">
        <f>'TEA Revised Non EYZ'!BF16</f>
        <v>0.10492961100000001</v>
      </c>
      <c r="BG16">
        <f>'TEA Revised Non EYZ'!BG16</f>
        <v>1.814625E-3</v>
      </c>
      <c r="BH16">
        <f>'TEA Revised Non EYZ'!BH16</f>
        <v>285.1951444</v>
      </c>
      <c r="BI16">
        <f>'TEA Revised Non EYZ'!BI16</f>
        <v>2169.8944889999998</v>
      </c>
      <c r="BJ16">
        <f>'TEA Revised Non EYZ'!BJ16</f>
        <v>866.49409060000005</v>
      </c>
      <c r="BK16">
        <f>'TEA Revised Non EYZ'!BK16</f>
        <v>100</v>
      </c>
      <c r="BL16">
        <f>'TEA Revised Non EYZ'!BL16</f>
        <v>13.957372480144</v>
      </c>
      <c r="BM16">
        <f>'TEA Revised Non EYZ'!BM16</f>
        <v>92.480233795174101</v>
      </c>
      <c r="BN16">
        <f>'TEA Revised Non EYZ'!BN16</f>
        <v>19.787752425277699</v>
      </c>
      <c r="BO16">
        <f>'TEA Revised Non EYZ'!BO16</f>
        <v>167.488469761728</v>
      </c>
      <c r="BP16">
        <f>'TEA Revised Non EYZ'!BP16</f>
        <v>395.75504850555399</v>
      </c>
      <c r="BQ16">
        <f>'TEA Revised Non EYZ'!BQ16</f>
        <v>16.7488469761728</v>
      </c>
      <c r="BR16">
        <f>'TEA Revised Non EYZ'!BR16</f>
        <v>39.575504850555404</v>
      </c>
      <c r="BS16">
        <f>'eLLE Bals'!CF16</f>
        <v>8.3744234880863999</v>
      </c>
      <c r="BT16">
        <f>'eLLE Bals'!CG16</f>
        <v>11.872651455166618</v>
      </c>
      <c r="BU16">
        <f>BM16</f>
        <v>92.480233795174101</v>
      </c>
      <c r="BV16">
        <f>BU16*(AM16*2+AN16*2+AO16*3)</f>
        <v>0.31467008458167556</v>
      </c>
      <c r="BW16">
        <f>BN16*BA16*(AP16*2+AQ16*2+AR16*3)</f>
        <v>0.30143641816702721</v>
      </c>
      <c r="BX16">
        <f>BV16/(2*V16*BL16+BV16)</f>
        <v>0.10130567860425573</v>
      </c>
      <c r="BY16">
        <f>BU16*BX16</f>
        <v>9.368772842100336</v>
      </c>
      <c r="BZ16">
        <f>BW16/(2*BN16*BA16+BW16)</f>
        <v>7.0776554381734538E-2</v>
      </c>
      <c r="CA16">
        <f>2*BN16*BA16/0.04</f>
        <v>98.938762126388497</v>
      </c>
      <c r="CB16">
        <f>(BS16+BL16)*2</f>
        <v>44.663591936460804</v>
      </c>
      <c r="CC16">
        <f>(BU16+BL16)*2</f>
        <v>212.87521255063621</v>
      </c>
      <c r="CD16">
        <f>(BT16+BN16)*2</f>
        <v>63.320807760888634</v>
      </c>
      <c r="CE16">
        <f>(CA16+BN16)*2</f>
        <v>237.4530291033324</v>
      </c>
      <c r="CF16">
        <f>'TEA Revised Non EYZ'!CB16</f>
        <v>2210.8478008548095</v>
      </c>
      <c r="CG16">
        <f>'TEA Revised Non EYZ'!CC16</f>
        <v>5223.9666402733128</v>
      </c>
      <c r="CH16">
        <f>'TEA Revised Non EYZ'!CD16</f>
        <v>2671.1136977461792</v>
      </c>
      <c r="CI16">
        <f>'TEA Revised Non EYZ'!CE16</f>
        <v>40292.918993708743</v>
      </c>
      <c r="CJ16">
        <f>BL16*V16</f>
        <v>1.3957372480144001</v>
      </c>
      <c r="CK16">
        <f>CJ16/2*1.2</f>
        <v>0.8374423488086401</v>
      </c>
      <c r="CL16">
        <f>'eLLE Bals'!CB16*'Oxidant Feed Composition'!$N$20</f>
        <v>4.6524574933813359E-2</v>
      </c>
      <c r="CM16">
        <f>'eLLE Bals'!CB16*'Oxidant Feed Composition'!$N$21</f>
        <v>2.326228746690667</v>
      </c>
      <c r="CN16">
        <f>'eLLE Bals'!CB16*'Oxidant Feed Composition'!$N$22</f>
        <v>0.69786862400720007</v>
      </c>
      <c r="CO16">
        <f>CN16/CK16</f>
        <v>0.83333333333333326</v>
      </c>
      <c r="CP16">
        <f>CO16</f>
        <v>0.83333333333333326</v>
      </c>
      <c r="CQ16">
        <f>CL16/CO16</f>
        <v>5.5829489920576035E-2</v>
      </c>
      <c r="CR16">
        <f>CM16/CO16</f>
        <v>2.7914744960288007</v>
      </c>
      <c r="CS16">
        <f>BN16*BA16</f>
        <v>1.97877524252777</v>
      </c>
      <c r="CT16">
        <f>CS16/2*1.2</f>
        <v>1.1872651455166621</v>
      </c>
      <c r="CU16">
        <f>'eLLE Bals'!CC16*'Oxidant Feed Composition'!$N$20</f>
        <v>6.5959174750925692E-2</v>
      </c>
      <c r="CV16">
        <f>'eLLE Bals'!CC16*'Oxidant Feed Composition'!$N$21</f>
        <v>3.2979587375462835</v>
      </c>
      <c r="CW16">
        <f>'eLLE Bals'!CC16*'Oxidant Feed Composition'!$N$22</f>
        <v>0.98938762126388502</v>
      </c>
      <c r="CX16">
        <f>CU16/CP16</f>
        <v>7.9151009701110844E-2</v>
      </c>
      <c r="CY16">
        <f>CV16/CP16</f>
        <v>3.9575504850555405</v>
      </c>
      <c r="CZ16">
        <f>CJ16</f>
        <v>1.3957372480144001</v>
      </c>
      <c r="DA16">
        <f>'eLLE Bals'!BQ16</f>
        <v>2.7914744960288003</v>
      </c>
      <c r="DB16">
        <f>'eLLE Bals'!BU16</f>
        <v>9.5902710905248689</v>
      </c>
      <c r="DC16">
        <f>CS16</f>
        <v>1.97877524252777</v>
      </c>
      <c r="DD16">
        <f>'eLLE Bals'!BX16</f>
        <v>3.9575504850555401</v>
      </c>
      <c r="DE16">
        <f>'eLLE Bals'!CA16</f>
        <v>22.021735523254261</v>
      </c>
      <c r="DF16">
        <f>2*2*(CJ16*'Reagent cost'!$C$36*122.44/1000*0.5+CK16*'Oxidant Feed Composition'!$N$26+CQ16*'Reagent cost'!$C$34+CR16*'Reagent cost'!$C$35)</f>
        <v>93.757653190631231</v>
      </c>
      <c r="DG16">
        <f>2*2*(CS16*'Reagent cost'!$C$36*122.44/1000*0.5+CT16*'Oxidant Feed Composition'!$N$26+CX16*'Reagent cost'!$C$34+CY16*'Reagent cost'!$C$35)</f>
        <v>132.92281422958183</v>
      </c>
      <c r="DH16">
        <f>(AF16+3)*2*(CZ16*'Reagent cost'!$C$38*0.5+DA16*'Reagent cost'!$C$39+DB16*'Reagent cost'!$C$36*122.44/1000)</f>
        <v>1896.3629215069266</v>
      </c>
      <c r="DI16">
        <f>3*2*(DC16*'Reagent cost'!$C$38*0.5+DD16*'Reagent cost'!$C$39+DE16*'Reagent cost'!$C$36*122.44/1000)</f>
        <v>1170.3435318077229</v>
      </c>
      <c r="DJ16">
        <f>7963.6*(CB16/1000)^0.6*1.7*('CAPEX+OPEX'!$G$116/'CAPEX+OPEX'!$G$115)</f>
        <v>2472.9373618126128</v>
      </c>
      <c r="DK16">
        <f>7963.6*(CC16/1000)^0.6*1.7*('CAPEX+OPEX'!$G$116/'CAPEX+OPEX'!$G$115)</f>
        <v>6311.2587327211604</v>
      </c>
      <c r="DL16">
        <f>7963.6*(CD16/1000)^0.6*1.7*('CAPEX+OPEX'!$G$116/'CAPEX+OPEX'!$G$115)</f>
        <v>3049.0798343108368</v>
      </c>
      <c r="DM16">
        <f>7963.6*(CE16/1000)^0.6*1.7*('CAPEX+OPEX'!$G$116/'CAPEX+OPEX'!$G$115)</f>
        <v>6738.8774150481213</v>
      </c>
      <c r="DN16">
        <f>'TEA Revised Non EYZ'!CM16</f>
        <v>39625.826528698344</v>
      </c>
      <c r="DO16">
        <f>'TEA Revised Non EYZ'!CN16</f>
        <v>4586243.4239371875</v>
      </c>
      <c r="DP16">
        <f>'TEA Revised Non EYZ'!CO16</f>
        <v>11794834.586807497</v>
      </c>
      <c r="DQ16">
        <f>'TEA Revised Non EYZ'!CP16</f>
        <v>2275209.1661185985</v>
      </c>
      <c r="DR16">
        <f>'TEA Revised Non EYZ'!CQ16</f>
        <v>14083914.336508472</v>
      </c>
      <c r="DS16">
        <f>'TEA Revised Non EYZ'!CR16</f>
        <v>1662824.8986326549</v>
      </c>
      <c r="DT16">
        <f>'TEA Revised Non EYZ'!CS16</f>
        <v>528015.95740622084</v>
      </c>
      <c r="DU16">
        <f>'TEA Revised Non EYZ'!CT16</f>
        <v>1357943.8117688675</v>
      </c>
      <c r="DV16">
        <f>'TEA Revised Non EYZ'!CU16</f>
        <v>261945.7004565605</v>
      </c>
      <c r="DW16">
        <f>'TEA Revised Non EYZ'!CV16</f>
        <v>1621486.4378120217</v>
      </c>
      <c r="DX16">
        <f>'TEA Revised Non EYZ'!CW16</f>
        <v>191441.6658016555</v>
      </c>
      <c r="DY16">
        <f>'TEA Revised Non EYZ'!CX16</f>
        <v>3960833.5732453261</v>
      </c>
      <c r="DZ16">
        <f>'TEA Revised Non EYZ'!CY16</f>
        <v>710175.64189173898</v>
      </c>
      <c r="EA16">
        <f>'TEA Revised Non EYZ'!CZ16</f>
        <v>1826419.4569292928</v>
      </c>
      <c r="EB16">
        <f>'TEA Revised Non EYZ'!DA16</f>
        <v>352314.07943870482</v>
      </c>
      <c r="EC16">
        <f>'TEA Revised Non EYZ'!DB16</f>
        <v>2180881.3836775436</v>
      </c>
      <c r="ED16">
        <f>'TEA Revised Non EYZ'!DC16</f>
        <v>257486.93006055866</v>
      </c>
      <c r="EE16">
        <f>'TEA Revised Non EYZ'!DD16</f>
        <v>5327277.491997839</v>
      </c>
      <c r="EF16">
        <v>0.7</v>
      </c>
      <c r="EG16">
        <v>100</v>
      </c>
      <c r="EH16">
        <f>96485*BL16*V16/EF16/EG16/60</f>
        <v>32.063740089207002</v>
      </c>
      <c r="EI16">
        <f>96485*BN16*BA16/EF16/EG16/60</f>
        <v>45.45764982745046</v>
      </c>
      <c r="EJ16">
        <f>EH16*('CAPEX+OPEX'!$O$25+'CAPEX+OPEX'!$O$26)</f>
        <v>1021935.5241232056</v>
      </c>
      <c r="EK16">
        <f>EI16*('CAPEX+OPEX'!$O$25+'CAPEX+OPEX'!$O$26)</f>
        <v>1448826.2153005011</v>
      </c>
      <c r="EL16">
        <f>EJ16*1.12/0.6*'CAPEX+OPEX'!$G$116/'CAPEX+OPEX'!$G$115</f>
        <v>2249949.8446835969</v>
      </c>
      <c r="EM16">
        <f>EK16*1.12/0.6*'CAPEX+OPEX'!$G$116/'CAPEX+OPEX'!$G$115</f>
        <v>3189816.0315795839</v>
      </c>
      <c r="EN16">
        <f>EL16+EM16+DY16+EE16+1.15*(SUM(DF16:DM16)+SUM(CF16:CI16))</f>
        <v>14810980.987013137</v>
      </c>
      <c r="EO16">
        <f>EN16/15</f>
        <v>987398.73246754252</v>
      </c>
      <c r="EP16">
        <f>('eLLE Bals'!CB16+'eLLE Bals'!CC16)*'Oxidant Feed Composition'!$N$29*60*7200</f>
        <v>8417239.5272737928</v>
      </c>
      <c r="EQ16" s="53">
        <f>('eLLE Bals'!BR16+'eLLE Bals'!BY16)*'Reagent cost'!$C$38*60*7200*0.5</f>
        <v>256781.66278805403</v>
      </c>
      <c r="ER16">
        <f>'TEA Revised Non EYZ'!DI16</f>
        <v>504921.59999999998</v>
      </c>
      <c r="ES16">
        <f>'TEA Revised Non EYZ'!DJ16</f>
        <v>74.348144411281226</v>
      </c>
      <c r="ET16">
        <f>'TEA Revised Non EYZ'!DK16</f>
        <v>859.28065382909847</v>
      </c>
      <c r="EU16">
        <f>1.2*SUM(EP16:ET16)</f>
        <v>11015851.702632105</v>
      </c>
      <c r="EV16">
        <f>'TEA Revised Non EYZ'!DM16</f>
        <v>0.70639694042110623</v>
      </c>
      <c r="EW16">
        <f>(BS16*CO16+BT16*CP16)/1000*('Oxidant Feed Composition'!$B$11*'Oxidant Feed Composition'!$O$20+'Oxidant Feed Composition'!$D$11*'Oxidant Feed Composition'!$O$21+'Oxidant Feed Composition'!$F$11*'Oxidant Feed Composition'!$O$27-'Oxidant Feed Composition'!$J$15*18.015)</f>
        <v>1.9704544446611074</v>
      </c>
      <c r="EX16">
        <f>(CZ16*BX16+DC16*BZ16)*368.34/1000</f>
        <v>0.10366818894701472</v>
      </c>
      <c r="EY16">
        <f>'TEA Revised Non EYZ'!DP16</f>
        <v>4.999938342565946E-2</v>
      </c>
      <c r="EZ16">
        <f>SUM(EV16:EX16)-EY16</f>
        <v>2.7305201906035692</v>
      </c>
      <c r="FA16">
        <f>EZ16*0.33*60*7200</f>
        <v>389262.95837244485</v>
      </c>
      <c r="FB16">
        <f>'TEA Revised Non EYZ'!DS16</f>
        <v>1.2</v>
      </c>
      <c r="FC16">
        <v>0.5</v>
      </c>
      <c r="FD16">
        <f>'TEA Revised Non EYZ'!DT16</f>
        <v>1407.4244845655176</v>
      </c>
      <c r="FE16">
        <f>'TEA Revised Non EYZ'!DU16</f>
        <v>708.24318720155725</v>
      </c>
      <c r="FF16">
        <f>'TEA Revised Non EYZ'!DV16</f>
        <v>0.7</v>
      </c>
      <c r="FG16">
        <f>'TEA Revised Non EYZ'!DW16</f>
        <v>30272.303809866662</v>
      </c>
      <c r="FH16">
        <f>'TEA Revised Non EYZ'!DX16</f>
        <v>20763.049486147294</v>
      </c>
      <c r="FI16">
        <f>'TEA Revised Non EYZ'!DY16</f>
        <v>8790.8072421188135</v>
      </c>
      <c r="FJ16">
        <f>'TEA Revised Non EYZ'!DZ16</f>
        <v>4656.7358484871465</v>
      </c>
      <c r="FK16">
        <f>'TEA Revised Non EYZ'!EA16</f>
        <v>4688.4305291300352</v>
      </c>
      <c r="FL16">
        <f>'TEA Revised Non EYZ'!EB16</f>
        <v>851.21032826522514</v>
      </c>
      <c r="FM16">
        <f>'TEA Revised Non EYZ'!EC16</f>
        <v>38614.447386146239</v>
      </c>
      <c r="FN16">
        <f>'TEA Revised Non EYZ'!ED16</f>
        <v>34954.37320206991</v>
      </c>
      <c r="FO16">
        <f>'TEA Revised Non EYZ'!EE16</f>
        <v>14799.230589586048</v>
      </c>
      <c r="FP16">
        <f>'TEA Revised Non EYZ'!EF16</f>
        <v>7843.8565170460224</v>
      </c>
      <c r="FQ16">
        <f>'TEA Revised Non EYZ'!EG16</f>
        <v>7892.9229811125624</v>
      </c>
      <c r="FR16">
        <f>'TEA Revised Non EYZ'!EH16</f>
        <v>428.34547961950182</v>
      </c>
      <c r="FS16">
        <f>'TEA Revised Non EYZ'!EI16</f>
        <v>174555.71339959546</v>
      </c>
      <c r="FT16">
        <f>EG16*EH16</f>
        <v>3206.3740089207004</v>
      </c>
      <c r="FU16">
        <f>EG16*EI16</f>
        <v>4545.7649827450459</v>
      </c>
      <c r="FV16">
        <f>FC16*(FT16+FU16)/(3.6*10^6)*3600*7200*0.07</f>
        <v>1953.5390258997684</v>
      </c>
      <c r="FW16">
        <f>('CAPEX+OPEX'!$C$39/7/100+0.03)*EL16</f>
        <v>115711.70629801355</v>
      </c>
      <c r="FX16">
        <f>('CAPEX+OPEX'!$C$39/7/100+0.03)*EM16</f>
        <v>164047.68162409289</v>
      </c>
      <c r="FY16">
        <f>SUM(FV16:FX16)</f>
        <v>281712.92694800621</v>
      </c>
      <c r="FZ16">
        <f>FY16+FA16+FS16+EU16</f>
        <v>11861383.301352151</v>
      </c>
      <c r="GA16">
        <f>FZ16+EO16</f>
        <v>12848782.033819694</v>
      </c>
      <c r="GB16">
        <f>GA16/(BK16*60*7200)</f>
        <v>0.29742551004212253</v>
      </c>
      <c r="GC16">
        <f>'TEA Revised Non EYZ'!EM16/'TEA Revised Non EYZ'!EK16*GA16</f>
        <v>994.83928993061329</v>
      </c>
      <c r="GD16">
        <f>'TEA Revised Non EYZ'!EN16/'TEA Revised Non EYZ'!EK16*GA16</f>
        <v>1819.8644750923129</v>
      </c>
    </row>
    <row r="17" spans="1:186">
      <c r="A17">
        <f>'TEA Revised Non EYZ'!A17</f>
        <v>4</v>
      </c>
      <c r="B17">
        <f>'TEA Revised Non EYZ'!B17</f>
        <v>1.54143585092054E-3</v>
      </c>
      <c r="C17">
        <f>'TEA Revised Non EYZ'!C17</f>
        <v>1.54143585092054E-3</v>
      </c>
      <c r="D17">
        <f>'TEA Revised Non EYZ'!D17</f>
        <v>3.4254130020456501E-4</v>
      </c>
      <c r="E17">
        <f>'TEA Revised Non EYZ'!E17</f>
        <v>0</v>
      </c>
      <c r="F17">
        <f>'TEA Revised Non EYZ'!F17</f>
        <v>0</v>
      </c>
      <c r="G17">
        <f>'TEA Revised Non EYZ'!G17</f>
        <v>0</v>
      </c>
      <c r="H17">
        <f>'TEA Revised Non EYZ'!H17</f>
        <v>1.7208960911287699E-5</v>
      </c>
      <c r="I17">
        <f>'TEA Revised Non EYZ'!I17</f>
        <v>2.8768784818324402E-7</v>
      </c>
      <c r="J17">
        <f>'TEA Revised Non EYZ'!J17</f>
        <v>3.3243632642994598E-4</v>
      </c>
      <c r="K17">
        <f>'TEA Revised Non EYZ'!K17</f>
        <v>0.10920586178936199</v>
      </c>
      <c r="L17">
        <f>'TEA Revised Non EYZ'!L17</f>
        <v>0.110418215553449</v>
      </c>
      <c r="M17">
        <f>'TEA Revised Non EYZ'!M17</f>
        <v>7.2398825703009801E-4</v>
      </c>
      <c r="N17">
        <f>'TEA Revised Non EYZ'!N17</f>
        <v>-2.168404344971E-18</v>
      </c>
      <c r="O17">
        <f>'TEA Revised Non EYZ'!O17</f>
        <v>2.3635607360183901E-17</v>
      </c>
      <c r="P17">
        <f>'TEA Revised Non EYZ'!P17</f>
        <v>-7.4538899358378406E-20</v>
      </c>
      <c r="Q17">
        <f>'TEA Revised Non EYZ'!Q17</f>
        <v>0.13957372480144001</v>
      </c>
      <c r="R17">
        <f>'TEA Revised Non EYZ'!R17</f>
        <v>97.0499984181222</v>
      </c>
      <c r="S17">
        <f>'TEA Revised Non EYZ'!S17</f>
        <v>500</v>
      </c>
      <c r="T17">
        <f>'TEA Revised Non EYZ'!T17</f>
        <v>95</v>
      </c>
      <c r="U17">
        <f>'TEA Revised Non EYZ'!U17</f>
        <v>1</v>
      </c>
      <c r="V17">
        <f>'TEA Revised Non EYZ'!V17</f>
        <v>0.1</v>
      </c>
      <c r="W17">
        <f>'TEA Revised Non EYZ'!W17</f>
        <v>71.646723007687299</v>
      </c>
      <c r="X17" t="str">
        <f>'TEA Revised Non EYZ'!X17</f>
        <v>ddFc</v>
      </c>
      <c r="Y17">
        <f>'TEA Revised Non EYZ'!Y17</f>
        <v>1</v>
      </c>
      <c r="Z17">
        <f>'TEA Revised Non EYZ'!Z17</f>
        <v>0.28318429382522198</v>
      </c>
      <c r="AA17">
        <f>'TEA Revised Non EYZ'!AA17</f>
        <v>0.56945642916197003</v>
      </c>
      <c r="AB17">
        <f>'TEA Revised Non EYZ'!AB17</f>
        <v>3.7698628972227502E-3</v>
      </c>
      <c r="AC17">
        <f>'TEA Revised Non EYZ'!AC17</f>
        <v>1822.2107908876901</v>
      </c>
      <c r="AD17">
        <f>'TEA Revised Non EYZ'!AD17</f>
        <v>2662.6059073104898</v>
      </c>
      <c r="AE17">
        <f>'TEA Revised Non EYZ'!AE17</f>
        <v>2401.5030938442701</v>
      </c>
      <c r="AF17">
        <f>'TEA Revised Non EYZ'!AF17</f>
        <v>9</v>
      </c>
      <c r="AG17">
        <f>'TEA Revised Non EYZ'!AG17</f>
        <v>1.6481650483119699E-3</v>
      </c>
      <c r="AH17">
        <f>'TEA Revised Non EYZ'!AH17</f>
        <v>1.6664622263884801E-3</v>
      </c>
      <c r="AI17">
        <f>'TEA Revised Non EYZ'!AI17</f>
        <v>1.0926630870116399E-5</v>
      </c>
      <c r="AJ17">
        <f>'TEA Revised Non EYZ'!AJ17</f>
        <v>0</v>
      </c>
      <c r="AK17">
        <f>'TEA Revised Non EYZ'!AK17</f>
        <v>0</v>
      </c>
      <c r="AL17">
        <f>'TEA Revised Non EYZ'!AL17</f>
        <v>0</v>
      </c>
      <c r="AM17">
        <f>'TEA Revised Non EYZ'!AM17</f>
        <v>1.6111071396005901E-3</v>
      </c>
      <c r="AN17">
        <f>'TEA Revised Non EYZ'!AN17</f>
        <v>7.3940623679874496E-5</v>
      </c>
      <c r="AO17">
        <f>'TEA Revised Non EYZ'!AO17</f>
        <v>1.0854488886514799E-5</v>
      </c>
      <c r="AP17">
        <f>'TEA Revised Non EYZ'!AP17</f>
        <v>1.73252052347845E-3</v>
      </c>
      <c r="AQ17">
        <f>'TEA Revised Non EYZ'!AQ17</f>
        <v>7.4453104800508499E-2</v>
      </c>
      <c r="AR17">
        <f>'TEA Revised Non EYZ'!AR17</f>
        <v>3.37276094477029E-6</v>
      </c>
      <c r="AS17">
        <f>'TEA Revised Non EYZ'!AS17</f>
        <v>6.3475293814521601E-16</v>
      </c>
      <c r="AT17">
        <f>'TEA Revised Non EYZ'!AT17</f>
        <v>-7.9814627129692894E-14</v>
      </c>
      <c r="AU17">
        <f>'TEA Revised Non EYZ'!AU17</f>
        <v>-9.9261673506363302E-22</v>
      </c>
      <c r="AV17">
        <f>'TEA Revised Non EYZ'!AV17</f>
        <v>0.19781145533817099</v>
      </c>
      <c r="AW17">
        <f>'TEA Revised Non EYZ'!AW17</f>
        <v>99.339760037113095</v>
      </c>
      <c r="AX17">
        <f>'TEA Revised Non EYZ'!AX17</f>
        <v>500</v>
      </c>
      <c r="AY17">
        <f>'TEA Revised Non EYZ'!AY17</f>
        <v>95</v>
      </c>
      <c r="AZ17">
        <f>'TEA Revised Non EYZ'!AZ17</f>
        <v>0.92480233795174105</v>
      </c>
      <c r="BA17">
        <f>'TEA Revised Non EYZ'!BA17</f>
        <v>0.1</v>
      </c>
      <c r="BB17">
        <f>'TEA Revised Non EYZ'!BB17</f>
        <v>46.751707901381799</v>
      </c>
      <c r="BC17" t="str">
        <f>'TEA Revised Non EYZ'!BC17</f>
        <v>coeFc</v>
      </c>
      <c r="BD17">
        <f>'TEA Revised Non EYZ'!BD17</f>
        <v>1</v>
      </c>
      <c r="BE17">
        <f>'TEA Revised Non EYZ'!BE17</f>
        <v>1.8775014999999999E-2</v>
      </c>
      <c r="BF17">
        <f>'TEA Revised Non EYZ'!BF17</f>
        <v>0.10492961100000001</v>
      </c>
      <c r="BG17">
        <f>'TEA Revised Non EYZ'!BG17</f>
        <v>1.814625E-3</v>
      </c>
      <c r="BH17">
        <f>'TEA Revised Non EYZ'!BH17</f>
        <v>285.1951444</v>
      </c>
      <c r="BI17">
        <f>'TEA Revised Non EYZ'!BI17</f>
        <v>2169.8944889999998</v>
      </c>
      <c r="BJ17">
        <f>'TEA Revised Non EYZ'!BJ17</f>
        <v>866.49409060000005</v>
      </c>
      <c r="BK17">
        <f>'TEA Revised Non EYZ'!BK17</f>
        <v>100</v>
      </c>
      <c r="BL17">
        <f>'TEA Revised Non EYZ'!BL17</f>
        <v>13.957372480144</v>
      </c>
      <c r="BM17">
        <f>'TEA Revised Non EYZ'!BM17</f>
        <v>92.480233795174101</v>
      </c>
      <c r="BN17">
        <f>'TEA Revised Non EYZ'!BN17</f>
        <v>19.781145533817099</v>
      </c>
      <c r="BO17">
        <f>'TEA Revised Non EYZ'!BO17</f>
        <v>167.488469761728</v>
      </c>
      <c r="BP17">
        <f>'TEA Revised Non EYZ'!BP17</f>
        <v>435.18520174397617</v>
      </c>
      <c r="BQ17">
        <f>'TEA Revised Non EYZ'!BQ17</f>
        <v>16.7488469761728</v>
      </c>
      <c r="BR17">
        <f>'TEA Revised Non EYZ'!BR17</f>
        <v>43.518520174397622</v>
      </c>
      <c r="BS17">
        <f>'eLLE Bals'!CF17</f>
        <v>8.3744234880863999</v>
      </c>
      <c r="BT17">
        <f>'eLLE Bals'!CG17</f>
        <v>11.86868732029026</v>
      </c>
      <c r="BU17">
        <f>BM17</f>
        <v>92.480233795174101</v>
      </c>
      <c r="BV17">
        <f>BU17*(AM17*2+AN17*2+AO17*3)</f>
        <v>0.31467869921828112</v>
      </c>
      <c r="BW17">
        <f>BN17*BA17*(AP17*2+AQ17*2+AR17*3)</f>
        <v>0.30142780354625931</v>
      </c>
      <c r="BX17">
        <f>BV17/(2*V17*BL17+BV17)</f>
        <v>0.10130817105215242</v>
      </c>
      <c r="BY17">
        <f>BU17*BX17</f>
        <v>9.3690033442645451</v>
      </c>
      <c r="BZ17">
        <f>BW17/(2*BN17*BA17+BW17)</f>
        <v>7.0796640005531833E-2</v>
      </c>
      <c r="CA17">
        <f>2*BN17*BA17/0.04</f>
        <v>98.905727669085493</v>
      </c>
      <c r="CB17">
        <f>(BS17+BL17)*2</f>
        <v>44.663591936460804</v>
      </c>
      <c r="CC17">
        <f>(BU17+BL17)*2</f>
        <v>212.87521255063621</v>
      </c>
      <c r="CD17">
        <f>(BT17+BN17)*2</f>
        <v>63.299665708214718</v>
      </c>
      <c r="CE17">
        <f>(CA17+BN17)*2</f>
        <v>237.37374640580518</v>
      </c>
      <c r="CF17">
        <f>'TEA Revised Non EYZ'!CB17</f>
        <v>2210.8478008548095</v>
      </c>
      <c r="CG17">
        <f>'TEA Revised Non EYZ'!CC17</f>
        <v>5744.4446630204857</v>
      </c>
      <c r="CH17">
        <f>'TEA Revised Non EYZ'!CD17</f>
        <v>2671.1136977461792</v>
      </c>
      <c r="CI17">
        <f>'TEA Revised Non EYZ'!CE17</f>
        <v>44307.41224236018</v>
      </c>
      <c r="CJ17">
        <f>BL17*V17</f>
        <v>1.3957372480144001</v>
      </c>
      <c r="CK17">
        <f>CJ17/2*1.2</f>
        <v>0.8374423488086401</v>
      </c>
      <c r="CL17">
        <f>'eLLE Bals'!CB17*'Oxidant Feed Composition'!$N$20</f>
        <v>4.6524574933813359E-2</v>
      </c>
      <c r="CM17">
        <f>'eLLE Bals'!CB17*'Oxidant Feed Composition'!$N$21</f>
        <v>2.326228746690667</v>
      </c>
      <c r="CN17">
        <f>'eLLE Bals'!CB17*'Oxidant Feed Composition'!$N$22</f>
        <v>0.69786862400720007</v>
      </c>
      <c r="CO17">
        <f>CN17/CK17</f>
        <v>0.83333333333333326</v>
      </c>
      <c r="CP17">
        <f>CO17</f>
        <v>0.83333333333333326</v>
      </c>
      <c r="CQ17">
        <f>CL17/CO17</f>
        <v>5.5829489920576035E-2</v>
      </c>
      <c r="CR17">
        <f>CM17/CO17</f>
        <v>2.7914744960288007</v>
      </c>
      <c r="CS17">
        <f>BN17*BA17</f>
        <v>1.9781145533817099</v>
      </c>
      <c r="CT17">
        <f>CS17/2*1.2</f>
        <v>1.1868687320290259</v>
      </c>
      <c r="CU17">
        <f>'eLLE Bals'!CC17*'Oxidant Feed Composition'!$N$20</f>
        <v>6.5937151779390357E-2</v>
      </c>
      <c r="CV17">
        <f>'eLLE Bals'!CC17*'Oxidant Feed Composition'!$N$21</f>
        <v>3.2968575889695169</v>
      </c>
      <c r="CW17">
        <f>'eLLE Bals'!CC17*'Oxidant Feed Composition'!$N$22</f>
        <v>0.98905727669085497</v>
      </c>
      <c r="CX17">
        <f>CU17/CP17</f>
        <v>7.9124582135268434E-2</v>
      </c>
      <c r="CY17">
        <f>CV17/CP17</f>
        <v>3.9562291067634208</v>
      </c>
      <c r="CZ17">
        <f>CJ17</f>
        <v>1.3957372480144001</v>
      </c>
      <c r="DA17">
        <f>'eLLE Bals'!BQ17</f>
        <v>2.7914744960288003</v>
      </c>
      <c r="DB17">
        <f>'eLLE Bals'!BU17</f>
        <v>9.5899321282918848</v>
      </c>
      <c r="DC17">
        <f>CS17</f>
        <v>1.9781145533817099</v>
      </c>
      <c r="DD17">
        <f>'eLLE Bals'!BX17</f>
        <v>3.9562291067634199</v>
      </c>
      <c r="DE17">
        <f>'eLLE Bals'!CA17</f>
        <v>22.006453434563685</v>
      </c>
      <c r="DF17">
        <f>2*2*(CJ17*'Reagent cost'!$C$36*122.44/1000*0.5+CK17*'Oxidant Feed Composition'!$N$26+CQ17*'Reagent cost'!$C$34+CR17*'Reagent cost'!$C$35)</f>
        <v>93.757653190631231</v>
      </c>
      <c r="DG17">
        <f>2*2*(CS17*'Reagent cost'!$C$36*122.44/1000*0.5+CT17*'Oxidant Feed Composition'!$N$26+CX17*'Reagent cost'!$C$34+CY17*'Reagent cost'!$C$35)</f>
        <v>132.87843290787441</v>
      </c>
      <c r="DH17">
        <f>(AF17+3)*2*(CZ17*'Reagent cost'!$C$38*0.5+DA17*'Reagent cost'!$C$39+DB17*'Reagent cost'!$C$36*122.44/1000)</f>
        <v>2068.6892089169414</v>
      </c>
      <c r="DI17">
        <f>3*2*(DC17*'Reagent cost'!$C$38*0.5+DD17*'Reagent cost'!$C$39+DE17*'Reagent cost'!$C$36*122.44/1000)</f>
        <v>1169.5413941055529</v>
      </c>
      <c r="DJ17">
        <f>7963.6*(CB17/1000)^0.6*1.7*('CAPEX+OPEX'!$G$116/'CAPEX+OPEX'!$G$115)</f>
        <v>2472.9373618126128</v>
      </c>
      <c r="DK17">
        <f>7963.6*(CC17/1000)^0.6*1.7*('CAPEX+OPEX'!$G$116/'CAPEX+OPEX'!$G$115)</f>
        <v>6311.2587327211604</v>
      </c>
      <c r="DL17">
        <f>7963.6*(CD17/1000)^0.6*1.7*('CAPEX+OPEX'!$G$116/'CAPEX+OPEX'!$G$115)</f>
        <v>3048.4689629639438</v>
      </c>
      <c r="DM17">
        <f>7963.6*(CE17/1000)^0.6*1.7*('CAPEX+OPEX'!$G$116/'CAPEX+OPEX'!$G$115)</f>
        <v>6737.5273070329895</v>
      </c>
      <c r="DN17">
        <f>'TEA Revised Non EYZ'!CM17</f>
        <v>39625.826528698344</v>
      </c>
      <c r="DO17">
        <f>'TEA Revised Non EYZ'!CN17</f>
        <v>4586243.4239371875</v>
      </c>
      <c r="DP17">
        <f>'TEA Revised Non EYZ'!CO17</f>
        <v>11794834.586807497</v>
      </c>
      <c r="DQ17">
        <f>'TEA Revised Non EYZ'!CP17</f>
        <v>2275209.1661185985</v>
      </c>
      <c r="DR17">
        <f>'TEA Revised Non EYZ'!CQ17</f>
        <v>14083914.336508472</v>
      </c>
      <c r="DS17">
        <f>'TEA Revised Non EYZ'!CR17</f>
        <v>1662824.8986326549</v>
      </c>
      <c r="DT17">
        <f>'TEA Revised Non EYZ'!CS17</f>
        <v>528015.95740622084</v>
      </c>
      <c r="DU17">
        <f>'TEA Revised Non EYZ'!CT17</f>
        <v>1357943.8117688675</v>
      </c>
      <c r="DV17">
        <f>'TEA Revised Non EYZ'!CU17</f>
        <v>261945.7004565605</v>
      </c>
      <c r="DW17">
        <f>'TEA Revised Non EYZ'!CV17</f>
        <v>1621486.4378120217</v>
      </c>
      <c r="DX17">
        <f>'TEA Revised Non EYZ'!CW17</f>
        <v>191441.6658016555</v>
      </c>
      <c r="DY17">
        <f>'TEA Revised Non EYZ'!CX17</f>
        <v>3960833.5732453261</v>
      </c>
      <c r="DZ17">
        <f>'TEA Revised Non EYZ'!CY17</f>
        <v>756519.74381347164</v>
      </c>
      <c r="EA17">
        <f>'TEA Revised Non EYZ'!CZ17</f>
        <v>1945606.5487849014</v>
      </c>
      <c r="EB17">
        <f>'TEA Revised Non EYZ'!DA17</f>
        <v>375305.12368583737</v>
      </c>
      <c r="EC17">
        <f>'TEA Revised Non EYZ'!DB17</f>
        <v>2323199.682366488</v>
      </c>
      <c r="ED17">
        <f>'TEA Revised Non EYZ'!DC17</f>
        <v>274289.81631339306</v>
      </c>
      <c r="EE17">
        <f>'TEA Revised Non EYZ'!DD17</f>
        <v>5674920.914964092</v>
      </c>
      <c r="EF17">
        <v>0.7</v>
      </c>
      <c r="EG17">
        <v>100</v>
      </c>
      <c r="EH17">
        <f>96485*BL17*V17/EF17/EG17/60</f>
        <v>32.063740089207002</v>
      </c>
      <c r="EI17">
        <f>96485*BN17*BA17/EF17/EG17/60</f>
        <v>45.442472067389119</v>
      </c>
      <c r="EJ17">
        <f>EH17*('CAPEX+OPEX'!$O$25+'CAPEX+OPEX'!$O$26)</f>
        <v>1021935.5241232056</v>
      </c>
      <c r="EK17">
        <f>EI17*('CAPEX+OPEX'!$O$25+'CAPEX+OPEX'!$O$26)</f>
        <v>1448342.4697318261</v>
      </c>
      <c r="EL17">
        <f>EJ17*1.12/0.6*'CAPEX+OPEX'!$G$116/'CAPEX+OPEX'!$G$115</f>
        <v>2249949.8446835969</v>
      </c>
      <c r="EM17">
        <f>EK17*1.12/0.6*'CAPEX+OPEX'!$G$116/'CAPEX+OPEX'!$G$115</f>
        <v>3188750.9905457669</v>
      </c>
      <c r="EN17">
        <f>EL17+EM17+DY17+EE17+1.15*(SUM(DF17:DM17)+SUM(CF17:CI17))</f>
        <v>15162969.53251506</v>
      </c>
      <c r="EO17">
        <f>EN17/15</f>
        <v>1010864.6355010041</v>
      </c>
      <c r="EP17">
        <f>('eLLE Bals'!CB17+'eLLE Bals'!CC17)*'Oxidant Feed Composition'!$N$29*60*7200</f>
        <v>8415591.5325453561</v>
      </c>
      <c r="EQ17" s="53">
        <f>('eLLE Bals'!BR17+'eLLE Bals'!BY17)*'Reagent cost'!$C$38*60*7200*0.5</f>
        <v>256778.42314047771</v>
      </c>
      <c r="ER17">
        <f>'TEA Revised Non EYZ'!DI17</f>
        <v>504921.59999999998</v>
      </c>
      <c r="ES17">
        <f>'TEA Revised Non EYZ'!DJ17</f>
        <v>79.552924638752955</v>
      </c>
      <c r="ET17">
        <f>'TEA Revised Non EYZ'!DK17</f>
        <v>939.57051880212725</v>
      </c>
      <c r="EU17">
        <f>1.2*SUM(EP17:ET17)</f>
        <v>11013972.814955128</v>
      </c>
      <c r="EV17">
        <f>'TEA Revised Non EYZ'!DM17</f>
        <v>0.70639694042110623</v>
      </c>
      <c r="EW17">
        <f>(BS17*CO17+BT17*CP17)/1000*('Oxidant Feed Composition'!$B$11*'Oxidant Feed Composition'!$O$20+'Oxidant Feed Composition'!$D$11*'Oxidant Feed Composition'!$O$21+'Oxidant Feed Composition'!$F$11*'Oxidant Feed Composition'!$O$27-'Oxidant Feed Composition'!$J$15*18.015)</f>
        <v>1.9700686532710798</v>
      </c>
      <c r="EX17">
        <f>(CZ17*BX17+DC17*BZ17)*368.34/1000</f>
        <v>0.10366688103276016</v>
      </c>
      <c r="EY17">
        <f>'TEA Revised Non EYZ'!DP17</f>
        <v>4.999938342565946E-2</v>
      </c>
      <c r="EZ17">
        <f>SUM(EV17:EX17)-EY17</f>
        <v>2.7301330912992867</v>
      </c>
      <c r="FA17">
        <f>EZ17*0.33*60*7200</f>
        <v>389207.77349562634</v>
      </c>
      <c r="FB17">
        <f>'TEA Revised Non EYZ'!DS17</f>
        <v>1.2</v>
      </c>
      <c r="FC17">
        <v>0.5</v>
      </c>
      <c r="FD17">
        <f>'TEA Revised Non EYZ'!DT17</f>
        <v>1407.4630585814209</v>
      </c>
      <c r="FE17">
        <f>'TEA Revised Non EYZ'!DU17</f>
        <v>708.2046132217464</v>
      </c>
      <c r="FF17">
        <f>'TEA Revised Non EYZ'!DV17</f>
        <v>0.7</v>
      </c>
      <c r="FG17">
        <f>'TEA Revised Non EYZ'!DW17</f>
        <v>30272.303809866662</v>
      </c>
      <c r="FH17">
        <f>'TEA Revised Non EYZ'!DX17</f>
        <v>20763.049486147294</v>
      </c>
      <c r="FI17">
        <f>'TEA Revised Non EYZ'!DY17</f>
        <v>8790.8072421188135</v>
      </c>
      <c r="FJ17">
        <f>'TEA Revised Non EYZ'!DZ17</f>
        <v>4656.7358484871465</v>
      </c>
      <c r="FK17">
        <f>'TEA Revised Non EYZ'!EA17</f>
        <v>4688.4305291300352</v>
      </c>
      <c r="FL17">
        <f>'TEA Revised Non EYZ'!EB17</f>
        <v>851.2336578300434</v>
      </c>
      <c r="FM17">
        <f>'TEA Revised Non EYZ'!EC17</f>
        <v>41188.743878555993</v>
      </c>
      <c r="FN17">
        <f>'TEA Revised Non EYZ'!ED17</f>
        <v>38838.192446744346</v>
      </c>
      <c r="FO17">
        <f>'TEA Revised Non EYZ'!EE17</f>
        <v>16443.589543984501</v>
      </c>
      <c r="FP17">
        <f>'TEA Revised Non EYZ'!EF17</f>
        <v>8715.3961300511364</v>
      </c>
      <c r="FQ17">
        <f>'TEA Revised Non EYZ'!EG17</f>
        <v>8769.9144234584019</v>
      </c>
      <c r="FR17">
        <f>'TEA Revised Non EYZ'!EH17</f>
        <v>428.32215007651229</v>
      </c>
      <c r="FS17">
        <f>'TEA Revised Non EYZ'!EI17</f>
        <v>184406.71914645089</v>
      </c>
      <c r="FT17">
        <f>EG17*EH17</f>
        <v>3206.3740089207004</v>
      </c>
      <c r="FU17">
        <f>EG17*EI17</f>
        <v>4544.2472067389117</v>
      </c>
      <c r="FV17">
        <f>FC17*(FT17+FU17)/(3.6*10^6)*3600*7200*0.07</f>
        <v>1953.1565463462225</v>
      </c>
      <c r="FW17">
        <f>('CAPEX+OPEX'!$C$39/7/100+0.03)*EL17</f>
        <v>115711.70629801355</v>
      </c>
      <c r="FX17">
        <f>('CAPEX+OPEX'!$C$39/7/100+0.03)*EM17</f>
        <v>163992.90808521086</v>
      </c>
      <c r="FY17">
        <f>SUM(FV17:FX17)</f>
        <v>281657.77092957066</v>
      </c>
      <c r="FZ17">
        <f>FY17+FA17+FS17+EU17</f>
        <v>11869245.078526776</v>
      </c>
      <c r="GA17">
        <f>FZ17+EO17</f>
        <v>12880109.714027781</v>
      </c>
      <c r="GB17">
        <f>GA17/(BK17*60*7200)</f>
        <v>0.29815068782471715</v>
      </c>
      <c r="GC17">
        <f>'TEA Revised Non EYZ'!EM17/'TEA Revised Non EYZ'!EK17*GA17</f>
        <v>997.2375234875733</v>
      </c>
      <c r="GD17">
        <f>'TEA Revised Non EYZ'!EN17/'TEA Revised Non EYZ'!EK17*GA17</f>
        <v>1824.393222745889</v>
      </c>
    </row>
    <row r="18" spans="1:186">
      <c r="A18">
        <f>'TEA Revised Non EYZ'!A18</f>
        <v>4</v>
      </c>
      <c r="B18">
        <f>'TEA Revised Non EYZ'!B18</f>
        <v>1.54143585092054E-3</v>
      </c>
      <c r="C18">
        <f>'TEA Revised Non EYZ'!C18</f>
        <v>1.54143585092054E-3</v>
      </c>
      <c r="D18">
        <f>'TEA Revised Non EYZ'!D18</f>
        <v>3.4254130020456501E-4</v>
      </c>
      <c r="E18">
        <f>'TEA Revised Non EYZ'!E18</f>
        <v>0</v>
      </c>
      <c r="F18">
        <f>'TEA Revised Non EYZ'!F18</f>
        <v>0</v>
      </c>
      <c r="G18">
        <f>'TEA Revised Non EYZ'!G18</f>
        <v>0</v>
      </c>
      <c r="H18">
        <f>'TEA Revised Non EYZ'!H18</f>
        <v>1.7208960911287699E-5</v>
      </c>
      <c r="I18">
        <f>'TEA Revised Non EYZ'!I18</f>
        <v>2.8768784818324402E-7</v>
      </c>
      <c r="J18">
        <f>'TEA Revised Non EYZ'!J18</f>
        <v>3.3243632642994598E-4</v>
      </c>
      <c r="K18">
        <f>'TEA Revised Non EYZ'!K18</f>
        <v>0.10920586178936199</v>
      </c>
      <c r="L18">
        <f>'TEA Revised Non EYZ'!L18</f>
        <v>0.110418215553449</v>
      </c>
      <c r="M18">
        <f>'TEA Revised Non EYZ'!M18</f>
        <v>7.2398825703009801E-4</v>
      </c>
      <c r="N18">
        <f>'TEA Revised Non EYZ'!N18</f>
        <v>-2.168404344971E-18</v>
      </c>
      <c r="O18">
        <f>'TEA Revised Non EYZ'!O18</f>
        <v>2.3635607360183901E-17</v>
      </c>
      <c r="P18">
        <f>'TEA Revised Non EYZ'!P18</f>
        <v>-7.4538899358378406E-20</v>
      </c>
      <c r="Q18">
        <f>'TEA Revised Non EYZ'!Q18</f>
        <v>0.13957372480144001</v>
      </c>
      <c r="R18">
        <f>'TEA Revised Non EYZ'!R18</f>
        <v>97.0499984181222</v>
      </c>
      <c r="S18">
        <f>'TEA Revised Non EYZ'!S18</f>
        <v>500</v>
      </c>
      <c r="T18">
        <f>'TEA Revised Non EYZ'!T18</f>
        <v>95</v>
      </c>
      <c r="U18">
        <f>'TEA Revised Non EYZ'!U18</f>
        <v>1</v>
      </c>
      <c r="V18">
        <f>'TEA Revised Non EYZ'!V18</f>
        <v>0.1</v>
      </c>
      <c r="W18">
        <f>'TEA Revised Non EYZ'!W18</f>
        <v>71.646723007687299</v>
      </c>
      <c r="X18" t="str">
        <f>'TEA Revised Non EYZ'!X18</f>
        <v>ddFc</v>
      </c>
      <c r="Y18">
        <f>'TEA Revised Non EYZ'!Y18</f>
        <v>1</v>
      </c>
      <c r="Z18">
        <f>'TEA Revised Non EYZ'!Z18</f>
        <v>0.28318429382522198</v>
      </c>
      <c r="AA18">
        <f>'TEA Revised Non EYZ'!AA18</f>
        <v>0.56945642916197003</v>
      </c>
      <c r="AB18">
        <f>'TEA Revised Non EYZ'!AB18</f>
        <v>3.7698628972227502E-3</v>
      </c>
      <c r="AC18">
        <f>'TEA Revised Non EYZ'!AC18</f>
        <v>1822.2107908876901</v>
      </c>
      <c r="AD18">
        <f>'TEA Revised Non EYZ'!AD18</f>
        <v>2662.6059073104898</v>
      </c>
      <c r="AE18">
        <f>'TEA Revised Non EYZ'!AE18</f>
        <v>2401.5030938442701</v>
      </c>
      <c r="AF18">
        <f>'TEA Revised Non EYZ'!AF18</f>
        <v>10</v>
      </c>
      <c r="AG18">
        <f>'TEA Revised Non EYZ'!AG18</f>
        <v>1.6481650483119699E-3</v>
      </c>
      <c r="AH18">
        <f>'TEA Revised Non EYZ'!AH18</f>
        <v>1.6664622263884801E-3</v>
      </c>
      <c r="AI18">
        <f>'TEA Revised Non EYZ'!AI18</f>
        <v>1.0926630870116399E-5</v>
      </c>
      <c r="AJ18">
        <f>'TEA Revised Non EYZ'!AJ18</f>
        <v>0</v>
      </c>
      <c r="AK18">
        <f>'TEA Revised Non EYZ'!AK18</f>
        <v>0</v>
      </c>
      <c r="AL18">
        <f>'TEA Revised Non EYZ'!AL18</f>
        <v>0</v>
      </c>
      <c r="AM18">
        <f>'TEA Revised Non EYZ'!AM18</f>
        <v>1.6111196692703601E-3</v>
      </c>
      <c r="AN18">
        <f>'TEA Revised Non EYZ'!AN18</f>
        <v>7.3941259795984898E-5</v>
      </c>
      <c r="AO18">
        <f>'TEA Revised Non EYZ'!AO18</f>
        <v>1.08545122697032E-5</v>
      </c>
      <c r="AP18">
        <f>'TEA Revised Non EYZ'!AP18</f>
        <v>1.73209870318316E-3</v>
      </c>
      <c r="AQ18">
        <f>'TEA Revised Non EYZ'!AQ18</f>
        <v>7.4460123902013106E-2</v>
      </c>
      <c r="AR18">
        <f>'TEA Revised Non EYZ'!AR18</f>
        <v>3.3719869428578601E-6</v>
      </c>
      <c r="AS18">
        <f>'TEA Revised Non EYZ'!AS18</f>
        <v>4.70535543579779E-14</v>
      </c>
      <c r="AT18">
        <f>'TEA Revised Non EYZ'!AT18</f>
        <v>-4.6022981432802804E-12</v>
      </c>
      <c r="AU18">
        <f>'TEA Revised Non EYZ'!AU18</f>
        <v>6.0744173718954098E-19</v>
      </c>
      <c r="AV18">
        <f>'TEA Revised Non EYZ'!AV18</f>
        <v>0.19779272992915201</v>
      </c>
      <c r="AW18">
        <f>'TEA Revised Non EYZ'!AW18</f>
        <v>99.339974038928602</v>
      </c>
      <c r="AX18">
        <f>'TEA Revised Non EYZ'!AX18</f>
        <v>500</v>
      </c>
      <c r="AY18">
        <f>'TEA Revised Non EYZ'!AY18</f>
        <v>95</v>
      </c>
      <c r="AZ18">
        <f>'TEA Revised Non EYZ'!AZ18</f>
        <v>0.92480233795174105</v>
      </c>
      <c r="BA18">
        <f>'TEA Revised Non EYZ'!BA18</f>
        <v>0.1</v>
      </c>
      <c r="BB18">
        <f>'TEA Revised Non EYZ'!BB18</f>
        <v>46.7561339733263</v>
      </c>
      <c r="BC18" t="str">
        <f>'TEA Revised Non EYZ'!BC18</f>
        <v>coeFc</v>
      </c>
      <c r="BD18">
        <f>'TEA Revised Non EYZ'!BD18</f>
        <v>1</v>
      </c>
      <c r="BE18">
        <f>'TEA Revised Non EYZ'!BE18</f>
        <v>1.8775014999999999E-2</v>
      </c>
      <c r="BF18">
        <f>'TEA Revised Non EYZ'!BF18</f>
        <v>0.10492961100000001</v>
      </c>
      <c r="BG18">
        <f>'TEA Revised Non EYZ'!BG18</f>
        <v>1.814625E-3</v>
      </c>
      <c r="BH18">
        <f>'TEA Revised Non EYZ'!BH18</f>
        <v>285.1951444</v>
      </c>
      <c r="BI18">
        <f>'TEA Revised Non EYZ'!BI18</f>
        <v>2169.8944889999998</v>
      </c>
      <c r="BJ18">
        <f>'TEA Revised Non EYZ'!BJ18</f>
        <v>866.49409060000005</v>
      </c>
      <c r="BK18">
        <f>'TEA Revised Non EYZ'!BK18</f>
        <v>100</v>
      </c>
      <c r="BL18">
        <f>'TEA Revised Non EYZ'!BL18</f>
        <v>13.957372480144</v>
      </c>
      <c r="BM18">
        <f>'TEA Revised Non EYZ'!BM18</f>
        <v>92.480233795174101</v>
      </c>
      <c r="BN18">
        <f>'TEA Revised Non EYZ'!BN18</f>
        <v>19.7792729929152</v>
      </c>
      <c r="BO18">
        <f>'TEA Revised Non EYZ'!BO18</f>
        <v>167.488469761728</v>
      </c>
      <c r="BP18">
        <f>'TEA Revised Non EYZ'!BP18</f>
        <v>474.70255182996482</v>
      </c>
      <c r="BQ18">
        <f>'TEA Revised Non EYZ'!BQ18</f>
        <v>16.7488469761728</v>
      </c>
      <c r="BR18">
        <f>'TEA Revised Non EYZ'!BR18</f>
        <v>47.470255182996482</v>
      </c>
      <c r="BS18">
        <f>'eLLE Bals'!CF18</f>
        <v>8.3744234880863999</v>
      </c>
      <c r="BT18">
        <f>'eLLE Bals'!CG18</f>
        <v>11.867563795749119</v>
      </c>
      <c r="BU18">
        <f>BM18</f>
        <v>92.480233795174101</v>
      </c>
      <c r="BV18">
        <f>BU18*(AM18*2+AN18*2+AO18*3)</f>
        <v>0.31468114085564197</v>
      </c>
      <c r="BW18">
        <f>BN18*BA18*(AP18*2+AQ18*2+AR18*3)</f>
        <v>0.3014253628041097</v>
      </c>
      <c r="BX18">
        <f>BV18/(2*V18*BL18+BV18)</f>
        <v>0.10130887748151461</v>
      </c>
      <c r="BY18">
        <f>BU18*BX18</f>
        <v>9.3690686750171199</v>
      </c>
      <c r="BZ18">
        <f>BW18/(2*BN18*BA18+BW18)</f>
        <v>7.0802335185374154E-2</v>
      </c>
      <c r="CA18">
        <f>2*BN18*BA18/0.04</f>
        <v>98.896364964575994</v>
      </c>
      <c r="CB18">
        <f>(BS18+BL18)*2</f>
        <v>44.663591936460804</v>
      </c>
      <c r="CC18">
        <f>(BU18+BL18)*2</f>
        <v>212.87521255063621</v>
      </c>
      <c r="CD18">
        <f>(BT18+BN18)*2</f>
        <v>63.293673577328633</v>
      </c>
      <c r="CE18">
        <f>(CA18+BN18)*2</f>
        <v>237.35127591498238</v>
      </c>
      <c r="CF18">
        <f>'TEA Revised Non EYZ'!CB18</f>
        <v>2210.8478008548095</v>
      </c>
      <c r="CG18">
        <f>'TEA Revised Non EYZ'!CC18</f>
        <v>6266.0736841555354</v>
      </c>
      <c r="CH18">
        <f>'TEA Revised Non EYZ'!CD18</f>
        <v>2671.1136977461792</v>
      </c>
      <c r="CI18">
        <f>'TEA Revised Non EYZ'!CE18</f>
        <v>48330.783243876089</v>
      </c>
      <c r="CJ18">
        <f>BL18*V18</f>
        <v>1.3957372480144001</v>
      </c>
      <c r="CK18">
        <f>CJ18/2*1.2</f>
        <v>0.8374423488086401</v>
      </c>
      <c r="CL18">
        <f>'eLLE Bals'!CB18*'Oxidant Feed Composition'!$N$20</f>
        <v>4.6524574933813359E-2</v>
      </c>
      <c r="CM18">
        <f>'eLLE Bals'!CB18*'Oxidant Feed Composition'!$N$21</f>
        <v>2.326228746690667</v>
      </c>
      <c r="CN18">
        <f>'eLLE Bals'!CB18*'Oxidant Feed Composition'!$N$22</f>
        <v>0.69786862400720007</v>
      </c>
      <c r="CO18">
        <f>CN18/CK18</f>
        <v>0.83333333333333326</v>
      </c>
      <c r="CP18">
        <f>CO18</f>
        <v>0.83333333333333326</v>
      </c>
      <c r="CQ18">
        <f>CL18/CO18</f>
        <v>5.5829489920576035E-2</v>
      </c>
      <c r="CR18">
        <f>CM18/CO18</f>
        <v>2.7914744960288007</v>
      </c>
      <c r="CS18">
        <f>BN18*BA18</f>
        <v>1.97792729929152</v>
      </c>
      <c r="CT18">
        <f>CS18/2*1.2</f>
        <v>1.1867563795749119</v>
      </c>
      <c r="CU18">
        <f>'eLLE Bals'!CC18*'Oxidant Feed Composition'!$N$20</f>
        <v>6.5930909976384025E-2</v>
      </c>
      <c r="CV18">
        <f>'eLLE Bals'!CC18*'Oxidant Feed Composition'!$N$21</f>
        <v>3.2965454988192002</v>
      </c>
      <c r="CW18">
        <f>'eLLE Bals'!CC18*'Oxidant Feed Composition'!$N$22</f>
        <v>0.98896364964576</v>
      </c>
      <c r="CX18">
        <f>CU18/CP18</f>
        <v>7.9117091971660836E-2</v>
      </c>
      <c r="CY18">
        <f>CV18/CP18</f>
        <v>3.9558545985830404</v>
      </c>
      <c r="CZ18">
        <f>CJ18</f>
        <v>1.3957372480144001</v>
      </c>
      <c r="DA18">
        <f>'eLLE Bals'!BQ18</f>
        <v>2.7914744960288003</v>
      </c>
      <c r="DB18">
        <f>'eLLE Bals'!BU18</f>
        <v>9.5898360678608316</v>
      </c>
      <c r="DC18">
        <f>CS18</f>
        <v>1.97792729929152</v>
      </c>
      <c r="DD18">
        <f>'eLLE Bals'!BX18</f>
        <v>3.95585459858304</v>
      </c>
      <c r="DE18">
        <f>'eLLE Bals'!CA18</f>
        <v>22.00212295770578</v>
      </c>
      <c r="DF18">
        <f>2*2*(CJ18*'Reagent cost'!$C$36*122.44/1000*0.5+CK18*'Oxidant Feed Composition'!$N$26+CQ18*'Reagent cost'!$C$34+CR18*'Reagent cost'!$C$35)</f>
        <v>93.757653190631231</v>
      </c>
      <c r="DG18">
        <f>2*2*(CS18*'Reagent cost'!$C$36*122.44/1000*0.5+CT18*'Oxidant Feed Composition'!$N$26+CX18*'Reagent cost'!$C$34+CY18*'Reagent cost'!$C$35)</f>
        <v>132.86585424805037</v>
      </c>
      <c r="DH18">
        <f>(AF18+3)*2*(CZ18*'Reagent cost'!$C$38*0.5+DA18*'Reagent cost'!$C$39+DB18*'Reagent cost'!$C$36*122.44/1000)</f>
        <v>2241.0583805457582</v>
      </c>
      <c r="DI18">
        <f>3*2*(DC18*'Reagent cost'!$C$38*0.5+DD18*'Reagent cost'!$C$39+DE18*'Reagent cost'!$C$36*122.44/1000)</f>
        <v>1169.3140923047372</v>
      </c>
      <c r="DJ18">
        <f>7963.6*(CB18/1000)^0.6*1.7*('CAPEX+OPEX'!$G$116/'CAPEX+OPEX'!$G$115)</f>
        <v>2472.9373618126128</v>
      </c>
      <c r="DK18">
        <f>7963.6*(CC18/1000)^0.6*1.7*('CAPEX+OPEX'!$G$116/'CAPEX+OPEX'!$G$115)</f>
        <v>6311.2587327211604</v>
      </c>
      <c r="DL18">
        <f>7963.6*(CD18/1000)^0.6*1.7*('CAPEX+OPEX'!$G$116/'CAPEX+OPEX'!$G$115)</f>
        <v>3048.2958135103663</v>
      </c>
      <c r="DM18">
        <f>7963.6*(CE18/1000)^0.6*1.7*('CAPEX+OPEX'!$G$116/'CAPEX+OPEX'!$G$115)</f>
        <v>6737.1446234020095</v>
      </c>
      <c r="DN18">
        <f>'TEA Revised Non EYZ'!CM18</f>
        <v>39625.826528698344</v>
      </c>
      <c r="DO18">
        <f>'TEA Revised Non EYZ'!CN18</f>
        <v>4586243.4239371875</v>
      </c>
      <c r="DP18">
        <f>'TEA Revised Non EYZ'!CO18</f>
        <v>11794834.586807497</v>
      </c>
      <c r="DQ18">
        <f>'TEA Revised Non EYZ'!CP18</f>
        <v>2275209.1661185985</v>
      </c>
      <c r="DR18">
        <f>'TEA Revised Non EYZ'!CQ18</f>
        <v>14083914.336508472</v>
      </c>
      <c r="DS18">
        <f>'TEA Revised Non EYZ'!CR18</f>
        <v>1662824.8986326549</v>
      </c>
      <c r="DT18">
        <f>'TEA Revised Non EYZ'!CS18</f>
        <v>528015.95740622084</v>
      </c>
      <c r="DU18">
        <f>'TEA Revised Non EYZ'!CT18</f>
        <v>1357943.8117688675</v>
      </c>
      <c r="DV18">
        <f>'TEA Revised Non EYZ'!CU18</f>
        <v>261945.7004565605</v>
      </c>
      <c r="DW18">
        <f>'TEA Revised Non EYZ'!CV18</f>
        <v>1621486.4378120217</v>
      </c>
      <c r="DX18">
        <f>'TEA Revised Non EYZ'!CW18</f>
        <v>191441.6658016555</v>
      </c>
      <c r="DY18">
        <f>'TEA Revised Non EYZ'!CX18</f>
        <v>3960833.5732453261</v>
      </c>
      <c r="DZ18">
        <f>'TEA Revised Non EYZ'!CY18</f>
        <v>801043.08902855217</v>
      </c>
      <c r="EA18">
        <f>'TEA Revised Non EYZ'!CZ18</f>
        <v>2060111.0448442006</v>
      </c>
      <c r="EB18">
        <f>'TEA Revised Non EYZ'!DA18</f>
        <v>397392.90093091218</v>
      </c>
      <c r="EC18">
        <f>'TEA Revised Non EYZ'!DB18</f>
        <v>2459926.6115807402</v>
      </c>
      <c r="ED18">
        <f>'TEA Revised Non EYZ'!DC18</f>
        <v>290432.55453082855</v>
      </c>
      <c r="EE18">
        <f>'TEA Revised Non EYZ'!DD18</f>
        <v>6008906.2009152332</v>
      </c>
      <c r="EF18">
        <v>0.7</v>
      </c>
      <c r="EG18">
        <v>100</v>
      </c>
      <c r="EH18">
        <f>96485*BL18*V18/EF18/EG18/60</f>
        <v>32.063740089207002</v>
      </c>
      <c r="EI18">
        <f>96485*BN18*BA18/EF18/EG18/60</f>
        <v>45.43817035051007</v>
      </c>
      <c r="EJ18">
        <f>EH18*('CAPEX+OPEX'!$O$25+'CAPEX+OPEX'!$O$26)</f>
        <v>1021935.5241232056</v>
      </c>
      <c r="EK18">
        <f>EI18*('CAPEX+OPEX'!$O$25+'CAPEX+OPEX'!$O$26)</f>
        <v>1448205.3654114569</v>
      </c>
      <c r="EL18">
        <f>EJ18*1.12/0.6*'CAPEX+OPEX'!$G$116/'CAPEX+OPEX'!$G$115</f>
        <v>2249949.8446835969</v>
      </c>
      <c r="EM18">
        <f>EK18*1.12/0.6*'CAPEX+OPEX'!$G$116/'CAPEX+OPEX'!$G$115</f>
        <v>3188449.1340812068</v>
      </c>
      <c r="EN18">
        <f>EL18+EM18+DY18+EE18+1.15*(SUM(DF18:DM18)+SUM(CF18:CI18))</f>
        <v>15502077.021504486</v>
      </c>
      <c r="EO18">
        <f>EN18/15</f>
        <v>1033471.8014336324</v>
      </c>
      <c r="EP18">
        <f>('eLLE Bals'!CB18+'eLLE Bals'!CC18)*'Oxidant Feed Composition'!$N$29*60*7200</f>
        <v>8415124.4539572615</v>
      </c>
      <c r="EQ18" s="53">
        <f>('eLLE Bals'!BR18+'eLLE Bals'!BY18)*'Reagent cost'!$C$38*60*7200*0.5</f>
        <v>256777.5050129013</v>
      </c>
      <c r="ER18">
        <f>'TEA Revised Non EYZ'!DI18</f>
        <v>504921.59999999998</v>
      </c>
      <c r="ES18">
        <f>'TEA Revised Non EYZ'!DJ18</f>
        <v>84.769214850103452</v>
      </c>
      <c r="ET18">
        <f>'TEA Revised Non EYZ'!DK18</f>
        <v>1020.0379388324454</v>
      </c>
      <c r="EU18">
        <f>1.2*SUM(EP18:ET18)</f>
        <v>11013514.039348615</v>
      </c>
      <c r="EV18">
        <f>'TEA Revised Non EYZ'!DM18</f>
        <v>0.70639694042110623</v>
      </c>
      <c r="EW18">
        <f>(BS18*CO18+BT18*CP18)/1000*('Oxidant Feed Composition'!$B$11*'Oxidant Feed Composition'!$O$20+'Oxidant Feed Composition'!$D$11*'Oxidant Feed Composition'!$O$21+'Oxidant Feed Composition'!$F$11*'Oxidant Feed Composition'!$O$27-'Oxidant Feed Composition'!$J$15*18.015)</f>
        <v>1.9699593113571501</v>
      </c>
      <c r="EX18">
        <f>(CZ18*BX18+DC18*BZ18)*368.34/1000</f>
        <v>0.10366651036523652</v>
      </c>
      <c r="EY18">
        <f>'TEA Revised Non EYZ'!DP18</f>
        <v>4.999938342565946E-2</v>
      </c>
      <c r="EZ18">
        <f>SUM(EV18:EX18)-EY18</f>
        <v>2.7300233787178332</v>
      </c>
      <c r="FA18">
        <f>EZ18*0.33*60*7200</f>
        <v>389192.13287001435</v>
      </c>
      <c r="FB18">
        <f>'TEA Revised Non EYZ'!DS18</f>
        <v>1.2</v>
      </c>
      <c r="FC18">
        <v>0.5</v>
      </c>
      <c r="FD18">
        <f>'TEA Revised Non EYZ'!DT18</f>
        <v>1407.4739915516295</v>
      </c>
      <c r="FE18">
        <f>'TEA Revised Non EYZ'!DU18</f>
        <v>708.19368228674409</v>
      </c>
      <c r="FF18">
        <f>'TEA Revised Non EYZ'!DV18</f>
        <v>0.7</v>
      </c>
      <c r="FG18">
        <f>'TEA Revised Non EYZ'!DW18</f>
        <v>30272.303809866662</v>
      </c>
      <c r="FH18">
        <f>'TEA Revised Non EYZ'!DX18</f>
        <v>20763.049486147294</v>
      </c>
      <c r="FI18">
        <f>'TEA Revised Non EYZ'!DY18</f>
        <v>8790.8072421188135</v>
      </c>
      <c r="FJ18">
        <f>'TEA Revised Non EYZ'!DZ18</f>
        <v>4656.7358484871465</v>
      </c>
      <c r="FK18">
        <f>'TEA Revised Non EYZ'!EA18</f>
        <v>4688.4305291300352</v>
      </c>
      <c r="FL18">
        <f>'TEA Revised Non EYZ'!EB18</f>
        <v>851.24027009042561</v>
      </c>
      <c r="FM18">
        <f>'TEA Revised Non EYZ'!EC18</f>
        <v>43763.04037096574</v>
      </c>
      <c r="FN18">
        <f>'TEA Revised Non EYZ'!ED18</f>
        <v>42722.011691418775</v>
      </c>
      <c r="FO18">
        <f>'TEA Revised Non EYZ'!EE18</f>
        <v>18087.94849838295</v>
      </c>
      <c r="FP18">
        <f>'TEA Revised Non EYZ'!EF18</f>
        <v>9586.9357430562486</v>
      </c>
      <c r="FQ18">
        <f>'TEA Revised Non EYZ'!EG18</f>
        <v>9646.9058658042413</v>
      </c>
      <c r="FR18">
        <f>'TEA Revised Non EYZ'!EH18</f>
        <v>428.31553904702292</v>
      </c>
      <c r="FS18">
        <f>'TEA Revised Non EYZ'!EI18</f>
        <v>194257.72489451536</v>
      </c>
      <c r="FT18">
        <f>EG18*EH18</f>
        <v>3206.3740089207004</v>
      </c>
      <c r="FU18">
        <f>EG18*EI18</f>
        <v>4543.8170350510072</v>
      </c>
      <c r="FV18">
        <f>FC18*(FT18+FU18)/(3.6*10^6)*3600*7200*0.07</f>
        <v>1953.0481430808707</v>
      </c>
      <c r="FW18">
        <f>('CAPEX+OPEX'!$C$39/7/100+0.03)*EL18</f>
        <v>115711.70629801355</v>
      </c>
      <c r="FX18">
        <f>('CAPEX+OPEX'!$C$39/7/100+0.03)*EM18</f>
        <v>163977.38403846207</v>
      </c>
      <c r="FY18">
        <f>SUM(FV18:FX18)</f>
        <v>281642.13847955648</v>
      </c>
      <c r="FZ18">
        <f>FY18+FA18+FS18+EU18</f>
        <v>11878606.035592701</v>
      </c>
      <c r="GA18">
        <f>FZ18+EO18</f>
        <v>12912077.837026333</v>
      </c>
      <c r="GB18">
        <f>GA18/(BK18*60*7200)</f>
        <v>0.29889069067190588</v>
      </c>
      <c r="GC18">
        <f>'TEA Revised Non EYZ'!EM18/'TEA Revised Non EYZ'!EK18*GA18</f>
        <v>999.70486763580311</v>
      </c>
      <c r="GD18">
        <f>'TEA Revised Non EYZ'!EN18/'TEA Revised Non EYZ'!EK18*GA18</f>
        <v>1828.9473416261799</v>
      </c>
    </row>
    <row r="19" spans="1:186">
      <c r="A19">
        <f>'TEA Revised Non EYZ'!A19</f>
        <v>4</v>
      </c>
      <c r="B19">
        <f>'TEA Revised Non EYZ'!B19</f>
        <v>1.54143585092054E-3</v>
      </c>
      <c r="C19">
        <f>'TEA Revised Non EYZ'!C19</f>
        <v>1.54143585092054E-3</v>
      </c>
      <c r="D19">
        <f>'TEA Revised Non EYZ'!D19</f>
        <v>3.4254130020456501E-4</v>
      </c>
      <c r="E19">
        <f>'TEA Revised Non EYZ'!E19</f>
        <v>0</v>
      </c>
      <c r="F19">
        <f>'TEA Revised Non EYZ'!F19</f>
        <v>0</v>
      </c>
      <c r="G19">
        <f>'TEA Revised Non EYZ'!G19</f>
        <v>0</v>
      </c>
      <c r="H19">
        <f>'TEA Revised Non EYZ'!H19</f>
        <v>1.7208960911287699E-5</v>
      </c>
      <c r="I19">
        <f>'TEA Revised Non EYZ'!I19</f>
        <v>2.8768784818324402E-7</v>
      </c>
      <c r="J19">
        <f>'TEA Revised Non EYZ'!J19</f>
        <v>3.3243632642994598E-4</v>
      </c>
      <c r="K19">
        <f>'TEA Revised Non EYZ'!K19</f>
        <v>0.10920586178936199</v>
      </c>
      <c r="L19">
        <f>'TEA Revised Non EYZ'!L19</f>
        <v>0.110418215553449</v>
      </c>
      <c r="M19">
        <f>'TEA Revised Non EYZ'!M19</f>
        <v>7.2398825703009801E-4</v>
      </c>
      <c r="N19">
        <f>'TEA Revised Non EYZ'!N19</f>
        <v>-2.168404344971E-18</v>
      </c>
      <c r="O19">
        <f>'TEA Revised Non EYZ'!O19</f>
        <v>2.3635607360183901E-17</v>
      </c>
      <c r="P19">
        <f>'TEA Revised Non EYZ'!P19</f>
        <v>-7.4538899358378406E-20</v>
      </c>
      <c r="Q19">
        <f>'TEA Revised Non EYZ'!Q19</f>
        <v>0.13957372480144001</v>
      </c>
      <c r="R19">
        <f>'TEA Revised Non EYZ'!R19</f>
        <v>97.0499984181222</v>
      </c>
      <c r="S19">
        <f>'TEA Revised Non EYZ'!S19</f>
        <v>500</v>
      </c>
      <c r="T19">
        <f>'TEA Revised Non EYZ'!T19</f>
        <v>95</v>
      </c>
      <c r="U19">
        <f>'TEA Revised Non EYZ'!U19</f>
        <v>1</v>
      </c>
      <c r="V19">
        <f>'TEA Revised Non EYZ'!V19</f>
        <v>0.1</v>
      </c>
      <c r="W19">
        <f>'TEA Revised Non EYZ'!W19</f>
        <v>71.646723007687299</v>
      </c>
      <c r="X19" t="str">
        <f>'TEA Revised Non EYZ'!X19</f>
        <v>ddFc</v>
      </c>
      <c r="Y19">
        <f>'TEA Revised Non EYZ'!Y19</f>
        <v>1</v>
      </c>
      <c r="Z19">
        <f>'TEA Revised Non EYZ'!Z19</f>
        <v>0.28318429382522198</v>
      </c>
      <c r="AA19">
        <f>'TEA Revised Non EYZ'!AA19</f>
        <v>0.56945642916197003</v>
      </c>
      <c r="AB19">
        <f>'TEA Revised Non EYZ'!AB19</f>
        <v>3.7698628972227502E-3</v>
      </c>
      <c r="AC19">
        <f>'TEA Revised Non EYZ'!AC19</f>
        <v>1822.2107908876901</v>
      </c>
      <c r="AD19">
        <f>'TEA Revised Non EYZ'!AD19</f>
        <v>2662.6059073104898</v>
      </c>
      <c r="AE19">
        <f>'TEA Revised Non EYZ'!AE19</f>
        <v>2401.5030938442701</v>
      </c>
      <c r="AF19">
        <f>'TEA Revised Non EYZ'!AF19</f>
        <v>11</v>
      </c>
      <c r="AG19">
        <f>'TEA Revised Non EYZ'!AG19</f>
        <v>1.6481650483119699E-3</v>
      </c>
      <c r="AH19">
        <f>'TEA Revised Non EYZ'!AH19</f>
        <v>1.6664622263884801E-3</v>
      </c>
      <c r="AI19">
        <f>'TEA Revised Non EYZ'!AI19</f>
        <v>1.0926630870116399E-5</v>
      </c>
      <c r="AJ19">
        <f>'TEA Revised Non EYZ'!AJ19</f>
        <v>0</v>
      </c>
      <c r="AK19">
        <f>'TEA Revised Non EYZ'!AK19</f>
        <v>0</v>
      </c>
      <c r="AL19">
        <f>'TEA Revised Non EYZ'!AL19</f>
        <v>0</v>
      </c>
      <c r="AM19">
        <f>'TEA Revised Non EYZ'!AM19</f>
        <v>1.61112321598457E-3</v>
      </c>
      <c r="AN19">
        <f>'TEA Revised Non EYZ'!AN19</f>
        <v>7.3941439847443504E-5</v>
      </c>
      <c r="AO19">
        <f>'TEA Revised Non EYZ'!AO19</f>
        <v>1.08545188885599E-5</v>
      </c>
      <c r="AP19">
        <f>'TEA Revised Non EYZ'!AP19</f>
        <v>1.7319792931660401E-3</v>
      </c>
      <c r="AQ19">
        <f>'TEA Revised Non EYZ'!AQ19</f>
        <v>7.4462110887135197E-2</v>
      </c>
      <c r="AR19">
        <f>'TEA Revised Non EYZ'!AR19</f>
        <v>3.3717678364587601E-6</v>
      </c>
      <c r="AS19">
        <f>'TEA Revised Non EYZ'!AS19</f>
        <v>6.0986372202309596E-19</v>
      </c>
      <c r="AT19">
        <f>'TEA Revised Non EYZ'!AT19</f>
        <v>-1.1882855810441099E-16</v>
      </c>
      <c r="AU19">
        <f>'TEA Revised Non EYZ'!AU19</f>
        <v>-2.6999175193730801E-21</v>
      </c>
      <c r="AV19">
        <f>'TEA Revised Non EYZ'!AV19</f>
        <v>0.19778742894656101</v>
      </c>
      <c r="AW19">
        <f>'TEA Revised Non EYZ'!AW19</f>
        <v>99.340034614386695</v>
      </c>
      <c r="AX19">
        <f>'TEA Revised Non EYZ'!AX19</f>
        <v>500</v>
      </c>
      <c r="AY19">
        <f>'TEA Revised Non EYZ'!AY19</f>
        <v>95</v>
      </c>
      <c r="AZ19">
        <f>'TEA Revised Non EYZ'!AZ19</f>
        <v>0.92480233795174105</v>
      </c>
      <c r="BA19">
        <f>'TEA Revised Non EYZ'!BA19</f>
        <v>0.1</v>
      </c>
      <c r="BB19">
        <f>'TEA Revised Non EYZ'!BB19</f>
        <v>46.757387103788297</v>
      </c>
      <c r="BC19" t="str">
        <f>'TEA Revised Non EYZ'!BC19</f>
        <v>coeFc</v>
      </c>
      <c r="BD19">
        <f>'TEA Revised Non EYZ'!BD19</f>
        <v>1</v>
      </c>
      <c r="BE19">
        <f>'TEA Revised Non EYZ'!BE19</f>
        <v>1.8775014999999999E-2</v>
      </c>
      <c r="BF19">
        <f>'TEA Revised Non EYZ'!BF19</f>
        <v>0.10492961100000001</v>
      </c>
      <c r="BG19">
        <f>'TEA Revised Non EYZ'!BG19</f>
        <v>1.814625E-3</v>
      </c>
      <c r="BH19">
        <f>'TEA Revised Non EYZ'!BH19</f>
        <v>285.1951444</v>
      </c>
      <c r="BI19">
        <f>'TEA Revised Non EYZ'!BI19</f>
        <v>2169.8944889999998</v>
      </c>
      <c r="BJ19">
        <f>'TEA Revised Non EYZ'!BJ19</f>
        <v>866.49409060000005</v>
      </c>
      <c r="BK19">
        <f>'TEA Revised Non EYZ'!BK19</f>
        <v>100</v>
      </c>
      <c r="BL19">
        <f>'TEA Revised Non EYZ'!BL19</f>
        <v>13.957372480144</v>
      </c>
      <c r="BM19">
        <f>'TEA Revised Non EYZ'!BM19</f>
        <v>92.480233795174101</v>
      </c>
      <c r="BN19">
        <f>'TEA Revised Non EYZ'!BN19</f>
        <v>19.778742894656101</v>
      </c>
      <c r="BO19">
        <f>'TEA Revised Non EYZ'!BO19</f>
        <v>167.488469761728</v>
      </c>
      <c r="BP19">
        <f>'TEA Revised Non EYZ'!BP19</f>
        <v>514.24731526105859</v>
      </c>
      <c r="BQ19">
        <f>'TEA Revised Non EYZ'!BQ19</f>
        <v>16.7488469761728</v>
      </c>
      <c r="BR19">
        <f>'TEA Revised Non EYZ'!BR19</f>
        <v>51.424731526105859</v>
      </c>
      <c r="BS19">
        <f>'eLLE Bals'!CF19</f>
        <v>8.3744234880863999</v>
      </c>
      <c r="BT19">
        <f>'eLLE Bals'!CG19</f>
        <v>11.867245736793661</v>
      </c>
      <c r="BU19">
        <f>BM19</f>
        <v>92.480233795174101</v>
      </c>
      <c r="BV19">
        <f>BU19*(AM19*2+AN19*2+AO19*3)</f>
        <v>0.31468183199630284</v>
      </c>
      <c r="BW19">
        <f>BN19*BA19*(AP19*2+AQ19*2+AR19*3)</f>
        <v>0.30142467075242524</v>
      </c>
      <c r="BX19">
        <f>BV19/(2*V19*BL19+BV19)</f>
        <v>0.10130907744632989</v>
      </c>
      <c r="BY19">
        <f>BU19*BX19</f>
        <v>9.3690871678099867</v>
      </c>
      <c r="BZ19">
        <f>BW19/(2*BN19*BA19+BW19)</f>
        <v>7.080394737865657E-2</v>
      </c>
      <c r="CA19">
        <f>2*BN19*BA19/0.04</f>
        <v>98.893714473280511</v>
      </c>
      <c r="CB19">
        <f>(BS19+BL19)*2</f>
        <v>44.663591936460804</v>
      </c>
      <c r="CC19">
        <f>(BU19+BL19)*2</f>
        <v>212.87521255063621</v>
      </c>
      <c r="CD19">
        <f>(BT19+BN19)*2</f>
        <v>63.291977262899522</v>
      </c>
      <c r="CE19">
        <f>(CA19+BN19)*2</f>
        <v>237.34491473587323</v>
      </c>
      <c r="CF19">
        <f>'TEA Revised Non EYZ'!CB19</f>
        <v>2210.8478008548095</v>
      </c>
      <c r="CG19">
        <f>'TEA Revised Non EYZ'!CC19</f>
        <v>6788.0645614459736</v>
      </c>
      <c r="CH19">
        <f>'TEA Revised Non EYZ'!CD19</f>
        <v>2671.1136977461792</v>
      </c>
      <c r="CI19">
        <f>'TEA Revised Non EYZ'!CE19</f>
        <v>52356.945274079662</v>
      </c>
      <c r="CJ19">
        <f>BL19*V19</f>
        <v>1.3957372480144001</v>
      </c>
      <c r="CK19">
        <f>CJ19/2*1.2</f>
        <v>0.8374423488086401</v>
      </c>
      <c r="CL19">
        <f>'eLLE Bals'!CB19*'Oxidant Feed Composition'!$N$20</f>
        <v>4.6524574933813359E-2</v>
      </c>
      <c r="CM19">
        <f>'eLLE Bals'!CB19*'Oxidant Feed Composition'!$N$21</f>
        <v>2.326228746690667</v>
      </c>
      <c r="CN19">
        <f>'eLLE Bals'!CB19*'Oxidant Feed Composition'!$N$22</f>
        <v>0.69786862400720007</v>
      </c>
      <c r="CO19">
        <f>CN19/CK19</f>
        <v>0.83333333333333326</v>
      </c>
      <c r="CP19">
        <f>CO19</f>
        <v>0.83333333333333326</v>
      </c>
      <c r="CQ19">
        <f>CL19/CO19</f>
        <v>5.5829489920576035E-2</v>
      </c>
      <c r="CR19">
        <f>CM19/CO19</f>
        <v>2.7914744960288007</v>
      </c>
      <c r="CS19">
        <f>BN19*BA19</f>
        <v>1.9778742894656103</v>
      </c>
      <c r="CT19">
        <f>CS19/2*1.2</f>
        <v>1.1867245736793661</v>
      </c>
      <c r="CU19">
        <f>'eLLE Bals'!CC19*'Oxidant Feed Composition'!$N$20</f>
        <v>6.5929142982187036E-2</v>
      </c>
      <c r="CV19">
        <f>'eLLE Bals'!CC19*'Oxidant Feed Composition'!$N$21</f>
        <v>3.2964571491093504</v>
      </c>
      <c r="CW19">
        <f>'eLLE Bals'!CC19*'Oxidant Feed Composition'!$N$22</f>
        <v>0.98893714473280514</v>
      </c>
      <c r="CX19">
        <f>CU19/CP19</f>
        <v>7.9114971578624446E-2</v>
      </c>
      <c r="CY19">
        <f>CV19/CP19</f>
        <v>3.955748578931221</v>
      </c>
      <c r="CZ19">
        <f>CJ19</f>
        <v>1.3957372480144001</v>
      </c>
      <c r="DA19">
        <f>'eLLE Bals'!BQ19</f>
        <v>2.7914744960288003</v>
      </c>
      <c r="DB19">
        <f>'eLLE Bals'!BU19</f>
        <v>9.58980886651206</v>
      </c>
      <c r="DC19">
        <f>CS19</f>
        <v>1.9778742894656103</v>
      </c>
      <c r="DD19">
        <f>'eLLE Bals'!BX19</f>
        <v>3.9557485789312206</v>
      </c>
      <c r="DE19">
        <f>'eLLE Bals'!CA19</f>
        <v>22.00089720698853</v>
      </c>
      <c r="DF19">
        <f>2*2*(CJ19*'Reagent cost'!$C$36*122.44/1000*0.5+CK19*'Oxidant Feed Composition'!$N$26+CQ19*'Reagent cost'!$C$34+CR19*'Reagent cost'!$C$35)</f>
        <v>93.757653190631231</v>
      </c>
      <c r="DG19">
        <f>2*2*(CS19*'Reagent cost'!$C$36*122.44/1000*0.5+CT19*'Oxidant Feed Composition'!$N$26+CX19*'Reagent cost'!$C$34+CY19*'Reagent cost'!$C$35)</f>
        <v>132.86229335083962</v>
      </c>
      <c r="DH19">
        <f>(AF19+3)*2*(CZ19*'Reagent cost'!$C$38*0.5+DA19*'Reagent cost'!$C$39+DB19*'Reagent cost'!$C$36*122.44/1000)</f>
        <v>2413.4409010785694</v>
      </c>
      <c r="DI19">
        <f>3*2*(DC19*'Reagent cost'!$C$38*0.5+DD19*'Reagent cost'!$C$39+DE19*'Reagent cost'!$C$36*122.44/1000)</f>
        <v>1169.2497539441661</v>
      </c>
      <c r="DJ19">
        <f>7963.6*(CB19/1000)^0.6*1.7*('CAPEX+OPEX'!$G$116/'CAPEX+OPEX'!$G$115)</f>
        <v>2472.9373618126128</v>
      </c>
      <c r="DK19">
        <f>7963.6*(CC19/1000)^0.6*1.7*('CAPEX+OPEX'!$G$116/'CAPEX+OPEX'!$G$115)</f>
        <v>6311.2587327211604</v>
      </c>
      <c r="DL19">
        <f>7963.6*(CD19/1000)^0.6*1.7*('CAPEX+OPEX'!$G$116/'CAPEX+OPEX'!$G$115)</f>
        <v>3048.2467953801424</v>
      </c>
      <c r="DM19">
        <f>7963.6*(CE19/1000)^0.6*1.7*('CAPEX+OPEX'!$G$116/'CAPEX+OPEX'!$G$115)</f>
        <v>6737.0362867271306</v>
      </c>
      <c r="DN19">
        <f>'TEA Revised Non EYZ'!CM19</f>
        <v>39625.826528698344</v>
      </c>
      <c r="DO19">
        <f>'TEA Revised Non EYZ'!CN19</f>
        <v>4586243.4239371875</v>
      </c>
      <c r="DP19">
        <f>'TEA Revised Non EYZ'!CO19</f>
        <v>11794834.586807497</v>
      </c>
      <c r="DQ19">
        <f>'TEA Revised Non EYZ'!CP19</f>
        <v>2275209.1661185985</v>
      </c>
      <c r="DR19">
        <f>'TEA Revised Non EYZ'!CQ19</f>
        <v>14083914.336508472</v>
      </c>
      <c r="DS19">
        <f>'TEA Revised Non EYZ'!CR19</f>
        <v>1662824.8986326549</v>
      </c>
      <c r="DT19">
        <f>'TEA Revised Non EYZ'!CS19</f>
        <v>528015.95740622084</v>
      </c>
      <c r="DU19">
        <f>'TEA Revised Non EYZ'!CT19</f>
        <v>1357943.8117688675</v>
      </c>
      <c r="DV19">
        <f>'TEA Revised Non EYZ'!CU19</f>
        <v>261945.7004565605</v>
      </c>
      <c r="DW19">
        <f>'TEA Revised Non EYZ'!CV19</f>
        <v>1621486.4378120217</v>
      </c>
      <c r="DX19">
        <f>'TEA Revised Non EYZ'!CW19</f>
        <v>191441.6658016555</v>
      </c>
      <c r="DY19">
        <f>'TEA Revised Non EYZ'!CX19</f>
        <v>3960833.5732453261</v>
      </c>
      <c r="DZ19">
        <f>'TEA Revised Non EYZ'!CY19</f>
        <v>843973.89654919889</v>
      </c>
      <c r="EA19">
        <f>'TEA Revised Non EYZ'!CZ19</f>
        <v>2170519.8754660604</v>
      </c>
      <c r="EB19">
        <f>'TEA Revised Non EYZ'!DA19</f>
        <v>418690.62932231004</v>
      </c>
      <c r="EC19">
        <f>'TEA Revised Non EYZ'!DB19</f>
        <v>2591763.010050592</v>
      </c>
      <c r="ED19">
        <f>'TEA Revised Non EYZ'!DC19</f>
        <v>305997.88961338153</v>
      </c>
      <c r="EE19">
        <f>'TEA Revised Non EYZ'!DD19</f>
        <v>6330945.3010015422</v>
      </c>
      <c r="EF19">
        <v>0.7</v>
      </c>
      <c r="EG19">
        <v>100</v>
      </c>
      <c r="EH19">
        <f>96485*BL19*V19/EF19/EG19/60</f>
        <v>32.063740089207002</v>
      </c>
      <c r="EI19">
        <f>96485*BN19*BA19/EF19/EG19/60</f>
        <v>45.43695257597367</v>
      </c>
      <c r="EJ19">
        <f>EH19*('CAPEX+OPEX'!$O$25+'CAPEX+OPEX'!$O$26)</f>
        <v>1021935.5241232056</v>
      </c>
      <c r="EK19">
        <f>EI19*('CAPEX+OPEX'!$O$25+'CAPEX+OPEX'!$O$26)</f>
        <v>1448166.5525014328</v>
      </c>
      <c r="EL19">
        <f>EJ19*1.12/0.6*'CAPEX+OPEX'!$G$116/'CAPEX+OPEX'!$G$115</f>
        <v>2249949.8446835969</v>
      </c>
      <c r="EM19">
        <f>EK19*1.12/0.6*'CAPEX+OPEX'!$G$116/'CAPEX+OPEX'!$G$115</f>
        <v>3188363.6814290397</v>
      </c>
      <c r="EN19">
        <f>EL19+EM19+DY19+EE19+1.15*(SUM(DF19:DM19)+SUM(CF19:CI19))</f>
        <v>15829459.025638686</v>
      </c>
      <c r="EO19">
        <f>EN19/15</f>
        <v>1055297.2683759124</v>
      </c>
      <c r="EP19">
        <f>('eLLE Bals'!CB19+'eLLE Bals'!CC19)*'Oxidant Feed Composition'!$N$29*60*7200</f>
        <v>8414992.2285163328</v>
      </c>
      <c r="EQ19" s="53">
        <f>('eLLE Bals'!BR19+'eLLE Bals'!BY19)*'Reagent cost'!$C$38*60*7200*0.5</f>
        <v>256777.24461967414</v>
      </c>
      <c r="ER19">
        <f>'TEA Revised Non EYZ'!DI19</f>
        <v>504921.59999999998</v>
      </c>
      <c r="ES19">
        <f>'TEA Revised Non EYZ'!DJ19</f>
        <v>89.989123623007842</v>
      </c>
      <c r="ET19">
        <f>'TEA Revised Non EYZ'!DK19</f>
        <v>1100.5611794365168</v>
      </c>
      <c r="EU19">
        <f>1.2*SUM(EP19:ET19)</f>
        <v>11013457.94812688</v>
      </c>
      <c r="EV19">
        <f>'TEA Revised Non EYZ'!DM19</f>
        <v>0.70639694042110623</v>
      </c>
      <c r="EW19">
        <f>(BS19*CO19+BT19*CP19)/1000*('Oxidant Feed Composition'!$B$11*'Oxidant Feed Composition'!$O$20+'Oxidant Feed Composition'!$D$11*'Oxidant Feed Composition'!$O$21+'Oxidant Feed Composition'!$F$11*'Oxidant Feed Composition'!$O$27-'Oxidant Feed Composition'!$J$15*18.015)</f>
        <v>1.9699283577164781</v>
      </c>
      <c r="EX19">
        <f>(CZ19*BX19+DC19*BZ19)*368.34/1000</f>
        <v>0.10366640523898266</v>
      </c>
      <c r="EY19">
        <f>'TEA Revised Non EYZ'!DP19</f>
        <v>4.999938342565946E-2</v>
      </c>
      <c r="EZ19">
        <f>SUM(EV19:EX19)-EY19</f>
        <v>2.7299923199509077</v>
      </c>
      <c r="FA19">
        <f>EZ19*0.33*60*7200</f>
        <v>389187.70513220143</v>
      </c>
      <c r="FB19">
        <f>'TEA Revised Non EYZ'!DS19</f>
        <v>1.2</v>
      </c>
      <c r="FC19">
        <v>0.5</v>
      </c>
      <c r="FD19">
        <f>'TEA Revised Non EYZ'!DT19</f>
        <v>1407.4770862909579</v>
      </c>
      <c r="FE19">
        <f>'TEA Revised Non EYZ'!DU19</f>
        <v>708.19058547617715</v>
      </c>
      <c r="FF19">
        <f>'TEA Revised Non EYZ'!DV19</f>
        <v>0.7</v>
      </c>
      <c r="FG19">
        <f>'TEA Revised Non EYZ'!DW19</f>
        <v>30272.303809866662</v>
      </c>
      <c r="FH19">
        <f>'TEA Revised Non EYZ'!DX19</f>
        <v>20763.049486147294</v>
      </c>
      <c r="FI19">
        <f>'TEA Revised Non EYZ'!DY19</f>
        <v>8790.8072421188135</v>
      </c>
      <c r="FJ19">
        <f>'TEA Revised Non EYZ'!DZ19</f>
        <v>4656.7358484871465</v>
      </c>
      <c r="FK19">
        <f>'TEA Revised Non EYZ'!EA19</f>
        <v>4688.4305291300352</v>
      </c>
      <c r="FL19">
        <f>'TEA Revised Non EYZ'!EB19</f>
        <v>851.24214178877139</v>
      </c>
      <c r="FM19">
        <f>'TEA Revised Non EYZ'!EC19</f>
        <v>46337.336863375494</v>
      </c>
      <c r="FN19">
        <f>'TEA Revised Non EYZ'!ED19</f>
        <v>46605.830936093211</v>
      </c>
      <c r="FO19">
        <f>'TEA Revised Non EYZ'!EE19</f>
        <v>19732.307452781399</v>
      </c>
      <c r="FP19">
        <f>'TEA Revised Non EYZ'!EF19</f>
        <v>10458.475356061363</v>
      </c>
      <c r="FQ19">
        <f>'TEA Revised Non EYZ'!EG19</f>
        <v>10523.897308150083</v>
      </c>
      <c r="FR19">
        <f>'TEA Revised Non EYZ'!EH19</f>
        <v>428.31366609599201</v>
      </c>
      <c r="FS19">
        <f>'TEA Revised Non EYZ'!EI19</f>
        <v>204108.73064009621</v>
      </c>
      <c r="FT19">
        <f>EG19*EH19</f>
        <v>3206.3740089207004</v>
      </c>
      <c r="FU19">
        <f>EG19*EI19</f>
        <v>4543.6952575973673</v>
      </c>
      <c r="FV19">
        <f>FC19*(FT19+FU19)/(3.6*10^6)*3600*7200*0.07</f>
        <v>1953.0174551625532</v>
      </c>
      <c r="FW19">
        <f>('CAPEX+OPEX'!$C$39/7/100+0.03)*EL19</f>
        <v>115711.70629801355</v>
      </c>
      <c r="FX19">
        <f>('CAPEX+OPEX'!$C$39/7/100+0.03)*EM19</f>
        <v>163972.98933063634</v>
      </c>
      <c r="FY19">
        <f>SUM(FV19:FX19)</f>
        <v>281637.71308381244</v>
      </c>
      <c r="FZ19">
        <f>FY19+FA19+FS19+EU19</f>
        <v>11888392.096982991</v>
      </c>
      <c r="GA19">
        <f>FZ19+EO19</f>
        <v>12943689.365358904</v>
      </c>
      <c r="GB19">
        <f>GA19/(BK19*60*7200)</f>
        <v>0.29962243901293761</v>
      </c>
      <c r="GC19">
        <f>'TEA Revised Non EYZ'!EM19/'TEA Revised Non EYZ'!EK19*GA19</f>
        <v>1002.1501526616817</v>
      </c>
      <c r="GD19">
        <f>'TEA Revised Non EYZ'!EN19/'TEA Revised Non EYZ'!EK19*GA19</f>
        <v>1833.4323859542278</v>
      </c>
    </row>
    <row r="20" spans="1:186">
      <c r="A20">
        <f>'TEA Revised Non EYZ'!A20</f>
        <v>4</v>
      </c>
      <c r="B20">
        <f>'TEA Revised Non EYZ'!B20</f>
        <v>1.54143585092054E-3</v>
      </c>
      <c r="C20">
        <f>'TEA Revised Non EYZ'!C20</f>
        <v>1.54143585092054E-3</v>
      </c>
      <c r="D20">
        <f>'TEA Revised Non EYZ'!D20</f>
        <v>3.4254130020456501E-4</v>
      </c>
      <c r="E20">
        <f>'TEA Revised Non EYZ'!E20</f>
        <v>0</v>
      </c>
      <c r="F20">
        <f>'TEA Revised Non EYZ'!F20</f>
        <v>0</v>
      </c>
      <c r="G20">
        <f>'TEA Revised Non EYZ'!G20</f>
        <v>0</v>
      </c>
      <c r="H20">
        <f>'TEA Revised Non EYZ'!H20</f>
        <v>1.7208960911287699E-5</v>
      </c>
      <c r="I20">
        <f>'TEA Revised Non EYZ'!I20</f>
        <v>2.8768784818324402E-7</v>
      </c>
      <c r="J20">
        <f>'TEA Revised Non EYZ'!J20</f>
        <v>3.3243632642994598E-4</v>
      </c>
      <c r="K20">
        <f>'TEA Revised Non EYZ'!K20</f>
        <v>0.10920586178936199</v>
      </c>
      <c r="L20">
        <f>'TEA Revised Non EYZ'!L20</f>
        <v>0.110418215553449</v>
      </c>
      <c r="M20">
        <f>'TEA Revised Non EYZ'!M20</f>
        <v>7.2398825703009801E-4</v>
      </c>
      <c r="N20">
        <f>'TEA Revised Non EYZ'!N20</f>
        <v>-2.168404344971E-18</v>
      </c>
      <c r="O20">
        <f>'TEA Revised Non EYZ'!O20</f>
        <v>2.3635607360183901E-17</v>
      </c>
      <c r="P20">
        <f>'TEA Revised Non EYZ'!P20</f>
        <v>-7.4538899358378406E-20</v>
      </c>
      <c r="Q20">
        <f>'TEA Revised Non EYZ'!Q20</f>
        <v>0.13957372480144001</v>
      </c>
      <c r="R20">
        <f>'TEA Revised Non EYZ'!R20</f>
        <v>97.0499984181222</v>
      </c>
      <c r="S20">
        <f>'TEA Revised Non EYZ'!S20</f>
        <v>500</v>
      </c>
      <c r="T20">
        <f>'TEA Revised Non EYZ'!T20</f>
        <v>95</v>
      </c>
      <c r="U20">
        <f>'TEA Revised Non EYZ'!U20</f>
        <v>1</v>
      </c>
      <c r="V20">
        <f>'TEA Revised Non EYZ'!V20</f>
        <v>0.1</v>
      </c>
      <c r="W20">
        <f>'TEA Revised Non EYZ'!W20</f>
        <v>71.646723007687299</v>
      </c>
      <c r="X20" t="str">
        <f>'TEA Revised Non EYZ'!X20</f>
        <v>ddFc</v>
      </c>
      <c r="Y20">
        <f>'TEA Revised Non EYZ'!Y20</f>
        <v>1</v>
      </c>
      <c r="Z20">
        <f>'TEA Revised Non EYZ'!Z20</f>
        <v>0.28318429382522198</v>
      </c>
      <c r="AA20">
        <f>'TEA Revised Non EYZ'!AA20</f>
        <v>0.56945642916197003</v>
      </c>
      <c r="AB20">
        <f>'TEA Revised Non EYZ'!AB20</f>
        <v>3.7698628972227502E-3</v>
      </c>
      <c r="AC20">
        <f>'TEA Revised Non EYZ'!AC20</f>
        <v>1822.2107908876901</v>
      </c>
      <c r="AD20">
        <f>'TEA Revised Non EYZ'!AD20</f>
        <v>2662.6059073104898</v>
      </c>
      <c r="AE20">
        <f>'TEA Revised Non EYZ'!AE20</f>
        <v>2401.5030938442701</v>
      </c>
      <c r="AF20">
        <f>'TEA Revised Non EYZ'!AF20</f>
        <v>12</v>
      </c>
      <c r="AG20">
        <f>'TEA Revised Non EYZ'!AG20</f>
        <v>1.6481650483119699E-3</v>
      </c>
      <c r="AH20">
        <f>'TEA Revised Non EYZ'!AH20</f>
        <v>1.6664622263884801E-3</v>
      </c>
      <c r="AI20">
        <f>'TEA Revised Non EYZ'!AI20</f>
        <v>1.0926630870116399E-5</v>
      </c>
      <c r="AJ20">
        <f>'TEA Revised Non EYZ'!AJ20</f>
        <v>0</v>
      </c>
      <c r="AK20">
        <f>'TEA Revised Non EYZ'!AK20</f>
        <v>0</v>
      </c>
      <c r="AL20">
        <f>'TEA Revised Non EYZ'!AL20</f>
        <v>0</v>
      </c>
      <c r="AM20">
        <f>'TEA Revised Non EYZ'!AM20</f>
        <v>1.6111242193774301E-3</v>
      </c>
      <c r="AN20">
        <f>'TEA Revised Non EYZ'!AN20</f>
        <v>7.3941490785069596E-5</v>
      </c>
      <c r="AO20">
        <f>'TEA Revised Non EYZ'!AO20</f>
        <v>1.08545207611103E-5</v>
      </c>
      <c r="AP20">
        <f>'TEA Revised Non EYZ'!AP20</f>
        <v>1.7319455084018099E-3</v>
      </c>
      <c r="AQ20">
        <f>'TEA Revised Non EYZ'!AQ20</f>
        <v>7.4462673066500798E-2</v>
      </c>
      <c r="AR20">
        <f>'TEA Revised Non EYZ'!AR20</f>
        <v>3.3717058444944401E-6</v>
      </c>
      <c r="AS20">
        <f>'TEA Revised Non EYZ'!AS20</f>
        <v>6.09863722023096E-20</v>
      </c>
      <c r="AT20">
        <f>'TEA Revised Non EYZ'!AT20</f>
        <v>-2.3852447794681001E-18</v>
      </c>
      <c r="AU20">
        <f>'TEA Revised Non EYZ'!AU20</f>
        <v>1.9719985803264101E-21</v>
      </c>
      <c r="AV20">
        <f>'TEA Revised Non EYZ'!AV20</f>
        <v>0.19778592936186601</v>
      </c>
      <c r="AW20">
        <f>'TEA Revised Non EYZ'!AW20</f>
        <v>99.340051751877695</v>
      </c>
      <c r="AX20">
        <f>'TEA Revised Non EYZ'!AX20</f>
        <v>500</v>
      </c>
      <c r="AY20">
        <f>'TEA Revised Non EYZ'!AY20</f>
        <v>95</v>
      </c>
      <c r="AZ20">
        <f>'TEA Revised Non EYZ'!AZ20</f>
        <v>0.92480233795174105</v>
      </c>
      <c r="BA20">
        <f>'TEA Revised Non EYZ'!BA20</f>
        <v>0.1</v>
      </c>
      <c r="BB20">
        <f>'TEA Revised Non EYZ'!BB20</f>
        <v>46.757741611625697</v>
      </c>
      <c r="BC20" t="str">
        <f>'TEA Revised Non EYZ'!BC20</f>
        <v>coeFc</v>
      </c>
      <c r="BD20">
        <f>'TEA Revised Non EYZ'!BD20</f>
        <v>1</v>
      </c>
      <c r="BE20">
        <f>'TEA Revised Non EYZ'!BE20</f>
        <v>1.8775014999999999E-2</v>
      </c>
      <c r="BF20">
        <f>'TEA Revised Non EYZ'!BF20</f>
        <v>0.10492961100000001</v>
      </c>
      <c r="BG20">
        <f>'TEA Revised Non EYZ'!BG20</f>
        <v>1.814625E-3</v>
      </c>
      <c r="BH20">
        <f>'TEA Revised Non EYZ'!BH20</f>
        <v>285.1951444</v>
      </c>
      <c r="BI20">
        <f>'TEA Revised Non EYZ'!BI20</f>
        <v>2169.8944889999998</v>
      </c>
      <c r="BJ20">
        <f>'TEA Revised Non EYZ'!BJ20</f>
        <v>866.49409060000005</v>
      </c>
      <c r="BK20">
        <f>'TEA Revised Non EYZ'!BK20</f>
        <v>100</v>
      </c>
      <c r="BL20">
        <f>'TEA Revised Non EYZ'!BL20</f>
        <v>13.957372480144</v>
      </c>
      <c r="BM20">
        <f>'TEA Revised Non EYZ'!BM20</f>
        <v>92.480233795174101</v>
      </c>
      <c r="BN20">
        <f>'TEA Revised Non EYZ'!BN20</f>
        <v>19.778592936186602</v>
      </c>
      <c r="BO20">
        <f>'TEA Revised Non EYZ'!BO20</f>
        <v>167.488469761728</v>
      </c>
      <c r="BP20">
        <f>'TEA Revised Non EYZ'!BP20</f>
        <v>553.80060221322481</v>
      </c>
      <c r="BQ20">
        <f>'TEA Revised Non EYZ'!BQ20</f>
        <v>16.7488469761728</v>
      </c>
      <c r="BR20">
        <f>'TEA Revised Non EYZ'!BR20</f>
        <v>55.380060221322481</v>
      </c>
      <c r="BS20">
        <f>'eLLE Bals'!CF20</f>
        <v>8.3744234880863999</v>
      </c>
      <c r="BT20">
        <f>'eLLE Bals'!CG20</f>
        <v>11.867155761711961</v>
      </c>
      <c r="BU20">
        <f>BM20</f>
        <v>92.480233795174101</v>
      </c>
      <c r="BV20">
        <f>BU20*(AM20*2+AN20*2+AO20*3)</f>
        <v>0.31468202752528424</v>
      </c>
      <c r="BW20">
        <f>BN20*BA20*(AP20*2+AQ20*2+AR20*3)</f>
        <v>0.30142447522341986</v>
      </c>
      <c r="BX20">
        <f>BV20/(2*V20*BL20+BV20)</f>
        <v>0.10130913401789006</v>
      </c>
      <c r="BY20">
        <f>BU20*BX20</f>
        <v>9.3690923995610991</v>
      </c>
      <c r="BZ20">
        <f>BW20/(2*BN20*BA20+BW20)</f>
        <v>7.0804403516847886E-2</v>
      </c>
      <c r="CA20">
        <f>2*BN20*BA20/0.04</f>
        <v>98.892964680933019</v>
      </c>
      <c r="CB20">
        <f>(BS20+BL20)*2</f>
        <v>44.663591936460804</v>
      </c>
      <c r="CC20">
        <f>(BU20+BL20)*2</f>
        <v>212.87521255063621</v>
      </c>
      <c r="CD20">
        <f>(BT20+BN20)*2</f>
        <v>63.291497395797123</v>
      </c>
      <c r="CE20">
        <f>(CA20+BN20)*2</f>
        <v>237.34311523423924</v>
      </c>
      <c r="CF20">
        <f>'TEA Revised Non EYZ'!CB20</f>
        <v>2210.8478008548095</v>
      </c>
      <c r="CG20">
        <f>'TEA Revised Non EYZ'!CC20</f>
        <v>7310.1679492145686</v>
      </c>
      <c r="CH20">
        <f>'TEA Revised Non EYZ'!CD20</f>
        <v>2671.1136977461792</v>
      </c>
      <c r="CI20">
        <f>'TEA Revised Non EYZ'!CE20</f>
        <v>56383.975107601007</v>
      </c>
      <c r="CJ20">
        <f>BL20*V20</f>
        <v>1.3957372480144001</v>
      </c>
      <c r="CK20">
        <f>CJ20/2*1.2</f>
        <v>0.8374423488086401</v>
      </c>
      <c r="CL20">
        <f>'eLLE Bals'!CB20*'Oxidant Feed Composition'!$N$20</f>
        <v>4.6524574933813359E-2</v>
      </c>
      <c r="CM20">
        <f>'eLLE Bals'!CB20*'Oxidant Feed Composition'!$N$21</f>
        <v>2.326228746690667</v>
      </c>
      <c r="CN20">
        <f>'eLLE Bals'!CB20*'Oxidant Feed Composition'!$N$22</f>
        <v>0.69786862400720007</v>
      </c>
      <c r="CO20">
        <f>CN20/CK20</f>
        <v>0.83333333333333326</v>
      </c>
      <c r="CP20">
        <f>CO20</f>
        <v>0.83333333333333326</v>
      </c>
      <c r="CQ20">
        <f>CL20/CO20</f>
        <v>5.5829489920576035E-2</v>
      </c>
      <c r="CR20">
        <f>CM20/CO20</f>
        <v>2.7914744960288007</v>
      </c>
      <c r="CS20">
        <f>BN20*BA20</f>
        <v>1.9778592936186603</v>
      </c>
      <c r="CT20">
        <f>CS20/2*1.2</f>
        <v>1.1867155761711961</v>
      </c>
      <c r="CU20">
        <f>'eLLE Bals'!CC20*'Oxidant Feed Composition'!$N$20</f>
        <v>6.5928643120622035E-2</v>
      </c>
      <c r="CV20">
        <f>'eLLE Bals'!CC20*'Oxidant Feed Composition'!$N$21</f>
        <v>3.2964321560311007</v>
      </c>
      <c r="CW20">
        <f>'eLLE Bals'!CC20*'Oxidant Feed Composition'!$N$22</f>
        <v>0.98892964680933015</v>
      </c>
      <c r="CX20">
        <f>CU20/CP20</f>
        <v>7.9114371744746448E-2</v>
      </c>
      <c r="CY20">
        <f>CV20/CP20</f>
        <v>3.9557185872373211</v>
      </c>
      <c r="CZ20">
        <f>CJ20</f>
        <v>1.3957372480144001</v>
      </c>
      <c r="DA20">
        <f>'eLLE Bals'!BQ20</f>
        <v>2.7914744960288003</v>
      </c>
      <c r="DB20">
        <f>'eLLE Bals'!BU20</f>
        <v>9.5898011733501409</v>
      </c>
      <c r="DC20">
        <f>CS20</f>
        <v>1.9778592936186603</v>
      </c>
      <c r="DD20">
        <f>'eLLE Bals'!BX20</f>
        <v>3.9557185872373206</v>
      </c>
      <c r="DE20">
        <f>'eLLE Bals'!CA20</f>
        <v>22.000550441375118</v>
      </c>
      <c r="DF20">
        <f>2*2*(CJ20*'Reagent cost'!$C$36*122.44/1000*0.5+CK20*'Oxidant Feed Composition'!$N$26+CQ20*'Reagent cost'!$C$34+CR20*'Reagent cost'!$C$35)</f>
        <v>93.757653190631231</v>
      </c>
      <c r="DG20">
        <f>2*2*(CS20*'Reagent cost'!$C$36*122.44/1000*0.5+CT20*'Oxidant Feed Composition'!$N$26+CX20*'Reagent cost'!$C$34+CY20*'Reagent cost'!$C$35)</f>
        <v>132.86128601552662</v>
      </c>
      <c r="DH20">
        <f>(AF20+3)*2*(CZ20*'Reagent cost'!$C$38*0.5+DA20*'Reagent cost'!$C$39+DB20*'Reagent cost'!$C$36*122.44/1000)</f>
        <v>2585.8275412530465</v>
      </c>
      <c r="DI20">
        <f>3*2*(DC20*'Reagent cost'!$C$38*0.5+DD20*'Reagent cost'!$C$39+DE20*'Reagent cost'!$C$36*122.44/1000)</f>
        <v>1169.2315525927086</v>
      </c>
      <c r="DJ20">
        <f>7963.6*(CB20/1000)^0.6*1.7*('CAPEX+OPEX'!$G$116/'CAPEX+OPEX'!$G$115)</f>
        <v>2472.9373618126128</v>
      </c>
      <c r="DK20">
        <f>7963.6*(CC20/1000)^0.6*1.7*('CAPEX+OPEX'!$G$116/'CAPEX+OPEX'!$G$115)</f>
        <v>6311.2587327211604</v>
      </c>
      <c r="DL20">
        <f>7963.6*(CD20/1000)^0.6*1.7*('CAPEX+OPEX'!$G$116/'CAPEX+OPEX'!$G$115)</f>
        <v>3048.2329286408958</v>
      </c>
      <c r="DM20">
        <f>7963.6*(CE20/1000)^0.6*1.7*('CAPEX+OPEX'!$G$116/'CAPEX+OPEX'!$G$115)</f>
        <v>6737.0056393643163</v>
      </c>
      <c r="DN20">
        <f>'TEA Revised Non EYZ'!CM20</f>
        <v>39625.826528698344</v>
      </c>
      <c r="DO20">
        <f>'TEA Revised Non EYZ'!CN20</f>
        <v>4586243.4239371875</v>
      </c>
      <c r="DP20">
        <f>'TEA Revised Non EYZ'!CO20</f>
        <v>11794834.586807497</v>
      </c>
      <c r="DQ20">
        <f>'TEA Revised Non EYZ'!CP20</f>
        <v>2275209.1661185985</v>
      </c>
      <c r="DR20">
        <f>'TEA Revised Non EYZ'!CQ20</f>
        <v>14083914.336508472</v>
      </c>
      <c r="DS20">
        <f>'TEA Revised Non EYZ'!CR20</f>
        <v>1662824.8986326549</v>
      </c>
      <c r="DT20">
        <f>'TEA Revised Non EYZ'!CS20</f>
        <v>528015.95740622084</v>
      </c>
      <c r="DU20">
        <f>'TEA Revised Non EYZ'!CT20</f>
        <v>1357943.8117688675</v>
      </c>
      <c r="DV20">
        <f>'TEA Revised Non EYZ'!CU20</f>
        <v>261945.7004565605</v>
      </c>
      <c r="DW20">
        <f>'TEA Revised Non EYZ'!CV20</f>
        <v>1621486.4378120217</v>
      </c>
      <c r="DX20">
        <f>'TEA Revised Non EYZ'!CW20</f>
        <v>191441.6658016555</v>
      </c>
      <c r="DY20">
        <f>'TEA Revised Non EYZ'!CX20</f>
        <v>3960833.5732453261</v>
      </c>
      <c r="DZ20">
        <f>'TEA Revised Non EYZ'!CY20</f>
        <v>885495.33629599935</v>
      </c>
      <c r="EA20">
        <f>'TEA Revised Non EYZ'!CZ20</f>
        <v>2277304.1144062551</v>
      </c>
      <c r="EB20">
        <f>'TEA Revised Non EYZ'!DA20</f>
        <v>439289.17841137282</v>
      </c>
      <c r="EC20">
        <f>'TEA Revised Non EYZ'!DB20</f>
        <v>2719271.3750602305</v>
      </c>
      <c r="ED20">
        <f>'TEA Revised Non EYZ'!DC20</f>
        <v>321052.23310454836</v>
      </c>
      <c r="EE20">
        <f>'TEA Revised Non EYZ'!DD20</f>
        <v>6642412.2372784065</v>
      </c>
      <c r="EF20">
        <v>0.7</v>
      </c>
      <c r="EG20">
        <v>100</v>
      </c>
      <c r="EH20">
        <f>96485*BL20*V20/EF20/EG20/60</f>
        <v>32.063740089207002</v>
      </c>
      <c r="EI20">
        <f>96485*BN20*BA20/EF20/EG20/60</f>
        <v>45.436608082094388</v>
      </c>
      <c r="EJ20">
        <f>EH20*('CAPEX+OPEX'!$O$25+'CAPEX+OPEX'!$O$26)</f>
        <v>1021935.5241232056</v>
      </c>
      <c r="EK20">
        <f>EI20*('CAPEX+OPEX'!$O$25+'CAPEX+OPEX'!$O$26)</f>
        <v>1448155.5727925124</v>
      </c>
      <c r="EL20">
        <f>EJ20*1.12/0.6*'CAPEX+OPEX'!$G$116/'CAPEX+OPEX'!$G$115</f>
        <v>2249949.8446835969</v>
      </c>
      <c r="EM20">
        <f>EK20*1.12/0.6*'CAPEX+OPEX'!$G$116/'CAPEX+OPEX'!$G$115</f>
        <v>3188339.507893824</v>
      </c>
      <c r="EN20">
        <f>EL20+EM20+DY20+EE20+1.15*(SUM(DF20:DM20)+SUM(CF20:CI20))</f>
        <v>16146331.46293981</v>
      </c>
      <c r="EO20">
        <f>EN20/15</f>
        <v>1076422.0975293207</v>
      </c>
      <c r="EP20">
        <f>('eLLE Bals'!CB20+'eLLE Bals'!CC20)*'Oxidant Feed Composition'!$N$29*60*7200</f>
        <v>8414954.8235175237</v>
      </c>
      <c r="EQ20" s="53">
        <f>('eLLE Bals'!BR20+'eLLE Bals'!BY20)*'Reagent cost'!$C$38*60*7200*0.5</f>
        <v>256777.17105683932</v>
      </c>
      <c r="ER20">
        <f>'TEA Revised Non EYZ'!DI20</f>
        <v>504921.59999999998</v>
      </c>
      <c r="ES20">
        <f>'TEA Revised Non EYZ'!DJ20</f>
        <v>95.210157500693782</v>
      </c>
      <c r="ET20">
        <f>'TEA Revised Non EYZ'!DK20</f>
        <v>1181.1017761069438</v>
      </c>
      <c r="EU20">
        <f>1.2*SUM(EP20:ET20)</f>
        <v>11013515.887809562</v>
      </c>
      <c r="EV20">
        <f>'TEA Revised Non EYZ'!DM20</f>
        <v>0.70639694042110623</v>
      </c>
      <c r="EW20">
        <f>(BS20*CO20+BT20*CP20)/1000*('Oxidant Feed Composition'!$B$11*'Oxidant Feed Composition'!$O$20+'Oxidant Feed Composition'!$D$11*'Oxidant Feed Composition'!$O$21+'Oxidant Feed Composition'!$F$11*'Oxidant Feed Composition'!$O$27-'Oxidant Feed Composition'!$J$15*18.015)</f>
        <v>1.9699196013010385</v>
      </c>
      <c r="EX20">
        <f>(CZ20*BX20+DC20*BZ20)*368.34/1000</f>
        <v>0.10366637554011014</v>
      </c>
      <c r="EY20">
        <f>'TEA Revised Non EYZ'!DP20</f>
        <v>4.999938342565946E-2</v>
      </c>
      <c r="EZ20">
        <f>SUM(EV20:EX20)-EY20</f>
        <v>2.7299835338365956</v>
      </c>
      <c r="FA20">
        <f>EZ20*0.33*60*7200</f>
        <v>389186.45258374512</v>
      </c>
      <c r="FB20">
        <f>'TEA Revised Non EYZ'!DS20</f>
        <v>1.2</v>
      </c>
      <c r="FC20">
        <v>0.5</v>
      </c>
      <c r="FD20">
        <f>'TEA Revised Non EYZ'!DT20</f>
        <v>1407.4779618165098</v>
      </c>
      <c r="FE20">
        <f>'TEA Revised Non EYZ'!DU20</f>
        <v>708.18970995057066</v>
      </c>
      <c r="FF20">
        <f>'TEA Revised Non EYZ'!DV20</f>
        <v>0.7</v>
      </c>
      <c r="FG20">
        <f>'TEA Revised Non EYZ'!DW20</f>
        <v>30272.303809866662</v>
      </c>
      <c r="FH20">
        <f>'TEA Revised Non EYZ'!DX20</f>
        <v>20763.049486147294</v>
      </c>
      <c r="FI20">
        <f>'TEA Revised Non EYZ'!DY20</f>
        <v>8790.8072421188135</v>
      </c>
      <c r="FJ20">
        <f>'TEA Revised Non EYZ'!DZ20</f>
        <v>4656.7358484871465</v>
      </c>
      <c r="FK20">
        <f>'TEA Revised Non EYZ'!EA20</f>
        <v>4688.4305291300352</v>
      </c>
      <c r="FL20">
        <f>'TEA Revised Non EYZ'!EB20</f>
        <v>851.24267130662531</v>
      </c>
      <c r="FM20">
        <f>'TEA Revised Non EYZ'!EC20</f>
        <v>48911.633355785249</v>
      </c>
      <c r="FN20">
        <f>'TEA Revised Non EYZ'!ED20</f>
        <v>50489.650180767654</v>
      </c>
      <c r="FO20">
        <f>'TEA Revised Non EYZ'!EE20</f>
        <v>21376.666407179851</v>
      </c>
      <c r="FP20">
        <f>'TEA Revised Non EYZ'!EF20</f>
        <v>11330.014969066478</v>
      </c>
      <c r="FQ20">
        <f>'TEA Revised Non EYZ'!EG20</f>
        <v>11400.888750495924</v>
      </c>
      <c r="FR20">
        <f>'TEA Revised Non EYZ'!EH20</f>
        <v>428.31313657810517</v>
      </c>
      <c r="FS20">
        <f>'TEA Revised Non EYZ'!EI20</f>
        <v>213959.73638692981</v>
      </c>
      <c r="FT20">
        <f>EG20*EH20</f>
        <v>3206.3740089207004</v>
      </c>
      <c r="FU20">
        <f>EG20*EI20</f>
        <v>4543.660808209439</v>
      </c>
      <c r="FV20">
        <f>FC20*(FT20+FU20)/(3.6*10^6)*3600*7200*0.07</f>
        <v>1953.0087739167955</v>
      </c>
      <c r="FW20">
        <f>('CAPEX+OPEX'!$C$39/7/100+0.03)*EL20</f>
        <v>115711.70629801355</v>
      </c>
      <c r="FX20">
        <f>('CAPEX+OPEX'!$C$39/7/100+0.03)*EM20</f>
        <v>163971.74612025381</v>
      </c>
      <c r="FY20">
        <f>SUM(FV20:FX20)</f>
        <v>281636.46119218413</v>
      </c>
      <c r="FZ20">
        <f>FY20+FA20+FS20+EU20</f>
        <v>11898298.53797242</v>
      </c>
      <c r="GA20">
        <f>FZ20+EO20</f>
        <v>12974720.635501741</v>
      </c>
      <c r="GB20">
        <f>GA20/(BK20*60*7200)</f>
        <v>0.30034075545142919</v>
      </c>
      <c r="GC20">
        <f>'TEA Revised Non EYZ'!EM20/'TEA Revised Non EYZ'!EK20*GA20</f>
        <v>1004.5520871207311</v>
      </c>
      <c r="GD20">
        <f>'TEA Revised Non EYZ'!EN20/'TEA Revised Non EYZ'!EK20*GA20</f>
        <v>1837.8299607595513</v>
      </c>
    </row>
    <row r="21" spans="1:186">
      <c r="A21">
        <f>'TEA Revised Non EYZ'!A21</f>
        <v>4</v>
      </c>
      <c r="B21">
        <f>'TEA Revised Non EYZ'!B21</f>
        <v>1.54143585092054E-3</v>
      </c>
      <c r="C21">
        <f>'TEA Revised Non EYZ'!C21</f>
        <v>1.54143585092054E-3</v>
      </c>
      <c r="D21">
        <f>'TEA Revised Non EYZ'!D21</f>
        <v>3.4254130020456501E-4</v>
      </c>
      <c r="E21">
        <f>'TEA Revised Non EYZ'!E21</f>
        <v>0</v>
      </c>
      <c r="F21">
        <f>'TEA Revised Non EYZ'!F21</f>
        <v>0</v>
      </c>
      <c r="G21">
        <f>'TEA Revised Non EYZ'!G21</f>
        <v>0</v>
      </c>
      <c r="H21">
        <f>'TEA Revised Non EYZ'!H21</f>
        <v>1.7208960911287699E-5</v>
      </c>
      <c r="I21">
        <f>'TEA Revised Non EYZ'!I21</f>
        <v>2.8768784818324402E-7</v>
      </c>
      <c r="J21">
        <f>'TEA Revised Non EYZ'!J21</f>
        <v>3.3243632642994598E-4</v>
      </c>
      <c r="K21">
        <f>'TEA Revised Non EYZ'!K21</f>
        <v>0.10920586178936199</v>
      </c>
      <c r="L21">
        <f>'TEA Revised Non EYZ'!L21</f>
        <v>0.110418215553449</v>
      </c>
      <c r="M21">
        <f>'TEA Revised Non EYZ'!M21</f>
        <v>7.2398825703009801E-4</v>
      </c>
      <c r="N21">
        <f>'TEA Revised Non EYZ'!N21</f>
        <v>-2.168404344971E-18</v>
      </c>
      <c r="O21">
        <f>'TEA Revised Non EYZ'!O21</f>
        <v>2.3635607360183901E-17</v>
      </c>
      <c r="P21">
        <f>'TEA Revised Non EYZ'!P21</f>
        <v>-7.4538899358378406E-20</v>
      </c>
      <c r="Q21">
        <f>'TEA Revised Non EYZ'!Q21</f>
        <v>0.13957372480144001</v>
      </c>
      <c r="R21">
        <f>'TEA Revised Non EYZ'!R21</f>
        <v>97.0499984181222</v>
      </c>
      <c r="S21">
        <f>'TEA Revised Non EYZ'!S21</f>
        <v>500</v>
      </c>
      <c r="T21">
        <f>'TEA Revised Non EYZ'!T21</f>
        <v>95</v>
      </c>
      <c r="U21">
        <f>'TEA Revised Non EYZ'!U21</f>
        <v>1</v>
      </c>
      <c r="V21">
        <f>'TEA Revised Non EYZ'!V21</f>
        <v>0.1</v>
      </c>
      <c r="W21">
        <f>'TEA Revised Non EYZ'!W21</f>
        <v>71.646723007687299</v>
      </c>
      <c r="X21" t="str">
        <f>'TEA Revised Non EYZ'!X21</f>
        <v>ddFc</v>
      </c>
      <c r="Y21">
        <f>'TEA Revised Non EYZ'!Y21</f>
        <v>1</v>
      </c>
      <c r="Z21">
        <f>'TEA Revised Non EYZ'!Z21</f>
        <v>0.28318429382522198</v>
      </c>
      <c r="AA21">
        <f>'TEA Revised Non EYZ'!AA21</f>
        <v>0.56945642916197003</v>
      </c>
      <c r="AB21">
        <f>'TEA Revised Non EYZ'!AB21</f>
        <v>3.7698628972227502E-3</v>
      </c>
      <c r="AC21">
        <f>'TEA Revised Non EYZ'!AC21</f>
        <v>1822.2107908876901</v>
      </c>
      <c r="AD21">
        <f>'TEA Revised Non EYZ'!AD21</f>
        <v>2662.6059073104898</v>
      </c>
      <c r="AE21">
        <f>'TEA Revised Non EYZ'!AE21</f>
        <v>2401.5030938442701</v>
      </c>
      <c r="AF21">
        <f>'TEA Revised Non EYZ'!AF21</f>
        <v>13</v>
      </c>
      <c r="AG21">
        <f>'TEA Revised Non EYZ'!AG21</f>
        <v>1.6481650483119699E-3</v>
      </c>
      <c r="AH21">
        <f>'TEA Revised Non EYZ'!AH21</f>
        <v>1.6664622263884801E-3</v>
      </c>
      <c r="AI21">
        <f>'TEA Revised Non EYZ'!AI21</f>
        <v>1.0926630870116399E-5</v>
      </c>
      <c r="AJ21">
        <f>'TEA Revised Non EYZ'!AJ21</f>
        <v>0</v>
      </c>
      <c r="AK21">
        <f>'TEA Revised Non EYZ'!AK21</f>
        <v>0</v>
      </c>
      <c r="AL21">
        <f>'TEA Revised Non EYZ'!AL21</f>
        <v>0</v>
      </c>
      <c r="AM21">
        <f>'TEA Revised Non EYZ'!AM21</f>
        <v>1.6111245032140399E-3</v>
      </c>
      <c r="AN21">
        <f>'TEA Revised Non EYZ'!AN21</f>
        <v>7.3941505194138695E-5</v>
      </c>
      <c r="AO21">
        <f>'TEA Revised Non EYZ'!AO21</f>
        <v>1.08545212908117E-5</v>
      </c>
      <c r="AP21">
        <f>'TEA Revised Non EYZ'!AP21</f>
        <v>1.73193595136525E-3</v>
      </c>
      <c r="AQ21">
        <f>'TEA Revised Non EYZ'!AQ21</f>
        <v>7.4462832095842299E-2</v>
      </c>
      <c r="AR21">
        <f>'TEA Revised Non EYZ'!AR21</f>
        <v>3.3716883082028299E-6</v>
      </c>
      <c r="AS21">
        <f>'TEA Revised Non EYZ'!AS21</f>
        <v>1.3839163105419599E-16</v>
      </c>
      <c r="AT21">
        <f>'TEA Revised Non EYZ'!AT21</f>
        <v>-1.25862861799497E-14</v>
      </c>
      <c r="AU21">
        <f>'TEA Revised Non EYZ'!AU21</f>
        <v>-9.5423555464117197E-21</v>
      </c>
      <c r="AV21">
        <f>'TEA Revised Non EYZ'!AV21</f>
        <v>0.19778550516505899</v>
      </c>
      <c r="AW21">
        <f>'TEA Revised Non EYZ'!AW21</f>
        <v>99.340056599679698</v>
      </c>
      <c r="AX21">
        <f>'TEA Revised Non EYZ'!AX21</f>
        <v>500</v>
      </c>
      <c r="AY21">
        <f>'TEA Revised Non EYZ'!AY21</f>
        <v>95</v>
      </c>
      <c r="AZ21">
        <f>'TEA Revised Non EYZ'!AZ21</f>
        <v>0.92480233795174105</v>
      </c>
      <c r="BA21">
        <f>'TEA Revised Non EYZ'!BA21</f>
        <v>0.1</v>
      </c>
      <c r="BB21">
        <f>'TEA Revised Non EYZ'!BB21</f>
        <v>46.757841894427997</v>
      </c>
      <c r="BC21" t="str">
        <f>'TEA Revised Non EYZ'!BC21</f>
        <v>coeFc</v>
      </c>
      <c r="BD21">
        <f>'TEA Revised Non EYZ'!BD21</f>
        <v>1</v>
      </c>
      <c r="BE21">
        <f>'TEA Revised Non EYZ'!BE21</f>
        <v>1.8775014999999999E-2</v>
      </c>
      <c r="BF21">
        <f>'TEA Revised Non EYZ'!BF21</f>
        <v>0.10492961100000001</v>
      </c>
      <c r="BG21">
        <f>'TEA Revised Non EYZ'!BG21</f>
        <v>1.814625E-3</v>
      </c>
      <c r="BH21">
        <f>'TEA Revised Non EYZ'!BH21</f>
        <v>285.1951444</v>
      </c>
      <c r="BI21">
        <f>'TEA Revised Non EYZ'!BI21</f>
        <v>2169.8944889999998</v>
      </c>
      <c r="BJ21">
        <f>'TEA Revised Non EYZ'!BJ21</f>
        <v>866.49409060000005</v>
      </c>
      <c r="BK21">
        <f>'TEA Revised Non EYZ'!BK21</f>
        <v>100</v>
      </c>
      <c r="BL21">
        <f>'TEA Revised Non EYZ'!BL21</f>
        <v>13.957372480144</v>
      </c>
      <c r="BM21">
        <f>'TEA Revised Non EYZ'!BM21</f>
        <v>92.480233795174101</v>
      </c>
      <c r="BN21">
        <f>'TEA Revised Non EYZ'!BN21</f>
        <v>19.778550516505899</v>
      </c>
      <c r="BO21">
        <f>'TEA Revised Non EYZ'!BO21</f>
        <v>167.488469761728</v>
      </c>
      <c r="BP21">
        <f>'TEA Revised Non EYZ'!BP21</f>
        <v>593.35651549517695</v>
      </c>
      <c r="BQ21">
        <f>'TEA Revised Non EYZ'!BQ21</f>
        <v>16.7488469761728</v>
      </c>
      <c r="BR21">
        <f>'TEA Revised Non EYZ'!BR21</f>
        <v>59.335651549517699</v>
      </c>
      <c r="BS21">
        <f>'eLLE Bals'!CF21</f>
        <v>8.3744234880863999</v>
      </c>
      <c r="BT21">
        <f>'eLLE Bals'!CG21</f>
        <v>11.867130309903539</v>
      </c>
      <c r="BU21">
        <f>BM21</f>
        <v>92.480233795174101</v>
      </c>
      <c r="BV21">
        <f>BU21*(AM21*2+AN21*2+AO21*3)</f>
        <v>0.31468208283590521</v>
      </c>
      <c r="BW21">
        <f>BN21*BA21*(AP21*2+AQ21*2+AR21*3)</f>
        <v>0.30142441991528773</v>
      </c>
      <c r="BX21">
        <f>BV21/(2*V21*BL21+BV21)</f>
        <v>0.10130915002067312</v>
      </c>
      <c r="BY21">
        <f>BU21*BX21</f>
        <v>9.3690938795022163</v>
      </c>
      <c r="BZ21">
        <f>BW21/(2*BN21*BA21+BW21)</f>
        <v>7.0804532549172836E-2</v>
      </c>
      <c r="CA21">
        <f>2*BN21*BA21/0.04</f>
        <v>98.892752582529496</v>
      </c>
      <c r="CB21">
        <f>(BS21+BL21)*2</f>
        <v>44.663591936460804</v>
      </c>
      <c r="CC21">
        <f>(BU21+BL21)*2</f>
        <v>212.87521255063621</v>
      </c>
      <c r="CD21">
        <f>(BT21+BN21)*2</f>
        <v>63.291361652818878</v>
      </c>
      <c r="CE21">
        <f>(CA21+BN21)*2</f>
        <v>237.3426061980708</v>
      </c>
      <c r="CF21">
        <f>'TEA Revised Non EYZ'!CB21</f>
        <v>2210.8478008548095</v>
      </c>
      <c r="CG21">
        <f>'TEA Revised Non EYZ'!CC21</f>
        <v>7832.3060045363363</v>
      </c>
      <c r="CH21">
        <f>'TEA Revised Non EYZ'!CD21</f>
        <v>2671.1136977461792</v>
      </c>
      <c r="CI21">
        <f>'TEA Revised Non EYZ'!CE21</f>
        <v>60411.272335041176</v>
      </c>
      <c r="CJ21">
        <f>BL21*V21</f>
        <v>1.3957372480144001</v>
      </c>
      <c r="CK21">
        <f>CJ21/2*1.2</f>
        <v>0.8374423488086401</v>
      </c>
      <c r="CL21">
        <f>'eLLE Bals'!CB21*'Oxidant Feed Composition'!$N$20</f>
        <v>4.6524574933813359E-2</v>
      </c>
      <c r="CM21">
        <f>'eLLE Bals'!CB21*'Oxidant Feed Composition'!$N$21</f>
        <v>2.326228746690667</v>
      </c>
      <c r="CN21">
        <f>'eLLE Bals'!CB21*'Oxidant Feed Composition'!$N$22</f>
        <v>0.69786862400720007</v>
      </c>
      <c r="CO21">
        <f>CN21/CK21</f>
        <v>0.83333333333333326</v>
      </c>
      <c r="CP21">
        <f>CO21</f>
        <v>0.83333333333333326</v>
      </c>
      <c r="CQ21">
        <f>CL21/CO21</f>
        <v>5.5829489920576035E-2</v>
      </c>
      <c r="CR21">
        <f>CM21/CO21</f>
        <v>2.7914744960288007</v>
      </c>
      <c r="CS21">
        <f>BN21*BA21</f>
        <v>1.9778550516505899</v>
      </c>
      <c r="CT21">
        <f>CS21/2*1.2</f>
        <v>1.186713030990354</v>
      </c>
      <c r="CU21">
        <f>'eLLE Bals'!CC21*'Oxidant Feed Composition'!$N$20</f>
        <v>6.5928501721686364E-2</v>
      </c>
      <c r="CV21">
        <f>'eLLE Bals'!CC21*'Oxidant Feed Composition'!$N$21</f>
        <v>3.2964250860843167</v>
      </c>
      <c r="CW21">
        <f>'eLLE Bals'!CC21*'Oxidant Feed Composition'!$N$22</f>
        <v>0.98892752582529497</v>
      </c>
      <c r="CX21">
        <f>CU21/CP21</f>
        <v>7.9114202066023639E-2</v>
      </c>
      <c r="CY21">
        <f>CV21/CP21</f>
        <v>3.9557101033011803</v>
      </c>
      <c r="CZ21">
        <f>CJ21</f>
        <v>1.3957372480144001</v>
      </c>
      <c r="DA21">
        <f>'eLLE Bals'!BQ21</f>
        <v>2.7914744960288003</v>
      </c>
      <c r="DB21">
        <f>'eLLE Bals'!BU21</f>
        <v>9.5897989971566542</v>
      </c>
      <c r="DC21">
        <f>CS21</f>
        <v>1.9778550516505899</v>
      </c>
      <c r="DD21">
        <f>'eLLE Bals'!BX21</f>
        <v>3.9557101033011799</v>
      </c>
      <c r="DE21">
        <f>'eLLE Bals'!CA21</f>
        <v>22.000452349887986</v>
      </c>
      <c r="DF21">
        <f>2*2*(CJ21*'Reagent cost'!$C$36*122.44/1000*0.5+CK21*'Oxidant Feed Composition'!$N$26+CQ21*'Reagent cost'!$C$34+CR21*'Reagent cost'!$C$35)</f>
        <v>93.757653190631231</v>
      </c>
      <c r="DG21">
        <f>2*2*(CS21*'Reagent cost'!$C$36*122.44/1000*0.5+CT21*'Oxidant Feed Composition'!$N$26+CX21*'Reagent cost'!$C$34+CY21*'Reagent cost'!$C$35)</f>
        <v>132.86100106434992</v>
      </c>
      <c r="DH21">
        <f>(AF21+3)*2*(CZ21*'Reagent cost'!$C$38*0.5+DA21*'Reagent cost'!$C$39+DB21*'Reagent cost'!$C$36*122.44/1000)</f>
        <v>2758.2154418618065</v>
      </c>
      <c r="DI21">
        <f>3*2*(DC21*'Reagent cost'!$C$38*0.5+DD21*'Reagent cost'!$C$39+DE21*'Reagent cost'!$C$36*122.44/1000)</f>
        <v>1169.226403876643</v>
      </c>
      <c r="DJ21">
        <f>7963.6*(CB21/1000)^0.6*1.7*('CAPEX+OPEX'!$G$116/'CAPEX+OPEX'!$G$115)</f>
        <v>2472.9373618126128</v>
      </c>
      <c r="DK21">
        <f>7963.6*(CC21/1000)^0.6*1.7*('CAPEX+OPEX'!$G$116/'CAPEX+OPEX'!$G$115)</f>
        <v>6311.2587327211604</v>
      </c>
      <c r="DL21">
        <f>7963.6*(CD21/1000)^0.6*1.7*('CAPEX+OPEX'!$G$116/'CAPEX+OPEX'!$G$115)</f>
        <v>3048.2290060628816</v>
      </c>
      <c r="DM21">
        <f>7963.6*(CE21/1000)^0.6*1.7*('CAPEX+OPEX'!$G$116/'CAPEX+OPEX'!$G$115)</f>
        <v>6736.9969699381863</v>
      </c>
      <c r="DN21">
        <f>'TEA Revised Non EYZ'!CM21</f>
        <v>39625.826528698344</v>
      </c>
      <c r="DO21">
        <f>'TEA Revised Non EYZ'!CN21</f>
        <v>4586243.4239371875</v>
      </c>
      <c r="DP21">
        <f>'TEA Revised Non EYZ'!CO21</f>
        <v>11794834.586807497</v>
      </c>
      <c r="DQ21">
        <f>'TEA Revised Non EYZ'!CP21</f>
        <v>2275209.1661185985</v>
      </c>
      <c r="DR21">
        <f>'TEA Revised Non EYZ'!CQ21</f>
        <v>14083914.336508472</v>
      </c>
      <c r="DS21">
        <f>'TEA Revised Non EYZ'!CR21</f>
        <v>1662824.8986326549</v>
      </c>
      <c r="DT21">
        <f>'TEA Revised Non EYZ'!CS21</f>
        <v>528015.95740622084</v>
      </c>
      <c r="DU21">
        <f>'TEA Revised Non EYZ'!CT21</f>
        <v>1357943.8117688675</v>
      </c>
      <c r="DV21">
        <f>'TEA Revised Non EYZ'!CU21</f>
        <v>261945.7004565605</v>
      </c>
      <c r="DW21">
        <f>'TEA Revised Non EYZ'!CV21</f>
        <v>1621486.4378120217</v>
      </c>
      <c r="DX21">
        <f>'TEA Revised Non EYZ'!CW21</f>
        <v>191441.6658016555</v>
      </c>
      <c r="DY21">
        <f>'TEA Revised Non EYZ'!CX21</f>
        <v>3960833.5732453261</v>
      </c>
      <c r="DZ21">
        <f>'TEA Revised Non EYZ'!CY21</f>
        <v>925757.1782572798</v>
      </c>
      <c r="EA21">
        <f>'TEA Revised Non EYZ'!CZ21</f>
        <v>2380848.93795725</v>
      </c>
      <c r="EB21">
        <f>'TEA Revised Non EYZ'!DA21</f>
        <v>459262.8482338271</v>
      </c>
      <c r="EC21">
        <f>'TEA Revised Non EYZ'!DB21</f>
        <v>2842911.6359005328</v>
      </c>
      <c r="ED21">
        <f>'TEA Revised Non EYZ'!DC21</f>
        <v>335649.88680269336</v>
      </c>
      <c r="EE21">
        <f>'TEA Revised Non EYZ'!DD21</f>
        <v>6944430.4871515837</v>
      </c>
      <c r="EF21">
        <v>0.7</v>
      </c>
      <c r="EG21">
        <v>100</v>
      </c>
      <c r="EH21">
        <f>96485*BL21*V21/EF21/EG21/60</f>
        <v>32.063740089207002</v>
      </c>
      <c r="EI21">
        <f>96485*BN21*BA21/EF21/EG21/60</f>
        <v>45.436510632977892</v>
      </c>
      <c r="EJ21">
        <f>EH21*('CAPEX+OPEX'!$O$25+'CAPEX+OPEX'!$O$26)</f>
        <v>1021935.5241232056</v>
      </c>
      <c r="EK21">
        <f>EI21*('CAPEX+OPEX'!$O$25+'CAPEX+OPEX'!$O$26)</f>
        <v>1448152.4668942713</v>
      </c>
      <c r="EL21">
        <f>EJ21*1.12/0.6*'CAPEX+OPEX'!$G$116/'CAPEX+OPEX'!$G$115</f>
        <v>2249949.8446835969</v>
      </c>
      <c r="EM21">
        <f>EK21*1.12/0.6*'CAPEX+OPEX'!$G$116/'CAPEX+OPEX'!$G$115</f>
        <v>3188332.669776252</v>
      </c>
      <c r="EN21">
        <f>EL21+EM21+DY21+EE21+1.15*(SUM(DF21:DM21)+SUM(CF21:CI21))</f>
        <v>16453772.95062677</v>
      </c>
      <c r="EO21">
        <f>EN21/15</f>
        <v>1096918.1967084513</v>
      </c>
      <c r="EP21">
        <f>('eLLE Bals'!CB21+'eLLE Bals'!CC21)*'Oxidant Feed Composition'!$N$29*60*7200</f>
        <v>8414944.2425339259</v>
      </c>
      <c r="EQ21" s="53">
        <f>('eLLE Bals'!BR21+'eLLE Bals'!BY21)*'Reagent cost'!$C$38*60*7200*0.5</f>
        <v>256777.15024849621</v>
      </c>
      <c r="ER21">
        <f>'TEA Revised Non EYZ'!DI21</f>
        <v>504921.59999999998</v>
      </c>
      <c r="ES21">
        <f>'TEA Revised Non EYZ'!DJ21</f>
        <v>100.43153805391147</v>
      </c>
      <c r="ET21">
        <f>'TEA Revised Non EYZ'!DK21</f>
        <v>1261.6477206557472</v>
      </c>
      <c r="EU21">
        <f>1.2*SUM(EP21:ET21)</f>
        <v>11013606.086449357</v>
      </c>
      <c r="EV21">
        <f>'TEA Revised Non EYZ'!DM21</f>
        <v>0.70639694042110623</v>
      </c>
      <c r="EW21">
        <f>(BS21*CO21+BT21*CP21)/1000*('Oxidant Feed Composition'!$B$11*'Oxidant Feed Composition'!$O$20+'Oxidant Feed Composition'!$D$11*'Oxidant Feed Composition'!$O$21+'Oxidant Feed Composition'!$F$11*'Oxidant Feed Composition'!$O$27-'Oxidant Feed Composition'!$J$15*18.015)</f>
        <v>1.969917124319589</v>
      </c>
      <c r="EX21">
        <f>(CZ21*BX21+DC21*BZ21)*368.34/1000</f>
        <v>0.10366636713934188</v>
      </c>
      <c r="EY21">
        <f>'TEA Revised Non EYZ'!DP21</f>
        <v>4.999938342565946E-2</v>
      </c>
      <c r="EZ21">
        <f>SUM(EV21:EX21)-EY21</f>
        <v>2.7299810484543778</v>
      </c>
      <c r="FA21">
        <f>EZ21*0.33*60*7200</f>
        <v>389186.09826765611</v>
      </c>
      <c r="FB21">
        <f>'TEA Revised Non EYZ'!DS21</f>
        <v>1.2</v>
      </c>
      <c r="FC21">
        <v>0.5</v>
      </c>
      <c r="FD21">
        <f>'TEA Revised Non EYZ'!DT21</f>
        <v>1407.4782094824159</v>
      </c>
      <c r="FE21">
        <f>'TEA Revised Non EYZ'!DU21</f>
        <v>708.18946229031474</v>
      </c>
      <c r="FF21">
        <f>'TEA Revised Non EYZ'!DV21</f>
        <v>0.7</v>
      </c>
      <c r="FG21">
        <f>'TEA Revised Non EYZ'!DW21</f>
        <v>30272.303809866662</v>
      </c>
      <c r="FH21">
        <f>'TEA Revised Non EYZ'!DX21</f>
        <v>20763.049486147294</v>
      </c>
      <c r="FI21">
        <f>'TEA Revised Non EYZ'!DY21</f>
        <v>8790.8072421188135</v>
      </c>
      <c r="FJ21">
        <f>'TEA Revised Non EYZ'!DZ21</f>
        <v>4656.7358484871465</v>
      </c>
      <c r="FK21">
        <f>'TEA Revised Non EYZ'!EA21</f>
        <v>4688.4305291300352</v>
      </c>
      <c r="FL21">
        <f>'TEA Revised Non EYZ'!EB21</f>
        <v>851.24282109496528</v>
      </c>
      <c r="FM21">
        <f>'TEA Revised Non EYZ'!EC21</f>
        <v>51485.929848194995</v>
      </c>
      <c r="FN21">
        <f>'TEA Revised Non EYZ'!ED21</f>
        <v>54373.469425442076</v>
      </c>
      <c r="FO21">
        <f>'TEA Revised Non EYZ'!EE21</f>
        <v>23021.025361578297</v>
      </c>
      <c r="FP21">
        <f>'TEA Revised Non EYZ'!EF21</f>
        <v>12201.554582071589</v>
      </c>
      <c r="FQ21">
        <f>'TEA Revised Non EYZ'!EG21</f>
        <v>12277.880192841762</v>
      </c>
      <c r="FR21">
        <f>'TEA Revised Non EYZ'!EH21</f>
        <v>428.3129867931824</v>
      </c>
      <c r="FS21">
        <f>'TEA Revised Non EYZ'!EI21</f>
        <v>223810.74213376676</v>
      </c>
      <c r="FT21">
        <f>EG21*EH21</f>
        <v>3206.3740089207004</v>
      </c>
      <c r="FU21">
        <f>EG21*EI21</f>
        <v>4543.6510632977888</v>
      </c>
      <c r="FV21">
        <f>FC21*(FT21+FU21)/(3.6*10^6)*3600*7200*0.07</f>
        <v>1953.0063181990593</v>
      </c>
      <c r="FW21">
        <f>('CAPEX+OPEX'!$C$39/7/100+0.03)*EL21</f>
        <v>115711.70629801355</v>
      </c>
      <c r="FX21">
        <f>('CAPEX+OPEX'!$C$39/7/100+0.03)*EM21</f>
        <v>163971.39444563581</v>
      </c>
      <c r="FY21">
        <f>SUM(FV21:FX21)</f>
        <v>281636.10706184839</v>
      </c>
      <c r="FZ21">
        <f>FY21+FA21+FS21+EU21</f>
        <v>11908239.033912629</v>
      </c>
      <c r="GA21">
        <f>FZ21+EO21</f>
        <v>13005157.230621081</v>
      </c>
      <c r="GB21">
        <f>GA21/(BK21*60*7200)</f>
        <v>0.30104530626437687</v>
      </c>
      <c r="GC21">
        <f>'TEA Revised Non EYZ'!EM21/'TEA Revised Non EYZ'!EK21*GA21</f>
        <v>1006.908426361314</v>
      </c>
      <c r="GD21">
        <f>'TEA Revised Non EYZ'!EN21/'TEA Revised Non EYZ'!EK21*GA21</f>
        <v>1842.1418062352914</v>
      </c>
    </row>
    <row r="22" spans="1:186">
      <c r="A22">
        <f>'TEA Revised Non EYZ'!A22</f>
        <v>5</v>
      </c>
      <c r="B22">
        <f>'TEA Revised Non EYZ'!B22</f>
        <v>1.54143585092054E-3</v>
      </c>
      <c r="C22">
        <f>'TEA Revised Non EYZ'!C22</f>
        <v>1.54143585092054E-3</v>
      </c>
      <c r="D22">
        <f>'TEA Revised Non EYZ'!D22</f>
        <v>3.4254130020456501E-4</v>
      </c>
      <c r="E22">
        <f>'TEA Revised Non EYZ'!E22</f>
        <v>0</v>
      </c>
      <c r="F22">
        <f>'TEA Revised Non EYZ'!F22</f>
        <v>0</v>
      </c>
      <c r="G22">
        <f>'TEA Revised Non EYZ'!G22</f>
        <v>0</v>
      </c>
      <c r="H22">
        <f>'TEA Revised Non EYZ'!H22</f>
        <v>1.7558377832426001E-5</v>
      </c>
      <c r="I22">
        <f>'TEA Revised Non EYZ'!I22</f>
        <v>1.05063644964669E-7</v>
      </c>
      <c r="J22">
        <f>'TEA Revised Non EYZ'!J22</f>
        <v>3.35605387572801E-4</v>
      </c>
      <c r="K22">
        <f>'TEA Revised Non EYZ'!K22</f>
        <v>0.12557893497872399</v>
      </c>
      <c r="L22">
        <f>'TEA Revised Non EYZ'!L22</f>
        <v>0.12701721899235199</v>
      </c>
      <c r="M22">
        <f>'TEA Revised Non EYZ'!M22</f>
        <v>5.7157122982957897E-4</v>
      </c>
      <c r="N22">
        <f>'TEA Revised Non EYZ'!N22</f>
        <v>-1.88000656708986E-16</v>
      </c>
      <c r="O22">
        <f>'TEA Revised Non EYZ'!O22</f>
        <v>-6.2354635343986299E-15</v>
      </c>
      <c r="P22">
        <f>'TEA Revised Non EYZ'!P22</f>
        <v>-1.51703600853245E-18</v>
      </c>
      <c r="Q22">
        <f>'TEA Revised Non EYZ'!Q22</f>
        <v>0.121348176216534</v>
      </c>
      <c r="R22">
        <f>'TEA Revised Non EYZ'!R22</f>
        <v>97.975160184298204</v>
      </c>
      <c r="S22">
        <f>'TEA Revised Non EYZ'!S22</f>
        <v>500</v>
      </c>
      <c r="T22">
        <f>'TEA Revised Non EYZ'!T22</f>
        <v>95</v>
      </c>
      <c r="U22">
        <f>'TEA Revised Non EYZ'!U22</f>
        <v>1</v>
      </c>
      <c r="V22">
        <f>'TEA Revised Non EYZ'!V22</f>
        <v>0.1</v>
      </c>
      <c r="W22">
        <f>'TEA Revised Non EYZ'!W22</f>
        <v>82.407501388038199</v>
      </c>
      <c r="X22" t="str">
        <f>'TEA Revised Non EYZ'!X22</f>
        <v>ddFc</v>
      </c>
      <c r="Y22">
        <f>'TEA Revised Non EYZ'!Y22</f>
        <v>1</v>
      </c>
      <c r="Z22">
        <f>'TEA Revised Non EYZ'!Z22</f>
        <v>0.28318429382522198</v>
      </c>
      <c r="AA22">
        <f>'TEA Revised Non EYZ'!AA22</f>
        <v>0.56945642916197003</v>
      </c>
      <c r="AB22">
        <f>'TEA Revised Non EYZ'!AB22</f>
        <v>3.7698628972227502E-3</v>
      </c>
      <c r="AC22">
        <f>'TEA Revised Non EYZ'!AC22</f>
        <v>1822.2107908876901</v>
      </c>
      <c r="AD22">
        <f>'TEA Revised Non EYZ'!AD22</f>
        <v>2662.6059073104898</v>
      </c>
      <c r="AE22">
        <f>'TEA Revised Non EYZ'!AE22</f>
        <v>2401.5030938442701</v>
      </c>
      <c r="AF22">
        <f>'TEA Revised Non EYZ'!AF22</f>
        <v>4</v>
      </c>
      <c r="AG22">
        <f>'TEA Revised Non EYZ'!AG22</f>
        <v>1.64912412966352E-3</v>
      </c>
      <c r="AH22">
        <f>'TEA Revised Non EYZ'!AH22</f>
        <v>1.66801192221077E-3</v>
      </c>
      <c r="AI22">
        <f>'TEA Revised Non EYZ'!AI22</f>
        <v>7.5059714998626504E-6</v>
      </c>
      <c r="AJ22">
        <f>'TEA Revised Non EYZ'!AJ22</f>
        <v>0</v>
      </c>
      <c r="AK22">
        <f>'TEA Revised Non EYZ'!AK22</f>
        <v>0</v>
      </c>
      <c r="AL22">
        <f>'TEA Revised Non EYZ'!AL22</f>
        <v>0</v>
      </c>
      <c r="AM22">
        <f>'TEA Revised Non EYZ'!AM22</f>
        <v>1.6039135383284699E-3</v>
      </c>
      <c r="AN22">
        <f>'TEA Revised Non EYZ'!AN22</f>
        <v>7.6970500542168304E-5</v>
      </c>
      <c r="AO22">
        <f>'TEA Revised Non EYZ'!AO22</f>
        <v>7.4460014818516096E-6</v>
      </c>
      <c r="AP22">
        <f>'TEA Revised Non EYZ'!AP22</f>
        <v>1.9942467256961298E-3</v>
      </c>
      <c r="AQ22">
        <f>'TEA Revised Non EYZ'!AQ22</f>
        <v>7.0181102522975894E-2</v>
      </c>
      <c r="AR22">
        <f>'TEA Revised Non EYZ'!AR22</f>
        <v>2.6452874985014601E-6</v>
      </c>
      <c r="AS22">
        <f>'TEA Revised Non EYZ'!AS22</f>
        <v>2.23616698075135E-19</v>
      </c>
      <c r="AT22">
        <f>'TEA Revised Non EYZ'!AT22</f>
        <v>8.6736173798840297E-19</v>
      </c>
      <c r="AU22">
        <f>'TEA Revised Non EYZ'!AU22</f>
        <v>-4.6983858793011897E-22</v>
      </c>
      <c r="AV22">
        <f>'TEA Revised Non EYZ'!AV22</f>
        <v>0.20948744629576599</v>
      </c>
      <c r="AW22">
        <f>'TEA Revised Non EYZ'!AW22</f>
        <v>99.201035895058396</v>
      </c>
      <c r="AX22">
        <f>'TEA Revised Non EYZ'!AX22</f>
        <v>500</v>
      </c>
      <c r="AY22">
        <f>'TEA Revised Non EYZ'!AY22</f>
        <v>95</v>
      </c>
      <c r="AZ22">
        <f>'TEA Revised Non EYZ'!AZ22</f>
        <v>0.92405262022284995</v>
      </c>
      <c r="BA22">
        <f>'TEA Revised Non EYZ'!BA22</f>
        <v>0.1</v>
      </c>
      <c r="BB22">
        <f>'TEA Revised Non EYZ'!BB22</f>
        <v>44.110166817262098</v>
      </c>
      <c r="BC22" t="str">
        <f>'TEA Revised Non EYZ'!BC22</f>
        <v>coeFc</v>
      </c>
      <c r="BD22">
        <f>'TEA Revised Non EYZ'!BD22</f>
        <v>1</v>
      </c>
      <c r="BE22">
        <f>'TEA Revised Non EYZ'!BE22</f>
        <v>1.8775014999999999E-2</v>
      </c>
      <c r="BF22">
        <f>'TEA Revised Non EYZ'!BF22</f>
        <v>0.10492961100000001</v>
      </c>
      <c r="BG22">
        <f>'TEA Revised Non EYZ'!BG22</f>
        <v>1.814625E-3</v>
      </c>
      <c r="BH22">
        <f>'TEA Revised Non EYZ'!BH22</f>
        <v>285.1951444</v>
      </c>
      <c r="BI22">
        <f>'TEA Revised Non EYZ'!BI22</f>
        <v>2169.8944889999998</v>
      </c>
      <c r="BJ22">
        <f>'TEA Revised Non EYZ'!BJ22</f>
        <v>866.49409060000005</v>
      </c>
      <c r="BK22">
        <f>'TEA Revised Non EYZ'!BK22</f>
        <v>100</v>
      </c>
      <c r="BL22">
        <f>'TEA Revised Non EYZ'!BL22</f>
        <v>12.134817621653401</v>
      </c>
      <c r="BM22">
        <f>'TEA Revised Non EYZ'!BM22</f>
        <v>92.405262022285001</v>
      </c>
      <c r="BN22">
        <f>'TEA Revised Non EYZ'!BN22</f>
        <v>20.948744629576598</v>
      </c>
      <c r="BO22">
        <f>'TEA Revised Non EYZ'!BO22</f>
        <v>169.88744670314762</v>
      </c>
      <c r="BP22">
        <f>'TEA Revised Non EYZ'!BP22</f>
        <v>251.3849355549192</v>
      </c>
      <c r="BQ22">
        <f>'TEA Revised Non EYZ'!BQ22</f>
        <v>16.988744670314762</v>
      </c>
      <c r="BR22">
        <f>'TEA Revised Non EYZ'!BR22</f>
        <v>25.13849355549192</v>
      </c>
      <c r="BS22">
        <f>'eLLE Bals'!CF22</f>
        <v>7.2808905729920399</v>
      </c>
      <c r="BT22">
        <f>'eLLE Bals'!CG22</f>
        <v>12.569246777745958</v>
      </c>
      <c r="BU22">
        <f>BM22</f>
        <v>92.405262022285001</v>
      </c>
      <c r="BV22">
        <f>BU22*(AM22*2+AN22*2+AO22*3)</f>
        <v>0.31270920923568246</v>
      </c>
      <c r="BW22">
        <f>BN22*BA22*(AP22*2+AQ22*2+AR22*3)</f>
        <v>0.30241321662787013</v>
      </c>
      <c r="BX22">
        <f>BV22/(2*V22*BL22+BV22)</f>
        <v>0.11414108167168345</v>
      </c>
      <c r="BY22">
        <f>BU22*BX22</f>
        <v>10.547236559378941</v>
      </c>
      <c r="BZ22">
        <f>BW22/(2*BN22*BA22+BW22)</f>
        <v>6.7320191709879393E-2</v>
      </c>
      <c r="CA22">
        <f>2*BN22*BA22/0.04</f>
        <v>104.743723147883</v>
      </c>
      <c r="CB22">
        <f>(BS22+BL22)*2</f>
        <v>38.831416389290879</v>
      </c>
      <c r="CC22">
        <f>(BU22+BL22)*2</f>
        <v>209.0801592878768</v>
      </c>
      <c r="CD22">
        <f>(BT22+BN22)*2</f>
        <v>67.035982814645109</v>
      </c>
      <c r="CE22">
        <f>(CA22+BN22)*2</f>
        <v>251.3849355549192</v>
      </c>
      <c r="CF22">
        <f>'TEA Revised Non EYZ'!CB22</f>
        <v>2242.5142964815486</v>
      </c>
      <c r="CG22">
        <f>'TEA Revised Non EYZ'!CC22</f>
        <v>3318.2811493249337</v>
      </c>
      <c r="CH22">
        <f>'TEA Revised Non EYZ'!CD22</f>
        <v>2709.3726906065185</v>
      </c>
      <c r="CI22">
        <f>'TEA Revised Non EYZ'!CE22</f>
        <v>25594.197427934774</v>
      </c>
      <c r="CJ22">
        <f>BL22*V22</f>
        <v>1.2134817621653402</v>
      </c>
      <c r="CK22">
        <f>CJ22/2*1.2</f>
        <v>0.72808905729920415</v>
      </c>
      <c r="CL22">
        <f>'eLLE Bals'!CB22*'Oxidant Feed Composition'!$N$20</f>
        <v>4.0449392072178021E-2</v>
      </c>
      <c r="CM22">
        <f>'eLLE Bals'!CB22*'Oxidant Feed Composition'!$N$21</f>
        <v>2.0224696036089003</v>
      </c>
      <c r="CN22">
        <f>'eLLE Bals'!CB22*'Oxidant Feed Composition'!$N$22</f>
        <v>0.6067408810826701</v>
      </c>
      <c r="CO22">
        <f>CN22/CK22</f>
        <v>0.83333333333333326</v>
      </c>
      <c r="CP22">
        <f>CO22</f>
        <v>0.83333333333333326</v>
      </c>
      <c r="CQ22">
        <f>CL22/CO22</f>
        <v>4.8539270486613627E-2</v>
      </c>
      <c r="CR22">
        <f>CM22/CO22</f>
        <v>2.4269635243306804</v>
      </c>
      <c r="CS22">
        <f>BN22*BA22</f>
        <v>2.0948744629576601</v>
      </c>
      <c r="CT22">
        <f>CS22/2*1.2</f>
        <v>1.2569246777745959</v>
      </c>
      <c r="CU22">
        <f>'eLLE Bals'!CC22*'Oxidant Feed Composition'!$N$20</f>
        <v>6.9829148765255367E-2</v>
      </c>
      <c r="CV22">
        <f>'eLLE Bals'!CC22*'Oxidant Feed Composition'!$N$21</f>
        <v>3.491457438262767</v>
      </c>
      <c r="CW22">
        <f>'eLLE Bals'!CC22*'Oxidant Feed Composition'!$N$22</f>
        <v>1.0474372314788301</v>
      </c>
      <c r="CX22">
        <f>CU22/CP22</f>
        <v>8.3794978518306446E-2</v>
      </c>
      <c r="CY22">
        <f>CV22/CP22</f>
        <v>4.1897489259153211</v>
      </c>
      <c r="CZ22">
        <f>CJ22</f>
        <v>1.2134817621653402</v>
      </c>
      <c r="DA22">
        <f>'eLLE Bals'!BQ22</f>
        <v>2.4269635243306804</v>
      </c>
      <c r="DB22">
        <f>'eLLE Bals'!BU22</f>
        <v>6.99097457034234</v>
      </c>
      <c r="DC22">
        <f>CS22</f>
        <v>2.0948744629576601</v>
      </c>
      <c r="DD22">
        <f>'eLLE Bals'!BX22</f>
        <v>4.1897489259153202</v>
      </c>
      <c r="DE22">
        <f>'eLLE Bals'!CA22</f>
        <v>24.833446981242037</v>
      </c>
      <c r="DF22">
        <f>2*2*(CJ22*'Reagent cost'!$C$36*122.44/1000*0.5+CK22*'Oxidant Feed Composition'!$N$26+CQ22*'Reagent cost'!$C$34+CR22*'Reagent cost'!$C$35)</f>
        <v>81.514771044557094</v>
      </c>
      <c r="DG22">
        <f>2*2*(CS22*'Reagent cost'!$C$36*122.44/1000*0.5+CT22*'Oxidant Feed Composition'!$N$26+CX22*'Reagent cost'!$C$34+CY22*'Reagent cost'!$C$35)</f>
        <v>140.72169647640422</v>
      </c>
      <c r="DH22">
        <f>(AF22+3)*2*(CZ22*'Reagent cost'!$C$38*0.5+DA22*'Reagent cost'!$C$39+DB22*'Reagent cost'!$C$36*122.44/1000)</f>
        <v>886.13595848655473</v>
      </c>
      <c r="DI22">
        <f>3*2*(DC22*'Reagent cost'!$C$38*0.5+DD22*'Reagent cost'!$C$39+DE22*'Reagent cost'!$C$36*122.44/1000)</f>
        <v>1317.8499111439878</v>
      </c>
      <c r="DJ22">
        <f>7963.6*(CB22/1000)^0.6*1.7*('CAPEX+OPEX'!$G$116/'CAPEX+OPEX'!$G$115)</f>
        <v>2273.7926954959794</v>
      </c>
      <c r="DK22">
        <f>7963.6*(CC22/1000)^0.6*1.7*('CAPEX+OPEX'!$G$116/'CAPEX+OPEX'!$G$115)</f>
        <v>6243.5072626595684</v>
      </c>
      <c r="DL22">
        <f>7963.6*(CD22/1000)^0.6*1.7*('CAPEX+OPEX'!$G$116/'CAPEX+OPEX'!$G$115)</f>
        <v>3155.191450244818</v>
      </c>
      <c r="DM22">
        <f>7963.6*(CE22/1000)^0.6*1.7*('CAPEX+OPEX'!$G$116/'CAPEX+OPEX'!$G$115)</f>
        <v>6973.3983888990369</v>
      </c>
      <c r="DN22">
        <f>'TEA Revised Non EYZ'!CM22</f>
        <v>39625.826528698344</v>
      </c>
      <c r="DO22">
        <f>'TEA Revised Non EYZ'!CN22</f>
        <v>4586243.4239371875</v>
      </c>
      <c r="DP22">
        <f>'TEA Revised Non EYZ'!CO22</f>
        <v>11794834.586807497</v>
      </c>
      <c r="DQ22">
        <f>'TEA Revised Non EYZ'!CP22</f>
        <v>2275209.1661185985</v>
      </c>
      <c r="DR22">
        <f>'TEA Revised Non EYZ'!CQ22</f>
        <v>14083914.336508472</v>
      </c>
      <c r="DS22">
        <f>'TEA Revised Non EYZ'!CR22</f>
        <v>1662824.8986326549</v>
      </c>
      <c r="DT22">
        <f>'TEA Revised Non EYZ'!CS22</f>
        <v>589054.93036564998</v>
      </c>
      <c r="DU22">
        <f>'TEA Revised Non EYZ'!CT22</f>
        <v>1514922.9606835202</v>
      </c>
      <c r="DV22">
        <f>'TEA Revised Non EYZ'!CU22</f>
        <v>292226.78628879401</v>
      </c>
      <c r="DW22">
        <f>'TEA Revised Non EYZ'!CV22</f>
        <v>1808931.2781495745</v>
      </c>
      <c r="DX22">
        <f>'TEA Revised Non EYZ'!CW22</f>
        <v>213572.44139332071</v>
      </c>
      <c r="DY22">
        <f>'TEA Revised Non EYZ'!CX22</f>
        <v>4418708.3968808586</v>
      </c>
      <c r="DZ22">
        <f>'TEA Revised Non EYZ'!CY22</f>
        <v>498825.5312936515</v>
      </c>
      <c r="EA22">
        <f>'TEA Revised Non EYZ'!CZ22</f>
        <v>1282872.2955647383</v>
      </c>
      <c r="EB22">
        <f>'TEA Revised Non EYZ'!DA22</f>
        <v>247464.49679702814</v>
      </c>
      <c r="EC22">
        <f>'TEA Revised Non EYZ'!DB22</f>
        <v>1531845.4347484135</v>
      </c>
      <c r="ED22">
        <f>'TEA Revised Non EYZ'!DC22</f>
        <v>180858.15270500266</v>
      </c>
      <c r="EE22">
        <f>'TEA Revised Non EYZ'!DD22</f>
        <v>3741865.9111088342</v>
      </c>
      <c r="EF22">
        <v>0.7</v>
      </c>
      <c r="EG22">
        <v>100</v>
      </c>
      <c r="EH22">
        <f>96485*BL22*V22/EF22/EG22/60</f>
        <v>27.876854243457824</v>
      </c>
      <c r="EI22">
        <f>96485*BN22*BA22/EF22/EG22/60</f>
        <v>48.124752990111865</v>
      </c>
      <c r="EJ22">
        <f>EH22*('CAPEX+OPEX'!$O$25+'CAPEX+OPEX'!$O$26)</f>
        <v>888491.09844748781</v>
      </c>
      <c r="EK22">
        <f>EI22*('CAPEX+OPEX'!$O$25+'CAPEX+OPEX'!$O$26)</f>
        <v>1533832.1273008455</v>
      </c>
      <c r="EL22">
        <f>EJ22*1.12/0.6*'CAPEX+OPEX'!$G$116/'CAPEX+OPEX'!$G$115</f>
        <v>1956151.2069656507</v>
      </c>
      <c r="EM22">
        <f>EK22*1.12/0.6*'CAPEX+OPEX'!$G$116/'CAPEX+OPEX'!$G$115</f>
        <v>3376969.7550656693</v>
      </c>
      <c r="EN22">
        <f>EL22+EM22+DY22+EE22+1.15*(SUM(DF22:DM22)+SUM(CF22:CI22))</f>
        <v>13556872.219374631</v>
      </c>
      <c r="EO22">
        <f>EN22/15</f>
        <v>903791.48129164206</v>
      </c>
      <c r="EP22">
        <f>('eLLE Bals'!CB22+'eLLE Bals'!CC22)*'Oxidant Feed Composition'!$N$29*60*7200</f>
        <v>8252222.1703003757</v>
      </c>
      <c r="EQ22" s="53">
        <f>('eLLE Bals'!BR22+'eLLE Bals'!BY22)*'Reagent cost'!$C$38*60*7200*0.5</f>
        <v>255037.65355051667</v>
      </c>
      <c r="ER22">
        <f>'TEA Revised Non EYZ'!DI22</f>
        <v>504921.59999999998</v>
      </c>
      <c r="ES22">
        <f>'TEA Revised Non EYZ'!DJ22</f>
        <v>55.607954458064825</v>
      </c>
      <c r="ET22">
        <f>'TEA Revised Non EYZ'!DK22</f>
        <v>566.07140237082581</v>
      </c>
      <c r="EU22">
        <f>1.2*SUM(EP22:ET22)</f>
        <v>10815363.723849265</v>
      </c>
      <c r="EV22">
        <f>'TEA Revised Non EYZ'!DM22</f>
        <v>0.70639694042110623</v>
      </c>
      <c r="EW22">
        <f>(BS22*CO22+BT22*CP22)/1000*('Oxidant Feed Composition'!$B$11*'Oxidant Feed Composition'!$O$20+'Oxidant Feed Composition'!$D$11*'Oxidant Feed Composition'!$O$21+'Oxidant Feed Composition'!$F$11*'Oxidant Feed Composition'!$O$27-'Oxidant Feed Composition'!$J$15*18.015)</f>
        <v>1.9318242995356292</v>
      </c>
      <c r="EX22">
        <f>(CZ22*BX22+DC22*BZ22)*368.34/1000</f>
        <v>0.10296409552694993</v>
      </c>
      <c r="EY22">
        <f>'TEA Revised Non EYZ'!DP22</f>
        <v>4.999938342565946E-2</v>
      </c>
      <c r="EZ22">
        <f>SUM(EV22:EX22)-EY22</f>
        <v>2.6911859520580261</v>
      </c>
      <c r="FA22">
        <f>EZ22*0.33*60*7200</f>
        <v>383655.46932539222</v>
      </c>
      <c r="FB22">
        <f>'TEA Revised Non EYZ'!DS22</f>
        <v>1.2</v>
      </c>
      <c r="FC22">
        <v>0.5</v>
      </c>
      <c r="FD22">
        <f>'TEA Revised Non EYZ'!DT22</f>
        <v>1399.3295607203786</v>
      </c>
      <c r="FE22">
        <f>'TEA Revised Non EYZ'!DU22</f>
        <v>713.9168882708085</v>
      </c>
      <c r="FF22">
        <f>'TEA Revised Non EYZ'!DV22</f>
        <v>0.7</v>
      </c>
      <c r="FG22">
        <f>'TEA Revised Non EYZ'!DW22</f>
        <v>33024.331428945443</v>
      </c>
      <c r="FH22">
        <f>'TEA Revised Non EYZ'!DX22</f>
        <v>24915.659383376755</v>
      </c>
      <c r="FI22">
        <f>'TEA Revised Non EYZ'!DY22</f>
        <v>10548.968690542577</v>
      </c>
      <c r="FJ22">
        <f>'TEA Revised Non EYZ'!DZ22</f>
        <v>5588.0830181845758</v>
      </c>
      <c r="FK22">
        <f>'TEA Revised Non EYZ'!EA22</f>
        <v>5626.1166349560426</v>
      </c>
      <c r="FL22">
        <f>'TEA Revised Non EYZ'!EB22</f>
        <v>846.31451832368498</v>
      </c>
      <c r="FM22">
        <f>'TEA Revised Non EYZ'!EC22</f>
        <v>28297.65565608922</v>
      </c>
      <c r="FN22">
        <f>'TEA Revised Non EYZ'!ED22</f>
        <v>19405.619727063386</v>
      </c>
      <c r="FO22">
        <f>'TEA Revised Non EYZ'!EE22</f>
        <v>8216.0889973453832</v>
      </c>
      <c r="FP22">
        <f>'TEA Revised Non EYZ'!EF22</f>
        <v>4354.6986243488573</v>
      </c>
      <c r="FQ22">
        <f>'TEA Revised Non EYZ'!EG22</f>
        <v>4381.9141319175396</v>
      </c>
      <c r="FR22">
        <f>'TEA Revised Non EYZ'!EH22</f>
        <v>431.77693402618496</v>
      </c>
      <c r="FS22">
        <f>'TEA Revised Non EYZ'!EI22</f>
        <v>145637.22774511963</v>
      </c>
      <c r="FT22">
        <f>EG22*EH22</f>
        <v>2787.6854243457824</v>
      </c>
      <c r="FU22">
        <f>EG22*EI22</f>
        <v>4812.4752990111865</v>
      </c>
      <c r="FV22">
        <f>FC22*(FT22+FU22)/(3.6*10^6)*3600*7200*0.07</f>
        <v>1915.2405022859559</v>
      </c>
      <c r="FW22">
        <f>('CAPEX+OPEX'!$C$39/7/100+0.03)*EL22</f>
        <v>100602.06207251917</v>
      </c>
      <c r="FX22">
        <f>('CAPEX+OPEX'!$C$39/7/100+0.03)*EM22</f>
        <v>173672.73026052013</v>
      </c>
      <c r="FY22">
        <f>SUM(FV22:FX22)</f>
        <v>276190.03283532523</v>
      </c>
      <c r="FZ22">
        <f>FY22+FA22+FS22+EU22</f>
        <v>11620846.453755101</v>
      </c>
      <c r="GA22">
        <f>FZ22+EO22</f>
        <v>12524637.935046744</v>
      </c>
      <c r="GB22">
        <f>GA22/(BK22*60*7200)</f>
        <v>0.28992217442237833</v>
      </c>
      <c r="GC22">
        <f>'TEA Revised Non EYZ'!EM22/'TEA Revised Non EYZ'!EK22*GA22</f>
        <v>974.81904371575445</v>
      </c>
      <c r="GD22">
        <f>'TEA Revised Non EYZ'!EN22/'TEA Revised Non EYZ'!EK22*GA22</f>
        <v>1761.2131330204493</v>
      </c>
    </row>
    <row r="23" spans="1:186">
      <c r="A23">
        <f>'TEA Revised Non EYZ'!A23</f>
        <v>5</v>
      </c>
      <c r="B23">
        <f>'TEA Revised Non EYZ'!B23</f>
        <v>1.54143585092054E-3</v>
      </c>
      <c r="C23">
        <f>'TEA Revised Non EYZ'!C23</f>
        <v>1.54143585092054E-3</v>
      </c>
      <c r="D23">
        <f>'TEA Revised Non EYZ'!D23</f>
        <v>3.4254130020456501E-4</v>
      </c>
      <c r="E23">
        <f>'TEA Revised Non EYZ'!E23</f>
        <v>0</v>
      </c>
      <c r="F23">
        <f>'TEA Revised Non EYZ'!F23</f>
        <v>0</v>
      </c>
      <c r="G23">
        <f>'TEA Revised Non EYZ'!G23</f>
        <v>0</v>
      </c>
      <c r="H23">
        <f>'TEA Revised Non EYZ'!H23</f>
        <v>1.7558377832426001E-5</v>
      </c>
      <c r="I23">
        <f>'TEA Revised Non EYZ'!I23</f>
        <v>1.05063644964669E-7</v>
      </c>
      <c r="J23">
        <f>'TEA Revised Non EYZ'!J23</f>
        <v>3.35605387572801E-4</v>
      </c>
      <c r="K23">
        <f>'TEA Revised Non EYZ'!K23</f>
        <v>0.12557893497872399</v>
      </c>
      <c r="L23">
        <f>'TEA Revised Non EYZ'!L23</f>
        <v>0.12701721899235199</v>
      </c>
      <c r="M23">
        <f>'TEA Revised Non EYZ'!M23</f>
        <v>5.7157122982957897E-4</v>
      </c>
      <c r="N23">
        <f>'TEA Revised Non EYZ'!N23</f>
        <v>-1.88000656708986E-16</v>
      </c>
      <c r="O23">
        <f>'TEA Revised Non EYZ'!O23</f>
        <v>-6.2354635343986299E-15</v>
      </c>
      <c r="P23">
        <f>'TEA Revised Non EYZ'!P23</f>
        <v>-1.51703600853245E-18</v>
      </c>
      <c r="Q23">
        <f>'TEA Revised Non EYZ'!Q23</f>
        <v>0.121348176216534</v>
      </c>
      <c r="R23">
        <f>'TEA Revised Non EYZ'!R23</f>
        <v>97.975160184298204</v>
      </c>
      <c r="S23">
        <f>'TEA Revised Non EYZ'!S23</f>
        <v>500</v>
      </c>
      <c r="T23">
        <f>'TEA Revised Non EYZ'!T23</f>
        <v>95</v>
      </c>
      <c r="U23">
        <f>'TEA Revised Non EYZ'!U23</f>
        <v>1</v>
      </c>
      <c r="V23">
        <f>'TEA Revised Non EYZ'!V23</f>
        <v>0.1</v>
      </c>
      <c r="W23">
        <f>'TEA Revised Non EYZ'!W23</f>
        <v>82.407501388038199</v>
      </c>
      <c r="X23" t="str">
        <f>'TEA Revised Non EYZ'!X23</f>
        <v>ddFc</v>
      </c>
      <c r="Y23">
        <f>'TEA Revised Non EYZ'!Y23</f>
        <v>1</v>
      </c>
      <c r="Z23">
        <f>'TEA Revised Non EYZ'!Z23</f>
        <v>0.28318429382522198</v>
      </c>
      <c r="AA23">
        <f>'TEA Revised Non EYZ'!AA23</f>
        <v>0.56945642916197003</v>
      </c>
      <c r="AB23">
        <f>'TEA Revised Non EYZ'!AB23</f>
        <v>3.7698628972227502E-3</v>
      </c>
      <c r="AC23">
        <f>'TEA Revised Non EYZ'!AC23</f>
        <v>1822.2107908876901</v>
      </c>
      <c r="AD23">
        <f>'TEA Revised Non EYZ'!AD23</f>
        <v>2662.6059073104898</v>
      </c>
      <c r="AE23">
        <f>'TEA Revised Non EYZ'!AE23</f>
        <v>2401.5030938442701</v>
      </c>
      <c r="AF23">
        <f>'TEA Revised Non EYZ'!AF23</f>
        <v>5</v>
      </c>
      <c r="AG23">
        <f>'TEA Revised Non EYZ'!AG23</f>
        <v>1.64912412966352E-3</v>
      </c>
      <c r="AH23">
        <f>'TEA Revised Non EYZ'!AH23</f>
        <v>1.66801192221077E-3</v>
      </c>
      <c r="AI23">
        <f>'TEA Revised Non EYZ'!AI23</f>
        <v>7.5059714998626504E-6</v>
      </c>
      <c r="AJ23">
        <f>'TEA Revised Non EYZ'!AJ23</f>
        <v>0</v>
      </c>
      <c r="AK23">
        <f>'TEA Revised Non EYZ'!AK23</f>
        <v>0</v>
      </c>
      <c r="AL23">
        <f>'TEA Revised Non EYZ'!AL23</f>
        <v>0</v>
      </c>
      <c r="AM23">
        <f>'TEA Revised Non EYZ'!AM23</f>
        <v>1.6096879788713E-3</v>
      </c>
      <c r="AN23">
        <f>'TEA Revised Non EYZ'!AN23</f>
        <v>7.7267020721356303E-5</v>
      </c>
      <c r="AO23">
        <f>'TEA Revised Non EYZ'!AO23</f>
        <v>7.45339932047821E-6</v>
      </c>
      <c r="AP23">
        <f>'TEA Revised Non EYZ'!AP23</f>
        <v>1.8140228936544E-3</v>
      </c>
      <c r="AQ23">
        <f>'TEA Revised Non EYZ'!AQ23</f>
        <v>7.3172650253414503E-2</v>
      </c>
      <c r="AR23">
        <f>'TEA Revised Non EYZ'!AR23</f>
        <v>2.4182668707984701E-6</v>
      </c>
      <c r="AS23">
        <f>'TEA Revised Non EYZ'!AS23</f>
        <v>-8.2860151032204602E-17</v>
      </c>
      <c r="AT23">
        <f>'TEA Revised Non EYZ'!AT23</f>
        <v>-2.00577401909818E-16</v>
      </c>
      <c r="AU23">
        <f>'TEA Revised Non EYZ'!AU23</f>
        <v>-8.2771000814506101E-20</v>
      </c>
      <c r="AV23">
        <f>'TEA Revised Non EYZ'!AV23</f>
        <v>0.200885438649126</v>
      </c>
      <c r="AW23">
        <f>'TEA Revised Non EYZ'!AW23</f>
        <v>99.299595270440307</v>
      </c>
      <c r="AX23">
        <f>'TEA Revised Non EYZ'!AX23</f>
        <v>500</v>
      </c>
      <c r="AY23">
        <f>'TEA Revised Non EYZ'!AY23</f>
        <v>95</v>
      </c>
      <c r="AZ23">
        <f>'TEA Revised Non EYZ'!AZ23</f>
        <v>0.92405262022284995</v>
      </c>
      <c r="BA23">
        <f>'TEA Revised Non EYZ'!BA23</f>
        <v>0.1</v>
      </c>
      <c r="BB23">
        <f>'TEA Revised Non EYZ'!BB23</f>
        <v>45.998984617139399</v>
      </c>
      <c r="BC23" t="str">
        <f>'TEA Revised Non EYZ'!BC23</f>
        <v>coeFc</v>
      </c>
      <c r="BD23">
        <f>'TEA Revised Non EYZ'!BD23</f>
        <v>1</v>
      </c>
      <c r="BE23">
        <f>'TEA Revised Non EYZ'!BE23</f>
        <v>1.8775014999999999E-2</v>
      </c>
      <c r="BF23">
        <f>'TEA Revised Non EYZ'!BF23</f>
        <v>0.10492961100000001</v>
      </c>
      <c r="BG23">
        <f>'TEA Revised Non EYZ'!BG23</f>
        <v>1.814625E-3</v>
      </c>
      <c r="BH23">
        <f>'TEA Revised Non EYZ'!BH23</f>
        <v>285.1951444</v>
      </c>
      <c r="BI23">
        <f>'TEA Revised Non EYZ'!BI23</f>
        <v>2169.8944889999998</v>
      </c>
      <c r="BJ23">
        <f>'TEA Revised Non EYZ'!BJ23</f>
        <v>866.49409060000005</v>
      </c>
      <c r="BK23">
        <f>'TEA Revised Non EYZ'!BK23</f>
        <v>100</v>
      </c>
      <c r="BL23">
        <f>'TEA Revised Non EYZ'!BL23</f>
        <v>12.134817621653401</v>
      </c>
      <c r="BM23">
        <f>'TEA Revised Non EYZ'!BM23</f>
        <v>92.405262022285001</v>
      </c>
      <c r="BN23">
        <f>'TEA Revised Non EYZ'!BN23</f>
        <v>20.088543864912602</v>
      </c>
      <c r="BO23">
        <f>'TEA Revised Non EYZ'!BO23</f>
        <v>169.88744670314762</v>
      </c>
      <c r="BP23">
        <f>'TEA Revised Non EYZ'!BP23</f>
        <v>281.23961410877644</v>
      </c>
      <c r="BQ23">
        <f>'TEA Revised Non EYZ'!BQ23</f>
        <v>16.988744670314762</v>
      </c>
      <c r="BR23">
        <f>'TEA Revised Non EYZ'!BR23</f>
        <v>28.123961410877644</v>
      </c>
      <c r="BS23">
        <f>'eLLE Bals'!CF23</f>
        <v>7.2808905729920399</v>
      </c>
      <c r="BT23">
        <f>'eLLE Bals'!CG23</f>
        <v>12.053126318947561</v>
      </c>
      <c r="BU23">
        <f>BM23</f>
        <v>92.405262022285001</v>
      </c>
      <c r="BV23">
        <f>BU23*(AM23*2+AN23*2+AO23*3)</f>
        <v>0.3138332374658227</v>
      </c>
      <c r="BW23">
        <f>BN23*BA23*(AP23*2+AQ23*2+AR23*3)</f>
        <v>0.30128918839778485</v>
      </c>
      <c r="BX23">
        <f>BV23/(2*V23*BL23+BV23)</f>
        <v>0.11450438129535559</v>
      </c>
      <c r="BY23">
        <f>BU23*BX23</f>
        <v>10.580807356296964</v>
      </c>
      <c r="BZ23">
        <f>BW23/(2*BN23*BA23+BW23)</f>
        <v>6.9759048532057194E-2</v>
      </c>
      <c r="CA23">
        <f>2*BN23*BA23/0.04</f>
        <v>100.44271932456301</v>
      </c>
      <c r="CB23">
        <f>(BS23+BL23)*2</f>
        <v>38.831416389290879</v>
      </c>
      <c r="CC23">
        <f>(BU23+BL23)*2</f>
        <v>209.0801592878768</v>
      </c>
      <c r="CD23">
        <f>(BT23+BN23)*2</f>
        <v>64.283340367720328</v>
      </c>
      <c r="CE23">
        <f>(CA23+BN23)*2</f>
        <v>241.06252637895125</v>
      </c>
      <c r="CF23">
        <f>'TEA Revised Non EYZ'!CB23</f>
        <v>2242.5142964815486</v>
      </c>
      <c r="CG23">
        <f>'TEA Revised Non EYZ'!CC23</f>
        <v>3712.3629062358491</v>
      </c>
      <c r="CH23">
        <f>'TEA Revised Non EYZ'!CD23</f>
        <v>2709.3726906065185</v>
      </c>
      <c r="CI23">
        <f>'TEA Revised Non EYZ'!CE23</f>
        <v>28633.785044305765</v>
      </c>
      <c r="CJ23">
        <f>BL23*V23</f>
        <v>1.2134817621653402</v>
      </c>
      <c r="CK23">
        <f>CJ23/2*1.2</f>
        <v>0.72808905729920415</v>
      </c>
      <c r="CL23">
        <f>'eLLE Bals'!CB23*'Oxidant Feed Composition'!$N$20</f>
        <v>4.0449392072178021E-2</v>
      </c>
      <c r="CM23">
        <f>'eLLE Bals'!CB23*'Oxidant Feed Composition'!$N$21</f>
        <v>2.0224696036089003</v>
      </c>
      <c r="CN23">
        <f>'eLLE Bals'!CB23*'Oxidant Feed Composition'!$N$22</f>
        <v>0.6067408810826701</v>
      </c>
      <c r="CO23">
        <f>CN23/CK23</f>
        <v>0.83333333333333326</v>
      </c>
      <c r="CP23">
        <f>CO23</f>
        <v>0.83333333333333326</v>
      </c>
      <c r="CQ23">
        <f>CL23/CO23</f>
        <v>4.8539270486613627E-2</v>
      </c>
      <c r="CR23">
        <f>CM23/CO23</f>
        <v>2.4269635243306804</v>
      </c>
      <c r="CS23">
        <f>BN23*BA23</f>
        <v>2.0088543864912602</v>
      </c>
      <c r="CT23">
        <f>CS23/2*1.2</f>
        <v>1.205312631894756</v>
      </c>
      <c r="CU23">
        <f>'eLLE Bals'!CC23*'Oxidant Feed Composition'!$N$20</f>
        <v>6.6961812883042038E-2</v>
      </c>
      <c r="CV23">
        <f>'eLLE Bals'!CC23*'Oxidant Feed Composition'!$N$21</f>
        <v>3.3480906441521006</v>
      </c>
      <c r="CW23">
        <f>'eLLE Bals'!CC23*'Oxidant Feed Composition'!$N$22</f>
        <v>1.0044271932456301</v>
      </c>
      <c r="CX23">
        <f>CU23/CP23</f>
        <v>8.0354175459650456E-2</v>
      </c>
      <c r="CY23">
        <f>CV23/CP23</f>
        <v>4.0177087729825214</v>
      </c>
      <c r="CZ23">
        <f>CJ23</f>
        <v>1.2134817621653402</v>
      </c>
      <c r="DA23">
        <f>'eLLE Bals'!BQ23</f>
        <v>2.4269635243306804</v>
      </c>
      <c r="DB23">
        <f>'eLLE Bals'!BU23</f>
        <v>6.9572431900287919</v>
      </c>
      <c r="DC23">
        <f>CS23</f>
        <v>2.0088543864912602</v>
      </c>
      <c r="DD23">
        <f>'eLLE Bals'!BX23</f>
        <v>4.0177087729825205</v>
      </c>
      <c r="DE23">
        <f>'eLLE Bals'!CA23</f>
        <v>22.770480790575331</v>
      </c>
      <c r="DF23">
        <f>2*2*(CJ23*'Reagent cost'!$C$36*122.44/1000*0.5+CK23*'Oxidant Feed Composition'!$N$26+CQ23*'Reagent cost'!$C$34+CR23*'Reagent cost'!$C$35)</f>
        <v>81.514771044557094</v>
      </c>
      <c r="DG23">
        <f>2*2*(CS23*'Reagent cost'!$C$36*122.44/1000*0.5+CT23*'Oxidant Feed Composition'!$N$26+CX23*'Reagent cost'!$C$34+CY23*'Reagent cost'!$C$35)</f>
        <v>134.94335925122681</v>
      </c>
      <c r="DH23">
        <f>(AF23+3)*2*(CZ23*'Reagent cost'!$C$38*0.5+DA23*'Reagent cost'!$C$39+DB23*'Reagent cost'!$C$36*122.44/1000)</f>
        <v>1008.0601607722183</v>
      </c>
      <c r="DI23">
        <f>3*2*(DC23*'Reagent cost'!$C$38*0.5+DD23*'Reagent cost'!$C$39+DE23*'Reagent cost'!$C$36*122.44/1000)</f>
        <v>1209.6119852217496</v>
      </c>
      <c r="DJ23">
        <f>7963.6*(CB23/1000)^0.6*1.7*('CAPEX+OPEX'!$G$116/'CAPEX+OPEX'!$G$115)</f>
        <v>2273.7926954959794</v>
      </c>
      <c r="DK23">
        <f>7963.6*(CC23/1000)^0.6*1.7*('CAPEX+OPEX'!$G$116/'CAPEX+OPEX'!$G$115)</f>
        <v>6243.5072626595684</v>
      </c>
      <c r="DL23">
        <f>7963.6*(CD23/1000)^0.6*1.7*('CAPEX+OPEX'!$G$116/'CAPEX+OPEX'!$G$115)</f>
        <v>3076.8051191417244</v>
      </c>
      <c r="DM23">
        <f>7963.6*(CE23/1000)^0.6*1.7*('CAPEX+OPEX'!$G$116/'CAPEX+OPEX'!$G$115)</f>
        <v>6800.1540315768834</v>
      </c>
      <c r="DN23">
        <f>'TEA Revised Non EYZ'!CM23</f>
        <v>39625.826528698344</v>
      </c>
      <c r="DO23">
        <f>'TEA Revised Non EYZ'!CN23</f>
        <v>4586243.4239371875</v>
      </c>
      <c r="DP23">
        <f>'TEA Revised Non EYZ'!CO23</f>
        <v>11794834.586807497</v>
      </c>
      <c r="DQ23">
        <f>'TEA Revised Non EYZ'!CP23</f>
        <v>2275209.1661185985</v>
      </c>
      <c r="DR23">
        <f>'TEA Revised Non EYZ'!CQ23</f>
        <v>14083914.336508472</v>
      </c>
      <c r="DS23">
        <f>'TEA Revised Non EYZ'!CR23</f>
        <v>1662824.8986326549</v>
      </c>
      <c r="DT23">
        <f>'TEA Revised Non EYZ'!CS23</f>
        <v>589054.93036564998</v>
      </c>
      <c r="DU23">
        <f>'TEA Revised Non EYZ'!CT23</f>
        <v>1514922.9606835202</v>
      </c>
      <c r="DV23">
        <f>'TEA Revised Non EYZ'!CU23</f>
        <v>292226.78628879401</v>
      </c>
      <c r="DW23">
        <f>'TEA Revised Non EYZ'!CV23</f>
        <v>1808931.2781495745</v>
      </c>
      <c r="DX23">
        <f>'TEA Revised Non EYZ'!CW23</f>
        <v>213572.44139332071</v>
      </c>
      <c r="DY23">
        <f>'TEA Revised Non EYZ'!CX23</f>
        <v>4418708.3968808586</v>
      </c>
      <c r="DZ23">
        <f>'TEA Revised Non EYZ'!CY23</f>
        <v>556490.07284590905</v>
      </c>
      <c r="EA23">
        <f>'TEA Revised Non EYZ'!CZ23</f>
        <v>1431173.130531993</v>
      </c>
      <c r="EB23">
        <f>'TEA Revised Non EYZ'!DA23</f>
        <v>276071.5464828235</v>
      </c>
      <c r="EC23">
        <f>'TEA Revised Non EYZ'!DB23</f>
        <v>1708927.7193993276</v>
      </c>
      <c r="ED23">
        <f>'TEA Revised Non EYZ'!DC23</f>
        <v>201765.46760260907</v>
      </c>
      <c r="EE23">
        <f>'TEA Revised Non EYZ'!DD23</f>
        <v>4174427.936862662</v>
      </c>
      <c r="EF23">
        <v>0.7</v>
      </c>
      <c r="EG23">
        <v>100</v>
      </c>
      <c r="EH23">
        <f>96485*BL23*V23/EF23/EG23/60</f>
        <v>27.876854243457824</v>
      </c>
      <c r="EI23">
        <f>96485*BN23*BA23/EF23/EG23/60</f>
        <v>46.148646543002201</v>
      </c>
      <c r="EJ23">
        <f>EH23*('CAPEX+OPEX'!$O$25+'CAPEX+OPEX'!$O$26)</f>
        <v>888491.09844748781</v>
      </c>
      <c r="EK23">
        <f>EI23*('CAPEX+OPEX'!$O$25+'CAPEX+OPEX'!$O$26)</f>
        <v>1470849.6626185661</v>
      </c>
      <c r="EL23">
        <f>EJ23*1.12/0.6*'CAPEX+OPEX'!$G$116/'CAPEX+OPEX'!$G$115</f>
        <v>1956151.2069656507</v>
      </c>
      <c r="EM23">
        <f>EK23*1.12/0.6*'CAPEX+OPEX'!$G$116/'CAPEX+OPEX'!$G$115</f>
        <v>3238304.0728532169</v>
      </c>
      <c r="EN23">
        <f>EL23+EM23+DY23+EE23+1.15*(SUM(DF23:DM23)+SUM(CF23:CI23))</f>
        <v>13854437.001533601</v>
      </c>
      <c r="EO23">
        <f>EN23/15</f>
        <v>923629.13343557343</v>
      </c>
      <c r="EP23">
        <f>('eLLE Bals'!CB23+'eLLE Bals'!CC23)*'Oxidant Feed Composition'!$N$29*60*7200</f>
        <v>8037657.3732218612</v>
      </c>
      <c r="EQ23" s="53">
        <f>('eLLE Bals'!BR23+'eLLE Bals'!BY23)*'Reagent cost'!$C$38*60*7200*0.5</f>
        <v>254626.43142933899</v>
      </c>
      <c r="ER23">
        <f>'TEA Revised Non EYZ'!DI23</f>
        <v>504921.59999999998</v>
      </c>
      <c r="ES23">
        <f>'TEA Revised Non EYZ'!DJ23</f>
        <v>59.548772027173982</v>
      </c>
      <c r="ET23">
        <f>'TEA Revised Non EYZ'!DK23</f>
        <v>626.86315469824569</v>
      </c>
      <c r="EU23">
        <f>1.2*SUM(EP23:ET23)</f>
        <v>10557470.17989351</v>
      </c>
      <c r="EV23">
        <f>'TEA Revised Non EYZ'!DM23</f>
        <v>0.70639694042110623</v>
      </c>
      <c r="EW23">
        <f>(BS23*CO23+BT23*CP23)/1000*('Oxidant Feed Composition'!$B$11*'Oxidant Feed Composition'!$O$20+'Oxidant Feed Composition'!$D$11*'Oxidant Feed Composition'!$O$21+'Oxidant Feed Composition'!$F$11*'Oxidant Feed Composition'!$O$27-'Oxidant Feed Composition'!$J$15*18.015)</f>
        <v>1.8815952242311631</v>
      </c>
      <c r="EX23">
        <f>(CZ23*BX23+DC23*BZ23)*368.34/1000</f>
        <v>0.10279807645808586</v>
      </c>
      <c r="EY23">
        <f>'TEA Revised Non EYZ'!DP23</f>
        <v>4.999938342565946E-2</v>
      </c>
      <c r="EZ23">
        <f>SUM(EV23:EX23)-EY23</f>
        <v>2.6407908576846961</v>
      </c>
      <c r="FA23">
        <f>EZ23*0.33*60*7200</f>
        <v>376471.14467153029</v>
      </c>
      <c r="FB23">
        <f>'TEA Revised Non EYZ'!DS23</f>
        <v>1.2</v>
      </c>
      <c r="FC23">
        <v>0.5</v>
      </c>
      <c r="FD23">
        <f>'TEA Revised Non EYZ'!DT23</f>
        <v>1404.3633339004512</v>
      </c>
      <c r="FE23">
        <f>'TEA Revised Non EYZ'!DU23</f>
        <v>708.88311509089783</v>
      </c>
      <c r="FF23">
        <f>'TEA Revised Non EYZ'!DV23</f>
        <v>0.7</v>
      </c>
      <c r="FG23">
        <f>'TEA Revised Non EYZ'!DW23</f>
        <v>33024.331428945443</v>
      </c>
      <c r="FH23">
        <f>'TEA Revised Non EYZ'!DX23</f>
        <v>24915.659383376755</v>
      </c>
      <c r="FI23">
        <f>'TEA Revised Non EYZ'!DY23</f>
        <v>10548.968690542577</v>
      </c>
      <c r="FJ23">
        <f>'TEA Revised Non EYZ'!DZ23</f>
        <v>5588.0830181845758</v>
      </c>
      <c r="FK23">
        <f>'TEA Revised Non EYZ'!EA23</f>
        <v>5626.1166349560426</v>
      </c>
      <c r="FL23">
        <f>'TEA Revised Non EYZ'!EB23</f>
        <v>849.35894434299291</v>
      </c>
      <c r="FM23">
        <f>'TEA Revised Non EYZ'!EC23</f>
        <v>30870.169806642782</v>
      </c>
      <c r="FN23">
        <f>'TEA Revised Non EYZ'!ED23</f>
        <v>23286.743672476066</v>
      </c>
      <c r="FO23">
        <f>'TEA Revised Non EYZ'!EE23</f>
        <v>9859.3067968144605</v>
      </c>
      <c r="FP23">
        <f>'TEA Revised Non EYZ'!EF23</f>
        <v>5225.6383492186287</v>
      </c>
      <c r="FQ23">
        <f>'TEA Revised Non EYZ'!EG23</f>
        <v>5258.2969583010481</v>
      </c>
      <c r="FR23">
        <f>'TEA Revised Non EYZ'!EH23</f>
        <v>428.73250800697502</v>
      </c>
      <c r="FS23">
        <f>'TEA Revised Non EYZ'!EI23</f>
        <v>155481.40619180835</v>
      </c>
      <c r="FT23">
        <f>EG23*EH23</f>
        <v>2787.6854243457824</v>
      </c>
      <c r="FU23">
        <f>EG23*EI23</f>
        <v>4614.8646543002196</v>
      </c>
      <c r="FV23">
        <f>FC23*(FT23+FU23)/(3.6*10^6)*3600*7200*0.07</f>
        <v>1865.4426198187925</v>
      </c>
      <c r="FW23">
        <f>('CAPEX+OPEX'!$C$39/7/100+0.03)*EL23</f>
        <v>100602.06207251917</v>
      </c>
      <c r="FX23">
        <f>('CAPEX+OPEX'!$C$39/7/100+0.03)*EM23</f>
        <v>166541.35231816545</v>
      </c>
      <c r="FY23">
        <f>SUM(FV23:FX23)</f>
        <v>269008.85701050342</v>
      </c>
      <c r="FZ23">
        <f>FY23+FA23+FS23+EU23</f>
        <v>11358431.587767353</v>
      </c>
      <c r="GA23">
        <f>FZ23+EO23</f>
        <v>12282060.721202927</v>
      </c>
      <c r="GB23">
        <f>GA23/(BK23*60*7200)</f>
        <v>0.28430696113895665</v>
      </c>
      <c r="GC23">
        <f>'TEA Revised Non EYZ'!EM23/'TEA Revised Non EYZ'!EK23*GA23</f>
        <v>952.50930242553284</v>
      </c>
      <c r="GD23">
        <f>'TEA Revised Non EYZ'!EN23/'TEA Revised Non EYZ'!EK23*GA23</f>
        <v>1738.4101840110634</v>
      </c>
    </row>
    <row r="24" spans="1:186">
      <c r="A24">
        <f>'TEA Revised Non EYZ'!A24</f>
        <v>5</v>
      </c>
      <c r="B24">
        <f>'TEA Revised Non EYZ'!B24</f>
        <v>1.54143585092054E-3</v>
      </c>
      <c r="C24">
        <f>'TEA Revised Non EYZ'!C24</f>
        <v>1.54143585092054E-3</v>
      </c>
      <c r="D24">
        <f>'TEA Revised Non EYZ'!D24</f>
        <v>3.4254130020456501E-4</v>
      </c>
      <c r="E24">
        <f>'TEA Revised Non EYZ'!E24</f>
        <v>0</v>
      </c>
      <c r="F24">
        <f>'TEA Revised Non EYZ'!F24</f>
        <v>0</v>
      </c>
      <c r="G24">
        <f>'TEA Revised Non EYZ'!G24</f>
        <v>0</v>
      </c>
      <c r="H24">
        <f>'TEA Revised Non EYZ'!H24</f>
        <v>1.7558377832426001E-5</v>
      </c>
      <c r="I24">
        <f>'TEA Revised Non EYZ'!I24</f>
        <v>1.05063644964669E-7</v>
      </c>
      <c r="J24">
        <f>'TEA Revised Non EYZ'!J24</f>
        <v>3.35605387572801E-4</v>
      </c>
      <c r="K24">
        <f>'TEA Revised Non EYZ'!K24</f>
        <v>0.12557893497872399</v>
      </c>
      <c r="L24">
        <f>'TEA Revised Non EYZ'!L24</f>
        <v>0.12701721899235199</v>
      </c>
      <c r="M24">
        <f>'TEA Revised Non EYZ'!M24</f>
        <v>5.7157122982957897E-4</v>
      </c>
      <c r="N24">
        <f>'TEA Revised Non EYZ'!N24</f>
        <v>-1.88000656708986E-16</v>
      </c>
      <c r="O24">
        <f>'TEA Revised Non EYZ'!O24</f>
        <v>-6.2354635343986299E-15</v>
      </c>
      <c r="P24">
        <f>'TEA Revised Non EYZ'!P24</f>
        <v>-1.51703600853245E-18</v>
      </c>
      <c r="Q24">
        <f>'TEA Revised Non EYZ'!Q24</f>
        <v>0.121348176216534</v>
      </c>
      <c r="R24">
        <f>'TEA Revised Non EYZ'!R24</f>
        <v>97.975160184298204</v>
      </c>
      <c r="S24">
        <f>'TEA Revised Non EYZ'!S24</f>
        <v>500</v>
      </c>
      <c r="T24">
        <f>'TEA Revised Non EYZ'!T24</f>
        <v>95</v>
      </c>
      <c r="U24">
        <f>'TEA Revised Non EYZ'!U24</f>
        <v>1</v>
      </c>
      <c r="V24">
        <f>'TEA Revised Non EYZ'!V24</f>
        <v>0.1</v>
      </c>
      <c r="W24">
        <f>'TEA Revised Non EYZ'!W24</f>
        <v>82.407501388038199</v>
      </c>
      <c r="X24" t="str">
        <f>'TEA Revised Non EYZ'!X24</f>
        <v>ddFc</v>
      </c>
      <c r="Y24">
        <f>'TEA Revised Non EYZ'!Y24</f>
        <v>1</v>
      </c>
      <c r="Z24">
        <f>'TEA Revised Non EYZ'!Z24</f>
        <v>0.28318429382522198</v>
      </c>
      <c r="AA24">
        <f>'TEA Revised Non EYZ'!AA24</f>
        <v>0.56945642916197003</v>
      </c>
      <c r="AB24">
        <f>'TEA Revised Non EYZ'!AB24</f>
        <v>3.7698628972227502E-3</v>
      </c>
      <c r="AC24">
        <f>'TEA Revised Non EYZ'!AC24</f>
        <v>1822.2107908876901</v>
      </c>
      <c r="AD24">
        <f>'TEA Revised Non EYZ'!AD24</f>
        <v>2662.6059073104898</v>
      </c>
      <c r="AE24">
        <f>'TEA Revised Non EYZ'!AE24</f>
        <v>2401.5030938442701</v>
      </c>
      <c r="AF24">
        <f>'TEA Revised Non EYZ'!AF24</f>
        <v>6</v>
      </c>
      <c r="AG24">
        <f>'TEA Revised Non EYZ'!AG24</f>
        <v>1.64912412966352E-3</v>
      </c>
      <c r="AH24">
        <f>'TEA Revised Non EYZ'!AH24</f>
        <v>1.66801192221077E-3</v>
      </c>
      <c r="AI24">
        <f>'TEA Revised Non EYZ'!AI24</f>
        <v>7.5059714998626504E-6</v>
      </c>
      <c r="AJ24">
        <f>'TEA Revised Non EYZ'!AJ24</f>
        <v>0</v>
      </c>
      <c r="AK24">
        <f>'TEA Revised Non EYZ'!AK24</f>
        <v>0</v>
      </c>
      <c r="AL24">
        <f>'TEA Revised Non EYZ'!AL24</f>
        <v>0</v>
      </c>
      <c r="AM24">
        <f>'TEA Revised Non EYZ'!AM24</f>
        <v>1.6114297833378999E-3</v>
      </c>
      <c r="AN24">
        <f>'TEA Revised Non EYZ'!AN24</f>
        <v>7.7356463127358006E-5</v>
      </c>
      <c r="AO24">
        <f>'TEA Revised Non EYZ'!AO24</f>
        <v>7.4556307325320903E-6</v>
      </c>
      <c r="AP24">
        <f>'TEA Revised Non EYZ'!AP24</f>
        <v>1.7565900233430501E-3</v>
      </c>
      <c r="AQ24">
        <f>'TEA Revised Non EYZ'!AQ24</f>
        <v>7.4125957401307799E-2</v>
      </c>
      <c r="AR24">
        <f>'TEA Revised Non EYZ'!AR24</f>
        <v>2.3459244762174398E-6</v>
      </c>
      <c r="AS24">
        <f>'TEA Revised Non EYZ'!AS24</f>
        <v>-5.3532482266471697E-18</v>
      </c>
      <c r="AT24">
        <f>'TEA Revised Non EYZ'!AT24</f>
        <v>-7.2164496600635096E-16</v>
      </c>
      <c r="AU24">
        <f>'TEA Revised Non EYZ'!AU24</f>
        <v>-4.9035266712143398E-21</v>
      </c>
      <c r="AV24">
        <f>'TEA Revised Non EYZ'!AV24</f>
        <v>0.198290773754322</v>
      </c>
      <c r="AW24">
        <f>'TEA Revised Non EYZ'!AW24</f>
        <v>99.329323761334805</v>
      </c>
      <c r="AX24">
        <f>'TEA Revised Non EYZ'!AX24</f>
        <v>500</v>
      </c>
      <c r="AY24">
        <f>'TEA Revised Non EYZ'!AY24</f>
        <v>95</v>
      </c>
      <c r="AZ24">
        <f>'TEA Revised Non EYZ'!AZ24</f>
        <v>0.92405262022284995</v>
      </c>
      <c r="BA24">
        <f>'TEA Revised Non EYZ'!BA24</f>
        <v>0.1</v>
      </c>
      <c r="BB24">
        <f>'TEA Revised Non EYZ'!BB24</f>
        <v>46.600888318068002</v>
      </c>
      <c r="BC24" t="str">
        <f>'TEA Revised Non EYZ'!BC24</f>
        <v>coeFc</v>
      </c>
      <c r="BD24">
        <f>'TEA Revised Non EYZ'!BD24</f>
        <v>1</v>
      </c>
      <c r="BE24">
        <f>'TEA Revised Non EYZ'!BE24</f>
        <v>1.8775014999999999E-2</v>
      </c>
      <c r="BF24">
        <f>'TEA Revised Non EYZ'!BF24</f>
        <v>0.10492961100000001</v>
      </c>
      <c r="BG24">
        <f>'TEA Revised Non EYZ'!BG24</f>
        <v>1.814625E-3</v>
      </c>
      <c r="BH24">
        <f>'TEA Revised Non EYZ'!BH24</f>
        <v>285.1951444</v>
      </c>
      <c r="BI24">
        <f>'TEA Revised Non EYZ'!BI24</f>
        <v>2169.8944889999998</v>
      </c>
      <c r="BJ24">
        <f>'TEA Revised Non EYZ'!BJ24</f>
        <v>866.49409060000005</v>
      </c>
      <c r="BK24">
        <f>'TEA Revised Non EYZ'!BK24</f>
        <v>100</v>
      </c>
      <c r="BL24">
        <f>'TEA Revised Non EYZ'!BL24</f>
        <v>12.134817621653401</v>
      </c>
      <c r="BM24">
        <f>'TEA Revised Non EYZ'!BM24</f>
        <v>92.405262022285001</v>
      </c>
      <c r="BN24">
        <f>'TEA Revised Non EYZ'!BN24</f>
        <v>19.829077375432199</v>
      </c>
      <c r="BO24">
        <f>'TEA Revised Non EYZ'!BO24</f>
        <v>169.88744670314762</v>
      </c>
      <c r="BP24">
        <f>'TEA Revised Non EYZ'!BP24</f>
        <v>317.26523800691518</v>
      </c>
      <c r="BQ24">
        <f>'TEA Revised Non EYZ'!BQ24</f>
        <v>16.988744670314762</v>
      </c>
      <c r="BR24">
        <f>'TEA Revised Non EYZ'!BR24</f>
        <v>31.72652380069152</v>
      </c>
      <c r="BS24">
        <f>'eLLE Bals'!CF24</f>
        <v>7.2808905729920399</v>
      </c>
      <c r="BT24">
        <f>'eLLE Bals'!CG24</f>
        <v>11.89744642525932</v>
      </c>
      <c r="BU24">
        <f>BM24</f>
        <v>92.405262022285001</v>
      </c>
      <c r="BV24">
        <f>BU24*(AM24*2+AN24*2+AO24*3)</f>
        <v>0.31417228974264977</v>
      </c>
      <c r="BW24">
        <f>BN24*BA24*(AP24*2+AQ24*2+AR24*3)</f>
        <v>0.30095013612104776</v>
      </c>
      <c r="BX24">
        <f>BV24/(2*V24*BL24+BV24)</f>
        <v>0.11461390863219924</v>
      </c>
      <c r="BY24">
        <f>BU24*BX24</f>
        <v>10.590928258556604</v>
      </c>
      <c r="BZ24">
        <f>BW24/(2*BN24*BA24+BW24)</f>
        <v>7.0533552471348279E-2</v>
      </c>
      <c r="CA24">
        <f>2*BN24*BA24/0.04</f>
        <v>99.145386877161002</v>
      </c>
      <c r="CB24">
        <f>(BS24+BL24)*2</f>
        <v>38.831416389290879</v>
      </c>
      <c r="CC24">
        <f>(BU24+BL24)*2</f>
        <v>209.0801592878768</v>
      </c>
      <c r="CD24">
        <f>(BT24+BN24)*2</f>
        <v>63.453047601383034</v>
      </c>
      <c r="CE24">
        <f>(CA24+BN24)*2</f>
        <v>237.94892850518642</v>
      </c>
      <c r="CF24">
        <f>'TEA Revised Non EYZ'!CB24</f>
        <v>2242.5142964815486</v>
      </c>
      <c r="CG24">
        <f>'TEA Revised Non EYZ'!CC24</f>
        <v>4187.9011416912808</v>
      </c>
      <c r="CH24">
        <f>'TEA Revised Non EYZ'!CD24</f>
        <v>2709.3726906065185</v>
      </c>
      <c r="CI24">
        <f>'TEA Revised Non EYZ'!CE24</f>
        <v>32301.65371940405</v>
      </c>
      <c r="CJ24">
        <f>BL24*V24</f>
        <v>1.2134817621653402</v>
      </c>
      <c r="CK24">
        <f>CJ24/2*1.2</f>
        <v>0.72808905729920415</v>
      </c>
      <c r="CL24">
        <f>'eLLE Bals'!CB24*'Oxidant Feed Composition'!$N$20</f>
        <v>4.0449392072178021E-2</v>
      </c>
      <c r="CM24">
        <f>'eLLE Bals'!CB24*'Oxidant Feed Composition'!$N$21</f>
        <v>2.0224696036089003</v>
      </c>
      <c r="CN24">
        <f>'eLLE Bals'!CB24*'Oxidant Feed Composition'!$N$22</f>
        <v>0.6067408810826701</v>
      </c>
      <c r="CO24">
        <f>CN24/CK24</f>
        <v>0.83333333333333326</v>
      </c>
      <c r="CP24">
        <f>CO24</f>
        <v>0.83333333333333326</v>
      </c>
      <c r="CQ24">
        <f>CL24/CO24</f>
        <v>4.8539270486613627E-2</v>
      </c>
      <c r="CR24">
        <f>CM24/CO24</f>
        <v>2.4269635243306804</v>
      </c>
      <c r="CS24">
        <f>BN24*BA24</f>
        <v>1.98290773754322</v>
      </c>
      <c r="CT24">
        <f>CS24/2*1.2</f>
        <v>1.1897446425259319</v>
      </c>
      <c r="CU24">
        <f>'eLLE Bals'!CC24*'Oxidant Feed Composition'!$N$20</f>
        <v>6.6096924584774022E-2</v>
      </c>
      <c r="CV24">
        <f>'eLLE Bals'!CC24*'Oxidant Feed Composition'!$N$21</f>
        <v>3.3048462292387</v>
      </c>
      <c r="CW24">
        <f>'eLLE Bals'!CC24*'Oxidant Feed Composition'!$N$22</f>
        <v>0.99145386877161001</v>
      </c>
      <c r="CX24">
        <f>CU24/CP24</f>
        <v>7.9316309501728841E-2</v>
      </c>
      <c r="CY24">
        <f>CV24/CP24</f>
        <v>3.9658154750864405</v>
      </c>
      <c r="CZ24">
        <f>CJ24</f>
        <v>1.2134817621653402</v>
      </c>
      <c r="DA24">
        <f>'eLLE Bals'!BQ24</f>
        <v>2.4269635243306804</v>
      </c>
      <c r="DB24">
        <f>'eLLE Bals'!BU24</f>
        <v>6.9471158275707374</v>
      </c>
      <c r="DC24">
        <f>CS24</f>
        <v>1.98290773754322</v>
      </c>
      <c r="DD24">
        <f>'eLLE Bals'!BX24</f>
        <v>3.9658154750864401</v>
      </c>
      <c r="DE24">
        <f>'eLLE Bals'!CA24</f>
        <v>22.164248104796958</v>
      </c>
      <c r="DF24">
        <f>2*2*(CJ24*'Reagent cost'!$C$36*122.44/1000*0.5+CK24*'Oxidant Feed Composition'!$N$26+CQ24*'Reagent cost'!$C$34+CR24*'Reagent cost'!$C$35)</f>
        <v>81.514771044557094</v>
      </c>
      <c r="DG24">
        <f>2*2*(CS24*'Reagent cost'!$C$36*122.44/1000*0.5+CT24*'Oxidant Feed Composition'!$N$26+CX24*'Reagent cost'!$C$34+CY24*'Reagent cost'!$C$35)</f>
        <v>133.20041163197382</v>
      </c>
      <c r="DH24">
        <f>(AF24+3)*2*(CZ24*'Reagent cost'!$C$38*0.5+DA24*'Reagent cost'!$C$39+DB24*'Reagent cost'!$C$36*122.44/1000)</f>
        <v>1132.4914497660122</v>
      </c>
      <c r="DI24">
        <f>3*2*(DC24*'Reagent cost'!$C$38*0.5+DD24*'Reagent cost'!$C$39+DE24*'Reagent cost'!$C$36*122.44/1000)</f>
        <v>1177.7952857949367</v>
      </c>
      <c r="DJ24">
        <f>7963.6*(CB24/1000)^0.6*1.7*('CAPEX+OPEX'!$G$116/'CAPEX+OPEX'!$G$115)</f>
        <v>2273.7926954959794</v>
      </c>
      <c r="DK24">
        <f>7963.6*(CC24/1000)^0.6*1.7*('CAPEX+OPEX'!$G$116/'CAPEX+OPEX'!$G$115)</f>
        <v>6243.5072626595684</v>
      </c>
      <c r="DL24">
        <f>7963.6*(CD24/1000)^0.6*1.7*('CAPEX+OPEX'!$G$116/'CAPEX+OPEX'!$G$115)</f>
        <v>3052.8988782769065</v>
      </c>
      <c r="DM24">
        <f>7963.6*(CE24/1000)^0.6*1.7*('CAPEX+OPEX'!$G$116/'CAPEX+OPEX'!$G$115)</f>
        <v>6747.3180169767493</v>
      </c>
      <c r="DN24">
        <f>'TEA Revised Non EYZ'!CM24</f>
        <v>39625.826528698344</v>
      </c>
      <c r="DO24">
        <f>'TEA Revised Non EYZ'!CN24</f>
        <v>4586243.4239371875</v>
      </c>
      <c r="DP24">
        <f>'TEA Revised Non EYZ'!CO24</f>
        <v>11794834.586807497</v>
      </c>
      <c r="DQ24">
        <f>'TEA Revised Non EYZ'!CP24</f>
        <v>2275209.1661185985</v>
      </c>
      <c r="DR24">
        <f>'TEA Revised Non EYZ'!CQ24</f>
        <v>14083914.336508472</v>
      </c>
      <c r="DS24">
        <f>'TEA Revised Non EYZ'!CR24</f>
        <v>1662824.8986326549</v>
      </c>
      <c r="DT24">
        <f>'TEA Revised Non EYZ'!CS24</f>
        <v>589054.93036564998</v>
      </c>
      <c r="DU24">
        <f>'TEA Revised Non EYZ'!CT24</f>
        <v>1514922.9606835202</v>
      </c>
      <c r="DV24">
        <f>'TEA Revised Non EYZ'!CU24</f>
        <v>292226.78628879401</v>
      </c>
      <c r="DW24">
        <f>'TEA Revised Non EYZ'!CV24</f>
        <v>1808931.2781495745</v>
      </c>
      <c r="DX24">
        <f>'TEA Revised Non EYZ'!CW24</f>
        <v>213572.44139332071</v>
      </c>
      <c r="DY24">
        <f>'TEA Revised Non EYZ'!CX24</f>
        <v>4418708.3968808586</v>
      </c>
      <c r="DZ24">
        <f>'TEA Revised Non EYZ'!CY24</f>
        <v>610415.4188564826</v>
      </c>
      <c r="EA24">
        <f>'TEA Revised Non EYZ'!CZ24</f>
        <v>1569857.5564199341</v>
      </c>
      <c r="EB24">
        <f>'TEA Revised Non EYZ'!DA24</f>
        <v>302823.60261857172</v>
      </c>
      <c r="EC24">
        <f>'TEA Revised Non EYZ'!DB24</f>
        <v>1874527.2926394895</v>
      </c>
      <c r="ED24">
        <f>'TEA Revised Non EYZ'!DC24</f>
        <v>221317.07001990607</v>
      </c>
      <c r="EE24">
        <f>'TEA Revised Non EYZ'!DD24</f>
        <v>4578940.9405543841</v>
      </c>
      <c r="EF24">
        <v>0.7</v>
      </c>
      <c r="EG24">
        <v>100</v>
      </c>
      <c r="EH24">
        <f>96485*BL24*V24/EF24/EG24/60</f>
        <v>27.876854243457824</v>
      </c>
      <c r="EI24">
        <f>96485*BN24*BA24/EF24/EG24/60</f>
        <v>45.552584061156573</v>
      </c>
      <c r="EJ24">
        <f>EH24*('CAPEX+OPEX'!$O$25+'CAPEX+OPEX'!$O$26)</f>
        <v>888491.09844748781</v>
      </c>
      <c r="EK24">
        <f>EI24*('CAPEX+OPEX'!$O$25+'CAPEX+OPEX'!$O$26)</f>
        <v>1451851.9591971822</v>
      </c>
      <c r="EL24">
        <f>EJ24*1.12/0.6*'CAPEX+OPEX'!$G$116/'CAPEX+OPEX'!$G$115</f>
        <v>1956151.2069656507</v>
      </c>
      <c r="EM24">
        <f>EK24*1.12/0.6*'CAPEX+OPEX'!$G$116/'CAPEX+OPEX'!$G$115</f>
        <v>3196477.6769081689</v>
      </c>
      <c r="EN24">
        <f>EL24+EM24+DY24+EE24+1.15*(SUM(DF24:DM24)+SUM(CF24:CI24))</f>
        <v>14221904.776021866</v>
      </c>
      <c r="EO24">
        <f>EN24/15</f>
        <v>948126.98506812437</v>
      </c>
      <c r="EP24">
        <f>('eLLE Bals'!CB24+'eLLE Bals'!CC24)*'Oxidant Feed Composition'!$N$29*60*7200</f>
        <v>7972937.1626024451</v>
      </c>
      <c r="EQ24" s="53">
        <f>('eLLE Bals'!BR24+'eLLE Bals'!BY24)*'Reagent cost'!$C$38*60*7200*0.5</f>
        <v>254497.48336147689</v>
      </c>
      <c r="ER24">
        <f>'TEA Revised Non EYZ'!DI24</f>
        <v>504921.59999999998</v>
      </c>
      <c r="ES24">
        <f>'TEA Revised Non EYZ'!DJ24</f>
        <v>64.304154381728296</v>
      </c>
      <c r="ET24">
        <f>'TEA Revised Non EYZ'!DK24</f>
        <v>700.22052820021145</v>
      </c>
      <c r="EU24">
        <f>1.2*SUM(EP24:ET24)</f>
        <v>10479744.924775803</v>
      </c>
      <c r="EV24">
        <f>'TEA Revised Non EYZ'!DM24</f>
        <v>0.70639694042110623</v>
      </c>
      <c r="EW24">
        <f>(BS24*CO24+BT24*CP24)/1000*('Oxidant Feed Composition'!$B$11*'Oxidant Feed Composition'!$O$20+'Oxidant Feed Composition'!$D$11*'Oxidant Feed Composition'!$O$21+'Oxidant Feed Composition'!$F$11*'Oxidant Feed Composition'!$O$27-'Oxidant Feed Composition'!$J$15*18.015)</f>
        <v>1.8664443869214709</v>
      </c>
      <c r="EX24">
        <f>(CZ24*BX24+DC24*BZ24)*368.34/1000</f>
        <v>0.10274601739546302</v>
      </c>
      <c r="EY24">
        <f>'TEA Revised Non EYZ'!DP24</f>
        <v>4.999938342565946E-2</v>
      </c>
      <c r="EZ24">
        <f>SUM(EV24:EX24)-EY24</f>
        <v>2.6255879613123807</v>
      </c>
      <c r="FA24">
        <f>EZ24*0.33*60*7200</f>
        <v>374303.81976469298</v>
      </c>
      <c r="FB24">
        <f>'TEA Revised Non EYZ'!DS24</f>
        <v>1.2</v>
      </c>
      <c r="FC24">
        <v>0.5</v>
      </c>
      <c r="FD24">
        <f>'TEA Revised Non EYZ'!DT24</f>
        <v>1405.8817231078647</v>
      </c>
      <c r="FE24">
        <f>'TEA Revised Non EYZ'!DU24</f>
        <v>707.36472588365746</v>
      </c>
      <c r="FF24">
        <f>'TEA Revised Non EYZ'!DV24</f>
        <v>0.7</v>
      </c>
      <c r="FG24">
        <f>'TEA Revised Non EYZ'!DW24</f>
        <v>33024.331428945443</v>
      </c>
      <c r="FH24">
        <f>'TEA Revised Non EYZ'!DX24</f>
        <v>24915.659383376755</v>
      </c>
      <c r="FI24">
        <f>'TEA Revised Non EYZ'!DY24</f>
        <v>10548.968690542577</v>
      </c>
      <c r="FJ24">
        <f>'TEA Revised Non EYZ'!DZ24</f>
        <v>5588.0830181845758</v>
      </c>
      <c r="FK24">
        <f>'TEA Revised Non EYZ'!EA24</f>
        <v>5626.1166349560426</v>
      </c>
      <c r="FL24">
        <f>'TEA Revised Non EYZ'!EB24</f>
        <v>850.27726613563675</v>
      </c>
      <c r="FM24">
        <f>'TEA Revised Non EYZ'!EC24</f>
        <v>33442.68395719635</v>
      </c>
      <c r="FN24">
        <f>'TEA Revised Non EYZ'!ED24</f>
        <v>27167.86761788874</v>
      </c>
      <c r="FO24">
        <f>'TEA Revised Non EYZ'!EE24</f>
        <v>11502.524596283536</v>
      </c>
      <c r="FP24">
        <f>'TEA Revised Non EYZ'!EF24</f>
        <v>6096.5780740883993</v>
      </c>
      <c r="FQ24">
        <f>'TEA Revised Non EYZ'!EG24</f>
        <v>6134.6797846845557</v>
      </c>
      <c r="FR24">
        <f>'TEA Revised Non EYZ'!EH24</f>
        <v>427.81418621443606</v>
      </c>
      <c r="FS24">
        <f>'TEA Revised Non EYZ'!EI24</f>
        <v>165325.58463849706</v>
      </c>
      <c r="FT24">
        <f>EG24*EH24</f>
        <v>2787.6854243457824</v>
      </c>
      <c r="FU24">
        <f>EG24*EI24</f>
        <v>4555.2584061156576</v>
      </c>
      <c r="FV24">
        <f>FC24*(FT24+FU24)/(3.6*10^6)*3600*7200*0.07</f>
        <v>1850.4218452762827</v>
      </c>
      <c r="FW24">
        <f>('CAPEX+OPEX'!$C$39/7/100+0.03)*EL24</f>
        <v>100602.06207251917</v>
      </c>
      <c r="FX24">
        <f>('CAPEX+OPEX'!$C$39/7/100+0.03)*EM24</f>
        <v>164390.28052670584</v>
      </c>
      <c r="FY24">
        <f>SUM(FV24:FX24)</f>
        <v>266842.76444450131</v>
      </c>
      <c r="FZ24">
        <f>FY24+FA24+FS24+EU24</f>
        <v>11286217.093623495</v>
      </c>
      <c r="GA24">
        <f>FZ24+EO24</f>
        <v>12234344.078691619</v>
      </c>
      <c r="GB24">
        <f>GA24/(BK24*60*7200)</f>
        <v>0.28320240922897266</v>
      </c>
      <c r="GC24">
        <f>'TEA Revised Non EYZ'!EM24/'TEA Revised Non EYZ'!EK24*GA24</f>
        <v>947.78310567426695</v>
      </c>
      <c r="GD24">
        <f>'TEA Revised Non EYZ'!EN24/'TEA Revised Non EYZ'!EK24*GA24</f>
        <v>1735.0831237202824</v>
      </c>
    </row>
    <row r="25" spans="1:186">
      <c r="A25">
        <f>'TEA Revised Non EYZ'!A25</f>
        <v>5</v>
      </c>
      <c r="B25">
        <f>'TEA Revised Non EYZ'!B25</f>
        <v>1.54143585092054E-3</v>
      </c>
      <c r="C25">
        <f>'TEA Revised Non EYZ'!C25</f>
        <v>1.54143585092054E-3</v>
      </c>
      <c r="D25">
        <f>'TEA Revised Non EYZ'!D25</f>
        <v>3.4254130020456501E-4</v>
      </c>
      <c r="E25">
        <f>'TEA Revised Non EYZ'!E25</f>
        <v>0</v>
      </c>
      <c r="F25">
        <f>'TEA Revised Non EYZ'!F25</f>
        <v>0</v>
      </c>
      <c r="G25">
        <f>'TEA Revised Non EYZ'!G25</f>
        <v>0</v>
      </c>
      <c r="H25">
        <f>'TEA Revised Non EYZ'!H25</f>
        <v>1.7558377832426001E-5</v>
      </c>
      <c r="I25">
        <f>'TEA Revised Non EYZ'!I25</f>
        <v>1.05063644964669E-7</v>
      </c>
      <c r="J25">
        <f>'TEA Revised Non EYZ'!J25</f>
        <v>3.35605387572801E-4</v>
      </c>
      <c r="K25">
        <f>'TEA Revised Non EYZ'!K25</f>
        <v>0.12557893497872399</v>
      </c>
      <c r="L25">
        <f>'TEA Revised Non EYZ'!L25</f>
        <v>0.12701721899235199</v>
      </c>
      <c r="M25">
        <f>'TEA Revised Non EYZ'!M25</f>
        <v>5.7157122982957897E-4</v>
      </c>
      <c r="N25">
        <f>'TEA Revised Non EYZ'!N25</f>
        <v>-1.88000656708986E-16</v>
      </c>
      <c r="O25">
        <f>'TEA Revised Non EYZ'!O25</f>
        <v>-6.2354635343986299E-15</v>
      </c>
      <c r="P25">
        <f>'TEA Revised Non EYZ'!P25</f>
        <v>-1.51703600853245E-18</v>
      </c>
      <c r="Q25">
        <f>'TEA Revised Non EYZ'!Q25</f>
        <v>0.121348176216534</v>
      </c>
      <c r="R25">
        <f>'TEA Revised Non EYZ'!R25</f>
        <v>97.975160184298204</v>
      </c>
      <c r="S25">
        <f>'TEA Revised Non EYZ'!S25</f>
        <v>500</v>
      </c>
      <c r="T25">
        <f>'TEA Revised Non EYZ'!T25</f>
        <v>95</v>
      </c>
      <c r="U25">
        <f>'TEA Revised Non EYZ'!U25</f>
        <v>1</v>
      </c>
      <c r="V25">
        <f>'TEA Revised Non EYZ'!V25</f>
        <v>0.1</v>
      </c>
      <c r="W25">
        <f>'TEA Revised Non EYZ'!W25</f>
        <v>82.407501388038199</v>
      </c>
      <c r="X25" t="str">
        <f>'TEA Revised Non EYZ'!X25</f>
        <v>ddFc</v>
      </c>
      <c r="Y25">
        <f>'TEA Revised Non EYZ'!Y25</f>
        <v>1</v>
      </c>
      <c r="Z25">
        <f>'TEA Revised Non EYZ'!Z25</f>
        <v>0.28318429382522198</v>
      </c>
      <c r="AA25">
        <f>'TEA Revised Non EYZ'!AA25</f>
        <v>0.56945642916197003</v>
      </c>
      <c r="AB25">
        <f>'TEA Revised Non EYZ'!AB25</f>
        <v>3.7698628972227502E-3</v>
      </c>
      <c r="AC25">
        <f>'TEA Revised Non EYZ'!AC25</f>
        <v>1822.2107908876901</v>
      </c>
      <c r="AD25">
        <f>'TEA Revised Non EYZ'!AD25</f>
        <v>2662.6059073104898</v>
      </c>
      <c r="AE25">
        <f>'TEA Revised Non EYZ'!AE25</f>
        <v>2401.5030938442701</v>
      </c>
      <c r="AF25">
        <f>'TEA Revised Non EYZ'!AF25</f>
        <v>7</v>
      </c>
      <c r="AG25">
        <f>'TEA Revised Non EYZ'!AG25</f>
        <v>1.64912412966352E-3</v>
      </c>
      <c r="AH25">
        <f>'TEA Revised Non EYZ'!AH25</f>
        <v>1.66801192221077E-3</v>
      </c>
      <c r="AI25">
        <f>'TEA Revised Non EYZ'!AI25</f>
        <v>7.5059714998626504E-6</v>
      </c>
      <c r="AJ25">
        <f>'TEA Revised Non EYZ'!AJ25</f>
        <v>0</v>
      </c>
      <c r="AK25">
        <f>'TEA Revised Non EYZ'!AK25</f>
        <v>0</v>
      </c>
      <c r="AL25">
        <f>'TEA Revised Non EYZ'!AL25</f>
        <v>0</v>
      </c>
      <c r="AM25">
        <f>'TEA Revised Non EYZ'!AM25</f>
        <v>1.6119381310433301E-3</v>
      </c>
      <c r="AN25">
        <f>'TEA Revised Non EYZ'!AN25</f>
        <v>7.7382567030457797E-5</v>
      </c>
      <c r="AO25">
        <f>'TEA Revised Non EYZ'!AO25</f>
        <v>7.4562819717611701E-6</v>
      </c>
      <c r="AP25">
        <f>'TEA Revised Non EYZ'!AP25</f>
        <v>1.73954373622606E-3</v>
      </c>
      <c r="AQ25">
        <f>'TEA Revised Non EYZ'!AQ25</f>
        <v>7.4408902129409704E-2</v>
      </c>
      <c r="AR25">
        <f>'TEA Revised Non EYZ'!AR25</f>
        <v>2.32445303539035E-6</v>
      </c>
      <c r="AS25">
        <f>'TEA Revised Non EYZ'!AS25</f>
        <v>6.9016244542280303E-16</v>
      </c>
      <c r="AT25">
        <f>'TEA Revised Non EYZ'!AT25</f>
        <v>-2.1108657356772001E-13</v>
      </c>
      <c r="AU25">
        <f>'TEA Revised Non EYZ'!AU25</f>
        <v>-1.7602403435128399E-20</v>
      </c>
      <c r="AV25">
        <f>'TEA Revised Non EYZ'!AV25</f>
        <v>0.19753351838366801</v>
      </c>
      <c r="AW25">
        <f>'TEA Revised Non EYZ'!AW25</f>
        <v>99.338000043000505</v>
      </c>
      <c r="AX25">
        <f>'TEA Revised Non EYZ'!AX25</f>
        <v>500</v>
      </c>
      <c r="AY25">
        <f>'TEA Revised Non EYZ'!AY25</f>
        <v>95</v>
      </c>
      <c r="AZ25">
        <f>'TEA Revised Non EYZ'!AZ25</f>
        <v>0.92405262022284995</v>
      </c>
      <c r="BA25">
        <f>'TEA Revised Non EYZ'!BA25</f>
        <v>0.1</v>
      </c>
      <c r="BB25">
        <f>'TEA Revised Non EYZ'!BB25</f>
        <v>46.779535330711099</v>
      </c>
      <c r="BC25" t="str">
        <f>'TEA Revised Non EYZ'!BC25</f>
        <v>coeFc</v>
      </c>
      <c r="BD25">
        <f>'TEA Revised Non EYZ'!BD25</f>
        <v>1</v>
      </c>
      <c r="BE25">
        <f>'TEA Revised Non EYZ'!BE25</f>
        <v>1.8775014999999999E-2</v>
      </c>
      <c r="BF25">
        <f>'TEA Revised Non EYZ'!BF25</f>
        <v>0.10492961100000001</v>
      </c>
      <c r="BG25">
        <f>'TEA Revised Non EYZ'!BG25</f>
        <v>1.814625E-3</v>
      </c>
      <c r="BH25">
        <f>'TEA Revised Non EYZ'!BH25</f>
        <v>285.1951444</v>
      </c>
      <c r="BI25">
        <f>'TEA Revised Non EYZ'!BI25</f>
        <v>2169.8944889999998</v>
      </c>
      <c r="BJ25">
        <f>'TEA Revised Non EYZ'!BJ25</f>
        <v>866.49409060000005</v>
      </c>
      <c r="BK25">
        <f>'TEA Revised Non EYZ'!BK25</f>
        <v>100</v>
      </c>
      <c r="BL25">
        <f>'TEA Revised Non EYZ'!BL25</f>
        <v>12.134817621653401</v>
      </c>
      <c r="BM25">
        <f>'TEA Revised Non EYZ'!BM25</f>
        <v>92.405262022285001</v>
      </c>
      <c r="BN25">
        <f>'TEA Revised Non EYZ'!BN25</f>
        <v>19.7533518383668</v>
      </c>
      <c r="BO25">
        <f>'TEA Revised Non EYZ'!BO25</f>
        <v>169.88744670314762</v>
      </c>
      <c r="BP25">
        <f>'TEA Revised Non EYZ'!BP25</f>
        <v>355.5603330906024</v>
      </c>
      <c r="BQ25">
        <f>'TEA Revised Non EYZ'!BQ25</f>
        <v>16.988744670314762</v>
      </c>
      <c r="BR25">
        <f>'TEA Revised Non EYZ'!BR25</f>
        <v>35.55603330906024</v>
      </c>
      <c r="BS25">
        <f>'eLLE Bals'!CF25</f>
        <v>7.2808905729920399</v>
      </c>
      <c r="BT25">
        <f>'eLLE Bals'!CG25</f>
        <v>11.852011103020081</v>
      </c>
      <c r="BU25">
        <f>BM25</f>
        <v>92.405262022285001</v>
      </c>
      <c r="BV25">
        <f>BU25*(AM25*2+AN25*2+AO25*3)</f>
        <v>0.31427124255829342</v>
      </c>
      <c r="BW25">
        <f>BN25*BA25*(AP25*2+AQ25*2+AR25*3)</f>
        <v>0.30085118334733818</v>
      </c>
      <c r="BX25">
        <f>BV25/(2*V25*BL25+BV25)</f>
        <v>0.11464586920986694</v>
      </c>
      <c r="BY25">
        <f>BU25*BX25</f>
        <v>10.59388158411037</v>
      </c>
      <c r="BZ25">
        <f>BW25/(2*BN25*BA25+BW25)</f>
        <v>7.0763179660964043E-2</v>
      </c>
      <c r="CA25">
        <f>2*BN25*BA25/0.04</f>
        <v>98.766759191834012</v>
      </c>
      <c r="CB25">
        <f>(BS25+BL25)*2</f>
        <v>38.831416389290879</v>
      </c>
      <c r="CC25">
        <f>(BU25+BL25)*2</f>
        <v>209.0801592878768</v>
      </c>
      <c r="CD25">
        <f>(BT25+BN25)*2</f>
        <v>63.210725882773758</v>
      </c>
      <c r="CE25">
        <f>(CA25+BN25)*2</f>
        <v>237.04022206040162</v>
      </c>
      <c r="CF25">
        <f>'TEA Revised Non EYZ'!CB25</f>
        <v>2242.5142964815486</v>
      </c>
      <c r="CG25">
        <f>'TEA Revised Non EYZ'!CC25</f>
        <v>4693.3963967959517</v>
      </c>
      <c r="CH25">
        <f>'TEA Revised Non EYZ'!CD25</f>
        <v>2709.3726906065185</v>
      </c>
      <c r="CI25">
        <f>'TEA Revised Non EYZ'!CE25</f>
        <v>36200.583549585928</v>
      </c>
      <c r="CJ25">
        <f>BL25*V25</f>
        <v>1.2134817621653402</v>
      </c>
      <c r="CK25">
        <f>CJ25/2*1.2</f>
        <v>0.72808905729920415</v>
      </c>
      <c r="CL25">
        <f>'eLLE Bals'!CB25*'Oxidant Feed Composition'!$N$20</f>
        <v>4.0449392072178021E-2</v>
      </c>
      <c r="CM25">
        <f>'eLLE Bals'!CB25*'Oxidant Feed Composition'!$N$21</f>
        <v>2.0224696036089003</v>
      </c>
      <c r="CN25">
        <f>'eLLE Bals'!CB25*'Oxidant Feed Composition'!$N$22</f>
        <v>0.6067408810826701</v>
      </c>
      <c r="CO25">
        <f>CN25/CK25</f>
        <v>0.83333333333333326</v>
      </c>
      <c r="CP25">
        <f>CO25</f>
        <v>0.83333333333333326</v>
      </c>
      <c r="CQ25">
        <f>CL25/CO25</f>
        <v>4.8539270486613627E-2</v>
      </c>
      <c r="CR25">
        <f>CM25/CO25</f>
        <v>2.4269635243306804</v>
      </c>
      <c r="CS25">
        <f>BN25*BA25</f>
        <v>1.9753351838366802</v>
      </c>
      <c r="CT25">
        <f>CS25/2*1.2</f>
        <v>1.1852011103020081</v>
      </c>
      <c r="CU25">
        <f>'eLLE Bals'!CC25*'Oxidant Feed Composition'!$N$20</f>
        <v>6.5844506127889363E-2</v>
      </c>
      <c r="CV25">
        <f>'eLLE Bals'!CC25*'Oxidant Feed Composition'!$N$21</f>
        <v>3.2922253063944669</v>
      </c>
      <c r="CW25">
        <f>'eLLE Bals'!CC25*'Oxidant Feed Composition'!$N$22</f>
        <v>0.98766759191834008</v>
      </c>
      <c r="CX25">
        <f>CU25/CP25</f>
        <v>7.9013407353467249E-2</v>
      </c>
      <c r="CY25">
        <f>CV25/CP25</f>
        <v>3.9506703676733608</v>
      </c>
      <c r="CZ25">
        <f>CJ25</f>
        <v>1.2134817621653402</v>
      </c>
      <c r="DA25">
        <f>'eLLE Bals'!BQ25</f>
        <v>2.4269635243306804</v>
      </c>
      <c r="DB25">
        <f>'eLLE Bals'!BU25</f>
        <v>6.9441642643395163</v>
      </c>
      <c r="DC25">
        <f>CS25</f>
        <v>1.9753351838366802</v>
      </c>
      <c r="DD25">
        <f>'eLLE Bals'!BX25</f>
        <v>3.9506703676733603</v>
      </c>
      <c r="DE25">
        <f>'eLLE Bals'!CA25</f>
        <v>21.988726280790008</v>
      </c>
      <c r="DF25">
        <f>2*2*(CJ25*'Reagent cost'!$C$36*122.44/1000*0.5+CK25*'Oxidant Feed Composition'!$N$26+CQ25*'Reagent cost'!$C$34+CR25*'Reagent cost'!$C$35)</f>
        <v>81.514771044557094</v>
      </c>
      <c r="DG25">
        <f>2*2*(CS25*'Reagent cost'!$C$36*122.44/1000*0.5+CT25*'Oxidant Feed Composition'!$N$26+CX25*'Reagent cost'!$C$34+CY25*'Reagent cost'!$C$35)</f>
        <v>132.69173074293457</v>
      </c>
      <c r="DH25">
        <f>(AF25+3)*2*(CZ25*'Reagent cost'!$C$38*0.5+DA25*'Reagent cost'!$C$39+DB25*'Reagent cost'!$C$36*122.44/1000)</f>
        <v>1257.8134066819189</v>
      </c>
      <c r="DI25">
        <f>3*2*(DC25*'Reagent cost'!$C$38*0.5+DD25*'Reagent cost'!$C$39+DE25*'Reagent cost'!$C$36*122.44/1000)</f>
        <v>1168.5825868912855</v>
      </c>
      <c r="DJ25">
        <f>7963.6*(CB25/1000)^0.6*1.7*('CAPEX+OPEX'!$G$116/'CAPEX+OPEX'!$G$115)</f>
        <v>2273.7926954959794</v>
      </c>
      <c r="DK25">
        <f>7963.6*(CC25/1000)^0.6*1.7*('CAPEX+OPEX'!$G$116/'CAPEX+OPEX'!$G$115)</f>
        <v>6243.5072626595684</v>
      </c>
      <c r="DL25">
        <f>7963.6*(CD25/1000)^0.6*1.7*('CAPEX+OPEX'!$G$116/'CAPEX+OPEX'!$G$115)</f>
        <v>3045.8982712998541</v>
      </c>
      <c r="DM25">
        <f>7963.6*(CE25/1000)^0.6*1.7*('CAPEX+OPEX'!$G$116/'CAPEX+OPEX'!$G$115)</f>
        <v>6731.8457319554054</v>
      </c>
      <c r="DN25">
        <f>'TEA Revised Non EYZ'!CM25</f>
        <v>39625.826528698344</v>
      </c>
      <c r="DO25">
        <f>'TEA Revised Non EYZ'!CN25</f>
        <v>4586243.4239371875</v>
      </c>
      <c r="DP25">
        <f>'TEA Revised Non EYZ'!CO25</f>
        <v>11794834.586807497</v>
      </c>
      <c r="DQ25">
        <f>'TEA Revised Non EYZ'!CP25</f>
        <v>2275209.1661185985</v>
      </c>
      <c r="DR25">
        <f>'TEA Revised Non EYZ'!CQ25</f>
        <v>14083914.336508472</v>
      </c>
      <c r="DS25">
        <f>'TEA Revised Non EYZ'!CR25</f>
        <v>1662824.8986326549</v>
      </c>
      <c r="DT25">
        <f>'TEA Revised Non EYZ'!CS25</f>
        <v>589054.93036564998</v>
      </c>
      <c r="DU25">
        <f>'TEA Revised Non EYZ'!CT25</f>
        <v>1514922.9606835202</v>
      </c>
      <c r="DV25">
        <f>'TEA Revised Non EYZ'!CU25</f>
        <v>292226.78628879401</v>
      </c>
      <c r="DW25">
        <f>'TEA Revised Non EYZ'!CV25</f>
        <v>1808931.2781495745</v>
      </c>
      <c r="DX25">
        <f>'TEA Revised Non EYZ'!CW25</f>
        <v>213572.44139332071</v>
      </c>
      <c r="DY25">
        <f>'TEA Revised Non EYZ'!CX25</f>
        <v>4418708.3968808586</v>
      </c>
      <c r="DZ25">
        <f>'TEA Revised Non EYZ'!CY25</f>
        <v>661333.71445919841</v>
      </c>
      <c r="EA25">
        <f>'TEA Revised Non EYZ'!CZ25</f>
        <v>1700808.493507487</v>
      </c>
      <c r="EB25">
        <f>'TEA Revised Non EYZ'!DA25</f>
        <v>328083.87822317128</v>
      </c>
      <c r="EC25">
        <f>'TEA Revised Non EYZ'!DB25</f>
        <v>2030892.5020583186</v>
      </c>
      <c r="ED25">
        <f>'TEA Revised Non EYZ'!DC25</f>
        <v>239778.41232071392</v>
      </c>
      <c r="EE25">
        <f>'TEA Revised Non EYZ'!DD25</f>
        <v>4960897.0005688891</v>
      </c>
      <c r="EF25">
        <v>0.7</v>
      </c>
      <c r="EG25">
        <v>100</v>
      </c>
      <c r="EH25">
        <f>96485*BL25*V25/EF25/EG25/60</f>
        <v>27.876854243457824</v>
      </c>
      <c r="EI25">
        <f>96485*BN25*BA25/EF25/EG25/60</f>
        <v>45.378622669638595</v>
      </c>
      <c r="EJ25">
        <f>EH25*('CAPEX+OPEX'!$O$25+'CAPEX+OPEX'!$O$26)</f>
        <v>888491.09844748781</v>
      </c>
      <c r="EK25">
        <f>EI25*('CAPEX+OPEX'!$O$25+'CAPEX+OPEX'!$O$26)</f>
        <v>1446307.4617267214</v>
      </c>
      <c r="EL25">
        <f>EJ25*1.12/0.6*'CAPEX+OPEX'!$G$116/'CAPEX+OPEX'!$G$115</f>
        <v>1956151.2069656507</v>
      </c>
      <c r="EM25">
        <f>EK25*1.12/0.6*'CAPEX+OPEX'!$G$116/'CAPEX+OPEX'!$G$115</f>
        <v>3184270.6042230153</v>
      </c>
      <c r="EN25">
        <f>EL25+EM25+DY25+EE25+1.15*(SUM(DF25:DM25)+SUM(CF25:CI25))</f>
        <v>14596825.949037192</v>
      </c>
      <c r="EO25">
        <f>EN25/15</f>
        <v>973121.72993581288</v>
      </c>
      <c r="EP25">
        <f>('eLLE Bals'!CB25+'eLLE Bals'!CC25)*'Oxidant Feed Composition'!$N$29*60*7200</f>
        <v>7954048.5087421499</v>
      </c>
      <c r="EQ25" s="53">
        <f>('eLLE Bals'!BR25+'eLLE Bals'!BY25)*'Reagent cost'!$C$38*60*7200*0.5</f>
        <v>254459.39691235212</v>
      </c>
      <c r="ER25">
        <f>'TEA Revised Non EYZ'!DI25</f>
        <v>504921.59999999998</v>
      </c>
      <c r="ES25">
        <f>'TEA Revised Non EYZ'!DJ25</f>
        <v>69.359106932775006</v>
      </c>
      <c r="ET25">
        <f>'TEA Revised Non EYZ'!DK25</f>
        <v>778.19912480384903</v>
      </c>
      <c r="EU25">
        <f>1.2*SUM(EP25:ET25)</f>
        <v>10457132.476663487</v>
      </c>
      <c r="EV25">
        <f>'TEA Revised Non EYZ'!DM25</f>
        <v>0.70639694042110623</v>
      </c>
      <c r="EW25">
        <f>(BS25*CO25+BT25*CP25)/1000*('Oxidant Feed Composition'!$B$11*'Oxidant Feed Composition'!$O$20+'Oxidant Feed Composition'!$D$11*'Oxidant Feed Composition'!$O$21+'Oxidant Feed Composition'!$F$11*'Oxidant Feed Composition'!$O$27-'Oxidant Feed Composition'!$J$15*18.015)</f>
        <v>1.8620226009152536</v>
      </c>
      <c r="EX25">
        <f>(CZ25*BX25+DC25*BZ25)*368.34/1000</f>
        <v>0.10273064109031214</v>
      </c>
      <c r="EY25">
        <f>'TEA Revised Non EYZ'!DP25</f>
        <v>4.999938342565946E-2</v>
      </c>
      <c r="EZ25">
        <f>SUM(EV25:EX25)-EY25</f>
        <v>2.6211507990010126</v>
      </c>
      <c r="FA25">
        <f>EZ25*0.33*60*7200</f>
        <v>373671.25790558435</v>
      </c>
      <c r="FB25">
        <f>'TEA Revised Non EYZ'!DS25</f>
        <v>1.2</v>
      </c>
      <c r="FC25">
        <v>0.5</v>
      </c>
      <c r="FD25">
        <f>'TEA Revised Non EYZ'!DT25</f>
        <v>1406.3248668164506</v>
      </c>
      <c r="FE25">
        <f>'TEA Revised Non EYZ'!DU25</f>
        <v>706.92158227108644</v>
      </c>
      <c r="FF25">
        <f>'TEA Revised Non EYZ'!DV25</f>
        <v>0.7</v>
      </c>
      <c r="FG25">
        <f>'TEA Revised Non EYZ'!DW25</f>
        <v>33024.331428945443</v>
      </c>
      <c r="FH25">
        <f>'TEA Revised Non EYZ'!DX25</f>
        <v>24915.659383376755</v>
      </c>
      <c r="FI25">
        <f>'TEA Revised Non EYZ'!DY25</f>
        <v>10548.968690542577</v>
      </c>
      <c r="FJ25">
        <f>'TEA Revised Non EYZ'!DZ25</f>
        <v>5588.0830181845758</v>
      </c>
      <c r="FK25">
        <f>'TEA Revised Non EYZ'!EA25</f>
        <v>5626.1166349560426</v>
      </c>
      <c r="FL25">
        <f>'TEA Revised Non EYZ'!EB25</f>
        <v>850.54527945058942</v>
      </c>
      <c r="FM25">
        <f>'TEA Revised Non EYZ'!EC25</f>
        <v>36015.198107749915</v>
      </c>
      <c r="FN25">
        <f>'TEA Revised Non EYZ'!ED25</f>
        <v>31048.991563301424</v>
      </c>
      <c r="FO25">
        <f>'TEA Revised Non EYZ'!EE25</f>
        <v>13145.742395752615</v>
      </c>
      <c r="FP25">
        <f>'TEA Revised Non EYZ'!EF25</f>
        <v>6967.5177989581725</v>
      </c>
      <c r="FQ25">
        <f>'TEA Revised Non EYZ'!EG25</f>
        <v>7011.0626110680651</v>
      </c>
      <c r="FR25">
        <f>'TEA Revised Non EYZ'!EH25</f>
        <v>427.5461729575531</v>
      </c>
      <c r="FS25">
        <f>'TEA Revised Non EYZ'!EI25</f>
        <v>175169.7630852437</v>
      </c>
      <c r="FT25">
        <f>EG25*EH25</f>
        <v>2787.6854243457824</v>
      </c>
      <c r="FU25">
        <f>EG25*EI25</f>
        <v>4537.8622669638598</v>
      </c>
      <c r="FV25">
        <f>FC25*(FT25+FU25)/(3.6*10^6)*3600*7200*0.07</f>
        <v>1846.0380182100303</v>
      </c>
      <c r="FW25">
        <f>('CAPEX+OPEX'!$C$39/7/100+0.03)*EL25</f>
        <v>100602.06207251917</v>
      </c>
      <c r="FX25">
        <f>('CAPEX+OPEX'!$C$39/7/100+0.03)*EM25</f>
        <v>163762.48821718365</v>
      </c>
      <c r="FY25">
        <f>SUM(FV25:FX25)</f>
        <v>266210.58830791287</v>
      </c>
      <c r="FZ25">
        <f>FY25+FA25+FS25+EU25</f>
        <v>11272184.085962228</v>
      </c>
      <c r="GA25">
        <f>FZ25+EO25</f>
        <v>12245305.815898042</v>
      </c>
      <c r="GB25">
        <f>GA25/(BK25*60*7200)</f>
        <v>0.28345615314578804</v>
      </c>
      <c r="GC25">
        <f>'TEA Revised Non EYZ'!EM25/'TEA Revised Non EYZ'!EK25*GA25</f>
        <v>948.33311888722756</v>
      </c>
      <c r="GD25">
        <f>'TEA Revised Non EYZ'!EN25/'TEA Revised Non EYZ'!EK25*GA25</f>
        <v>1737.6412915453682</v>
      </c>
    </row>
    <row r="26" spans="1:186">
      <c r="A26">
        <f>'TEA Revised Non EYZ'!A26</f>
        <v>5</v>
      </c>
      <c r="B26">
        <f>'TEA Revised Non EYZ'!B26</f>
        <v>1.54143585092054E-3</v>
      </c>
      <c r="C26">
        <f>'TEA Revised Non EYZ'!C26</f>
        <v>1.54143585092054E-3</v>
      </c>
      <c r="D26">
        <f>'TEA Revised Non EYZ'!D26</f>
        <v>3.4254130020456501E-4</v>
      </c>
      <c r="E26">
        <f>'TEA Revised Non EYZ'!E26</f>
        <v>0</v>
      </c>
      <c r="F26">
        <f>'TEA Revised Non EYZ'!F26</f>
        <v>0</v>
      </c>
      <c r="G26">
        <f>'TEA Revised Non EYZ'!G26</f>
        <v>0</v>
      </c>
      <c r="H26">
        <f>'TEA Revised Non EYZ'!H26</f>
        <v>1.7558377832426001E-5</v>
      </c>
      <c r="I26">
        <f>'TEA Revised Non EYZ'!I26</f>
        <v>1.05063644964669E-7</v>
      </c>
      <c r="J26">
        <f>'TEA Revised Non EYZ'!J26</f>
        <v>3.35605387572801E-4</v>
      </c>
      <c r="K26">
        <f>'TEA Revised Non EYZ'!K26</f>
        <v>0.12557893497872399</v>
      </c>
      <c r="L26">
        <f>'TEA Revised Non EYZ'!L26</f>
        <v>0.12701721899235199</v>
      </c>
      <c r="M26">
        <f>'TEA Revised Non EYZ'!M26</f>
        <v>5.7157122982957897E-4</v>
      </c>
      <c r="N26">
        <f>'TEA Revised Non EYZ'!N26</f>
        <v>-1.88000656708986E-16</v>
      </c>
      <c r="O26">
        <f>'TEA Revised Non EYZ'!O26</f>
        <v>-6.2354635343986299E-15</v>
      </c>
      <c r="P26">
        <f>'TEA Revised Non EYZ'!P26</f>
        <v>-1.51703600853245E-18</v>
      </c>
      <c r="Q26">
        <f>'TEA Revised Non EYZ'!Q26</f>
        <v>0.121348176216534</v>
      </c>
      <c r="R26">
        <f>'TEA Revised Non EYZ'!R26</f>
        <v>97.975160184298204</v>
      </c>
      <c r="S26">
        <f>'TEA Revised Non EYZ'!S26</f>
        <v>500</v>
      </c>
      <c r="T26">
        <f>'TEA Revised Non EYZ'!T26</f>
        <v>95</v>
      </c>
      <c r="U26">
        <f>'TEA Revised Non EYZ'!U26</f>
        <v>1</v>
      </c>
      <c r="V26">
        <f>'TEA Revised Non EYZ'!V26</f>
        <v>0.1</v>
      </c>
      <c r="W26">
        <f>'TEA Revised Non EYZ'!W26</f>
        <v>82.407501388038199</v>
      </c>
      <c r="X26" t="str">
        <f>'TEA Revised Non EYZ'!X26</f>
        <v>ddFc</v>
      </c>
      <c r="Y26">
        <f>'TEA Revised Non EYZ'!Y26</f>
        <v>1</v>
      </c>
      <c r="Z26">
        <f>'TEA Revised Non EYZ'!Z26</f>
        <v>0.28318429382522198</v>
      </c>
      <c r="AA26">
        <f>'TEA Revised Non EYZ'!AA26</f>
        <v>0.56945642916197003</v>
      </c>
      <c r="AB26">
        <f>'TEA Revised Non EYZ'!AB26</f>
        <v>3.7698628972227502E-3</v>
      </c>
      <c r="AC26">
        <f>'TEA Revised Non EYZ'!AC26</f>
        <v>1822.2107908876901</v>
      </c>
      <c r="AD26">
        <f>'TEA Revised Non EYZ'!AD26</f>
        <v>2662.6059073104898</v>
      </c>
      <c r="AE26">
        <f>'TEA Revised Non EYZ'!AE26</f>
        <v>2401.5030938442701</v>
      </c>
      <c r="AF26">
        <f>'TEA Revised Non EYZ'!AF26</f>
        <v>8</v>
      </c>
      <c r="AG26">
        <f>'TEA Revised Non EYZ'!AG26</f>
        <v>1.64912412966352E-3</v>
      </c>
      <c r="AH26">
        <f>'TEA Revised Non EYZ'!AH26</f>
        <v>1.66801192221077E-3</v>
      </c>
      <c r="AI26">
        <f>'TEA Revised Non EYZ'!AI26</f>
        <v>7.5059714998626504E-6</v>
      </c>
      <c r="AJ26">
        <f>'TEA Revised Non EYZ'!AJ26</f>
        <v>0</v>
      </c>
      <c r="AK26">
        <f>'TEA Revised Non EYZ'!AK26</f>
        <v>0</v>
      </c>
      <c r="AL26">
        <f>'TEA Revised Non EYZ'!AL26</f>
        <v>0</v>
      </c>
      <c r="AM26">
        <f>'TEA Revised Non EYZ'!AM26</f>
        <v>1.6120834525789199E-3</v>
      </c>
      <c r="AN26">
        <f>'TEA Revised Non EYZ'!AN26</f>
        <v>7.7390029362408002E-5</v>
      </c>
      <c r="AO26">
        <f>'TEA Revised Non EYZ'!AO26</f>
        <v>7.4564681417452103E-6</v>
      </c>
      <c r="AP26">
        <f>'TEA Revised Non EYZ'!AP26</f>
        <v>1.73464665743558E-3</v>
      </c>
      <c r="AQ26">
        <f>'TEA Revised Non EYZ'!AQ26</f>
        <v>7.4490186842272293E-2</v>
      </c>
      <c r="AR26">
        <f>'TEA Revised Non EYZ'!AR26</f>
        <v>2.3182846935160901E-6</v>
      </c>
      <c r="AS26">
        <f>'TEA Revised Non EYZ'!AS26</f>
        <v>1.3007864642193499E-14</v>
      </c>
      <c r="AT26">
        <f>'TEA Revised Non EYZ'!AT26</f>
        <v>-3.2357883733569101E-12</v>
      </c>
      <c r="AU26">
        <f>'TEA Revised Non EYZ'!AU26</f>
        <v>1.045225422022E-19</v>
      </c>
      <c r="AV26">
        <f>'TEA Revised Non EYZ'!AV26</f>
        <v>0.19731704180288601</v>
      </c>
      <c r="AW26">
        <f>'TEA Revised Non EYZ'!AW26</f>
        <v>99.340480334646202</v>
      </c>
      <c r="AX26">
        <f>'TEA Revised Non EYZ'!AX26</f>
        <v>500</v>
      </c>
      <c r="AY26">
        <f>'TEA Revised Non EYZ'!AY26</f>
        <v>95</v>
      </c>
      <c r="AZ26">
        <f>'TEA Revised Non EYZ'!AZ26</f>
        <v>0.92405262022284995</v>
      </c>
      <c r="BA26">
        <f>'TEA Revised Non EYZ'!BA26</f>
        <v>0.1</v>
      </c>
      <c r="BB26">
        <f>'TEA Revised Non EYZ'!BB26</f>
        <v>46.830857171776799</v>
      </c>
      <c r="BC26" t="str">
        <f>'TEA Revised Non EYZ'!BC26</f>
        <v>coeFc</v>
      </c>
      <c r="BD26">
        <f>'TEA Revised Non EYZ'!BD26</f>
        <v>1</v>
      </c>
      <c r="BE26">
        <f>'TEA Revised Non EYZ'!BE26</f>
        <v>1.8775014999999999E-2</v>
      </c>
      <c r="BF26">
        <f>'TEA Revised Non EYZ'!BF26</f>
        <v>0.10492961100000001</v>
      </c>
      <c r="BG26">
        <f>'TEA Revised Non EYZ'!BG26</f>
        <v>1.814625E-3</v>
      </c>
      <c r="BH26">
        <f>'TEA Revised Non EYZ'!BH26</f>
        <v>285.1951444</v>
      </c>
      <c r="BI26">
        <f>'TEA Revised Non EYZ'!BI26</f>
        <v>2169.8944889999998</v>
      </c>
      <c r="BJ26">
        <f>'TEA Revised Non EYZ'!BJ26</f>
        <v>866.49409060000005</v>
      </c>
      <c r="BK26">
        <f>'TEA Revised Non EYZ'!BK26</f>
        <v>100</v>
      </c>
      <c r="BL26">
        <f>'TEA Revised Non EYZ'!BL26</f>
        <v>12.134817621653401</v>
      </c>
      <c r="BM26">
        <f>'TEA Revised Non EYZ'!BM26</f>
        <v>92.405262022285001</v>
      </c>
      <c r="BN26">
        <f>'TEA Revised Non EYZ'!BN26</f>
        <v>19.731704180288602</v>
      </c>
      <c r="BO26">
        <f>'TEA Revised Non EYZ'!BO26</f>
        <v>169.88744670314762</v>
      </c>
      <c r="BP26">
        <f>'TEA Revised Non EYZ'!BP26</f>
        <v>394.63408360577205</v>
      </c>
      <c r="BQ26">
        <f>'TEA Revised Non EYZ'!BQ26</f>
        <v>16.988744670314762</v>
      </c>
      <c r="BR26">
        <f>'TEA Revised Non EYZ'!BR26</f>
        <v>39.463408360577205</v>
      </c>
      <c r="BS26">
        <f>'eLLE Bals'!CF26</f>
        <v>7.2808905729920399</v>
      </c>
      <c r="BT26">
        <f>'eLLE Bals'!CG26</f>
        <v>11.83902250817316</v>
      </c>
      <c r="BU26">
        <f>BM26</f>
        <v>92.405262022285001</v>
      </c>
      <c r="BV26">
        <f>BU26*(AM26*2+AN26*2+AO26*3)</f>
        <v>0.3142995302341775</v>
      </c>
      <c r="BW26">
        <f>BN26*BA26*(AP26*2+AQ26*2+AR26*3)</f>
        <v>0.30082289627393122</v>
      </c>
      <c r="BX26">
        <f>BV26/(2*V26*BL26+BV26)</f>
        <v>0.11465500536724985</v>
      </c>
      <c r="BY26">
        <f>BU26*BX26</f>
        <v>10.594725813127216</v>
      </c>
      <c r="BZ26">
        <f>BW26/(2*BN26*BA26+BW26)</f>
        <v>7.0829126266997569E-2</v>
      </c>
      <c r="CA26">
        <f>2*BN26*BA26/0.04</f>
        <v>98.658520901443012</v>
      </c>
      <c r="CB26">
        <f>(BS26+BL26)*2</f>
        <v>38.831416389290879</v>
      </c>
      <c r="CC26">
        <f>(BU26+BL26)*2</f>
        <v>209.0801592878768</v>
      </c>
      <c r="CD26">
        <f>(BT26+BN26)*2</f>
        <v>63.141453376923522</v>
      </c>
      <c r="CE26">
        <f>(CA26+BN26)*2</f>
        <v>236.78045016346323</v>
      </c>
      <c r="CF26">
        <f>'TEA Revised Non EYZ'!CB26</f>
        <v>2242.5142964815486</v>
      </c>
      <c r="CG26">
        <f>'TEA Revised Non EYZ'!CC26</f>
        <v>5209.1699035961919</v>
      </c>
      <c r="CH26">
        <f>'TEA Revised Non EYZ'!CD26</f>
        <v>2709.3726906065185</v>
      </c>
      <c r="CI26">
        <f>'TEA Revised Non EYZ'!CE26</f>
        <v>40178.790448609281</v>
      </c>
      <c r="CJ26">
        <f>BL26*V26</f>
        <v>1.2134817621653402</v>
      </c>
      <c r="CK26">
        <f>CJ26/2*1.2</f>
        <v>0.72808905729920415</v>
      </c>
      <c r="CL26">
        <f>'eLLE Bals'!CB26*'Oxidant Feed Composition'!$N$20</f>
        <v>4.0449392072178021E-2</v>
      </c>
      <c r="CM26">
        <f>'eLLE Bals'!CB26*'Oxidant Feed Composition'!$N$21</f>
        <v>2.0224696036089003</v>
      </c>
      <c r="CN26">
        <f>'eLLE Bals'!CB26*'Oxidant Feed Composition'!$N$22</f>
        <v>0.6067408810826701</v>
      </c>
      <c r="CO26">
        <f>CN26/CK26</f>
        <v>0.83333333333333326</v>
      </c>
      <c r="CP26">
        <f>CO26</f>
        <v>0.83333333333333326</v>
      </c>
      <c r="CQ26">
        <f>CL26/CO26</f>
        <v>4.8539270486613627E-2</v>
      </c>
      <c r="CR26">
        <f>CM26/CO26</f>
        <v>2.4269635243306804</v>
      </c>
      <c r="CS26">
        <f>BN26*BA26</f>
        <v>1.9731704180288603</v>
      </c>
      <c r="CT26">
        <f>CS26/2*1.2</f>
        <v>1.183902250817316</v>
      </c>
      <c r="CU26">
        <f>'eLLE Bals'!CC26*'Oxidant Feed Composition'!$N$20</f>
        <v>6.5772347267628706E-2</v>
      </c>
      <c r="CV26">
        <f>'eLLE Bals'!CC26*'Oxidant Feed Composition'!$N$21</f>
        <v>3.2886173633814342</v>
      </c>
      <c r="CW26">
        <f>'eLLE Bals'!CC26*'Oxidant Feed Composition'!$N$22</f>
        <v>0.98658520901443014</v>
      </c>
      <c r="CX26">
        <f>CU26/CP26</f>
        <v>7.8926816721154452E-2</v>
      </c>
      <c r="CY26">
        <f>CV26/CP26</f>
        <v>3.9463408360577215</v>
      </c>
      <c r="CZ26">
        <f>CJ26</f>
        <v>1.2134817621653402</v>
      </c>
      <c r="DA26">
        <f>'eLLE Bals'!BQ26</f>
        <v>2.4269635243306804</v>
      </c>
      <c r="DB26">
        <f>'eLLE Bals'!BU26</f>
        <v>6.9433208460780644</v>
      </c>
      <c r="DC26">
        <f>CS26</f>
        <v>1.9731704180288603</v>
      </c>
      <c r="DD26">
        <f>'eLLE Bals'!BX26</f>
        <v>3.9463408360577206</v>
      </c>
      <c r="DE26">
        <f>'eLLE Bals'!CA26</f>
        <v>21.938666899781854</v>
      </c>
      <c r="DF26">
        <f>2*2*(CJ26*'Reagent cost'!$C$36*122.44/1000*0.5+CK26*'Oxidant Feed Composition'!$N$26+CQ26*'Reagent cost'!$C$34+CR26*'Reagent cost'!$C$35)</f>
        <v>81.514771044557094</v>
      </c>
      <c r="DG26">
        <f>2*2*(CS26*'Reagent cost'!$C$36*122.44/1000*0.5+CT26*'Oxidant Feed Composition'!$N$26+CX26*'Reagent cost'!$C$34+CY26*'Reagent cost'!$C$35)</f>
        <v>132.54631414526386</v>
      </c>
      <c r="DH26">
        <f>(AF26+3)*2*(CZ26*'Reagent cost'!$C$38*0.5+DA26*'Reagent cost'!$C$39+DB26*'Reagent cost'!$C$36*122.44/1000)</f>
        <v>1383.4343058496156</v>
      </c>
      <c r="DI26">
        <f>3*2*(DC26*'Reagent cost'!$C$38*0.5+DD26*'Reagent cost'!$C$39+DE26*'Reagent cost'!$C$36*122.44/1000)</f>
        <v>1165.9550248713272</v>
      </c>
      <c r="DJ26">
        <f>7963.6*(CB26/1000)^0.6*1.7*('CAPEX+OPEX'!$G$116/'CAPEX+OPEX'!$G$115)</f>
        <v>2273.7926954959794</v>
      </c>
      <c r="DK26">
        <f>7963.6*(CC26/1000)^0.6*1.7*('CAPEX+OPEX'!$G$116/'CAPEX+OPEX'!$G$115)</f>
        <v>6243.5072626595684</v>
      </c>
      <c r="DL26">
        <f>7963.6*(CD26/1000)^0.6*1.7*('CAPEX+OPEX'!$G$116/'CAPEX+OPEX'!$G$115)</f>
        <v>3043.8950358731904</v>
      </c>
      <c r="DM26">
        <f>7963.6*(CE26/1000)^0.6*1.7*('CAPEX+OPEX'!$G$116/'CAPEX+OPEX'!$G$115)</f>
        <v>6727.4183116491677</v>
      </c>
      <c r="DN26">
        <f>'TEA Revised Non EYZ'!CM26</f>
        <v>39625.826528698344</v>
      </c>
      <c r="DO26">
        <f>'TEA Revised Non EYZ'!CN26</f>
        <v>4586243.4239371875</v>
      </c>
      <c r="DP26">
        <f>'TEA Revised Non EYZ'!CO26</f>
        <v>11794834.586807497</v>
      </c>
      <c r="DQ26">
        <f>'TEA Revised Non EYZ'!CP26</f>
        <v>2275209.1661185985</v>
      </c>
      <c r="DR26">
        <f>'TEA Revised Non EYZ'!CQ26</f>
        <v>14083914.336508472</v>
      </c>
      <c r="DS26">
        <f>'TEA Revised Non EYZ'!CR26</f>
        <v>1662824.8986326549</v>
      </c>
      <c r="DT26">
        <f>'TEA Revised Non EYZ'!CS26</f>
        <v>589054.93036564998</v>
      </c>
      <c r="DU26">
        <f>'TEA Revised Non EYZ'!CT26</f>
        <v>1514922.9606835202</v>
      </c>
      <c r="DV26">
        <f>'TEA Revised Non EYZ'!CU26</f>
        <v>292226.78628879401</v>
      </c>
      <c r="DW26">
        <f>'TEA Revised Non EYZ'!CV26</f>
        <v>1808931.2781495745</v>
      </c>
      <c r="DX26">
        <f>'TEA Revised Non EYZ'!CW26</f>
        <v>213572.44139332071</v>
      </c>
      <c r="DY26">
        <f>'TEA Revised Non EYZ'!CX26</f>
        <v>4418708.3968808586</v>
      </c>
      <c r="DZ26">
        <f>'TEA Revised Non EYZ'!CY26</f>
        <v>709761.0732627036</v>
      </c>
      <c r="EA26">
        <f>'TEA Revised Non EYZ'!CZ26</f>
        <v>1825353.2753178168</v>
      </c>
      <c r="EB26">
        <f>'TEA Revised Non EYZ'!DA26</f>
        <v>352108.41430984496</v>
      </c>
      <c r="EC26">
        <f>'TEA Revised Non EYZ'!DB26</f>
        <v>2179608.2831204594</v>
      </c>
      <c r="ED26">
        <f>'TEA Revised Non EYZ'!DC26</f>
        <v>257336.62076058687</v>
      </c>
      <c r="EE26">
        <f>'TEA Revised Non EYZ'!DD26</f>
        <v>5324167.6667714119</v>
      </c>
      <c r="EF26">
        <v>0.7</v>
      </c>
      <c r="EG26">
        <v>100</v>
      </c>
      <c r="EH26">
        <f>96485*BL26*V26/EF26/EG26/60</f>
        <v>27.876854243457824</v>
      </c>
      <c r="EI26">
        <f>96485*BN26*BA26/EF26/EG26/60</f>
        <v>45.328892329408241</v>
      </c>
      <c r="EJ26">
        <f>EH26*('CAPEX+OPEX'!$O$25+'CAPEX+OPEX'!$O$26)</f>
        <v>888491.09844748781</v>
      </c>
      <c r="EK26">
        <f>EI26*('CAPEX+OPEX'!$O$25+'CAPEX+OPEX'!$O$26)</f>
        <v>1444722.4563228996</v>
      </c>
      <c r="EL26">
        <f>EJ26*1.12/0.6*'CAPEX+OPEX'!$G$116/'CAPEX+OPEX'!$G$115</f>
        <v>1956151.2069656507</v>
      </c>
      <c r="EM26">
        <f>EK26*1.12/0.6*'CAPEX+OPEX'!$G$116/'CAPEX+OPEX'!$G$115</f>
        <v>3180780.9685483859</v>
      </c>
      <c r="EN26">
        <f>EL26+EM26+DY26+EE26+1.15*(SUM(DF26:DM26)+SUM(CF26:CI26))</f>
        <v>14961908.936886324</v>
      </c>
      <c r="EO26">
        <f>EN26/15</f>
        <v>997460.59579242161</v>
      </c>
      <c r="EP26">
        <f>('eLLE Bals'!CB26+'eLLE Bals'!CC26)*'Oxidant Feed Composition'!$N$29*60*7200</f>
        <v>7948648.8095631003</v>
      </c>
      <c r="EQ26" s="53">
        <f>('eLLE Bals'!BR26+'eLLE Bals'!BY26)*'Reagent cost'!$C$38*60*7200*0.5</f>
        <v>254448.47113610274</v>
      </c>
      <c r="ER26">
        <f>'TEA Revised Non EYZ'!DI26</f>
        <v>504921.59999999998</v>
      </c>
      <c r="ES26">
        <f>'TEA Revised Non EYZ'!DJ26</f>
        <v>74.516842000777402</v>
      </c>
      <c r="ET26">
        <f>'TEA Revised Non EYZ'!DK26</f>
        <v>857.763262784316</v>
      </c>
      <c r="EU26">
        <f>1.2*SUM(EP26:ET26)</f>
        <v>10450741.392964784</v>
      </c>
      <c r="EV26">
        <f>'TEA Revised Non EYZ'!DM26</f>
        <v>0.70639694042110623</v>
      </c>
      <c r="EW26">
        <f>(BS26*CO26+BT26*CP26)/1000*('Oxidant Feed Composition'!$B$11*'Oxidant Feed Composition'!$O$20+'Oxidant Feed Composition'!$D$11*'Oxidant Feed Composition'!$O$21+'Oxidant Feed Composition'!$F$11*'Oxidant Feed Composition'!$O$27-'Oxidant Feed Composition'!$J$15*18.015)</f>
        <v>1.8607585450198836</v>
      </c>
      <c r="EX26">
        <f>(CZ26*BX26+DC26*BZ26)*368.34/1000</f>
        <v>0.10272623012332829</v>
      </c>
      <c r="EY26">
        <f>'TEA Revised Non EYZ'!DP26</f>
        <v>4.999938342565946E-2</v>
      </c>
      <c r="EZ26">
        <f>SUM(EV26:EX26)-EY26</f>
        <v>2.6198823321386588</v>
      </c>
      <c r="FA26">
        <f>EZ26*0.33*60*7200</f>
        <v>373490.42526968726</v>
      </c>
      <c r="FB26">
        <f>'TEA Revised Non EYZ'!DS26</f>
        <v>1.2</v>
      </c>
      <c r="FC26">
        <v>0.5</v>
      </c>
      <c r="FD26">
        <f>'TEA Revised Non EYZ'!DT26</f>
        <v>1406.4515484627877</v>
      </c>
      <c r="FE26">
        <f>'TEA Revised Non EYZ'!DU26</f>
        <v>706.79490200313717</v>
      </c>
      <c r="FF26">
        <f>'TEA Revised Non EYZ'!DV26</f>
        <v>0.7</v>
      </c>
      <c r="FG26">
        <f>'TEA Revised Non EYZ'!DW26</f>
        <v>33024.331428945443</v>
      </c>
      <c r="FH26">
        <f>'TEA Revised Non EYZ'!DX26</f>
        <v>24915.659383376755</v>
      </c>
      <c r="FI26">
        <f>'TEA Revised Non EYZ'!DY26</f>
        <v>10548.968690542577</v>
      </c>
      <c r="FJ26">
        <f>'TEA Revised Non EYZ'!DZ26</f>
        <v>5588.0830181845758</v>
      </c>
      <c r="FK26">
        <f>'TEA Revised Non EYZ'!EA26</f>
        <v>5626.1166349560426</v>
      </c>
      <c r="FL26">
        <f>'TEA Revised Non EYZ'!EB26</f>
        <v>850.62189651029416</v>
      </c>
      <c r="FM26">
        <f>'TEA Revised Non EYZ'!EC26</f>
        <v>38587.712258303472</v>
      </c>
      <c r="FN26">
        <f>'TEA Revised Non EYZ'!ED26</f>
        <v>34930.115508714101</v>
      </c>
      <c r="FO26">
        <f>'TEA Revised Non EYZ'!EE26</f>
        <v>14788.960195221691</v>
      </c>
      <c r="FP26">
        <f>'TEA Revised Non EYZ'!EF26</f>
        <v>7838.4575238279431</v>
      </c>
      <c r="FQ26">
        <f>'TEA Revised Non EYZ'!EG26</f>
        <v>7887.4454374515717</v>
      </c>
      <c r="FR26">
        <f>'TEA Revised Non EYZ'!EH26</f>
        <v>427.46955673149739</v>
      </c>
      <c r="FS26">
        <f>'TEA Revised Non EYZ'!EI26</f>
        <v>185013.94153276595</v>
      </c>
      <c r="FT26">
        <f>EG26*EH26</f>
        <v>2787.6854243457824</v>
      </c>
      <c r="FU26">
        <f>EG26*EI26</f>
        <v>4532.8892329408245</v>
      </c>
      <c r="FV26">
        <f>FC26*(FT26+FU26)/(3.6*10^6)*3600*7200*0.07</f>
        <v>1844.7848136362252</v>
      </c>
      <c r="FW26">
        <f>('CAPEX+OPEX'!$C$39/7/100+0.03)*EL26</f>
        <v>100602.06207251917</v>
      </c>
      <c r="FX26">
        <f>('CAPEX+OPEX'!$C$39/7/100+0.03)*EM26</f>
        <v>163583.02123963129</v>
      </c>
      <c r="FY26">
        <f>SUM(FV26:FX26)</f>
        <v>266029.86812578666</v>
      </c>
      <c r="FZ26">
        <f>FY26+FA26+FS26+EU26</f>
        <v>11275275.627893023</v>
      </c>
      <c r="GA26">
        <f>FZ26+EO26</f>
        <v>12272736.223685445</v>
      </c>
      <c r="GB26">
        <f>GA26/(BK26*60*7200)</f>
        <v>0.28409111628901496</v>
      </c>
      <c r="GC26">
        <f>'TEA Revised Non EYZ'!EM26/'TEA Revised Non EYZ'!EK26*GA26</f>
        <v>950.37177237758135</v>
      </c>
      <c r="GD26">
        <f>'TEA Revised Non EYZ'!EN26/'TEA Revised Non EYZ'!EK26*GA26</f>
        <v>1741.8214819442414</v>
      </c>
    </row>
    <row r="27" spans="1:186">
      <c r="A27">
        <f>'TEA Revised Non EYZ'!A27</f>
        <v>5</v>
      </c>
      <c r="B27">
        <f>'TEA Revised Non EYZ'!B27</f>
        <v>1.54143585092054E-3</v>
      </c>
      <c r="C27">
        <f>'TEA Revised Non EYZ'!C27</f>
        <v>1.54143585092054E-3</v>
      </c>
      <c r="D27">
        <f>'TEA Revised Non EYZ'!D27</f>
        <v>3.4254130020456501E-4</v>
      </c>
      <c r="E27">
        <f>'TEA Revised Non EYZ'!E27</f>
        <v>0</v>
      </c>
      <c r="F27">
        <f>'TEA Revised Non EYZ'!F27</f>
        <v>0</v>
      </c>
      <c r="G27">
        <f>'TEA Revised Non EYZ'!G27</f>
        <v>0</v>
      </c>
      <c r="H27">
        <f>'TEA Revised Non EYZ'!H27</f>
        <v>1.7558377832426001E-5</v>
      </c>
      <c r="I27">
        <f>'TEA Revised Non EYZ'!I27</f>
        <v>1.05063644964669E-7</v>
      </c>
      <c r="J27">
        <f>'TEA Revised Non EYZ'!J27</f>
        <v>3.35605387572801E-4</v>
      </c>
      <c r="K27">
        <f>'TEA Revised Non EYZ'!K27</f>
        <v>0.12557893497872399</v>
      </c>
      <c r="L27">
        <f>'TEA Revised Non EYZ'!L27</f>
        <v>0.12701721899235199</v>
      </c>
      <c r="M27">
        <f>'TEA Revised Non EYZ'!M27</f>
        <v>5.7157122982957897E-4</v>
      </c>
      <c r="N27">
        <f>'TEA Revised Non EYZ'!N27</f>
        <v>-1.88000656708986E-16</v>
      </c>
      <c r="O27">
        <f>'TEA Revised Non EYZ'!O27</f>
        <v>-6.2354635343986299E-15</v>
      </c>
      <c r="P27">
        <f>'TEA Revised Non EYZ'!P27</f>
        <v>-1.51703600853245E-18</v>
      </c>
      <c r="Q27">
        <f>'TEA Revised Non EYZ'!Q27</f>
        <v>0.121348176216534</v>
      </c>
      <c r="R27">
        <f>'TEA Revised Non EYZ'!R27</f>
        <v>97.975160184298204</v>
      </c>
      <c r="S27">
        <f>'TEA Revised Non EYZ'!S27</f>
        <v>500</v>
      </c>
      <c r="T27">
        <f>'TEA Revised Non EYZ'!T27</f>
        <v>95</v>
      </c>
      <c r="U27">
        <f>'TEA Revised Non EYZ'!U27</f>
        <v>1</v>
      </c>
      <c r="V27">
        <f>'TEA Revised Non EYZ'!V27</f>
        <v>0.1</v>
      </c>
      <c r="W27">
        <f>'TEA Revised Non EYZ'!W27</f>
        <v>82.407501388038199</v>
      </c>
      <c r="X27" t="str">
        <f>'TEA Revised Non EYZ'!X27</f>
        <v>ddFc</v>
      </c>
      <c r="Y27">
        <f>'TEA Revised Non EYZ'!Y27</f>
        <v>1</v>
      </c>
      <c r="Z27">
        <f>'TEA Revised Non EYZ'!Z27</f>
        <v>0.28318429382522198</v>
      </c>
      <c r="AA27">
        <f>'TEA Revised Non EYZ'!AA27</f>
        <v>0.56945642916197003</v>
      </c>
      <c r="AB27">
        <f>'TEA Revised Non EYZ'!AB27</f>
        <v>3.7698628972227502E-3</v>
      </c>
      <c r="AC27">
        <f>'TEA Revised Non EYZ'!AC27</f>
        <v>1822.2107908876901</v>
      </c>
      <c r="AD27">
        <f>'TEA Revised Non EYZ'!AD27</f>
        <v>2662.6059073104898</v>
      </c>
      <c r="AE27">
        <f>'TEA Revised Non EYZ'!AE27</f>
        <v>2401.5030938442701</v>
      </c>
      <c r="AF27">
        <f>'TEA Revised Non EYZ'!AF27</f>
        <v>9</v>
      </c>
      <c r="AG27">
        <f>'TEA Revised Non EYZ'!AG27</f>
        <v>1.64912412966352E-3</v>
      </c>
      <c r="AH27">
        <f>'TEA Revised Non EYZ'!AH27</f>
        <v>1.66801192221077E-3</v>
      </c>
      <c r="AI27">
        <f>'TEA Revised Non EYZ'!AI27</f>
        <v>7.5059714998626504E-6</v>
      </c>
      <c r="AJ27">
        <f>'TEA Revised Non EYZ'!AJ27</f>
        <v>0</v>
      </c>
      <c r="AK27">
        <f>'TEA Revised Non EYZ'!AK27</f>
        <v>0</v>
      </c>
      <c r="AL27">
        <f>'TEA Revised Non EYZ'!AL27</f>
        <v>0</v>
      </c>
      <c r="AM27">
        <f>'TEA Revised Non EYZ'!AM27</f>
        <v>1.6121246149811801E-3</v>
      </c>
      <c r="AN27">
        <f>'TEA Revised Non EYZ'!AN27</f>
        <v>7.7392143035352694E-5</v>
      </c>
      <c r="AO27">
        <f>'TEA Revised Non EYZ'!AO27</f>
        <v>7.4565208744733498E-6</v>
      </c>
      <c r="AP27">
        <f>'TEA Revised Non EYZ'!AP27</f>
        <v>1.73325760784225E-3</v>
      </c>
      <c r="AQ27">
        <f>'TEA Revised Non EYZ'!AQ27</f>
        <v>7.4513243137229707E-2</v>
      </c>
      <c r="AR27">
        <f>'TEA Revised Non EYZ'!AR27</f>
        <v>2.3165350520080302E-6</v>
      </c>
      <c r="AS27">
        <f>'TEA Revised Non EYZ'!AS27</f>
        <v>1.36270660554271E-16</v>
      </c>
      <c r="AT27">
        <f>'TEA Revised Non EYZ'!AT27</f>
        <v>-1.76959141784394E-14</v>
      </c>
      <c r="AU27">
        <f>'TEA Revised Non EYZ'!AU27</f>
        <v>-3.3351922298138001E-21</v>
      </c>
      <c r="AV27">
        <f>'TEA Revised Non EYZ'!AV27</f>
        <v>0.19725572433293401</v>
      </c>
      <c r="AW27">
        <f>'TEA Revised Non EYZ'!AW27</f>
        <v>99.341182878322797</v>
      </c>
      <c r="AX27">
        <f>'TEA Revised Non EYZ'!AX27</f>
        <v>500</v>
      </c>
      <c r="AY27">
        <f>'TEA Revised Non EYZ'!AY27</f>
        <v>95</v>
      </c>
      <c r="AZ27">
        <f>'TEA Revised Non EYZ'!AZ27</f>
        <v>0.92405262022284995</v>
      </c>
      <c r="BA27">
        <f>'TEA Revised Non EYZ'!BA27</f>
        <v>0.1</v>
      </c>
      <c r="BB27">
        <f>'TEA Revised Non EYZ'!BB27</f>
        <v>46.8454146690923</v>
      </c>
      <c r="BC27" t="str">
        <f>'TEA Revised Non EYZ'!BC27</f>
        <v>coeFc</v>
      </c>
      <c r="BD27">
        <f>'TEA Revised Non EYZ'!BD27</f>
        <v>1</v>
      </c>
      <c r="BE27">
        <f>'TEA Revised Non EYZ'!BE27</f>
        <v>1.8775014999999999E-2</v>
      </c>
      <c r="BF27">
        <f>'TEA Revised Non EYZ'!BF27</f>
        <v>0.10492961100000001</v>
      </c>
      <c r="BG27">
        <f>'TEA Revised Non EYZ'!BG27</f>
        <v>1.814625E-3</v>
      </c>
      <c r="BH27">
        <f>'TEA Revised Non EYZ'!BH27</f>
        <v>285.1951444</v>
      </c>
      <c r="BI27">
        <f>'TEA Revised Non EYZ'!BI27</f>
        <v>2169.8944889999998</v>
      </c>
      <c r="BJ27">
        <f>'TEA Revised Non EYZ'!BJ27</f>
        <v>866.49409060000005</v>
      </c>
      <c r="BK27">
        <f>'TEA Revised Non EYZ'!BK27</f>
        <v>100</v>
      </c>
      <c r="BL27">
        <f>'TEA Revised Non EYZ'!BL27</f>
        <v>12.134817621653401</v>
      </c>
      <c r="BM27">
        <f>'TEA Revised Non EYZ'!BM27</f>
        <v>92.405262022285001</v>
      </c>
      <c r="BN27">
        <f>'TEA Revised Non EYZ'!BN27</f>
        <v>19.725572433293401</v>
      </c>
      <c r="BO27">
        <f>'TEA Revised Non EYZ'!BO27</f>
        <v>169.88744670314762</v>
      </c>
      <c r="BP27">
        <f>'TEA Revised Non EYZ'!BP27</f>
        <v>433.96259353245483</v>
      </c>
      <c r="BQ27">
        <f>'TEA Revised Non EYZ'!BQ27</f>
        <v>16.988744670314762</v>
      </c>
      <c r="BR27">
        <f>'TEA Revised Non EYZ'!BR27</f>
        <v>43.396259353245483</v>
      </c>
      <c r="BS27">
        <f>'eLLE Bals'!CF27</f>
        <v>7.2808905729920399</v>
      </c>
      <c r="BT27">
        <f>'eLLE Bals'!CG27</f>
        <v>11.835343459976039</v>
      </c>
      <c r="BU27">
        <f>BM27</f>
        <v>92.405262022285001</v>
      </c>
      <c r="BV27">
        <f>BU27*(AM27*2+AN27*2+AO27*3)</f>
        <v>0.31430754272665945</v>
      </c>
      <c r="BW27">
        <f>BN27*BA27*(AP27*2+AQ27*2+AR27*3)</f>
        <v>0.300814883140404</v>
      </c>
      <c r="BX27">
        <f>BV27/(2*V27*BL27+BV27)</f>
        <v>0.11465759315223714</v>
      </c>
      <c r="BY27">
        <f>BU27*BX27</f>
        <v>10.594964938077023</v>
      </c>
      <c r="BZ27">
        <f>BW27/(2*BN27*BA27+BW27)</f>
        <v>7.0847830225362049E-2</v>
      </c>
      <c r="CA27">
        <f>2*BN27*BA27/0.04</f>
        <v>98.627862166467011</v>
      </c>
      <c r="CB27">
        <f>(BS27+BL27)*2</f>
        <v>38.831416389290879</v>
      </c>
      <c r="CC27">
        <f>(BU27+BL27)*2</f>
        <v>209.0801592878768</v>
      </c>
      <c r="CD27">
        <f>(BT27+BN27)*2</f>
        <v>63.121831786538877</v>
      </c>
      <c r="CE27">
        <f>(CA27+BN27)*2</f>
        <v>236.70686919952084</v>
      </c>
      <c r="CF27">
        <f>'TEA Revised Non EYZ'!CB27</f>
        <v>2242.5142964815486</v>
      </c>
      <c r="CG27">
        <f>'TEA Revised Non EYZ'!CC27</f>
        <v>5728.3062346284041</v>
      </c>
      <c r="CH27">
        <f>'TEA Revised Non EYZ'!CD27</f>
        <v>2709.3726906065185</v>
      </c>
      <c r="CI27">
        <f>'TEA Revised Non EYZ'!CE27</f>
        <v>44182.935109815946</v>
      </c>
      <c r="CJ27">
        <f>BL27*V27</f>
        <v>1.2134817621653402</v>
      </c>
      <c r="CK27">
        <f>CJ27/2*1.2</f>
        <v>0.72808905729920415</v>
      </c>
      <c r="CL27">
        <f>'eLLE Bals'!CB27*'Oxidant Feed Composition'!$N$20</f>
        <v>4.0449392072178021E-2</v>
      </c>
      <c r="CM27">
        <f>'eLLE Bals'!CB27*'Oxidant Feed Composition'!$N$21</f>
        <v>2.0224696036089003</v>
      </c>
      <c r="CN27">
        <f>'eLLE Bals'!CB27*'Oxidant Feed Composition'!$N$22</f>
        <v>0.6067408810826701</v>
      </c>
      <c r="CO27">
        <f>CN27/CK27</f>
        <v>0.83333333333333326</v>
      </c>
      <c r="CP27">
        <f>CO27</f>
        <v>0.83333333333333326</v>
      </c>
      <c r="CQ27">
        <f>CL27/CO27</f>
        <v>4.8539270486613627E-2</v>
      </c>
      <c r="CR27">
        <f>CM27/CO27</f>
        <v>2.4269635243306804</v>
      </c>
      <c r="CS27">
        <f>BN27*BA27</f>
        <v>1.9725572433293401</v>
      </c>
      <c r="CT27">
        <f>CS27/2*1.2</f>
        <v>1.183534345997604</v>
      </c>
      <c r="CU27">
        <f>'eLLE Bals'!CC27*'Oxidant Feed Composition'!$N$20</f>
        <v>6.575190811097803E-2</v>
      </c>
      <c r="CV27">
        <f>'eLLE Bals'!CC27*'Oxidant Feed Composition'!$N$21</f>
        <v>3.2875954055489003</v>
      </c>
      <c r="CW27">
        <f>'eLLE Bals'!CC27*'Oxidant Feed Composition'!$N$22</f>
        <v>0.98627862166467006</v>
      </c>
      <c r="CX27">
        <f>CU27/CP27</f>
        <v>7.8902289733173647E-2</v>
      </c>
      <c r="CY27">
        <f>CV27/CP27</f>
        <v>3.9451144866586807</v>
      </c>
      <c r="CZ27">
        <f>CJ27</f>
        <v>1.2134817621653402</v>
      </c>
      <c r="DA27">
        <f>'eLLE Bals'!BQ27</f>
        <v>2.4269635243306804</v>
      </c>
      <c r="DB27">
        <f>'eLLE Bals'!BU27</f>
        <v>6.9430819689317742</v>
      </c>
      <c r="DC27">
        <f>CS27</f>
        <v>1.9725572433293401</v>
      </c>
      <c r="DD27">
        <f>'eLLE Bals'!BX27</f>
        <v>3.9451144866586803</v>
      </c>
      <c r="DE27">
        <f>'eLLE Bals'!CA27</f>
        <v>21.924497000582434</v>
      </c>
      <c r="DF27">
        <f>2*2*(CJ27*'Reagent cost'!$C$36*122.44/1000*0.5+CK27*'Oxidant Feed Composition'!$N$26+CQ27*'Reagent cost'!$C$34+CR27*'Reagent cost'!$C$35)</f>
        <v>81.514771044557094</v>
      </c>
      <c r="DG27">
        <f>2*2*(CS27*'Reagent cost'!$C$36*122.44/1000*0.5+CT27*'Oxidant Feed Composition'!$N$26+CX27*'Reagent cost'!$C$34+CY27*'Reagent cost'!$C$35)</f>
        <v>132.50512457258125</v>
      </c>
      <c r="DH27">
        <f>(AF27+3)*2*(CZ27*'Reagent cost'!$C$38*0.5+DA27*'Reagent cost'!$C$39+DB27*'Reagent cost'!$C$36*122.44/1000)</f>
        <v>1509.1514888769705</v>
      </c>
      <c r="DI27">
        <f>3*2*(DC27*'Reagent cost'!$C$38*0.5+DD27*'Reagent cost'!$C$39+DE27*'Reagent cost'!$C$36*122.44/1000)</f>
        <v>1165.2112565984869</v>
      </c>
      <c r="DJ27">
        <f>7963.6*(CB27/1000)^0.6*1.7*('CAPEX+OPEX'!$G$116/'CAPEX+OPEX'!$G$115)</f>
        <v>2273.7926954959794</v>
      </c>
      <c r="DK27">
        <f>7963.6*(CC27/1000)^0.6*1.7*('CAPEX+OPEX'!$G$116/'CAPEX+OPEX'!$G$115)</f>
        <v>6243.5072626595684</v>
      </c>
      <c r="DL27">
        <f>7963.6*(CD27/1000)^0.6*1.7*('CAPEX+OPEX'!$G$116/'CAPEX+OPEX'!$G$115)</f>
        <v>3043.3274552652783</v>
      </c>
      <c r="DM27">
        <f>7963.6*(CE27/1000)^0.6*1.7*('CAPEX+OPEX'!$G$116/'CAPEX+OPEX'!$G$115)</f>
        <v>6726.1638820022836</v>
      </c>
      <c r="DN27">
        <f>'TEA Revised Non EYZ'!CM27</f>
        <v>39625.826528698344</v>
      </c>
      <c r="DO27">
        <f>'TEA Revised Non EYZ'!CN27</f>
        <v>4586243.4239371875</v>
      </c>
      <c r="DP27">
        <f>'TEA Revised Non EYZ'!CO27</f>
        <v>11794834.586807497</v>
      </c>
      <c r="DQ27">
        <f>'TEA Revised Non EYZ'!CP27</f>
        <v>2275209.1661185985</v>
      </c>
      <c r="DR27">
        <f>'TEA Revised Non EYZ'!CQ27</f>
        <v>14083914.336508472</v>
      </c>
      <c r="DS27">
        <f>'TEA Revised Non EYZ'!CR27</f>
        <v>1662824.8986326549</v>
      </c>
      <c r="DT27">
        <f>'TEA Revised Non EYZ'!CS27</f>
        <v>589054.93036564998</v>
      </c>
      <c r="DU27">
        <f>'TEA Revised Non EYZ'!CT27</f>
        <v>1514922.9606835202</v>
      </c>
      <c r="DV27">
        <f>'TEA Revised Non EYZ'!CU27</f>
        <v>292226.78628879401</v>
      </c>
      <c r="DW27">
        <f>'TEA Revised Non EYZ'!CV27</f>
        <v>1808931.2781495745</v>
      </c>
      <c r="DX27">
        <f>'TEA Revised Non EYZ'!CW27</f>
        <v>213572.44139332071</v>
      </c>
      <c r="DY27">
        <f>'TEA Revised Non EYZ'!CX27</f>
        <v>4418708.3968808586</v>
      </c>
      <c r="DZ27">
        <f>'TEA Revised Non EYZ'!CY27</f>
        <v>756078.12158013834</v>
      </c>
      <c r="EA27">
        <f>'TEA Revised Non EYZ'!CZ27</f>
        <v>1944470.7911046974</v>
      </c>
      <c r="EB27">
        <f>'TEA Revised Non EYZ'!DA27</f>
        <v>375086.03741841484</v>
      </c>
      <c r="EC27">
        <f>'TEA Revised Non EYZ'!DB27</f>
        <v>2321843.5027814927</v>
      </c>
      <c r="ED27">
        <f>'TEA Revised Non EYZ'!DC27</f>
        <v>274129.6982434399</v>
      </c>
      <c r="EE27">
        <f>'TEA Revised Non EYZ'!DD27</f>
        <v>5671608.1511281831</v>
      </c>
      <c r="EF27">
        <v>0.7</v>
      </c>
      <c r="EG27">
        <v>100</v>
      </c>
      <c r="EH27">
        <f>96485*BL27*V27/EF27/EG27/60</f>
        <v>27.876854243457824</v>
      </c>
      <c r="EI27">
        <f>96485*BN27*BA27/EF27/EG27/60</f>
        <v>45.314806100626519</v>
      </c>
      <c r="EJ27">
        <f>EH27*('CAPEX+OPEX'!$O$25+'CAPEX+OPEX'!$O$26)</f>
        <v>888491.09844748781</v>
      </c>
      <c r="EK27">
        <f>EI27*('CAPEX+OPEX'!$O$25+'CAPEX+OPEX'!$O$26)</f>
        <v>1444273.5000391684</v>
      </c>
      <c r="EL27">
        <f>EJ27*1.12/0.6*'CAPEX+OPEX'!$G$116/'CAPEX+OPEX'!$G$115</f>
        <v>1956151.2069656507</v>
      </c>
      <c r="EM27">
        <f>EK27*1.12/0.6*'CAPEX+OPEX'!$G$116/'CAPEX+OPEX'!$G$115</f>
        <v>3179792.5215309313</v>
      </c>
      <c r="EN27">
        <f>EL27+EM27+DY27+EE27+1.15*(SUM(DF27:DM27)+SUM(CF27:CI27))</f>
        <v>15313704.324113877</v>
      </c>
      <c r="EO27">
        <f>EN27/15</f>
        <v>1020913.6216075919</v>
      </c>
      <c r="EP27">
        <f>('eLLE Bals'!CB27+'eLLE Bals'!CC27)*'Oxidant Feed Composition'!$N$29*60*7200</f>
        <v>7947119.3328364957</v>
      </c>
      <c r="EQ27" s="53">
        <f>('eLLE Bals'!BR27+'eLLE Bals'!BY27)*'Reagent cost'!$C$38*60*7200*0.5</f>
        <v>254445.37296343758</v>
      </c>
      <c r="ER27">
        <f>'TEA Revised Non EYZ'!DI27</f>
        <v>504921.59999999998</v>
      </c>
      <c r="ES27">
        <f>'TEA Revised Non EYZ'!DJ27</f>
        <v>79.708205311099533</v>
      </c>
      <c r="ET27">
        <f>'TEA Revised Non EYZ'!DK27</f>
        <v>937.84615600844938</v>
      </c>
      <c r="EU27">
        <f>1.2*SUM(EP27:ET27)</f>
        <v>10449004.632193502</v>
      </c>
      <c r="EV27">
        <f>'TEA Revised Non EYZ'!DM27</f>
        <v>0.70639694042110623</v>
      </c>
      <c r="EW27">
        <f>(BS27*CO27+BT27*CP27)/1000*('Oxidant Feed Composition'!$B$11*'Oxidant Feed Composition'!$O$20+'Oxidant Feed Composition'!$D$11*'Oxidant Feed Composition'!$O$21+'Oxidant Feed Composition'!$F$11*'Oxidant Feed Composition'!$O$27-'Oxidant Feed Composition'!$J$15*18.015)</f>
        <v>1.8604004983937681</v>
      </c>
      <c r="EX27">
        <f>(CZ27*BX27+DC27*BZ27)*368.34/1000</f>
        <v>0.10272497932548799</v>
      </c>
      <c r="EY27">
        <f>'TEA Revised Non EYZ'!DP27</f>
        <v>4.999938342565946E-2</v>
      </c>
      <c r="EZ27">
        <f>SUM(EV27:EX27)-EY27</f>
        <v>2.6195230347147032</v>
      </c>
      <c r="FA27">
        <f>EZ27*0.33*60*7200</f>
        <v>373439.20382892806</v>
      </c>
      <c r="FB27">
        <f>'TEA Revised Non EYZ'!DS27</f>
        <v>1.2</v>
      </c>
      <c r="FC27">
        <v>0.5</v>
      </c>
      <c r="FD27">
        <f>'TEA Revised Non EYZ'!DT27</f>
        <v>1406.4874310909718</v>
      </c>
      <c r="FE27">
        <f>'TEA Revised Non EYZ'!DU27</f>
        <v>706.75901790821581</v>
      </c>
      <c r="FF27">
        <f>'TEA Revised Non EYZ'!DV27</f>
        <v>0.7</v>
      </c>
      <c r="FG27">
        <f>'TEA Revised Non EYZ'!DW27</f>
        <v>33024.331428945443</v>
      </c>
      <c r="FH27">
        <f>'TEA Revised Non EYZ'!DX27</f>
        <v>24915.659383376755</v>
      </c>
      <c r="FI27">
        <f>'TEA Revised Non EYZ'!DY27</f>
        <v>10548.968690542577</v>
      </c>
      <c r="FJ27">
        <f>'TEA Revised Non EYZ'!DZ27</f>
        <v>5588.0830181845758</v>
      </c>
      <c r="FK27">
        <f>'TEA Revised Non EYZ'!EA27</f>
        <v>5626.1166349560426</v>
      </c>
      <c r="FL27">
        <f>'TEA Revised Non EYZ'!EB27</f>
        <v>850.64359832381979</v>
      </c>
      <c r="FM27">
        <f>'TEA Revised Non EYZ'!EC27</f>
        <v>41160.226408857045</v>
      </c>
      <c r="FN27">
        <f>'TEA Revised Non EYZ'!ED27</f>
        <v>38811.239454126779</v>
      </c>
      <c r="FO27">
        <f>'TEA Revised Non EYZ'!EE27</f>
        <v>16432.17799469077</v>
      </c>
      <c r="FP27">
        <f>'TEA Revised Non EYZ'!EF27</f>
        <v>8709.3972486977145</v>
      </c>
      <c r="FQ27">
        <f>'TEA Revised Non EYZ'!EG27</f>
        <v>8763.8282638350811</v>
      </c>
      <c r="FR27">
        <f>'TEA Revised Non EYZ'!EH27</f>
        <v>427.44785403088895</v>
      </c>
      <c r="FS27">
        <f>'TEA Revised Non EYZ'!EI27</f>
        <v>194858.1199785675</v>
      </c>
      <c r="FT27">
        <f>EG27*EH27</f>
        <v>2787.6854243457824</v>
      </c>
      <c r="FU27">
        <f>EG27*EI27</f>
        <v>4531.480610062652</v>
      </c>
      <c r="FV27">
        <f>FC27*(FT27+FU27)/(3.6*10^6)*3600*7200*0.07</f>
        <v>1844.4298406709254</v>
      </c>
      <c r="FW27">
        <f>('CAPEX+OPEX'!$C$39/7/100+0.03)*EL27</f>
        <v>100602.06207251917</v>
      </c>
      <c r="FX27">
        <f>('CAPEX+OPEX'!$C$39/7/100+0.03)*EM27</f>
        <v>163532.18682159076</v>
      </c>
      <c r="FY27">
        <f>SUM(FV27:FX27)</f>
        <v>265978.67873478087</v>
      </c>
      <c r="FZ27">
        <f>FY27+FA27+FS27+EU27</f>
        <v>11283280.634735778</v>
      </c>
      <c r="GA27">
        <f>FZ27+EO27</f>
        <v>12304194.25634337</v>
      </c>
      <c r="GB27">
        <f>GA27/(BK27*60*7200)</f>
        <v>0.28481931148942985</v>
      </c>
      <c r="GC27">
        <f>'TEA Revised Non EYZ'!EM27/'TEA Revised Non EYZ'!EK27*GA27</f>
        <v>952.78347882811397</v>
      </c>
      <c r="GD27">
        <f>'TEA Revised Non EYZ'!EN27/'TEA Revised Non EYZ'!EK27*GA27</f>
        <v>1746.3679317168667</v>
      </c>
    </row>
    <row r="28" spans="1:186">
      <c r="A28">
        <f>'TEA Revised Non EYZ'!A28</f>
        <v>5</v>
      </c>
      <c r="B28">
        <f>'TEA Revised Non EYZ'!B28</f>
        <v>1.54143585092054E-3</v>
      </c>
      <c r="C28">
        <f>'TEA Revised Non EYZ'!C28</f>
        <v>1.54143585092054E-3</v>
      </c>
      <c r="D28">
        <f>'TEA Revised Non EYZ'!D28</f>
        <v>3.4254130020456501E-4</v>
      </c>
      <c r="E28">
        <f>'TEA Revised Non EYZ'!E28</f>
        <v>0</v>
      </c>
      <c r="F28">
        <f>'TEA Revised Non EYZ'!F28</f>
        <v>0</v>
      </c>
      <c r="G28">
        <f>'TEA Revised Non EYZ'!G28</f>
        <v>0</v>
      </c>
      <c r="H28">
        <f>'TEA Revised Non EYZ'!H28</f>
        <v>1.7558377832426001E-5</v>
      </c>
      <c r="I28">
        <f>'TEA Revised Non EYZ'!I28</f>
        <v>1.05063644964669E-7</v>
      </c>
      <c r="J28">
        <f>'TEA Revised Non EYZ'!J28</f>
        <v>3.35605387572801E-4</v>
      </c>
      <c r="K28">
        <f>'TEA Revised Non EYZ'!K28</f>
        <v>0.12557893497872399</v>
      </c>
      <c r="L28">
        <f>'TEA Revised Non EYZ'!L28</f>
        <v>0.12701721899235199</v>
      </c>
      <c r="M28">
        <f>'TEA Revised Non EYZ'!M28</f>
        <v>5.7157122982957897E-4</v>
      </c>
      <c r="N28">
        <f>'TEA Revised Non EYZ'!N28</f>
        <v>-1.88000656708986E-16</v>
      </c>
      <c r="O28">
        <f>'TEA Revised Non EYZ'!O28</f>
        <v>-6.2354635343986299E-15</v>
      </c>
      <c r="P28">
        <f>'TEA Revised Non EYZ'!P28</f>
        <v>-1.51703600853245E-18</v>
      </c>
      <c r="Q28">
        <f>'TEA Revised Non EYZ'!Q28</f>
        <v>0.121348176216534</v>
      </c>
      <c r="R28">
        <f>'TEA Revised Non EYZ'!R28</f>
        <v>97.975160184298204</v>
      </c>
      <c r="S28">
        <f>'TEA Revised Non EYZ'!S28</f>
        <v>500</v>
      </c>
      <c r="T28">
        <f>'TEA Revised Non EYZ'!T28</f>
        <v>95</v>
      </c>
      <c r="U28">
        <f>'TEA Revised Non EYZ'!U28</f>
        <v>1</v>
      </c>
      <c r="V28">
        <f>'TEA Revised Non EYZ'!V28</f>
        <v>0.1</v>
      </c>
      <c r="W28">
        <f>'TEA Revised Non EYZ'!W28</f>
        <v>82.407501388038199</v>
      </c>
      <c r="X28" t="str">
        <f>'TEA Revised Non EYZ'!X28</f>
        <v>ddFc</v>
      </c>
      <c r="Y28">
        <f>'TEA Revised Non EYZ'!Y28</f>
        <v>1</v>
      </c>
      <c r="Z28">
        <f>'TEA Revised Non EYZ'!Z28</f>
        <v>0.28318429382522198</v>
      </c>
      <c r="AA28">
        <f>'TEA Revised Non EYZ'!AA28</f>
        <v>0.56945642916197003</v>
      </c>
      <c r="AB28">
        <f>'TEA Revised Non EYZ'!AB28</f>
        <v>3.7698628972227502E-3</v>
      </c>
      <c r="AC28">
        <f>'TEA Revised Non EYZ'!AC28</f>
        <v>1822.2107908876901</v>
      </c>
      <c r="AD28">
        <f>'TEA Revised Non EYZ'!AD28</f>
        <v>2662.6059073104898</v>
      </c>
      <c r="AE28">
        <f>'TEA Revised Non EYZ'!AE28</f>
        <v>2401.5030938442701</v>
      </c>
      <c r="AF28">
        <f>'TEA Revised Non EYZ'!AF28</f>
        <v>10</v>
      </c>
      <c r="AG28">
        <f>'TEA Revised Non EYZ'!AG28</f>
        <v>1.64912412966352E-3</v>
      </c>
      <c r="AH28">
        <f>'TEA Revised Non EYZ'!AH28</f>
        <v>1.66801192221077E-3</v>
      </c>
      <c r="AI28">
        <f>'TEA Revised Non EYZ'!AI28</f>
        <v>7.5059714998626504E-6</v>
      </c>
      <c r="AJ28">
        <f>'TEA Revised Non EYZ'!AJ28</f>
        <v>0</v>
      </c>
      <c r="AK28">
        <f>'TEA Revised Non EYZ'!AK28</f>
        <v>0</v>
      </c>
      <c r="AL28">
        <f>'TEA Revised Non EYZ'!AL28</f>
        <v>0</v>
      </c>
      <c r="AM28">
        <f>'TEA Revised Non EYZ'!AM28</f>
        <v>1.6121362331363101E-3</v>
      </c>
      <c r="AN28">
        <f>'TEA Revised Non EYZ'!AN28</f>
        <v>7.7392739668893999E-5</v>
      </c>
      <c r="AO28">
        <f>'TEA Revised Non EYZ'!AO28</f>
        <v>7.4565357583961302E-6</v>
      </c>
      <c r="AP28">
        <f>'TEA Revised Non EYZ'!AP28</f>
        <v>1.73286538721668E-3</v>
      </c>
      <c r="AQ28">
        <f>'TEA Revised Non EYZ'!AQ28</f>
        <v>7.4519753455558904E-2</v>
      </c>
      <c r="AR28">
        <f>'TEA Revised Non EYZ'!AR28</f>
        <v>2.3160410123781799E-6</v>
      </c>
      <c r="AS28">
        <f>'TEA Revised Non EYZ'!AS28</f>
        <v>1.6048882329425901E-14</v>
      </c>
      <c r="AT28">
        <f>'TEA Revised Non EYZ'!AT28</f>
        <v>-1.6442669708433E-12</v>
      </c>
      <c r="AU28">
        <f>'TEA Revised Non EYZ'!AU28</f>
        <v>1.7745340244977501E-19</v>
      </c>
      <c r="AV28">
        <f>'TEA Revised Non EYZ'!AV28</f>
        <v>0.19723841758619901</v>
      </c>
      <c r="AW28">
        <f>'TEA Revised Non EYZ'!AW28</f>
        <v>99.341381172744505</v>
      </c>
      <c r="AX28">
        <f>'TEA Revised Non EYZ'!AX28</f>
        <v>500</v>
      </c>
      <c r="AY28">
        <f>'TEA Revised Non EYZ'!AY28</f>
        <v>95</v>
      </c>
      <c r="AZ28">
        <f>'TEA Revised Non EYZ'!AZ28</f>
        <v>0.92405262022284995</v>
      </c>
      <c r="BA28">
        <f>'TEA Revised Non EYZ'!BA28</f>
        <v>0.1</v>
      </c>
      <c r="BB28">
        <f>'TEA Revised Non EYZ'!BB28</f>
        <v>46.849525134676597</v>
      </c>
      <c r="BC28" t="str">
        <f>'TEA Revised Non EYZ'!BC28</f>
        <v>coeFc</v>
      </c>
      <c r="BD28">
        <f>'TEA Revised Non EYZ'!BD28</f>
        <v>1</v>
      </c>
      <c r="BE28">
        <f>'TEA Revised Non EYZ'!BE28</f>
        <v>1.8775014999999999E-2</v>
      </c>
      <c r="BF28">
        <f>'TEA Revised Non EYZ'!BF28</f>
        <v>0.10492961100000001</v>
      </c>
      <c r="BG28">
        <f>'TEA Revised Non EYZ'!BG28</f>
        <v>1.814625E-3</v>
      </c>
      <c r="BH28">
        <f>'TEA Revised Non EYZ'!BH28</f>
        <v>285.1951444</v>
      </c>
      <c r="BI28">
        <f>'TEA Revised Non EYZ'!BI28</f>
        <v>2169.8944889999998</v>
      </c>
      <c r="BJ28">
        <f>'TEA Revised Non EYZ'!BJ28</f>
        <v>866.49409060000005</v>
      </c>
      <c r="BK28">
        <f>'TEA Revised Non EYZ'!BK28</f>
        <v>100</v>
      </c>
      <c r="BL28">
        <f>'TEA Revised Non EYZ'!BL28</f>
        <v>12.134817621653401</v>
      </c>
      <c r="BM28">
        <f>'TEA Revised Non EYZ'!BM28</f>
        <v>92.405262022285001</v>
      </c>
      <c r="BN28">
        <f>'TEA Revised Non EYZ'!BN28</f>
        <v>19.723841758619901</v>
      </c>
      <c r="BO28">
        <f>'TEA Revised Non EYZ'!BO28</f>
        <v>169.88744670314762</v>
      </c>
      <c r="BP28">
        <f>'TEA Revised Non EYZ'!BP28</f>
        <v>473.37220220687766</v>
      </c>
      <c r="BQ28">
        <f>'TEA Revised Non EYZ'!BQ28</f>
        <v>16.988744670314762</v>
      </c>
      <c r="BR28">
        <f>'TEA Revised Non EYZ'!BR28</f>
        <v>47.337220220687769</v>
      </c>
      <c r="BS28">
        <f>'eLLE Bals'!CF28</f>
        <v>7.2808905729920399</v>
      </c>
      <c r="BT28">
        <f>'eLLE Bals'!CG28</f>
        <v>11.83430505517194</v>
      </c>
      <c r="BU28">
        <f>BM28</f>
        <v>92.405262022285001</v>
      </c>
      <c r="BV28">
        <f>BU28*(AM28*2+AN28*2+AO28*3)</f>
        <v>0.31430980427421323</v>
      </c>
      <c r="BW28">
        <f>BN28*BA28*(AP28*2+AQ28*2+AR28*3)</f>
        <v>0.30081262191498315</v>
      </c>
      <c r="BX28">
        <f>BV28/(2*V28*BL28+BV28)</f>
        <v>0.11465832355877252</v>
      </c>
      <c r="BY28">
        <f>BU28*BX28</f>
        <v>10.595032431484308</v>
      </c>
      <c r="BZ28">
        <f>BW28/(2*BN28*BA28+BW28)</f>
        <v>7.085311145465005E-2</v>
      </c>
      <c r="CA28">
        <f>2*BN28*BA28/0.04</f>
        <v>98.619208793099503</v>
      </c>
      <c r="CB28">
        <f>(BS28+BL28)*2</f>
        <v>38.831416389290879</v>
      </c>
      <c r="CC28">
        <f>(BU28+BL28)*2</f>
        <v>209.0801592878768</v>
      </c>
      <c r="CD28">
        <f>(BT28+BN28)*2</f>
        <v>63.116293627583687</v>
      </c>
      <c r="CE28">
        <f>(CA28+BN28)*2</f>
        <v>236.6861011034388</v>
      </c>
      <c r="CF28">
        <f>'TEA Revised Non EYZ'!CB28</f>
        <v>2242.5142964815486</v>
      </c>
      <c r="CG28">
        <f>'TEA Revised Non EYZ'!CC28</f>
        <v>6248.5130691307859</v>
      </c>
      <c r="CH28">
        <f>'TEA Revised Non EYZ'!CD28</f>
        <v>2709.3726906065185</v>
      </c>
      <c r="CI28">
        <f>'TEA Revised Non EYZ'!CE28</f>
        <v>48195.336659432556</v>
      </c>
      <c r="CJ28">
        <f>BL28*V28</f>
        <v>1.2134817621653402</v>
      </c>
      <c r="CK28">
        <f>CJ28/2*1.2</f>
        <v>0.72808905729920415</v>
      </c>
      <c r="CL28">
        <f>'eLLE Bals'!CB28*'Oxidant Feed Composition'!$N$20</f>
        <v>4.0449392072178021E-2</v>
      </c>
      <c r="CM28">
        <f>'eLLE Bals'!CB28*'Oxidant Feed Composition'!$N$21</f>
        <v>2.0224696036089003</v>
      </c>
      <c r="CN28">
        <f>'eLLE Bals'!CB28*'Oxidant Feed Composition'!$N$22</f>
        <v>0.6067408810826701</v>
      </c>
      <c r="CO28">
        <f>CN28/CK28</f>
        <v>0.83333333333333326</v>
      </c>
      <c r="CP28">
        <f>CO28</f>
        <v>0.83333333333333326</v>
      </c>
      <c r="CQ28">
        <f>CL28/CO28</f>
        <v>4.8539270486613627E-2</v>
      </c>
      <c r="CR28">
        <f>CM28/CO28</f>
        <v>2.4269635243306804</v>
      </c>
      <c r="CS28">
        <f>BN28*BA28</f>
        <v>1.9723841758619902</v>
      </c>
      <c r="CT28">
        <f>CS28/2*1.2</f>
        <v>1.1834305055171941</v>
      </c>
      <c r="CU28">
        <f>'eLLE Bals'!CC28*'Oxidant Feed Composition'!$N$20</f>
        <v>6.5746139195399705E-2</v>
      </c>
      <c r="CV28">
        <f>'eLLE Bals'!CC28*'Oxidant Feed Composition'!$N$21</f>
        <v>3.287306959769984</v>
      </c>
      <c r="CW28">
        <f>'eLLE Bals'!CC28*'Oxidant Feed Composition'!$N$22</f>
        <v>0.98619208793099511</v>
      </c>
      <c r="CX28">
        <f>CU28/CP28</f>
        <v>7.8895367034479649E-2</v>
      </c>
      <c r="CY28">
        <f>CV28/CP28</f>
        <v>3.9447683517239813</v>
      </c>
      <c r="CZ28">
        <f>CJ28</f>
        <v>1.2134817621653402</v>
      </c>
      <c r="DA28">
        <f>'eLLE Bals'!BQ28</f>
        <v>2.4269635243306804</v>
      </c>
      <c r="DB28">
        <f>'eLLE Bals'!BU28</f>
        <v>6.9430145513031434</v>
      </c>
      <c r="DC28">
        <f>CS28</f>
        <v>1.9723841758619902</v>
      </c>
      <c r="DD28">
        <f>'eLLE Bals'!BX28</f>
        <v>3.9447683517239804</v>
      </c>
      <c r="DE28">
        <f>'eLLE Bals'!CA28</f>
        <v>21.920498287853889</v>
      </c>
      <c r="DF28">
        <f>2*2*(CJ28*'Reagent cost'!$C$36*122.44/1000*0.5+CK28*'Oxidant Feed Composition'!$N$26+CQ28*'Reagent cost'!$C$34+CR28*'Reagent cost'!$C$35)</f>
        <v>81.514771044557094</v>
      </c>
      <c r="DG28">
        <f>2*2*(CS28*'Reagent cost'!$C$36*122.44/1000*0.5+CT28*'Oxidant Feed Composition'!$N$26+CX28*'Reagent cost'!$C$34+CY28*'Reagent cost'!$C$35)</f>
        <v>132.49349888901835</v>
      </c>
      <c r="DH28">
        <f>(AF28+3)*2*(CZ28*'Reagent cost'!$C$38*0.5+DA28*'Reagent cost'!$C$39+DB28*'Reagent cost'!$C$36*122.44/1000)</f>
        <v>1634.8989564873682</v>
      </c>
      <c r="DI28">
        <f>3*2*(DC28*'Reagent cost'!$C$38*0.5+DD28*'Reagent cost'!$C$39+DE28*'Reagent cost'!$C$36*122.44/1000)</f>
        <v>1165.0013664787534</v>
      </c>
      <c r="DJ28">
        <f>7963.6*(CB28/1000)^0.6*1.7*('CAPEX+OPEX'!$G$116/'CAPEX+OPEX'!$G$115)</f>
        <v>2273.7926954959794</v>
      </c>
      <c r="DK28">
        <f>7963.6*(CC28/1000)^0.6*1.7*('CAPEX+OPEX'!$G$116/'CAPEX+OPEX'!$G$115)</f>
        <v>6243.5072626595684</v>
      </c>
      <c r="DL28">
        <f>7963.6*(CD28/1000)^0.6*1.7*('CAPEX+OPEX'!$G$116/'CAPEX+OPEX'!$G$115)</f>
        <v>3043.167243878931</v>
      </c>
      <c r="DM28">
        <f>7963.6*(CE28/1000)^0.6*1.7*('CAPEX+OPEX'!$G$116/'CAPEX+OPEX'!$G$115)</f>
        <v>6725.809793243784</v>
      </c>
      <c r="DN28">
        <f>'TEA Revised Non EYZ'!CM28</f>
        <v>39625.826528698344</v>
      </c>
      <c r="DO28">
        <f>'TEA Revised Non EYZ'!CN28</f>
        <v>4586243.4239371875</v>
      </c>
      <c r="DP28">
        <f>'TEA Revised Non EYZ'!CO28</f>
        <v>11794834.586807497</v>
      </c>
      <c r="DQ28">
        <f>'TEA Revised Non EYZ'!CP28</f>
        <v>2275209.1661185985</v>
      </c>
      <c r="DR28">
        <f>'TEA Revised Non EYZ'!CQ28</f>
        <v>14083914.336508472</v>
      </c>
      <c r="DS28">
        <f>'TEA Revised Non EYZ'!CR28</f>
        <v>1662824.8986326549</v>
      </c>
      <c r="DT28">
        <f>'TEA Revised Non EYZ'!CS28</f>
        <v>589054.93036564998</v>
      </c>
      <c r="DU28">
        <f>'TEA Revised Non EYZ'!CT28</f>
        <v>1514922.9606835202</v>
      </c>
      <c r="DV28">
        <f>'TEA Revised Non EYZ'!CU28</f>
        <v>292226.78628879401</v>
      </c>
      <c r="DW28">
        <f>'TEA Revised Non EYZ'!CV28</f>
        <v>1808931.2781495745</v>
      </c>
      <c r="DX28">
        <f>'TEA Revised Non EYZ'!CW28</f>
        <v>213572.44139332071</v>
      </c>
      <c r="DY28">
        <f>'TEA Revised Non EYZ'!CX28</f>
        <v>4418708.3968808586</v>
      </c>
      <c r="DZ28">
        <f>'TEA Revised Non EYZ'!CY28</f>
        <v>800575.47606687353</v>
      </c>
      <c r="EA28">
        <f>'TEA Revised Non EYZ'!CZ28</f>
        <v>2058908.4445842884</v>
      </c>
      <c r="EB28">
        <f>'TEA Revised Non EYZ'!DA28</f>
        <v>397160.92081161588</v>
      </c>
      <c r="EC28">
        <f>'TEA Revised Non EYZ'!DB28</f>
        <v>2458490.6169580934</v>
      </c>
      <c r="ED28">
        <f>'TEA Revised Non EYZ'!DC28</f>
        <v>290263.0130556543</v>
      </c>
      <c r="EE28">
        <f>'TEA Revised Non EYZ'!DD28</f>
        <v>6005398.4714765251</v>
      </c>
      <c r="EF28">
        <v>0.7</v>
      </c>
      <c r="EG28">
        <v>100</v>
      </c>
      <c r="EH28">
        <f>96485*BL28*V28/EF28/EG28/60</f>
        <v>27.876854243457824</v>
      </c>
      <c r="EI28">
        <f>96485*BN28*BA28/EF28/EG28/60</f>
        <v>45.31083028762955</v>
      </c>
      <c r="EJ28">
        <f>EH28*('CAPEX+OPEX'!$O$25+'CAPEX+OPEX'!$O$26)</f>
        <v>888491.09844748781</v>
      </c>
      <c r="EK28">
        <f>EI28*('CAPEX+OPEX'!$O$25+'CAPEX+OPEX'!$O$26)</f>
        <v>1444146.782927329</v>
      </c>
      <c r="EL28">
        <f>EJ28*1.12/0.6*'CAPEX+OPEX'!$G$116/'CAPEX+OPEX'!$G$115</f>
        <v>1956151.2069656507</v>
      </c>
      <c r="EM28">
        <f>EK28*1.12/0.6*'CAPEX+OPEX'!$G$116/'CAPEX+OPEX'!$G$115</f>
        <v>3179513.5341199134</v>
      </c>
      <c r="EN28">
        <f>EL28+EM28+DY28+EE28+1.15*(SUM(DF28:DM28)+SUM(CF28:CI28))</f>
        <v>15652571.920092352</v>
      </c>
      <c r="EO28">
        <f>EN28/15</f>
        <v>1043504.7946728234</v>
      </c>
      <c r="EP28">
        <f>('eLLE Bals'!CB28+'eLLE Bals'!CC28)*'Oxidant Feed Composition'!$N$29*60*7200</f>
        <v>7946687.6407532245</v>
      </c>
      <c r="EQ28" s="53">
        <f>('eLLE Bals'!BR28+'eLLE Bals'!BY28)*'Reagent cost'!$C$38*60*7200*0.5</f>
        <v>254444.49845818517</v>
      </c>
      <c r="ER28">
        <f>'TEA Revised Non EYZ'!DI28</f>
        <v>504921.59999999998</v>
      </c>
      <c r="ES28">
        <f>'TEA Revised Non EYZ'!DJ28</f>
        <v>84.910273656123351</v>
      </c>
      <c r="ET28">
        <f>'TEA Revised Non EYZ'!DK28</f>
        <v>1018.0941870007815</v>
      </c>
      <c r="EU28">
        <f>1.2*SUM(EP28:ET28)</f>
        <v>10448588.09240648</v>
      </c>
      <c r="EV28">
        <f>'TEA Revised Non EYZ'!DM28</f>
        <v>0.70639694042110623</v>
      </c>
      <c r="EW28">
        <f>(BS28*CO28+BT28*CP28)/1000*('Oxidant Feed Composition'!$B$11*'Oxidant Feed Composition'!$O$20+'Oxidant Feed Composition'!$D$11*'Oxidant Feed Composition'!$O$21+'Oxidant Feed Composition'!$F$11*'Oxidant Feed Composition'!$O$27-'Oxidant Feed Composition'!$J$15*18.015)</f>
        <v>1.8602994403709507</v>
      </c>
      <c r="EX28">
        <f>(CZ28*BX28+DC28*BZ28)*368.34/1000</f>
        <v>0.10272462626921927</v>
      </c>
      <c r="EY28">
        <f>'TEA Revised Non EYZ'!DP28</f>
        <v>4.999938342565946E-2</v>
      </c>
      <c r="EZ28">
        <f>SUM(EV28:EX28)-EY28</f>
        <v>2.6194216236356169</v>
      </c>
      <c r="FA28">
        <f>EZ28*0.33*60*7200</f>
        <v>373424.74666549359</v>
      </c>
      <c r="FB28">
        <f>'TEA Revised Non EYZ'!DS28</f>
        <v>1.2</v>
      </c>
      <c r="FC28">
        <v>0.5</v>
      </c>
      <c r="FD28">
        <f>'TEA Revised Non EYZ'!DT28</f>
        <v>1406.4975590407691</v>
      </c>
      <c r="FE28">
        <f>'TEA Revised Non EYZ'!DU28</f>
        <v>706.74889069113362</v>
      </c>
      <c r="FF28">
        <f>'TEA Revised Non EYZ'!DV28</f>
        <v>0.7</v>
      </c>
      <c r="FG28">
        <f>'TEA Revised Non EYZ'!DW28</f>
        <v>33024.331428945443</v>
      </c>
      <c r="FH28">
        <f>'TEA Revised Non EYZ'!DX28</f>
        <v>24915.659383376755</v>
      </c>
      <c r="FI28">
        <f>'TEA Revised Non EYZ'!DY28</f>
        <v>10548.968690542577</v>
      </c>
      <c r="FJ28">
        <f>'TEA Revised Non EYZ'!DZ28</f>
        <v>5588.0830181845758</v>
      </c>
      <c r="FK28">
        <f>'TEA Revised Non EYZ'!EA28</f>
        <v>5626.1166349560426</v>
      </c>
      <c r="FL28">
        <f>'TEA Revised Non EYZ'!EB28</f>
        <v>850.64972370785733</v>
      </c>
      <c r="FM28">
        <f>'TEA Revised Non EYZ'!EC28</f>
        <v>43732.740559410609</v>
      </c>
      <c r="FN28">
        <f>'TEA Revised Non EYZ'!ED28</f>
        <v>42692.363399539456</v>
      </c>
      <c r="FO28">
        <f>'TEA Revised Non EYZ'!EE28</f>
        <v>18075.395794159842</v>
      </c>
      <c r="FP28">
        <f>'TEA Revised Non EYZ'!EF28</f>
        <v>9580.336973567486</v>
      </c>
      <c r="FQ28">
        <f>'TEA Revised Non EYZ'!EG28</f>
        <v>9640.2110902185887</v>
      </c>
      <c r="FR28">
        <f>'TEA Revised Non EYZ'!EH28</f>
        <v>427.44172908999764</v>
      </c>
      <c r="FS28">
        <f>'TEA Revised Non EYZ'!EI28</f>
        <v>204702.29842569926</v>
      </c>
      <c r="FT28">
        <f>EG28*EH28</f>
        <v>2787.6854243457824</v>
      </c>
      <c r="FU28">
        <f>EG28*EI28</f>
        <v>4531.0830287629551</v>
      </c>
      <c r="FV28">
        <f>FC28*(FT28+FU28)/(3.6*10^6)*3600*7200*0.07</f>
        <v>1844.3296501834022</v>
      </c>
      <c r="FW28">
        <f>('CAPEX+OPEX'!$C$39/7/100+0.03)*EL28</f>
        <v>100602.06207251917</v>
      </c>
      <c r="FX28">
        <f>('CAPEX+OPEX'!$C$39/7/100+0.03)*EM28</f>
        <v>163517.83889759553</v>
      </c>
      <c r="FY28">
        <f>SUM(FV28:FX28)</f>
        <v>265964.23062029807</v>
      </c>
      <c r="FZ28">
        <f>FY28+FA28+FS28+EU28</f>
        <v>11292679.368117971</v>
      </c>
      <c r="GA28">
        <f>FZ28+EO28</f>
        <v>12336184.162790794</v>
      </c>
      <c r="GB28">
        <f>GA28/(BK28*60*7200)</f>
        <v>0.28555981858312024</v>
      </c>
      <c r="GC28">
        <f>'TEA Revised Non EYZ'!EM28/'TEA Revised Non EYZ'!EK28*GA28</f>
        <v>955.25375386975782</v>
      </c>
      <c r="GD28">
        <f>'TEA Revised Non EYZ'!EN28/'TEA Revised Non EYZ'!EK28*GA28</f>
        <v>1750.9314747621397</v>
      </c>
    </row>
    <row r="29" spans="1:186">
      <c r="A29">
        <f>'TEA Revised Non EYZ'!A29</f>
        <v>5</v>
      </c>
      <c r="B29">
        <f>'TEA Revised Non EYZ'!B29</f>
        <v>1.54143585092054E-3</v>
      </c>
      <c r="C29">
        <f>'TEA Revised Non EYZ'!C29</f>
        <v>1.54143585092054E-3</v>
      </c>
      <c r="D29">
        <f>'TEA Revised Non EYZ'!D29</f>
        <v>3.4254130020456501E-4</v>
      </c>
      <c r="E29">
        <f>'TEA Revised Non EYZ'!E29</f>
        <v>0</v>
      </c>
      <c r="F29">
        <f>'TEA Revised Non EYZ'!F29</f>
        <v>0</v>
      </c>
      <c r="G29">
        <f>'TEA Revised Non EYZ'!G29</f>
        <v>0</v>
      </c>
      <c r="H29">
        <f>'TEA Revised Non EYZ'!H29</f>
        <v>1.7558377832426001E-5</v>
      </c>
      <c r="I29">
        <f>'TEA Revised Non EYZ'!I29</f>
        <v>1.05063644964669E-7</v>
      </c>
      <c r="J29">
        <f>'TEA Revised Non EYZ'!J29</f>
        <v>3.35605387572801E-4</v>
      </c>
      <c r="K29">
        <f>'TEA Revised Non EYZ'!K29</f>
        <v>0.12557893497872399</v>
      </c>
      <c r="L29">
        <f>'TEA Revised Non EYZ'!L29</f>
        <v>0.12701721899235199</v>
      </c>
      <c r="M29">
        <f>'TEA Revised Non EYZ'!M29</f>
        <v>5.7157122982957897E-4</v>
      </c>
      <c r="N29">
        <f>'TEA Revised Non EYZ'!N29</f>
        <v>-1.88000656708986E-16</v>
      </c>
      <c r="O29">
        <f>'TEA Revised Non EYZ'!O29</f>
        <v>-6.2354635343986299E-15</v>
      </c>
      <c r="P29">
        <f>'TEA Revised Non EYZ'!P29</f>
        <v>-1.51703600853245E-18</v>
      </c>
      <c r="Q29">
        <f>'TEA Revised Non EYZ'!Q29</f>
        <v>0.121348176216534</v>
      </c>
      <c r="R29">
        <f>'TEA Revised Non EYZ'!R29</f>
        <v>97.975160184298204</v>
      </c>
      <c r="S29">
        <f>'TEA Revised Non EYZ'!S29</f>
        <v>500</v>
      </c>
      <c r="T29">
        <f>'TEA Revised Non EYZ'!T29</f>
        <v>95</v>
      </c>
      <c r="U29">
        <f>'TEA Revised Non EYZ'!U29</f>
        <v>1</v>
      </c>
      <c r="V29">
        <f>'TEA Revised Non EYZ'!V29</f>
        <v>0.1</v>
      </c>
      <c r="W29">
        <f>'TEA Revised Non EYZ'!W29</f>
        <v>82.407501388038199</v>
      </c>
      <c r="X29" t="str">
        <f>'TEA Revised Non EYZ'!X29</f>
        <v>ddFc</v>
      </c>
      <c r="Y29">
        <f>'TEA Revised Non EYZ'!Y29</f>
        <v>1</v>
      </c>
      <c r="Z29">
        <f>'TEA Revised Non EYZ'!Z29</f>
        <v>0.28318429382522198</v>
      </c>
      <c r="AA29">
        <f>'TEA Revised Non EYZ'!AA29</f>
        <v>0.56945642916197003</v>
      </c>
      <c r="AB29">
        <f>'TEA Revised Non EYZ'!AB29</f>
        <v>3.7698628972227502E-3</v>
      </c>
      <c r="AC29">
        <f>'TEA Revised Non EYZ'!AC29</f>
        <v>1822.2107908876901</v>
      </c>
      <c r="AD29">
        <f>'TEA Revised Non EYZ'!AD29</f>
        <v>2662.6059073104898</v>
      </c>
      <c r="AE29">
        <f>'TEA Revised Non EYZ'!AE29</f>
        <v>2401.5030938442701</v>
      </c>
      <c r="AF29">
        <f>'TEA Revised Non EYZ'!AF29</f>
        <v>11</v>
      </c>
      <c r="AG29">
        <f>'TEA Revised Non EYZ'!AG29</f>
        <v>1.64912412966352E-3</v>
      </c>
      <c r="AH29">
        <f>'TEA Revised Non EYZ'!AH29</f>
        <v>1.66801192221077E-3</v>
      </c>
      <c r="AI29">
        <f>'TEA Revised Non EYZ'!AI29</f>
        <v>7.5059714998626504E-6</v>
      </c>
      <c r="AJ29">
        <f>'TEA Revised Non EYZ'!AJ29</f>
        <v>0</v>
      </c>
      <c r="AK29">
        <f>'TEA Revised Non EYZ'!AK29</f>
        <v>0</v>
      </c>
      <c r="AL29">
        <f>'TEA Revised Non EYZ'!AL29</f>
        <v>0</v>
      </c>
      <c r="AM29">
        <f>'TEA Revised Non EYZ'!AM29</f>
        <v>1.6121395083820099E-3</v>
      </c>
      <c r="AN29">
        <f>'TEA Revised Non EYZ'!AN29</f>
        <v>7.7392907855296494E-5</v>
      </c>
      <c r="AO29">
        <f>'TEA Revised Non EYZ'!AO29</f>
        <v>7.4565399542604097E-6</v>
      </c>
      <c r="AP29">
        <f>'TEA Revised Non EYZ'!AP29</f>
        <v>1.73275480734907E-3</v>
      </c>
      <c r="AQ29">
        <f>'TEA Revised Non EYZ'!AQ29</f>
        <v>7.4521588927651899E-2</v>
      </c>
      <c r="AR29">
        <f>'TEA Revised Non EYZ'!AR29</f>
        <v>2.3159017264239102E-6</v>
      </c>
      <c r="AS29">
        <f>'TEA Revised Non EYZ'!AS29</f>
        <v>3.11708124589582E-19</v>
      </c>
      <c r="AT29">
        <f>'TEA Revised Non EYZ'!AT29</f>
        <v>-5.4210108624275199E-18</v>
      </c>
      <c r="AU29">
        <f>'TEA Revised Non EYZ'!AU29</f>
        <v>1.34334131478611E-21</v>
      </c>
      <c r="AV29">
        <f>'TEA Revised Non EYZ'!AV29</f>
        <v>0.197233538514378</v>
      </c>
      <c r="AW29">
        <f>'TEA Revised Non EYZ'!AW29</f>
        <v>99.3414370730938</v>
      </c>
      <c r="AX29">
        <f>'TEA Revised Non EYZ'!AX29</f>
        <v>500</v>
      </c>
      <c r="AY29">
        <f>'TEA Revised Non EYZ'!AY29</f>
        <v>95</v>
      </c>
      <c r="AZ29">
        <f>'TEA Revised Non EYZ'!AZ29</f>
        <v>0.92405262022284995</v>
      </c>
      <c r="BA29">
        <f>'TEA Revised Non EYZ'!BA29</f>
        <v>0.1</v>
      </c>
      <c r="BB29">
        <f>'TEA Revised Non EYZ'!BB29</f>
        <v>46.850684076505999</v>
      </c>
      <c r="BC29" t="str">
        <f>'TEA Revised Non EYZ'!BC29</f>
        <v>coeFc</v>
      </c>
      <c r="BD29">
        <f>'TEA Revised Non EYZ'!BD29</f>
        <v>1</v>
      </c>
      <c r="BE29">
        <f>'TEA Revised Non EYZ'!BE29</f>
        <v>1.8775014999999999E-2</v>
      </c>
      <c r="BF29">
        <f>'TEA Revised Non EYZ'!BF29</f>
        <v>0.10492961100000001</v>
      </c>
      <c r="BG29">
        <f>'TEA Revised Non EYZ'!BG29</f>
        <v>1.814625E-3</v>
      </c>
      <c r="BH29">
        <f>'TEA Revised Non EYZ'!BH29</f>
        <v>285.1951444</v>
      </c>
      <c r="BI29">
        <f>'TEA Revised Non EYZ'!BI29</f>
        <v>2169.8944889999998</v>
      </c>
      <c r="BJ29">
        <f>'TEA Revised Non EYZ'!BJ29</f>
        <v>866.49409060000005</v>
      </c>
      <c r="BK29">
        <f>'TEA Revised Non EYZ'!BK29</f>
        <v>100</v>
      </c>
      <c r="BL29">
        <f>'TEA Revised Non EYZ'!BL29</f>
        <v>12.134817621653401</v>
      </c>
      <c r="BM29">
        <f>'TEA Revised Non EYZ'!BM29</f>
        <v>92.405262022285001</v>
      </c>
      <c r="BN29">
        <f>'TEA Revised Non EYZ'!BN29</f>
        <v>19.7233538514378</v>
      </c>
      <c r="BO29">
        <f>'TEA Revised Non EYZ'!BO29</f>
        <v>169.88744670314762</v>
      </c>
      <c r="BP29">
        <f>'TEA Revised Non EYZ'!BP29</f>
        <v>512.80720013738278</v>
      </c>
      <c r="BQ29">
        <f>'TEA Revised Non EYZ'!BQ29</f>
        <v>16.988744670314762</v>
      </c>
      <c r="BR29">
        <f>'TEA Revised Non EYZ'!BR29</f>
        <v>51.280720013738282</v>
      </c>
      <c r="BS29">
        <f>'eLLE Bals'!CF29</f>
        <v>7.2808905729920399</v>
      </c>
      <c r="BT29">
        <f>'eLLE Bals'!CG29</f>
        <v>11.834012310862679</v>
      </c>
      <c r="BU29">
        <f>BM29</f>
        <v>92.405262022285001</v>
      </c>
      <c r="BV29">
        <f>BU29*(AM29*2+AN29*2+AO29*3)</f>
        <v>0.31431044181986439</v>
      </c>
      <c r="BW29">
        <f>BN29*BA29*(AP29*2+AQ29*2+AR29*3)</f>
        <v>0.30081198404368931</v>
      </c>
      <c r="BX29">
        <f>BV29/(2*V29*BL29+BV29)</f>
        <v>0.1146585294651294</v>
      </c>
      <c r="BY29">
        <f>BU29*BX29</f>
        <v>10.595051458315167</v>
      </c>
      <c r="BZ29">
        <f>BW29/(2*BN29*BA29+BW29)</f>
        <v>7.0854600395396802E-2</v>
      </c>
      <c r="CA29">
        <f>2*BN29*BA29/0.04</f>
        <v>98.616769257189006</v>
      </c>
      <c r="CB29">
        <f>(BS29+BL29)*2</f>
        <v>38.831416389290879</v>
      </c>
      <c r="CC29">
        <f>(BU29+BL29)*2</f>
        <v>209.0801592878768</v>
      </c>
      <c r="CD29">
        <f>(BT29+BN29)*2</f>
        <v>63.114732324600958</v>
      </c>
      <c r="CE29">
        <f>(CA29+BN29)*2</f>
        <v>236.68024621725363</v>
      </c>
      <c r="CF29">
        <f>'TEA Revised Non EYZ'!CB29</f>
        <v>2242.5142964815486</v>
      </c>
      <c r="CG29">
        <f>'TEA Revised Non EYZ'!CC29</f>
        <v>6769.0550418134535</v>
      </c>
      <c r="CH29">
        <f>'TEA Revised Non EYZ'!CD29</f>
        <v>2709.3726906065185</v>
      </c>
      <c r="CI29">
        <f>'TEA Revised Non EYZ'!CE29</f>
        <v>52210.323159620224</v>
      </c>
      <c r="CJ29">
        <f>BL29*V29</f>
        <v>1.2134817621653402</v>
      </c>
      <c r="CK29">
        <f>CJ29/2*1.2</f>
        <v>0.72808905729920415</v>
      </c>
      <c r="CL29">
        <f>'eLLE Bals'!CB29*'Oxidant Feed Composition'!$N$20</f>
        <v>4.0449392072178021E-2</v>
      </c>
      <c r="CM29">
        <f>'eLLE Bals'!CB29*'Oxidant Feed Composition'!$N$21</f>
        <v>2.0224696036089003</v>
      </c>
      <c r="CN29">
        <f>'eLLE Bals'!CB29*'Oxidant Feed Composition'!$N$22</f>
        <v>0.6067408810826701</v>
      </c>
      <c r="CO29">
        <f>CN29/CK29</f>
        <v>0.83333333333333326</v>
      </c>
      <c r="CP29">
        <f>CO29</f>
        <v>0.83333333333333326</v>
      </c>
      <c r="CQ29">
        <f>CL29/CO29</f>
        <v>4.8539270486613627E-2</v>
      </c>
      <c r="CR29">
        <f>CM29/CO29</f>
        <v>2.4269635243306804</v>
      </c>
      <c r="CS29">
        <f>BN29*BA29</f>
        <v>1.9723353851437802</v>
      </c>
      <c r="CT29">
        <f>CS29/2*1.2</f>
        <v>1.183401231086268</v>
      </c>
      <c r="CU29">
        <f>'eLLE Bals'!CC29*'Oxidant Feed Composition'!$N$20</f>
        <v>6.5744512838126032E-2</v>
      </c>
      <c r="CV29">
        <f>'eLLE Bals'!CC29*'Oxidant Feed Composition'!$N$21</f>
        <v>3.2872256419063004</v>
      </c>
      <c r="CW29">
        <f>'eLLE Bals'!CC29*'Oxidant Feed Composition'!$N$22</f>
        <v>0.98616769257189008</v>
      </c>
      <c r="CX29">
        <f>CU29/CP29</f>
        <v>7.8893415405751247E-2</v>
      </c>
      <c r="CY29">
        <f>CV29/CP29</f>
        <v>3.9446707702875607</v>
      </c>
      <c r="CZ29">
        <f>CJ29</f>
        <v>1.2134817621653402</v>
      </c>
      <c r="DA29">
        <f>'eLLE Bals'!BQ29</f>
        <v>2.4269635243306804</v>
      </c>
      <c r="DB29">
        <f>'eLLE Bals'!BU29</f>
        <v>6.942995542774308</v>
      </c>
      <c r="DC29">
        <f>CS29</f>
        <v>1.9723353851437802</v>
      </c>
      <c r="DD29">
        <f>'eLLE Bals'!BX29</f>
        <v>3.9446707702875603</v>
      </c>
      <c r="DE29">
        <f>'eLLE Bals'!CA29</f>
        <v>21.919371075367582</v>
      </c>
      <c r="DF29">
        <f>2*2*(CJ29*'Reagent cost'!$C$36*122.44/1000*0.5+CK29*'Oxidant Feed Composition'!$N$26+CQ29*'Reagent cost'!$C$34+CR29*'Reagent cost'!$C$35)</f>
        <v>81.514771044557094</v>
      </c>
      <c r="DG29">
        <f>2*2*(CS29*'Reagent cost'!$C$36*122.44/1000*0.5+CT29*'Oxidant Feed Composition'!$N$26+CX29*'Reagent cost'!$C$34+CY29*'Reagent cost'!$C$35)</f>
        <v>132.49022140735528</v>
      </c>
      <c r="DH29">
        <f>(AF29+3)*2*(CZ29*'Reagent cost'!$C$38*0.5+DA29*'Reagent cost'!$C$39+DB29*'Reagent cost'!$C$36*122.44/1000)</f>
        <v>1760.6558125625957</v>
      </c>
      <c r="DI29">
        <f>3*2*(DC29*'Reagent cost'!$C$38*0.5+DD29*'Reagent cost'!$C$39+DE29*'Reagent cost'!$C$36*122.44/1000)</f>
        <v>1164.9421996896974</v>
      </c>
      <c r="DJ29">
        <f>7963.6*(CB29/1000)^0.6*1.7*('CAPEX+OPEX'!$G$116/'CAPEX+OPEX'!$G$115)</f>
        <v>2273.7926954959794</v>
      </c>
      <c r="DK29">
        <f>7963.6*(CC29/1000)^0.6*1.7*('CAPEX+OPEX'!$G$116/'CAPEX+OPEX'!$G$115)</f>
        <v>6243.5072626595684</v>
      </c>
      <c r="DL29">
        <f>7963.6*(CD29/1000)^0.6*1.7*('CAPEX+OPEX'!$G$116/'CAPEX+OPEX'!$G$115)</f>
        <v>3043.1220764966729</v>
      </c>
      <c r="DM29">
        <f>7963.6*(CE29/1000)^0.6*1.7*('CAPEX+OPEX'!$G$116/'CAPEX+OPEX'!$G$115)</f>
        <v>6725.7099672409468</v>
      </c>
      <c r="DN29">
        <f>'TEA Revised Non EYZ'!CM29</f>
        <v>39625.826528698344</v>
      </c>
      <c r="DO29">
        <f>'TEA Revised Non EYZ'!CN29</f>
        <v>4586243.4239371875</v>
      </c>
      <c r="DP29">
        <f>'TEA Revised Non EYZ'!CO29</f>
        <v>11794834.586807497</v>
      </c>
      <c r="DQ29">
        <f>'TEA Revised Non EYZ'!CP29</f>
        <v>2275209.1661185985</v>
      </c>
      <c r="DR29">
        <f>'TEA Revised Non EYZ'!CQ29</f>
        <v>14083914.336508472</v>
      </c>
      <c r="DS29">
        <f>'TEA Revised Non EYZ'!CR29</f>
        <v>1662824.8986326549</v>
      </c>
      <c r="DT29">
        <f>'TEA Revised Non EYZ'!CS29</f>
        <v>589054.93036564998</v>
      </c>
      <c r="DU29">
        <f>'TEA Revised Non EYZ'!CT29</f>
        <v>1514922.9606835202</v>
      </c>
      <c r="DV29">
        <f>'TEA Revised Non EYZ'!CU29</f>
        <v>292226.78628879401</v>
      </c>
      <c r="DW29">
        <f>'TEA Revised Non EYZ'!CV29</f>
        <v>1808931.2781495745</v>
      </c>
      <c r="DX29">
        <f>'TEA Revised Non EYZ'!CW29</f>
        <v>213572.44139332071</v>
      </c>
      <c r="DY29">
        <f>'TEA Revised Non EYZ'!CX29</f>
        <v>4418708.3968808586</v>
      </c>
      <c r="DZ29">
        <f>'TEA Revised Non EYZ'!CY29</f>
        <v>843481.2225111227</v>
      </c>
      <c r="EA29">
        <f>'TEA Revised Non EYZ'!CZ29</f>
        <v>2169252.8234918904</v>
      </c>
      <c r="EB29">
        <f>'TEA Revised Non EYZ'!DA29</f>
        <v>418446.21654616104</v>
      </c>
      <c r="EC29">
        <f>'TEA Revised Non EYZ'!DB29</f>
        <v>2590250.0552623947</v>
      </c>
      <c r="ED29">
        <f>'TEA Revised Non EYZ'!DC29</f>
        <v>305819.26179499162</v>
      </c>
      <c r="EE29">
        <f>'TEA Revised Non EYZ'!DD29</f>
        <v>6327249.579606561</v>
      </c>
      <c r="EF29">
        <v>0.7</v>
      </c>
      <c r="EG29">
        <v>100</v>
      </c>
      <c r="EH29">
        <f>96485*BL29*V29/EF29/EG29/60</f>
        <v>27.876854243457824</v>
      </c>
      <c r="EI29">
        <f>96485*BN29*BA29/EF29/EG29/60</f>
        <v>45.309709437047054</v>
      </c>
      <c r="EJ29">
        <f>EH29*('CAPEX+OPEX'!$O$25+'CAPEX+OPEX'!$O$26)</f>
        <v>888491.09844748781</v>
      </c>
      <c r="EK29">
        <f>EI29*('CAPEX+OPEX'!$O$25+'CAPEX+OPEX'!$O$26)</f>
        <v>1444111.0591775638</v>
      </c>
      <c r="EL29">
        <f>EJ29*1.12/0.6*'CAPEX+OPEX'!$G$116/'CAPEX+OPEX'!$G$115</f>
        <v>1956151.2069656507</v>
      </c>
      <c r="EM29">
        <f>EK29*1.12/0.6*'CAPEX+OPEX'!$G$116/'CAPEX+OPEX'!$G$115</f>
        <v>3179434.88273405</v>
      </c>
      <c r="EN29">
        <f>EL29+EM29+DY29+EE29+1.15*(SUM(DF29:DM29)+SUM(CF29:CI29))</f>
        <v>15979704.616411505</v>
      </c>
      <c r="EO29">
        <f>EN29/15</f>
        <v>1065313.6410941004</v>
      </c>
      <c r="EP29">
        <f>('eLLE Bals'!CB29+'eLLE Bals'!CC29)*'Oxidant Feed Composition'!$N$29*60*7200</f>
        <v>7946565.9392739637</v>
      </c>
      <c r="EQ29" s="53">
        <f>('eLLE Bals'!BR29+'eLLE Bals'!BY29)*'Reagent cost'!$C$38*60*7200*0.5</f>
        <v>254444.2517370854</v>
      </c>
      <c r="ER29">
        <f>'TEA Revised Non EYZ'!DI29</f>
        <v>504921.59999999998</v>
      </c>
      <c r="ES29">
        <f>'TEA Revised Non EYZ'!DJ29</f>
        <v>90.115693382950013</v>
      </c>
      <c r="ET29">
        <f>'TEA Revised Non EYZ'!DK29</f>
        <v>1098.3939170045348</v>
      </c>
      <c r="EU29">
        <f>1.2*SUM(EP29:ET29)</f>
        <v>10448544.360745722</v>
      </c>
      <c r="EV29">
        <f>'TEA Revised Non EYZ'!DM29</f>
        <v>0.70639694042110623</v>
      </c>
      <c r="EW29">
        <f>(BS29*CO29+BT29*CP29)/1000*('Oxidant Feed Composition'!$B$11*'Oxidant Feed Composition'!$O$20+'Oxidant Feed Composition'!$D$11*'Oxidant Feed Composition'!$O$21+'Oxidant Feed Composition'!$F$11*'Oxidant Feed Composition'!$O$27-'Oxidant Feed Composition'!$J$15*18.015)</f>
        <v>1.8602709503630386</v>
      </c>
      <c r="EX29">
        <f>(CZ29*BX29+DC29*BZ29)*368.34/1000</f>
        <v>0.10272452666269243</v>
      </c>
      <c r="EY29">
        <f>'TEA Revised Non EYZ'!DP29</f>
        <v>4.999938342565946E-2</v>
      </c>
      <c r="EZ29">
        <f>SUM(EV29:EX29)-EY29</f>
        <v>2.619393034021178</v>
      </c>
      <c r="FA29">
        <f>EZ29*0.33*60*7200</f>
        <v>373420.67093005916</v>
      </c>
      <c r="FB29">
        <f>'TEA Revised Non EYZ'!DS29</f>
        <v>1.2</v>
      </c>
      <c r="FC29">
        <v>0.5</v>
      </c>
      <c r="FD29">
        <f>'TEA Revised Non EYZ'!DT29</f>
        <v>1406.5004141824479</v>
      </c>
      <c r="FE29">
        <f>'TEA Revised Non EYZ'!DU29</f>
        <v>706.74603480874009</v>
      </c>
      <c r="FF29">
        <f>'TEA Revised Non EYZ'!DV29</f>
        <v>0.7</v>
      </c>
      <c r="FG29">
        <f>'TEA Revised Non EYZ'!DW29</f>
        <v>33024.331428945443</v>
      </c>
      <c r="FH29">
        <f>'TEA Revised Non EYZ'!DX29</f>
        <v>24915.659383376755</v>
      </c>
      <c r="FI29">
        <f>'TEA Revised Non EYZ'!DY29</f>
        <v>10548.968690542577</v>
      </c>
      <c r="FJ29">
        <f>'TEA Revised Non EYZ'!DZ29</f>
        <v>5588.0830181845758</v>
      </c>
      <c r="FK29">
        <f>'TEA Revised Non EYZ'!EA29</f>
        <v>5626.1166349560426</v>
      </c>
      <c r="FL29">
        <f>'TEA Revised Non EYZ'!EB29</f>
        <v>850.6514504975446</v>
      </c>
      <c r="FM29">
        <f>'TEA Revised Non EYZ'!EC29</f>
        <v>46305.254709964174</v>
      </c>
      <c r="FN29">
        <f>'TEA Revised Non EYZ'!ED29</f>
        <v>46573.487344952133</v>
      </c>
      <c r="FO29">
        <f>'TEA Revised Non EYZ'!EE29</f>
        <v>19718.613593628921</v>
      </c>
      <c r="FP29">
        <f>'TEA Revised Non EYZ'!EF29</f>
        <v>10451.276698437257</v>
      </c>
      <c r="FQ29">
        <f>'TEA Revised Non EYZ'!EG29</f>
        <v>10516.593916602096</v>
      </c>
      <c r="FR29">
        <f>'TEA Revised Non EYZ'!EH29</f>
        <v>427.44000185232608</v>
      </c>
      <c r="FS29">
        <f>'TEA Revised Non EYZ'!EI29</f>
        <v>214546.47687193981</v>
      </c>
      <c r="FT29">
        <f>EG29*EH29</f>
        <v>2787.6854243457824</v>
      </c>
      <c r="FU29">
        <f>EG29*EI29</f>
        <v>4530.9709437047059</v>
      </c>
      <c r="FV29">
        <f>FC29*(FT29+FU29)/(3.6*10^6)*3600*7200*0.07</f>
        <v>1844.3014047487231</v>
      </c>
      <c r="FW29">
        <f>('CAPEX+OPEX'!$C$39/7/100+0.03)*EL29</f>
        <v>100602.06207251917</v>
      </c>
      <c r="FX29">
        <f>('CAPEX+OPEX'!$C$39/7/100+0.03)*EM29</f>
        <v>163513.79396917971</v>
      </c>
      <c r="FY29">
        <f>SUM(FV29:FX29)</f>
        <v>265960.15744644759</v>
      </c>
      <c r="FZ29">
        <f>FY29+FA29+FS29+EU29</f>
        <v>11302471.665994169</v>
      </c>
      <c r="GA29">
        <f>FZ29+EO29</f>
        <v>12367785.307088269</v>
      </c>
      <c r="GB29">
        <f>GA29/(BK29*60*7200)</f>
        <v>0.28629132655296918</v>
      </c>
      <c r="GC29">
        <f>'TEA Revised Non EYZ'!EM29/'TEA Revised Non EYZ'!EK29*GA29</f>
        <v>957.69884610099996</v>
      </c>
      <c r="GD29">
        <f>'TEA Revised Non EYZ'!EN29/'TEA Revised Non EYZ'!EK29*GA29</f>
        <v>1755.4233099910919</v>
      </c>
    </row>
    <row r="30" spans="1:186">
      <c r="A30">
        <f>'TEA Revised Non EYZ'!A30</f>
        <v>5</v>
      </c>
      <c r="B30">
        <f>'TEA Revised Non EYZ'!B30</f>
        <v>1.54143585092054E-3</v>
      </c>
      <c r="C30">
        <f>'TEA Revised Non EYZ'!C30</f>
        <v>1.54143585092054E-3</v>
      </c>
      <c r="D30">
        <f>'TEA Revised Non EYZ'!D30</f>
        <v>3.4254130020456501E-4</v>
      </c>
      <c r="E30">
        <f>'TEA Revised Non EYZ'!E30</f>
        <v>0</v>
      </c>
      <c r="F30">
        <f>'TEA Revised Non EYZ'!F30</f>
        <v>0</v>
      </c>
      <c r="G30">
        <f>'TEA Revised Non EYZ'!G30</f>
        <v>0</v>
      </c>
      <c r="H30">
        <f>'TEA Revised Non EYZ'!H30</f>
        <v>1.7558377832426001E-5</v>
      </c>
      <c r="I30">
        <f>'TEA Revised Non EYZ'!I30</f>
        <v>1.05063644964669E-7</v>
      </c>
      <c r="J30">
        <f>'TEA Revised Non EYZ'!J30</f>
        <v>3.35605387572801E-4</v>
      </c>
      <c r="K30">
        <f>'TEA Revised Non EYZ'!K30</f>
        <v>0.12557893497872399</v>
      </c>
      <c r="L30">
        <f>'TEA Revised Non EYZ'!L30</f>
        <v>0.12701721899235199</v>
      </c>
      <c r="M30">
        <f>'TEA Revised Non EYZ'!M30</f>
        <v>5.7157122982957897E-4</v>
      </c>
      <c r="N30">
        <f>'TEA Revised Non EYZ'!N30</f>
        <v>-1.88000656708986E-16</v>
      </c>
      <c r="O30">
        <f>'TEA Revised Non EYZ'!O30</f>
        <v>-6.2354635343986299E-15</v>
      </c>
      <c r="P30">
        <f>'TEA Revised Non EYZ'!P30</f>
        <v>-1.51703600853245E-18</v>
      </c>
      <c r="Q30">
        <f>'TEA Revised Non EYZ'!Q30</f>
        <v>0.121348176216534</v>
      </c>
      <c r="R30">
        <f>'TEA Revised Non EYZ'!R30</f>
        <v>97.975160184298204</v>
      </c>
      <c r="S30">
        <f>'TEA Revised Non EYZ'!S30</f>
        <v>500</v>
      </c>
      <c r="T30">
        <f>'TEA Revised Non EYZ'!T30</f>
        <v>95</v>
      </c>
      <c r="U30">
        <f>'TEA Revised Non EYZ'!U30</f>
        <v>1</v>
      </c>
      <c r="V30">
        <f>'TEA Revised Non EYZ'!V30</f>
        <v>0.1</v>
      </c>
      <c r="W30">
        <f>'TEA Revised Non EYZ'!W30</f>
        <v>82.407501388038199</v>
      </c>
      <c r="X30" t="str">
        <f>'TEA Revised Non EYZ'!X30</f>
        <v>ddFc</v>
      </c>
      <c r="Y30">
        <f>'TEA Revised Non EYZ'!Y30</f>
        <v>1</v>
      </c>
      <c r="Z30">
        <f>'TEA Revised Non EYZ'!Z30</f>
        <v>0.28318429382522198</v>
      </c>
      <c r="AA30">
        <f>'TEA Revised Non EYZ'!AA30</f>
        <v>0.56945642916197003</v>
      </c>
      <c r="AB30">
        <f>'TEA Revised Non EYZ'!AB30</f>
        <v>3.7698628972227502E-3</v>
      </c>
      <c r="AC30">
        <f>'TEA Revised Non EYZ'!AC30</f>
        <v>1822.2107908876901</v>
      </c>
      <c r="AD30">
        <f>'TEA Revised Non EYZ'!AD30</f>
        <v>2662.6059073104898</v>
      </c>
      <c r="AE30">
        <f>'TEA Revised Non EYZ'!AE30</f>
        <v>2401.5030938442701</v>
      </c>
      <c r="AF30">
        <f>'TEA Revised Non EYZ'!AF30</f>
        <v>12</v>
      </c>
      <c r="AG30">
        <f>'TEA Revised Non EYZ'!AG30</f>
        <v>1.64912412966352E-3</v>
      </c>
      <c r="AH30">
        <f>'TEA Revised Non EYZ'!AH30</f>
        <v>1.66801192221077E-3</v>
      </c>
      <c r="AI30">
        <f>'TEA Revised Non EYZ'!AI30</f>
        <v>7.5059714998626504E-6</v>
      </c>
      <c r="AJ30">
        <f>'TEA Revised Non EYZ'!AJ30</f>
        <v>0</v>
      </c>
      <c r="AK30">
        <f>'TEA Revised Non EYZ'!AK30</f>
        <v>0</v>
      </c>
      <c r="AL30">
        <f>'TEA Revised Non EYZ'!AL30</f>
        <v>0</v>
      </c>
      <c r="AM30">
        <f>'TEA Revised Non EYZ'!AM30</f>
        <v>1.6121404312672901E-3</v>
      </c>
      <c r="AN30">
        <f>'TEA Revised Non EYZ'!AN30</f>
        <v>7.73929552459276E-5</v>
      </c>
      <c r="AO30">
        <f>'TEA Revised Non EYZ'!AO30</f>
        <v>7.4565411365620697E-6</v>
      </c>
      <c r="AP30">
        <f>'TEA Revised Non EYZ'!AP30</f>
        <v>1.73272364681595E-3</v>
      </c>
      <c r="AQ30">
        <f>'TEA Revised Non EYZ'!AQ30</f>
        <v>7.4522106149284603E-2</v>
      </c>
      <c r="AR30">
        <f>'TEA Revised Non EYZ'!AR30</f>
        <v>2.3158624767325598E-6</v>
      </c>
      <c r="AS30">
        <f>'TEA Revised Non EYZ'!AS30</f>
        <v>1.9933395754324901E-15</v>
      </c>
      <c r="AT30">
        <f>'TEA Revised Non EYZ'!AT30</f>
        <v>-2.0379531395775499E-13</v>
      </c>
      <c r="AU30">
        <f>'TEA Revised Non EYZ'!AU30</f>
        <v>-4.3741310791804103E-21</v>
      </c>
      <c r="AV30">
        <f>'TEA Revised Non EYZ'!AV30</f>
        <v>0.19723216376352101</v>
      </c>
      <c r="AW30">
        <f>'TEA Revised Non EYZ'!AW30</f>
        <v>99.341452824574603</v>
      </c>
      <c r="AX30">
        <f>'TEA Revised Non EYZ'!AX30</f>
        <v>500</v>
      </c>
      <c r="AY30">
        <f>'TEA Revised Non EYZ'!AY30</f>
        <v>95</v>
      </c>
      <c r="AZ30">
        <f>'TEA Revised Non EYZ'!AZ30</f>
        <v>0.92405262022284995</v>
      </c>
      <c r="BA30">
        <f>'TEA Revised Non EYZ'!BA30</f>
        <v>0.1</v>
      </c>
      <c r="BB30">
        <f>'TEA Revised Non EYZ'!BB30</f>
        <v>46.851010635911102</v>
      </c>
      <c r="BC30" t="str">
        <f>'TEA Revised Non EYZ'!BC30</f>
        <v>coeFc</v>
      </c>
      <c r="BD30">
        <f>'TEA Revised Non EYZ'!BD30</f>
        <v>1</v>
      </c>
      <c r="BE30">
        <f>'TEA Revised Non EYZ'!BE30</f>
        <v>1.8775014999999999E-2</v>
      </c>
      <c r="BF30">
        <f>'TEA Revised Non EYZ'!BF30</f>
        <v>0.10492961100000001</v>
      </c>
      <c r="BG30">
        <f>'TEA Revised Non EYZ'!BG30</f>
        <v>1.814625E-3</v>
      </c>
      <c r="BH30">
        <f>'TEA Revised Non EYZ'!BH30</f>
        <v>285.1951444</v>
      </c>
      <c r="BI30">
        <f>'TEA Revised Non EYZ'!BI30</f>
        <v>2169.8944889999998</v>
      </c>
      <c r="BJ30">
        <f>'TEA Revised Non EYZ'!BJ30</f>
        <v>866.49409060000005</v>
      </c>
      <c r="BK30">
        <f>'TEA Revised Non EYZ'!BK30</f>
        <v>100</v>
      </c>
      <c r="BL30">
        <f>'TEA Revised Non EYZ'!BL30</f>
        <v>12.134817621653401</v>
      </c>
      <c r="BM30">
        <f>'TEA Revised Non EYZ'!BM30</f>
        <v>92.405262022285001</v>
      </c>
      <c r="BN30">
        <f>'TEA Revised Non EYZ'!BN30</f>
        <v>19.723216376352102</v>
      </c>
      <c r="BO30">
        <f>'TEA Revised Non EYZ'!BO30</f>
        <v>169.88744670314762</v>
      </c>
      <c r="BP30">
        <f>'TEA Revised Non EYZ'!BP30</f>
        <v>552.25005853785888</v>
      </c>
      <c r="BQ30">
        <f>'TEA Revised Non EYZ'!BQ30</f>
        <v>16.988744670314762</v>
      </c>
      <c r="BR30">
        <f>'TEA Revised Non EYZ'!BR30</f>
        <v>55.225005853785888</v>
      </c>
      <c r="BS30">
        <f>'eLLE Bals'!CF30</f>
        <v>7.2808905729920399</v>
      </c>
      <c r="BT30">
        <f>'eLLE Bals'!CG30</f>
        <v>11.833929825811261</v>
      </c>
      <c r="BU30">
        <f>BM30</f>
        <v>92.405262022285001</v>
      </c>
      <c r="BV30">
        <f>BU30*(AM30*2+AN30*2+AO30*3)</f>
        <v>0.3143106214648167</v>
      </c>
      <c r="BW30">
        <f>BN30*BA30*(AP30*2+AQ30*2+AR30*3)</f>
        <v>0.3008118044390965</v>
      </c>
      <c r="BX30">
        <f>BV30/(2*V30*BL30+BV30)</f>
        <v>0.11465858748454584</v>
      </c>
      <c r="BY30">
        <f>BU30*BX30</f>
        <v>10.595056819614546</v>
      </c>
      <c r="BZ30">
        <f>BW30/(2*BN30*BA30+BW30)</f>
        <v>7.0855019966358637E-2</v>
      </c>
      <c r="CA30">
        <f>2*BN30*BA30/0.04</f>
        <v>98.616081881760522</v>
      </c>
      <c r="CB30">
        <f>(BS30+BL30)*2</f>
        <v>38.831416389290879</v>
      </c>
      <c r="CC30">
        <f>(BU30+BL30)*2</f>
        <v>209.0801592878768</v>
      </c>
      <c r="CD30">
        <f>(BT30+BN30)*2</f>
        <v>63.114292404326726</v>
      </c>
      <c r="CE30">
        <f>(CA30+BN30)*2</f>
        <v>236.67859651622524</v>
      </c>
      <c r="CF30">
        <f>'TEA Revised Non EYZ'!CB30</f>
        <v>2242.5142964815486</v>
      </c>
      <c r="CG30">
        <f>'TEA Revised Non EYZ'!CC30</f>
        <v>7289.7007726997381</v>
      </c>
      <c r="CH30">
        <f>'TEA Revised Non EYZ'!CD30</f>
        <v>2709.3726906065185</v>
      </c>
      <c r="CI30">
        <f>'TEA Revised Non EYZ'!CE30</f>
        <v>56226.109956054243</v>
      </c>
      <c r="CJ30">
        <f>BL30*V30</f>
        <v>1.2134817621653402</v>
      </c>
      <c r="CK30">
        <f>CJ30/2*1.2</f>
        <v>0.72808905729920415</v>
      </c>
      <c r="CL30">
        <f>'eLLE Bals'!CB30*'Oxidant Feed Composition'!$N$20</f>
        <v>4.0449392072178021E-2</v>
      </c>
      <c r="CM30">
        <f>'eLLE Bals'!CB30*'Oxidant Feed Composition'!$N$21</f>
        <v>2.0224696036089003</v>
      </c>
      <c r="CN30">
        <f>'eLLE Bals'!CB30*'Oxidant Feed Composition'!$N$22</f>
        <v>0.6067408810826701</v>
      </c>
      <c r="CO30">
        <f>CN30/CK30</f>
        <v>0.83333333333333326</v>
      </c>
      <c r="CP30">
        <f>CO30</f>
        <v>0.83333333333333326</v>
      </c>
      <c r="CQ30">
        <f>CL30/CO30</f>
        <v>4.8539270486613627E-2</v>
      </c>
      <c r="CR30">
        <f>CM30/CO30</f>
        <v>2.4269635243306804</v>
      </c>
      <c r="CS30">
        <f>BN30*BA30</f>
        <v>1.9723216376352104</v>
      </c>
      <c r="CT30">
        <f>CS30/2*1.2</f>
        <v>1.1833929825811262</v>
      </c>
      <c r="CU30">
        <f>'eLLE Bals'!CC30*'Oxidant Feed Composition'!$N$20</f>
        <v>6.574405458784037E-2</v>
      </c>
      <c r="CV30">
        <f>'eLLE Bals'!CC30*'Oxidant Feed Composition'!$N$21</f>
        <v>3.2872027293920172</v>
      </c>
      <c r="CW30">
        <f>'eLLE Bals'!CC30*'Oxidant Feed Composition'!$N$22</f>
        <v>0.9861608188176052</v>
      </c>
      <c r="CX30">
        <f>CU30/CP30</f>
        <v>7.8892865505408458E-2</v>
      </c>
      <c r="CY30">
        <f>CV30/CP30</f>
        <v>3.9446432752704208</v>
      </c>
      <c r="CZ30">
        <f>CJ30</f>
        <v>1.2134817621653402</v>
      </c>
      <c r="DA30">
        <f>'eLLE Bals'!BQ30</f>
        <v>2.4269635243306804</v>
      </c>
      <c r="DB30">
        <f>'eLLE Bals'!BU30</f>
        <v>6.9429901876644786</v>
      </c>
      <c r="DC30">
        <f>CS30</f>
        <v>1.9723216376352104</v>
      </c>
      <c r="DD30">
        <f>'eLLE Bals'!BX30</f>
        <v>3.9446432752704208</v>
      </c>
      <c r="DE30">
        <f>'eLLE Bals'!CA30</f>
        <v>21.919053460551211</v>
      </c>
      <c r="DF30">
        <f>2*2*(CJ30*'Reagent cost'!$C$36*122.44/1000*0.5+CK30*'Oxidant Feed Composition'!$N$26+CQ30*'Reagent cost'!$C$34+CR30*'Reagent cost'!$C$35)</f>
        <v>81.514771044557094</v>
      </c>
      <c r="DG30">
        <f>2*2*(CS30*'Reagent cost'!$C$36*122.44/1000*0.5+CT30*'Oxidant Feed Composition'!$N$26+CX30*'Reagent cost'!$C$34+CY30*'Reagent cost'!$C$35)</f>
        <v>132.48929792828173</v>
      </c>
      <c r="DH30">
        <f>(AF30+3)*2*(CZ30*'Reagent cost'!$C$38*0.5+DA30*'Reagent cost'!$C$39+DB30*'Reagent cost'!$C$36*122.44/1000)</f>
        <v>1886.4155529084514</v>
      </c>
      <c r="DI30">
        <f>3*2*(DC30*'Reagent cost'!$C$38*0.5+DD30*'Reagent cost'!$C$39+DE30*'Reagent cost'!$C$36*122.44/1000)</f>
        <v>1164.9255282590984</v>
      </c>
      <c r="DJ30">
        <f>7963.6*(CB30/1000)^0.6*1.7*('CAPEX+OPEX'!$G$116/'CAPEX+OPEX'!$G$115)</f>
        <v>2273.7926954959794</v>
      </c>
      <c r="DK30">
        <f>7963.6*(CC30/1000)^0.6*1.7*('CAPEX+OPEX'!$G$116/'CAPEX+OPEX'!$G$115)</f>
        <v>6243.5072626595684</v>
      </c>
      <c r="DL30">
        <f>7963.6*(CD30/1000)^0.6*1.7*('CAPEX+OPEX'!$G$116/'CAPEX+OPEX'!$G$115)</f>
        <v>3043.1093498360469</v>
      </c>
      <c r="DM30">
        <f>7963.6*(CE30/1000)^0.6*1.7*('CAPEX+OPEX'!$G$116/'CAPEX+OPEX'!$G$115)</f>
        <v>6725.681839605556</v>
      </c>
      <c r="DN30">
        <f>'TEA Revised Non EYZ'!CM30</f>
        <v>39625.826528698344</v>
      </c>
      <c r="DO30">
        <f>'TEA Revised Non EYZ'!CN30</f>
        <v>4586243.4239371875</v>
      </c>
      <c r="DP30">
        <f>'TEA Revised Non EYZ'!CO30</f>
        <v>11794834.586807497</v>
      </c>
      <c r="DQ30">
        <f>'TEA Revised Non EYZ'!CP30</f>
        <v>2275209.1661185985</v>
      </c>
      <c r="DR30">
        <f>'TEA Revised Non EYZ'!CQ30</f>
        <v>14083914.336508472</v>
      </c>
      <c r="DS30">
        <f>'TEA Revised Non EYZ'!CR30</f>
        <v>1662824.8986326549</v>
      </c>
      <c r="DT30">
        <f>'TEA Revised Non EYZ'!CS30</f>
        <v>589054.93036564998</v>
      </c>
      <c r="DU30">
        <f>'TEA Revised Non EYZ'!CT30</f>
        <v>1514922.9606835202</v>
      </c>
      <c r="DV30">
        <f>'TEA Revised Non EYZ'!CU30</f>
        <v>292226.78628879401</v>
      </c>
      <c r="DW30">
        <f>'TEA Revised Non EYZ'!CV30</f>
        <v>1808931.2781495745</v>
      </c>
      <c r="DX30">
        <f>'TEA Revised Non EYZ'!CW30</f>
        <v>213572.44139332071</v>
      </c>
      <c r="DY30">
        <f>'TEA Revised Non EYZ'!CX30</f>
        <v>4418708.3968808586</v>
      </c>
      <c r="DZ30">
        <f>'TEA Revised Non EYZ'!CY30</f>
        <v>884978.42390710395</v>
      </c>
      <c r="EA30">
        <f>'TEA Revised Non EYZ'!CZ30</f>
        <v>2275974.7265915852</v>
      </c>
      <c r="EB30">
        <f>'TEA Revised Non EYZ'!DA30</f>
        <v>439032.74112783116</v>
      </c>
      <c r="EC30">
        <f>'TEA Revised Non EYZ'!DB30</f>
        <v>2717683.9866179414</v>
      </c>
      <c r="ED30">
        <f>'TEA Revised Non EYZ'!DC30</f>
        <v>320864.81723687309</v>
      </c>
      <c r="EE30">
        <f>'TEA Revised Non EYZ'!DD30</f>
        <v>6638534.6954813348</v>
      </c>
      <c r="EF30">
        <v>0.7</v>
      </c>
      <c r="EG30">
        <v>100</v>
      </c>
      <c r="EH30">
        <f>96485*BL30*V30/EF30/EG30/60</f>
        <v>27.876854243457824</v>
      </c>
      <c r="EI30">
        <f>96485*BN30*BA30/EF30/EG30/60</f>
        <v>45.309393620769832</v>
      </c>
      <c r="EJ30">
        <f>EH30*('CAPEX+OPEX'!$O$25+'CAPEX+OPEX'!$O$26)</f>
        <v>888491.09844748781</v>
      </c>
      <c r="EK30">
        <f>EI30*('CAPEX+OPEX'!$O$25+'CAPEX+OPEX'!$O$26)</f>
        <v>1444100.993481176</v>
      </c>
      <c r="EL30">
        <f>EJ30*1.12/0.6*'CAPEX+OPEX'!$G$116/'CAPEX+OPEX'!$G$115</f>
        <v>1956151.2069656507</v>
      </c>
      <c r="EM30">
        <f>EK30*1.12/0.6*'CAPEX+OPEX'!$G$116/'CAPEX+OPEX'!$G$115</f>
        <v>3179412.7215394448</v>
      </c>
      <c r="EN30">
        <f>EL30+EM30+DY30+EE30+1.15*(SUM(DF30:DM30)+SUM(CF30:CI30))</f>
        <v>16296329.024982905</v>
      </c>
      <c r="EO30">
        <f>EN30/15</f>
        <v>1086421.9349988603</v>
      </c>
      <c r="EP30">
        <f>('eLLE Bals'!CB30+'eLLE Bals'!CC30)*'Oxidant Feed Composition'!$N$29*60*7200</f>
        <v>7946531.6480769822</v>
      </c>
      <c r="EQ30" s="53">
        <f>('eLLE Bals'!BR30+'eLLE Bals'!BY30)*'Reagent cost'!$C$38*60*7200*0.5</f>
        <v>254444.18226996192</v>
      </c>
      <c r="ER30">
        <f>'TEA Revised Non EYZ'!DI30</f>
        <v>504921.59999999998</v>
      </c>
      <c r="ES30">
        <f>'TEA Revised Non EYZ'!DJ30</f>
        <v>95.322150691812865</v>
      </c>
      <c r="ET30">
        <f>'TEA Revised Non EYZ'!DK30</f>
        <v>1178.7096529332152</v>
      </c>
      <c r="EU30">
        <f>1.2*SUM(EP30:ET30)</f>
        <v>10448605.754580682</v>
      </c>
      <c r="EV30">
        <f>'TEA Revised Non EYZ'!DM30</f>
        <v>0.70639694042110623</v>
      </c>
      <c r="EW30">
        <f>(BS30*CO30+BT30*CP30)/1000*('Oxidant Feed Composition'!$B$11*'Oxidant Feed Composition'!$O$20+'Oxidant Feed Composition'!$D$11*'Oxidant Feed Composition'!$O$21+'Oxidant Feed Composition'!$F$11*'Oxidant Feed Composition'!$O$27-'Oxidant Feed Composition'!$J$15*18.015)</f>
        <v>1.8602629228807162</v>
      </c>
      <c r="EX30">
        <f>(CZ30*BX30+DC30*BZ30)*368.34/1000</f>
        <v>0.10272449861734524</v>
      </c>
      <c r="EY30">
        <f>'TEA Revised Non EYZ'!DP30</f>
        <v>4.999938342565946E-2</v>
      </c>
      <c r="EZ30">
        <f>SUM(EV30:EX30)-EY30</f>
        <v>2.6193849784935086</v>
      </c>
      <c r="FA30">
        <f>EZ30*0.33*60*7200</f>
        <v>373419.52253403462</v>
      </c>
      <c r="FB30">
        <f>'TEA Revised Non EYZ'!DS30</f>
        <v>1.2</v>
      </c>
      <c r="FC30">
        <v>0.5</v>
      </c>
      <c r="FD30">
        <f>'TEA Revised Non EYZ'!DT30</f>
        <v>1406.5012186924448</v>
      </c>
      <c r="FE30">
        <f>'TEA Revised Non EYZ'!DU30</f>
        <v>706.74523039054441</v>
      </c>
      <c r="FF30">
        <f>'TEA Revised Non EYZ'!DV30</f>
        <v>0.7</v>
      </c>
      <c r="FG30">
        <f>'TEA Revised Non EYZ'!DW30</f>
        <v>33024.331428945443</v>
      </c>
      <c r="FH30">
        <f>'TEA Revised Non EYZ'!DX30</f>
        <v>24915.659383376755</v>
      </c>
      <c r="FI30">
        <f>'TEA Revised Non EYZ'!DY30</f>
        <v>10548.968690542577</v>
      </c>
      <c r="FJ30">
        <f>'TEA Revised Non EYZ'!DZ30</f>
        <v>5588.0830181845758</v>
      </c>
      <c r="FK30">
        <f>'TEA Revised Non EYZ'!EA30</f>
        <v>5626.1166349560426</v>
      </c>
      <c r="FL30">
        <f>'TEA Revised Non EYZ'!EB30</f>
        <v>850.65193706519062</v>
      </c>
      <c r="FM30">
        <f>'TEA Revised Non EYZ'!EC30</f>
        <v>48877.768860517739</v>
      </c>
      <c r="FN30">
        <f>'TEA Revised Non EYZ'!ED30</f>
        <v>50454.611290364817</v>
      </c>
      <c r="FO30">
        <f>'TEA Revised Non EYZ'!EE30</f>
        <v>21361.831393098</v>
      </c>
      <c r="FP30">
        <f>'TEA Revised Non EYZ'!EF30</f>
        <v>11322.216423307031</v>
      </c>
      <c r="FQ30">
        <f>'TEA Revised Non EYZ'!EG30</f>
        <v>11392.976742985606</v>
      </c>
      <c r="FR30">
        <f>'TEA Revised Non EYZ'!EH30</f>
        <v>427.4395153402013</v>
      </c>
      <c r="FS30">
        <f>'TEA Revised Non EYZ'!EI30</f>
        <v>224390.65531868394</v>
      </c>
      <c r="FT30">
        <f>EG30*EH30</f>
        <v>2787.6854243457824</v>
      </c>
      <c r="FU30">
        <f>EG30*EI30</f>
        <v>4530.9393620769833</v>
      </c>
      <c r="FV30">
        <f>FC30*(FT30+FU30)/(3.6*10^6)*3600*7200*0.07</f>
        <v>1844.2934461785371</v>
      </c>
      <c r="FW30">
        <f>('CAPEX+OPEX'!$C$39/7/100+0.03)*EL30</f>
        <v>100602.06207251917</v>
      </c>
      <c r="FX30">
        <f>('CAPEX+OPEX'!$C$39/7/100+0.03)*EM30</f>
        <v>163512.65425060003</v>
      </c>
      <c r="FY30">
        <f>SUM(FV30:FX30)</f>
        <v>265959.00976929773</v>
      </c>
      <c r="FZ30">
        <f>FY30+FA30+FS30+EU30</f>
        <v>11312374.942202698</v>
      </c>
      <c r="GA30">
        <f>FZ30+EO30</f>
        <v>12398796.877201559</v>
      </c>
      <c r="GB30">
        <f>GA30/(BK30*60*7200)</f>
        <v>0.2870091869722583</v>
      </c>
      <c r="GC30">
        <f>'TEA Revised Non EYZ'!EM30/'TEA Revised Non EYZ'!EK30*GA30</f>
        <v>960.09967585455558</v>
      </c>
      <c r="GD30">
        <f>'TEA Revised Non EYZ'!EN30/'TEA Revised Non EYZ'!EK30*GA30</f>
        <v>1759.8267879211701</v>
      </c>
    </row>
    <row r="31" spans="1:186">
      <c r="A31">
        <f>'TEA Revised Non EYZ'!A31</f>
        <v>5</v>
      </c>
      <c r="B31">
        <f>'TEA Revised Non EYZ'!B31</f>
        <v>1.54143585092054E-3</v>
      </c>
      <c r="C31">
        <f>'TEA Revised Non EYZ'!C31</f>
        <v>1.54143585092054E-3</v>
      </c>
      <c r="D31">
        <f>'TEA Revised Non EYZ'!D31</f>
        <v>3.4254130020456501E-4</v>
      </c>
      <c r="E31">
        <f>'TEA Revised Non EYZ'!E31</f>
        <v>0</v>
      </c>
      <c r="F31">
        <f>'TEA Revised Non EYZ'!F31</f>
        <v>0</v>
      </c>
      <c r="G31">
        <f>'TEA Revised Non EYZ'!G31</f>
        <v>0</v>
      </c>
      <c r="H31">
        <f>'TEA Revised Non EYZ'!H31</f>
        <v>1.7558377832426001E-5</v>
      </c>
      <c r="I31">
        <f>'TEA Revised Non EYZ'!I31</f>
        <v>1.05063644964669E-7</v>
      </c>
      <c r="J31">
        <f>'TEA Revised Non EYZ'!J31</f>
        <v>3.35605387572801E-4</v>
      </c>
      <c r="K31">
        <f>'TEA Revised Non EYZ'!K31</f>
        <v>0.12557893497872399</v>
      </c>
      <c r="L31">
        <f>'TEA Revised Non EYZ'!L31</f>
        <v>0.12701721899235199</v>
      </c>
      <c r="M31">
        <f>'TEA Revised Non EYZ'!M31</f>
        <v>5.7157122982957897E-4</v>
      </c>
      <c r="N31">
        <f>'TEA Revised Non EYZ'!N31</f>
        <v>-1.88000656708986E-16</v>
      </c>
      <c r="O31">
        <f>'TEA Revised Non EYZ'!O31</f>
        <v>-6.2354635343986299E-15</v>
      </c>
      <c r="P31">
        <f>'TEA Revised Non EYZ'!P31</f>
        <v>-1.51703600853245E-18</v>
      </c>
      <c r="Q31">
        <f>'TEA Revised Non EYZ'!Q31</f>
        <v>0.121348176216534</v>
      </c>
      <c r="R31">
        <f>'TEA Revised Non EYZ'!R31</f>
        <v>97.975160184298204</v>
      </c>
      <c r="S31">
        <f>'TEA Revised Non EYZ'!S31</f>
        <v>500</v>
      </c>
      <c r="T31">
        <f>'TEA Revised Non EYZ'!T31</f>
        <v>95</v>
      </c>
      <c r="U31">
        <f>'TEA Revised Non EYZ'!U31</f>
        <v>1</v>
      </c>
      <c r="V31">
        <f>'TEA Revised Non EYZ'!V31</f>
        <v>0.1</v>
      </c>
      <c r="W31">
        <f>'TEA Revised Non EYZ'!W31</f>
        <v>82.407501388038199</v>
      </c>
      <c r="X31" t="str">
        <f>'TEA Revised Non EYZ'!X31</f>
        <v>ddFc</v>
      </c>
      <c r="Y31">
        <f>'TEA Revised Non EYZ'!Y31</f>
        <v>1</v>
      </c>
      <c r="Z31">
        <f>'TEA Revised Non EYZ'!Z31</f>
        <v>0.28318429382522198</v>
      </c>
      <c r="AA31">
        <f>'TEA Revised Non EYZ'!AA31</f>
        <v>0.56945642916197003</v>
      </c>
      <c r="AB31">
        <f>'TEA Revised Non EYZ'!AB31</f>
        <v>3.7698628972227502E-3</v>
      </c>
      <c r="AC31">
        <f>'TEA Revised Non EYZ'!AC31</f>
        <v>1822.2107908876901</v>
      </c>
      <c r="AD31">
        <f>'TEA Revised Non EYZ'!AD31</f>
        <v>2662.6059073104898</v>
      </c>
      <c r="AE31">
        <f>'TEA Revised Non EYZ'!AE31</f>
        <v>2401.5030938442701</v>
      </c>
      <c r="AF31">
        <f>'TEA Revised Non EYZ'!AF31</f>
        <v>13</v>
      </c>
      <c r="AG31">
        <f>'TEA Revised Non EYZ'!AG31</f>
        <v>1.64912412966352E-3</v>
      </c>
      <c r="AH31">
        <f>'TEA Revised Non EYZ'!AH31</f>
        <v>1.66801192221077E-3</v>
      </c>
      <c r="AI31">
        <f>'TEA Revised Non EYZ'!AI31</f>
        <v>7.5059714998626504E-6</v>
      </c>
      <c r="AJ31">
        <f>'TEA Revised Non EYZ'!AJ31</f>
        <v>0</v>
      </c>
      <c r="AK31">
        <f>'TEA Revised Non EYZ'!AK31</f>
        <v>0</v>
      </c>
      <c r="AL31">
        <f>'TEA Revised Non EYZ'!AL31</f>
        <v>0</v>
      </c>
      <c r="AM31">
        <f>'TEA Revised Non EYZ'!AM31</f>
        <v>1.61214069129301E-3</v>
      </c>
      <c r="AN31">
        <f>'TEA Revised Non EYZ'!AN31</f>
        <v>7.7392968598377306E-5</v>
      </c>
      <c r="AO31">
        <f>'TEA Revised Non EYZ'!AO31</f>
        <v>7.4565414696759002E-6</v>
      </c>
      <c r="AP31">
        <f>'TEA Revised Non EYZ'!AP31</f>
        <v>1.73271486747767E-3</v>
      </c>
      <c r="AQ31">
        <f>'TEA Revised Non EYZ'!AQ31</f>
        <v>7.4522251874090506E-2</v>
      </c>
      <c r="AR31">
        <f>'TEA Revised Non EYZ'!AR31</f>
        <v>2.3158514183141602E-6</v>
      </c>
      <c r="AS31">
        <f>'TEA Revised Non EYZ'!AS31</f>
        <v>2.9341221292888898E-18</v>
      </c>
      <c r="AT31">
        <f>'TEA Revised Non EYZ'!AT31</f>
        <v>-2.4871597836817398E-16</v>
      </c>
      <c r="AU31">
        <f>'TEA Revised Non EYZ'!AU31</f>
        <v>-1.16467030247466E-21</v>
      </c>
      <c r="AV31">
        <f>'TEA Revised Non EYZ'!AV31</f>
        <v>0.19723177640219999</v>
      </c>
      <c r="AW31">
        <f>'TEA Revised Non EYZ'!AW31</f>
        <v>99.341457262558706</v>
      </c>
      <c r="AX31">
        <f>'TEA Revised Non EYZ'!AX31</f>
        <v>500</v>
      </c>
      <c r="AY31">
        <f>'TEA Revised Non EYZ'!AY31</f>
        <v>95</v>
      </c>
      <c r="AZ31">
        <f>'TEA Revised Non EYZ'!AZ31</f>
        <v>0.92405262022284995</v>
      </c>
      <c r="BA31">
        <f>'TEA Revised Non EYZ'!BA31</f>
        <v>0.1</v>
      </c>
      <c r="BB31">
        <f>'TEA Revised Non EYZ'!BB31</f>
        <v>46.851102650847501</v>
      </c>
      <c r="BC31" t="str">
        <f>'TEA Revised Non EYZ'!BC31</f>
        <v>coeFc</v>
      </c>
      <c r="BD31">
        <f>'TEA Revised Non EYZ'!BD31</f>
        <v>1</v>
      </c>
      <c r="BE31">
        <f>'TEA Revised Non EYZ'!BE31</f>
        <v>1.8775014999999999E-2</v>
      </c>
      <c r="BF31">
        <f>'TEA Revised Non EYZ'!BF31</f>
        <v>0.10492961100000001</v>
      </c>
      <c r="BG31">
        <f>'TEA Revised Non EYZ'!BG31</f>
        <v>1.814625E-3</v>
      </c>
      <c r="BH31">
        <f>'TEA Revised Non EYZ'!BH31</f>
        <v>285.1951444</v>
      </c>
      <c r="BI31">
        <f>'TEA Revised Non EYZ'!BI31</f>
        <v>2169.8944889999998</v>
      </c>
      <c r="BJ31">
        <f>'TEA Revised Non EYZ'!BJ31</f>
        <v>866.49409060000005</v>
      </c>
      <c r="BK31">
        <f>'TEA Revised Non EYZ'!BK31</f>
        <v>100</v>
      </c>
      <c r="BL31">
        <f>'TEA Revised Non EYZ'!BL31</f>
        <v>12.134817621653401</v>
      </c>
      <c r="BM31">
        <f>'TEA Revised Non EYZ'!BM31</f>
        <v>92.405262022285001</v>
      </c>
      <c r="BN31">
        <f>'TEA Revised Non EYZ'!BN31</f>
        <v>19.723177640219998</v>
      </c>
      <c r="BO31">
        <f>'TEA Revised Non EYZ'!BO31</f>
        <v>169.88744670314762</v>
      </c>
      <c r="BP31">
        <f>'TEA Revised Non EYZ'!BP31</f>
        <v>591.69532920659992</v>
      </c>
      <c r="BQ31">
        <f>'TEA Revised Non EYZ'!BQ31</f>
        <v>16.988744670314762</v>
      </c>
      <c r="BR31">
        <f>'TEA Revised Non EYZ'!BR31</f>
        <v>59.169532920659996</v>
      </c>
      <c r="BS31">
        <f>'eLLE Bals'!CF31</f>
        <v>7.2808905729920399</v>
      </c>
      <c r="BT31">
        <f>'eLLE Bals'!CG31</f>
        <v>11.833906584131999</v>
      </c>
      <c r="BU31">
        <f>BM31</f>
        <v>92.405262022285001</v>
      </c>
      <c r="BV31">
        <f>BU31*(AM31*2+AN31*2+AO31*3)</f>
        <v>0.31431067208032387</v>
      </c>
      <c r="BW31">
        <f>BN31*BA31*(AP31*2+AQ31*2+AR31*3)</f>
        <v>0.30081175378327696</v>
      </c>
      <c r="BX31">
        <f>BV31/(2*V31*BL31+BV31)</f>
        <v>0.11465860383169008</v>
      </c>
      <c r="BY31">
        <f>BU31*BX31</f>
        <v>10.595058330176693</v>
      </c>
      <c r="BZ31">
        <f>BW31/(2*BN31*BA31+BW31)</f>
        <v>7.0855138178468918E-2</v>
      </c>
      <c r="CA31">
        <f>2*BN31*BA31/0.04</f>
        <v>98.615888201099992</v>
      </c>
      <c r="CB31">
        <f>(BS31+BL31)*2</f>
        <v>38.831416389290879</v>
      </c>
      <c r="CC31">
        <f>(BU31+BL31)*2</f>
        <v>209.0801592878768</v>
      </c>
      <c r="CD31">
        <f>(BT31+BN31)*2</f>
        <v>63.114168448703992</v>
      </c>
      <c r="CE31">
        <f>(CA31+BN31)*2</f>
        <v>236.67813168263999</v>
      </c>
      <c r="CF31">
        <f>'TEA Revised Non EYZ'!CB31</f>
        <v>2242.5142964815486</v>
      </c>
      <c r="CG31">
        <f>'TEA Revised Non EYZ'!CC31</f>
        <v>7810.3783455271196</v>
      </c>
      <c r="CH31">
        <f>'TEA Revised Non EYZ'!CD31</f>
        <v>2709.3726906065185</v>
      </c>
      <c r="CI31">
        <f>'TEA Revised Non EYZ'!CE31</f>
        <v>60242.142352210001</v>
      </c>
      <c r="CJ31">
        <f>BL31*V31</f>
        <v>1.2134817621653402</v>
      </c>
      <c r="CK31">
        <f>CJ31/2*1.2</f>
        <v>0.72808905729920415</v>
      </c>
      <c r="CL31">
        <f>'eLLE Bals'!CB31*'Oxidant Feed Composition'!$N$20</f>
        <v>4.0449392072178021E-2</v>
      </c>
      <c r="CM31">
        <f>'eLLE Bals'!CB31*'Oxidant Feed Composition'!$N$21</f>
        <v>2.0224696036089003</v>
      </c>
      <c r="CN31">
        <f>'eLLE Bals'!CB31*'Oxidant Feed Composition'!$N$22</f>
        <v>0.6067408810826701</v>
      </c>
      <c r="CO31">
        <f>CN31/CK31</f>
        <v>0.83333333333333326</v>
      </c>
      <c r="CP31">
        <f>CO31</f>
        <v>0.83333333333333326</v>
      </c>
      <c r="CQ31">
        <f>CL31/CO31</f>
        <v>4.8539270486613627E-2</v>
      </c>
      <c r="CR31">
        <f>CM31/CO31</f>
        <v>2.4269635243306804</v>
      </c>
      <c r="CS31">
        <f>BN31*BA31</f>
        <v>1.9723177640219998</v>
      </c>
      <c r="CT31">
        <f>CS31/2*1.2</f>
        <v>1.1833906584131999</v>
      </c>
      <c r="CU31">
        <f>'eLLE Bals'!CC31*'Oxidant Feed Composition'!$N$20</f>
        <v>6.5743925467400016E-2</v>
      </c>
      <c r="CV31">
        <f>'eLLE Bals'!CC31*'Oxidant Feed Composition'!$N$21</f>
        <v>3.2871962733699998</v>
      </c>
      <c r="CW31">
        <f>'eLLE Bals'!CC31*'Oxidant Feed Composition'!$N$22</f>
        <v>0.98615888201099988</v>
      </c>
      <c r="CX31">
        <f>CU31/CP31</f>
        <v>7.8892710560880028E-2</v>
      </c>
      <c r="CY31">
        <f>CV31/CP31</f>
        <v>3.944635528044</v>
      </c>
      <c r="CZ31">
        <f>CJ31</f>
        <v>1.2134817621653402</v>
      </c>
      <c r="DA31">
        <f>'eLLE Bals'!BQ31</f>
        <v>2.4269635243306804</v>
      </c>
      <c r="DB31">
        <f>'eLLE Bals'!BU31</f>
        <v>6.9429886784481578</v>
      </c>
      <c r="DC31">
        <f>CS31</f>
        <v>1.9723177640219998</v>
      </c>
      <c r="DD31">
        <f>'eLLE Bals'!BX31</f>
        <v>3.9446355280439995</v>
      </c>
      <c r="DE31">
        <f>'eLLE Bals'!CA31</f>
        <v>21.918963971325024</v>
      </c>
      <c r="DF31">
        <f>2*2*(CJ31*'Reagent cost'!$C$36*122.44/1000*0.5+CK31*'Oxidant Feed Composition'!$N$26+CQ31*'Reagent cost'!$C$34+CR31*'Reagent cost'!$C$35)</f>
        <v>81.514771044557094</v>
      </c>
      <c r="DG31">
        <f>2*2*(CS31*'Reagent cost'!$C$36*122.44/1000*0.5+CT31*'Oxidant Feed Composition'!$N$26+CX31*'Reagent cost'!$C$34+CY31*'Reagent cost'!$C$35)</f>
        <v>132.48903772107974</v>
      </c>
      <c r="DH31">
        <f>(AF31+3)*2*(CZ31*'Reagent cost'!$C$38*0.5+DA31*'Reagent cost'!$C$39+DB31*'Reagent cost'!$C$36*122.44/1000)</f>
        <v>2012.176172176692</v>
      </c>
      <c r="DI31">
        <f>3*2*(DC31*'Reagent cost'!$C$38*0.5+DD31*'Reagent cost'!$C$39+DE31*'Reagent cost'!$C$36*122.44/1000)</f>
        <v>1164.9208310150339</v>
      </c>
      <c r="DJ31">
        <f>7963.6*(CB31/1000)^0.6*1.7*('CAPEX+OPEX'!$G$116/'CAPEX+OPEX'!$G$115)</f>
        <v>2273.7926954959794</v>
      </c>
      <c r="DK31">
        <f>7963.6*(CC31/1000)^0.6*1.7*('CAPEX+OPEX'!$G$116/'CAPEX+OPEX'!$G$115)</f>
        <v>6243.5072626595684</v>
      </c>
      <c r="DL31">
        <f>7963.6*(CD31/1000)^0.6*1.7*('CAPEX+OPEX'!$G$116/'CAPEX+OPEX'!$G$115)</f>
        <v>3043.1057638590996</v>
      </c>
      <c r="DM31">
        <f>7963.6*(CE31/1000)^0.6*1.7*('CAPEX+OPEX'!$G$116/'CAPEX+OPEX'!$G$115)</f>
        <v>6725.673914113152</v>
      </c>
      <c r="DN31">
        <f>'TEA Revised Non EYZ'!CM31</f>
        <v>39625.826528698344</v>
      </c>
      <c r="DO31">
        <f>'TEA Revised Non EYZ'!CN31</f>
        <v>4586243.4239371875</v>
      </c>
      <c r="DP31">
        <f>'TEA Revised Non EYZ'!CO31</f>
        <v>11794834.586807497</v>
      </c>
      <c r="DQ31">
        <f>'TEA Revised Non EYZ'!CP31</f>
        <v>2275209.1661185985</v>
      </c>
      <c r="DR31">
        <f>'TEA Revised Non EYZ'!CQ31</f>
        <v>14083914.336508472</v>
      </c>
      <c r="DS31">
        <f>'TEA Revised Non EYZ'!CR31</f>
        <v>1662824.8986326549</v>
      </c>
      <c r="DT31">
        <f>'TEA Revised Non EYZ'!CS31</f>
        <v>589054.93036564998</v>
      </c>
      <c r="DU31">
        <f>'TEA Revised Non EYZ'!CT31</f>
        <v>1514922.9606835202</v>
      </c>
      <c r="DV31">
        <f>'TEA Revised Non EYZ'!CU31</f>
        <v>292226.78628879401</v>
      </c>
      <c r="DW31">
        <f>'TEA Revised Non EYZ'!CV31</f>
        <v>1808931.2781495745</v>
      </c>
      <c r="DX31">
        <f>'TEA Revised Non EYZ'!CW31</f>
        <v>213572.44139332071</v>
      </c>
      <c r="DY31">
        <f>'TEA Revised Non EYZ'!CX31</f>
        <v>4418708.3968808586</v>
      </c>
      <c r="DZ31">
        <f>'TEA Revised Non EYZ'!CY31</f>
        <v>925216.76281415427</v>
      </c>
      <c r="EA31">
        <f>'TEA Revised Non EYZ'!CZ31</f>
        <v>2379459.1053272258</v>
      </c>
      <c r="EB31">
        <f>'TEA Revised Non EYZ'!DA31</f>
        <v>458994.7512193307</v>
      </c>
      <c r="EC31">
        <f>'TEA Revised Non EYZ'!DB31</f>
        <v>2841252.0718295593</v>
      </c>
      <c r="ED31">
        <f>'TEA Revised Non EYZ'!DC31</f>
        <v>335453.94948071335</v>
      </c>
      <c r="EE31">
        <f>'TEA Revised Non EYZ'!DD31</f>
        <v>6940376.6406709841</v>
      </c>
      <c r="EF31">
        <v>0.7</v>
      </c>
      <c r="EG31">
        <v>100</v>
      </c>
      <c r="EH31">
        <f>96485*BL31*V31/EF31/EG31/60</f>
        <v>27.876854243457824</v>
      </c>
      <c r="EI31">
        <f>96485*BN31*BA31/EF31/EG31/60</f>
        <v>45.309304633729205</v>
      </c>
      <c r="EJ31">
        <f>EH31*('CAPEX+OPEX'!$O$25+'CAPEX+OPEX'!$O$26)</f>
        <v>888491.09844748781</v>
      </c>
      <c r="EK31">
        <f>EI31*('CAPEX+OPEX'!$O$25+'CAPEX+OPEX'!$O$26)</f>
        <v>1444098.1572862172</v>
      </c>
      <c r="EL31">
        <f>EJ31*1.12/0.6*'CAPEX+OPEX'!$G$116/'CAPEX+OPEX'!$G$115</f>
        <v>1956151.2069656507</v>
      </c>
      <c r="EM31">
        <f>EK31*1.12/0.6*'CAPEX+OPEX'!$G$116/'CAPEX+OPEX'!$G$115</f>
        <v>3179406.4772155555</v>
      </c>
      <c r="EN31">
        <f>EL31+EM31+DY31+EE31+1.15*(SUM(DF31:DM31)+SUM(CF31:CI31))</f>
        <v>16603526.548085896</v>
      </c>
      <c r="EO31">
        <f>EN31/15</f>
        <v>1106901.769872393</v>
      </c>
      <c r="EP31">
        <f>('eLLE Bals'!CB31+'eLLE Bals'!CC31)*'Oxidant Feed Composition'!$N$29*60*7200</f>
        <v>7946521.9859019788</v>
      </c>
      <c r="EQ31" s="53">
        <f>('eLLE Bals'!BR31+'eLLE Bals'!BY31)*'Reagent cost'!$C$38*60*7200*0.5</f>
        <v>254444.16267594398</v>
      </c>
      <c r="ER31">
        <f>'TEA Revised Non EYZ'!DI31</f>
        <v>504921.59999999998</v>
      </c>
      <c r="ES31">
        <f>'TEA Revised Non EYZ'!DJ31</f>
        <v>100.52892642008669</v>
      </c>
      <c r="ET31">
        <f>'TEA Revised Non EYZ'!DK31</f>
        <v>1259.0303008563305</v>
      </c>
      <c r="EU31">
        <f>1.2*SUM(EP31:ET31)</f>
        <v>10448696.769366238</v>
      </c>
      <c r="EV31">
        <f>'TEA Revised Non EYZ'!DM31</f>
        <v>0.70639694042110623</v>
      </c>
      <c r="EW31">
        <f>(BS31*CO31+BT31*CP31)/1000*('Oxidant Feed Composition'!$B$11*'Oxidant Feed Composition'!$O$20+'Oxidant Feed Composition'!$D$11*'Oxidant Feed Composition'!$O$21+'Oxidant Feed Composition'!$F$11*'Oxidant Feed Composition'!$O$27-'Oxidant Feed Composition'!$J$15*18.015)</f>
        <v>1.8602606609900318</v>
      </c>
      <c r="EX31">
        <f>(CZ31*BX31+DC31*BZ31)*368.34/1000</f>
        <v>0.10272449070682571</v>
      </c>
      <c r="EY31">
        <f>'TEA Revised Non EYZ'!DP31</f>
        <v>4.999938342565946E-2</v>
      </c>
      <c r="EZ31">
        <f>SUM(EV31:EX31)-EY31</f>
        <v>2.6193827086923043</v>
      </c>
      <c r="FA31">
        <f>EZ31*0.33*60*7200</f>
        <v>373419.19895117491</v>
      </c>
      <c r="FB31">
        <f>'TEA Revised Non EYZ'!DS31</f>
        <v>1.2</v>
      </c>
      <c r="FC31">
        <v>0.5</v>
      </c>
      <c r="FD31">
        <f>'TEA Revised Non EYZ'!DT31</f>
        <v>1406.5014453655667</v>
      </c>
      <c r="FE31">
        <f>'TEA Revised Non EYZ'!DU31</f>
        <v>706.74500362572746</v>
      </c>
      <c r="FF31">
        <f>'TEA Revised Non EYZ'!DV31</f>
        <v>0.7</v>
      </c>
      <c r="FG31">
        <f>'TEA Revised Non EYZ'!DW31</f>
        <v>33024.331428945443</v>
      </c>
      <c r="FH31">
        <f>'TEA Revised Non EYZ'!DX31</f>
        <v>24915.659383376755</v>
      </c>
      <c r="FI31">
        <f>'TEA Revised Non EYZ'!DY31</f>
        <v>10548.968690542577</v>
      </c>
      <c r="FJ31">
        <f>'TEA Revised Non EYZ'!DZ31</f>
        <v>5588.0830181845758</v>
      </c>
      <c r="FK31">
        <f>'TEA Revised Non EYZ'!EA31</f>
        <v>5626.1166349560426</v>
      </c>
      <c r="FL31">
        <f>'TEA Revised Non EYZ'!EB31</f>
        <v>850.65207415709494</v>
      </c>
      <c r="FM31">
        <f>'TEA Revised Non EYZ'!EC31</f>
        <v>51450.283011071304</v>
      </c>
      <c r="FN31">
        <f>'TEA Revised Non EYZ'!ED31</f>
        <v>54335.73523577748</v>
      </c>
      <c r="FO31">
        <f>'TEA Revised Non EYZ'!EE31</f>
        <v>23005.049192567072</v>
      </c>
      <c r="FP31">
        <f>'TEA Revised Non EYZ'!EF31</f>
        <v>12193.156148176799</v>
      </c>
      <c r="FQ31">
        <f>'TEA Revised Non EYZ'!EG31</f>
        <v>12269.359569369111</v>
      </c>
      <c r="FR31">
        <f>'TEA Revised Non EYZ'!EH31</f>
        <v>427.43937819284008</v>
      </c>
      <c r="FS31">
        <f>'TEA Revised Non EYZ'!EI31</f>
        <v>234234.8337653171</v>
      </c>
      <c r="FT31">
        <f>EG31*EH31</f>
        <v>2787.6854243457824</v>
      </c>
      <c r="FU31">
        <f>EG31*EI31</f>
        <v>4530.9304633729207</v>
      </c>
      <c r="FV31">
        <f>FC31*(FT31+FU31)/(3.6*10^6)*3600*7200*0.07</f>
        <v>1844.2912037051135</v>
      </c>
      <c r="FW31">
        <f>('CAPEX+OPEX'!$C$39/7/100+0.03)*EL31</f>
        <v>100602.06207251917</v>
      </c>
      <c r="FX31">
        <f>('CAPEX+OPEX'!$C$39/7/100+0.03)*EM31</f>
        <v>163512.33311394285</v>
      </c>
      <c r="FY31">
        <f>SUM(FV31:FX31)</f>
        <v>265958.6863901671</v>
      </c>
      <c r="FZ31">
        <f>FY31+FA31+FS31+EU31</f>
        <v>11322309.488472898</v>
      </c>
      <c r="GA31">
        <f>FZ31+EO31</f>
        <v>12429211.258345291</v>
      </c>
      <c r="GB31">
        <f>GA31/(BK31*60*7200)</f>
        <v>0.28771322357280765</v>
      </c>
      <c r="GC31">
        <f>'TEA Revised Non EYZ'!EM31/'TEA Revised Non EYZ'!EK31*GA31</f>
        <v>962.45465536658287</v>
      </c>
      <c r="GD31">
        <f>'TEA Revised Non EYZ'!EN31/'TEA Revised Non EYZ'!EK31*GA31</f>
        <v>1764.1441836415588</v>
      </c>
    </row>
    <row r="32" spans="1:186">
      <c r="A32">
        <f>'TEA Revised Non EYZ'!A32</f>
        <v>6</v>
      </c>
      <c r="B32">
        <f>'TEA Revised Non EYZ'!B32</f>
        <v>1.54143585092054E-3</v>
      </c>
      <c r="C32">
        <f>'TEA Revised Non EYZ'!C32</f>
        <v>1.54143585092054E-3</v>
      </c>
      <c r="D32">
        <f>'TEA Revised Non EYZ'!D32</f>
        <v>3.4254130020456501E-4</v>
      </c>
      <c r="E32">
        <f>'TEA Revised Non EYZ'!E32</f>
        <v>0</v>
      </c>
      <c r="F32">
        <f>'TEA Revised Non EYZ'!F32</f>
        <v>0</v>
      </c>
      <c r="G32">
        <f>'TEA Revised Non EYZ'!G32</f>
        <v>0</v>
      </c>
      <c r="H32">
        <f>'TEA Revised Non EYZ'!H32</f>
        <v>1.7693893431643E-5</v>
      </c>
      <c r="I32">
        <f>'TEA Revised Non EYZ'!I32</f>
        <v>3.7175600603836103E-8</v>
      </c>
      <c r="J32">
        <f>'TEA Revised Non EYZ'!J32</f>
        <v>3.36890310328726E-4</v>
      </c>
      <c r="K32">
        <f>'TEA Revised Non EYZ'!K32</f>
        <v>0.133710118829723</v>
      </c>
      <c r="L32">
        <f>'TEA Revised Non EYZ'!L32</f>
        <v>0.13525951632913</v>
      </c>
      <c r="M32">
        <f>'TEA Revised Non EYZ'!M32</f>
        <v>4.9588089642288804E-4</v>
      </c>
      <c r="N32">
        <f>'TEA Revised Non EYZ'!N32</f>
        <v>-1.72886878424538E-14</v>
      </c>
      <c r="O32">
        <f>'TEA Revised Non EYZ'!O32</f>
        <v>-1.05961268405396E-12</v>
      </c>
      <c r="P32">
        <f>'TEA Revised Non EYZ'!P32</f>
        <v>-9.6595637304880395E-18</v>
      </c>
      <c r="Q32">
        <f>'TEA Revised Non EYZ'!Q32</f>
        <v>0.11395861217105201</v>
      </c>
      <c r="R32">
        <f>'TEA Revised Non EYZ'!R32</f>
        <v>98.3502748800029</v>
      </c>
      <c r="S32">
        <f>'TEA Revised Non EYZ'!S32</f>
        <v>500</v>
      </c>
      <c r="T32">
        <f>'TEA Revised Non EYZ'!T32</f>
        <v>95</v>
      </c>
      <c r="U32">
        <f>'TEA Revised Non EYZ'!U32</f>
        <v>1</v>
      </c>
      <c r="V32">
        <f>'TEA Revised Non EYZ'!V32</f>
        <v>0.1</v>
      </c>
      <c r="W32">
        <f>'TEA Revised Non EYZ'!W32</f>
        <v>87.751156402202497</v>
      </c>
      <c r="X32" t="str">
        <f>'TEA Revised Non EYZ'!X32</f>
        <v>ddFc</v>
      </c>
      <c r="Y32">
        <f>'TEA Revised Non EYZ'!Y32</f>
        <v>1</v>
      </c>
      <c r="Z32">
        <f>'TEA Revised Non EYZ'!Z32</f>
        <v>0.28318429382522198</v>
      </c>
      <c r="AA32">
        <f>'TEA Revised Non EYZ'!AA32</f>
        <v>0.56945642916197003</v>
      </c>
      <c r="AB32">
        <f>'TEA Revised Non EYZ'!AB32</f>
        <v>3.7698628972227502E-3</v>
      </c>
      <c r="AC32">
        <f>'TEA Revised Non EYZ'!AC32</f>
        <v>1822.2107908876901</v>
      </c>
      <c r="AD32">
        <f>'TEA Revised Non EYZ'!AD32</f>
        <v>2662.6059073104898</v>
      </c>
      <c r="AE32">
        <f>'TEA Revised Non EYZ'!AE32</f>
        <v>2401.5030938442701</v>
      </c>
      <c r="AF32">
        <f>'TEA Revised Non EYZ'!AF32</f>
        <v>4</v>
      </c>
      <c r="AG32">
        <f>'TEA Revised Non EYZ'!AG32</f>
        <v>1.64951815726537E-3</v>
      </c>
      <c r="AH32">
        <f>'TEA Revised Non EYZ'!AH32</f>
        <v>1.6686323374819601E-3</v>
      </c>
      <c r="AI32">
        <f>'TEA Revised Non EYZ'!AI32</f>
        <v>6.1174468293775103E-6</v>
      </c>
      <c r="AJ32">
        <f>'TEA Revised Non EYZ'!AJ32</f>
        <v>0</v>
      </c>
      <c r="AK32">
        <f>'TEA Revised Non EYZ'!AK32</f>
        <v>0</v>
      </c>
      <c r="AL32">
        <f>'TEA Revised Non EYZ'!AL32</f>
        <v>0</v>
      </c>
      <c r="AM32">
        <f>'TEA Revised Non EYZ'!AM32</f>
        <v>1.60449551819817E-3</v>
      </c>
      <c r="AN32">
        <f>'TEA Revised Non EYZ'!AN32</f>
        <v>7.8378352599036395E-5</v>
      </c>
      <c r="AO32">
        <f>'TEA Revised Non EYZ'!AO32</f>
        <v>6.0687799409797502E-6</v>
      </c>
      <c r="AP32">
        <f>'TEA Revised Non EYZ'!AP32</f>
        <v>1.98992535233798E-3</v>
      </c>
      <c r="AQ32">
        <f>'TEA Revised Non EYZ'!AQ32</f>
        <v>7.0286566630574296E-2</v>
      </c>
      <c r="AR32">
        <f>'TEA Revised Non EYZ'!AR32</f>
        <v>2.1509950778718299E-6</v>
      </c>
      <c r="AS32">
        <f>'TEA Revised Non EYZ'!AS32</f>
        <v>-1.0218998498963401E-14</v>
      </c>
      <c r="AT32">
        <f>'TEA Revised Non EYZ'!AT32</f>
        <v>-1.31525649746389E-13</v>
      </c>
      <c r="AU32">
        <f>'TEA Revised Non EYZ'!AU32</f>
        <v>-3.7253567811428197E-18</v>
      </c>
      <c r="AV32">
        <f>'TEA Revised Non EYZ'!AV32</f>
        <v>0.20900106017960299</v>
      </c>
      <c r="AW32">
        <f>'TEA Revised Non EYZ'!AW32</f>
        <v>99.204457517079604</v>
      </c>
      <c r="AX32">
        <f>'TEA Revised Non EYZ'!AX32</f>
        <v>500</v>
      </c>
      <c r="AY32">
        <f>'TEA Revised Non EYZ'!AY32</f>
        <v>95</v>
      </c>
      <c r="AZ32">
        <f>'TEA Revised Non EYZ'!AZ32</f>
        <v>0.92374973309314701</v>
      </c>
      <c r="BA32">
        <f>'TEA Revised Non EYZ'!BA32</f>
        <v>0.1</v>
      </c>
      <c r="BB32">
        <f>'TEA Revised Non EYZ'!BB32</f>
        <v>44.198327620889899</v>
      </c>
      <c r="BC32" t="str">
        <f>'TEA Revised Non EYZ'!BC32</f>
        <v>coeFc</v>
      </c>
      <c r="BD32">
        <f>'TEA Revised Non EYZ'!BD32</f>
        <v>1</v>
      </c>
      <c r="BE32">
        <f>'TEA Revised Non EYZ'!BE32</f>
        <v>1.8775014999999999E-2</v>
      </c>
      <c r="BF32">
        <f>'TEA Revised Non EYZ'!BF32</f>
        <v>0.10492961100000001</v>
      </c>
      <c r="BG32">
        <f>'TEA Revised Non EYZ'!BG32</f>
        <v>1.814625E-3</v>
      </c>
      <c r="BH32">
        <f>'TEA Revised Non EYZ'!BH32</f>
        <v>285.1951444</v>
      </c>
      <c r="BI32">
        <f>'TEA Revised Non EYZ'!BI32</f>
        <v>2169.8944889999998</v>
      </c>
      <c r="BJ32">
        <f>'TEA Revised Non EYZ'!BJ32</f>
        <v>866.49409060000005</v>
      </c>
      <c r="BK32">
        <f>'TEA Revised Non EYZ'!BK32</f>
        <v>100</v>
      </c>
      <c r="BL32">
        <f>'TEA Revised Non EYZ'!BL32</f>
        <v>11.395861217105201</v>
      </c>
      <c r="BM32">
        <f>'TEA Revised Non EYZ'!BM32</f>
        <v>92.374973309314697</v>
      </c>
      <c r="BN32">
        <f>'TEA Revised Non EYZ'!BN32</f>
        <v>20.900106017960297</v>
      </c>
      <c r="BO32">
        <f>'TEA Revised Non EYZ'!BO32</f>
        <v>182.33377947368322</v>
      </c>
      <c r="BP32">
        <f>'TEA Revised Non EYZ'!BP32</f>
        <v>250.80127221552357</v>
      </c>
      <c r="BQ32">
        <f>'TEA Revised Non EYZ'!BQ32</f>
        <v>18.233377947368322</v>
      </c>
      <c r="BR32">
        <f>'TEA Revised Non EYZ'!BR32</f>
        <v>25.08012722155236</v>
      </c>
      <c r="BS32">
        <f>'eLLE Bals'!CF32</f>
        <v>6.8375167302631192</v>
      </c>
      <c r="BT32">
        <f>'eLLE Bals'!CG32</f>
        <v>12.540063610776178</v>
      </c>
      <c r="BU32">
        <f>BM32</f>
        <v>92.374973309314697</v>
      </c>
      <c r="BV32">
        <f>BU32*(AM32*2+AN32*2+AO32*3)</f>
        <v>0.31259266795087443</v>
      </c>
      <c r="BW32">
        <f>BN32*BA32*(AP32*2+AQ32*2+AR32*3)</f>
        <v>0.30213075581737631</v>
      </c>
      <c r="BX32">
        <f>BV32/(2*V32*BL32+BV32)</f>
        <v>0.12060996218418893</v>
      </c>
      <c r="BY32">
        <f>BU32*BX32</f>
        <v>11.141342037601907</v>
      </c>
      <c r="BZ32">
        <f>BW32/(2*BN32*BA32+BW32)</f>
        <v>6.7407521778263119E-2</v>
      </c>
      <c r="CA32">
        <f>2*BN32*BA32/0.04</f>
        <v>104.50053008980149</v>
      </c>
      <c r="CB32">
        <f>(BS32+BL32)*2</f>
        <v>36.466755894736643</v>
      </c>
      <c r="CC32">
        <f>(BU32+BL32)*2</f>
        <v>207.54166905283981</v>
      </c>
      <c r="CD32">
        <f>(BT32+BN32)*2</f>
        <v>66.880339257472954</v>
      </c>
      <c r="CE32">
        <f>(CA32+BN32)*2</f>
        <v>250.80127221552357</v>
      </c>
      <c r="CF32">
        <f>'TEA Revised Non EYZ'!CB32</f>
        <v>2406.8058890526186</v>
      </c>
      <c r="CG32">
        <f>'TEA Revised Non EYZ'!CC32</f>
        <v>3310.5767932449112</v>
      </c>
      <c r="CH32">
        <f>'TEA Revised Non EYZ'!CD32</f>
        <v>2907.8673690603878</v>
      </c>
      <c r="CI32">
        <f>'TEA Revised Non EYZ'!CE32</f>
        <v>25534.773044739486</v>
      </c>
      <c r="CJ32">
        <f>BL32*V32</f>
        <v>1.1395861217105201</v>
      </c>
      <c r="CK32">
        <f>CJ32/2*1.2</f>
        <v>0.68375167302631201</v>
      </c>
      <c r="CL32">
        <f>'eLLE Bals'!CB32*'Oxidant Feed Composition'!$N$20</f>
        <v>3.7986204057017352E-2</v>
      </c>
      <c r="CM32">
        <f>'eLLE Bals'!CB32*'Oxidant Feed Composition'!$N$21</f>
        <v>1.8993102028508668</v>
      </c>
      <c r="CN32">
        <f>'eLLE Bals'!CB32*'Oxidant Feed Composition'!$N$22</f>
        <v>0.56979306085526005</v>
      </c>
      <c r="CO32">
        <f>CN32/CK32</f>
        <v>0.83333333333333337</v>
      </c>
      <c r="CP32">
        <f>CO32</f>
        <v>0.83333333333333337</v>
      </c>
      <c r="CQ32">
        <f>CL32/CO32</f>
        <v>4.5583444868420822E-2</v>
      </c>
      <c r="CR32">
        <f>CM32/CO32</f>
        <v>2.2791722434210402</v>
      </c>
      <c r="CS32">
        <f>BN32*BA32</f>
        <v>2.0900106017960298</v>
      </c>
      <c r="CT32">
        <f>CS32/2*1.2</f>
        <v>1.2540063610776178</v>
      </c>
      <c r="CU32">
        <f>'eLLE Bals'!CC32*'Oxidant Feed Composition'!$N$20</f>
        <v>6.966702005986769E-2</v>
      </c>
      <c r="CV32">
        <f>'eLLE Bals'!CC32*'Oxidant Feed Composition'!$N$21</f>
        <v>3.4833510029933832</v>
      </c>
      <c r="CW32">
        <f>'eLLE Bals'!CC32*'Oxidant Feed Composition'!$N$22</f>
        <v>1.0450053008980149</v>
      </c>
      <c r="CX32">
        <f>CU32/CP32</f>
        <v>8.360042407184122E-2</v>
      </c>
      <c r="CY32">
        <f>CV32/CP32</f>
        <v>4.1800212035920596</v>
      </c>
      <c r="CZ32">
        <f>CJ32</f>
        <v>1.1395861217105201</v>
      </c>
      <c r="DA32">
        <f>'eLLE Bals'!BQ32</f>
        <v>2.2791722434210402</v>
      </c>
      <c r="DB32">
        <f>'eLLE Bals'!BU32</f>
        <v>6.0297656298858753</v>
      </c>
      <c r="DC32">
        <f>CS32</f>
        <v>2.0900106017960298</v>
      </c>
      <c r="DD32">
        <f>'eLLE Bals'!BX32</f>
        <v>4.1800212035920596</v>
      </c>
      <c r="DE32">
        <f>'eLLE Bals'!CA32</f>
        <v>24.735567371972483</v>
      </c>
      <c r="DF32">
        <f>2*2*(CJ32*'Reagent cost'!$C$36*122.44/1000*0.5+CK32*'Oxidant Feed Composition'!$N$26+CQ32*'Reagent cost'!$C$34+CR32*'Reagent cost'!$C$35)</f>
        <v>76.550884152580181</v>
      </c>
      <c r="DG32">
        <f>2*2*(CS32*'Reagent cost'!$C$36*122.44/1000*0.5+CT32*'Oxidant Feed Composition'!$N$26+CX32*'Reagent cost'!$C$34+CY32*'Reagent cost'!$C$35)</f>
        <v>140.39497007527947</v>
      </c>
      <c r="DH32">
        <f>(AF32+3)*2*(CZ32*'Reagent cost'!$C$38*0.5+DA32*'Reagent cost'!$C$39+DB32*'Reagent cost'!$C$36*122.44/1000)</f>
        <v>767.35106300288589</v>
      </c>
      <c r="DI32">
        <f>3*2*(DC32*'Reagent cost'!$C$38*0.5+DD32*'Reagent cost'!$C$39+DE32*'Reagent cost'!$C$36*122.44/1000)</f>
        <v>1312.7034346754149</v>
      </c>
      <c r="DJ32">
        <f>7963.6*(CB32/1000)^0.6*1.7*('CAPEX+OPEX'!$G$116/'CAPEX+OPEX'!$G$115)</f>
        <v>2189.6727102460782</v>
      </c>
      <c r="DK32">
        <f>7963.6*(CC32/1000)^0.6*1.7*('CAPEX+OPEX'!$G$116/'CAPEX+OPEX'!$G$115)</f>
        <v>6215.9013146876341</v>
      </c>
      <c r="DL32">
        <f>7963.6*(CD32/1000)^0.6*1.7*('CAPEX+OPEX'!$G$116/'CAPEX+OPEX'!$G$115)</f>
        <v>3150.7939894739484</v>
      </c>
      <c r="DM32">
        <f>7963.6*(CE32/1000)^0.6*1.7*('CAPEX+OPEX'!$G$116/'CAPEX+OPEX'!$G$115)</f>
        <v>6963.6794078678058</v>
      </c>
      <c r="DN32">
        <f>'TEA Revised Non EYZ'!CM32</f>
        <v>39625.826528698344</v>
      </c>
      <c r="DO32">
        <f>'TEA Revised Non EYZ'!CN32</f>
        <v>4586243.4239371875</v>
      </c>
      <c r="DP32">
        <f>'TEA Revised Non EYZ'!CO32</f>
        <v>11794834.586807497</v>
      </c>
      <c r="DQ32">
        <f>'TEA Revised Non EYZ'!CP32</f>
        <v>2275209.1661185985</v>
      </c>
      <c r="DR32">
        <f>'TEA Revised Non EYZ'!CQ32</f>
        <v>14083914.336508472</v>
      </c>
      <c r="DS32">
        <f>'TEA Revised Non EYZ'!CR32</f>
        <v>1662824.8986326549</v>
      </c>
      <c r="DT32">
        <f>'TEA Revised Non EYZ'!CS32</f>
        <v>646135.89638675924</v>
      </c>
      <c r="DU32">
        <f>'TEA Revised Non EYZ'!CT32</f>
        <v>1661722.9645298459</v>
      </c>
      <c r="DV32">
        <f>'TEA Revised Non EYZ'!CU32</f>
        <v>320544.32748695416</v>
      </c>
      <c r="DW32">
        <f>'TEA Revised Non EYZ'!CV32</f>
        <v>1984221.4582325809</v>
      </c>
      <c r="DX32">
        <f>'TEA Revised Non EYZ'!CW32</f>
        <v>234268.17050410178</v>
      </c>
      <c r="DY32">
        <f>'TEA Revised Non EYZ'!CX32</f>
        <v>4846892.8171402421</v>
      </c>
      <c r="DZ32">
        <f>'TEA Revised Non EYZ'!CY32</f>
        <v>498707.80181552708</v>
      </c>
      <c r="EA32">
        <f>'TEA Revised Non EYZ'!CZ32</f>
        <v>1282569.5205935668</v>
      </c>
      <c r="EB32">
        <f>'TEA Revised Non EYZ'!DA32</f>
        <v>247406.09187539818</v>
      </c>
      <c r="EC32">
        <f>'TEA Revised Non EYZ'!DB32</f>
        <v>1531483.8987958883</v>
      </c>
      <c r="ED32">
        <f>'TEA Revised Non EYZ'!DC32</f>
        <v>180815.46776889433</v>
      </c>
      <c r="EE32">
        <f>'TEA Revised Non EYZ'!DD32</f>
        <v>3740982.7808492747</v>
      </c>
      <c r="EF32">
        <v>0.7</v>
      </c>
      <c r="EG32">
        <v>100</v>
      </c>
      <c r="EH32">
        <f>96485*BL32*V32/EF32/EG32/60</f>
        <v>26.179277846009416</v>
      </c>
      <c r="EI32">
        <f>96485*BN32*BA32/EF32/EG32/60</f>
        <v>48.013017360545227</v>
      </c>
      <c r="EJ32">
        <f>EH32*('CAPEX+OPEX'!$O$25+'CAPEX+OPEX'!$O$26)</f>
        <v>834385.9435080121</v>
      </c>
      <c r="EK32">
        <f>EI32*('CAPEX+OPEX'!$O$25+'CAPEX+OPEX'!$O$26)</f>
        <v>1530270.8893152974</v>
      </c>
      <c r="EL32">
        <f>EJ32*1.12/0.6*'CAPEX+OPEX'!$G$116/'CAPEX+OPEX'!$G$115</f>
        <v>1837030.3015082346</v>
      </c>
      <c r="EM32">
        <f>EK32*1.12/0.6*'CAPEX+OPEX'!$G$116/'CAPEX+OPEX'!$G$115</f>
        <v>3369129.1362953805</v>
      </c>
      <c r="EN32">
        <f>EL32+EM32+DY32+EE32+1.15*(SUM(DF32:DM32)+SUM(CF32:CI32))</f>
        <v>13857258.667293953</v>
      </c>
      <c r="EO32">
        <f>EN32/15</f>
        <v>923817.24448626349</v>
      </c>
      <c r="EP32">
        <f>('eLLE Bals'!CB32+'eLLE Bals'!CC32)*'Oxidant Feed Composition'!$N$29*60*7200</f>
        <v>8055767.8403749717</v>
      </c>
      <c r="EQ32" s="53">
        <f>('eLLE Bals'!BR32+'eLLE Bals'!BY32)*'Reagent cost'!$C$38*60*7200*0.5</f>
        <v>253935.88729429009</v>
      </c>
      <c r="ER32">
        <f>'TEA Revised Non EYZ'!DI32</f>
        <v>504921.59999999998</v>
      </c>
      <c r="ES32">
        <f>'TEA Revised Non EYZ'!DJ32</f>
        <v>57.1738268229753</v>
      </c>
      <c r="ET32">
        <f>'TEA Revised Non EYZ'!DK32</f>
        <v>568.85280827599752</v>
      </c>
      <c r="EU32">
        <f>1.2*SUM(EP32:ET32)</f>
        <v>10578301.625165232</v>
      </c>
      <c r="EV32">
        <f>'TEA Revised Non EYZ'!DM32</f>
        <v>0.70639694042110623</v>
      </c>
      <c r="EW32">
        <f>(BS32*CO32+BT32*CP32)/1000*('Oxidant Feed Composition'!$B$11*'Oxidant Feed Composition'!$O$20+'Oxidant Feed Composition'!$D$11*'Oxidant Feed Composition'!$O$21+'Oxidant Feed Composition'!$F$11*'Oxidant Feed Composition'!$O$27-'Oxidant Feed Composition'!$J$15*18.015)</f>
        <v>1.8858348387010977</v>
      </c>
      <c r="EX32">
        <f>(CZ32*BX32+DC32*BZ32)*368.34/1000</f>
        <v>0.1025192891837485</v>
      </c>
      <c r="EY32">
        <f>'TEA Revised Non EYZ'!DP32</f>
        <v>4.999938342565946E-2</v>
      </c>
      <c r="EZ32">
        <f>SUM(EV32:EX32)-EY32</f>
        <v>2.6447516848802932</v>
      </c>
      <c r="FA32">
        <f>EZ32*0.33*60*7200</f>
        <v>377035.8001965346</v>
      </c>
      <c r="FB32">
        <f>'TEA Revised Non EYZ'!DS32</f>
        <v>1.2</v>
      </c>
      <c r="FC32">
        <v>0.5</v>
      </c>
      <c r="FD32">
        <f>'TEA Revised Non EYZ'!DT32</f>
        <v>1399.085634031785</v>
      </c>
      <c r="FE32">
        <f>'TEA Revised Non EYZ'!DU32</f>
        <v>713.18193969377842</v>
      </c>
      <c r="FF32">
        <f>'TEA Revised Non EYZ'!DV32</f>
        <v>0.7</v>
      </c>
      <c r="FG32">
        <f>'TEA Revised Non EYZ'!DW32</f>
        <v>35776.359048024235</v>
      </c>
      <c r="FH32">
        <f>'TEA Revised Non EYZ'!DX32</f>
        <v>29068.269280606211</v>
      </c>
      <c r="FI32">
        <f>'TEA Revised Non EYZ'!DY32</f>
        <v>12307.130138966339</v>
      </c>
      <c r="FJ32">
        <f>'TEA Revised Non EYZ'!DZ32</f>
        <v>6519.4301878820042</v>
      </c>
      <c r="FK32">
        <f>'TEA Revised Non EYZ'!EA32</f>
        <v>6563.8027407820491</v>
      </c>
      <c r="FL32">
        <f>'TEA Revised Non EYZ'!EB32</f>
        <v>846.16699146242365</v>
      </c>
      <c r="FM32">
        <f>'TEA Revised Non EYZ'!EC32</f>
        <v>28289.73423978344</v>
      </c>
      <c r="FN32">
        <f>'TEA Revised Non EYZ'!ED32</f>
        <v>19400.174755088523</v>
      </c>
      <c r="FO32">
        <f>'TEA Revised Non EYZ'!EE32</f>
        <v>8213.783666468933</v>
      </c>
      <c r="FP32">
        <f>'TEA Revised Non EYZ'!EF32</f>
        <v>4353.4867414415085</v>
      </c>
      <c r="FQ32">
        <f>'TEA Revised Non EYZ'!EG32</f>
        <v>4380.6846221167634</v>
      </c>
      <c r="FR32">
        <f>'TEA Revised Non EYZ'!EH32</f>
        <v>431.33243712679723</v>
      </c>
      <c r="FS32">
        <f>'TEA Revised Non EYZ'!EI32</f>
        <v>156150.35484974924</v>
      </c>
      <c r="FT32">
        <f>EG32*EH32</f>
        <v>2617.9277846009418</v>
      </c>
      <c r="FU32">
        <f>EG32*EI32</f>
        <v>4801.3017360545227</v>
      </c>
      <c r="FV32">
        <f>FC32*(FT32+FU32)/(3.6*10^6)*3600*7200*0.07</f>
        <v>1869.645839205177</v>
      </c>
      <c r="FW32">
        <f>('CAPEX+OPEX'!$C$39/7/100+0.03)*EL32</f>
        <v>94475.844077566348</v>
      </c>
      <c r="FX32">
        <f>('CAPEX+OPEX'!$C$39/7/100+0.03)*EM32</f>
        <v>173269.49843804815</v>
      </c>
      <c r="FY32">
        <f>SUM(FV32:FX32)</f>
        <v>269614.98835481965</v>
      </c>
      <c r="FZ32">
        <f>FY32+FA32+FS32+EU32</f>
        <v>11381102.768566335</v>
      </c>
      <c r="GA32">
        <f>FZ32+EO32</f>
        <v>12304920.013052598</v>
      </c>
      <c r="GB32">
        <f>GA32/(BK32*60*7200)</f>
        <v>0.2848361114132546</v>
      </c>
      <c r="GC32">
        <f>'TEA Revised Non EYZ'!EM32/'TEA Revised Non EYZ'!EK32*GA32</f>
        <v>957.67006020277813</v>
      </c>
      <c r="GD32">
        <f>'TEA Revised Non EYZ'!EN32/'TEA Revised Non EYZ'!EK32*GA32</f>
        <v>1732.066348101552</v>
      </c>
    </row>
    <row r="33" spans="1:186">
      <c r="A33">
        <f>'TEA Revised Non EYZ'!A33</f>
        <v>6</v>
      </c>
      <c r="B33">
        <f>'TEA Revised Non EYZ'!B33</f>
        <v>1.54143585092054E-3</v>
      </c>
      <c r="C33">
        <f>'TEA Revised Non EYZ'!C33</f>
        <v>1.54143585092054E-3</v>
      </c>
      <c r="D33">
        <f>'TEA Revised Non EYZ'!D33</f>
        <v>3.4254130020456501E-4</v>
      </c>
      <c r="E33">
        <f>'TEA Revised Non EYZ'!E33</f>
        <v>0</v>
      </c>
      <c r="F33">
        <f>'TEA Revised Non EYZ'!F33</f>
        <v>0</v>
      </c>
      <c r="G33">
        <f>'TEA Revised Non EYZ'!G33</f>
        <v>0</v>
      </c>
      <c r="H33">
        <f>'TEA Revised Non EYZ'!H33</f>
        <v>1.7693893431643E-5</v>
      </c>
      <c r="I33">
        <f>'TEA Revised Non EYZ'!I33</f>
        <v>3.7175600603836103E-8</v>
      </c>
      <c r="J33">
        <f>'TEA Revised Non EYZ'!J33</f>
        <v>3.36890310328726E-4</v>
      </c>
      <c r="K33">
        <f>'TEA Revised Non EYZ'!K33</f>
        <v>0.133710118829723</v>
      </c>
      <c r="L33">
        <f>'TEA Revised Non EYZ'!L33</f>
        <v>0.13525951632913</v>
      </c>
      <c r="M33">
        <f>'TEA Revised Non EYZ'!M33</f>
        <v>4.9588089642288804E-4</v>
      </c>
      <c r="N33">
        <f>'TEA Revised Non EYZ'!N33</f>
        <v>-1.72886878424538E-14</v>
      </c>
      <c r="O33">
        <f>'TEA Revised Non EYZ'!O33</f>
        <v>-1.05961268405396E-12</v>
      </c>
      <c r="P33">
        <f>'TEA Revised Non EYZ'!P33</f>
        <v>-9.6595637304880395E-18</v>
      </c>
      <c r="Q33">
        <f>'TEA Revised Non EYZ'!Q33</f>
        <v>0.11395861217105201</v>
      </c>
      <c r="R33">
        <f>'TEA Revised Non EYZ'!R33</f>
        <v>98.3502748800029</v>
      </c>
      <c r="S33">
        <f>'TEA Revised Non EYZ'!S33</f>
        <v>500</v>
      </c>
      <c r="T33">
        <f>'TEA Revised Non EYZ'!T33</f>
        <v>95</v>
      </c>
      <c r="U33">
        <f>'TEA Revised Non EYZ'!U33</f>
        <v>1</v>
      </c>
      <c r="V33">
        <f>'TEA Revised Non EYZ'!V33</f>
        <v>0.1</v>
      </c>
      <c r="W33">
        <f>'TEA Revised Non EYZ'!W33</f>
        <v>87.751156402202497</v>
      </c>
      <c r="X33" t="str">
        <f>'TEA Revised Non EYZ'!X33</f>
        <v>ddFc</v>
      </c>
      <c r="Y33">
        <f>'TEA Revised Non EYZ'!Y33</f>
        <v>1</v>
      </c>
      <c r="Z33">
        <f>'TEA Revised Non EYZ'!Z33</f>
        <v>0.28318429382522198</v>
      </c>
      <c r="AA33">
        <f>'TEA Revised Non EYZ'!AA33</f>
        <v>0.56945642916197003</v>
      </c>
      <c r="AB33">
        <f>'TEA Revised Non EYZ'!AB33</f>
        <v>3.7698628972227502E-3</v>
      </c>
      <c r="AC33">
        <f>'TEA Revised Non EYZ'!AC33</f>
        <v>1822.2107908876901</v>
      </c>
      <c r="AD33">
        <f>'TEA Revised Non EYZ'!AD33</f>
        <v>2662.6059073104898</v>
      </c>
      <c r="AE33">
        <f>'TEA Revised Non EYZ'!AE33</f>
        <v>2401.5030938442701</v>
      </c>
      <c r="AF33">
        <f>'TEA Revised Non EYZ'!AF33</f>
        <v>5</v>
      </c>
      <c r="AG33">
        <f>'TEA Revised Non EYZ'!AG33</f>
        <v>1.64951815726537E-3</v>
      </c>
      <c r="AH33">
        <f>'TEA Revised Non EYZ'!AH33</f>
        <v>1.6686323374819601E-3</v>
      </c>
      <c r="AI33">
        <f>'TEA Revised Non EYZ'!AI33</f>
        <v>6.1174468293775103E-6</v>
      </c>
      <c r="AJ33">
        <f>'TEA Revised Non EYZ'!AJ33</f>
        <v>0</v>
      </c>
      <c r="AK33">
        <f>'TEA Revised Non EYZ'!AK33</f>
        <v>0</v>
      </c>
      <c r="AL33">
        <f>'TEA Revised Non EYZ'!AL33</f>
        <v>0</v>
      </c>
      <c r="AM33">
        <f>'TEA Revised Non EYZ'!AM33</f>
        <v>1.6101609638428101E-3</v>
      </c>
      <c r="AN33">
        <f>'TEA Revised Non EYZ'!AN33</f>
        <v>7.8670620175806696E-5</v>
      </c>
      <c r="AO33">
        <f>'TEA Revised Non EYZ'!AO33</f>
        <v>6.0746937584639903E-6</v>
      </c>
      <c r="AP33">
        <f>'TEA Revised Non EYZ'!AP33</f>
        <v>1.81262020813318E-3</v>
      </c>
      <c r="AQ33">
        <f>'TEA Revised Non EYZ'!AQ33</f>
        <v>7.3226683315541802E-2</v>
      </c>
      <c r="AR33">
        <f>'TEA Revised Non EYZ'!AR33</f>
        <v>1.96901947416695E-6</v>
      </c>
      <c r="AS33">
        <f>'TEA Revised Non EYZ'!AS33</f>
        <v>-5.6209106379795297E-17</v>
      </c>
      <c r="AT33">
        <f>'TEA Revised Non EYZ'!AT33</f>
        <v>1.07336015076064E-16</v>
      </c>
      <c r="AU33">
        <f>'TEA Revised Non EYZ'!AU33</f>
        <v>-4.8360287332300198E-20</v>
      </c>
      <c r="AV33">
        <f>'TEA Revised Non EYZ'!AV33</f>
        <v>0.200572611715987</v>
      </c>
      <c r="AW33">
        <f>'TEA Revised Non EYZ'!AW33</f>
        <v>99.301128851529697</v>
      </c>
      <c r="AX33">
        <f>'TEA Revised Non EYZ'!AX33</f>
        <v>500</v>
      </c>
      <c r="AY33">
        <f>'TEA Revised Non EYZ'!AY33</f>
        <v>95</v>
      </c>
      <c r="AZ33">
        <f>'TEA Revised Non EYZ'!AZ33</f>
        <v>0.92374973309314701</v>
      </c>
      <c r="BA33">
        <f>'TEA Revised Non EYZ'!BA33</f>
        <v>0.1</v>
      </c>
      <c r="BB33">
        <f>'TEA Revised Non EYZ'!BB33</f>
        <v>46.055626697486701</v>
      </c>
      <c r="BC33" t="str">
        <f>'TEA Revised Non EYZ'!BC33</f>
        <v>coeFc</v>
      </c>
      <c r="BD33">
        <f>'TEA Revised Non EYZ'!BD33</f>
        <v>1</v>
      </c>
      <c r="BE33">
        <f>'TEA Revised Non EYZ'!BE33</f>
        <v>1.8775014999999999E-2</v>
      </c>
      <c r="BF33">
        <f>'TEA Revised Non EYZ'!BF33</f>
        <v>0.10492961100000001</v>
      </c>
      <c r="BG33">
        <f>'TEA Revised Non EYZ'!BG33</f>
        <v>1.814625E-3</v>
      </c>
      <c r="BH33">
        <f>'TEA Revised Non EYZ'!BH33</f>
        <v>285.1951444</v>
      </c>
      <c r="BI33">
        <f>'TEA Revised Non EYZ'!BI33</f>
        <v>2169.8944889999998</v>
      </c>
      <c r="BJ33">
        <f>'TEA Revised Non EYZ'!BJ33</f>
        <v>866.49409060000005</v>
      </c>
      <c r="BK33">
        <f>'TEA Revised Non EYZ'!BK33</f>
        <v>100</v>
      </c>
      <c r="BL33">
        <f>'TEA Revised Non EYZ'!BL33</f>
        <v>11.395861217105201</v>
      </c>
      <c r="BM33">
        <f>'TEA Revised Non EYZ'!BM33</f>
        <v>92.374973309314697</v>
      </c>
      <c r="BN33">
        <f>'TEA Revised Non EYZ'!BN33</f>
        <v>20.0572611715987</v>
      </c>
      <c r="BO33">
        <f>'TEA Revised Non EYZ'!BO33</f>
        <v>182.33377947368322</v>
      </c>
      <c r="BP33">
        <f>'TEA Revised Non EYZ'!BP33</f>
        <v>280.80165640238181</v>
      </c>
      <c r="BQ33">
        <f>'TEA Revised Non EYZ'!BQ33</f>
        <v>18.233377947368322</v>
      </c>
      <c r="BR33">
        <f>'TEA Revised Non EYZ'!BR33</f>
        <v>28.080165640238182</v>
      </c>
      <c r="BS33">
        <f>'eLLE Bals'!CF33</f>
        <v>6.8375167302631192</v>
      </c>
      <c r="BT33">
        <f>'eLLE Bals'!CG33</f>
        <v>12.034356702959217</v>
      </c>
      <c r="BU33">
        <f>BM33</f>
        <v>92.374973309314697</v>
      </c>
      <c r="BV33">
        <f>BU33*(AM33*2+AN33*2+AO33*3)</f>
        <v>0.31369499401669587</v>
      </c>
      <c r="BW33">
        <f>BN33*BA33*(AP33*2+AQ33*2+AR33*3)</f>
        <v>0.30102842972319671</v>
      </c>
      <c r="BX33">
        <f>BV33/(2*V33*BL33+BV33)</f>
        <v>0.12098382419559914</v>
      </c>
      <c r="BY33">
        <f>BU33*BX33</f>
        <v>11.175877530927291</v>
      </c>
      <c r="BZ33">
        <f>BW33/(2*BN33*BA33+BW33)</f>
        <v>6.9804006829095794E-2</v>
      </c>
      <c r="CA33">
        <f>2*BN33*BA33/0.04</f>
        <v>100.2863058579935</v>
      </c>
      <c r="CB33">
        <f>(BS33+BL33)*2</f>
        <v>36.466755894736643</v>
      </c>
      <c r="CC33">
        <f>(BU33+BL33)*2</f>
        <v>207.54166905283981</v>
      </c>
      <c r="CD33">
        <f>(BT33+BN33)*2</f>
        <v>64.183235749115838</v>
      </c>
      <c r="CE33">
        <f>(CA33+BN33)*2</f>
        <v>240.68713405918439</v>
      </c>
      <c r="CF33">
        <f>'TEA Revised Non EYZ'!CB33</f>
        <v>2406.8058890526186</v>
      </c>
      <c r="CG33">
        <f>'TEA Revised Non EYZ'!CC33</f>
        <v>3706.58186451144</v>
      </c>
      <c r="CH33">
        <f>'TEA Revised Non EYZ'!CD33</f>
        <v>2907.8673690603878</v>
      </c>
      <c r="CI33">
        <f>'TEA Revised Non EYZ'!CE33</f>
        <v>28589.195355676231</v>
      </c>
      <c r="CJ33">
        <f>BL33*V33</f>
        <v>1.1395861217105201</v>
      </c>
      <c r="CK33">
        <f>CJ33/2*1.2</f>
        <v>0.68375167302631201</v>
      </c>
      <c r="CL33">
        <f>'eLLE Bals'!CB33*'Oxidant Feed Composition'!$N$20</f>
        <v>3.7986204057017352E-2</v>
      </c>
      <c r="CM33">
        <f>'eLLE Bals'!CB33*'Oxidant Feed Composition'!$N$21</f>
        <v>1.8993102028508668</v>
      </c>
      <c r="CN33">
        <f>'eLLE Bals'!CB33*'Oxidant Feed Composition'!$N$22</f>
        <v>0.56979306085526005</v>
      </c>
      <c r="CO33">
        <f>CN33/CK33</f>
        <v>0.83333333333333337</v>
      </c>
      <c r="CP33">
        <f>CO33</f>
        <v>0.83333333333333337</v>
      </c>
      <c r="CQ33">
        <f>CL33/CO33</f>
        <v>4.5583444868420822E-2</v>
      </c>
      <c r="CR33">
        <f>CM33/CO33</f>
        <v>2.2791722434210402</v>
      </c>
      <c r="CS33">
        <f>BN33*BA33</f>
        <v>2.0057261171598699</v>
      </c>
      <c r="CT33">
        <f>CS33/2*1.2</f>
        <v>1.2034356702959219</v>
      </c>
      <c r="CU33">
        <f>'eLLE Bals'!CC33*'Oxidant Feed Composition'!$N$20</f>
        <v>6.6857537238662348E-2</v>
      </c>
      <c r="CV33">
        <f>'eLLE Bals'!CC33*'Oxidant Feed Composition'!$N$21</f>
        <v>3.3428768619331164</v>
      </c>
      <c r="CW33">
        <f>'eLLE Bals'!CC33*'Oxidant Feed Composition'!$N$22</f>
        <v>1.002863058579935</v>
      </c>
      <c r="CX33">
        <f>CU33/CP33</f>
        <v>8.0229044686394815E-2</v>
      </c>
      <c r="CY33">
        <f>CV33/CP33</f>
        <v>4.0114522343197399</v>
      </c>
      <c r="CZ33">
        <f>CJ33</f>
        <v>1.1395861217105201</v>
      </c>
      <c r="DA33">
        <f>'eLLE Bals'!BQ33</f>
        <v>2.2791722434210402</v>
      </c>
      <c r="DB33">
        <f>'eLLE Bals'!BU33</f>
        <v>6.0005679728101518</v>
      </c>
      <c r="DC33">
        <f>CS33</f>
        <v>2.0057261171598699</v>
      </c>
      <c r="DD33">
        <f>'eLLE Bals'!BX33</f>
        <v>4.0114522343197399</v>
      </c>
      <c r="DE33">
        <f>'eLLE Bals'!CA33</f>
        <v>22.71650339934849</v>
      </c>
      <c r="DF33">
        <f>2*2*(CJ33*'Reagent cost'!$C$36*122.44/1000*0.5+CK33*'Oxidant Feed Composition'!$N$26+CQ33*'Reagent cost'!$C$34+CR33*'Reagent cost'!$C$35)</f>
        <v>76.550884152580181</v>
      </c>
      <c r="DG33">
        <f>2*2*(CS33*'Reagent cost'!$C$36*122.44/1000*0.5+CT33*'Oxidant Feed Composition'!$N$26+CX33*'Reagent cost'!$C$34+CY33*'Reagent cost'!$C$35)</f>
        <v>134.73321999222469</v>
      </c>
      <c r="DH33">
        <f>(AF33+3)*2*(CZ33*'Reagent cost'!$C$38*0.5+DA33*'Reagent cost'!$C$39+DB33*'Reagent cost'!$C$36*122.44/1000)</f>
        <v>872.93322334920288</v>
      </c>
      <c r="DI33">
        <f>3*2*(DC33*'Reagent cost'!$C$38*0.5+DD33*'Reagent cost'!$C$39+DE33*'Reagent cost'!$C$36*122.44/1000)</f>
        <v>1206.7675951480392</v>
      </c>
      <c r="DJ33">
        <f>7963.6*(CB33/1000)^0.6*1.7*('CAPEX+OPEX'!$G$116/'CAPEX+OPEX'!$G$115)</f>
        <v>2189.6727102460782</v>
      </c>
      <c r="DK33">
        <f>7963.6*(CC33/1000)^0.6*1.7*('CAPEX+OPEX'!$G$116/'CAPEX+OPEX'!$G$115)</f>
        <v>6215.9013146876341</v>
      </c>
      <c r="DL33">
        <f>7963.6*(CD33/1000)^0.6*1.7*('CAPEX+OPEX'!$G$116/'CAPEX+OPEX'!$G$115)</f>
        <v>3073.9294278872244</v>
      </c>
      <c r="DM33">
        <f>7963.6*(CE33/1000)^0.6*1.7*('CAPEX+OPEX'!$G$116/'CAPEX+OPEX'!$G$115)</f>
        <v>6793.7983662940214</v>
      </c>
      <c r="DN33">
        <f>'TEA Revised Non EYZ'!CM33</f>
        <v>39625.826528698344</v>
      </c>
      <c r="DO33">
        <f>'TEA Revised Non EYZ'!CN33</f>
        <v>4586243.4239371875</v>
      </c>
      <c r="DP33">
        <f>'TEA Revised Non EYZ'!CO33</f>
        <v>11794834.586807497</v>
      </c>
      <c r="DQ33">
        <f>'TEA Revised Non EYZ'!CP33</f>
        <v>2275209.1661185985</v>
      </c>
      <c r="DR33">
        <f>'TEA Revised Non EYZ'!CQ33</f>
        <v>14083914.336508472</v>
      </c>
      <c r="DS33">
        <f>'TEA Revised Non EYZ'!CR33</f>
        <v>1662824.8986326549</v>
      </c>
      <c r="DT33">
        <f>'TEA Revised Non EYZ'!CS33</f>
        <v>646135.89638675924</v>
      </c>
      <c r="DU33">
        <f>'TEA Revised Non EYZ'!CT33</f>
        <v>1661722.9645298459</v>
      </c>
      <c r="DV33">
        <f>'TEA Revised Non EYZ'!CU33</f>
        <v>320544.32748695416</v>
      </c>
      <c r="DW33">
        <f>'TEA Revised Non EYZ'!CV33</f>
        <v>1984221.4582325809</v>
      </c>
      <c r="DX33">
        <f>'TEA Revised Non EYZ'!CW33</f>
        <v>234268.17050410178</v>
      </c>
      <c r="DY33">
        <f>'TEA Revised Non EYZ'!CX33</f>
        <v>4846892.8171402421</v>
      </c>
      <c r="DZ33">
        <f>'TEA Revised Non EYZ'!CY33</f>
        <v>556358.73376691749</v>
      </c>
      <c r="EA33">
        <f>'TEA Revised Non EYZ'!CZ33</f>
        <v>1430835.35458591</v>
      </c>
      <c r="EB33">
        <f>'TEA Revised Non EYZ'!DA33</f>
        <v>276006.38991594099</v>
      </c>
      <c r="EC33">
        <f>'TEA Revised Non EYZ'!DB33</f>
        <v>1708524.3896659126</v>
      </c>
      <c r="ED33">
        <f>'TEA Revised Non EYZ'!DC33</f>
        <v>201717.84826134806</v>
      </c>
      <c r="EE33">
        <f>'TEA Revised Non EYZ'!DD33</f>
        <v>4173442.7161960285</v>
      </c>
      <c r="EF33">
        <v>0.7</v>
      </c>
      <c r="EG33">
        <v>100</v>
      </c>
      <c r="EH33">
        <f>96485*BL33*V33/EF33/EG33/60</f>
        <v>26.179277846009416</v>
      </c>
      <c r="EI33">
        <f>96485*BN33*BA33/EF33/EG33/60</f>
        <v>46.076782003373829</v>
      </c>
      <c r="EJ33">
        <f>EH33*('CAPEX+OPEX'!$O$25+'CAPEX+OPEX'!$O$26)</f>
        <v>834385.9435080121</v>
      </c>
      <c r="EK33">
        <f>EI33*('CAPEX+OPEX'!$O$25+'CAPEX+OPEX'!$O$26)</f>
        <v>1468559.1960115307</v>
      </c>
      <c r="EL33">
        <f>EJ33*1.12/0.6*'CAPEX+OPEX'!$G$116/'CAPEX+OPEX'!$G$115</f>
        <v>1837030.3015082346</v>
      </c>
      <c r="EM33">
        <f>EK33*1.12/0.6*'CAPEX+OPEX'!$G$116/'CAPEX+OPEX'!$G$115</f>
        <v>3233261.254725161</v>
      </c>
      <c r="EN33">
        <f>EL33+EM33+DY33+EE33+1.15*(SUM(DF33:DM33)+SUM(CF33:CI33))</f>
        <v>14157528.037372734</v>
      </c>
      <c r="EO33">
        <f>EN33/15</f>
        <v>943835.20249151567</v>
      </c>
      <c r="EP33">
        <f>('eLLE Bals'!CB33+'eLLE Bals'!CC33)*'Oxidant Feed Composition'!$N$29*60*7200</f>
        <v>7845532.2292744759</v>
      </c>
      <c r="EQ33" s="53">
        <f>('eLLE Bals'!BR33+'eLLE Bals'!BY33)*'Reagent cost'!$C$38*60*7200*0.5</f>
        <v>253526.53982934181</v>
      </c>
      <c r="ER33">
        <f>'TEA Revised Non EYZ'!DI33</f>
        <v>504921.59999999998</v>
      </c>
      <c r="ES33">
        <f>'TEA Revised Non EYZ'!DJ33</f>
        <v>61.133877535640586</v>
      </c>
      <c r="ET33">
        <f>'TEA Revised Non EYZ'!DK33</f>
        <v>629.94125449473233</v>
      </c>
      <c r="EU33">
        <f>1.2*SUM(EP33:ET33)</f>
        <v>10325605.733083017</v>
      </c>
      <c r="EV33">
        <f>'TEA Revised Non EYZ'!DM33</f>
        <v>0.70639694042110623</v>
      </c>
      <c r="EW33">
        <f>(BS33*CO33+BT33*CP33)/1000*('Oxidant Feed Composition'!$B$11*'Oxidant Feed Composition'!$O$20+'Oxidant Feed Composition'!$D$11*'Oxidant Feed Composition'!$O$21+'Oxidant Feed Composition'!$F$11*'Oxidant Feed Composition'!$O$27-'Oxidant Feed Composition'!$J$15*18.015)</f>
        <v>1.8366192148642424</v>
      </c>
      <c r="EX33">
        <f>(CZ33*BX33+DC33*BZ33)*368.34/1000</f>
        <v>0.10235402695325868</v>
      </c>
      <c r="EY33">
        <f>'TEA Revised Non EYZ'!DP33</f>
        <v>4.999938342565946E-2</v>
      </c>
      <c r="EZ33">
        <f>SUM(EV33:EX33)-EY33</f>
        <v>2.5953707988129482</v>
      </c>
      <c r="FA33">
        <f>EZ33*0.33*60*7200</f>
        <v>369996.06107877393</v>
      </c>
      <c r="FB33">
        <f>'TEA Revised Non EYZ'!DS33</f>
        <v>1.2</v>
      </c>
      <c r="FC33">
        <v>0.5</v>
      </c>
      <c r="FD33">
        <f>'TEA Revised Non EYZ'!DT33</f>
        <v>1404.0224885653424</v>
      </c>
      <c r="FE33">
        <f>'TEA Revised Non EYZ'!DU33</f>
        <v>708.24508509040857</v>
      </c>
      <c r="FF33">
        <f>'TEA Revised Non EYZ'!DV33</f>
        <v>0.7</v>
      </c>
      <c r="FG33">
        <f>'TEA Revised Non EYZ'!DW33</f>
        <v>35776.359048024235</v>
      </c>
      <c r="FH33">
        <f>'TEA Revised Non EYZ'!DX33</f>
        <v>29068.269280606211</v>
      </c>
      <c r="FI33">
        <f>'TEA Revised Non EYZ'!DY33</f>
        <v>12307.130138966339</v>
      </c>
      <c r="FJ33">
        <f>'TEA Revised Non EYZ'!DZ33</f>
        <v>6519.4301878820042</v>
      </c>
      <c r="FK33">
        <f>'TEA Revised Non EYZ'!EA33</f>
        <v>6563.8027407820491</v>
      </c>
      <c r="FL33">
        <f>'TEA Revised Non EYZ'!EB33</f>
        <v>849.15280108431921</v>
      </c>
      <c r="FM33">
        <f>'TEA Revised Non EYZ'!EC33</f>
        <v>30861.528261581931</v>
      </c>
      <c r="FN33">
        <f>'TEA Revised Non EYZ'!ED33</f>
        <v>23280.20970610623</v>
      </c>
      <c r="FO33">
        <f>'TEA Revised Non EYZ'!EE33</f>
        <v>9856.54039976272</v>
      </c>
      <c r="FP33">
        <f>'TEA Revised Non EYZ'!EF33</f>
        <v>5224.1840897298107</v>
      </c>
      <c r="FQ33">
        <f>'TEA Revised Non EYZ'!EG33</f>
        <v>5256.8215465401163</v>
      </c>
      <c r="FR33">
        <f>'TEA Revised Non EYZ'!EH33</f>
        <v>428.34662746267912</v>
      </c>
      <c r="FS33">
        <f>'TEA Revised Non EYZ'!EI33</f>
        <v>165991.77482852867</v>
      </c>
      <c r="FT33">
        <f>EG33*EH33</f>
        <v>2617.9277846009418</v>
      </c>
      <c r="FU33">
        <f>EG33*EI33</f>
        <v>4607.6782003373828</v>
      </c>
      <c r="FV33">
        <f>FC33*(FT33+FU33)/(3.6*10^6)*3600*7200*0.07</f>
        <v>1820.8527082044579</v>
      </c>
      <c r="FW33">
        <f>('CAPEX+OPEX'!$C$39/7/100+0.03)*EL33</f>
        <v>94475.844077566348</v>
      </c>
      <c r="FX33">
        <f>('CAPEX+OPEX'!$C$39/7/100+0.03)*EM33</f>
        <v>166282.00738586541</v>
      </c>
      <c r="FY33">
        <f>SUM(FV33:FX33)</f>
        <v>262578.7041716362</v>
      </c>
      <c r="FZ33">
        <f>FY33+FA33+FS33+EU33</f>
        <v>11124172.273161955</v>
      </c>
      <c r="GA33">
        <f>FZ33+EO33</f>
        <v>12068007.475653471</v>
      </c>
      <c r="GB33">
        <f>GA33/(BK33*60*7200)</f>
        <v>0.27935202489938593</v>
      </c>
      <c r="GC33">
        <f>'TEA Revised Non EYZ'!EM33/'TEA Revised Non EYZ'!EK33*GA33</f>
        <v>935.92667936239809</v>
      </c>
      <c r="GD33">
        <f>'TEA Revised Non EYZ'!EN33/'TEA Revised Non EYZ'!EK33*GA33</f>
        <v>1709.6366892415895</v>
      </c>
    </row>
    <row r="34" spans="1:186">
      <c r="A34">
        <f>'TEA Revised Non EYZ'!A34</f>
        <v>6</v>
      </c>
      <c r="B34">
        <f>'TEA Revised Non EYZ'!B34</f>
        <v>1.54143585092054E-3</v>
      </c>
      <c r="C34">
        <f>'TEA Revised Non EYZ'!C34</f>
        <v>1.54143585092054E-3</v>
      </c>
      <c r="D34">
        <f>'TEA Revised Non EYZ'!D34</f>
        <v>3.4254130020456501E-4</v>
      </c>
      <c r="E34">
        <f>'TEA Revised Non EYZ'!E34</f>
        <v>0</v>
      </c>
      <c r="F34">
        <f>'TEA Revised Non EYZ'!F34</f>
        <v>0</v>
      </c>
      <c r="G34">
        <f>'TEA Revised Non EYZ'!G34</f>
        <v>0</v>
      </c>
      <c r="H34">
        <f>'TEA Revised Non EYZ'!H34</f>
        <v>1.7693893431643E-5</v>
      </c>
      <c r="I34">
        <f>'TEA Revised Non EYZ'!I34</f>
        <v>3.7175600603836103E-8</v>
      </c>
      <c r="J34">
        <f>'TEA Revised Non EYZ'!J34</f>
        <v>3.36890310328726E-4</v>
      </c>
      <c r="K34">
        <f>'TEA Revised Non EYZ'!K34</f>
        <v>0.133710118829723</v>
      </c>
      <c r="L34">
        <f>'TEA Revised Non EYZ'!L34</f>
        <v>0.13525951632913</v>
      </c>
      <c r="M34">
        <f>'TEA Revised Non EYZ'!M34</f>
        <v>4.9588089642288804E-4</v>
      </c>
      <c r="N34">
        <f>'TEA Revised Non EYZ'!N34</f>
        <v>-1.72886878424538E-14</v>
      </c>
      <c r="O34">
        <f>'TEA Revised Non EYZ'!O34</f>
        <v>-1.05961268405396E-12</v>
      </c>
      <c r="P34">
        <f>'TEA Revised Non EYZ'!P34</f>
        <v>-9.6595637304880395E-18</v>
      </c>
      <c r="Q34">
        <f>'TEA Revised Non EYZ'!Q34</f>
        <v>0.11395861217105201</v>
      </c>
      <c r="R34">
        <f>'TEA Revised Non EYZ'!R34</f>
        <v>98.3502748800029</v>
      </c>
      <c r="S34">
        <f>'TEA Revised Non EYZ'!S34</f>
        <v>500</v>
      </c>
      <c r="T34">
        <f>'TEA Revised Non EYZ'!T34</f>
        <v>95</v>
      </c>
      <c r="U34">
        <f>'TEA Revised Non EYZ'!U34</f>
        <v>1</v>
      </c>
      <c r="V34">
        <f>'TEA Revised Non EYZ'!V34</f>
        <v>0.1</v>
      </c>
      <c r="W34">
        <f>'TEA Revised Non EYZ'!W34</f>
        <v>87.751156402202497</v>
      </c>
      <c r="X34" t="str">
        <f>'TEA Revised Non EYZ'!X34</f>
        <v>ddFc</v>
      </c>
      <c r="Y34">
        <f>'TEA Revised Non EYZ'!Y34</f>
        <v>1</v>
      </c>
      <c r="Z34">
        <f>'TEA Revised Non EYZ'!Z34</f>
        <v>0.28318429382522198</v>
      </c>
      <c r="AA34">
        <f>'TEA Revised Non EYZ'!AA34</f>
        <v>0.56945642916197003</v>
      </c>
      <c r="AB34">
        <f>'TEA Revised Non EYZ'!AB34</f>
        <v>3.7698628972227502E-3</v>
      </c>
      <c r="AC34">
        <f>'TEA Revised Non EYZ'!AC34</f>
        <v>1822.2107908876901</v>
      </c>
      <c r="AD34">
        <f>'TEA Revised Non EYZ'!AD34</f>
        <v>2662.6059073104898</v>
      </c>
      <c r="AE34">
        <f>'TEA Revised Non EYZ'!AE34</f>
        <v>2401.5030938442701</v>
      </c>
      <c r="AF34">
        <f>'TEA Revised Non EYZ'!AF34</f>
        <v>6</v>
      </c>
      <c r="AG34">
        <f>'TEA Revised Non EYZ'!AG34</f>
        <v>1.64951815726537E-3</v>
      </c>
      <c r="AH34">
        <f>'TEA Revised Non EYZ'!AH34</f>
        <v>1.6686323374819601E-3</v>
      </c>
      <c r="AI34">
        <f>'TEA Revised Non EYZ'!AI34</f>
        <v>6.1174468293775103E-6</v>
      </c>
      <c r="AJ34">
        <f>'TEA Revised Non EYZ'!AJ34</f>
        <v>0</v>
      </c>
      <c r="AK34">
        <f>'TEA Revised Non EYZ'!AK34</f>
        <v>0</v>
      </c>
      <c r="AL34">
        <f>'TEA Revised Non EYZ'!AL34</f>
        <v>0</v>
      </c>
      <c r="AM34">
        <f>'TEA Revised Non EYZ'!AM34</f>
        <v>1.6118646916441E-3</v>
      </c>
      <c r="AN34">
        <f>'TEA Revised Non EYZ'!AN34</f>
        <v>7.8758511932156396E-5</v>
      </c>
      <c r="AO34">
        <f>'TEA Revised Non EYZ'!AO34</f>
        <v>6.0764721178985501E-6</v>
      </c>
      <c r="AP34">
        <f>'TEA Revised Non EYZ'!AP34</f>
        <v>1.75634842896041E-3</v>
      </c>
      <c r="AQ34">
        <f>'TEA Revised Non EYZ'!AQ34</f>
        <v>7.4159771210348502E-2</v>
      </c>
      <c r="AR34">
        <f>'TEA Revised Non EYZ'!AR34</f>
        <v>1.91126816471642E-6</v>
      </c>
      <c r="AS34">
        <f>'TEA Revised Non EYZ'!AS34</f>
        <v>-2.6427427954334101E-18</v>
      </c>
      <c r="AT34">
        <f>'TEA Revised Non EYZ'!AT34</f>
        <v>-2.7300210703185002E-16</v>
      </c>
      <c r="AU34">
        <f>'TEA Revised Non EYZ'!AU34</f>
        <v>-2.0447904742310799E-21</v>
      </c>
      <c r="AV34">
        <f>'TEA Revised Non EYZ'!AV34</f>
        <v>0.19803803302439801</v>
      </c>
      <c r="AW34">
        <f>'TEA Revised Non EYZ'!AW34</f>
        <v>99.330199139906</v>
      </c>
      <c r="AX34">
        <f>'TEA Revised Non EYZ'!AX34</f>
        <v>500</v>
      </c>
      <c r="AY34">
        <f>'TEA Revised Non EYZ'!AY34</f>
        <v>95</v>
      </c>
      <c r="AZ34">
        <f>'TEA Revised Non EYZ'!AZ34</f>
        <v>0.92374973309314701</v>
      </c>
      <c r="BA34">
        <f>'TEA Revised Non EYZ'!BA34</f>
        <v>0.1</v>
      </c>
      <c r="BB34">
        <f>'TEA Revised Non EYZ'!BB34</f>
        <v>46.645067060393401</v>
      </c>
      <c r="BC34" t="str">
        <f>'TEA Revised Non EYZ'!BC34</f>
        <v>coeFc</v>
      </c>
      <c r="BD34">
        <f>'TEA Revised Non EYZ'!BD34</f>
        <v>1</v>
      </c>
      <c r="BE34">
        <f>'TEA Revised Non EYZ'!BE34</f>
        <v>1.8775014999999999E-2</v>
      </c>
      <c r="BF34">
        <f>'TEA Revised Non EYZ'!BF34</f>
        <v>0.10492961100000001</v>
      </c>
      <c r="BG34">
        <f>'TEA Revised Non EYZ'!BG34</f>
        <v>1.814625E-3</v>
      </c>
      <c r="BH34">
        <f>'TEA Revised Non EYZ'!BH34</f>
        <v>285.1951444</v>
      </c>
      <c r="BI34">
        <f>'TEA Revised Non EYZ'!BI34</f>
        <v>2169.8944889999998</v>
      </c>
      <c r="BJ34">
        <f>'TEA Revised Non EYZ'!BJ34</f>
        <v>866.49409060000005</v>
      </c>
      <c r="BK34">
        <f>'TEA Revised Non EYZ'!BK34</f>
        <v>100</v>
      </c>
      <c r="BL34">
        <f>'TEA Revised Non EYZ'!BL34</f>
        <v>11.395861217105201</v>
      </c>
      <c r="BM34">
        <f>'TEA Revised Non EYZ'!BM34</f>
        <v>92.374973309314697</v>
      </c>
      <c r="BN34">
        <f>'TEA Revised Non EYZ'!BN34</f>
        <v>19.8038033024398</v>
      </c>
      <c r="BO34">
        <f>'TEA Revised Non EYZ'!BO34</f>
        <v>182.33377947368322</v>
      </c>
      <c r="BP34">
        <f>'TEA Revised Non EYZ'!BP34</f>
        <v>316.8608528390368</v>
      </c>
      <c r="BQ34">
        <f>'TEA Revised Non EYZ'!BQ34</f>
        <v>18.233377947368322</v>
      </c>
      <c r="BR34">
        <f>'TEA Revised Non EYZ'!BR34</f>
        <v>31.68608528390368</v>
      </c>
      <c r="BS34">
        <f>'eLLE Bals'!CF34</f>
        <v>6.8375167302631192</v>
      </c>
      <c r="BT34">
        <f>'eLLE Bals'!CG34</f>
        <v>11.88228198146388</v>
      </c>
      <c r="BU34">
        <f>BM34</f>
        <v>92.374973309314697</v>
      </c>
      <c r="BV34">
        <f>BU34*(AM34*2+AN34*2+AO34*3)</f>
        <v>0.31402648846204662</v>
      </c>
      <c r="BW34">
        <f>BN34*BA34*(AP34*2+AQ34*2+AR34*3)</f>
        <v>0.30069693527790986</v>
      </c>
      <c r="BX34">
        <f>BV34/(2*V34*BL34+BV34)</f>
        <v>0.12109619081681873</v>
      </c>
      <c r="BY34">
        <f>BU34*BX34</f>
        <v>11.186257394563309</v>
      </c>
      <c r="BZ34">
        <f>BW34/(2*BN34*BA34+BW34)</f>
        <v>7.0561991647336481E-2</v>
      </c>
      <c r="CA34">
        <f>2*BN34*BA34/0.04</f>
        <v>99.019016512199002</v>
      </c>
      <c r="CB34">
        <f>(BS34+BL34)*2</f>
        <v>36.466755894736643</v>
      </c>
      <c r="CC34">
        <f>(BU34+BL34)*2</f>
        <v>207.54166905283981</v>
      </c>
      <c r="CD34">
        <f>(BT34+BN34)*2</f>
        <v>63.372170567807359</v>
      </c>
      <c r="CE34">
        <f>(CA34+BN34)*2</f>
        <v>237.64563962927761</v>
      </c>
      <c r="CF34">
        <f>'TEA Revised Non EYZ'!CB34</f>
        <v>2406.8058890526186</v>
      </c>
      <c r="CG34">
        <f>'TEA Revised Non EYZ'!CC34</f>
        <v>4182.5632574752863</v>
      </c>
      <c r="CH34">
        <f>'TEA Revised Non EYZ'!CD34</f>
        <v>2907.8673690603878</v>
      </c>
      <c r="CI34">
        <f>'TEA Revised Non EYZ'!CE34</f>
        <v>32260.482144023998</v>
      </c>
      <c r="CJ34">
        <f>BL34*V34</f>
        <v>1.1395861217105201</v>
      </c>
      <c r="CK34">
        <f>CJ34/2*1.2</f>
        <v>0.68375167302631201</v>
      </c>
      <c r="CL34">
        <f>'eLLE Bals'!CB34*'Oxidant Feed Composition'!$N$20</f>
        <v>3.7986204057017352E-2</v>
      </c>
      <c r="CM34">
        <f>'eLLE Bals'!CB34*'Oxidant Feed Composition'!$N$21</f>
        <v>1.8993102028508668</v>
      </c>
      <c r="CN34">
        <f>'eLLE Bals'!CB34*'Oxidant Feed Composition'!$N$22</f>
        <v>0.56979306085526005</v>
      </c>
      <c r="CO34">
        <f>CN34/CK34</f>
        <v>0.83333333333333337</v>
      </c>
      <c r="CP34">
        <f>CO34</f>
        <v>0.83333333333333337</v>
      </c>
      <c r="CQ34">
        <f>CL34/CO34</f>
        <v>4.5583444868420822E-2</v>
      </c>
      <c r="CR34">
        <f>CM34/CO34</f>
        <v>2.2791722434210402</v>
      </c>
      <c r="CS34">
        <f>BN34*BA34</f>
        <v>1.98038033024398</v>
      </c>
      <c r="CT34">
        <f>CS34/2*1.2</f>
        <v>1.188228198146388</v>
      </c>
      <c r="CU34">
        <f>'eLLE Bals'!CC34*'Oxidant Feed Composition'!$N$20</f>
        <v>6.6012677674799361E-2</v>
      </c>
      <c r="CV34">
        <f>'eLLE Bals'!CC34*'Oxidant Feed Composition'!$N$21</f>
        <v>3.3006338837399669</v>
      </c>
      <c r="CW34">
        <f>'eLLE Bals'!CC34*'Oxidant Feed Composition'!$N$22</f>
        <v>0.99019016512198998</v>
      </c>
      <c r="CX34">
        <f>CU34/CP34</f>
        <v>7.921521320975923E-2</v>
      </c>
      <c r="CY34">
        <f>CV34/CP34</f>
        <v>3.9607606604879599</v>
      </c>
      <c r="CZ34">
        <f>CJ34</f>
        <v>1.1395861217105201</v>
      </c>
      <c r="DA34">
        <f>'eLLE Bals'!BQ34</f>
        <v>2.2791722434210402</v>
      </c>
      <c r="DB34">
        <f>'eLLE Bals'!BU34</f>
        <v>5.9918276658891516</v>
      </c>
      <c r="DC34">
        <f>CS34</f>
        <v>1.98038033024398</v>
      </c>
      <c r="DD34">
        <f>'eLLE Bals'!BX34</f>
        <v>3.9607606604879599</v>
      </c>
      <c r="DE34">
        <f>'eLLE Bals'!CA34</f>
        <v>22.124681472751973</v>
      </c>
      <c r="DF34">
        <f>2*2*(CJ34*'Reagent cost'!$C$36*122.44/1000*0.5+CK34*'Oxidant Feed Composition'!$N$26+CQ34*'Reagent cost'!$C$34+CR34*'Reagent cost'!$C$35)</f>
        <v>76.550884152580181</v>
      </c>
      <c r="DG34">
        <f>2*2*(CS34*'Reagent cost'!$C$36*122.44/1000*0.5+CT34*'Oxidant Feed Composition'!$N$26+CX34*'Reagent cost'!$C$34+CY34*'Reagent cost'!$C$35)</f>
        <v>133.03063485101401</v>
      </c>
      <c r="DH34">
        <f>(AF34+3)*2*(CZ34*'Reagent cost'!$C$38*0.5+DA34*'Reagent cost'!$C$39+DB34*'Reagent cost'!$C$36*122.44/1000)</f>
        <v>980.68952764071787</v>
      </c>
      <c r="DI34">
        <f>3*2*(DC34*'Reagent cost'!$C$38*0.5+DD34*'Reagent cost'!$C$39+DE34*'Reagent cost'!$C$36*122.44/1000)</f>
        <v>1175.7069865849439</v>
      </c>
      <c r="DJ34">
        <f>7963.6*(CB34/1000)^0.6*1.7*('CAPEX+OPEX'!$G$116/'CAPEX+OPEX'!$G$115)</f>
        <v>2189.6727102460782</v>
      </c>
      <c r="DK34">
        <f>7963.6*(CC34/1000)^0.6*1.7*('CAPEX+OPEX'!$G$116/'CAPEX+OPEX'!$G$115)</f>
        <v>6215.9013146876341</v>
      </c>
      <c r="DL34">
        <f>7963.6*(CD34/1000)^0.6*1.7*('CAPEX+OPEX'!$G$116/'CAPEX+OPEX'!$G$115)</f>
        <v>3050.5635541858655</v>
      </c>
      <c r="DM34">
        <f>7963.6*(CE34/1000)^0.6*1.7*('CAPEX+OPEX'!$G$116/'CAPEX+OPEX'!$G$115)</f>
        <v>6742.1566359604703</v>
      </c>
      <c r="DN34">
        <f>'TEA Revised Non EYZ'!CM34</f>
        <v>39625.826528698344</v>
      </c>
      <c r="DO34">
        <f>'TEA Revised Non EYZ'!CN34</f>
        <v>4586243.4239371875</v>
      </c>
      <c r="DP34">
        <f>'TEA Revised Non EYZ'!CO34</f>
        <v>11794834.586807497</v>
      </c>
      <c r="DQ34">
        <f>'TEA Revised Non EYZ'!CP34</f>
        <v>2275209.1661185985</v>
      </c>
      <c r="DR34">
        <f>'TEA Revised Non EYZ'!CQ34</f>
        <v>14083914.336508472</v>
      </c>
      <c r="DS34">
        <f>'TEA Revised Non EYZ'!CR34</f>
        <v>1662824.8986326549</v>
      </c>
      <c r="DT34">
        <f>'TEA Revised Non EYZ'!CS34</f>
        <v>646135.89638675924</v>
      </c>
      <c r="DU34">
        <f>'TEA Revised Non EYZ'!CT34</f>
        <v>1661722.9645298459</v>
      </c>
      <c r="DV34">
        <f>'TEA Revised Non EYZ'!CU34</f>
        <v>320544.32748695416</v>
      </c>
      <c r="DW34">
        <f>'TEA Revised Non EYZ'!CV34</f>
        <v>1984221.4582325809</v>
      </c>
      <c r="DX34">
        <f>'TEA Revised Non EYZ'!CW34</f>
        <v>234268.17050410178</v>
      </c>
      <c r="DY34">
        <f>'TEA Revised Non EYZ'!CX34</f>
        <v>4846892.8171402421</v>
      </c>
      <c r="DZ34">
        <f>'TEA Revised Non EYZ'!CY34</f>
        <v>610271.35267664073</v>
      </c>
      <c r="EA34">
        <f>'TEA Revised Non EYZ'!CZ34</f>
        <v>1569487.0490997343</v>
      </c>
      <c r="EB34">
        <f>'TEA Revised Non EYZ'!DA34</f>
        <v>302752.13220965426</v>
      </c>
      <c r="EC34">
        <f>'TEA Revised Non EYZ'!DB34</f>
        <v>1874084.8791982206</v>
      </c>
      <c r="ED34">
        <f>'TEA Revised Non EYZ'!DC34</f>
        <v>221264.83623971866</v>
      </c>
      <c r="EE34">
        <f>'TEA Revised Non EYZ'!DD34</f>
        <v>4577860.2494239686</v>
      </c>
      <c r="EF34">
        <v>0.7</v>
      </c>
      <c r="EG34">
        <v>100</v>
      </c>
      <c r="EH34">
        <f>96485*BL34*V34/EF34/EG34/60</f>
        <v>26.179277846009416</v>
      </c>
      <c r="EI34">
        <f>96485*BN34*BA34/EF34/EG34/60</f>
        <v>45.494522896092967</v>
      </c>
      <c r="EJ34">
        <f>EH34*('CAPEX+OPEX'!$O$25+'CAPEX+OPEX'!$O$26)</f>
        <v>834385.9435080121</v>
      </c>
      <c r="EK34">
        <f>EI34*('CAPEX+OPEX'!$O$25+'CAPEX+OPEX'!$O$26)</f>
        <v>1450001.433744275</v>
      </c>
      <c r="EL34">
        <f>EJ34*1.12/0.6*'CAPEX+OPEX'!$G$116/'CAPEX+OPEX'!$G$115</f>
        <v>1837030.3015082346</v>
      </c>
      <c r="EM34">
        <f>EK34*1.12/0.6*'CAPEX+OPEX'!$G$116/'CAPEX+OPEX'!$G$115</f>
        <v>3192403.4575889762</v>
      </c>
      <c r="EN34">
        <f>EL34+EM34+DY34+EE34+1.15*(SUM(DF34:DM34)+SUM(CF34:CI34))</f>
        <v>14525857.11520553</v>
      </c>
      <c r="EO34">
        <f>EN34/15</f>
        <v>968390.47434703528</v>
      </c>
      <c r="EP34">
        <f>('eLLE Bals'!CB34+'eLLE Bals'!CC34)*'Oxidant Feed Composition'!$N$29*60*7200</f>
        <v>7782310.7831911612</v>
      </c>
      <c r="EQ34" s="53">
        <f>('eLLE Bals'!BR34+'eLLE Bals'!BY34)*'Reagent cost'!$C$38*60*7200*0.5</f>
        <v>253398.7289731311</v>
      </c>
      <c r="ER34">
        <f>'TEA Revised Non EYZ'!DI34</f>
        <v>504921.59999999998</v>
      </c>
      <c r="ES34">
        <f>'TEA Revised Non EYZ'!DJ34</f>
        <v>65.893691465279048</v>
      </c>
      <c r="ET34">
        <f>'TEA Revised Non EYZ'!DK34</f>
        <v>703.36699026168776</v>
      </c>
      <c r="EU34">
        <f>1.2*SUM(EP34:ET34)</f>
        <v>10249680.447415221</v>
      </c>
      <c r="EV34">
        <f>'TEA Revised Non EYZ'!DM34</f>
        <v>0.70639694042110623</v>
      </c>
      <c r="EW34">
        <f>(BS34*CO34+BT34*CP34)/1000*('Oxidant Feed Composition'!$B$11*'Oxidant Feed Composition'!$O$20+'Oxidant Feed Composition'!$D$11*'Oxidant Feed Composition'!$O$21+'Oxidant Feed Composition'!$F$11*'Oxidant Feed Composition'!$O$27-'Oxidant Feed Composition'!$J$15*18.015)</f>
        <v>1.8218192345346915</v>
      </c>
      <c r="EX34">
        <f>(CZ34*BX34+DC34*BZ34)*368.34/1000</f>
        <v>0.10230242700703486</v>
      </c>
      <c r="EY34">
        <f>'TEA Revised Non EYZ'!DP34</f>
        <v>4.999938342565946E-2</v>
      </c>
      <c r="EZ34">
        <f>SUM(EV34:EX34)-EY34</f>
        <v>2.5805192185371735</v>
      </c>
      <c r="FA34">
        <f>EZ34*0.33*60*7200</f>
        <v>367878.81979465944</v>
      </c>
      <c r="FB34">
        <f>'TEA Revised Non EYZ'!DS34</f>
        <v>1.2</v>
      </c>
      <c r="FC34">
        <v>0.5</v>
      </c>
      <c r="FD34">
        <f>'TEA Revised Non EYZ'!DT34</f>
        <v>1405.5071126003013</v>
      </c>
      <c r="FE34">
        <f>'TEA Revised Non EYZ'!DU34</f>
        <v>706.76046105556952</v>
      </c>
      <c r="FF34">
        <f>'TEA Revised Non EYZ'!DV34</f>
        <v>0.7</v>
      </c>
      <c r="FG34">
        <f>'TEA Revised Non EYZ'!DW34</f>
        <v>35776.359048024235</v>
      </c>
      <c r="FH34">
        <f>'TEA Revised Non EYZ'!DX34</f>
        <v>29068.269280606211</v>
      </c>
      <c r="FI34">
        <f>'TEA Revised Non EYZ'!DY34</f>
        <v>12307.130138966339</v>
      </c>
      <c r="FJ34">
        <f>'TEA Revised Non EYZ'!DZ34</f>
        <v>6519.4301878820042</v>
      </c>
      <c r="FK34">
        <f>'TEA Revised Non EYZ'!EA34</f>
        <v>6563.8027407820491</v>
      </c>
      <c r="FL34">
        <f>'TEA Revised Non EYZ'!EB34</f>
        <v>850.05070170066233</v>
      </c>
      <c r="FM34">
        <f>'TEA Revised Non EYZ'!EC34</f>
        <v>33433.322283380425</v>
      </c>
      <c r="FN34">
        <f>'TEA Revised Non EYZ'!ED34</f>
        <v>27160.244657123931</v>
      </c>
      <c r="FO34">
        <f>'TEA Revised Non EYZ'!EE34</f>
        <v>11499.297133056505</v>
      </c>
      <c r="FP34">
        <f>'TEA Revised Non EYZ'!EF34</f>
        <v>6094.881438018112</v>
      </c>
      <c r="FQ34">
        <f>'TEA Revised Non EYZ'!EG34</f>
        <v>6132.9584709634682</v>
      </c>
      <c r="FR34">
        <f>'TEA Revised Non EYZ'!EH34</f>
        <v>427.44872684640848</v>
      </c>
      <c r="FS34">
        <f>'TEA Revised Non EYZ'!EI34</f>
        <v>175833.19480735034</v>
      </c>
      <c r="FT34">
        <f>EG34*EH34</f>
        <v>2617.9277846009418</v>
      </c>
      <c r="FU34">
        <f>EG34*EI34</f>
        <v>4549.4522896092967</v>
      </c>
      <c r="FV34">
        <f>FC34*(FT34+FU34)/(3.6*10^6)*3600*7200*0.07</f>
        <v>1806.1797787009803</v>
      </c>
      <c r="FW34">
        <f>('CAPEX+OPEX'!$C$39/7/100+0.03)*EL34</f>
        <v>94475.844077566348</v>
      </c>
      <c r="FX34">
        <f>('CAPEX+OPEX'!$C$39/7/100+0.03)*EM34</f>
        <v>164180.74924743306</v>
      </c>
      <c r="FY34">
        <f>SUM(FV34:FX34)</f>
        <v>260462.7731037004</v>
      </c>
      <c r="FZ34">
        <f>FY34+FA34+FS34+EU34</f>
        <v>11053855.235120932</v>
      </c>
      <c r="GA34">
        <f>FZ34+EO34</f>
        <v>12022245.709467966</v>
      </c>
      <c r="GB34">
        <f>GA34/(BK34*60*7200)</f>
        <v>0.27829272475620292</v>
      </c>
      <c r="GC34">
        <f>'TEA Revised Non EYZ'!EM34/'TEA Revised Non EYZ'!EK34*GA34</f>
        <v>931.39209195137755</v>
      </c>
      <c r="GD34">
        <f>'TEA Revised Non EYZ'!EN34/'TEA Revised Non EYZ'!EK34*GA34</f>
        <v>1706.4521976697195</v>
      </c>
    </row>
    <row r="35" spans="1:186">
      <c r="A35">
        <f>'TEA Revised Non EYZ'!A35</f>
        <v>6</v>
      </c>
      <c r="B35">
        <f>'TEA Revised Non EYZ'!B35</f>
        <v>1.54143585092054E-3</v>
      </c>
      <c r="C35">
        <f>'TEA Revised Non EYZ'!C35</f>
        <v>1.54143585092054E-3</v>
      </c>
      <c r="D35">
        <f>'TEA Revised Non EYZ'!D35</f>
        <v>3.4254130020456501E-4</v>
      </c>
      <c r="E35">
        <f>'TEA Revised Non EYZ'!E35</f>
        <v>0</v>
      </c>
      <c r="F35">
        <f>'TEA Revised Non EYZ'!F35</f>
        <v>0</v>
      </c>
      <c r="G35">
        <f>'TEA Revised Non EYZ'!G35</f>
        <v>0</v>
      </c>
      <c r="H35">
        <f>'TEA Revised Non EYZ'!H35</f>
        <v>1.7693893431643E-5</v>
      </c>
      <c r="I35">
        <f>'TEA Revised Non EYZ'!I35</f>
        <v>3.7175600603836103E-8</v>
      </c>
      <c r="J35">
        <f>'TEA Revised Non EYZ'!J35</f>
        <v>3.36890310328726E-4</v>
      </c>
      <c r="K35">
        <f>'TEA Revised Non EYZ'!K35</f>
        <v>0.133710118829723</v>
      </c>
      <c r="L35">
        <f>'TEA Revised Non EYZ'!L35</f>
        <v>0.13525951632913</v>
      </c>
      <c r="M35">
        <f>'TEA Revised Non EYZ'!M35</f>
        <v>4.9588089642288804E-4</v>
      </c>
      <c r="N35">
        <f>'TEA Revised Non EYZ'!N35</f>
        <v>-1.72886878424538E-14</v>
      </c>
      <c r="O35">
        <f>'TEA Revised Non EYZ'!O35</f>
        <v>-1.05961268405396E-12</v>
      </c>
      <c r="P35">
        <f>'TEA Revised Non EYZ'!P35</f>
        <v>-9.6595637304880395E-18</v>
      </c>
      <c r="Q35">
        <f>'TEA Revised Non EYZ'!Q35</f>
        <v>0.11395861217105201</v>
      </c>
      <c r="R35">
        <f>'TEA Revised Non EYZ'!R35</f>
        <v>98.3502748800029</v>
      </c>
      <c r="S35">
        <f>'TEA Revised Non EYZ'!S35</f>
        <v>500</v>
      </c>
      <c r="T35">
        <f>'TEA Revised Non EYZ'!T35</f>
        <v>95</v>
      </c>
      <c r="U35">
        <f>'TEA Revised Non EYZ'!U35</f>
        <v>1</v>
      </c>
      <c r="V35">
        <f>'TEA Revised Non EYZ'!V35</f>
        <v>0.1</v>
      </c>
      <c r="W35">
        <f>'TEA Revised Non EYZ'!W35</f>
        <v>87.751156402202497</v>
      </c>
      <c r="X35" t="str">
        <f>'TEA Revised Non EYZ'!X35</f>
        <v>ddFc</v>
      </c>
      <c r="Y35">
        <f>'TEA Revised Non EYZ'!Y35</f>
        <v>1</v>
      </c>
      <c r="Z35">
        <f>'TEA Revised Non EYZ'!Z35</f>
        <v>0.28318429382522198</v>
      </c>
      <c r="AA35">
        <f>'TEA Revised Non EYZ'!AA35</f>
        <v>0.56945642916197003</v>
      </c>
      <c r="AB35">
        <f>'TEA Revised Non EYZ'!AB35</f>
        <v>3.7698628972227502E-3</v>
      </c>
      <c r="AC35">
        <f>'TEA Revised Non EYZ'!AC35</f>
        <v>1822.2107908876901</v>
      </c>
      <c r="AD35">
        <f>'TEA Revised Non EYZ'!AD35</f>
        <v>2662.6059073104898</v>
      </c>
      <c r="AE35">
        <f>'TEA Revised Non EYZ'!AE35</f>
        <v>2401.5030938442701</v>
      </c>
      <c r="AF35">
        <f>'TEA Revised Non EYZ'!AF35</f>
        <v>7</v>
      </c>
      <c r="AG35">
        <f>'TEA Revised Non EYZ'!AG35</f>
        <v>1.64951815726537E-3</v>
      </c>
      <c r="AH35">
        <f>'TEA Revised Non EYZ'!AH35</f>
        <v>1.6686323374819601E-3</v>
      </c>
      <c r="AI35">
        <f>'TEA Revised Non EYZ'!AI35</f>
        <v>6.1174468293775103E-6</v>
      </c>
      <c r="AJ35">
        <f>'TEA Revised Non EYZ'!AJ35</f>
        <v>0</v>
      </c>
      <c r="AK35">
        <f>'TEA Revised Non EYZ'!AK35</f>
        <v>0</v>
      </c>
      <c r="AL35">
        <f>'TEA Revised Non EYZ'!AL35</f>
        <v>0</v>
      </c>
      <c r="AM35">
        <f>'TEA Revised Non EYZ'!AM35</f>
        <v>1.61236068920583E-3</v>
      </c>
      <c r="AN35">
        <f>'TEA Revised Non EYZ'!AN35</f>
        <v>7.8784098873371198E-5</v>
      </c>
      <c r="AO35">
        <f>'TEA Revised Non EYZ'!AO35</f>
        <v>6.0769898417647796E-6</v>
      </c>
      <c r="AP35">
        <f>'TEA Revised Non EYZ'!AP35</f>
        <v>1.7396945907611301E-3</v>
      </c>
      <c r="AQ35">
        <f>'TEA Revised Non EYZ'!AQ35</f>
        <v>7.4435921644561601E-2</v>
      </c>
      <c r="AR35">
        <f>'TEA Revised Non EYZ'!AR35</f>
        <v>1.8941764922222101E-6</v>
      </c>
      <c r="AS35">
        <f>'TEA Revised Non EYZ'!AS35</f>
        <v>2.4732006807109899E-16</v>
      </c>
      <c r="AT35">
        <f>'TEA Revised Non EYZ'!AT35</f>
        <v>-7.0015824735203402E-14</v>
      </c>
      <c r="AU35">
        <f>'TEA Revised Non EYZ'!AU35</f>
        <v>-9.2578054156934797E-21</v>
      </c>
      <c r="AV35">
        <f>'TEA Revised Non EYZ'!AV35</f>
        <v>0.197300154776898</v>
      </c>
      <c r="AW35">
        <f>'TEA Revised Non EYZ'!AW35</f>
        <v>99.338662210867994</v>
      </c>
      <c r="AX35">
        <f>'TEA Revised Non EYZ'!AX35</f>
        <v>500</v>
      </c>
      <c r="AY35">
        <f>'TEA Revised Non EYZ'!AY35</f>
        <v>95</v>
      </c>
      <c r="AZ35">
        <f>'TEA Revised Non EYZ'!AZ35</f>
        <v>0.92374973309314701</v>
      </c>
      <c r="BA35">
        <f>'TEA Revised Non EYZ'!BA35</f>
        <v>0.1</v>
      </c>
      <c r="BB35">
        <f>'TEA Revised Non EYZ'!BB35</f>
        <v>46.819513858856197</v>
      </c>
      <c r="BC35" t="str">
        <f>'TEA Revised Non EYZ'!BC35</f>
        <v>coeFc</v>
      </c>
      <c r="BD35">
        <f>'TEA Revised Non EYZ'!BD35</f>
        <v>1</v>
      </c>
      <c r="BE35">
        <f>'TEA Revised Non EYZ'!BE35</f>
        <v>1.8775014999999999E-2</v>
      </c>
      <c r="BF35">
        <f>'TEA Revised Non EYZ'!BF35</f>
        <v>0.10492961100000001</v>
      </c>
      <c r="BG35">
        <f>'TEA Revised Non EYZ'!BG35</f>
        <v>1.814625E-3</v>
      </c>
      <c r="BH35">
        <f>'TEA Revised Non EYZ'!BH35</f>
        <v>285.1951444</v>
      </c>
      <c r="BI35">
        <f>'TEA Revised Non EYZ'!BI35</f>
        <v>2169.8944889999998</v>
      </c>
      <c r="BJ35">
        <f>'TEA Revised Non EYZ'!BJ35</f>
        <v>866.49409060000005</v>
      </c>
      <c r="BK35">
        <f>'TEA Revised Non EYZ'!BK35</f>
        <v>100</v>
      </c>
      <c r="BL35">
        <f>'TEA Revised Non EYZ'!BL35</f>
        <v>11.395861217105201</v>
      </c>
      <c r="BM35">
        <f>'TEA Revised Non EYZ'!BM35</f>
        <v>92.374973309314697</v>
      </c>
      <c r="BN35">
        <f>'TEA Revised Non EYZ'!BN35</f>
        <v>19.7300154776898</v>
      </c>
      <c r="BO35">
        <f>'TEA Revised Non EYZ'!BO35</f>
        <v>182.33377947368322</v>
      </c>
      <c r="BP35">
        <f>'TEA Revised Non EYZ'!BP35</f>
        <v>355.14027859841639</v>
      </c>
      <c r="BQ35">
        <f>'TEA Revised Non EYZ'!BQ35</f>
        <v>18.233377947368322</v>
      </c>
      <c r="BR35">
        <f>'TEA Revised Non EYZ'!BR35</f>
        <v>35.51402785984164</v>
      </c>
      <c r="BS35">
        <f>'eLLE Bals'!CF35</f>
        <v>6.8375167302631192</v>
      </c>
      <c r="BT35">
        <f>'eLLE Bals'!CG35</f>
        <v>11.838009286613881</v>
      </c>
      <c r="BU35">
        <f>BM35</f>
        <v>92.374973309314697</v>
      </c>
      <c r="BV35">
        <f>BU35*(AM35*2+AN35*2+AO35*3)</f>
        <v>0.31412299464530774</v>
      </c>
      <c r="BW35">
        <f>BN35*BA35*(AP35*2+AQ35*2+AR35*3)</f>
        <v>0.30060042910854795</v>
      </c>
      <c r="BX35">
        <f>BV35/(2*V35*BL35+BV35)</f>
        <v>0.12112889810399255</v>
      </c>
      <c r="BY35">
        <f>BU35*BX35</f>
        <v>11.189278729343011</v>
      </c>
      <c r="BZ35">
        <f>BW35/(2*BN35*BA35+BW35)</f>
        <v>7.0786082892814975E-2</v>
      </c>
      <c r="CA35">
        <f>2*BN35*BA35/0.04</f>
        <v>98.650077388449006</v>
      </c>
      <c r="CB35">
        <f>(BS35+BL35)*2</f>
        <v>36.466755894736643</v>
      </c>
      <c r="CC35">
        <f>(BU35+BL35)*2</f>
        <v>207.54166905283981</v>
      </c>
      <c r="CD35">
        <f>(BT35+BN35)*2</f>
        <v>63.136049528607359</v>
      </c>
      <c r="CE35">
        <f>(CA35+BN35)*2</f>
        <v>236.76018573227762</v>
      </c>
      <c r="CF35">
        <f>'TEA Revised Non EYZ'!CB35</f>
        <v>2406.8058890526186</v>
      </c>
      <c r="CG35">
        <f>'TEA Revised Non EYZ'!CC35</f>
        <v>4687.8516774990967</v>
      </c>
      <c r="CH35">
        <f>'TEA Revised Non EYZ'!CD35</f>
        <v>2907.8673690603878</v>
      </c>
      <c r="CI35">
        <f>'TEA Revised Non EYZ'!CE35</f>
        <v>36157.816636844051</v>
      </c>
      <c r="CJ35">
        <f>BL35*V35</f>
        <v>1.1395861217105201</v>
      </c>
      <c r="CK35">
        <f>CJ35/2*1.2</f>
        <v>0.68375167302631201</v>
      </c>
      <c r="CL35">
        <f>'eLLE Bals'!CB35*'Oxidant Feed Composition'!$N$20</f>
        <v>3.7986204057017352E-2</v>
      </c>
      <c r="CM35">
        <f>'eLLE Bals'!CB35*'Oxidant Feed Composition'!$N$21</f>
        <v>1.8993102028508668</v>
      </c>
      <c r="CN35">
        <f>'eLLE Bals'!CB35*'Oxidant Feed Composition'!$N$22</f>
        <v>0.56979306085526005</v>
      </c>
      <c r="CO35">
        <f>CN35/CK35</f>
        <v>0.83333333333333337</v>
      </c>
      <c r="CP35">
        <f>CO35</f>
        <v>0.83333333333333337</v>
      </c>
      <c r="CQ35">
        <f>CL35/CO35</f>
        <v>4.5583444868420822E-2</v>
      </c>
      <c r="CR35">
        <f>CM35/CO35</f>
        <v>2.2791722434210402</v>
      </c>
      <c r="CS35">
        <f>BN35*BA35</f>
        <v>1.9730015477689802</v>
      </c>
      <c r="CT35">
        <f>CS35/2*1.2</f>
        <v>1.183800928661388</v>
      </c>
      <c r="CU35">
        <f>'eLLE Bals'!CC35*'Oxidant Feed Composition'!$N$20</f>
        <v>6.5766718258966031E-2</v>
      </c>
      <c r="CV35">
        <f>'eLLE Bals'!CC35*'Oxidant Feed Composition'!$N$21</f>
        <v>3.2883359129483005</v>
      </c>
      <c r="CW35">
        <f>'eLLE Bals'!CC35*'Oxidant Feed Composition'!$N$22</f>
        <v>0.98650077388449009</v>
      </c>
      <c r="CX35">
        <f>CU35/CP35</f>
        <v>7.8920061910759232E-2</v>
      </c>
      <c r="CY35">
        <f>CV35/CP35</f>
        <v>3.9460030955379604</v>
      </c>
      <c r="CZ35">
        <f>CJ35</f>
        <v>1.1395861217105201</v>
      </c>
      <c r="DA35">
        <f>'eLLE Bals'!BQ35</f>
        <v>2.2791722434210402</v>
      </c>
      <c r="DB35">
        <f>'eLLE Bals'!BU35</f>
        <v>5.9892866147247075</v>
      </c>
      <c r="DC35">
        <f>CS35</f>
        <v>1.9730015477689802</v>
      </c>
      <c r="DD35">
        <f>'eLLE Bals'!BX35</f>
        <v>3.9460030955379604</v>
      </c>
      <c r="DE35">
        <f>'eLLE Bals'!CA35</f>
        <v>21.953727780049782</v>
      </c>
      <c r="DF35">
        <f>2*2*(CJ35*'Reagent cost'!$C$36*122.44/1000*0.5+CK35*'Oxidant Feed Composition'!$N$26+CQ35*'Reagent cost'!$C$34+CR35*'Reagent cost'!$C$35)</f>
        <v>76.550884152580181</v>
      </c>
      <c r="DG35">
        <f>2*2*(CS35*'Reagent cost'!$C$36*122.44/1000*0.5+CT35*'Oxidant Feed Composition'!$N$26+CX35*'Reagent cost'!$C$34+CY35*'Reagent cost'!$C$35)</f>
        <v>132.53497040611626</v>
      </c>
      <c r="DH35">
        <f>(AF35+3)*2*(CZ35*'Reagent cost'!$C$38*0.5+DA35*'Reagent cost'!$C$39+DB35*'Reagent cost'!$C$36*122.44/1000)</f>
        <v>1089.2155959193278</v>
      </c>
      <c r="DI35">
        <f>3*2*(DC35*'Reagent cost'!$C$38*0.5+DD35*'Reagent cost'!$C$39+DE35*'Reagent cost'!$C$36*122.44/1000)</f>
        <v>1166.7340107845353</v>
      </c>
      <c r="DJ35">
        <f>7963.6*(CB35/1000)^0.6*1.7*('CAPEX+OPEX'!$G$116/'CAPEX+OPEX'!$G$115)</f>
        <v>2189.6727102460782</v>
      </c>
      <c r="DK35">
        <f>7963.6*(CC35/1000)^0.6*1.7*('CAPEX+OPEX'!$G$116/'CAPEX+OPEX'!$G$115)</f>
        <v>6215.9013146876341</v>
      </c>
      <c r="DL35">
        <f>7963.6*(CD35/1000)^0.6*1.7*('CAPEX+OPEX'!$G$116/'CAPEX+OPEX'!$G$115)</f>
        <v>3043.7387294113364</v>
      </c>
      <c r="DM35">
        <f>7963.6*(CE35/1000)^0.6*1.7*('CAPEX+OPEX'!$G$116/'CAPEX+OPEX'!$G$115)</f>
        <v>6727.0728533001402</v>
      </c>
      <c r="DN35">
        <f>'TEA Revised Non EYZ'!CM35</f>
        <v>39625.826528698344</v>
      </c>
      <c r="DO35">
        <f>'TEA Revised Non EYZ'!CN35</f>
        <v>4586243.4239371875</v>
      </c>
      <c r="DP35">
        <f>'TEA Revised Non EYZ'!CO35</f>
        <v>11794834.586807497</v>
      </c>
      <c r="DQ35">
        <f>'TEA Revised Non EYZ'!CP35</f>
        <v>2275209.1661185985</v>
      </c>
      <c r="DR35">
        <f>'TEA Revised Non EYZ'!CQ35</f>
        <v>14083914.336508472</v>
      </c>
      <c r="DS35">
        <f>'TEA Revised Non EYZ'!CR35</f>
        <v>1662824.8986326549</v>
      </c>
      <c r="DT35">
        <f>'TEA Revised Non EYZ'!CS35</f>
        <v>646135.89638675924</v>
      </c>
      <c r="DU35">
        <f>'TEA Revised Non EYZ'!CT35</f>
        <v>1661722.9645298459</v>
      </c>
      <c r="DV35">
        <f>'TEA Revised Non EYZ'!CU35</f>
        <v>320544.32748695416</v>
      </c>
      <c r="DW35">
        <f>'TEA Revised Non EYZ'!CV35</f>
        <v>1984221.4582325809</v>
      </c>
      <c r="DX35">
        <f>'TEA Revised Non EYZ'!CW35</f>
        <v>234268.17050410178</v>
      </c>
      <c r="DY35">
        <f>'TEA Revised Non EYZ'!CX35</f>
        <v>4846892.8171402421</v>
      </c>
      <c r="DZ35">
        <f>'TEA Revised Non EYZ'!CY35</f>
        <v>661177.63088250696</v>
      </c>
      <c r="EA35">
        <f>'TEA Revised Non EYZ'!CZ35</f>
        <v>1700407.0800196673</v>
      </c>
      <c r="EB35">
        <f>'TEA Revised Non EYZ'!DA35</f>
        <v>328006.44605231972</v>
      </c>
      <c r="EC35">
        <f>'TEA Revised Non EYZ'!DB35</f>
        <v>2030413.1843422146</v>
      </c>
      <c r="ED35">
        <f>'TEA Revised Non EYZ'!DC35</f>
        <v>239721.8214175282</v>
      </c>
      <c r="EE35">
        <f>'TEA Revised Non EYZ'!DD35</f>
        <v>4959726.1627142364</v>
      </c>
      <c r="EF35">
        <v>0.7</v>
      </c>
      <c r="EG35">
        <v>100</v>
      </c>
      <c r="EH35">
        <f>96485*BL35*V35/EF35/EG35/60</f>
        <v>26.179277846009416</v>
      </c>
      <c r="EI35">
        <f>96485*BN35*BA35/EF35/EG35/60</f>
        <v>45.325012937259544</v>
      </c>
      <c r="EJ35">
        <f>EH35*('CAPEX+OPEX'!$O$25+'CAPEX+OPEX'!$O$26)</f>
        <v>834385.9435080121</v>
      </c>
      <c r="EK35">
        <f>EI35*('CAPEX+OPEX'!$O$25+'CAPEX+OPEX'!$O$26)</f>
        <v>1444598.8123363361</v>
      </c>
      <c r="EL35">
        <f>EJ35*1.12/0.6*'CAPEX+OPEX'!$G$116/'CAPEX+OPEX'!$G$115</f>
        <v>1837030.3015082346</v>
      </c>
      <c r="EM35">
        <f>EK35*1.12/0.6*'CAPEX+OPEX'!$G$116/'CAPEX+OPEX'!$G$115</f>
        <v>3180508.7471001656</v>
      </c>
      <c r="EN35">
        <f>EL35+EM35+DY35+EE35+1.15*(SUM(DF35:DM35)+SUM(CF35:CI35))</f>
        <v>14900980.055500448</v>
      </c>
      <c r="EO35">
        <f>EN35/15</f>
        <v>993398.67036669655</v>
      </c>
      <c r="EP35">
        <f>('eLLE Bals'!CB35+'eLLE Bals'!CC35)*'Oxidant Feed Composition'!$N$29*60*7200</f>
        <v>7763905.4639974106</v>
      </c>
      <c r="EQ35" s="53">
        <f>('eLLE Bals'!BR35+'eLLE Bals'!BY35)*'Reagent cost'!$C$38*60*7200*0.5</f>
        <v>253361.08814609426</v>
      </c>
      <c r="ER35">
        <f>'TEA Revised Non EYZ'!DI35</f>
        <v>504921.59999999998</v>
      </c>
      <c r="ES35">
        <f>'TEA Revised Non EYZ'!DJ35</f>
        <v>70.946575665517159</v>
      </c>
      <c r="ET35">
        <f>'TEA Revised Non EYZ'!DK35</f>
        <v>781.31368011808888</v>
      </c>
      <c r="EU35">
        <f>1.2*SUM(EP35:ET35)</f>
        <v>10227648.494879145</v>
      </c>
      <c r="EV35">
        <f>'TEA Revised Non EYZ'!DM35</f>
        <v>0.70639694042110623</v>
      </c>
      <c r="EW35">
        <f>(BS35*CO35+BT35*CP35)/1000*('Oxidant Feed Composition'!$B$11*'Oxidant Feed Composition'!$O$20+'Oxidant Feed Composition'!$D$11*'Oxidant Feed Composition'!$O$21+'Oxidant Feed Composition'!$F$11*'Oxidant Feed Composition'!$O$27-'Oxidant Feed Composition'!$J$15*18.015)</f>
        <v>1.8175105959491769</v>
      </c>
      <c r="EX35">
        <f>(CZ35*BX35+DC35*BZ35)*368.34/1000</f>
        <v>0.10228723060894701</v>
      </c>
      <c r="EY35">
        <f>'TEA Revised Non EYZ'!DP35</f>
        <v>4.999938342565946E-2</v>
      </c>
      <c r="EZ35">
        <f>SUM(EV35:EX35)-EY35</f>
        <v>2.5761953835535709</v>
      </c>
      <c r="FA35">
        <f>EZ35*0.33*60*7200</f>
        <v>367262.41387939709</v>
      </c>
      <c r="FB35">
        <f>'TEA Revised Non EYZ'!DS35</f>
        <v>1.2</v>
      </c>
      <c r="FC35">
        <v>0.5</v>
      </c>
      <c r="FD35">
        <f>'TEA Revised Non EYZ'!DT35</f>
        <v>1405.9393233749126</v>
      </c>
      <c r="FE35">
        <f>'TEA Revised Non EYZ'!DU35</f>
        <v>706.32825031277434</v>
      </c>
      <c r="FF35">
        <f>'TEA Revised Non EYZ'!DV35</f>
        <v>0.7</v>
      </c>
      <c r="FG35">
        <f>'TEA Revised Non EYZ'!DW35</f>
        <v>35776.359048024235</v>
      </c>
      <c r="FH35">
        <f>'TEA Revised Non EYZ'!DX35</f>
        <v>29068.269280606211</v>
      </c>
      <c r="FI35">
        <f>'TEA Revised Non EYZ'!DY35</f>
        <v>12307.130138966339</v>
      </c>
      <c r="FJ35">
        <f>'TEA Revised Non EYZ'!DZ35</f>
        <v>6519.4301878820042</v>
      </c>
      <c r="FK35">
        <f>'TEA Revised Non EYZ'!EA35</f>
        <v>6563.8027407820491</v>
      </c>
      <c r="FL35">
        <f>'TEA Revised Non EYZ'!EB35</f>
        <v>850.31210277714717</v>
      </c>
      <c r="FM35">
        <f>'TEA Revised Non EYZ'!EC35</f>
        <v>36005.116305178919</v>
      </c>
      <c r="FN35">
        <f>'TEA Revised Non EYZ'!ED35</f>
        <v>31040.279608141645</v>
      </c>
      <c r="FO35">
        <f>'TEA Revised Non EYZ'!EE35</f>
        <v>13142.053866350294</v>
      </c>
      <c r="FP35">
        <f>'TEA Revised Non EYZ'!EF35</f>
        <v>6965.5787863064152</v>
      </c>
      <c r="FQ35">
        <f>'TEA Revised Non EYZ'!EG35</f>
        <v>7009.0953953868229</v>
      </c>
      <c r="FR35">
        <f>'TEA Revised Non EYZ'!EH35</f>
        <v>427.18732578916593</v>
      </c>
      <c r="FS35">
        <f>'TEA Revised Non EYZ'!EI35</f>
        <v>185674.61478619123</v>
      </c>
      <c r="FT35">
        <f>EG35*EH35</f>
        <v>2617.9277846009418</v>
      </c>
      <c r="FU35">
        <f>EG35*EI35</f>
        <v>4532.5012937259544</v>
      </c>
      <c r="FV35">
        <f>FC35*(FT35+FU35)/(3.6*10^6)*3600*7200*0.07</f>
        <v>1801.908127738378</v>
      </c>
      <c r="FW35">
        <f>('CAPEX+OPEX'!$C$39/7/100+0.03)*EL35</f>
        <v>94475.844077566348</v>
      </c>
      <c r="FX35">
        <f>('CAPEX+OPEX'!$C$39/7/100+0.03)*EM35</f>
        <v>163569.02127943709</v>
      </c>
      <c r="FY35">
        <f>SUM(FV35:FX35)</f>
        <v>259846.7734847418</v>
      </c>
      <c r="FZ35">
        <f>FY35+FA35+FS35+EU35</f>
        <v>11040432.297029475</v>
      </c>
      <c r="GA35">
        <f>FZ35+EO35</f>
        <v>12033830.967396172</v>
      </c>
      <c r="GB35">
        <f>GA35/(BK35*60*7200)</f>
        <v>0.27856090202305955</v>
      </c>
      <c r="GC35">
        <f>'TEA Revised Non EYZ'!EM35/'TEA Revised Non EYZ'!EK35*GA35</f>
        <v>932.00282326667548</v>
      </c>
      <c r="GD35">
        <f>'TEA Revised Non EYZ'!EN35/'TEA Revised Non EYZ'!EK35*GA35</f>
        <v>1709.0602090017046</v>
      </c>
    </row>
    <row r="36" spans="1:186">
      <c r="A36">
        <f>'TEA Revised Non EYZ'!A36</f>
        <v>6</v>
      </c>
      <c r="B36">
        <f>'TEA Revised Non EYZ'!B36</f>
        <v>1.54143585092054E-3</v>
      </c>
      <c r="C36">
        <f>'TEA Revised Non EYZ'!C36</f>
        <v>1.54143585092054E-3</v>
      </c>
      <c r="D36">
        <f>'TEA Revised Non EYZ'!D36</f>
        <v>3.4254130020456501E-4</v>
      </c>
      <c r="E36">
        <f>'TEA Revised Non EYZ'!E36</f>
        <v>0</v>
      </c>
      <c r="F36">
        <f>'TEA Revised Non EYZ'!F36</f>
        <v>0</v>
      </c>
      <c r="G36">
        <f>'TEA Revised Non EYZ'!G36</f>
        <v>0</v>
      </c>
      <c r="H36">
        <f>'TEA Revised Non EYZ'!H36</f>
        <v>1.7693893431643E-5</v>
      </c>
      <c r="I36">
        <f>'TEA Revised Non EYZ'!I36</f>
        <v>3.7175600603836103E-8</v>
      </c>
      <c r="J36">
        <f>'TEA Revised Non EYZ'!J36</f>
        <v>3.36890310328726E-4</v>
      </c>
      <c r="K36">
        <f>'TEA Revised Non EYZ'!K36</f>
        <v>0.133710118829723</v>
      </c>
      <c r="L36">
        <f>'TEA Revised Non EYZ'!L36</f>
        <v>0.13525951632913</v>
      </c>
      <c r="M36">
        <f>'TEA Revised Non EYZ'!M36</f>
        <v>4.9588089642288804E-4</v>
      </c>
      <c r="N36">
        <f>'TEA Revised Non EYZ'!N36</f>
        <v>-1.72886878424538E-14</v>
      </c>
      <c r="O36">
        <f>'TEA Revised Non EYZ'!O36</f>
        <v>-1.05961268405396E-12</v>
      </c>
      <c r="P36">
        <f>'TEA Revised Non EYZ'!P36</f>
        <v>-9.6595637304880395E-18</v>
      </c>
      <c r="Q36">
        <f>'TEA Revised Non EYZ'!Q36</f>
        <v>0.11395861217105201</v>
      </c>
      <c r="R36">
        <f>'TEA Revised Non EYZ'!R36</f>
        <v>98.3502748800029</v>
      </c>
      <c r="S36">
        <f>'TEA Revised Non EYZ'!S36</f>
        <v>500</v>
      </c>
      <c r="T36">
        <f>'TEA Revised Non EYZ'!T36</f>
        <v>95</v>
      </c>
      <c r="U36">
        <f>'TEA Revised Non EYZ'!U36</f>
        <v>1</v>
      </c>
      <c r="V36">
        <f>'TEA Revised Non EYZ'!V36</f>
        <v>0.1</v>
      </c>
      <c r="W36">
        <f>'TEA Revised Non EYZ'!W36</f>
        <v>87.751156402202497</v>
      </c>
      <c r="X36" t="str">
        <f>'TEA Revised Non EYZ'!X36</f>
        <v>ddFc</v>
      </c>
      <c r="Y36">
        <f>'TEA Revised Non EYZ'!Y36</f>
        <v>1</v>
      </c>
      <c r="Z36">
        <f>'TEA Revised Non EYZ'!Z36</f>
        <v>0.28318429382522198</v>
      </c>
      <c r="AA36">
        <f>'TEA Revised Non EYZ'!AA36</f>
        <v>0.56945642916197003</v>
      </c>
      <c r="AB36">
        <f>'TEA Revised Non EYZ'!AB36</f>
        <v>3.7698628972227502E-3</v>
      </c>
      <c r="AC36">
        <f>'TEA Revised Non EYZ'!AC36</f>
        <v>1822.2107908876901</v>
      </c>
      <c r="AD36">
        <f>'TEA Revised Non EYZ'!AD36</f>
        <v>2662.6059073104898</v>
      </c>
      <c r="AE36">
        <f>'TEA Revised Non EYZ'!AE36</f>
        <v>2401.5030938442701</v>
      </c>
      <c r="AF36">
        <f>'TEA Revised Non EYZ'!AF36</f>
        <v>8</v>
      </c>
      <c r="AG36">
        <f>'TEA Revised Non EYZ'!AG36</f>
        <v>1.64951815726537E-3</v>
      </c>
      <c r="AH36">
        <f>'TEA Revised Non EYZ'!AH36</f>
        <v>1.6686323374819601E-3</v>
      </c>
      <c r="AI36">
        <f>'TEA Revised Non EYZ'!AI36</f>
        <v>6.1174468293775103E-6</v>
      </c>
      <c r="AJ36">
        <f>'TEA Revised Non EYZ'!AJ36</f>
        <v>0</v>
      </c>
      <c r="AK36">
        <f>'TEA Revised Non EYZ'!AK36</f>
        <v>0</v>
      </c>
      <c r="AL36">
        <f>'TEA Revised Non EYZ'!AL36</f>
        <v>0</v>
      </c>
      <c r="AM36">
        <f>'TEA Revised Non EYZ'!AM36</f>
        <v>1.6125021937551699E-3</v>
      </c>
      <c r="AN36">
        <f>'TEA Revised Non EYZ'!AN36</f>
        <v>7.8791398968760994E-5</v>
      </c>
      <c r="AO36">
        <f>'TEA Revised Non EYZ'!AO36</f>
        <v>6.0771375446680096E-6</v>
      </c>
      <c r="AP36">
        <f>'TEA Revised Non EYZ'!AP36</f>
        <v>1.73492050588017E-3</v>
      </c>
      <c r="AQ36">
        <f>'TEA Revised Non EYZ'!AQ36</f>
        <v>7.4515084509212501E-2</v>
      </c>
      <c r="AR36">
        <f>'TEA Revised Non EYZ'!AR36</f>
        <v>1.8892768957738701E-6</v>
      </c>
      <c r="AS36">
        <f>'TEA Revised Non EYZ'!AS36</f>
        <v>7.2525806974615906E-15</v>
      </c>
      <c r="AT36">
        <f>'TEA Revised Non EYZ'!AT36</f>
        <v>-1.73205959123901E-12</v>
      </c>
      <c r="AU36">
        <f>'TEA Revised Non EYZ'!AU36</f>
        <v>4.3225150089571002E-20</v>
      </c>
      <c r="AV36">
        <f>'TEA Revised Non EYZ'!AV36</f>
        <v>0.19708964352883601</v>
      </c>
      <c r="AW36">
        <f>'TEA Revised Non EYZ'!AW36</f>
        <v>99.341076664272293</v>
      </c>
      <c r="AX36">
        <f>'TEA Revised Non EYZ'!AX36</f>
        <v>500</v>
      </c>
      <c r="AY36">
        <f>'TEA Revised Non EYZ'!AY36</f>
        <v>95</v>
      </c>
      <c r="AZ36">
        <f>'TEA Revised Non EYZ'!AZ36</f>
        <v>0.92374973309314701</v>
      </c>
      <c r="BA36">
        <f>'TEA Revised Non EYZ'!BA36</f>
        <v>0.1</v>
      </c>
      <c r="BB36">
        <f>'TEA Revised Non EYZ'!BB36</f>
        <v>46.869521734052398</v>
      </c>
      <c r="BC36" t="str">
        <f>'TEA Revised Non EYZ'!BC36</f>
        <v>coeFc</v>
      </c>
      <c r="BD36">
        <f>'TEA Revised Non EYZ'!BD36</f>
        <v>1</v>
      </c>
      <c r="BE36">
        <f>'TEA Revised Non EYZ'!BE36</f>
        <v>1.8775014999999999E-2</v>
      </c>
      <c r="BF36">
        <f>'TEA Revised Non EYZ'!BF36</f>
        <v>0.10492961100000001</v>
      </c>
      <c r="BG36">
        <f>'TEA Revised Non EYZ'!BG36</f>
        <v>1.814625E-3</v>
      </c>
      <c r="BH36">
        <f>'TEA Revised Non EYZ'!BH36</f>
        <v>285.1951444</v>
      </c>
      <c r="BI36">
        <f>'TEA Revised Non EYZ'!BI36</f>
        <v>2169.8944889999998</v>
      </c>
      <c r="BJ36">
        <f>'TEA Revised Non EYZ'!BJ36</f>
        <v>866.49409060000005</v>
      </c>
      <c r="BK36">
        <f>'TEA Revised Non EYZ'!BK36</f>
        <v>100</v>
      </c>
      <c r="BL36">
        <f>'TEA Revised Non EYZ'!BL36</f>
        <v>11.395861217105201</v>
      </c>
      <c r="BM36">
        <f>'TEA Revised Non EYZ'!BM36</f>
        <v>92.374973309314697</v>
      </c>
      <c r="BN36">
        <f>'TEA Revised Non EYZ'!BN36</f>
        <v>19.708964352883601</v>
      </c>
      <c r="BO36">
        <f>'TEA Revised Non EYZ'!BO36</f>
        <v>182.33377947368322</v>
      </c>
      <c r="BP36">
        <f>'TEA Revised Non EYZ'!BP36</f>
        <v>394.17928705767201</v>
      </c>
      <c r="BQ36">
        <f>'TEA Revised Non EYZ'!BQ36</f>
        <v>18.233377947368322</v>
      </c>
      <c r="BR36">
        <f>'TEA Revised Non EYZ'!BR36</f>
        <v>39.417928705767203</v>
      </c>
      <c r="BS36">
        <f>'eLLE Bals'!CF36</f>
        <v>6.8375167302631192</v>
      </c>
      <c r="BT36">
        <f>'eLLE Bals'!CG36</f>
        <v>11.82537861173016</v>
      </c>
      <c r="BU36">
        <f>BM36</f>
        <v>92.374973309314697</v>
      </c>
      <c r="BV36">
        <f>BU36*(AM36*2+AN36*2+AO36*3)</f>
        <v>0.31415052722763337</v>
      </c>
      <c r="BW36">
        <f>BN36*BA36*(AP36*2+AQ36*2+AR36*3)</f>
        <v>0.30057289685722893</v>
      </c>
      <c r="BX36">
        <f>BV36/(2*V36*BL36+BV36)</f>
        <v>0.12113822883260082</v>
      </c>
      <c r="BY36">
        <f>BU36*BX36</f>
        <v>11.190140655149158</v>
      </c>
      <c r="BZ36">
        <f>BW36/(2*BN36*BA36+BW36)</f>
        <v>7.0850302245163171E-2</v>
      </c>
      <c r="CA36">
        <f>2*BN36*BA36/0.04</f>
        <v>98.544821764418003</v>
      </c>
      <c r="CB36">
        <f>(BS36+BL36)*2</f>
        <v>36.466755894736643</v>
      </c>
      <c r="CC36">
        <f>(BU36+BL36)*2</f>
        <v>207.54166905283981</v>
      </c>
      <c r="CD36">
        <f>(BT36+BN36)*2</f>
        <v>63.068685929227527</v>
      </c>
      <c r="CE36">
        <f>(CA36+BN36)*2</f>
        <v>236.5075722346032</v>
      </c>
      <c r="CF36">
        <f>'TEA Revised Non EYZ'!CB36</f>
        <v>2406.8058890526186</v>
      </c>
      <c r="CG36">
        <f>'TEA Revised Non EYZ'!CC36</f>
        <v>5203.1665891612702</v>
      </c>
      <c r="CH36">
        <f>'TEA Revised Non EYZ'!CD36</f>
        <v>2907.8673690603878</v>
      </c>
      <c r="CI36">
        <f>'TEA Revised Non EYZ'!CE36</f>
        <v>40132.486350808351</v>
      </c>
      <c r="CJ36">
        <f>BL36*V36</f>
        <v>1.1395861217105201</v>
      </c>
      <c r="CK36">
        <f>CJ36/2*1.2</f>
        <v>0.68375167302631201</v>
      </c>
      <c r="CL36">
        <f>'eLLE Bals'!CB36*'Oxidant Feed Composition'!$N$20</f>
        <v>3.7986204057017352E-2</v>
      </c>
      <c r="CM36">
        <f>'eLLE Bals'!CB36*'Oxidant Feed Composition'!$N$21</f>
        <v>1.8993102028508668</v>
      </c>
      <c r="CN36">
        <f>'eLLE Bals'!CB36*'Oxidant Feed Composition'!$N$22</f>
        <v>0.56979306085526005</v>
      </c>
      <c r="CO36">
        <f>CN36/CK36</f>
        <v>0.83333333333333337</v>
      </c>
      <c r="CP36">
        <f>CO36</f>
        <v>0.83333333333333337</v>
      </c>
      <c r="CQ36">
        <f>CL36/CO36</f>
        <v>4.5583444868420822E-2</v>
      </c>
      <c r="CR36">
        <f>CM36/CO36</f>
        <v>2.2791722434210402</v>
      </c>
      <c r="CS36">
        <f>BN36*BA36</f>
        <v>1.9708964352883602</v>
      </c>
      <c r="CT36">
        <f>CS36/2*1.2</f>
        <v>1.1825378611730162</v>
      </c>
      <c r="CU36">
        <f>'eLLE Bals'!CC36*'Oxidant Feed Composition'!$N$20</f>
        <v>6.5696547842945374E-2</v>
      </c>
      <c r="CV36">
        <f>'eLLE Bals'!CC36*'Oxidant Feed Composition'!$N$21</f>
        <v>3.284827392147267</v>
      </c>
      <c r="CW36">
        <f>'eLLE Bals'!CC36*'Oxidant Feed Composition'!$N$22</f>
        <v>0.98544821764418011</v>
      </c>
      <c r="CX36">
        <f>CU36/CP36</f>
        <v>7.8835857411534441E-2</v>
      </c>
      <c r="CY36">
        <f>CV36/CP36</f>
        <v>3.9417928705767205</v>
      </c>
      <c r="CZ36">
        <f>CJ36</f>
        <v>1.1395861217105201</v>
      </c>
      <c r="DA36">
        <f>'eLLE Bals'!BQ36</f>
        <v>2.2791722434210402</v>
      </c>
      <c r="DB36">
        <f>'eLLE Bals'!BU36</f>
        <v>5.9885619580710756</v>
      </c>
      <c r="DC36">
        <f>CS36</f>
        <v>1.9708964352883602</v>
      </c>
      <c r="DD36">
        <f>'eLLE Bals'!BX36</f>
        <v>3.9417928705767205</v>
      </c>
      <c r="DE36">
        <f>'eLLE Bals'!CA36</f>
        <v>21.905066904524411</v>
      </c>
      <c r="DF36">
        <f>2*2*(CJ36*'Reagent cost'!$C$36*122.44/1000*0.5+CK36*'Oxidant Feed Composition'!$N$26+CQ36*'Reagent cost'!$C$34+CR36*'Reagent cost'!$C$35)</f>
        <v>76.550884152580181</v>
      </c>
      <c r="DG36">
        <f>2*2*(CS36*'Reagent cost'!$C$36*122.44/1000*0.5+CT36*'Oxidant Feed Composition'!$N$26+CX36*'Reagent cost'!$C$34+CY36*'Reagent cost'!$C$35)</f>
        <v>132.39356097811253</v>
      </c>
      <c r="DH36">
        <f>(AF36+3)*2*(CZ36*'Reagent cost'!$C$38*0.5+DA36*'Reagent cost'!$C$39+DB36*'Reagent cost'!$C$36*122.44/1000)</f>
        <v>1197.9993057560841</v>
      </c>
      <c r="DI36">
        <f>3*2*(DC36*'Reagent cost'!$C$38*0.5+DD36*'Reagent cost'!$C$39+DE36*'Reagent cost'!$C$36*122.44/1000)</f>
        <v>1164.1798431925672</v>
      </c>
      <c r="DJ36">
        <f>7963.6*(CB36/1000)^0.6*1.7*('CAPEX+OPEX'!$G$116/'CAPEX+OPEX'!$G$115)</f>
        <v>2189.6727102460782</v>
      </c>
      <c r="DK36">
        <f>7963.6*(CC36/1000)^0.6*1.7*('CAPEX+OPEX'!$G$116/'CAPEX+OPEX'!$G$115)</f>
        <v>6215.9013146876341</v>
      </c>
      <c r="DL36">
        <f>7963.6*(CD36/1000)^0.6*1.7*('CAPEX+OPEX'!$G$116/'CAPEX+OPEX'!$G$115)</f>
        <v>3041.7897860771859</v>
      </c>
      <c r="DM36">
        <f>7963.6*(CE36/1000)^0.6*1.7*('CAPEX+OPEX'!$G$116/'CAPEX+OPEX'!$G$115)</f>
        <v>6722.76542583631</v>
      </c>
      <c r="DN36">
        <f>'TEA Revised Non EYZ'!CM36</f>
        <v>39625.826528698344</v>
      </c>
      <c r="DO36">
        <f>'TEA Revised Non EYZ'!CN36</f>
        <v>4586243.4239371875</v>
      </c>
      <c r="DP36">
        <f>'TEA Revised Non EYZ'!CO36</f>
        <v>11794834.586807497</v>
      </c>
      <c r="DQ36">
        <f>'TEA Revised Non EYZ'!CP36</f>
        <v>2275209.1661185985</v>
      </c>
      <c r="DR36">
        <f>'TEA Revised Non EYZ'!CQ36</f>
        <v>14083914.336508472</v>
      </c>
      <c r="DS36">
        <f>'TEA Revised Non EYZ'!CR36</f>
        <v>1662824.8986326549</v>
      </c>
      <c r="DT36">
        <f>'TEA Revised Non EYZ'!CS36</f>
        <v>646135.89638675924</v>
      </c>
      <c r="DU36">
        <f>'TEA Revised Non EYZ'!CT36</f>
        <v>1661722.9645298459</v>
      </c>
      <c r="DV36">
        <f>'TEA Revised Non EYZ'!CU36</f>
        <v>320544.32748695416</v>
      </c>
      <c r="DW36">
        <f>'TEA Revised Non EYZ'!CV36</f>
        <v>1984221.4582325809</v>
      </c>
      <c r="DX36">
        <f>'TEA Revised Non EYZ'!CW36</f>
        <v>234268.17050410178</v>
      </c>
      <c r="DY36">
        <f>'TEA Revised Non EYZ'!CX36</f>
        <v>4846892.8171402421</v>
      </c>
      <c r="DZ36">
        <f>'TEA Revised Non EYZ'!CY36</f>
        <v>709593.56018346804</v>
      </c>
      <c r="EA36">
        <f>'TEA Revised Non EYZ'!CZ36</f>
        <v>1824922.4676004604</v>
      </c>
      <c r="EB36">
        <f>'TEA Revised Non EYZ'!DA36</f>
        <v>352025.31202806637</v>
      </c>
      <c r="EC36">
        <f>'TEA Revised Non EYZ'!DB36</f>
        <v>2179093.8664966309</v>
      </c>
      <c r="ED36">
        <f>'TEA Revised Non EYZ'!DC36</f>
        <v>257275.88588603889</v>
      </c>
      <c r="EE36">
        <f>'TEA Revised Non EYZ'!DD36</f>
        <v>5322911.0921946643</v>
      </c>
      <c r="EF36">
        <v>0.7</v>
      </c>
      <c r="EG36">
        <v>100</v>
      </c>
      <c r="EH36">
        <f>96485*BL36*V36/EF36/EG36/60</f>
        <v>26.179277846009416</v>
      </c>
      <c r="EI36">
        <f>96485*BN36*BA36/EF36/EG36/60</f>
        <v>45.276652990189866</v>
      </c>
      <c r="EJ36">
        <f>EH36*('CAPEX+OPEX'!$O$25+'CAPEX+OPEX'!$O$26)</f>
        <v>834385.9435080121</v>
      </c>
      <c r="EK36">
        <f>EI36*('CAPEX+OPEX'!$O$25+'CAPEX+OPEX'!$O$26)</f>
        <v>1443057.4841033313</v>
      </c>
      <c r="EL36">
        <f>EJ36*1.12/0.6*'CAPEX+OPEX'!$G$116/'CAPEX+OPEX'!$G$115</f>
        <v>1837030.3015082346</v>
      </c>
      <c r="EM36">
        <f>EK36*1.12/0.6*'CAPEX+OPEX'!$G$116/'CAPEX+OPEX'!$G$115</f>
        <v>3177115.2735036481</v>
      </c>
      <c r="EN36">
        <f>EL36+EM36+DY36+EE36+1.15*(SUM(DF36:DM36)+SUM(CF36:CI36))</f>
        <v>15266049.800230149</v>
      </c>
      <c r="EO36">
        <f>EN36/15</f>
        <v>1017736.6533486766</v>
      </c>
      <c r="EP36">
        <f>('eLLE Bals'!CB36+'eLLE Bals'!CC36)*'Oxidant Feed Composition'!$N$29*60*7200</f>
        <v>7758654.5615245672</v>
      </c>
      <c r="EQ36" s="53">
        <f>('eLLE Bals'!BR36+'eLLE Bals'!BY36)*'Reagent cost'!$C$38*60*7200*0.5</f>
        <v>253350.31332396524</v>
      </c>
      <c r="ER36">
        <f>'TEA Revised Non EYZ'!DI36</f>
        <v>504921.59999999998</v>
      </c>
      <c r="ES36">
        <f>'TEA Revised Non EYZ'!DJ36</f>
        <v>76.099724782138892</v>
      </c>
      <c r="ET36">
        <f>'TEA Revised Non EYZ'!DK36</f>
        <v>860.80707439737489</v>
      </c>
      <c r="EU36">
        <f>1.2*SUM(EP36:ET36)</f>
        <v>10221436.057977255</v>
      </c>
      <c r="EV36">
        <f>'TEA Revised Non EYZ'!DM36</f>
        <v>0.70639694042110623</v>
      </c>
      <c r="EW36">
        <f>(BS36*CO36+BT36*CP36)/1000*('Oxidant Feed Composition'!$B$11*'Oxidant Feed Composition'!$O$20+'Oxidant Feed Composition'!$D$11*'Oxidant Feed Composition'!$O$21+'Oxidant Feed Composition'!$F$11*'Oxidant Feed Composition'!$O$27-'Oxidant Feed Composition'!$J$15*18.015)</f>
        <v>1.8162813729856897</v>
      </c>
      <c r="EX36">
        <f>(CZ36*BX36+DC36*BZ36)*368.34/1000</f>
        <v>0.10228288058533469</v>
      </c>
      <c r="EY36">
        <f>'TEA Revised Non EYZ'!DP36</f>
        <v>4.999938342565946E-2</v>
      </c>
      <c r="EZ36">
        <f>SUM(EV36:EX36)-EY36</f>
        <v>2.5749618105664713</v>
      </c>
      <c r="FA36">
        <f>EZ36*0.33*60*7200</f>
        <v>367086.55571435619</v>
      </c>
      <c r="FB36">
        <f>'TEA Revised Non EYZ'!DS36</f>
        <v>1.2</v>
      </c>
      <c r="FC36">
        <v>0.5</v>
      </c>
      <c r="FD36">
        <f>'TEA Revised Non EYZ'!DT36</f>
        <v>1406.0626301487753</v>
      </c>
      <c r="FE36">
        <f>'TEA Revised Non EYZ'!DU36</f>
        <v>706.20494429610153</v>
      </c>
      <c r="FF36">
        <f>'TEA Revised Non EYZ'!DV36</f>
        <v>0.7</v>
      </c>
      <c r="FG36">
        <f>'TEA Revised Non EYZ'!DW36</f>
        <v>35776.359048024235</v>
      </c>
      <c r="FH36">
        <f>'TEA Revised Non EYZ'!DX36</f>
        <v>29068.269280606211</v>
      </c>
      <c r="FI36">
        <f>'TEA Revised Non EYZ'!DY36</f>
        <v>12307.130138966339</v>
      </c>
      <c r="FJ36">
        <f>'TEA Revised Non EYZ'!DZ36</f>
        <v>6519.4301878820042</v>
      </c>
      <c r="FK36">
        <f>'TEA Revised Non EYZ'!EA36</f>
        <v>6563.8027407820491</v>
      </c>
      <c r="FL36">
        <f>'TEA Revised Non EYZ'!EB36</f>
        <v>850.38667871397934</v>
      </c>
      <c r="FM36">
        <f>'TEA Revised Non EYZ'!EC36</f>
        <v>38576.910326977413</v>
      </c>
      <c r="FN36">
        <f>'TEA Revised Non EYZ'!ED36</f>
        <v>34920.314559159349</v>
      </c>
      <c r="FO36">
        <f>'TEA Revised Non EYZ'!EE36</f>
        <v>14784.810599644079</v>
      </c>
      <c r="FP36">
        <f>'TEA Revised Non EYZ'!EF36</f>
        <v>7836.2761345947165</v>
      </c>
      <c r="FQ36">
        <f>'TEA Revised Non EYZ'!EG36</f>
        <v>7885.2323198101749</v>
      </c>
      <c r="FR36">
        <f>'TEA Revised Non EYZ'!EH36</f>
        <v>427.11275031028225</v>
      </c>
      <c r="FS36">
        <f>'TEA Revised Non EYZ'!EI36</f>
        <v>195516.03476547083</v>
      </c>
      <c r="FT36">
        <f>EG36*EH36</f>
        <v>2617.9277846009418</v>
      </c>
      <c r="FU36">
        <f>EG36*EI36</f>
        <v>4527.6652990189868</v>
      </c>
      <c r="FV36">
        <f>FC36*(FT36+FU36)/(3.6*10^6)*3600*7200*0.07</f>
        <v>1800.6894570722222</v>
      </c>
      <c r="FW36">
        <f>('CAPEX+OPEX'!$C$39/7/100+0.03)*EL36</f>
        <v>94475.844077566348</v>
      </c>
      <c r="FX36">
        <f>('CAPEX+OPEX'!$C$39/7/100+0.03)*EM36</f>
        <v>163394.49978018762</v>
      </c>
      <c r="FY36">
        <f>SUM(FV36:FX36)</f>
        <v>259671.0333148262</v>
      </c>
      <c r="FZ36">
        <f>FY36+FA36+FS36+EU36</f>
        <v>11043709.681771908</v>
      </c>
      <c r="GA36">
        <f>FZ36+EO36</f>
        <v>12061446.335120585</v>
      </c>
      <c r="GB36">
        <f>GA36/(BK36*60*7200)</f>
        <v>0.27920014664630982</v>
      </c>
      <c r="GC36">
        <f>'TEA Revised Non EYZ'!EM36/'TEA Revised Non EYZ'!EK36*GA36</f>
        <v>934.05961437755104</v>
      </c>
      <c r="GD36">
        <f>'TEA Revised Non EYZ'!EN36/'TEA Revised Non EYZ'!EK36*GA36</f>
        <v>1713.2579124526803</v>
      </c>
    </row>
    <row r="37" spans="1:186">
      <c r="A37">
        <f>'TEA Revised Non EYZ'!A37</f>
        <v>6</v>
      </c>
      <c r="B37">
        <f>'TEA Revised Non EYZ'!B37</f>
        <v>1.54143585092054E-3</v>
      </c>
      <c r="C37">
        <f>'TEA Revised Non EYZ'!C37</f>
        <v>1.54143585092054E-3</v>
      </c>
      <c r="D37">
        <f>'TEA Revised Non EYZ'!D37</f>
        <v>3.4254130020456501E-4</v>
      </c>
      <c r="E37">
        <f>'TEA Revised Non EYZ'!E37</f>
        <v>0</v>
      </c>
      <c r="F37">
        <f>'TEA Revised Non EYZ'!F37</f>
        <v>0</v>
      </c>
      <c r="G37">
        <f>'TEA Revised Non EYZ'!G37</f>
        <v>0</v>
      </c>
      <c r="H37">
        <f>'TEA Revised Non EYZ'!H37</f>
        <v>1.7693893431643E-5</v>
      </c>
      <c r="I37">
        <f>'TEA Revised Non EYZ'!I37</f>
        <v>3.7175600603836103E-8</v>
      </c>
      <c r="J37">
        <f>'TEA Revised Non EYZ'!J37</f>
        <v>3.36890310328726E-4</v>
      </c>
      <c r="K37">
        <f>'TEA Revised Non EYZ'!K37</f>
        <v>0.133710118829723</v>
      </c>
      <c r="L37">
        <f>'TEA Revised Non EYZ'!L37</f>
        <v>0.13525951632913</v>
      </c>
      <c r="M37">
        <f>'TEA Revised Non EYZ'!M37</f>
        <v>4.9588089642288804E-4</v>
      </c>
      <c r="N37">
        <f>'TEA Revised Non EYZ'!N37</f>
        <v>-1.72886878424538E-14</v>
      </c>
      <c r="O37">
        <f>'TEA Revised Non EYZ'!O37</f>
        <v>-1.05961268405396E-12</v>
      </c>
      <c r="P37">
        <f>'TEA Revised Non EYZ'!P37</f>
        <v>-9.6595637304880395E-18</v>
      </c>
      <c r="Q37">
        <f>'TEA Revised Non EYZ'!Q37</f>
        <v>0.11395861217105201</v>
      </c>
      <c r="R37">
        <f>'TEA Revised Non EYZ'!R37</f>
        <v>98.3502748800029</v>
      </c>
      <c r="S37">
        <f>'TEA Revised Non EYZ'!S37</f>
        <v>500</v>
      </c>
      <c r="T37">
        <f>'TEA Revised Non EYZ'!T37</f>
        <v>95</v>
      </c>
      <c r="U37">
        <f>'TEA Revised Non EYZ'!U37</f>
        <v>1</v>
      </c>
      <c r="V37">
        <f>'TEA Revised Non EYZ'!V37</f>
        <v>0.1</v>
      </c>
      <c r="W37">
        <f>'TEA Revised Non EYZ'!W37</f>
        <v>87.751156402202497</v>
      </c>
      <c r="X37" t="str">
        <f>'TEA Revised Non EYZ'!X37</f>
        <v>ddFc</v>
      </c>
      <c r="Y37">
        <f>'TEA Revised Non EYZ'!Y37</f>
        <v>1</v>
      </c>
      <c r="Z37">
        <f>'TEA Revised Non EYZ'!Z37</f>
        <v>0.28318429382522198</v>
      </c>
      <c r="AA37">
        <f>'TEA Revised Non EYZ'!AA37</f>
        <v>0.56945642916197003</v>
      </c>
      <c r="AB37">
        <f>'TEA Revised Non EYZ'!AB37</f>
        <v>3.7698628972227502E-3</v>
      </c>
      <c r="AC37">
        <f>'TEA Revised Non EYZ'!AC37</f>
        <v>1822.2107908876901</v>
      </c>
      <c r="AD37">
        <f>'TEA Revised Non EYZ'!AD37</f>
        <v>2662.6059073104898</v>
      </c>
      <c r="AE37">
        <f>'TEA Revised Non EYZ'!AE37</f>
        <v>2401.5030938442701</v>
      </c>
      <c r="AF37">
        <f>'TEA Revised Non EYZ'!AF37</f>
        <v>9</v>
      </c>
      <c r="AG37">
        <f>'TEA Revised Non EYZ'!AG37</f>
        <v>1.64951815726537E-3</v>
      </c>
      <c r="AH37">
        <f>'TEA Revised Non EYZ'!AH37</f>
        <v>1.6686323374819601E-3</v>
      </c>
      <c r="AI37">
        <f>'TEA Revised Non EYZ'!AI37</f>
        <v>6.1174468293775103E-6</v>
      </c>
      <c r="AJ37">
        <f>'TEA Revised Non EYZ'!AJ37</f>
        <v>0</v>
      </c>
      <c r="AK37">
        <f>'TEA Revised Non EYZ'!AK37</f>
        <v>0</v>
      </c>
      <c r="AL37">
        <f>'TEA Revised Non EYZ'!AL37</f>
        <v>0</v>
      </c>
      <c r="AM37">
        <f>'TEA Revised Non EYZ'!AM37</f>
        <v>1.6125422035540001E-3</v>
      </c>
      <c r="AN37">
        <f>'TEA Revised Non EYZ'!AN37</f>
        <v>7.8793462951453095E-5</v>
      </c>
      <c r="AO37">
        <f>'TEA Revised Non EYZ'!AO37</f>
        <v>6.0771793070157197E-6</v>
      </c>
      <c r="AP37">
        <f>'TEA Revised Non EYZ'!AP37</f>
        <v>1.7335688061823E-3</v>
      </c>
      <c r="AQ37">
        <f>'TEA Revised Non EYZ'!AQ37</f>
        <v>7.4537498106893293E-2</v>
      </c>
      <c r="AR37">
        <f>'TEA Revised Non EYZ'!AR37</f>
        <v>1.8878896596870901E-6</v>
      </c>
      <c r="AS37">
        <f>'TEA Revised Non EYZ'!AS37</f>
        <v>6.1243870218274895E-17</v>
      </c>
      <c r="AT37">
        <f>'TEA Revised Non EYZ'!AT37</f>
        <v>-7.9610797121265604E-15</v>
      </c>
      <c r="AU37">
        <f>'TEA Revised Non EYZ'!AU37</f>
        <v>8.7350272685599704E-22</v>
      </c>
      <c r="AV37">
        <f>'TEA Revised Non EYZ'!AV37</f>
        <v>0.19703012219574401</v>
      </c>
      <c r="AW37">
        <f>'TEA Revised Non EYZ'!AW37</f>
        <v>99.341759340376896</v>
      </c>
      <c r="AX37">
        <f>'TEA Revised Non EYZ'!AX37</f>
        <v>500</v>
      </c>
      <c r="AY37">
        <f>'TEA Revised Non EYZ'!AY37</f>
        <v>95</v>
      </c>
      <c r="AZ37">
        <f>'TEA Revised Non EYZ'!AZ37</f>
        <v>0.92374973309314701</v>
      </c>
      <c r="BA37">
        <f>'TEA Revised Non EYZ'!BA37</f>
        <v>0.1</v>
      </c>
      <c r="BB37">
        <f>'TEA Revised Non EYZ'!BB37</f>
        <v>46.883680667640498</v>
      </c>
      <c r="BC37" t="str">
        <f>'TEA Revised Non EYZ'!BC37</f>
        <v>coeFc</v>
      </c>
      <c r="BD37">
        <f>'TEA Revised Non EYZ'!BD37</f>
        <v>1</v>
      </c>
      <c r="BE37">
        <f>'TEA Revised Non EYZ'!BE37</f>
        <v>1.8775014999999999E-2</v>
      </c>
      <c r="BF37">
        <f>'TEA Revised Non EYZ'!BF37</f>
        <v>0.10492961100000001</v>
      </c>
      <c r="BG37">
        <f>'TEA Revised Non EYZ'!BG37</f>
        <v>1.814625E-3</v>
      </c>
      <c r="BH37">
        <f>'TEA Revised Non EYZ'!BH37</f>
        <v>285.1951444</v>
      </c>
      <c r="BI37">
        <f>'TEA Revised Non EYZ'!BI37</f>
        <v>2169.8944889999998</v>
      </c>
      <c r="BJ37">
        <f>'TEA Revised Non EYZ'!BJ37</f>
        <v>866.49409060000005</v>
      </c>
      <c r="BK37">
        <f>'TEA Revised Non EYZ'!BK37</f>
        <v>100</v>
      </c>
      <c r="BL37">
        <f>'TEA Revised Non EYZ'!BL37</f>
        <v>11.395861217105201</v>
      </c>
      <c r="BM37">
        <f>'TEA Revised Non EYZ'!BM37</f>
        <v>92.374973309314697</v>
      </c>
      <c r="BN37">
        <f>'TEA Revised Non EYZ'!BN37</f>
        <v>19.703012219574401</v>
      </c>
      <c r="BO37">
        <f>'TEA Revised Non EYZ'!BO37</f>
        <v>182.33377947368322</v>
      </c>
      <c r="BP37">
        <f>'TEA Revised Non EYZ'!BP37</f>
        <v>433.46626883063681</v>
      </c>
      <c r="BQ37">
        <f>'TEA Revised Non EYZ'!BQ37</f>
        <v>18.233377947368322</v>
      </c>
      <c r="BR37">
        <f>'TEA Revised Non EYZ'!BR37</f>
        <v>43.346626883063685</v>
      </c>
      <c r="BS37">
        <f>'eLLE Bals'!CF37</f>
        <v>6.8375167302631192</v>
      </c>
      <c r="BT37">
        <f>'eLLE Bals'!CG37</f>
        <v>11.82180733174464</v>
      </c>
      <c r="BU37">
        <f>BM37</f>
        <v>92.374973309314697</v>
      </c>
      <c r="BV37">
        <f>BU37*(AM37*2+AN37*2+AO37*3)</f>
        <v>0.31415831192991095</v>
      </c>
      <c r="BW37">
        <f>BN37*BA37*(AP37*2+AQ37*2+AR37*3)</f>
        <v>0.30056511181157125</v>
      </c>
      <c r="BX37">
        <f>BV37/(2*V37*BL37+BV37)</f>
        <v>0.12114086701430796</v>
      </c>
      <c r="BY37">
        <f>BU37*BX37</f>
        <v>11.190384357113938</v>
      </c>
      <c r="BZ37">
        <f>BW37/(2*BN37*BA37+BW37)</f>
        <v>7.086848323305367E-2</v>
      </c>
      <c r="CA37">
        <f>2*BN37*BA37/0.04</f>
        <v>98.515061097872007</v>
      </c>
      <c r="CB37">
        <f>(BS37+BL37)*2</f>
        <v>36.466755894736643</v>
      </c>
      <c r="CC37">
        <f>(BU37+BL37)*2</f>
        <v>207.54166905283981</v>
      </c>
      <c r="CD37">
        <f>(BT37+BN37)*2</f>
        <v>63.049639102638082</v>
      </c>
      <c r="CE37">
        <f>(CA37+BN37)*2</f>
        <v>236.43614663489282</v>
      </c>
      <c r="CF37">
        <f>'TEA Revised Non EYZ'!CB37</f>
        <v>2406.8058890526186</v>
      </c>
      <c r="CG37">
        <f>'TEA Revised Non EYZ'!CC37</f>
        <v>5721.7547485644063</v>
      </c>
      <c r="CH37">
        <f>'TEA Revised Non EYZ'!CD37</f>
        <v>2907.8673690603878</v>
      </c>
      <c r="CI37">
        <f>'TEA Revised Non EYZ'!CE37</f>
        <v>44132.402915519386</v>
      </c>
      <c r="CJ37">
        <f>BL37*V37</f>
        <v>1.1395861217105201</v>
      </c>
      <c r="CK37">
        <f>CJ37/2*1.2</f>
        <v>0.68375167302631201</v>
      </c>
      <c r="CL37">
        <f>'eLLE Bals'!CB37*'Oxidant Feed Composition'!$N$20</f>
        <v>3.7986204057017352E-2</v>
      </c>
      <c r="CM37">
        <f>'eLLE Bals'!CB37*'Oxidant Feed Composition'!$N$21</f>
        <v>1.8993102028508668</v>
      </c>
      <c r="CN37">
        <f>'eLLE Bals'!CB37*'Oxidant Feed Composition'!$N$22</f>
        <v>0.56979306085526005</v>
      </c>
      <c r="CO37">
        <f>CN37/CK37</f>
        <v>0.83333333333333337</v>
      </c>
      <c r="CP37">
        <f>CO37</f>
        <v>0.83333333333333337</v>
      </c>
      <c r="CQ37">
        <f>CL37/CO37</f>
        <v>4.5583444868420822E-2</v>
      </c>
      <c r="CR37">
        <f>CM37/CO37</f>
        <v>2.2791722434210402</v>
      </c>
      <c r="CS37">
        <f>BN37*BA37</f>
        <v>1.9703012219574401</v>
      </c>
      <c r="CT37">
        <f>CS37/2*1.2</f>
        <v>1.182180733174464</v>
      </c>
      <c r="CU37">
        <f>'eLLE Bals'!CC37*'Oxidant Feed Composition'!$N$20</f>
        <v>6.5676707398581363E-2</v>
      </c>
      <c r="CV37">
        <f>'eLLE Bals'!CC37*'Oxidant Feed Composition'!$N$21</f>
        <v>3.2838353699290672</v>
      </c>
      <c r="CW37">
        <f>'eLLE Bals'!CC37*'Oxidant Feed Composition'!$N$22</f>
        <v>0.98515061097872003</v>
      </c>
      <c r="CX37">
        <f>CU37/CP37</f>
        <v>7.8812048878297639E-2</v>
      </c>
      <c r="CY37">
        <f>CV37/CP37</f>
        <v>3.9406024439148806</v>
      </c>
      <c r="CZ37">
        <f>CJ37</f>
        <v>1.1395861217105201</v>
      </c>
      <c r="DA37">
        <f>'eLLE Bals'!BQ37</f>
        <v>2.2791722434210402</v>
      </c>
      <c r="DB37">
        <f>'eLLE Bals'!BU37</f>
        <v>5.9883570848289978</v>
      </c>
      <c r="DC37">
        <f>CS37</f>
        <v>1.9703012219574401</v>
      </c>
      <c r="DD37">
        <f>'eLLE Bals'!BX37</f>
        <v>3.9406024439148801</v>
      </c>
      <c r="DE37">
        <f>'eLLE Bals'!CA37</f>
        <v>21.891317181412226</v>
      </c>
      <c r="DF37">
        <f>2*2*(CJ37*'Reagent cost'!$C$36*122.44/1000*0.5+CK37*'Oxidant Feed Composition'!$N$26+CQ37*'Reagent cost'!$C$34+CR37*'Reagent cost'!$C$35)</f>
        <v>76.550884152580181</v>
      </c>
      <c r="DG37">
        <f>2*2*(CS37*'Reagent cost'!$C$36*122.44/1000*0.5+CT37*'Oxidant Feed Composition'!$N$26+CX37*'Reagent cost'!$C$34+CY37*'Reagent cost'!$C$35)</f>
        <v>132.35357794754268</v>
      </c>
      <c r="DH37">
        <f>(AF37+3)*2*(CZ37*'Reagent cost'!$C$38*0.5+DA37*'Reagent cost'!$C$39+DB37*'Reagent cost'!$C$36*122.44/1000)</f>
        <v>1306.8658180300599</v>
      </c>
      <c r="DI37">
        <f>3*2*(DC37*'Reagent cost'!$C$38*0.5+DD37*'Reagent cost'!$C$39+DE37*'Reagent cost'!$C$36*122.44/1000)</f>
        <v>1163.4581265644088</v>
      </c>
      <c r="DJ37">
        <f>7963.6*(CB37/1000)^0.6*1.7*('CAPEX+OPEX'!$G$116/'CAPEX+OPEX'!$G$115)</f>
        <v>2189.6727102460782</v>
      </c>
      <c r="DK37">
        <f>7963.6*(CC37/1000)^0.6*1.7*('CAPEX+OPEX'!$G$116/'CAPEX+OPEX'!$G$115)</f>
        <v>6215.9013146876341</v>
      </c>
      <c r="DL37">
        <f>7963.6*(CD37/1000)^0.6*1.7*('CAPEX+OPEX'!$G$116/'CAPEX+OPEX'!$G$115)</f>
        <v>3041.2385780576142</v>
      </c>
      <c r="DM37">
        <f>7963.6*(CE37/1000)^0.6*1.7*('CAPEX+OPEX'!$G$116/'CAPEX+OPEX'!$G$115)</f>
        <v>6721.5471818164979</v>
      </c>
      <c r="DN37">
        <f>'TEA Revised Non EYZ'!CM37</f>
        <v>39625.826528698344</v>
      </c>
      <c r="DO37">
        <f>'TEA Revised Non EYZ'!CN37</f>
        <v>4586243.4239371875</v>
      </c>
      <c r="DP37">
        <f>'TEA Revised Non EYZ'!CO37</f>
        <v>11794834.586807497</v>
      </c>
      <c r="DQ37">
        <f>'TEA Revised Non EYZ'!CP37</f>
        <v>2275209.1661185985</v>
      </c>
      <c r="DR37">
        <f>'TEA Revised Non EYZ'!CQ37</f>
        <v>14083914.336508472</v>
      </c>
      <c r="DS37">
        <f>'TEA Revised Non EYZ'!CR37</f>
        <v>1662824.8986326549</v>
      </c>
      <c r="DT37">
        <f>'TEA Revised Non EYZ'!CS37</f>
        <v>646135.89638675924</v>
      </c>
      <c r="DU37">
        <f>'TEA Revised Non EYZ'!CT37</f>
        <v>1661722.9645298459</v>
      </c>
      <c r="DV37">
        <f>'TEA Revised Non EYZ'!CU37</f>
        <v>320544.32748695416</v>
      </c>
      <c r="DW37">
        <f>'TEA Revised Non EYZ'!CV37</f>
        <v>1984221.4582325809</v>
      </c>
      <c r="DX37">
        <f>'TEA Revised Non EYZ'!CW37</f>
        <v>234268.17050410178</v>
      </c>
      <c r="DY37">
        <f>'TEA Revised Non EYZ'!CX37</f>
        <v>4846892.8171402421</v>
      </c>
      <c r="DZ37">
        <f>'TEA Revised Non EYZ'!CY37</f>
        <v>755899.67705977859</v>
      </c>
      <c r="EA37">
        <f>'TEA Revised Non EYZ'!CZ37</f>
        <v>1944011.8700649682</v>
      </c>
      <c r="EB37">
        <f>'TEA Revised Non EYZ'!DA37</f>
        <v>374997.51211113459</v>
      </c>
      <c r="EC37">
        <f>'TEA Revised Non EYZ'!DB37</f>
        <v>2321295.5167488609</v>
      </c>
      <c r="ED37">
        <f>'TEA Revised Non EYZ'!DC37</f>
        <v>274064.99997864</v>
      </c>
      <c r="EE37">
        <f>'TEA Revised Non EYZ'!DD37</f>
        <v>5670269.5759633826</v>
      </c>
      <c r="EF37">
        <v>0.7</v>
      </c>
      <c r="EG37">
        <v>100</v>
      </c>
      <c r="EH37">
        <f>96485*BL37*V37/EF37/EG37/60</f>
        <v>26.179277846009416</v>
      </c>
      <c r="EI37">
        <f>96485*BN37*BA37/EF37/EG37/60</f>
        <v>45.262979381086573</v>
      </c>
      <c r="EJ37">
        <f>EH37*('CAPEX+OPEX'!$O$25+'CAPEX+OPEX'!$O$26)</f>
        <v>834385.9435080121</v>
      </c>
      <c r="EK37">
        <f>EI37*('CAPEX+OPEX'!$O$25+'CAPEX+OPEX'!$O$26)</f>
        <v>1442621.6788339913</v>
      </c>
      <c r="EL37">
        <f>EJ37*1.12/0.6*'CAPEX+OPEX'!$G$116/'CAPEX+OPEX'!$G$115</f>
        <v>1837030.3015082346</v>
      </c>
      <c r="EM37">
        <f>EK37*1.12/0.6*'CAPEX+OPEX'!$G$116/'CAPEX+OPEX'!$G$115</f>
        <v>3176155.78048778</v>
      </c>
      <c r="EN37">
        <f>EL37+EM37+DY37+EE37+1.15*(SUM(DF37:DM37)+SUM(CF37:CI37))</f>
        <v>15617767.357080393</v>
      </c>
      <c r="EO37">
        <f>EN37/15</f>
        <v>1041184.4904720262</v>
      </c>
      <c r="EP37">
        <f>('eLLE Bals'!CB37+'eLLE Bals'!CC37)*'Oxidant Feed Composition'!$N$29*60*7200</f>
        <v>7757169.8868670501</v>
      </c>
      <c r="EQ37" s="53">
        <f>('eLLE Bals'!BR37+'eLLE Bals'!BY37)*'Reagent cost'!$C$38*60*7200*0.5</f>
        <v>253347.26367374306</v>
      </c>
      <c r="ER37">
        <f>'TEA Revised Non EYZ'!DI37</f>
        <v>504921.59999999998</v>
      </c>
      <c r="ES37">
        <f>'TEA Revised Non EYZ'!DJ37</f>
        <v>81.28560637617025</v>
      </c>
      <c r="ET37">
        <f>'TEA Revised Non EYZ'!DK37</f>
        <v>940.80540569159552</v>
      </c>
      <c r="EU37">
        <f>1.2*SUM(EP37:ET37)</f>
        <v>10219753.009863432</v>
      </c>
      <c r="EV37">
        <f>'TEA Revised Non EYZ'!DM37</f>
        <v>0.70639694042110623</v>
      </c>
      <c r="EW37">
        <f>(BS37*CO37+BT37*CP37)/1000*('Oxidant Feed Composition'!$B$11*'Oxidant Feed Composition'!$O$20+'Oxidant Feed Composition'!$D$11*'Oxidant Feed Composition'!$O$21+'Oxidant Feed Composition'!$F$11*'Oxidant Feed Composition'!$O$27-'Oxidant Feed Composition'!$J$15*18.015)</f>
        <v>1.8159338144104229</v>
      </c>
      <c r="EX37">
        <f>(CZ37*BX37+DC37*BZ37)*368.34/1000</f>
        <v>0.10228164937703101</v>
      </c>
      <c r="EY37">
        <f>'TEA Revised Non EYZ'!DP37</f>
        <v>4.999938342565946E-2</v>
      </c>
      <c r="EZ37">
        <f>SUM(EV37:EX37)-EY37</f>
        <v>2.5746130207829006</v>
      </c>
      <c r="FA37">
        <f>EZ37*0.33*60*7200</f>
        <v>367036.83224281034</v>
      </c>
      <c r="FB37">
        <f>'TEA Revised Non EYZ'!DS37</f>
        <v>1.2</v>
      </c>
      <c r="FC37">
        <v>0.5</v>
      </c>
      <c r="FD37">
        <f>'TEA Revised Non EYZ'!DT37</f>
        <v>1406.097494568138</v>
      </c>
      <c r="FE37">
        <f>'TEA Revised Non EYZ'!DU37</f>
        <v>706.1700790912098</v>
      </c>
      <c r="FF37">
        <f>'TEA Revised Non EYZ'!DV37</f>
        <v>0.7</v>
      </c>
      <c r="FG37">
        <f>'TEA Revised Non EYZ'!DW37</f>
        <v>35776.359048024235</v>
      </c>
      <c r="FH37">
        <f>'TEA Revised Non EYZ'!DX37</f>
        <v>29068.269280606211</v>
      </c>
      <c r="FI37">
        <f>'TEA Revised Non EYZ'!DY37</f>
        <v>12307.130138966339</v>
      </c>
      <c r="FJ37">
        <f>'TEA Revised Non EYZ'!DZ37</f>
        <v>6519.4301878820042</v>
      </c>
      <c r="FK37">
        <f>'TEA Revised Non EYZ'!EA37</f>
        <v>6563.8027407820491</v>
      </c>
      <c r="FL37">
        <f>'TEA Revised Non EYZ'!EB37</f>
        <v>850.4077647148099</v>
      </c>
      <c r="FM37">
        <f>'TEA Revised Non EYZ'!EC37</f>
        <v>41148.704348775907</v>
      </c>
      <c r="FN37">
        <f>'TEA Revised Non EYZ'!ED37</f>
        <v>38800.349510177053</v>
      </c>
      <c r="FO37">
        <f>'TEA Revised Non EYZ'!EE37</f>
        <v>16427.567332937866</v>
      </c>
      <c r="FP37">
        <f>'TEA Revised Non EYZ'!EF37</f>
        <v>8706.9734828830187</v>
      </c>
      <c r="FQ37">
        <f>'TEA Revised Non EYZ'!EG37</f>
        <v>8761.3692442335268</v>
      </c>
      <c r="FR37">
        <f>'TEA Revised Non EYZ'!EH37</f>
        <v>427.09166383436366</v>
      </c>
      <c r="FS37">
        <f>'TEA Revised Non EYZ'!EI37</f>
        <v>205357.45474381739</v>
      </c>
      <c r="FT37">
        <f>EG37*EH37</f>
        <v>2617.9277846009418</v>
      </c>
      <c r="FU37">
        <f>EG37*EI37</f>
        <v>4526.297938108657</v>
      </c>
      <c r="FV37">
        <f>FC37*(FT37+FU37)/(3.6*10^6)*3600*7200*0.07</f>
        <v>1800.3448821228192</v>
      </c>
      <c r="FW37">
        <f>('CAPEX+OPEX'!$C$39/7/100+0.03)*EL37</f>
        <v>94475.844077566348</v>
      </c>
      <c r="FX37">
        <f>('CAPEX+OPEX'!$C$39/7/100+0.03)*EM37</f>
        <v>163345.15442508581</v>
      </c>
      <c r="FY37">
        <f>SUM(FV37:FX37)</f>
        <v>259621.34338477498</v>
      </c>
      <c r="FZ37">
        <f>FY37+FA37+FS37+EU37</f>
        <v>11051768.640234835</v>
      </c>
      <c r="GA37">
        <f>FZ37+EO37</f>
        <v>12092953.130706862</v>
      </c>
      <c r="GB37">
        <f>GA37/(BK37*60*7200)</f>
        <v>0.27992947061821438</v>
      </c>
      <c r="GC37">
        <f>'TEA Revised Non EYZ'!EM37/'TEA Revised Non EYZ'!EK37*GA37</f>
        <v>936.47631885656392</v>
      </c>
      <c r="GD37">
        <f>'TEA Revised Non EYZ'!EN37/'TEA Revised Non EYZ'!EK37*GA37</f>
        <v>1717.8114530383675</v>
      </c>
    </row>
    <row r="38" spans="1:186">
      <c r="A38">
        <f>'TEA Revised Non EYZ'!A38</f>
        <v>6</v>
      </c>
      <c r="B38">
        <f>'TEA Revised Non EYZ'!B38</f>
        <v>1.54143585092054E-3</v>
      </c>
      <c r="C38">
        <f>'TEA Revised Non EYZ'!C38</f>
        <v>1.54143585092054E-3</v>
      </c>
      <c r="D38">
        <f>'TEA Revised Non EYZ'!D38</f>
        <v>3.4254130020456501E-4</v>
      </c>
      <c r="E38">
        <f>'TEA Revised Non EYZ'!E38</f>
        <v>0</v>
      </c>
      <c r="F38">
        <f>'TEA Revised Non EYZ'!F38</f>
        <v>0</v>
      </c>
      <c r="G38">
        <f>'TEA Revised Non EYZ'!G38</f>
        <v>0</v>
      </c>
      <c r="H38">
        <f>'TEA Revised Non EYZ'!H38</f>
        <v>1.7693893431643E-5</v>
      </c>
      <c r="I38">
        <f>'TEA Revised Non EYZ'!I38</f>
        <v>3.7175600603836103E-8</v>
      </c>
      <c r="J38">
        <f>'TEA Revised Non EYZ'!J38</f>
        <v>3.36890310328726E-4</v>
      </c>
      <c r="K38">
        <f>'TEA Revised Non EYZ'!K38</f>
        <v>0.133710118829723</v>
      </c>
      <c r="L38">
        <f>'TEA Revised Non EYZ'!L38</f>
        <v>0.13525951632913</v>
      </c>
      <c r="M38">
        <f>'TEA Revised Non EYZ'!M38</f>
        <v>4.9588089642288804E-4</v>
      </c>
      <c r="N38">
        <f>'TEA Revised Non EYZ'!N38</f>
        <v>-1.72886878424538E-14</v>
      </c>
      <c r="O38">
        <f>'TEA Revised Non EYZ'!O38</f>
        <v>-1.05961268405396E-12</v>
      </c>
      <c r="P38">
        <f>'TEA Revised Non EYZ'!P38</f>
        <v>-9.6595637304880395E-18</v>
      </c>
      <c r="Q38">
        <f>'TEA Revised Non EYZ'!Q38</f>
        <v>0.11395861217105201</v>
      </c>
      <c r="R38">
        <f>'TEA Revised Non EYZ'!R38</f>
        <v>98.3502748800029</v>
      </c>
      <c r="S38">
        <f>'TEA Revised Non EYZ'!S38</f>
        <v>500</v>
      </c>
      <c r="T38">
        <f>'TEA Revised Non EYZ'!T38</f>
        <v>95</v>
      </c>
      <c r="U38">
        <f>'TEA Revised Non EYZ'!U38</f>
        <v>1</v>
      </c>
      <c r="V38">
        <f>'TEA Revised Non EYZ'!V38</f>
        <v>0.1</v>
      </c>
      <c r="W38">
        <f>'TEA Revised Non EYZ'!W38</f>
        <v>87.751156402202497</v>
      </c>
      <c r="X38" t="str">
        <f>'TEA Revised Non EYZ'!X38</f>
        <v>ddFc</v>
      </c>
      <c r="Y38">
        <f>'TEA Revised Non EYZ'!Y38</f>
        <v>1</v>
      </c>
      <c r="Z38">
        <f>'TEA Revised Non EYZ'!Z38</f>
        <v>0.28318429382522198</v>
      </c>
      <c r="AA38">
        <f>'TEA Revised Non EYZ'!AA38</f>
        <v>0.56945642916197003</v>
      </c>
      <c r="AB38">
        <f>'TEA Revised Non EYZ'!AB38</f>
        <v>3.7698628972227502E-3</v>
      </c>
      <c r="AC38">
        <f>'TEA Revised Non EYZ'!AC38</f>
        <v>1822.2107908876901</v>
      </c>
      <c r="AD38">
        <f>'TEA Revised Non EYZ'!AD38</f>
        <v>2662.6059073104898</v>
      </c>
      <c r="AE38">
        <f>'TEA Revised Non EYZ'!AE38</f>
        <v>2401.5030938442701</v>
      </c>
      <c r="AF38">
        <f>'TEA Revised Non EYZ'!AF38</f>
        <v>10</v>
      </c>
      <c r="AG38">
        <f>'TEA Revised Non EYZ'!AG38</f>
        <v>1.64951815726537E-3</v>
      </c>
      <c r="AH38">
        <f>'TEA Revised Non EYZ'!AH38</f>
        <v>1.6686323374819601E-3</v>
      </c>
      <c r="AI38">
        <f>'TEA Revised Non EYZ'!AI38</f>
        <v>6.1174468293775103E-6</v>
      </c>
      <c r="AJ38">
        <f>'TEA Revised Non EYZ'!AJ38</f>
        <v>0</v>
      </c>
      <c r="AK38">
        <f>'TEA Revised Non EYZ'!AK38</f>
        <v>0</v>
      </c>
      <c r="AL38">
        <f>'TEA Revised Non EYZ'!AL38</f>
        <v>0</v>
      </c>
      <c r="AM38">
        <f>'TEA Revised Non EYZ'!AM38</f>
        <v>1.61255347742774E-3</v>
      </c>
      <c r="AN38">
        <f>'TEA Revised Non EYZ'!AN38</f>
        <v>7.8794044578505199E-5</v>
      </c>
      <c r="AO38">
        <f>'TEA Revised Non EYZ'!AO38</f>
        <v>6.07719107473002E-6</v>
      </c>
      <c r="AP38">
        <f>'TEA Revised Non EYZ'!AP38</f>
        <v>1.7331877781333199E-3</v>
      </c>
      <c r="AQ38">
        <f>'TEA Revised Non EYZ'!AQ38</f>
        <v>7.4543816233418506E-2</v>
      </c>
      <c r="AR38">
        <f>'TEA Revised Non EYZ'!AR38</f>
        <v>1.88749861433376E-6</v>
      </c>
      <c r="AS38">
        <f>'TEA Revised Non EYZ'!AS38</f>
        <v>9.0192949137902997E-15</v>
      </c>
      <c r="AT38">
        <f>'TEA Revised Non EYZ'!AT38</f>
        <v>-9.3119934506391495E-13</v>
      </c>
      <c r="AU38">
        <f>'TEA Revised Non EYZ'!AU38</f>
        <v>9.0473706678599895E-20</v>
      </c>
      <c r="AV38">
        <f>'TEA Revised Non EYZ'!AV38</f>
        <v>0.19701335051902499</v>
      </c>
      <c r="AW38">
        <f>'TEA Revised Non EYZ'!AW38</f>
        <v>99.341951703541199</v>
      </c>
      <c r="AX38">
        <f>'TEA Revised Non EYZ'!AX38</f>
        <v>500</v>
      </c>
      <c r="AY38">
        <f>'TEA Revised Non EYZ'!AY38</f>
        <v>95</v>
      </c>
      <c r="AZ38">
        <f>'TEA Revised Non EYZ'!AZ38</f>
        <v>0.92374973309314701</v>
      </c>
      <c r="BA38">
        <f>'TEA Revised Non EYZ'!BA38</f>
        <v>0.1</v>
      </c>
      <c r="BB38">
        <f>'TEA Revised Non EYZ'!BB38</f>
        <v>46.887671858762701</v>
      </c>
      <c r="BC38" t="str">
        <f>'TEA Revised Non EYZ'!BC38</f>
        <v>coeFc</v>
      </c>
      <c r="BD38">
        <f>'TEA Revised Non EYZ'!BD38</f>
        <v>1</v>
      </c>
      <c r="BE38">
        <f>'TEA Revised Non EYZ'!BE38</f>
        <v>1.8775014999999999E-2</v>
      </c>
      <c r="BF38">
        <f>'TEA Revised Non EYZ'!BF38</f>
        <v>0.10492961100000001</v>
      </c>
      <c r="BG38">
        <f>'TEA Revised Non EYZ'!BG38</f>
        <v>1.814625E-3</v>
      </c>
      <c r="BH38">
        <f>'TEA Revised Non EYZ'!BH38</f>
        <v>285.1951444</v>
      </c>
      <c r="BI38">
        <f>'TEA Revised Non EYZ'!BI38</f>
        <v>2169.8944889999998</v>
      </c>
      <c r="BJ38">
        <f>'TEA Revised Non EYZ'!BJ38</f>
        <v>866.49409060000005</v>
      </c>
      <c r="BK38">
        <f>'TEA Revised Non EYZ'!BK38</f>
        <v>100</v>
      </c>
      <c r="BL38">
        <f>'TEA Revised Non EYZ'!BL38</f>
        <v>11.395861217105201</v>
      </c>
      <c r="BM38">
        <f>'TEA Revised Non EYZ'!BM38</f>
        <v>92.374973309314697</v>
      </c>
      <c r="BN38">
        <f>'TEA Revised Non EYZ'!BN38</f>
        <v>19.7013350519025</v>
      </c>
      <c r="BO38">
        <f>'TEA Revised Non EYZ'!BO38</f>
        <v>182.33377947368322</v>
      </c>
      <c r="BP38">
        <f>'TEA Revised Non EYZ'!BP38</f>
        <v>472.83204124565998</v>
      </c>
      <c r="BQ38">
        <f>'TEA Revised Non EYZ'!BQ38</f>
        <v>18.233377947368322</v>
      </c>
      <c r="BR38">
        <f>'TEA Revised Non EYZ'!BR38</f>
        <v>47.283204124565998</v>
      </c>
      <c r="BS38">
        <f>'eLLE Bals'!CF38</f>
        <v>6.8375167302631192</v>
      </c>
      <c r="BT38">
        <f>'eLLE Bals'!CG38</f>
        <v>11.820801031141499</v>
      </c>
      <c r="BU38">
        <f>BM38</f>
        <v>92.374973309314697</v>
      </c>
      <c r="BV38">
        <f>BU38*(AM38*2+AN38*2+AO38*3)</f>
        <v>0.31416050549417629</v>
      </c>
      <c r="BW38">
        <f>BN38*BA38*(AP38*2+AQ38*2+AR38*3)</f>
        <v>0.30056291843016203</v>
      </c>
      <c r="BX38">
        <f>BV38/(2*V38*BL38+BV38)</f>
        <v>0.12114161039519079</v>
      </c>
      <c r="BY38">
        <f>BU38*BX38</f>
        <v>11.19045302690315</v>
      </c>
      <c r="BZ38">
        <f>BW38/(2*BN38*BA38+BW38)</f>
        <v>7.0873608108697403E-2</v>
      </c>
      <c r="CA38">
        <f>2*BN38*BA38/0.04</f>
        <v>98.506675259512505</v>
      </c>
      <c r="CB38">
        <f>(BS38+BL38)*2</f>
        <v>36.466755894736643</v>
      </c>
      <c r="CC38">
        <f>(BU38+BL38)*2</f>
        <v>207.54166905283981</v>
      </c>
      <c r="CD38">
        <f>(BT38+BN38)*2</f>
        <v>63.044272166088</v>
      </c>
      <c r="CE38">
        <f>(CA38+BN38)*2</f>
        <v>236.41602062283002</v>
      </c>
      <c r="CF38">
        <f>'TEA Revised Non EYZ'!CB38</f>
        <v>2406.8058890526186</v>
      </c>
      <c r="CG38">
        <f>'TEA Revised Non EYZ'!CC38</f>
        <v>6241.382944442712</v>
      </c>
      <c r="CH38">
        <f>'TEA Revised Non EYZ'!CD38</f>
        <v>2907.8673690603878</v>
      </c>
      <c r="CI38">
        <f>'TEA Revised Non EYZ'!CE38</f>
        <v>48140.341374000076</v>
      </c>
      <c r="CJ38">
        <f>BL38*V38</f>
        <v>1.1395861217105201</v>
      </c>
      <c r="CK38">
        <f>CJ38/2*1.2</f>
        <v>0.68375167302631201</v>
      </c>
      <c r="CL38">
        <f>'eLLE Bals'!CB38*'Oxidant Feed Composition'!$N$20</f>
        <v>3.7986204057017352E-2</v>
      </c>
      <c r="CM38">
        <f>'eLLE Bals'!CB38*'Oxidant Feed Composition'!$N$21</f>
        <v>1.8993102028508668</v>
      </c>
      <c r="CN38">
        <f>'eLLE Bals'!CB38*'Oxidant Feed Composition'!$N$22</f>
        <v>0.56979306085526005</v>
      </c>
      <c r="CO38">
        <f>CN38/CK38</f>
        <v>0.83333333333333337</v>
      </c>
      <c r="CP38">
        <f>CO38</f>
        <v>0.83333333333333337</v>
      </c>
      <c r="CQ38">
        <f>CL38/CO38</f>
        <v>4.5583444868420822E-2</v>
      </c>
      <c r="CR38">
        <f>CM38/CO38</f>
        <v>2.2791722434210402</v>
      </c>
      <c r="CS38">
        <f>BN38*BA38</f>
        <v>1.9701335051902502</v>
      </c>
      <c r="CT38">
        <f>CS38/2*1.2</f>
        <v>1.1820801031141501</v>
      </c>
      <c r="CU38">
        <f>'eLLE Bals'!CC38*'Oxidant Feed Composition'!$N$20</f>
        <v>6.5671116839675026E-2</v>
      </c>
      <c r="CV38">
        <f>'eLLE Bals'!CC38*'Oxidant Feed Composition'!$N$21</f>
        <v>3.2835558419837505</v>
      </c>
      <c r="CW38">
        <f>'eLLE Bals'!CC38*'Oxidant Feed Composition'!$N$22</f>
        <v>0.98506675259512511</v>
      </c>
      <c r="CX38">
        <f>CU38/CP38</f>
        <v>7.8805340207610028E-2</v>
      </c>
      <c r="CY38">
        <f>CV38/CP38</f>
        <v>3.9402670103805004</v>
      </c>
      <c r="CZ38">
        <f>CJ38</f>
        <v>1.1395861217105201</v>
      </c>
      <c r="DA38">
        <f>'eLLE Bals'!BQ38</f>
        <v>2.2791722434210402</v>
      </c>
      <c r="DB38">
        <f>'eLLE Bals'!BU38</f>
        <v>5.9882993597495586</v>
      </c>
      <c r="DC38">
        <f>CS38</f>
        <v>1.9701335051902502</v>
      </c>
      <c r="DD38">
        <f>'eLLE Bals'!BX38</f>
        <v>3.9402670103805004</v>
      </c>
      <c r="DE38">
        <f>'eLLE Bals'!CA38</f>
        <v>21.887443530533087</v>
      </c>
      <c r="DF38">
        <f>2*2*(CJ38*'Reagent cost'!$C$36*122.44/1000*0.5+CK38*'Oxidant Feed Composition'!$N$26+CQ38*'Reagent cost'!$C$34+CR38*'Reagent cost'!$C$35)</f>
        <v>76.550884152580181</v>
      </c>
      <c r="DG38">
        <f>2*2*(CS38*'Reagent cost'!$C$36*122.44/1000*0.5+CT38*'Oxidant Feed Composition'!$N$26+CX38*'Reagent cost'!$C$34+CY38*'Reagent cost'!$C$35)</f>
        <v>132.34231169344304</v>
      </c>
      <c r="DH38">
        <f>(AF38+3)*2*(CZ38*'Reagent cost'!$C$38*0.5+DA38*'Reagent cost'!$C$39+DB38*'Reagent cost'!$C$36*122.44/1000)</f>
        <v>1415.7583254291333</v>
      </c>
      <c r="DI38">
        <f>3*2*(DC38*'Reagent cost'!$C$38*0.5+DD38*'Reagent cost'!$C$39+DE38*'Reagent cost'!$C$36*122.44/1000)</f>
        <v>1163.2547999951848</v>
      </c>
      <c r="DJ38">
        <f>7963.6*(CB38/1000)^0.6*1.7*('CAPEX+OPEX'!$G$116/'CAPEX+OPEX'!$G$115)</f>
        <v>2189.6727102460782</v>
      </c>
      <c r="DK38">
        <f>7963.6*(CC38/1000)^0.6*1.7*('CAPEX+OPEX'!$G$116/'CAPEX+OPEX'!$G$115)</f>
        <v>6215.9013146876341</v>
      </c>
      <c r="DL38">
        <f>7963.6*(CD38/1000)^0.6*1.7*('CAPEX+OPEX'!$G$116/'CAPEX+OPEX'!$G$115)</f>
        <v>3041.0832488985457</v>
      </c>
      <c r="DM38">
        <f>7963.6*(CE38/1000)^0.6*1.7*('CAPEX+OPEX'!$G$116/'CAPEX+OPEX'!$G$115)</f>
        <v>6721.2038834383548</v>
      </c>
      <c r="DN38">
        <f>'TEA Revised Non EYZ'!CM38</f>
        <v>39625.826528698344</v>
      </c>
      <c r="DO38">
        <f>'TEA Revised Non EYZ'!CN38</f>
        <v>4586243.4239371875</v>
      </c>
      <c r="DP38">
        <f>'TEA Revised Non EYZ'!CO38</f>
        <v>11794834.586807497</v>
      </c>
      <c r="DQ38">
        <f>'TEA Revised Non EYZ'!CP38</f>
        <v>2275209.1661185985</v>
      </c>
      <c r="DR38">
        <f>'TEA Revised Non EYZ'!CQ38</f>
        <v>14083914.336508472</v>
      </c>
      <c r="DS38">
        <f>'TEA Revised Non EYZ'!CR38</f>
        <v>1662824.8986326549</v>
      </c>
      <c r="DT38">
        <f>'TEA Revised Non EYZ'!CS38</f>
        <v>646135.89638675924</v>
      </c>
      <c r="DU38">
        <f>'TEA Revised Non EYZ'!CT38</f>
        <v>1661722.9645298459</v>
      </c>
      <c r="DV38">
        <f>'TEA Revised Non EYZ'!CU38</f>
        <v>320544.32748695416</v>
      </c>
      <c r="DW38">
        <f>'TEA Revised Non EYZ'!CV38</f>
        <v>1984221.4582325809</v>
      </c>
      <c r="DX38">
        <f>'TEA Revised Non EYZ'!CW38</f>
        <v>234268.17050410178</v>
      </c>
      <c r="DY38">
        <f>'TEA Revised Non EYZ'!CX38</f>
        <v>4846892.8171402421</v>
      </c>
      <c r="DZ38">
        <f>'TEA Revised Non EYZ'!CY38</f>
        <v>800386.52957740228</v>
      </c>
      <c r="EA38">
        <f>'TEA Revised Non EYZ'!CZ38</f>
        <v>2058422.5147321052</v>
      </c>
      <c r="EB38">
        <f>'TEA Revised Non EYZ'!DA38</f>
        <v>397067.18553744635</v>
      </c>
      <c r="EC38">
        <f>'TEA Revised Non EYZ'!DB38</f>
        <v>2457910.3803840801</v>
      </c>
      <c r="ED38">
        <f>'TEA Revised Non EYZ'!DC38</f>
        <v>290194.50711339182</v>
      </c>
      <c r="EE38">
        <f>'TEA Revised Non EYZ'!DD38</f>
        <v>6003981.117344426</v>
      </c>
      <c r="EF38">
        <v>0.7</v>
      </c>
      <c r="EG38">
        <v>100</v>
      </c>
      <c r="EH38">
        <f>96485*BL38*V38/EF38/EG38/60</f>
        <v>26.179277846009416</v>
      </c>
      <c r="EI38">
        <f>96485*BN38*BA38/EF38/EG38/60</f>
        <v>45.259126487686025</v>
      </c>
      <c r="EJ38">
        <f>EH38*('CAPEX+OPEX'!$O$25+'CAPEX+OPEX'!$O$26)</f>
        <v>834385.9435080121</v>
      </c>
      <c r="EK38">
        <f>EI38*('CAPEX+OPEX'!$O$25+'CAPEX+OPEX'!$O$26)</f>
        <v>1442498.8794155291</v>
      </c>
      <c r="EL38">
        <f>EJ38*1.12/0.6*'CAPEX+OPEX'!$G$116/'CAPEX+OPEX'!$G$115</f>
        <v>1837030.3015082346</v>
      </c>
      <c r="EM38">
        <f>EK38*1.12/0.6*'CAPEX+OPEX'!$G$116/'CAPEX+OPEX'!$G$115</f>
        <v>3175885.4184874641</v>
      </c>
      <c r="EN38">
        <f>EL38+EM38+DY38+EE38+1.15*(SUM(DF38:DM38)+SUM(CF38:CI38))</f>
        <v>15956539.644293727</v>
      </c>
      <c r="EO38">
        <f>EN38/15</f>
        <v>1063769.3096195818</v>
      </c>
      <c r="EP38">
        <f>('eLLE Bals'!CB38+'eLLE Bals'!CC38)*'Oxidant Feed Composition'!$N$29*60*7200</f>
        <v>7756751.5413412498</v>
      </c>
      <c r="EQ38" s="53">
        <f>('eLLE Bals'!BR38+'eLLE Bals'!BY38)*'Reagent cost'!$C$38*60*7200*0.5</f>
        <v>253346.4042309619</v>
      </c>
      <c r="ER38">
        <f>'TEA Revised Non EYZ'!DI38</f>
        <v>504921.59999999998</v>
      </c>
      <c r="ES38">
        <f>'TEA Revised Non EYZ'!DJ38</f>
        <v>86.481888334953311</v>
      </c>
      <c r="ET38">
        <f>'TEA Revised Non EYZ'!DK38</f>
        <v>1020.9641748612094</v>
      </c>
      <c r="EU38">
        <f>1.2*SUM(EP38:ET38)</f>
        <v>10219352.389962489</v>
      </c>
      <c r="EV38">
        <f>'TEA Revised Non EYZ'!DM38</f>
        <v>0.70639694042110623</v>
      </c>
      <c r="EW38">
        <f>(BS38*CO38+BT38*CP38)/1000*('Oxidant Feed Composition'!$B$11*'Oxidant Feed Composition'!$O$20+'Oxidant Feed Composition'!$D$11*'Oxidant Feed Composition'!$O$21+'Oxidant Feed Composition'!$F$11*'Oxidant Feed Composition'!$O$27-'Oxidant Feed Composition'!$J$15*18.015)</f>
        <v>1.8158358807828898</v>
      </c>
      <c r="EX38">
        <f>(CZ38*BX38+DC38*BZ38)*368.34/1000</f>
        <v>0.10228130240180054</v>
      </c>
      <c r="EY38">
        <f>'TEA Revised Non EYZ'!DP38</f>
        <v>4.999938342565946E-2</v>
      </c>
      <c r="EZ38">
        <f>SUM(EV38:EX38)-EY38</f>
        <v>2.5745147401801374</v>
      </c>
      <c r="FA38">
        <f>EZ38*0.33*60*7200</f>
        <v>367022.82136008039</v>
      </c>
      <c r="FB38">
        <f>'TEA Revised Non EYZ'!DS38</f>
        <v>1.2</v>
      </c>
      <c r="FC38">
        <v>0.5</v>
      </c>
      <c r="FD38">
        <f>'TEA Revised Non EYZ'!DT38</f>
        <v>1406.1073186061401</v>
      </c>
      <c r="FE38">
        <f>'TEA Revised Non EYZ'!DU38</f>
        <v>706.16025546916046</v>
      </c>
      <c r="FF38">
        <f>'TEA Revised Non EYZ'!DV38</f>
        <v>0.7</v>
      </c>
      <c r="FG38">
        <f>'TEA Revised Non EYZ'!DW38</f>
        <v>35776.359048024235</v>
      </c>
      <c r="FH38">
        <f>'TEA Revised Non EYZ'!DX38</f>
        <v>29068.269280606211</v>
      </c>
      <c r="FI38">
        <f>'TEA Revised Non EYZ'!DY38</f>
        <v>12307.130138966339</v>
      </c>
      <c r="FJ38">
        <f>'TEA Revised Non EYZ'!DZ38</f>
        <v>6519.4301878820042</v>
      </c>
      <c r="FK38">
        <f>'TEA Revised Non EYZ'!EA38</f>
        <v>6563.8027407820491</v>
      </c>
      <c r="FL38">
        <f>'TEA Revised Non EYZ'!EB38</f>
        <v>850.41370629299365</v>
      </c>
      <c r="FM38">
        <f>'TEA Revised Non EYZ'!EC38</f>
        <v>43720.498370574402</v>
      </c>
      <c r="FN38">
        <f>'TEA Revised Non EYZ'!ED38</f>
        <v>42680.384461194757</v>
      </c>
      <c r="FO38">
        <f>'TEA Revised Non EYZ'!EE38</f>
        <v>18070.324066231653</v>
      </c>
      <c r="FP38">
        <f>'TEA Revised Non EYZ'!EF38</f>
        <v>9577.6708311713192</v>
      </c>
      <c r="FQ38">
        <f>'TEA Revised Non EYZ'!EG38</f>
        <v>9637.5061686568788</v>
      </c>
      <c r="FR38">
        <f>'TEA Revised Non EYZ'!EH38</f>
        <v>427.0857225077483</v>
      </c>
      <c r="FS38">
        <f>'TEA Revised Non EYZ'!EI38</f>
        <v>215198.87472289061</v>
      </c>
      <c r="FT38">
        <f>EG38*EH38</f>
        <v>2617.9277846009418</v>
      </c>
      <c r="FU38">
        <f>EG38*EI38</f>
        <v>4525.9126487686026</v>
      </c>
      <c r="FV38">
        <f>FC38*(FT38+FU38)/(3.6*10^6)*3600*7200*0.07</f>
        <v>1800.2477892091254</v>
      </c>
      <c r="FW38">
        <f>('CAPEX+OPEX'!$C$39/7/100+0.03)*EL38</f>
        <v>94475.844077566348</v>
      </c>
      <c r="FX38">
        <f>('CAPEX+OPEX'!$C$39/7/100+0.03)*EM38</f>
        <v>163331.25009364099</v>
      </c>
      <c r="FY38">
        <f>SUM(FV38:FX38)</f>
        <v>259607.34196041647</v>
      </c>
      <c r="FZ38">
        <f>FY38+FA38+FS38+EU38</f>
        <v>11061181.428005876</v>
      </c>
      <c r="GA38">
        <f>FZ38+EO38</f>
        <v>12124950.737625457</v>
      </c>
      <c r="GB38">
        <f>GA38/(BK38*60*7200)</f>
        <v>0.28067015596355227</v>
      </c>
      <c r="GC38">
        <f>'TEA Revised Non EYZ'!EM38/'TEA Revised Non EYZ'!EK38*GA38</f>
        <v>938.94764346939155</v>
      </c>
      <c r="GD38">
        <f>'TEA Revised Non EYZ'!EN38/'TEA Revised Non EYZ'!EK38*GA38</f>
        <v>1722.3788215729855</v>
      </c>
    </row>
    <row r="39" spans="1:186">
      <c r="A39">
        <f>'TEA Revised Non EYZ'!A39</f>
        <v>6</v>
      </c>
      <c r="B39">
        <f>'TEA Revised Non EYZ'!B39</f>
        <v>1.54143585092054E-3</v>
      </c>
      <c r="C39">
        <f>'TEA Revised Non EYZ'!C39</f>
        <v>1.54143585092054E-3</v>
      </c>
      <c r="D39">
        <f>'TEA Revised Non EYZ'!D39</f>
        <v>3.4254130020456501E-4</v>
      </c>
      <c r="E39">
        <f>'TEA Revised Non EYZ'!E39</f>
        <v>0</v>
      </c>
      <c r="F39">
        <f>'TEA Revised Non EYZ'!F39</f>
        <v>0</v>
      </c>
      <c r="G39">
        <f>'TEA Revised Non EYZ'!G39</f>
        <v>0</v>
      </c>
      <c r="H39">
        <f>'TEA Revised Non EYZ'!H39</f>
        <v>1.7693893431643E-5</v>
      </c>
      <c r="I39">
        <f>'TEA Revised Non EYZ'!I39</f>
        <v>3.7175600603836103E-8</v>
      </c>
      <c r="J39">
        <f>'TEA Revised Non EYZ'!J39</f>
        <v>3.36890310328726E-4</v>
      </c>
      <c r="K39">
        <f>'TEA Revised Non EYZ'!K39</f>
        <v>0.133710118829723</v>
      </c>
      <c r="L39">
        <f>'TEA Revised Non EYZ'!L39</f>
        <v>0.13525951632913</v>
      </c>
      <c r="M39">
        <f>'TEA Revised Non EYZ'!M39</f>
        <v>4.9588089642288804E-4</v>
      </c>
      <c r="N39">
        <f>'TEA Revised Non EYZ'!N39</f>
        <v>-1.72886878424538E-14</v>
      </c>
      <c r="O39">
        <f>'TEA Revised Non EYZ'!O39</f>
        <v>-1.05961268405396E-12</v>
      </c>
      <c r="P39">
        <f>'TEA Revised Non EYZ'!P39</f>
        <v>-9.6595637304880395E-18</v>
      </c>
      <c r="Q39">
        <f>'TEA Revised Non EYZ'!Q39</f>
        <v>0.11395861217105201</v>
      </c>
      <c r="R39">
        <f>'TEA Revised Non EYZ'!R39</f>
        <v>98.3502748800029</v>
      </c>
      <c r="S39">
        <f>'TEA Revised Non EYZ'!S39</f>
        <v>500</v>
      </c>
      <c r="T39">
        <f>'TEA Revised Non EYZ'!T39</f>
        <v>95</v>
      </c>
      <c r="U39">
        <f>'TEA Revised Non EYZ'!U39</f>
        <v>1</v>
      </c>
      <c r="V39">
        <f>'TEA Revised Non EYZ'!V39</f>
        <v>0.1</v>
      </c>
      <c r="W39">
        <f>'TEA Revised Non EYZ'!W39</f>
        <v>87.751156402202497</v>
      </c>
      <c r="X39" t="str">
        <f>'TEA Revised Non EYZ'!X39</f>
        <v>ddFc</v>
      </c>
      <c r="Y39">
        <f>'TEA Revised Non EYZ'!Y39</f>
        <v>1</v>
      </c>
      <c r="Z39">
        <f>'TEA Revised Non EYZ'!Z39</f>
        <v>0.28318429382522198</v>
      </c>
      <c r="AA39">
        <f>'TEA Revised Non EYZ'!AA39</f>
        <v>0.56945642916197003</v>
      </c>
      <c r="AB39">
        <f>'TEA Revised Non EYZ'!AB39</f>
        <v>3.7698628972227502E-3</v>
      </c>
      <c r="AC39">
        <f>'TEA Revised Non EYZ'!AC39</f>
        <v>1822.2107908876901</v>
      </c>
      <c r="AD39">
        <f>'TEA Revised Non EYZ'!AD39</f>
        <v>2662.6059073104898</v>
      </c>
      <c r="AE39">
        <f>'TEA Revised Non EYZ'!AE39</f>
        <v>2401.5030938442701</v>
      </c>
      <c r="AF39">
        <f>'TEA Revised Non EYZ'!AF39</f>
        <v>11</v>
      </c>
      <c r="AG39">
        <f>'TEA Revised Non EYZ'!AG39</f>
        <v>1.64951815726537E-3</v>
      </c>
      <c r="AH39">
        <f>'TEA Revised Non EYZ'!AH39</f>
        <v>1.6686323374819601E-3</v>
      </c>
      <c r="AI39">
        <f>'TEA Revised Non EYZ'!AI39</f>
        <v>6.1174468293775103E-6</v>
      </c>
      <c r="AJ39">
        <f>'TEA Revised Non EYZ'!AJ39</f>
        <v>0</v>
      </c>
      <c r="AK39">
        <f>'TEA Revised Non EYZ'!AK39</f>
        <v>0</v>
      </c>
      <c r="AL39">
        <f>'TEA Revised Non EYZ'!AL39</f>
        <v>0</v>
      </c>
      <c r="AM39">
        <f>'TEA Revised Non EYZ'!AM39</f>
        <v>1.61255664991154E-3</v>
      </c>
      <c r="AN39">
        <f>'TEA Revised Non EYZ'!AN39</f>
        <v>7.87942082405777E-5</v>
      </c>
      <c r="AO39">
        <f>'TEA Revised Non EYZ'!AO39</f>
        <v>6.0771943863253104E-6</v>
      </c>
      <c r="AP39">
        <f>'TEA Revised Non EYZ'!AP39</f>
        <v>1.7330805296501401E-3</v>
      </c>
      <c r="AQ39">
        <f>'TEA Revised Non EYZ'!AQ39</f>
        <v>7.4545594606665405E-2</v>
      </c>
      <c r="AR39">
        <f>'TEA Revised Non EYZ'!AR39</f>
        <v>1.8873885461363599E-6</v>
      </c>
      <c r="AS39">
        <f>'TEA Revised Non EYZ'!AS39</f>
        <v>1.4982685366893601E-13</v>
      </c>
      <c r="AT39">
        <f>'TEA Revised Non EYZ'!AT39</f>
        <v>-1.2832369715443101E-11</v>
      </c>
      <c r="AU39">
        <f>'TEA Revised Non EYZ'!AU39</f>
        <v>1.70440234344306E-18</v>
      </c>
      <c r="AV39">
        <f>'TEA Revised Non EYZ'!AV39</f>
        <v>0.19700863184865999</v>
      </c>
      <c r="AW39">
        <f>'TEA Revised Non EYZ'!AW39</f>
        <v>99.342005837158993</v>
      </c>
      <c r="AX39">
        <f>'TEA Revised Non EYZ'!AX39</f>
        <v>500</v>
      </c>
      <c r="AY39">
        <f>'TEA Revised Non EYZ'!AY39</f>
        <v>95</v>
      </c>
      <c r="AZ39">
        <f>'TEA Revised Non EYZ'!AZ39</f>
        <v>0.92374973309314701</v>
      </c>
      <c r="BA39">
        <f>'TEA Revised Non EYZ'!BA39</f>
        <v>0.1</v>
      </c>
      <c r="BB39">
        <f>'TEA Revised Non EYZ'!BB39</f>
        <v>46.888794893147498</v>
      </c>
      <c r="BC39" t="str">
        <f>'TEA Revised Non EYZ'!BC39</f>
        <v>coeFc</v>
      </c>
      <c r="BD39">
        <f>'TEA Revised Non EYZ'!BD39</f>
        <v>1</v>
      </c>
      <c r="BE39">
        <f>'TEA Revised Non EYZ'!BE39</f>
        <v>1.8775014999999999E-2</v>
      </c>
      <c r="BF39">
        <f>'TEA Revised Non EYZ'!BF39</f>
        <v>0.10492961100000001</v>
      </c>
      <c r="BG39">
        <f>'TEA Revised Non EYZ'!BG39</f>
        <v>1.814625E-3</v>
      </c>
      <c r="BH39">
        <f>'TEA Revised Non EYZ'!BH39</f>
        <v>285.1951444</v>
      </c>
      <c r="BI39">
        <f>'TEA Revised Non EYZ'!BI39</f>
        <v>2169.8944889999998</v>
      </c>
      <c r="BJ39">
        <f>'TEA Revised Non EYZ'!BJ39</f>
        <v>866.49409060000005</v>
      </c>
      <c r="BK39">
        <f>'TEA Revised Non EYZ'!BK39</f>
        <v>100</v>
      </c>
      <c r="BL39">
        <f>'TEA Revised Non EYZ'!BL39</f>
        <v>11.395861217105201</v>
      </c>
      <c r="BM39">
        <f>'TEA Revised Non EYZ'!BM39</f>
        <v>92.374973309314697</v>
      </c>
      <c r="BN39">
        <f>'TEA Revised Non EYZ'!BN39</f>
        <v>19.700863184865998</v>
      </c>
      <c r="BO39">
        <f>'TEA Revised Non EYZ'!BO39</f>
        <v>182.33377947368322</v>
      </c>
      <c r="BP39">
        <f>'TEA Revised Non EYZ'!BP39</f>
        <v>512.22244280651591</v>
      </c>
      <c r="BQ39">
        <f>'TEA Revised Non EYZ'!BQ39</f>
        <v>18.233377947368322</v>
      </c>
      <c r="BR39">
        <f>'TEA Revised Non EYZ'!BR39</f>
        <v>51.222244280651594</v>
      </c>
      <c r="BS39">
        <f>'eLLE Bals'!CF39</f>
        <v>6.8375167302631192</v>
      </c>
      <c r="BT39">
        <f>'eLLE Bals'!CG39</f>
        <v>11.820517910919598</v>
      </c>
      <c r="BU39">
        <f>BM39</f>
        <v>92.374973309314697</v>
      </c>
      <c r="BV39">
        <f>BU39*(AM39*2+AN39*2+AO39*3)</f>
        <v>0.31416112276467373</v>
      </c>
      <c r="BW39">
        <f>BN39*BA39*(AP39*2+AQ39*2+AR39*3)</f>
        <v>0.30056230351173574</v>
      </c>
      <c r="BX39">
        <f>BV39/(2*V39*BL39+BV39)</f>
        <v>0.12114181958285727</v>
      </c>
      <c r="BY39">
        <f>BU39*BX39</f>
        <v>11.190472350608257</v>
      </c>
      <c r="BZ39">
        <f>BW39/(2*BN39*BA39+BW39)</f>
        <v>7.0875050605583453E-2</v>
      </c>
      <c r="CA39">
        <f>2*BN39*BA39/0.04</f>
        <v>98.504315924330001</v>
      </c>
      <c r="CB39">
        <f>(BS39+BL39)*2</f>
        <v>36.466755894736643</v>
      </c>
      <c r="CC39">
        <f>(BU39+BL39)*2</f>
        <v>207.54166905283981</v>
      </c>
      <c r="CD39">
        <f>(BT39+BN39)*2</f>
        <v>63.042762191571192</v>
      </c>
      <c r="CE39">
        <f>(CA39+BN39)*2</f>
        <v>236.41035821839199</v>
      </c>
      <c r="CF39">
        <f>'TEA Revised Non EYZ'!CB39</f>
        <v>2406.8058890526186</v>
      </c>
      <c r="CG39">
        <f>'TEA Revised Non EYZ'!CC39</f>
        <v>6761.3362450460099</v>
      </c>
      <c r="CH39">
        <f>'TEA Revised Non EYZ'!CD39</f>
        <v>2907.8673690603878</v>
      </c>
      <c r="CI39">
        <f>'TEA Revised Non EYZ'!CE39</f>
        <v>52150.787394119398</v>
      </c>
      <c r="CJ39">
        <f>BL39*V39</f>
        <v>1.1395861217105201</v>
      </c>
      <c r="CK39">
        <f>CJ39/2*1.2</f>
        <v>0.68375167302631201</v>
      </c>
      <c r="CL39">
        <f>'eLLE Bals'!CB39*'Oxidant Feed Composition'!$N$20</f>
        <v>3.7986204057017352E-2</v>
      </c>
      <c r="CM39">
        <f>'eLLE Bals'!CB39*'Oxidant Feed Composition'!$N$21</f>
        <v>1.8993102028508668</v>
      </c>
      <c r="CN39">
        <f>'eLLE Bals'!CB39*'Oxidant Feed Composition'!$N$22</f>
        <v>0.56979306085526005</v>
      </c>
      <c r="CO39">
        <f>CN39/CK39</f>
        <v>0.83333333333333337</v>
      </c>
      <c r="CP39">
        <f>CO39</f>
        <v>0.83333333333333337</v>
      </c>
      <c r="CQ39">
        <f>CL39/CO39</f>
        <v>4.5583444868420822E-2</v>
      </c>
      <c r="CR39">
        <f>CM39/CO39</f>
        <v>2.2791722434210402</v>
      </c>
      <c r="CS39">
        <f>BN39*BA39</f>
        <v>1.9700863184866</v>
      </c>
      <c r="CT39">
        <f>CS39/2*1.2</f>
        <v>1.1820517910919599</v>
      </c>
      <c r="CU39">
        <f>'eLLE Bals'!CC39*'Oxidant Feed Composition'!$N$20</f>
        <v>6.5669543949553363E-2</v>
      </c>
      <c r="CV39">
        <f>'eLLE Bals'!CC39*'Oxidant Feed Composition'!$N$21</f>
        <v>3.2834771974776666</v>
      </c>
      <c r="CW39">
        <f>'eLLE Bals'!CC39*'Oxidant Feed Composition'!$N$22</f>
        <v>0.98504315924329999</v>
      </c>
      <c r="CX39">
        <f>CU39/CP39</f>
        <v>7.8803452739464028E-2</v>
      </c>
      <c r="CY39">
        <f>CV39/CP39</f>
        <v>3.9401726369732</v>
      </c>
      <c r="CZ39">
        <f>CJ39</f>
        <v>1.1395861217105201</v>
      </c>
      <c r="DA39">
        <f>'eLLE Bals'!BQ39</f>
        <v>2.2791722434210402</v>
      </c>
      <c r="DB39">
        <f>'eLLE Bals'!BU39</f>
        <v>5.9882831327081965</v>
      </c>
      <c r="DC39">
        <f>CS39</f>
        <v>1.9700863184866</v>
      </c>
      <c r="DD39">
        <f>'eLLE Bals'!BX39</f>
        <v>3.9401726369732</v>
      </c>
      <c r="DE39">
        <f>'eLLE Bals'!CA39</f>
        <v>21.886353557031292</v>
      </c>
      <c r="DF39">
        <f>2*2*(CJ39*'Reagent cost'!$C$36*122.44/1000*0.5+CK39*'Oxidant Feed Composition'!$N$26+CQ39*'Reagent cost'!$C$34+CR39*'Reagent cost'!$C$35)</f>
        <v>76.550884152580181</v>
      </c>
      <c r="DG39">
        <f>2*2*(CS39*'Reagent cost'!$C$36*122.44/1000*0.5+CT39*'Oxidant Feed Composition'!$N$26+CX39*'Reagent cost'!$C$34+CY39*'Reagent cost'!$C$35)</f>
        <v>132.33914196031284</v>
      </c>
      <c r="DH39">
        <f>(AF39+3)*2*(CZ39*'Reagent cost'!$C$38*0.5+DA39*'Reagent cost'!$C$39+DB39*'Reagent cost'!$C$36*122.44/1000)</f>
        <v>1524.6588833047504</v>
      </c>
      <c r="DI39">
        <f>3*2*(DC39*'Reagent cost'!$C$38*0.5+DD39*'Reagent cost'!$C$39+DE39*'Reagent cost'!$C$36*122.44/1000)</f>
        <v>1163.1975877502714</v>
      </c>
      <c r="DJ39">
        <f>7963.6*(CB39/1000)^0.6*1.7*('CAPEX+OPEX'!$G$116/'CAPEX+OPEX'!$G$115)</f>
        <v>2189.6727102460782</v>
      </c>
      <c r="DK39">
        <f>7963.6*(CC39/1000)^0.6*1.7*('CAPEX+OPEX'!$G$116/'CAPEX+OPEX'!$G$115)</f>
        <v>6215.9013146876341</v>
      </c>
      <c r="DL39">
        <f>7963.6*(CD39/1000)^0.6*1.7*('CAPEX+OPEX'!$G$116/'CAPEX+OPEX'!$G$115)</f>
        <v>3041.0395464648595</v>
      </c>
      <c r="DM39">
        <f>7963.6*(CE39/1000)^0.6*1.7*('CAPEX+OPEX'!$G$116/'CAPEX+OPEX'!$G$115)</f>
        <v>6721.1072951693195</v>
      </c>
      <c r="DN39">
        <f>'TEA Revised Non EYZ'!CM39</f>
        <v>39625.826528698344</v>
      </c>
      <c r="DO39">
        <f>'TEA Revised Non EYZ'!CN39</f>
        <v>4586243.4239371875</v>
      </c>
      <c r="DP39">
        <f>'TEA Revised Non EYZ'!CO39</f>
        <v>11794834.586807497</v>
      </c>
      <c r="DQ39">
        <f>'TEA Revised Non EYZ'!CP39</f>
        <v>2275209.1661185985</v>
      </c>
      <c r="DR39">
        <f>'TEA Revised Non EYZ'!CQ39</f>
        <v>14083914.336508472</v>
      </c>
      <c r="DS39">
        <f>'TEA Revised Non EYZ'!CR39</f>
        <v>1662824.8986326549</v>
      </c>
      <c r="DT39">
        <f>'TEA Revised Non EYZ'!CS39</f>
        <v>646135.89638675924</v>
      </c>
      <c r="DU39">
        <f>'TEA Revised Non EYZ'!CT39</f>
        <v>1661722.9645298459</v>
      </c>
      <c r="DV39">
        <f>'TEA Revised Non EYZ'!CU39</f>
        <v>320544.32748695416</v>
      </c>
      <c r="DW39">
        <f>'TEA Revised Non EYZ'!CV39</f>
        <v>1984221.4582325809</v>
      </c>
      <c r="DX39">
        <f>'TEA Revised Non EYZ'!CW39</f>
        <v>234268.17050410178</v>
      </c>
      <c r="DY39">
        <f>'TEA Revised Non EYZ'!CX39</f>
        <v>4846892.8171402421</v>
      </c>
      <c r="DZ39">
        <f>'TEA Revised Non EYZ'!CY39</f>
        <v>843282.14969326498</v>
      </c>
      <c r="EA39">
        <f>'TEA Revised Non EYZ'!CZ39</f>
        <v>2168740.8508946435</v>
      </c>
      <c r="EB39">
        <f>'TEA Revised Non EYZ'!DA39</f>
        <v>418347.45765832032</v>
      </c>
      <c r="EC39">
        <f>'TEA Revised Non EYZ'!DB39</f>
        <v>2589638.7217036909</v>
      </c>
      <c r="ED39">
        <f>'TEA Revised Non EYZ'!DC39</f>
        <v>305747.08437055594</v>
      </c>
      <c r="EE39">
        <f>'TEA Revised Non EYZ'!DD39</f>
        <v>6325756.264320476</v>
      </c>
      <c r="EF39">
        <v>0.7</v>
      </c>
      <c r="EG39">
        <v>100</v>
      </c>
      <c r="EH39">
        <f>96485*BL39*V39/EF39/EG39/60</f>
        <v>26.179277846009416</v>
      </c>
      <c r="EI39">
        <f>96485*BN39*BA39/EF39/EG39/60</f>
        <v>45.258042485518949</v>
      </c>
      <c r="EJ39">
        <f>EH39*('CAPEX+OPEX'!$O$25+'CAPEX+OPEX'!$O$26)</f>
        <v>834385.9435080121</v>
      </c>
      <c r="EK39">
        <f>EI39*('CAPEX+OPEX'!$O$25+'CAPEX+OPEX'!$O$26)</f>
        <v>1442464.33009846</v>
      </c>
      <c r="EL39">
        <f>EJ39*1.12/0.6*'CAPEX+OPEX'!$G$116/'CAPEX+OPEX'!$G$115</f>
        <v>1837030.3015082346</v>
      </c>
      <c r="EM39">
        <f>EK39*1.12/0.6*'CAPEX+OPEX'!$G$116/'CAPEX+OPEX'!$G$115</f>
        <v>3175809.3527976638</v>
      </c>
      <c r="EN39">
        <f>EL39+EM39+DY39+EE39+1.15*(SUM(DF39:DM39)+SUM(CF39:CI39))</f>
        <v>16283573.689666783</v>
      </c>
      <c r="EO39">
        <f>EN39/15</f>
        <v>1085571.5793111189</v>
      </c>
      <c r="EP39">
        <f>('eLLE Bals'!CB39+'eLLE Bals'!CC39)*'Oxidant Feed Composition'!$N$29*60*7200</f>
        <v>7756633.8408472557</v>
      </c>
      <c r="EQ39" s="53">
        <f>('eLLE Bals'!BR39+'eLLE Bals'!BY39)*'Reagent cost'!$C$38*60*7200*0.5</f>
        <v>253346.1633114506</v>
      </c>
      <c r="ER39">
        <f>'TEA Revised Non EYZ'!DI39</f>
        <v>504921.59999999998</v>
      </c>
      <c r="ES39">
        <f>'TEA Revised Non EYZ'!DJ39</f>
        <v>91.68142134098629</v>
      </c>
      <c r="ET39">
        <f>'TEA Revised Non EYZ'!DK39</f>
        <v>1101.1730952635958</v>
      </c>
      <c r="EU39">
        <f>1.2*SUM(EP39:ET39)</f>
        <v>10219313.350410374</v>
      </c>
      <c r="EV39">
        <f>'TEA Revised Non EYZ'!DM39</f>
        <v>0.70639694042110623</v>
      </c>
      <c r="EW39">
        <f>(BS39*CO39+BT39*CP39)/1000*('Oxidant Feed Composition'!$B$11*'Oxidant Feed Composition'!$O$20+'Oxidant Feed Composition'!$D$11*'Oxidant Feed Composition'!$O$21+'Oxidant Feed Composition'!$F$11*'Oxidant Feed Composition'!$O$27-'Oxidant Feed Composition'!$J$15*18.015)</f>
        <v>1.8158083273954904</v>
      </c>
      <c r="EX39">
        <f>(CZ39*BX39+DC39*BZ39)*368.34/1000</f>
        <v>0.10228120513749769</v>
      </c>
      <c r="EY39">
        <f>'TEA Revised Non EYZ'!DP39</f>
        <v>4.999938342565946E-2</v>
      </c>
      <c r="EZ39">
        <f>SUM(EV39:EX39)-EY39</f>
        <v>2.5744870895284349</v>
      </c>
      <c r="FA39">
        <f>EZ39*0.33*60*7200</f>
        <v>367018.87948317372</v>
      </c>
      <c r="FB39">
        <f>'TEA Revised Non EYZ'!DS39</f>
        <v>1.2</v>
      </c>
      <c r="FC39">
        <v>0.5</v>
      </c>
      <c r="FD39">
        <f>'TEA Revised Non EYZ'!DT39</f>
        <v>1406.1100831005861</v>
      </c>
      <c r="FE39">
        <f>'TEA Revised Non EYZ'!DU39</f>
        <v>706.15749631334222</v>
      </c>
      <c r="FF39">
        <f>'TEA Revised Non EYZ'!DV39</f>
        <v>0.7</v>
      </c>
      <c r="FG39">
        <f>'TEA Revised Non EYZ'!DW39</f>
        <v>35776.359048024235</v>
      </c>
      <c r="FH39">
        <f>'TEA Revised Non EYZ'!DX39</f>
        <v>29068.269280606211</v>
      </c>
      <c r="FI39">
        <f>'TEA Revised Non EYZ'!DY39</f>
        <v>12307.130138966339</v>
      </c>
      <c r="FJ39">
        <f>'TEA Revised Non EYZ'!DZ39</f>
        <v>6519.4301878820042</v>
      </c>
      <c r="FK39">
        <f>'TEA Revised Non EYZ'!EA39</f>
        <v>6563.8027407820491</v>
      </c>
      <c r="FL39">
        <f>'TEA Revised Non EYZ'!EB39</f>
        <v>850.41537825923444</v>
      </c>
      <c r="FM39">
        <f>'TEA Revised Non EYZ'!EC39</f>
        <v>46292.292392372896</v>
      </c>
      <c r="FN39">
        <f>'TEA Revised Non EYZ'!ED39</f>
        <v>46560.419412212461</v>
      </c>
      <c r="FO39">
        <f>'TEA Revised Non EYZ'!EE39</f>
        <v>19713.08079952544</v>
      </c>
      <c r="FP39">
        <f>'TEA Revised Non EYZ'!EF39</f>
        <v>10448.368179459621</v>
      </c>
      <c r="FQ39">
        <f>'TEA Revised Non EYZ'!EG39</f>
        <v>10513.643093080233</v>
      </c>
      <c r="FR39">
        <f>'TEA Revised Non EYZ'!EH39</f>
        <v>427.08405377030942</v>
      </c>
      <c r="FS39">
        <f>'TEA Revised Non EYZ'!EI39</f>
        <v>225040.29470494101</v>
      </c>
      <c r="FT39">
        <f>EG39*EH39</f>
        <v>2617.9277846009418</v>
      </c>
      <c r="FU39">
        <f>EG39*EI39</f>
        <v>4525.8042485518945</v>
      </c>
      <c r="FV39">
        <f>FC39*(FT39+FU39)/(3.6*10^6)*3600*7200*0.07</f>
        <v>1800.2204723545151</v>
      </c>
      <c r="FW39">
        <f>('CAPEX+OPEX'!$C$39/7/100+0.03)*EL39</f>
        <v>94475.844077566348</v>
      </c>
      <c r="FX39">
        <f>('CAPEX+OPEX'!$C$39/7/100+0.03)*EM39</f>
        <v>163327.33814387984</v>
      </c>
      <c r="FY39">
        <f>SUM(FV39:FX39)</f>
        <v>259603.40269380069</v>
      </c>
      <c r="FZ39">
        <f>FY39+FA39+FS39+EU39</f>
        <v>11070975.927292289</v>
      </c>
      <c r="GA39">
        <f>FZ39+EO39</f>
        <v>12156547.506603409</v>
      </c>
      <c r="GB39">
        <f>GA39/(BK39*60*7200)</f>
        <v>0.28140156265285671</v>
      </c>
      <c r="GC39">
        <f>'TEA Revised Non EYZ'!EM39/'TEA Revised Non EYZ'!EK39*GA39</f>
        <v>941.39262284722133</v>
      </c>
      <c r="GD39">
        <f>'TEA Revised Non EYZ'!EN39/'TEA Revised Non EYZ'!EK39*GA39</f>
        <v>1726.8734389101839</v>
      </c>
    </row>
    <row r="40" spans="1:186">
      <c r="A40">
        <f>'TEA Revised Non EYZ'!A40</f>
        <v>6</v>
      </c>
      <c r="B40">
        <f>'TEA Revised Non EYZ'!B40</f>
        <v>1.54143585092054E-3</v>
      </c>
      <c r="C40">
        <f>'TEA Revised Non EYZ'!C40</f>
        <v>1.54143585092054E-3</v>
      </c>
      <c r="D40">
        <f>'TEA Revised Non EYZ'!D40</f>
        <v>3.4254130020456501E-4</v>
      </c>
      <c r="E40">
        <f>'TEA Revised Non EYZ'!E40</f>
        <v>0</v>
      </c>
      <c r="F40">
        <f>'TEA Revised Non EYZ'!F40</f>
        <v>0</v>
      </c>
      <c r="G40">
        <f>'TEA Revised Non EYZ'!G40</f>
        <v>0</v>
      </c>
      <c r="H40">
        <f>'TEA Revised Non EYZ'!H40</f>
        <v>1.7693893431643E-5</v>
      </c>
      <c r="I40">
        <f>'TEA Revised Non EYZ'!I40</f>
        <v>3.7175600603836103E-8</v>
      </c>
      <c r="J40">
        <f>'TEA Revised Non EYZ'!J40</f>
        <v>3.36890310328726E-4</v>
      </c>
      <c r="K40">
        <f>'TEA Revised Non EYZ'!K40</f>
        <v>0.133710118829723</v>
      </c>
      <c r="L40">
        <f>'TEA Revised Non EYZ'!L40</f>
        <v>0.13525951632913</v>
      </c>
      <c r="M40">
        <f>'TEA Revised Non EYZ'!M40</f>
        <v>4.9588089642288804E-4</v>
      </c>
      <c r="N40">
        <f>'TEA Revised Non EYZ'!N40</f>
        <v>-1.72886878424538E-14</v>
      </c>
      <c r="O40">
        <f>'TEA Revised Non EYZ'!O40</f>
        <v>-1.05961268405396E-12</v>
      </c>
      <c r="P40">
        <f>'TEA Revised Non EYZ'!P40</f>
        <v>-9.6595637304880395E-18</v>
      </c>
      <c r="Q40">
        <f>'TEA Revised Non EYZ'!Q40</f>
        <v>0.11395861217105201</v>
      </c>
      <c r="R40">
        <f>'TEA Revised Non EYZ'!R40</f>
        <v>98.3502748800029</v>
      </c>
      <c r="S40">
        <f>'TEA Revised Non EYZ'!S40</f>
        <v>500</v>
      </c>
      <c r="T40">
        <f>'TEA Revised Non EYZ'!T40</f>
        <v>95</v>
      </c>
      <c r="U40">
        <f>'TEA Revised Non EYZ'!U40</f>
        <v>1</v>
      </c>
      <c r="V40">
        <f>'TEA Revised Non EYZ'!V40</f>
        <v>0.1</v>
      </c>
      <c r="W40">
        <f>'TEA Revised Non EYZ'!W40</f>
        <v>87.751156402202497</v>
      </c>
      <c r="X40" t="str">
        <f>'TEA Revised Non EYZ'!X40</f>
        <v>ddFc</v>
      </c>
      <c r="Y40">
        <f>'TEA Revised Non EYZ'!Y40</f>
        <v>1</v>
      </c>
      <c r="Z40">
        <f>'TEA Revised Non EYZ'!Z40</f>
        <v>0.28318429382522198</v>
      </c>
      <c r="AA40">
        <f>'TEA Revised Non EYZ'!AA40</f>
        <v>0.56945642916197003</v>
      </c>
      <c r="AB40">
        <f>'TEA Revised Non EYZ'!AB40</f>
        <v>3.7698628972227502E-3</v>
      </c>
      <c r="AC40">
        <f>'TEA Revised Non EYZ'!AC40</f>
        <v>1822.2107908876901</v>
      </c>
      <c r="AD40">
        <f>'TEA Revised Non EYZ'!AD40</f>
        <v>2662.6059073104898</v>
      </c>
      <c r="AE40">
        <f>'TEA Revised Non EYZ'!AE40</f>
        <v>2401.5030938442701</v>
      </c>
      <c r="AF40">
        <f>'TEA Revised Non EYZ'!AF40</f>
        <v>12</v>
      </c>
      <c r="AG40">
        <f>'TEA Revised Non EYZ'!AG40</f>
        <v>1.64951815726537E-3</v>
      </c>
      <c r="AH40">
        <f>'TEA Revised Non EYZ'!AH40</f>
        <v>1.6686323374819601E-3</v>
      </c>
      <c r="AI40">
        <f>'TEA Revised Non EYZ'!AI40</f>
        <v>6.1174468293775103E-6</v>
      </c>
      <c r="AJ40">
        <f>'TEA Revised Non EYZ'!AJ40</f>
        <v>0</v>
      </c>
      <c r="AK40">
        <f>'TEA Revised Non EYZ'!AK40</f>
        <v>0</v>
      </c>
      <c r="AL40">
        <f>'TEA Revised Non EYZ'!AL40</f>
        <v>0</v>
      </c>
      <c r="AM40">
        <f>'TEA Revised Non EYZ'!AM40</f>
        <v>1.6125575429752001E-3</v>
      </c>
      <c r="AN40">
        <f>'TEA Revised Non EYZ'!AN40</f>
        <v>7.8794254311918995E-5</v>
      </c>
      <c r="AO40">
        <f>'TEA Revised Non EYZ'!AO40</f>
        <v>6.0771953183527996E-6</v>
      </c>
      <c r="AP40">
        <f>'TEA Revised Non EYZ'!AP40</f>
        <v>1.7330503585533999E-3</v>
      </c>
      <c r="AQ40">
        <f>'TEA Revised Non EYZ'!AQ40</f>
        <v>7.4546094895645801E-2</v>
      </c>
      <c r="AR40">
        <f>'TEA Revised Non EYZ'!AR40</f>
        <v>1.8873575819805E-6</v>
      </c>
      <c r="AS40">
        <f>'TEA Revised Non EYZ'!AS40</f>
        <v>7.3561084524067997E-16</v>
      </c>
      <c r="AT40">
        <f>'TEA Revised Non EYZ'!AT40</f>
        <v>-7.3104283043745598E-14</v>
      </c>
      <c r="AU40">
        <f>'TEA Revised Non EYZ'!AU40</f>
        <v>-3.93076227085198E-21</v>
      </c>
      <c r="AV40">
        <f>'TEA Revised Non EYZ'!AV40</f>
        <v>0.197007302276343</v>
      </c>
      <c r="AW40">
        <f>'TEA Revised Non EYZ'!AW40</f>
        <v>99.342021072722403</v>
      </c>
      <c r="AX40">
        <f>'TEA Revised Non EYZ'!AX40</f>
        <v>500</v>
      </c>
      <c r="AY40">
        <f>'TEA Revised Non EYZ'!AY40</f>
        <v>95</v>
      </c>
      <c r="AZ40">
        <f>'TEA Revised Non EYZ'!AZ40</f>
        <v>0.92374973309314701</v>
      </c>
      <c r="BA40">
        <f>'TEA Revised Non EYZ'!BA40</f>
        <v>0.1</v>
      </c>
      <c r="BB40">
        <f>'TEA Revised Non EYZ'!BB40</f>
        <v>46.889111338492199</v>
      </c>
      <c r="BC40" t="str">
        <f>'TEA Revised Non EYZ'!BC40</f>
        <v>coeFc</v>
      </c>
      <c r="BD40">
        <f>'TEA Revised Non EYZ'!BD40</f>
        <v>1</v>
      </c>
      <c r="BE40">
        <f>'TEA Revised Non EYZ'!BE40</f>
        <v>1.8775014999999999E-2</v>
      </c>
      <c r="BF40">
        <f>'TEA Revised Non EYZ'!BF40</f>
        <v>0.10492961100000001</v>
      </c>
      <c r="BG40">
        <f>'TEA Revised Non EYZ'!BG40</f>
        <v>1.814625E-3</v>
      </c>
      <c r="BH40">
        <f>'TEA Revised Non EYZ'!BH40</f>
        <v>285.1951444</v>
      </c>
      <c r="BI40">
        <f>'TEA Revised Non EYZ'!BI40</f>
        <v>2169.8944889999998</v>
      </c>
      <c r="BJ40">
        <f>'TEA Revised Non EYZ'!BJ40</f>
        <v>866.49409060000005</v>
      </c>
      <c r="BK40">
        <f>'TEA Revised Non EYZ'!BK40</f>
        <v>100</v>
      </c>
      <c r="BL40">
        <f>'TEA Revised Non EYZ'!BL40</f>
        <v>11.395861217105201</v>
      </c>
      <c r="BM40">
        <f>'TEA Revised Non EYZ'!BM40</f>
        <v>92.374973309314697</v>
      </c>
      <c r="BN40">
        <f>'TEA Revised Non EYZ'!BN40</f>
        <v>19.700730227634299</v>
      </c>
      <c r="BO40">
        <f>'TEA Revised Non EYZ'!BO40</f>
        <v>182.33377947368322</v>
      </c>
      <c r="BP40">
        <f>'TEA Revised Non EYZ'!BP40</f>
        <v>551.62044637376039</v>
      </c>
      <c r="BQ40">
        <f>'TEA Revised Non EYZ'!BQ40</f>
        <v>18.233377947368322</v>
      </c>
      <c r="BR40">
        <f>'TEA Revised Non EYZ'!BR40</f>
        <v>55.162044637376042</v>
      </c>
      <c r="BS40">
        <f>'eLLE Bals'!CF40</f>
        <v>6.8375167302631192</v>
      </c>
      <c r="BT40">
        <f>'eLLE Bals'!CG40</f>
        <v>11.820438136580579</v>
      </c>
      <c r="BU40">
        <f>BM40</f>
        <v>92.374973309314697</v>
      </c>
      <c r="BV40">
        <f>BU40*(AM40*2+AN40*2+AO40*3)</f>
        <v>0.31416129652810315</v>
      </c>
      <c r="BW40">
        <f>BN40*BA40*(AP40*2+AQ40*2+AR40*3)</f>
        <v>0.30056212722627162</v>
      </c>
      <c r="BX40">
        <f>BV40/(2*V40*BL40+BV40)</f>
        <v>0.12114187846977216</v>
      </c>
      <c r="BY40">
        <f>BU40*BX40</f>
        <v>11.190477790285447</v>
      </c>
      <c r="BZ40">
        <f>BW40/(2*BN40*BA40+BW40)</f>
        <v>7.0875456405466872E-2</v>
      </c>
      <c r="CA40">
        <f>2*BN40*BA40/0.04</f>
        <v>98.503651138171492</v>
      </c>
      <c r="CB40">
        <f>(BS40+BL40)*2</f>
        <v>36.466755894736643</v>
      </c>
      <c r="CC40">
        <f>(BU40+BL40)*2</f>
        <v>207.54166905283981</v>
      </c>
      <c r="CD40">
        <f>(BT40+BN40)*2</f>
        <v>63.04233672842976</v>
      </c>
      <c r="CE40">
        <f>(CA40+BN40)*2</f>
        <v>236.40876273161157</v>
      </c>
      <c r="CF40">
        <f>'TEA Revised Non EYZ'!CB40</f>
        <v>2406.8058890526186</v>
      </c>
      <c r="CG40">
        <f>'TEA Revised Non EYZ'!CC40</f>
        <v>7281.3898921336377</v>
      </c>
      <c r="CH40">
        <f>'TEA Revised Non EYZ'!CD40</f>
        <v>2907.8673690603878</v>
      </c>
      <c r="CI40">
        <f>'TEA Revised Non EYZ'!CE40</f>
        <v>56162.007395590961</v>
      </c>
      <c r="CJ40">
        <f>BL40*V40</f>
        <v>1.1395861217105201</v>
      </c>
      <c r="CK40">
        <f>CJ40/2*1.2</f>
        <v>0.68375167302631201</v>
      </c>
      <c r="CL40">
        <f>'eLLE Bals'!CB40*'Oxidant Feed Composition'!$N$20</f>
        <v>3.7986204057017352E-2</v>
      </c>
      <c r="CM40">
        <f>'eLLE Bals'!CB40*'Oxidant Feed Composition'!$N$21</f>
        <v>1.8993102028508668</v>
      </c>
      <c r="CN40">
        <f>'eLLE Bals'!CB40*'Oxidant Feed Composition'!$N$22</f>
        <v>0.56979306085526005</v>
      </c>
      <c r="CO40">
        <f>CN40/CK40</f>
        <v>0.83333333333333337</v>
      </c>
      <c r="CP40">
        <f>CO40</f>
        <v>0.83333333333333337</v>
      </c>
      <c r="CQ40">
        <f>CL40/CO40</f>
        <v>4.5583444868420822E-2</v>
      </c>
      <c r="CR40">
        <f>CM40/CO40</f>
        <v>2.2791722434210402</v>
      </c>
      <c r="CS40">
        <f>BN40*BA40</f>
        <v>1.97007302276343</v>
      </c>
      <c r="CT40">
        <f>CS40/2*1.2</f>
        <v>1.182043813658058</v>
      </c>
      <c r="CU40">
        <f>'eLLE Bals'!CC40*'Oxidant Feed Composition'!$N$20</f>
        <v>6.5669100758781032E-2</v>
      </c>
      <c r="CV40">
        <f>'eLLE Bals'!CC40*'Oxidant Feed Composition'!$N$21</f>
        <v>3.2834550379390501</v>
      </c>
      <c r="CW40">
        <f>'eLLE Bals'!CC40*'Oxidant Feed Composition'!$N$22</f>
        <v>0.985036511381715</v>
      </c>
      <c r="CX40">
        <f>CU40/CP40</f>
        <v>7.8802920910537241E-2</v>
      </c>
      <c r="CY40">
        <f>CV40/CP40</f>
        <v>3.94014604552686</v>
      </c>
      <c r="CZ40">
        <f>CJ40</f>
        <v>1.1395861217105201</v>
      </c>
      <c r="DA40">
        <f>'eLLE Bals'!BQ40</f>
        <v>2.2791722434210402</v>
      </c>
      <c r="DB40">
        <f>'eLLE Bals'!BU40</f>
        <v>5.9882785416603301</v>
      </c>
      <c r="DC40">
        <f>CS40</f>
        <v>1.97007302276343</v>
      </c>
      <c r="DD40">
        <f>'eLLE Bals'!BX40</f>
        <v>3.94014604552686</v>
      </c>
      <c r="DE40">
        <f>'eLLE Bals'!CA40</f>
        <v>21.886046700962265</v>
      </c>
      <c r="DF40">
        <f>2*2*(CJ40*'Reagent cost'!$C$36*122.44/1000*0.5+CK40*'Oxidant Feed Composition'!$N$26+CQ40*'Reagent cost'!$C$34+CR40*'Reagent cost'!$C$35)</f>
        <v>76.550884152580181</v>
      </c>
      <c r="DG40">
        <f>2*2*(CS40*'Reagent cost'!$C$36*122.44/1000*0.5+CT40*'Oxidant Feed Composition'!$N$26+CX40*'Reagent cost'!$C$34+CY40*'Reagent cost'!$C$35)</f>
        <v>132.33824882960101</v>
      </c>
      <c r="DH40">
        <f>(AF40+3)*2*(CZ40*'Reagent cost'!$C$38*0.5+DA40*'Reagent cost'!$C$39+DB40*'Reagent cost'!$C$36*122.44/1000)</f>
        <v>1633.5618983309187</v>
      </c>
      <c r="DI40">
        <f>3*2*(DC40*'Reagent cost'!$C$38*0.5+DD40*'Reagent cost'!$C$39+DE40*'Reagent cost'!$C$36*122.44/1000)</f>
        <v>1163.1814808450076</v>
      </c>
      <c r="DJ40">
        <f>7963.6*(CB40/1000)^0.6*1.7*('CAPEX+OPEX'!$G$116/'CAPEX+OPEX'!$G$115)</f>
        <v>2189.6727102460782</v>
      </c>
      <c r="DK40">
        <f>7963.6*(CC40/1000)^0.6*1.7*('CAPEX+OPEX'!$G$116/'CAPEX+OPEX'!$G$115)</f>
        <v>6215.9013146876341</v>
      </c>
      <c r="DL40">
        <f>7963.6*(CD40/1000)^0.6*1.7*('CAPEX+OPEX'!$G$116/'CAPEX+OPEX'!$G$115)</f>
        <v>3041.0272324233424</v>
      </c>
      <c r="DM40">
        <f>7963.6*(CE40/1000)^0.6*1.7*('CAPEX+OPEX'!$G$116/'CAPEX+OPEX'!$G$115)</f>
        <v>6721.0800794777724</v>
      </c>
      <c r="DN40">
        <f>'TEA Revised Non EYZ'!CM40</f>
        <v>39625.826528698344</v>
      </c>
      <c r="DO40">
        <f>'TEA Revised Non EYZ'!CN40</f>
        <v>4586243.4239371875</v>
      </c>
      <c r="DP40">
        <f>'TEA Revised Non EYZ'!CO40</f>
        <v>11794834.586807497</v>
      </c>
      <c r="DQ40">
        <f>'TEA Revised Non EYZ'!CP40</f>
        <v>2275209.1661185985</v>
      </c>
      <c r="DR40">
        <f>'TEA Revised Non EYZ'!CQ40</f>
        <v>14083914.336508472</v>
      </c>
      <c r="DS40">
        <f>'TEA Revised Non EYZ'!CR40</f>
        <v>1662824.8986326549</v>
      </c>
      <c r="DT40">
        <f>'TEA Revised Non EYZ'!CS40</f>
        <v>646135.89638675924</v>
      </c>
      <c r="DU40">
        <f>'TEA Revised Non EYZ'!CT40</f>
        <v>1661722.9645298459</v>
      </c>
      <c r="DV40">
        <f>'TEA Revised Non EYZ'!CU40</f>
        <v>320544.32748695416</v>
      </c>
      <c r="DW40">
        <f>'TEA Revised Non EYZ'!CV40</f>
        <v>1984221.4582325809</v>
      </c>
      <c r="DX40">
        <f>'TEA Revised Non EYZ'!CW40</f>
        <v>234268.17050410178</v>
      </c>
      <c r="DY40">
        <f>'TEA Revised Non EYZ'!CX40</f>
        <v>4846892.8171402421</v>
      </c>
      <c r="DZ40">
        <f>'TEA Revised Non EYZ'!CY40</f>
        <v>884769.55719627661</v>
      </c>
      <c r="EA40">
        <f>'TEA Revised Non EYZ'!CZ40</f>
        <v>2275437.5662018773</v>
      </c>
      <c r="EB40">
        <f>'TEA Revised Non EYZ'!DA40</f>
        <v>438929.12354563072</v>
      </c>
      <c r="EC40">
        <f>'TEA Revised Non EYZ'!DB40</f>
        <v>2717042.5769518763</v>
      </c>
      <c r="ED40">
        <f>'TEA Revised Non EYZ'!DC40</f>
        <v>320789.08886069356</v>
      </c>
      <c r="EE40">
        <f>'TEA Revised Non EYZ'!DD40</f>
        <v>6636967.9127563545</v>
      </c>
      <c r="EF40">
        <v>0.7</v>
      </c>
      <c r="EG40">
        <v>100</v>
      </c>
      <c r="EH40">
        <f>96485*BL40*V40/EF40/EG40/60</f>
        <v>26.179277846009416</v>
      </c>
      <c r="EI40">
        <f>96485*BN40*BA40/EF40/EG40/60</f>
        <v>45.257737047935613</v>
      </c>
      <c r="EJ40">
        <f>EH40*('CAPEX+OPEX'!$O$25+'CAPEX+OPEX'!$O$26)</f>
        <v>834385.9435080121</v>
      </c>
      <c r="EK40">
        <f>EI40*('CAPEX+OPEX'!$O$25+'CAPEX+OPEX'!$O$26)</f>
        <v>1442454.5951918038</v>
      </c>
      <c r="EL40">
        <f>EJ40*1.12/0.6*'CAPEX+OPEX'!$G$116/'CAPEX+OPEX'!$G$115</f>
        <v>1837030.3015082346</v>
      </c>
      <c r="EM40">
        <f>EK40*1.12/0.6*'CAPEX+OPEX'!$G$116/'CAPEX+OPEX'!$G$115</f>
        <v>3175787.9198880508</v>
      </c>
      <c r="EN40">
        <f>EL40+EM40+DY40+EE40+1.15*(SUM(DF40:DM40)+SUM(CF40:CI40))</f>
        <v>16600100.043346936</v>
      </c>
      <c r="EO40">
        <f>EN40/15</f>
        <v>1106673.336223129</v>
      </c>
      <c r="EP40">
        <f>('eLLE Bals'!CB40+'eLLE Bals'!CC40)*'Oxidant Feed Composition'!$N$29*60*7200</f>
        <v>7756600.6765644383</v>
      </c>
      <c r="EQ40" s="53">
        <f>('eLLE Bals'!BR40+'eLLE Bals'!BY40)*'Reagent cost'!$C$38*60*7200*0.5</f>
        <v>253346.09417907047</v>
      </c>
      <c r="ER40">
        <f>'TEA Revised Non EYZ'!DI40</f>
        <v>504921.59999999998</v>
      </c>
      <c r="ES40">
        <f>'TEA Revised Non EYZ'!DJ40</f>
        <v>96.881957811862563</v>
      </c>
      <c r="ET40">
        <f>'TEA Revised Non EYZ'!DK40</f>
        <v>1181.3974952930271</v>
      </c>
      <c r="EU40">
        <f>1.2*SUM(EP40:ET40)</f>
        <v>10219375.980235936</v>
      </c>
      <c r="EV40">
        <f>'TEA Revised Non EYZ'!DM40</f>
        <v>0.70639694042110623</v>
      </c>
      <c r="EW40">
        <f>(BS40*CO40+BT40*CP40)/1000*('Oxidant Feed Composition'!$B$11*'Oxidant Feed Composition'!$O$20+'Oxidant Feed Composition'!$D$11*'Oxidant Feed Composition'!$O$21+'Oxidant Feed Composition'!$F$11*'Oxidant Feed Composition'!$O$27-'Oxidant Feed Composition'!$J$15*18.015)</f>
        <v>1.8158005637209185</v>
      </c>
      <c r="EX40">
        <f>(CZ40*BX40+DC40*BZ40)*368.34/1000</f>
        <v>0.10228117722729348</v>
      </c>
      <c r="EY40">
        <f>'TEA Revised Non EYZ'!DP40</f>
        <v>4.999938342565946E-2</v>
      </c>
      <c r="EZ40">
        <f>SUM(EV40:EX40)-EY40</f>
        <v>2.5744792979436588</v>
      </c>
      <c r="FA40">
        <f>EZ40*0.33*60*7200</f>
        <v>367017.76871484797</v>
      </c>
      <c r="FB40">
        <f>'TEA Revised Non EYZ'!DS40</f>
        <v>1.2</v>
      </c>
      <c r="FC40">
        <v>0.5</v>
      </c>
      <c r="FD40">
        <f>'TEA Revised Non EYZ'!DT40</f>
        <v>1406.1108613138913</v>
      </c>
      <c r="FE40">
        <f>'TEA Revised Non EYZ'!DU40</f>
        <v>706.15671237476283</v>
      </c>
      <c r="FF40">
        <f>'TEA Revised Non EYZ'!DV40</f>
        <v>0.7</v>
      </c>
      <c r="FG40">
        <f>'TEA Revised Non EYZ'!DW40</f>
        <v>35776.359048024235</v>
      </c>
      <c r="FH40">
        <f>'TEA Revised Non EYZ'!DX40</f>
        <v>29068.269280606211</v>
      </c>
      <c r="FI40">
        <f>'TEA Revised Non EYZ'!DY40</f>
        <v>12307.130138966339</v>
      </c>
      <c r="FJ40">
        <f>'TEA Revised Non EYZ'!DZ40</f>
        <v>6519.4301878820042</v>
      </c>
      <c r="FK40">
        <f>'TEA Revised Non EYZ'!EA40</f>
        <v>6563.8027407820491</v>
      </c>
      <c r="FL40">
        <f>'TEA Revised Non EYZ'!EB40</f>
        <v>850.41584892264143</v>
      </c>
      <c r="FM40">
        <f>'TEA Revised Non EYZ'!EC40</f>
        <v>48864.08641417139</v>
      </c>
      <c r="FN40">
        <f>'TEA Revised Non EYZ'!ED40</f>
        <v>50440.454363230172</v>
      </c>
      <c r="FO40">
        <f>'TEA Revised Non EYZ'!EE40</f>
        <v>21355.837532819231</v>
      </c>
      <c r="FP40">
        <f>'TEA Revised Non EYZ'!EF40</f>
        <v>11319.065527747925</v>
      </c>
      <c r="FQ40">
        <f>'TEA Revised Non EYZ'!EG40</f>
        <v>11389.780017503586</v>
      </c>
      <c r="FR40">
        <f>'TEA Revised Non EYZ'!EH40</f>
        <v>427.08357964425659</v>
      </c>
      <c r="FS40">
        <f>'TEA Revised Non EYZ'!EI40</f>
        <v>234881.71468030007</v>
      </c>
      <c r="FT40">
        <f>EG40*EH40</f>
        <v>2617.9277846009418</v>
      </c>
      <c r="FU40">
        <f>EG40*EI40</f>
        <v>4525.7737047935616</v>
      </c>
      <c r="FV40">
        <f>FC40*(FT40+FU40)/(3.6*10^6)*3600*7200*0.07</f>
        <v>1800.2127753274151</v>
      </c>
      <c r="FW40">
        <f>('CAPEX+OPEX'!$C$39/7/100+0.03)*EL40</f>
        <v>94475.844077566348</v>
      </c>
      <c r="FX40">
        <f>('CAPEX+OPEX'!$C$39/7/100+0.03)*EM40</f>
        <v>163326.23587995689</v>
      </c>
      <c r="FY40">
        <f>SUM(FV40:FX40)</f>
        <v>259602.29273285065</v>
      </c>
      <c r="FZ40">
        <f>FY40+FA40+FS40+EU40</f>
        <v>11080877.756363936</v>
      </c>
      <c r="GA40">
        <f>FZ40+EO40</f>
        <v>12187551.092587065</v>
      </c>
      <c r="GB40">
        <f>GA40/(BK40*60*7200)</f>
        <v>0.28211923825433022</v>
      </c>
      <c r="GC40">
        <f>'TEA Revised Non EYZ'!EM40/'TEA Revised Non EYZ'!EK40*GA40</f>
        <v>943.79299126616604</v>
      </c>
      <c r="GD40">
        <f>'TEA Revised Non EYZ'!EN40/'TEA Revised Non EYZ'!EK40*GA40</f>
        <v>1731.2793628021391</v>
      </c>
    </row>
    <row r="41" spans="1:186">
      <c r="A41">
        <f>'TEA Revised Non EYZ'!A41</f>
        <v>6</v>
      </c>
      <c r="B41">
        <f>'TEA Revised Non EYZ'!B41</f>
        <v>1.54143585092054E-3</v>
      </c>
      <c r="C41">
        <f>'TEA Revised Non EYZ'!C41</f>
        <v>1.54143585092054E-3</v>
      </c>
      <c r="D41">
        <f>'TEA Revised Non EYZ'!D41</f>
        <v>3.4254130020456501E-4</v>
      </c>
      <c r="E41">
        <f>'TEA Revised Non EYZ'!E41</f>
        <v>0</v>
      </c>
      <c r="F41">
        <f>'TEA Revised Non EYZ'!F41</f>
        <v>0</v>
      </c>
      <c r="G41">
        <f>'TEA Revised Non EYZ'!G41</f>
        <v>0</v>
      </c>
      <c r="H41">
        <f>'TEA Revised Non EYZ'!H41</f>
        <v>1.7693893431643E-5</v>
      </c>
      <c r="I41">
        <f>'TEA Revised Non EYZ'!I41</f>
        <v>3.7175600603836103E-8</v>
      </c>
      <c r="J41">
        <f>'TEA Revised Non EYZ'!J41</f>
        <v>3.36890310328726E-4</v>
      </c>
      <c r="K41">
        <f>'TEA Revised Non EYZ'!K41</f>
        <v>0.133710118829723</v>
      </c>
      <c r="L41">
        <f>'TEA Revised Non EYZ'!L41</f>
        <v>0.13525951632913</v>
      </c>
      <c r="M41">
        <f>'TEA Revised Non EYZ'!M41</f>
        <v>4.9588089642288804E-4</v>
      </c>
      <c r="N41">
        <f>'TEA Revised Non EYZ'!N41</f>
        <v>-1.72886878424538E-14</v>
      </c>
      <c r="O41">
        <f>'TEA Revised Non EYZ'!O41</f>
        <v>-1.05961268405396E-12</v>
      </c>
      <c r="P41">
        <f>'TEA Revised Non EYZ'!P41</f>
        <v>-9.6595637304880395E-18</v>
      </c>
      <c r="Q41">
        <f>'TEA Revised Non EYZ'!Q41</f>
        <v>0.11395861217105201</v>
      </c>
      <c r="R41">
        <f>'TEA Revised Non EYZ'!R41</f>
        <v>98.3502748800029</v>
      </c>
      <c r="S41">
        <f>'TEA Revised Non EYZ'!S41</f>
        <v>500</v>
      </c>
      <c r="T41">
        <f>'TEA Revised Non EYZ'!T41</f>
        <v>95</v>
      </c>
      <c r="U41">
        <f>'TEA Revised Non EYZ'!U41</f>
        <v>1</v>
      </c>
      <c r="V41">
        <f>'TEA Revised Non EYZ'!V41</f>
        <v>0.1</v>
      </c>
      <c r="W41">
        <f>'TEA Revised Non EYZ'!W41</f>
        <v>87.751156402202497</v>
      </c>
      <c r="X41" t="str">
        <f>'TEA Revised Non EYZ'!X41</f>
        <v>ddFc</v>
      </c>
      <c r="Y41">
        <f>'TEA Revised Non EYZ'!Y41</f>
        <v>1</v>
      </c>
      <c r="Z41">
        <f>'TEA Revised Non EYZ'!Z41</f>
        <v>0.28318429382522198</v>
      </c>
      <c r="AA41">
        <f>'TEA Revised Non EYZ'!AA41</f>
        <v>0.56945642916197003</v>
      </c>
      <c r="AB41">
        <f>'TEA Revised Non EYZ'!AB41</f>
        <v>3.7698628972227502E-3</v>
      </c>
      <c r="AC41">
        <f>'TEA Revised Non EYZ'!AC41</f>
        <v>1822.2107908876901</v>
      </c>
      <c r="AD41">
        <f>'TEA Revised Non EYZ'!AD41</f>
        <v>2662.6059073104898</v>
      </c>
      <c r="AE41">
        <f>'TEA Revised Non EYZ'!AE41</f>
        <v>2401.5030938442701</v>
      </c>
      <c r="AF41">
        <f>'TEA Revised Non EYZ'!AF41</f>
        <v>13</v>
      </c>
      <c r="AG41">
        <f>'TEA Revised Non EYZ'!AG41</f>
        <v>1.64951815726537E-3</v>
      </c>
      <c r="AH41">
        <f>'TEA Revised Non EYZ'!AH41</f>
        <v>1.6686323374819601E-3</v>
      </c>
      <c r="AI41">
        <f>'TEA Revised Non EYZ'!AI41</f>
        <v>6.1174468293775103E-6</v>
      </c>
      <c r="AJ41">
        <f>'TEA Revised Non EYZ'!AJ41</f>
        <v>0</v>
      </c>
      <c r="AK41">
        <f>'TEA Revised Non EYZ'!AK41</f>
        <v>0</v>
      </c>
      <c r="AL41">
        <f>'TEA Revised Non EYZ'!AL41</f>
        <v>0</v>
      </c>
      <c r="AM41">
        <f>'TEA Revised Non EYZ'!AM41</f>
        <v>1.6125577940565899E-3</v>
      </c>
      <c r="AN41">
        <f>'TEA Revised Non EYZ'!AN41</f>
        <v>7.87942672646522E-5</v>
      </c>
      <c r="AO41">
        <f>'TEA Revised Non EYZ'!AO41</f>
        <v>6.0771955804315697E-6</v>
      </c>
      <c r="AP41">
        <f>'TEA Revised Non EYZ'!AP41</f>
        <v>1.73304187149951E-3</v>
      </c>
      <c r="AQ41">
        <f>'TEA Revised Non EYZ'!AQ41</f>
        <v>7.4546235626165996E-2</v>
      </c>
      <c r="AR41">
        <f>'TEA Revised Non EYZ'!AR41</f>
        <v>1.8873488718012801E-6</v>
      </c>
      <c r="AS41">
        <f>'TEA Revised Non EYZ'!AS41</f>
        <v>3.5914196963582301E-19</v>
      </c>
      <c r="AT41">
        <f>'TEA Revised Non EYZ'!AT41</f>
        <v>-3.7730235602495499E-17</v>
      </c>
      <c r="AU41">
        <f>'TEA Revised Non EYZ'!AU41</f>
        <v>-5.6910026143648304E-22</v>
      </c>
      <c r="AV41">
        <f>'TEA Revised Non EYZ'!AV41</f>
        <v>0.197006928745454</v>
      </c>
      <c r="AW41">
        <f>'TEA Revised Non EYZ'!AW41</f>
        <v>99.342025356842598</v>
      </c>
      <c r="AX41">
        <f>'TEA Revised Non EYZ'!AX41</f>
        <v>500</v>
      </c>
      <c r="AY41">
        <f>'TEA Revised Non EYZ'!AY41</f>
        <v>95</v>
      </c>
      <c r="AZ41">
        <f>'TEA Revised Non EYZ'!AZ41</f>
        <v>0.92374973309314701</v>
      </c>
      <c r="BA41">
        <f>'TEA Revised Non EYZ'!BA41</f>
        <v>0.1</v>
      </c>
      <c r="BB41">
        <f>'TEA Revised Non EYZ'!BB41</f>
        <v>46.889200241616201</v>
      </c>
      <c r="BC41" t="str">
        <f>'TEA Revised Non EYZ'!BC41</f>
        <v>coeFc</v>
      </c>
      <c r="BD41">
        <f>'TEA Revised Non EYZ'!BD41</f>
        <v>1</v>
      </c>
      <c r="BE41">
        <f>'TEA Revised Non EYZ'!BE41</f>
        <v>1.8775014999999999E-2</v>
      </c>
      <c r="BF41">
        <f>'TEA Revised Non EYZ'!BF41</f>
        <v>0.10492961100000001</v>
      </c>
      <c r="BG41">
        <f>'TEA Revised Non EYZ'!BG41</f>
        <v>1.814625E-3</v>
      </c>
      <c r="BH41">
        <f>'TEA Revised Non EYZ'!BH41</f>
        <v>285.1951444</v>
      </c>
      <c r="BI41">
        <f>'TEA Revised Non EYZ'!BI41</f>
        <v>2169.8944889999998</v>
      </c>
      <c r="BJ41">
        <f>'TEA Revised Non EYZ'!BJ41</f>
        <v>866.49409060000005</v>
      </c>
      <c r="BK41">
        <f>'TEA Revised Non EYZ'!BK41</f>
        <v>100</v>
      </c>
      <c r="BL41">
        <f>'TEA Revised Non EYZ'!BL41</f>
        <v>11.395861217105201</v>
      </c>
      <c r="BM41">
        <f>'TEA Revised Non EYZ'!BM41</f>
        <v>92.374973309314697</v>
      </c>
      <c r="BN41">
        <f>'TEA Revised Non EYZ'!BN41</f>
        <v>19.7006928745454</v>
      </c>
      <c r="BO41">
        <f>'TEA Revised Non EYZ'!BO41</f>
        <v>182.33377947368322</v>
      </c>
      <c r="BP41">
        <f>'TEA Revised Non EYZ'!BP41</f>
        <v>591.02078623636203</v>
      </c>
      <c r="BQ41">
        <f>'TEA Revised Non EYZ'!BQ41</f>
        <v>18.233377947368322</v>
      </c>
      <c r="BR41">
        <f>'TEA Revised Non EYZ'!BR41</f>
        <v>59.102078623636203</v>
      </c>
      <c r="BS41">
        <f>'eLLE Bals'!CF41</f>
        <v>6.8375167302631192</v>
      </c>
      <c r="BT41">
        <f>'eLLE Bals'!CG41</f>
        <v>11.820415724727239</v>
      </c>
      <c r="BU41">
        <f>BM41</f>
        <v>92.374973309314697</v>
      </c>
      <c r="BV41">
        <f>BU41*(AM41*2+AN41*2+AO41*3)</f>
        <v>0.31416134538102181</v>
      </c>
      <c r="BW41">
        <f>BN41*BA41*(AP41*2+AQ41*2+AR41*3)</f>
        <v>0.30056207835888715</v>
      </c>
      <c r="BX41">
        <f>BV41/(2*V41*BL41+BV41)</f>
        <v>0.12114189502559995</v>
      </c>
      <c r="BY41">
        <f>BU41*BX41</f>
        <v>11.190479319629599</v>
      </c>
      <c r="BZ41">
        <f>BW41/(2*BN41*BA41+BW41)</f>
        <v>7.0875570556310816E-2</v>
      </c>
      <c r="CA41">
        <f>2*BN41*BA41/0.04</f>
        <v>98.503464372726995</v>
      </c>
      <c r="CB41">
        <f>(BS41+BL41)*2</f>
        <v>36.466755894736643</v>
      </c>
      <c r="CC41">
        <f>(BU41+BL41)*2</f>
        <v>207.54166905283981</v>
      </c>
      <c r="CD41">
        <f>(BT41+BN41)*2</f>
        <v>63.042217198545274</v>
      </c>
      <c r="CE41">
        <f>(CA41+BN41)*2</f>
        <v>236.40831449454478</v>
      </c>
      <c r="CF41">
        <f>'TEA Revised Non EYZ'!CB41</f>
        <v>2406.8058890526186</v>
      </c>
      <c r="CG41">
        <f>'TEA Revised Non EYZ'!CC41</f>
        <v>7801.4743783199792</v>
      </c>
      <c r="CH41">
        <f>'TEA Revised Non EYZ'!CD41</f>
        <v>2907.8673690603878</v>
      </c>
      <c r="CI41">
        <f>'TEA Revised Non EYZ'!CE41</f>
        <v>60173.465261771846</v>
      </c>
      <c r="CJ41">
        <f>BL41*V41</f>
        <v>1.1395861217105201</v>
      </c>
      <c r="CK41">
        <f>CJ41/2*1.2</f>
        <v>0.68375167302631201</v>
      </c>
      <c r="CL41">
        <f>'eLLE Bals'!CB41*'Oxidant Feed Composition'!$N$20</f>
        <v>3.7986204057017352E-2</v>
      </c>
      <c r="CM41">
        <f>'eLLE Bals'!CB41*'Oxidant Feed Composition'!$N$21</f>
        <v>1.8993102028508668</v>
      </c>
      <c r="CN41">
        <f>'eLLE Bals'!CB41*'Oxidant Feed Composition'!$N$22</f>
        <v>0.56979306085526005</v>
      </c>
      <c r="CO41">
        <f>CN41/CK41</f>
        <v>0.83333333333333337</v>
      </c>
      <c r="CP41">
        <f>CO41</f>
        <v>0.83333333333333337</v>
      </c>
      <c r="CQ41">
        <f>CL41/CO41</f>
        <v>4.5583444868420822E-2</v>
      </c>
      <c r="CR41">
        <f>CM41/CO41</f>
        <v>2.2791722434210402</v>
      </c>
      <c r="CS41">
        <f>BN41*BA41</f>
        <v>1.97006928745454</v>
      </c>
      <c r="CT41">
        <f>CS41/2*1.2</f>
        <v>1.182041572472724</v>
      </c>
      <c r="CU41">
        <f>'eLLE Bals'!CC41*'Oxidant Feed Composition'!$N$20</f>
        <v>6.5668976248484695E-2</v>
      </c>
      <c r="CV41">
        <f>'eLLE Bals'!CC41*'Oxidant Feed Composition'!$N$21</f>
        <v>3.2834488124242336</v>
      </c>
      <c r="CW41">
        <f>'eLLE Bals'!CC41*'Oxidant Feed Composition'!$N$22</f>
        <v>0.98503464372727001</v>
      </c>
      <c r="CX41">
        <f>CU41/CP41</f>
        <v>7.8802771498181629E-2</v>
      </c>
      <c r="CY41">
        <f>CV41/CP41</f>
        <v>3.94013857490908</v>
      </c>
      <c r="CZ41">
        <f>CJ41</f>
        <v>1.1395861217105201</v>
      </c>
      <c r="DA41">
        <f>'eLLE Bals'!BQ41</f>
        <v>2.2791722434210402</v>
      </c>
      <c r="DB41">
        <f>'eLLE Bals'!BU41</f>
        <v>5.9882772559449577</v>
      </c>
      <c r="DC41">
        <f>CS41</f>
        <v>1.97006928745454</v>
      </c>
      <c r="DD41">
        <f>'eLLE Bals'!BX41</f>
        <v>3.94013857490908</v>
      </c>
      <c r="DE41">
        <f>'eLLE Bals'!CA41</f>
        <v>21.885960436406055</v>
      </c>
      <c r="DF41">
        <f>2*2*(CJ41*'Reagent cost'!$C$36*122.44/1000*0.5+CK41*'Oxidant Feed Composition'!$N$26+CQ41*'Reagent cost'!$C$34+CR41*'Reagent cost'!$C$35)</f>
        <v>76.550884152580181</v>
      </c>
      <c r="DG41">
        <f>2*2*(CS41*'Reagent cost'!$C$36*122.44/1000*0.5+CT41*'Oxidant Feed Composition'!$N$26+CX41*'Reagent cost'!$C$34+CY41*'Reagent cost'!$C$35)</f>
        <v>132.33799791289303</v>
      </c>
      <c r="DH41">
        <f>(AF41+3)*2*(CZ41*'Reagent cost'!$C$38*0.5+DA41*'Reagent cost'!$C$39+DB41*'Reagent cost'!$C$36*122.44/1000)</f>
        <v>1742.4656691355433</v>
      </c>
      <c r="DI41">
        <f>3*2*(DC41*'Reagent cost'!$C$38*0.5+DD41*'Reagent cost'!$C$39+DE41*'Reagent cost'!$C$36*122.44/1000)</f>
        <v>1163.1769528442451</v>
      </c>
      <c r="DJ41">
        <f>7963.6*(CB41/1000)^0.6*1.7*('CAPEX+OPEX'!$G$116/'CAPEX+OPEX'!$G$115)</f>
        <v>2189.6727102460782</v>
      </c>
      <c r="DK41">
        <f>7963.6*(CC41/1000)^0.6*1.7*('CAPEX+OPEX'!$G$116/'CAPEX+OPEX'!$G$115)</f>
        <v>6215.9013146876341</v>
      </c>
      <c r="DL41">
        <f>7963.6*(CD41/1000)^0.6*1.7*('CAPEX+OPEX'!$G$116/'CAPEX+OPEX'!$G$115)</f>
        <v>3041.0237729027358</v>
      </c>
      <c r="DM41">
        <f>7963.6*(CE41/1000)^0.6*1.7*('CAPEX+OPEX'!$G$116/'CAPEX+OPEX'!$G$115)</f>
        <v>6721.0724334709284</v>
      </c>
      <c r="DN41">
        <f>'TEA Revised Non EYZ'!CM41</f>
        <v>39625.826528698344</v>
      </c>
      <c r="DO41">
        <f>'TEA Revised Non EYZ'!CN41</f>
        <v>4586243.4239371875</v>
      </c>
      <c r="DP41">
        <f>'TEA Revised Non EYZ'!CO41</f>
        <v>11794834.586807497</v>
      </c>
      <c r="DQ41">
        <f>'TEA Revised Non EYZ'!CP41</f>
        <v>2275209.1661185985</v>
      </c>
      <c r="DR41">
        <f>'TEA Revised Non EYZ'!CQ41</f>
        <v>14083914.336508472</v>
      </c>
      <c r="DS41">
        <f>'TEA Revised Non EYZ'!CR41</f>
        <v>1662824.8986326549</v>
      </c>
      <c r="DT41">
        <f>'TEA Revised Non EYZ'!CS41</f>
        <v>646135.89638675924</v>
      </c>
      <c r="DU41">
        <f>'TEA Revised Non EYZ'!CT41</f>
        <v>1661722.9645298459</v>
      </c>
      <c r="DV41">
        <f>'TEA Revised Non EYZ'!CU41</f>
        <v>320544.32748695416</v>
      </c>
      <c r="DW41">
        <f>'TEA Revised Non EYZ'!CV41</f>
        <v>1984221.4582325809</v>
      </c>
      <c r="DX41">
        <f>'TEA Revised Non EYZ'!CW41</f>
        <v>234268.17050410178</v>
      </c>
      <c r="DY41">
        <f>'TEA Revised Non EYZ'!CX41</f>
        <v>4846892.8171402421</v>
      </c>
      <c r="DZ41">
        <f>'TEA Revised Non EYZ'!CY41</f>
        <v>924998.39931869402</v>
      </c>
      <c r="EA41">
        <f>'TEA Revised Non EYZ'!CZ41</f>
        <v>2378897.5212439853</v>
      </c>
      <c r="EB41">
        <f>'TEA Revised Non EYZ'!DA41</f>
        <v>458886.42233651923</v>
      </c>
      <c r="EC41">
        <f>'TEA Revised Non EYZ'!DB41</f>
        <v>2840581.498447381</v>
      </c>
      <c r="ED41">
        <f>'TEA Revised Non EYZ'!DC41</f>
        <v>335374.77787475183</v>
      </c>
      <c r="EE41">
        <f>'TEA Revised Non EYZ'!DD41</f>
        <v>6938738.6192213316</v>
      </c>
      <c r="EF41">
        <v>0.7</v>
      </c>
      <c r="EG41">
        <v>100</v>
      </c>
      <c r="EH41">
        <f>96485*BL41*V41/EF41/EG41/60</f>
        <v>26.179277846009416</v>
      </c>
      <c r="EI41">
        <f>96485*BN41*BA41/EF41/EG41/60</f>
        <v>45.257651238107449</v>
      </c>
      <c r="EJ41">
        <f>EH41*('CAPEX+OPEX'!$O$25+'CAPEX+OPEX'!$O$26)</f>
        <v>834385.9435080121</v>
      </c>
      <c r="EK41">
        <f>EI41*('CAPEX+OPEX'!$O$25+'CAPEX+OPEX'!$O$26)</f>
        <v>1442451.8602609606</v>
      </c>
      <c r="EL41">
        <f>EJ41*1.12/0.6*'CAPEX+OPEX'!$G$116/'CAPEX+OPEX'!$G$115</f>
        <v>1837030.3015082346</v>
      </c>
      <c r="EM41">
        <f>EK41*1.12/0.6*'CAPEX+OPEX'!$G$116/'CAPEX+OPEX'!$G$115</f>
        <v>3175781.8985128454</v>
      </c>
      <c r="EN41">
        <f>EL41+EM41+DY41+EE41+1.15*(SUM(DF41:DM41)+SUM(CF41:CI41))</f>
        <v>16907201.223211244</v>
      </c>
      <c r="EO41">
        <f>EN41/15</f>
        <v>1127146.748214083</v>
      </c>
      <c r="EP41">
        <f>('eLLE Bals'!CB41+'eLLE Bals'!CC41)*'Oxidant Feed Composition'!$N$29*60*7200</f>
        <v>7756591.3593698135</v>
      </c>
      <c r="EQ41" s="53">
        <f>('eLLE Bals'!BR41+'eLLE Bals'!BY41)*'Reagent cost'!$C$38*60*7200*0.5</f>
        <v>253346.07502871237</v>
      </c>
      <c r="ER41">
        <f>'TEA Revised Non EYZ'!DI41</f>
        <v>504921.59999999998</v>
      </c>
      <c r="ES41">
        <f>'TEA Revised Non EYZ'!DJ41</f>
        <v>102.08280267372598</v>
      </c>
      <c r="ET41">
        <f>'TEA Revised Non EYZ'!DK41</f>
        <v>1261.6266526166448</v>
      </c>
      <c r="EU41">
        <f>1.2*SUM(EP41:ET41)</f>
        <v>10219467.29262458</v>
      </c>
      <c r="EV41">
        <f>'TEA Revised Non EYZ'!DM41</f>
        <v>0.70639694042110623</v>
      </c>
      <c r="EW41">
        <f>(BS41*CO41+BT41*CP41)/1000*('Oxidant Feed Composition'!$B$11*'Oxidant Feed Composition'!$O$20+'Oxidant Feed Composition'!$D$11*'Oxidant Feed Composition'!$O$21+'Oxidant Feed Composition'!$F$11*'Oxidant Feed Composition'!$O$27-'Oxidant Feed Composition'!$J$15*18.015)</f>
        <v>1.8157983825892661</v>
      </c>
      <c r="EX41">
        <f>(CZ41*BX41+DC41*BZ41)*368.34/1000</f>
        <v>0.10228116949588884</v>
      </c>
      <c r="EY41">
        <f>'TEA Revised Non EYZ'!DP41</f>
        <v>4.999938342565946E-2</v>
      </c>
      <c r="EZ41">
        <f>SUM(EV41:EX41)-EY41</f>
        <v>2.5744771090806018</v>
      </c>
      <c r="FA41">
        <f>EZ41*0.33*60*7200</f>
        <v>367017.45667053066</v>
      </c>
      <c r="FB41">
        <f>'TEA Revised Non EYZ'!DS41</f>
        <v>1.2</v>
      </c>
      <c r="FC41">
        <v>0.5</v>
      </c>
      <c r="FD41">
        <f>'TEA Revised Non EYZ'!DT41</f>
        <v>1406.1110801055565</v>
      </c>
      <c r="FE41">
        <f>'TEA Revised Non EYZ'!DU41</f>
        <v>706.15649355020639</v>
      </c>
      <c r="FF41">
        <f>'TEA Revised Non EYZ'!DV41</f>
        <v>0.7</v>
      </c>
      <c r="FG41">
        <f>'TEA Revised Non EYZ'!DW41</f>
        <v>35776.359048024235</v>
      </c>
      <c r="FH41">
        <f>'TEA Revised Non EYZ'!DX41</f>
        <v>29068.269280606211</v>
      </c>
      <c r="FI41">
        <f>'TEA Revised Non EYZ'!DY41</f>
        <v>12307.130138966339</v>
      </c>
      <c r="FJ41">
        <f>'TEA Revised Non EYZ'!DZ41</f>
        <v>6519.4301878820042</v>
      </c>
      <c r="FK41">
        <f>'TEA Revised Non EYZ'!EA41</f>
        <v>6563.8027407820491</v>
      </c>
      <c r="FL41">
        <f>'TEA Revised Non EYZ'!EB41</f>
        <v>850.4159812478407</v>
      </c>
      <c r="FM41">
        <f>'TEA Revised Non EYZ'!EC41</f>
        <v>51435.880435969884</v>
      </c>
      <c r="FN41">
        <f>'TEA Revised Non EYZ'!ED41</f>
        <v>54320.489314247861</v>
      </c>
      <c r="FO41">
        <f>'TEA Revised Non EYZ'!EE41</f>
        <v>22998.59426611301</v>
      </c>
      <c r="FP41">
        <f>'TEA Revised Non EYZ'!EF41</f>
        <v>12189.762876036224</v>
      </c>
      <c r="FQ41">
        <f>'TEA Revised Non EYZ'!EG41</f>
        <v>12265.916941926936</v>
      </c>
      <c r="FR41">
        <f>'TEA Revised Non EYZ'!EH41</f>
        <v>427.08344729916485</v>
      </c>
      <c r="FS41">
        <f>'TEA Revised Non EYZ'!EI41</f>
        <v>244723.13465910175</v>
      </c>
      <c r="FT41">
        <f>EG41*EH41</f>
        <v>2617.9277846009418</v>
      </c>
      <c r="FU41">
        <f>EG41*EI41</f>
        <v>4525.7651238107446</v>
      </c>
      <c r="FV41">
        <f>FC41*(FT41+FU41)/(3.6*10^6)*3600*7200*0.07</f>
        <v>1800.2106129197452</v>
      </c>
      <c r="FW41">
        <f>('CAPEX+OPEX'!$C$39/7/100+0.03)*EL41</f>
        <v>94475.844077566348</v>
      </c>
      <c r="FX41">
        <f>('CAPEX+OPEX'!$C$39/7/100+0.03)*EM41</f>
        <v>163325.92620923204</v>
      </c>
      <c r="FY41">
        <f>SUM(FV41:FX41)</f>
        <v>259601.98089971812</v>
      </c>
      <c r="FZ41">
        <f>FY41+FA41+FS41+EU41</f>
        <v>11090809.86485393</v>
      </c>
      <c r="GA41">
        <f>FZ41+EO41</f>
        <v>12217956.613068013</v>
      </c>
      <c r="GB41">
        <f>GA41/(BK41*60*7200)</f>
        <v>0.28282306974694471</v>
      </c>
      <c r="GC41">
        <f>'TEA Revised Non EYZ'!EM41/'TEA Revised Non EYZ'!EK41*GA41</f>
        <v>946.14742009005522</v>
      </c>
      <c r="GD41">
        <f>'TEA Revised Non EYZ'!EN41/'TEA Revised Non EYZ'!EK41*GA41</f>
        <v>1735.5990569435219</v>
      </c>
    </row>
    <row r="42" spans="1:186">
      <c r="A42">
        <f>'TEA Revised Non EYZ'!A42</f>
        <v>7</v>
      </c>
      <c r="B42">
        <f>'TEA Revised Non EYZ'!B42</f>
        <v>1.54143585092054E-3</v>
      </c>
      <c r="C42">
        <f>'TEA Revised Non EYZ'!C42</f>
        <v>1.54143585092054E-3</v>
      </c>
      <c r="D42">
        <f>'TEA Revised Non EYZ'!D42</f>
        <v>3.4254130020456501E-4</v>
      </c>
      <c r="E42">
        <f>'TEA Revised Non EYZ'!E42</f>
        <v>0</v>
      </c>
      <c r="F42">
        <f>'TEA Revised Non EYZ'!F42</f>
        <v>0</v>
      </c>
      <c r="G42">
        <f>'TEA Revised Non EYZ'!G42</f>
        <v>0</v>
      </c>
      <c r="H42">
        <f>'TEA Revised Non EYZ'!H42</f>
        <v>1.7744466230058299E-5</v>
      </c>
      <c r="I42">
        <f>'TEA Revised Non EYZ'!I42</f>
        <v>1.2927742824924801E-8</v>
      </c>
      <c r="J42">
        <f>'TEA Revised Non EYZ'!J42</f>
        <v>3.3739048286900598E-4</v>
      </c>
      <c r="K42">
        <f>'TEA Revised Non EYZ'!K42</f>
        <v>0.13716795306346499</v>
      </c>
      <c r="L42">
        <f>'TEA Revised Non EYZ'!L42</f>
        <v>0.138764207307677</v>
      </c>
      <c r="M42">
        <f>'TEA Revised Non EYZ'!M42</f>
        <v>4.6369433969460899E-4</v>
      </c>
      <c r="N42">
        <f>'TEA Revised Non EYZ'!N42</f>
        <v>-1.1037178115902399E-16</v>
      </c>
      <c r="O42">
        <f>'TEA Revised Non EYZ'!O42</f>
        <v>-5.3700533603207003E-15</v>
      </c>
      <c r="P42">
        <f>'TEA Revised Non EYZ'!P42</f>
        <v>-3.4304834363799101E-19</v>
      </c>
      <c r="Q42">
        <f>'TEA Revised Non EYZ'!Q42</f>
        <v>0.111082169753281</v>
      </c>
      <c r="R42">
        <f>'TEA Revised Non EYZ'!R42</f>
        <v>98.496293050653193</v>
      </c>
      <c r="S42">
        <f>'TEA Revised Non EYZ'!S42</f>
        <v>500</v>
      </c>
      <c r="T42">
        <f>'TEA Revised Non EYZ'!T42</f>
        <v>95</v>
      </c>
      <c r="U42">
        <f>'TEA Revised Non EYZ'!U42</f>
        <v>1</v>
      </c>
      <c r="V42">
        <f>'TEA Revised Non EYZ'!V42</f>
        <v>0.1</v>
      </c>
      <c r="W42">
        <f>'TEA Revised Non EYZ'!W42</f>
        <v>90.023448607553206</v>
      </c>
      <c r="X42" t="str">
        <f>'TEA Revised Non EYZ'!X42</f>
        <v>ddFc</v>
      </c>
      <c r="Y42">
        <f>'TEA Revised Non EYZ'!Y42</f>
        <v>1</v>
      </c>
      <c r="Z42">
        <f>'TEA Revised Non EYZ'!Z42</f>
        <v>0.28318429382522198</v>
      </c>
      <c r="AA42">
        <f>'TEA Revised Non EYZ'!AA42</f>
        <v>0.56945642916197003</v>
      </c>
      <c r="AB42">
        <f>'TEA Revised Non EYZ'!AB42</f>
        <v>3.7698628972227502E-3</v>
      </c>
      <c r="AC42">
        <f>'TEA Revised Non EYZ'!AC42</f>
        <v>1822.2107908876901</v>
      </c>
      <c r="AD42">
        <f>'TEA Revised Non EYZ'!AD42</f>
        <v>2662.6059073104898</v>
      </c>
      <c r="AE42">
        <f>'TEA Revised Non EYZ'!AE42</f>
        <v>2401.5030938442701</v>
      </c>
      <c r="AF42">
        <f>'TEA Revised Non EYZ'!AF42</f>
        <v>4</v>
      </c>
      <c r="AG42">
        <f>'TEA Revised Non EYZ'!AG42</f>
        <v>1.64967327652189E-3</v>
      </c>
      <c r="AH42">
        <f>'TEA Revised Non EYZ'!AH42</f>
        <v>1.66887089455438E-3</v>
      </c>
      <c r="AI42">
        <f>'TEA Revised Non EYZ'!AI42</f>
        <v>5.5766973522943398E-6</v>
      </c>
      <c r="AJ42">
        <f>'TEA Revised Non EYZ'!AJ42</f>
        <v>0</v>
      </c>
      <c r="AK42">
        <f>'TEA Revised Non EYZ'!AK42</f>
        <v>0</v>
      </c>
      <c r="AL42">
        <f>'TEA Revised Non EYZ'!AL42</f>
        <v>0</v>
      </c>
      <c r="AM42">
        <f>'TEA Revised Non EYZ'!AM42</f>
        <v>1.6047223792851101E-3</v>
      </c>
      <c r="AN42">
        <f>'TEA Revised Non EYZ'!AN42</f>
        <v>7.8926667299838998E-5</v>
      </c>
      <c r="AO42">
        <f>'TEA Revised Non EYZ'!AO42</f>
        <v>5.5324052965634797E-6</v>
      </c>
      <c r="AP42">
        <f>'TEA Revised Non EYZ'!AP42</f>
        <v>1.9882830340612E-3</v>
      </c>
      <c r="AQ42">
        <f>'TEA Revised Non EYZ'!AQ42</f>
        <v>7.0326941752228797E-2</v>
      </c>
      <c r="AR42">
        <f>'TEA Revised Non EYZ'!AR42</f>
        <v>1.9591409371835302E-6</v>
      </c>
      <c r="AS42">
        <f>'TEA Revised Non EYZ'!AS42</f>
        <v>-9.7615058397559906E-15</v>
      </c>
      <c r="AT42">
        <f>'TEA Revised Non EYZ'!AT42</f>
        <v>-1.25855922905593E-13</v>
      </c>
      <c r="AU42">
        <f>'TEA Revised Non EYZ'!AU42</f>
        <v>-3.2733654421091398E-18</v>
      </c>
      <c r="AV42">
        <f>'TEA Revised Non EYZ'!AV42</f>
        <v>0.20881381645079999</v>
      </c>
      <c r="AW42">
        <f>'TEA Revised Non EYZ'!AW42</f>
        <v>99.205765474925002</v>
      </c>
      <c r="AX42">
        <f>'TEA Revised Non EYZ'!AX42</f>
        <v>500</v>
      </c>
      <c r="AY42">
        <f>'TEA Revised Non EYZ'!AY42</f>
        <v>95</v>
      </c>
      <c r="AZ42">
        <f>'TEA Revised Non EYZ'!AZ42</f>
        <v>0.92363221637625403</v>
      </c>
      <c r="BA42">
        <f>'TEA Revised Non EYZ'!BA42</f>
        <v>0.1</v>
      </c>
      <c r="BB42">
        <f>'TEA Revised Non EYZ'!BB42</f>
        <v>44.232332518757197</v>
      </c>
      <c r="BC42" t="str">
        <f>'TEA Revised Non EYZ'!BC42</f>
        <v>coeFc</v>
      </c>
      <c r="BD42">
        <f>'TEA Revised Non EYZ'!BD42</f>
        <v>1</v>
      </c>
      <c r="BE42">
        <f>'TEA Revised Non EYZ'!BE42</f>
        <v>1.8775014999999999E-2</v>
      </c>
      <c r="BF42">
        <f>'TEA Revised Non EYZ'!BF42</f>
        <v>0.10492961100000001</v>
      </c>
      <c r="BG42">
        <f>'TEA Revised Non EYZ'!BG42</f>
        <v>1.814625E-3</v>
      </c>
      <c r="BH42">
        <f>'TEA Revised Non EYZ'!BH42</f>
        <v>285.1951444</v>
      </c>
      <c r="BI42">
        <f>'TEA Revised Non EYZ'!BI42</f>
        <v>2169.8944889999998</v>
      </c>
      <c r="BJ42">
        <f>'TEA Revised Non EYZ'!BJ42</f>
        <v>866.49409060000005</v>
      </c>
      <c r="BK42">
        <f>'TEA Revised Non EYZ'!BK42</f>
        <v>100</v>
      </c>
      <c r="BL42">
        <f>'TEA Revised Non EYZ'!BL42</f>
        <v>11.1082169753281</v>
      </c>
      <c r="BM42">
        <f>'TEA Revised Non EYZ'!BM42</f>
        <v>92.363221637625401</v>
      </c>
      <c r="BN42">
        <f>'TEA Revised Non EYZ'!BN42</f>
        <v>20.881381645079998</v>
      </c>
      <c r="BO42">
        <f>'TEA Revised Non EYZ'!BO42</f>
        <v>199.94790555590581</v>
      </c>
      <c r="BP42">
        <f>'TEA Revised Non EYZ'!BP42</f>
        <v>250.57657974095997</v>
      </c>
      <c r="BQ42">
        <f>'TEA Revised Non EYZ'!BQ42</f>
        <v>19.994790555590583</v>
      </c>
      <c r="BR42">
        <f>'TEA Revised Non EYZ'!BR42</f>
        <v>25.057657974095999</v>
      </c>
      <c r="BS42">
        <f>'eLLE Bals'!CF42</f>
        <v>6.6649301851968596</v>
      </c>
      <c r="BT42">
        <f>'eLLE Bals'!CG42</f>
        <v>12.528828987047998</v>
      </c>
      <c r="BU42">
        <f>BM42</f>
        <v>92.363221637625401</v>
      </c>
      <c r="BV42">
        <f>BU42*(AM42*2+AN42*2+AO42*3)</f>
        <v>0.31254747242919168</v>
      </c>
      <c r="BW42">
        <f>BN42*BA42*(AP42*2+AQ42*2+AR42*3)</f>
        <v>0.30202063437333582</v>
      </c>
      <c r="BX42">
        <f>BV42/(2*V42*BL42+BV42)</f>
        <v>0.12333225426629454</v>
      </c>
      <c r="BY42">
        <f>BU42*BX42</f>
        <v>11.391364335865735</v>
      </c>
      <c r="BZ42">
        <f>BW42/(2*BN42*BA42+BW42)</f>
        <v>6.7440957319801265E-2</v>
      </c>
      <c r="CA42">
        <f>2*BN42*BA42/0.04</f>
        <v>104.40690822539999</v>
      </c>
      <c r="CB42">
        <f>(BS42+BL42)*2</f>
        <v>35.54629432104992</v>
      </c>
      <c r="CC42">
        <f>(BU42+BL42)*2</f>
        <v>206.94287722590701</v>
      </c>
      <c r="CD42">
        <f>(BT42+BN42)*2</f>
        <v>66.820421264255998</v>
      </c>
      <c r="CE42">
        <f>(CA42+BN42)*2</f>
        <v>250.57657974095997</v>
      </c>
      <c r="CF42">
        <f>'TEA Revised Non EYZ'!CB42</f>
        <v>2639.3123533379567</v>
      </c>
      <c r="CG42">
        <f>'TEA Revised Non EYZ'!CC42</f>
        <v>3307.6108525806717</v>
      </c>
      <c r="CH42">
        <f>'TEA Revised Non EYZ'!CD42</f>
        <v>3188.7782491883527</v>
      </c>
      <c r="CI42">
        <f>'TEA Revised Non EYZ'!CE42</f>
        <v>25511.896480788433</v>
      </c>
      <c r="CJ42">
        <f>BL42*V42</f>
        <v>1.11082169753281</v>
      </c>
      <c r="CK42">
        <f>CJ42/2*1.2</f>
        <v>0.66649301851968601</v>
      </c>
      <c r="CL42">
        <f>'eLLE Bals'!CB42*'Oxidant Feed Composition'!$N$20</f>
        <v>3.7027389917760348E-2</v>
      </c>
      <c r="CM42">
        <f>'eLLE Bals'!CB42*'Oxidant Feed Composition'!$N$21</f>
        <v>1.8513694958880169</v>
      </c>
      <c r="CN42">
        <f>'eLLE Bals'!CB42*'Oxidant Feed Composition'!$N$22</f>
        <v>0.55541084876640501</v>
      </c>
      <c r="CO42">
        <f>CN42/CK42</f>
        <v>0.83333333333333337</v>
      </c>
      <c r="CP42">
        <f>CO42</f>
        <v>0.83333333333333337</v>
      </c>
      <c r="CQ42">
        <f>CL42/CO42</f>
        <v>4.4432867901312414E-2</v>
      </c>
      <c r="CR42">
        <f>CM42/CO42</f>
        <v>2.22164339506562</v>
      </c>
      <c r="CS42">
        <f>BN42*BA42</f>
        <v>2.0881381645079999</v>
      </c>
      <c r="CT42">
        <f>CS42/2*1.2</f>
        <v>1.2528828987048</v>
      </c>
      <c r="CU42">
        <f>'eLLE Bals'!CC42*'Oxidant Feed Composition'!$N$20</f>
        <v>6.9604605483600021E-2</v>
      </c>
      <c r="CV42">
        <f>'eLLE Bals'!CC42*'Oxidant Feed Composition'!$N$21</f>
        <v>3.4802302741800002</v>
      </c>
      <c r="CW42">
        <f>'eLLE Bals'!CC42*'Oxidant Feed Composition'!$N$22</f>
        <v>1.044069082254</v>
      </c>
      <c r="CX42">
        <f>CU42/CP42</f>
        <v>8.3525526580320017E-2</v>
      </c>
      <c r="CY42">
        <f>CV42/CP42</f>
        <v>4.1762763290159999</v>
      </c>
      <c r="CZ42">
        <f>CJ42</f>
        <v>1.11082169753281</v>
      </c>
      <c r="DA42">
        <f>'eLLE Bals'!BQ42</f>
        <v>2.22164339506562</v>
      </c>
      <c r="DB42">
        <f>'eLLE Bals'!BU42</f>
        <v>5.6742761217325999</v>
      </c>
      <c r="DC42">
        <f>CS42</f>
        <v>2.0881381645079999</v>
      </c>
      <c r="DD42">
        <f>'eLLE Bals'!BX42</f>
        <v>4.1762763290159999</v>
      </c>
      <c r="DE42">
        <f>'eLLE Bals'!CA42</f>
        <v>24.698048785372904</v>
      </c>
      <c r="DF42">
        <f>2*2*(CJ42*'Reagent cost'!$C$36*122.44/1000*0.5+CK42*'Oxidant Feed Composition'!$N$26+CQ42*'Reagent cost'!$C$34+CR42*'Reagent cost'!$C$35)</f>
        <v>74.618654493940213</v>
      </c>
      <c r="DG42">
        <f>2*2*(CS42*'Reagent cost'!$C$36*122.44/1000*0.5+CT42*'Oxidant Feed Composition'!$N$26+CX42*'Reagent cost'!$C$34+CY42*'Reagent cost'!$C$35)</f>
        <v>140.26919043722651</v>
      </c>
      <c r="DH42">
        <f>(AF42+3)*2*(CZ42*'Reagent cost'!$C$38*0.5+DA42*'Reagent cost'!$C$39+DB42*'Reagent cost'!$C$36*122.44/1000)</f>
        <v>723.37302151295057</v>
      </c>
      <c r="DI42">
        <f>3*2*(DC42*'Reagent cost'!$C$38*0.5+DD42*'Reagent cost'!$C$39+DE42*'Reagent cost'!$C$36*122.44/1000)</f>
        <v>1310.7306068482585</v>
      </c>
      <c r="DJ42">
        <f>7963.6*(CB42/1000)^0.6*1.7*('CAPEX+OPEX'!$G$116/'CAPEX+OPEX'!$G$115)</f>
        <v>2156.3414312027717</v>
      </c>
      <c r="DK42">
        <f>7963.6*(CC42/1000)^0.6*1.7*('CAPEX+OPEX'!$G$116/'CAPEX+OPEX'!$G$115)</f>
        <v>6205.1347590783025</v>
      </c>
      <c r="DL42">
        <f>7963.6*(CD42/1000)^0.6*1.7*('CAPEX+OPEX'!$G$116/'CAPEX+OPEX'!$G$115)</f>
        <v>3149.1000109774004</v>
      </c>
      <c r="DM42">
        <f>7963.6*(CE42/1000)^0.6*1.7*('CAPEX+OPEX'!$G$116/'CAPEX+OPEX'!$G$115)</f>
        <v>6959.9354870614361</v>
      </c>
      <c r="DN42">
        <f>'TEA Revised Non EYZ'!CM42</f>
        <v>39625.826528698344</v>
      </c>
      <c r="DO42">
        <f>'TEA Revised Non EYZ'!CN42</f>
        <v>4586243.4239371875</v>
      </c>
      <c r="DP42">
        <f>'TEA Revised Non EYZ'!CO42</f>
        <v>11794834.586807497</v>
      </c>
      <c r="DQ42">
        <f>'TEA Revised Non EYZ'!CP42</f>
        <v>2275209.1661185985</v>
      </c>
      <c r="DR42">
        <f>'TEA Revised Non EYZ'!CQ42</f>
        <v>14083914.336508472</v>
      </c>
      <c r="DS42">
        <f>'TEA Revised Non EYZ'!CR42</f>
        <v>1662824.8986326549</v>
      </c>
      <c r="DT42">
        <f>'TEA Revised Non EYZ'!CS42</f>
        <v>700033.84449786716</v>
      </c>
      <c r="DU42">
        <f>'TEA Revised Non EYZ'!CT42</f>
        <v>1800336.9288957189</v>
      </c>
      <c r="DV42">
        <f>'TEA Revised Non EYZ'!CU42</f>
        <v>347282.79168127343</v>
      </c>
      <c r="DW42">
        <f>'TEA Revised Non EYZ'!CV42</f>
        <v>2149736.8951473436</v>
      </c>
      <c r="DX42">
        <f>'TEA Revised Non EYZ'!CW42</f>
        <v>253809.83932102245</v>
      </c>
      <c r="DY42">
        <f>'TEA Revised Non EYZ'!CX42</f>
        <v>5251200.2995432261</v>
      </c>
      <c r="DZ42">
        <f>'TEA Revised Non EYZ'!CY42</f>
        <v>498662.12122409587</v>
      </c>
      <c r="EA42">
        <f>'TEA Revised Non EYZ'!CZ42</f>
        <v>1282452.0399084061</v>
      </c>
      <c r="EB42">
        <f>'TEA Revised Non EYZ'!DA42</f>
        <v>247383.42999491547</v>
      </c>
      <c r="EC42">
        <f>'TEA Revised Non EYZ'!DB42</f>
        <v>1531343.6180743722</v>
      </c>
      <c r="ED42">
        <f>'TEA Revised Non EYZ'!DC42</f>
        <v>180798.90545028303</v>
      </c>
      <c r="EE42">
        <f>'TEA Revised Non EYZ'!DD42</f>
        <v>3740640.1146520725</v>
      </c>
      <c r="EF42">
        <v>0.7</v>
      </c>
      <c r="EG42">
        <v>100</v>
      </c>
      <c r="EH42">
        <f>96485*BL42*V42/EF42/EG42/60</f>
        <v>25.518483687250757</v>
      </c>
      <c r="EI42">
        <f>96485*BN42*BA42/EF42/EG42/60</f>
        <v>47.970002572036755</v>
      </c>
      <c r="EJ42">
        <f>EH42*('CAPEX+OPEX'!$O$25+'CAPEX+OPEX'!$O$26)</f>
        <v>813325.1120800561</v>
      </c>
      <c r="EK42">
        <f>EI42*('CAPEX+OPEX'!$O$25+'CAPEX+OPEX'!$O$26)</f>
        <v>1528899.9219759554</v>
      </c>
      <c r="EL42">
        <f>EJ42*1.12/0.6*'CAPEX+OPEX'!$G$116/'CAPEX+OPEX'!$G$115</f>
        <v>1790661.6086879191</v>
      </c>
      <c r="EM42">
        <f>EK42*1.12/0.6*'CAPEX+OPEX'!$G$116/'CAPEX+OPEX'!$G$115</f>
        <v>3366110.7386769345</v>
      </c>
      <c r="EN42">
        <f>EL42+EM42+DY42+EE42+1.15*(SUM(DF42:DM42)+SUM(CF42:CI42))</f>
        <v>14212284.927822286</v>
      </c>
      <c r="EO42">
        <f>EN42/15</f>
        <v>947485.66185481905</v>
      </c>
      <c r="EP42">
        <f>('eLLE Bals'!CB42+'eLLE Bals'!CC42)*'Oxidant Feed Composition'!$N$29*60*7200</f>
        <v>7979348.5643924996</v>
      </c>
      <c r="EQ42" s="53">
        <f>('eLLE Bals'!BR42+'eLLE Bals'!BY42)*'Reagent cost'!$C$38*60*7200*0.5</f>
        <v>253478.16116600894</v>
      </c>
      <c r="ER42">
        <f>'TEA Revised Non EYZ'!DI42</f>
        <v>504921.59999999998</v>
      </c>
      <c r="ES42">
        <f>'TEA Revised Non EYZ'!DJ42</f>
        <v>59.46923205918629</v>
      </c>
      <c r="ET42">
        <f>'TEA Revised Non EYZ'!DK42</f>
        <v>574.01349459953576</v>
      </c>
      <c r="EU42">
        <f>1.2*SUM(EP42:ET42)</f>
        <v>10486058.1699422</v>
      </c>
      <c r="EV42">
        <f>'TEA Revised Non EYZ'!DM42</f>
        <v>0.70639694042110623</v>
      </c>
      <c r="EW42">
        <f>(BS42*CO42+BT42*CP42)/1000*('Oxidant Feed Composition'!$B$11*'Oxidant Feed Composition'!$O$20+'Oxidant Feed Composition'!$D$11*'Oxidant Feed Composition'!$O$21+'Oxidant Feed Composition'!$F$11*'Oxidant Feed Composition'!$O$27-'Oxidant Feed Composition'!$J$15*18.015)</f>
        <v>1.8679452798344967</v>
      </c>
      <c r="EX42">
        <f>(CZ42*BX42+DC42*BZ42)*368.34/1000</f>
        <v>0.10233449546352166</v>
      </c>
      <c r="EY42">
        <f>'TEA Revised Non EYZ'!DP42</f>
        <v>4.999938342565946E-2</v>
      </c>
      <c r="EZ42">
        <f>SUM(EV42:EX42)-EY42</f>
        <v>2.6266773322934651</v>
      </c>
      <c r="FA42">
        <f>EZ42*0.33*60*7200</f>
        <v>374459.12049175642</v>
      </c>
      <c r="FB42">
        <f>'TEA Revised Non EYZ'!DS42</f>
        <v>1.2</v>
      </c>
      <c r="FC42">
        <v>0.5</v>
      </c>
      <c r="FD42">
        <f>'TEA Revised Non EYZ'!DT42</f>
        <v>1398.9914479268402</v>
      </c>
      <c r="FE42">
        <f>'TEA Revised Non EYZ'!DU42</f>
        <v>712.89608624945879</v>
      </c>
      <c r="FF42">
        <f>'TEA Revised Non EYZ'!DV42</f>
        <v>0.7</v>
      </c>
      <c r="FG42">
        <f>'TEA Revised Non EYZ'!DW42</f>
        <v>38528.386667103026</v>
      </c>
      <c r="FH42">
        <f>'TEA Revised Non EYZ'!DX42</f>
        <v>33220.879177835675</v>
      </c>
      <c r="FI42">
        <f>'TEA Revised Non EYZ'!DY42</f>
        <v>14065.291587390104</v>
      </c>
      <c r="FJ42">
        <f>'TEA Revised Non EYZ'!DZ42</f>
        <v>7450.7773575794354</v>
      </c>
      <c r="FK42">
        <f>'TEA Revised Non EYZ'!EA42</f>
        <v>7501.4888466080574</v>
      </c>
      <c r="FL42">
        <f>'TEA Revised Non EYZ'!EB42</f>
        <v>846.11002770615301</v>
      </c>
      <c r="FM42">
        <f>'TEA Revised Non EYZ'!EC42</f>
        <v>28286.660719414074</v>
      </c>
      <c r="FN42">
        <f>'TEA Revised Non EYZ'!ED42</f>
        <v>19398.062099470691</v>
      </c>
      <c r="FO42">
        <f>'TEA Revised Non EYZ'!EE42</f>
        <v>8212.8891953404127</v>
      </c>
      <c r="FP42">
        <f>'TEA Revised Non EYZ'!EF42</f>
        <v>4353.0165286796973</v>
      </c>
      <c r="FQ42">
        <f>'TEA Revised Non EYZ'!EG42</f>
        <v>4380.2075708482198</v>
      </c>
      <c r="FR42">
        <f>'TEA Revised Non EYZ'!EH42</f>
        <v>431.1595529636727</v>
      </c>
      <c r="FS42">
        <f>'TEA Revised Non EYZ'!EI42</f>
        <v>166674.92933093925</v>
      </c>
      <c r="FT42">
        <f>EG42*EH42</f>
        <v>2551.8483687250759</v>
      </c>
      <c r="FU42">
        <f>EG42*EI42</f>
        <v>4797.0002572036756</v>
      </c>
      <c r="FV42">
        <f>FC42*(FT42+FU42)/(3.6*10^6)*3600*7200*0.07</f>
        <v>1851.9098537340456</v>
      </c>
      <c r="FW42">
        <f>('CAPEX+OPEX'!$C$39/7/100+0.03)*EL42</f>
        <v>92091.168446807264</v>
      </c>
      <c r="FX42">
        <f>('CAPEX+OPEX'!$C$39/7/100+0.03)*EM42</f>
        <v>173114.26656052805</v>
      </c>
      <c r="FY42">
        <f>SUM(FV42:FX42)</f>
        <v>267057.34486106934</v>
      </c>
      <c r="FZ42">
        <f>FY42+FA42+FS42+EU42</f>
        <v>11294249.564625965</v>
      </c>
      <c r="GA42">
        <f>FZ42+EO42</f>
        <v>12241735.226480784</v>
      </c>
      <c r="GB42">
        <f>GA42/(BK42*60*7200)</f>
        <v>0.28337350061298111</v>
      </c>
      <c r="GC42">
        <f>'TEA Revised Non EYZ'!EM42/'TEA Revised Non EYZ'!EK42*GA42</f>
        <v>952.73343629167289</v>
      </c>
      <c r="GD42">
        <f>'TEA Revised Non EYZ'!EN42/'TEA Revised Non EYZ'!EK42*GA42</f>
        <v>1723.8506581236552</v>
      </c>
    </row>
    <row r="43" spans="1:186">
      <c r="A43">
        <f>'TEA Revised Non EYZ'!A43</f>
        <v>7</v>
      </c>
      <c r="B43">
        <f>'TEA Revised Non EYZ'!B43</f>
        <v>1.54143585092054E-3</v>
      </c>
      <c r="C43">
        <f>'TEA Revised Non EYZ'!C43</f>
        <v>1.54143585092054E-3</v>
      </c>
      <c r="D43">
        <f>'TEA Revised Non EYZ'!D43</f>
        <v>3.4254130020456501E-4</v>
      </c>
      <c r="E43">
        <f>'TEA Revised Non EYZ'!E43</f>
        <v>0</v>
      </c>
      <c r="F43">
        <f>'TEA Revised Non EYZ'!F43</f>
        <v>0</v>
      </c>
      <c r="G43">
        <f>'TEA Revised Non EYZ'!G43</f>
        <v>0</v>
      </c>
      <c r="H43">
        <f>'TEA Revised Non EYZ'!H43</f>
        <v>1.7744466230058299E-5</v>
      </c>
      <c r="I43">
        <f>'TEA Revised Non EYZ'!I43</f>
        <v>1.2927742824924801E-8</v>
      </c>
      <c r="J43">
        <f>'TEA Revised Non EYZ'!J43</f>
        <v>3.3739048286900598E-4</v>
      </c>
      <c r="K43">
        <f>'TEA Revised Non EYZ'!K43</f>
        <v>0.13716795306346499</v>
      </c>
      <c r="L43">
        <f>'TEA Revised Non EYZ'!L43</f>
        <v>0.138764207307677</v>
      </c>
      <c r="M43">
        <f>'TEA Revised Non EYZ'!M43</f>
        <v>4.6369433969460899E-4</v>
      </c>
      <c r="N43">
        <f>'TEA Revised Non EYZ'!N43</f>
        <v>-1.1037178115902399E-16</v>
      </c>
      <c r="O43">
        <f>'TEA Revised Non EYZ'!O43</f>
        <v>-5.3700533603207003E-15</v>
      </c>
      <c r="P43">
        <f>'TEA Revised Non EYZ'!P43</f>
        <v>-3.4304834363799101E-19</v>
      </c>
      <c r="Q43">
        <f>'TEA Revised Non EYZ'!Q43</f>
        <v>0.111082169753281</v>
      </c>
      <c r="R43">
        <f>'TEA Revised Non EYZ'!R43</f>
        <v>98.496293050653193</v>
      </c>
      <c r="S43">
        <f>'TEA Revised Non EYZ'!S43</f>
        <v>500</v>
      </c>
      <c r="T43">
        <f>'TEA Revised Non EYZ'!T43</f>
        <v>95</v>
      </c>
      <c r="U43">
        <f>'TEA Revised Non EYZ'!U43</f>
        <v>1</v>
      </c>
      <c r="V43">
        <f>'TEA Revised Non EYZ'!V43</f>
        <v>0.1</v>
      </c>
      <c r="W43">
        <f>'TEA Revised Non EYZ'!W43</f>
        <v>90.023448607553206</v>
      </c>
      <c r="X43" t="str">
        <f>'TEA Revised Non EYZ'!X43</f>
        <v>ddFc</v>
      </c>
      <c r="Y43">
        <f>'TEA Revised Non EYZ'!Y43</f>
        <v>1</v>
      </c>
      <c r="Z43">
        <f>'TEA Revised Non EYZ'!Z43</f>
        <v>0.28318429382522198</v>
      </c>
      <c r="AA43">
        <f>'TEA Revised Non EYZ'!AA43</f>
        <v>0.56945642916197003</v>
      </c>
      <c r="AB43">
        <f>'TEA Revised Non EYZ'!AB43</f>
        <v>3.7698628972227502E-3</v>
      </c>
      <c r="AC43">
        <f>'TEA Revised Non EYZ'!AC43</f>
        <v>1822.2107908876901</v>
      </c>
      <c r="AD43">
        <f>'TEA Revised Non EYZ'!AD43</f>
        <v>2662.6059073104898</v>
      </c>
      <c r="AE43">
        <f>'TEA Revised Non EYZ'!AE43</f>
        <v>2401.5030938442701</v>
      </c>
      <c r="AF43">
        <f>'TEA Revised Non EYZ'!AF43</f>
        <v>5</v>
      </c>
      <c r="AG43">
        <f>'TEA Revised Non EYZ'!AG43</f>
        <v>1.64967327652189E-3</v>
      </c>
      <c r="AH43">
        <f>'TEA Revised Non EYZ'!AH43</f>
        <v>1.66887089455438E-3</v>
      </c>
      <c r="AI43">
        <f>'TEA Revised Non EYZ'!AI43</f>
        <v>5.5766973522943398E-6</v>
      </c>
      <c r="AJ43">
        <f>'TEA Revised Non EYZ'!AJ43</f>
        <v>0</v>
      </c>
      <c r="AK43">
        <f>'TEA Revised Non EYZ'!AK43</f>
        <v>0</v>
      </c>
      <c r="AL43">
        <f>'TEA Revised Non EYZ'!AL43</f>
        <v>0</v>
      </c>
      <c r="AM43">
        <f>'TEA Revised Non EYZ'!AM43</f>
        <v>1.6103462731678301E-3</v>
      </c>
      <c r="AN43">
        <f>'TEA Revised Non EYZ'!AN43</f>
        <v>7.9217310821158102E-5</v>
      </c>
      <c r="AO43">
        <f>'TEA Revised Non EYZ'!AO43</f>
        <v>5.5377562230767902E-6</v>
      </c>
      <c r="AP43">
        <f>'TEA Revised Non EYZ'!AP43</f>
        <v>1.8120934755895301E-3</v>
      </c>
      <c r="AQ43">
        <f>'TEA Revised Non EYZ'!AQ43</f>
        <v>7.3247403612026599E-2</v>
      </c>
      <c r="AR43">
        <f>'TEA Revised Non EYZ'!AR43</f>
        <v>1.7943133259324499E-6</v>
      </c>
      <c r="AS43">
        <f>'TEA Revised Non EYZ'!AS43</f>
        <v>-4.8687453808177097E-17</v>
      </c>
      <c r="AT43">
        <f>'TEA Revised Non EYZ'!AT43</f>
        <v>1.6631661325927601E-16</v>
      </c>
      <c r="AU43">
        <f>'TEA Revised Non EYZ'!AU43</f>
        <v>-3.9301005263619403E-20</v>
      </c>
      <c r="AV43">
        <f>'TEA Revised Non EYZ'!AV43</f>
        <v>0.200451509597636</v>
      </c>
      <c r="AW43">
        <f>'TEA Revised Non EYZ'!AW43</f>
        <v>99.301717006365394</v>
      </c>
      <c r="AX43">
        <f>'TEA Revised Non EYZ'!AX43</f>
        <v>500</v>
      </c>
      <c r="AY43">
        <f>'TEA Revised Non EYZ'!AY43</f>
        <v>95</v>
      </c>
      <c r="AZ43">
        <f>'TEA Revised Non EYZ'!AZ43</f>
        <v>0.92363221637625403</v>
      </c>
      <c r="BA43">
        <f>'TEA Revised Non EYZ'!BA43</f>
        <v>0.1</v>
      </c>
      <c r="BB43">
        <f>'TEA Revised Non EYZ'!BB43</f>
        <v>46.0775884517032</v>
      </c>
      <c r="BC43" t="str">
        <f>'TEA Revised Non EYZ'!BC43</f>
        <v>coeFc</v>
      </c>
      <c r="BD43">
        <f>'TEA Revised Non EYZ'!BD43</f>
        <v>1</v>
      </c>
      <c r="BE43">
        <f>'TEA Revised Non EYZ'!BE43</f>
        <v>1.8775014999999999E-2</v>
      </c>
      <c r="BF43">
        <f>'TEA Revised Non EYZ'!BF43</f>
        <v>0.10492961100000001</v>
      </c>
      <c r="BG43">
        <f>'TEA Revised Non EYZ'!BG43</f>
        <v>1.814625E-3</v>
      </c>
      <c r="BH43">
        <f>'TEA Revised Non EYZ'!BH43</f>
        <v>285.1951444</v>
      </c>
      <c r="BI43">
        <f>'TEA Revised Non EYZ'!BI43</f>
        <v>2169.8944889999998</v>
      </c>
      <c r="BJ43">
        <f>'TEA Revised Non EYZ'!BJ43</f>
        <v>866.49409060000005</v>
      </c>
      <c r="BK43">
        <f>'TEA Revised Non EYZ'!BK43</f>
        <v>100</v>
      </c>
      <c r="BL43">
        <f>'TEA Revised Non EYZ'!BL43</f>
        <v>11.1082169753281</v>
      </c>
      <c r="BM43">
        <f>'TEA Revised Non EYZ'!BM43</f>
        <v>92.363221637625401</v>
      </c>
      <c r="BN43">
        <f>'TEA Revised Non EYZ'!BN43</f>
        <v>20.0451509597636</v>
      </c>
      <c r="BO43">
        <f>'TEA Revised Non EYZ'!BO43</f>
        <v>199.94790555590581</v>
      </c>
      <c r="BP43">
        <f>'TEA Revised Non EYZ'!BP43</f>
        <v>280.63211343669042</v>
      </c>
      <c r="BQ43">
        <f>'TEA Revised Non EYZ'!BQ43</f>
        <v>19.994790555590583</v>
      </c>
      <c r="BR43">
        <f>'TEA Revised Non EYZ'!BR43</f>
        <v>28.063211343669042</v>
      </c>
      <c r="BS43">
        <f>'eLLE Bals'!CF43</f>
        <v>6.6649301851968596</v>
      </c>
      <c r="BT43">
        <f>'eLLE Bals'!CG43</f>
        <v>12.027090575858159</v>
      </c>
      <c r="BU43">
        <f>BM43</f>
        <v>92.363221637625401</v>
      </c>
      <c r="BV43">
        <f>BU43*(AM43*2+AN43*2+AO43*3)</f>
        <v>0.31364152657389283</v>
      </c>
      <c r="BW43">
        <f>BN43*BA43*(AP43*2+AQ43*2+AR43*3)</f>
        <v>0.30092658020148655</v>
      </c>
      <c r="BX43">
        <f>BV43/(2*V43*BL43+BV43)</f>
        <v>0.12371056361234056</v>
      </c>
      <c r="BY43">
        <f>BU43*BX43</f>
        <v>11.426306205842167</v>
      </c>
      <c r="BZ43">
        <f>BW43/(2*BN43*BA43+BW43)</f>
        <v>6.9821252534529976E-2</v>
      </c>
      <c r="CA43">
        <f>2*BN43*BA43/0.04</f>
        <v>100.22575479881802</v>
      </c>
      <c r="CB43">
        <f>(BS43+BL43)*2</f>
        <v>35.54629432104992</v>
      </c>
      <c r="CC43">
        <f>(BU43+BL43)*2</f>
        <v>206.94287722590701</v>
      </c>
      <c r="CD43">
        <f>(BT43+BN43)*2</f>
        <v>64.144483071243513</v>
      </c>
      <c r="CE43">
        <f>(CA43+BN43)*2</f>
        <v>240.54181151716324</v>
      </c>
      <c r="CF43">
        <f>'TEA Revised Non EYZ'!CB43</f>
        <v>2639.3123533379567</v>
      </c>
      <c r="CG43">
        <f>'TEA Revised Non EYZ'!CC43</f>
        <v>3704.3438973643133</v>
      </c>
      <c r="CH43">
        <f>'TEA Revised Non EYZ'!CD43</f>
        <v>3188.7782491883527</v>
      </c>
      <c r="CI43">
        <f>'TEA Revised Non EYZ'!CE43</f>
        <v>28571.933716163727</v>
      </c>
      <c r="CJ43">
        <f>BL43*V43</f>
        <v>1.11082169753281</v>
      </c>
      <c r="CK43">
        <f>CJ43/2*1.2</f>
        <v>0.66649301851968601</v>
      </c>
      <c r="CL43">
        <f>'eLLE Bals'!CB43*'Oxidant Feed Composition'!$N$20</f>
        <v>3.7027389917760348E-2</v>
      </c>
      <c r="CM43">
        <f>'eLLE Bals'!CB43*'Oxidant Feed Composition'!$N$21</f>
        <v>1.8513694958880169</v>
      </c>
      <c r="CN43">
        <f>'eLLE Bals'!CB43*'Oxidant Feed Composition'!$N$22</f>
        <v>0.55541084876640501</v>
      </c>
      <c r="CO43">
        <f>CN43/CK43</f>
        <v>0.83333333333333337</v>
      </c>
      <c r="CP43">
        <f>CO43</f>
        <v>0.83333333333333337</v>
      </c>
      <c r="CQ43">
        <f>CL43/CO43</f>
        <v>4.4432867901312414E-2</v>
      </c>
      <c r="CR43">
        <f>CM43/CO43</f>
        <v>2.22164339506562</v>
      </c>
      <c r="CS43">
        <f>BN43*BA43</f>
        <v>2.0045150959763602</v>
      </c>
      <c r="CT43">
        <f>CS43/2*1.2</f>
        <v>1.2027090575858161</v>
      </c>
      <c r="CU43">
        <f>'eLLE Bals'!CC43*'Oxidant Feed Composition'!$N$20</f>
        <v>6.6817169865878698E-2</v>
      </c>
      <c r="CV43">
        <f>'eLLE Bals'!CC43*'Oxidant Feed Composition'!$N$21</f>
        <v>3.3408584932939336</v>
      </c>
      <c r="CW43">
        <f>'eLLE Bals'!CC43*'Oxidant Feed Composition'!$N$22</f>
        <v>1.0022575479881801</v>
      </c>
      <c r="CX43">
        <f>CU43/CP43</f>
        <v>8.018060383905444E-2</v>
      </c>
      <c r="CY43">
        <f>CV43/CP43</f>
        <v>4.0090301919527205</v>
      </c>
      <c r="CZ43">
        <f>CJ43</f>
        <v>1.11082169753281</v>
      </c>
      <c r="DA43">
        <f>'eLLE Bals'!BQ43</f>
        <v>2.22164339506562</v>
      </c>
      <c r="DB43">
        <f>'eLLE Bals'!BU43</f>
        <v>5.6467333290792912</v>
      </c>
      <c r="DC43">
        <f>CS43</f>
        <v>2.0045150959763602</v>
      </c>
      <c r="DD43">
        <f>'eLLE Bals'!BX43</f>
        <v>4.0090301919527205</v>
      </c>
      <c r="DE43">
        <f>'eLLE Bals'!CA43</f>
        <v>22.695694710093456</v>
      </c>
      <c r="DF43">
        <f>2*2*(CJ43*'Reagent cost'!$C$36*122.44/1000*0.5+CK43*'Oxidant Feed Composition'!$N$26+CQ43*'Reagent cost'!$C$34+CR43*'Reagent cost'!$C$35)</f>
        <v>74.618654493940213</v>
      </c>
      <c r="DG43">
        <f>2*2*(CS43*'Reagent cost'!$C$36*122.44/1000*0.5+CT43*'Oxidant Feed Composition'!$N$26+CX43*'Reagent cost'!$C$34+CY43*'Reagent cost'!$C$35)</f>
        <v>134.6518705087947</v>
      </c>
      <c r="DH43">
        <f>(AF43+3)*2*(CZ43*'Reagent cost'!$C$38*0.5+DA43*'Reagent cost'!$C$39+DB43*'Reagent cost'!$C$36*122.44/1000)</f>
        <v>822.90155070169942</v>
      </c>
      <c r="DI43">
        <f>3*2*(DC43*'Reagent cost'!$C$38*0.5+DD43*'Reagent cost'!$C$39+DE43*'Reagent cost'!$C$36*122.44/1000)</f>
        <v>1205.6709903626406</v>
      </c>
      <c r="DJ43">
        <f>7963.6*(CB43/1000)^0.6*1.7*('CAPEX+OPEX'!$G$116/'CAPEX+OPEX'!$G$115)</f>
        <v>2156.3414312027717</v>
      </c>
      <c r="DK43">
        <f>7963.6*(CC43/1000)^0.6*1.7*('CAPEX+OPEX'!$G$116/'CAPEX+OPEX'!$G$115)</f>
        <v>6205.1347590783025</v>
      </c>
      <c r="DL43">
        <f>7963.6*(CD43/1000)^0.6*1.7*('CAPEX+OPEX'!$G$116/'CAPEX+OPEX'!$G$115)</f>
        <v>3072.8157035530007</v>
      </c>
      <c r="DM43">
        <f>7963.6*(CE43/1000)^0.6*1.7*('CAPEX+OPEX'!$G$116/'CAPEX+OPEX'!$G$115)</f>
        <v>6791.3368853980364</v>
      </c>
      <c r="DN43">
        <f>'TEA Revised Non EYZ'!CM43</f>
        <v>39625.826528698344</v>
      </c>
      <c r="DO43">
        <f>'TEA Revised Non EYZ'!CN43</f>
        <v>4586243.4239371875</v>
      </c>
      <c r="DP43">
        <f>'TEA Revised Non EYZ'!CO43</f>
        <v>11794834.586807497</v>
      </c>
      <c r="DQ43">
        <f>'TEA Revised Non EYZ'!CP43</f>
        <v>2275209.1661185985</v>
      </c>
      <c r="DR43">
        <f>'TEA Revised Non EYZ'!CQ43</f>
        <v>14083914.336508472</v>
      </c>
      <c r="DS43">
        <f>'TEA Revised Non EYZ'!CR43</f>
        <v>1662824.8986326549</v>
      </c>
      <c r="DT43">
        <f>'TEA Revised Non EYZ'!CS43</f>
        <v>700033.84449786716</v>
      </c>
      <c r="DU43">
        <f>'TEA Revised Non EYZ'!CT43</f>
        <v>1800336.9288957189</v>
      </c>
      <c r="DV43">
        <f>'TEA Revised Non EYZ'!CU43</f>
        <v>347282.79168127343</v>
      </c>
      <c r="DW43">
        <f>'TEA Revised Non EYZ'!CV43</f>
        <v>2149736.8951473436</v>
      </c>
      <c r="DX43">
        <f>'TEA Revised Non EYZ'!CW43</f>
        <v>253809.83932102245</v>
      </c>
      <c r="DY43">
        <f>'TEA Revised Non EYZ'!CX43</f>
        <v>5251200.2995432261</v>
      </c>
      <c r="DZ43">
        <f>'TEA Revised Non EYZ'!CY43</f>
        <v>556307.77247071592</v>
      </c>
      <c r="EA43">
        <f>'TEA Revised Non EYZ'!CZ43</f>
        <v>1430704.293060503</v>
      </c>
      <c r="EB43">
        <f>'TEA Revised Non EYZ'!DA43</f>
        <v>275981.10830798495</v>
      </c>
      <c r="EC43">
        <f>'TEA Revised Non EYZ'!DB43</f>
        <v>1708367.8924057726</v>
      </c>
      <c r="ED43">
        <f>'TEA Revised Non EYZ'!DC43</f>
        <v>201699.37132840801</v>
      </c>
      <c r="EE43">
        <f>'TEA Revised Non EYZ'!DD43</f>
        <v>4173060.4375733845</v>
      </c>
      <c r="EF43">
        <v>0.7</v>
      </c>
      <c r="EG43">
        <v>100</v>
      </c>
      <c r="EH43">
        <f>96485*BL43*V43/EF43/EG43/60</f>
        <v>25.518483687250757</v>
      </c>
      <c r="EI43">
        <f>96485*BN43*BA43/EF43/EG43/60</f>
        <v>46.048961675066458</v>
      </c>
      <c r="EJ43">
        <f>EH43*('CAPEX+OPEX'!$O$25+'CAPEX+OPEX'!$O$26)</f>
        <v>813325.1120800561</v>
      </c>
      <c r="EK43">
        <f>EI43*('CAPEX+OPEX'!$O$25+'CAPEX+OPEX'!$O$26)</f>
        <v>1467672.5065077182</v>
      </c>
      <c r="EL43">
        <f>EJ43*1.12/0.6*'CAPEX+OPEX'!$G$116/'CAPEX+OPEX'!$G$115</f>
        <v>1790661.6086879191</v>
      </c>
      <c r="EM43">
        <f>EK43*1.12/0.6*'CAPEX+OPEX'!$G$116/'CAPEX+OPEX'!$G$115</f>
        <v>3231309.070008717</v>
      </c>
      <c r="EN43">
        <f>EL43+EM43+DY43+EE43+1.15*(SUM(DF43:DM43)+SUM(CF43:CI43))</f>
        <v>14513584.431883803</v>
      </c>
      <c r="EO43">
        <f>EN43/15</f>
        <v>967572.29545892018</v>
      </c>
      <c r="EP43">
        <f>('eLLE Bals'!CB43+'eLLE Bals'!CC43)*'Oxidant Feed Composition'!$N$29*60*7200</f>
        <v>7770762.7613145122</v>
      </c>
      <c r="EQ43" s="53">
        <f>('eLLE Bals'!BR43+'eLLE Bals'!BY43)*'Reagent cost'!$C$38*60*7200*0.5</f>
        <v>253069.37913143914</v>
      </c>
      <c r="ER43">
        <f>'TEA Revised Non EYZ'!DI43</f>
        <v>504921.59999999998</v>
      </c>
      <c r="ES43">
        <f>'TEA Revised Non EYZ'!DJ43</f>
        <v>63.4365625070227</v>
      </c>
      <c r="ET43">
        <f>'TEA Revised Non EYZ'!DK43</f>
        <v>635.21423930704157</v>
      </c>
      <c r="EU43">
        <f>1.2*SUM(EP43:ET43)</f>
        <v>10235342.869497316</v>
      </c>
      <c r="EV43">
        <f>'TEA Revised Non EYZ'!DM43</f>
        <v>0.70639694042110623</v>
      </c>
      <c r="EW43">
        <f>(BS43*CO43+BT43*CP43)/1000*('Oxidant Feed Composition'!$B$11*'Oxidant Feed Composition'!$O$20+'Oxidant Feed Composition'!$D$11*'Oxidant Feed Composition'!$O$21+'Oxidant Feed Composition'!$F$11*'Oxidant Feed Composition'!$O$27-'Oxidant Feed Composition'!$J$15*18.015)</f>
        <v>1.8191158718752167</v>
      </c>
      <c r="EX43">
        <f>(CZ43*BX43+DC43*BZ43)*368.34/1000</f>
        <v>0.10216946150923616</v>
      </c>
      <c r="EY43">
        <f>'TEA Revised Non EYZ'!DP43</f>
        <v>4.999938342565946E-2</v>
      </c>
      <c r="EZ43">
        <f>SUM(EV43:EX43)-EY43</f>
        <v>2.5776828903798998</v>
      </c>
      <c r="FA43">
        <f>EZ43*0.33*60*7200</f>
        <v>367474.47285255854</v>
      </c>
      <c r="FB43">
        <f>'TEA Revised Non EYZ'!DS43</f>
        <v>1.2</v>
      </c>
      <c r="FC43">
        <v>0.5</v>
      </c>
      <c r="FD43">
        <f>'TEA Revised Non EYZ'!DT43</f>
        <v>1403.8913606805047</v>
      </c>
      <c r="FE43">
        <f>'TEA Revised Non EYZ'!DU43</f>
        <v>707.99617342896511</v>
      </c>
      <c r="FF43">
        <f>'TEA Revised Non EYZ'!DV43</f>
        <v>0.7</v>
      </c>
      <c r="FG43">
        <f>'TEA Revised Non EYZ'!DW43</f>
        <v>38528.386667103026</v>
      </c>
      <c r="FH43">
        <f>'TEA Revised Non EYZ'!DX43</f>
        <v>33220.879177835675</v>
      </c>
      <c r="FI43">
        <f>'TEA Revised Non EYZ'!DY43</f>
        <v>14065.291587390104</v>
      </c>
      <c r="FJ43">
        <f>'TEA Revised Non EYZ'!DZ43</f>
        <v>7450.7773575794354</v>
      </c>
      <c r="FK43">
        <f>'TEA Revised Non EYZ'!EA43</f>
        <v>7501.4888466080574</v>
      </c>
      <c r="FL43">
        <f>'TEA Revised Non EYZ'!EB43</f>
        <v>849.07349493956929</v>
      </c>
      <c r="FM43">
        <f>'TEA Revised Non EYZ'!EC43</f>
        <v>30858.175330269896</v>
      </c>
      <c r="FN43">
        <f>'TEA Revised Non EYZ'!ED43</f>
        <v>23277.674519364831</v>
      </c>
      <c r="FO43">
        <f>'TEA Revised Non EYZ'!EE43</f>
        <v>9855.4670344084952</v>
      </c>
      <c r="FP43">
        <f>'TEA Revised Non EYZ'!EF43</f>
        <v>5223.6198344156373</v>
      </c>
      <c r="FQ43">
        <f>'TEA Revised Non EYZ'!EG43</f>
        <v>5256.2490850178647</v>
      </c>
      <c r="FR43">
        <f>'TEA Revised Non EYZ'!EH43</f>
        <v>428.19608568983807</v>
      </c>
      <c r="FS43">
        <f>'TEA Revised Non EYZ'!EI43</f>
        <v>176515.27902062246</v>
      </c>
      <c r="FT43">
        <f>EG43*EH43</f>
        <v>2551.8483687250759</v>
      </c>
      <c r="FU43">
        <f>EG43*EI43</f>
        <v>4604.8961675066457</v>
      </c>
      <c r="FV43">
        <f>FC43*(FT43+FU43)/(3.6*10^6)*3600*7200*0.07</f>
        <v>1803.4996231303937</v>
      </c>
      <c r="FW43">
        <f>('CAPEX+OPEX'!$C$39/7/100+0.03)*EL43</f>
        <v>92091.168446807264</v>
      </c>
      <c r="FX43">
        <f>('CAPEX+OPEX'!$C$39/7/100+0.03)*EM43</f>
        <v>166181.60931473403</v>
      </c>
      <c r="FY43">
        <f>SUM(FV43:FX43)</f>
        <v>260076.27738467167</v>
      </c>
      <c r="FZ43">
        <f>FY43+FA43+FS43+EU43</f>
        <v>11039408.898755169</v>
      </c>
      <c r="GA43">
        <f>FZ43+EO43</f>
        <v>12006981.194214089</v>
      </c>
      <c r="GB43">
        <f>GA43/(BK43*60*7200)</f>
        <v>0.27793937949569653</v>
      </c>
      <c r="GC43">
        <f>'TEA Revised Non EYZ'!EM43/'TEA Revised Non EYZ'!EK43*GA43</f>
        <v>931.19969714790011</v>
      </c>
      <c r="GD43">
        <f>'TEA Revised Non EYZ'!EN43/'TEA Revised Non EYZ'!EK43*GA43</f>
        <v>1701.5835837414868</v>
      </c>
    </row>
    <row r="44" spans="1:186">
      <c r="A44">
        <f>'TEA Revised Non EYZ'!A44</f>
        <v>7</v>
      </c>
      <c r="B44">
        <f>'TEA Revised Non EYZ'!B44</f>
        <v>1.54143585092054E-3</v>
      </c>
      <c r="C44">
        <f>'TEA Revised Non EYZ'!C44</f>
        <v>1.54143585092054E-3</v>
      </c>
      <c r="D44">
        <f>'TEA Revised Non EYZ'!D44</f>
        <v>3.4254130020456501E-4</v>
      </c>
      <c r="E44">
        <f>'TEA Revised Non EYZ'!E44</f>
        <v>0</v>
      </c>
      <c r="F44">
        <f>'TEA Revised Non EYZ'!F44</f>
        <v>0</v>
      </c>
      <c r="G44">
        <f>'TEA Revised Non EYZ'!G44</f>
        <v>0</v>
      </c>
      <c r="H44">
        <f>'TEA Revised Non EYZ'!H44</f>
        <v>1.7744466230058299E-5</v>
      </c>
      <c r="I44">
        <f>'TEA Revised Non EYZ'!I44</f>
        <v>1.2927742824924801E-8</v>
      </c>
      <c r="J44">
        <f>'TEA Revised Non EYZ'!J44</f>
        <v>3.3739048286900598E-4</v>
      </c>
      <c r="K44">
        <f>'TEA Revised Non EYZ'!K44</f>
        <v>0.13716795306346499</v>
      </c>
      <c r="L44">
        <f>'TEA Revised Non EYZ'!L44</f>
        <v>0.138764207307677</v>
      </c>
      <c r="M44">
        <f>'TEA Revised Non EYZ'!M44</f>
        <v>4.6369433969460899E-4</v>
      </c>
      <c r="N44">
        <f>'TEA Revised Non EYZ'!N44</f>
        <v>-1.1037178115902399E-16</v>
      </c>
      <c r="O44">
        <f>'TEA Revised Non EYZ'!O44</f>
        <v>-5.3700533603207003E-15</v>
      </c>
      <c r="P44">
        <f>'TEA Revised Non EYZ'!P44</f>
        <v>-3.4304834363799101E-19</v>
      </c>
      <c r="Q44">
        <f>'TEA Revised Non EYZ'!Q44</f>
        <v>0.111082169753281</v>
      </c>
      <c r="R44">
        <f>'TEA Revised Non EYZ'!R44</f>
        <v>98.496293050653193</v>
      </c>
      <c r="S44">
        <f>'TEA Revised Non EYZ'!S44</f>
        <v>500</v>
      </c>
      <c r="T44">
        <f>'TEA Revised Non EYZ'!T44</f>
        <v>95</v>
      </c>
      <c r="U44">
        <f>'TEA Revised Non EYZ'!U44</f>
        <v>1</v>
      </c>
      <c r="V44">
        <f>'TEA Revised Non EYZ'!V44</f>
        <v>0.1</v>
      </c>
      <c r="W44">
        <f>'TEA Revised Non EYZ'!W44</f>
        <v>90.023448607553206</v>
      </c>
      <c r="X44" t="str">
        <f>'TEA Revised Non EYZ'!X44</f>
        <v>ddFc</v>
      </c>
      <c r="Y44">
        <f>'TEA Revised Non EYZ'!Y44</f>
        <v>1</v>
      </c>
      <c r="Z44">
        <f>'TEA Revised Non EYZ'!Z44</f>
        <v>0.28318429382522198</v>
      </c>
      <c r="AA44">
        <f>'TEA Revised Non EYZ'!AA44</f>
        <v>0.56945642916197003</v>
      </c>
      <c r="AB44">
        <f>'TEA Revised Non EYZ'!AB44</f>
        <v>3.7698628972227502E-3</v>
      </c>
      <c r="AC44">
        <f>'TEA Revised Non EYZ'!AC44</f>
        <v>1822.2107908876901</v>
      </c>
      <c r="AD44">
        <f>'TEA Revised Non EYZ'!AD44</f>
        <v>2662.6059073104898</v>
      </c>
      <c r="AE44">
        <f>'TEA Revised Non EYZ'!AE44</f>
        <v>2401.5030938442701</v>
      </c>
      <c r="AF44">
        <f>'TEA Revised Non EYZ'!AF44</f>
        <v>6</v>
      </c>
      <c r="AG44">
        <f>'TEA Revised Non EYZ'!AG44</f>
        <v>1.64967327652189E-3</v>
      </c>
      <c r="AH44">
        <f>'TEA Revised Non EYZ'!AH44</f>
        <v>1.66887089455438E-3</v>
      </c>
      <c r="AI44">
        <f>'TEA Revised Non EYZ'!AI44</f>
        <v>5.5766973522943398E-6</v>
      </c>
      <c r="AJ44">
        <f>'TEA Revised Non EYZ'!AJ44</f>
        <v>0</v>
      </c>
      <c r="AK44">
        <f>'TEA Revised Non EYZ'!AK44</f>
        <v>0</v>
      </c>
      <c r="AL44">
        <f>'TEA Revised Non EYZ'!AL44</f>
        <v>0</v>
      </c>
      <c r="AM44">
        <f>'TEA Revised Non EYZ'!AM44</f>
        <v>1.6120355192372701E-3</v>
      </c>
      <c r="AN44">
        <f>'TEA Revised Non EYZ'!AN44</f>
        <v>7.9304611498975396E-5</v>
      </c>
      <c r="AO44">
        <f>'TEA Revised Non EYZ'!AO44</f>
        <v>5.5393634244761098E-6</v>
      </c>
      <c r="AP44">
        <f>'TEA Revised Non EYZ'!AP44</f>
        <v>1.7562637605677701E-3</v>
      </c>
      <c r="AQ44">
        <f>'TEA Revised Non EYZ'!AQ44</f>
        <v>7.4172795069579203E-2</v>
      </c>
      <c r="AR44">
        <f>'TEA Revised Non EYZ'!AR44</f>
        <v>1.7420863833882601E-6</v>
      </c>
      <c r="AS44">
        <f>'TEA Revised Non EYZ'!AS44</f>
        <v>-2.1751806085490402E-18</v>
      </c>
      <c r="AT44">
        <f>'TEA Revised Non EYZ'!AT44</f>
        <v>-1.83013326715553E-16</v>
      </c>
      <c r="AU44">
        <f>'TEA Revised Non EYZ'!AU44</f>
        <v>-3.08372932359768E-21</v>
      </c>
      <c r="AV44">
        <f>'TEA Revised Non EYZ'!AV44</f>
        <v>0.197939773972164</v>
      </c>
      <c r="AW44">
        <f>'TEA Revised Non EYZ'!AW44</f>
        <v>99.330536956557793</v>
      </c>
      <c r="AX44">
        <f>'TEA Revised Non EYZ'!AX44</f>
        <v>500</v>
      </c>
      <c r="AY44">
        <f>'TEA Revised Non EYZ'!AY44</f>
        <v>95</v>
      </c>
      <c r="AZ44">
        <f>'TEA Revised Non EYZ'!AZ44</f>
        <v>0.92363221637625403</v>
      </c>
      <c r="BA44">
        <f>'TEA Revised Non EYZ'!BA44</f>
        <v>0.1</v>
      </c>
      <c r="BB44">
        <f>'TEA Revised Non EYZ'!BB44</f>
        <v>46.6622850901175</v>
      </c>
      <c r="BC44" t="str">
        <f>'TEA Revised Non EYZ'!BC44</f>
        <v>coeFc</v>
      </c>
      <c r="BD44">
        <f>'TEA Revised Non EYZ'!BD44</f>
        <v>1</v>
      </c>
      <c r="BE44">
        <f>'TEA Revised Non EYZ'!BE44</f>
        <v>1.8775014999999999E-2</v>
      </c>
      <c r="BF44">
        <f>'TEA Revised Non EYZ'!BF44</f>
        <v>0.10492961100000001</v>
      </c>
      <c r="BG44">
        <f>'TEA Revised Non EYZ'!BG44</f>
        <v>1.814625E-3</v>
      </c>
      <c r="BH44">
        <f>'TEA Revised Non EYZ'!BH44</f>
        <v>285.1951444</v>
      </c>
      <c r="BI44">
        <f>'TEA Revised Non EYZ'!BI44</f>
        <v>2169.8944889999998</v>
      </c>
      <c r="BJ44">
        <f>'TEA Revised Non EYZ'!BJ44</f>
        <v>866.49409060000005</v>
      </c>
      <c r="BK44">
        <f>'TEA Revised Non EYZ'!BK44</f>
        <v>100</v>
      </c>
      <c r="BL44">
        <f>'TEA Revised Non EYZ'!BL44</f>
        <v>11.1082169753281</v>
      </c>
      <c r="BM44">
        <f>'TEA Revised Non EYZ'!BM44</f>
        <v>92.363221637625401</v>
      </c>
      <c r="BN44">
        <f>'TEA Revised Non EYZ'!BN44</f>
        <v>19.793977397216402</v>
      </c>
      <c r="BO44">
        <f>'TEA Revised Non EYZ'!BO44</f>
        <v>199.94790555590581</v>
      </c>
      <c r="BP44">
        <f>'TEA Revised Non EYZ'!BP44</f>
        <v>316.70363835546243</v>
      </c>
      <c r="BQ44">
        <f>'TEA Revised Non EYZ'!BQ44</f>
        <v>19.994790555590583</v>
      </c>
      <c r="BR44">
        <f>'TEA Revised Non EYZ'!BR44</f>
        <v>31.670363835546244</v>
      </c>
      <c r="BS44">
        <f>'eLLE Bals'!CF44</f>
        <v>6.6649301851968596</v>
      </c>
      <c r="BT44">
        <f>'eLLE Bals'!CG44</f>
        <v>11.87638643832984</v>
      </c>
      <c r="BU44">
        <f>BM44</f>
        <v>92.363221637625401</v>
      </c>
      <c r="BV44">
        <f>BU44*(AM44*2+AN44*2+AO44*3)</f>
        <v>0.31397014707472309</v>
      </c>
      <c r="BW44">
        <f>BN44*BA44*(AP44*2+AQ44*2+AR44*3)</f>
        <v>0.30059795970071779</v>
      </c>
      <c r="BX44">
        <f>BV44/(2*V44*BL44+BV44)</f>
        <v>0.12382413244634156</v>
      </c>
      <c r="BY44">
        <f>BU44*BX44</f>
        <v>11.436795789228128</v>
      </c>
      <c r="BZ44">
        <f>BW44/(2*BN44*BA44+BW44)</f>
        <v>7.0572949880189584E-2</v>
      </c>
      <c r="CA44">
        <f>2*BN44*BA44/0.04</f>
        <v>98.969886986082017</v>
      </c>
      <c r="CB44">
        <f>(BS44+BL44)*2</f>
        <v>35.54629432104992</v>
      </c>
      <c r="CC44">
        <f>(BU44+BL44)*2</f>
        <v>206.94287722590701</v>
      </c>
      <c r="CD44">
        <f>(BT44+BN44)*2</f>
        <v>63.34072767109248</v>
      </c>
      <c r="CE44">
        <f>(CA44+BN44)*2</f>
        <v>237.52772876659685</v>
      </c>
      <c r="CF44">
        <f>'TEA Revised Non EYZ'!CB44</f>
        <v>2639.3123533379567</v>
      </c>
      <c r="CG44">
        <f>'TEA Revised Non EYZ'!CC44</f>
        <v>4180.4880262921042</v>
      </c>
      <c r="CH44">
        <f>'TEA Revised Non EYZ'!CD44</f>
        <v>3188.7782491883527</v>
      </c>
      <c r="CI44">
        <f>'TEA Revised Non EYZ'!CE44</f>
        <v>32244.475701465093</v>
      </c>
      <c r="CJ44">
        <f>BL44*V44</f>
        <v>1.11082169753281</v>
      </c>
      <c r="CK44">
        <f>CJ44/2*1.2</f>
        <v>0.66649301851968601</v>
      </c>
      <c r="CL44">
        <f>'eLLE Bals'!CB44*'Oxidant Feed Composition'!$N$20</f>
        <v>3.7027389917760348E-2</v>
      </c>
      <c r="CM44">
        <f>'eLLE Bals'!CB44*'Oxidant Feed Composition'!$N$21</f>
        <v>1.8513694958880169</v>
      </c>
      <c r="CN44">
        <f>'eLLE Bals'!CB44*'Oxidant Feed Composition'!$N$22</f>
        <v>0.55541084876640501</v>
      </c>
      <c r="CO44">
        <f>CN44/CK44</f>
        <v>0.83333333333333337</v>
      </c>
      <c r="CP44">
        <f>CO44</f>
        <v>0.83333333333333337</v>
      </c>
      <c r="CQ44">
        <f>CL44/CO44</f>
        <v>4.4432867901312414E-2</v>
      </c>
      <c r="CR44">
        <f>CM44/CO44</f>
        <v>2.22164339506562</v>
      </c>
      <c r="CS44">
        <f>BN44*BA44</f>
        <v>1.9793977397216402</v>
      </c>
      <c r="CT44">
        <f>CS44/2*1.2</f>
        <v>1.187638643832984</v>
      </c>
      <c r="CU44">
        <f>'eLLE Bals'!CC44*'Oxidant Feed Composition'!$N$20</f>
        <v>6.5979924657388042E-2</v>
      </c>
      <c r="CV44">
        <f>'eLLE Bals'!CC44*'Oxidant Feed Composition'!$N$21</f>
        <v>3.2989962328694005</v>
      </c>
      <c r="CW44">
        <f>'eLLE Bals'!CC44*'Oxidant Feed Composition'!$N$22</f>
        <v>0.98969886986082012</v>
      </c>
      <c r="CX44">
        <f>CU44/CP44</f>
        <v>7.9175909588865653E-2</v>
      </c>
      <c r="CY44">
        <f>CV44/CP44</f>
        <v>3.9587954794432805</v>
      </c>
      <c r="CZ44">
        <f>CJ44</f>
        <v>1.11082169753281</v>
      </c>
      <c r="DA44">
        <f>'eLLE Bals'!BQ44</f>
        <v>2.22164339506562</v>
      </c>
      <c r="DB44">
        <f>'eLLE Bals'!BU44</f>
        <v>5.6384978011994429</v>
      </c>
      <c r="DC44">
        <f>CS44</f>
        <v>1.9793977397216402</v>
      </c>
      <c r="DD44">
        <f>'eLLE Bals'!BX44</f>
        <v>3.9587954794432805</v>
      </c>
      <c r="DE44">
        <f>'eLLE Bals'!CA44</f>
        <v>22.109348269210262</v>
      </c>
      <c r="DF44">
        <f>2*2*(CJ44*'Reagent cost'!$C$36*122.44/1000*0.5+CK44*'Oxidant Feed Composition'!$N$26+CQ44*'Reagent cost'!$C$34+CR44*'Reagent cost'!$C$35)</f>
        <v>74.618654493940213</v>
      </c>
      <c r="DG44">
        <f>2*2*(CS44*'Reagent cost'!$C$36*122.44/1000*0.5+CT44*'Oxidant Feed Composition'!$N$26+CX44*'Reagent cost'!$C$34+CY44*'Reagent cost'!$C$35)</f>
        <v>132.96463003416685</v>
      </c>
      <c r="DH44">
        <f>(AF44+3)*2*(CZ44*'Reagent cost'!$C$38*0.5+DA44*'Reagent cost'!$C$39+DB44*'Reagent cost'!$C$36*122.44/1000)</f>
        <v>924.48246014141</v>
      </c>
      <c r="DI44">
        <f>3*2*(DC44*'Reagent cost'!$C$38*0.5+DD44*'Reagent cost'!$C$39+DE44*'Reagent cost'!$C$36*122.44/1000)</f>
        <v>1174.8976665064843</v>
      </c>
      <c r="DJ44">
        <f>7963.6*(CB44/1000)^0.6*1.7*('CAPEX+OPEX'!$G$116/'CAPEX+OPEX'!$G$115)</f>
        <v>2156.3414312027717</v>
      </c>
      <c r="DK44">
        <f>7963.6*(CC44/1000)^0.6*1.7*('CAPEX+OPEX'!$G$116/'CAPEX+OPEX'!$G$115)</f>
        <v>6205.1347590783025</v>
      </c>
      <c r="DL44">
        <f>7963.6*(CD44/1000)^0.6*1.7*('CAPEX+OPEX'!$G$116/'CAPEX+OPEX'!$G$115)</f>
        <v>3049.6553188421171</v>
      </c>
      <c r="DM44">
        <f>7963.6*(CE44/1000)^0.6*1.7*('CAPEX+OPEX'!$G$116/'CAPEX+OPEX'!$G$115)</f>
        <v>6740.1493134310076</v>
      </c>
      <c r="DN44">
        <f>'TEA Revised Non EYZ'!CM44</f>
        <v>39625.826528698344</v>
      </c>
      <c r="DO44">
        <f>'TEA Revised Non EYZ'!CN44</f>
        <v>4586243.4239371875</v>
      </c>
      <c r="DP44">
        <f>'TEA Revised Non EYZ'!CO44</f>
        <v>11794834.586807497</v>
      </c>
      <c r="DQ44">
        <f>'TEA Revised Non EYZ'!CP44</f>
        <v>2275209.1661185985</v>
      </c>
      <c r="DR44">
        <f>'TEA Revised Non EYZ'!CQ44</f>
        <v>14083914.336508472</v>
      </c>
      <c r="DS44">
        <f>'TEA Revised Non EYZ'!CR44</f>
        <v>1662824.8986326549</v>
      </c>
      <c r="DT44">
        <f>'TEA Revised Non EYZ'!CS44</f>
        <v>700033.84449786716</v>
      </c>
      <c r="DU44">
        <f>'TEA Revised Non EYZ'!CT44</f>
        <v>1800336.9288957189</v>
      </c>
      <c r="DV44">
        <f>'TEA Revised Non EYZ'!CU44</f>
        <v>347282.79168127343</v>
      </c>
      <c r="DW44">
        <f>'TEA Revised Non EYZ'!CV44</f>
        <v>2149736.8951473436</v>
      </c>
      <c r="DX44">
        <f>'TEA Revised Non EYZ'!CW44</f>
        <v>253809.83932102245</v>
      </c>
      <c r="DY44">
        <f>'TEA Revised Non EYZ'!CX44</f>
        <v>5251200.2995432261</v>
      </c>
      <c r="DZ44">
        <f>'TEA Revised Non EYZ'!CY44</f>
        <v>610215.4530973233</v>
      </c>
      <c r="EA44">
        <f>'TEA Revised Non EYZ'!CZ44</f>
        <v>1569343.2873691465</v>
      </c>
      <c r="EB44">
        <f>'TEA Revised Non EYZ'!DA44</f>
        <v>302724.40074765182</v>
      </c>
      <c r="EC44">
        <f>'TEA Revised Non EYZ'!DB44</f>
        <v>1873913.2169435648</v>
      </c>
      <c r="ED44">
        <f>'TEA Revised Non EYZ'!DC44</f>
        <v>221244.56884356888</v>
      </c>
      <c r="EE44">
        <f>'TEA Revised Non EYZ'!DD44</f>
        <v>4577440.9270012556</v>
      </c>
      <c r="EF44">
        <v>0.7</v>
      </c>
      <c r="EG44">
        <v>100</v>
      </c>
      <c r="EH44">
        <f>96485*BL44*V44/EF44/EG44/60</f>
        <v>25.518483687250757</v>
      </c>
      <c r="EI44">
        <f>96485*BN44*BA44/EF44/EG44/60</f>
        <v>45.471950218343444</v>
      </c>
      <c r="EJ44">
        <f>EH44*('CAPEX+OPEX'!$O$25+'CAPEX+OPEX'!$O$26)</f>
        <v>813325.1120800561</v>
      </c>
      <c r="EK44">
        <f>EI44*('CAPEX+OPEX'!$O$25+'CAPEX+OPEX'!$O$26)</f>
        <v>1449281.9973590423</v>
      </c>
      <c r="EL44">
        <f>EJ44*1.12/0.6*'CAPEX+OPEX'!$G$116/'CAPEX+OPEX'!$G$115</f>
        <v>1790661.6086879191</v>
      </c>
      <c r="EM44">
        <f>EK44*1.12/0.6*'CAPEX+OPEX'!$G$116/'CAPEX+OPEX'!$G$115</f>
        <v>3190819.5066008712</v>
      </c>
      <c r="EN44">
        <f>EL44+EM44+DY44+EE44+1.15*(SUM(DF44:DM44)+SUM(CF44:CI44))</f>
        <v>14882240.335181886</v>
      </c>
      <c r="EO44">
        <f>EN44/15</f>
        <v>992149.35567879246</v>
      </c>
      <c r="EP44">
        <f>('eLLE Bals'!CB44+'eLLE Bals'!CC44)*'Oxidant Feed Composition'!$N$29*60*7200</f>
        <v>7708111.1028955858</v>
      </c>
      <c r="EQ44" s="53">
        <f>('eLLE Bals'!BR44+'eLLE Bals'!BY44)*'Reagent cost'!$C$38*60*7200*0.5</f>
        <v>252941.95629755373</v>
      </c>
      <c r="ER44">
        <f>'TEA Revised Non EYZ'!DI44</f>
        <v>504921.59999999998</v>
      </c>
      <c r="ES44">
        <f>'TEA Revised Non EYZ'!DJ44</f>
        <v>68.198003796300611</v>
      </c>
      <c r="ET44">
        <f>'TEA Revised Non EYZ'!DK44</f>
        <v>708.66507901306886</v>
      </c>
      <c r="EU44">
        <f>1.2*SUM(EP44:ET44)</f>
        <v>10160101.826731138</v>
      </c>
      <c r="EV44">
        <f>'TEA Revised Non EYZ'!DM44</f>
        <v>0.70639694042110623</v>
      </c>
      <c r="EW44">
        <f>(BS44*CO44+BT44*CP44)/1000*('Oxidant Feed Composition'!$B$11*'Oxidant Feed Composition'!$O$20+'Oxidant Feed Composition'!$D$11*'Oxidant Feed Composition'!$O$21+'Oxidant Feed Composition'!$F$11*'Oxidant Feed Composition'!$O$27-'Oxidant Feed Composition'!$J$15*18.015)</f>
        <v>1.8044492773940988</v>
      </c>
      <c r="EX44">
        <f>(CZ44*BX44+DC44*BZ44)*368.34/1000</f>
        <v>0.1021180182158328</v>
      </c>
      <c r="EY44">
        <f>'TEA Revised Non EYZ'!DP44</f>
        <v>4.999938342565946E-2</v>
      </c>
      <c r="EZ44">
        <f>SUM(EV44:EX44)-EY44</f>
        <v>2.5629648526053783</v>
      </c>
      <c r="FA44">
        <f>EZ44*0.33*60*7200</f>
        <v>365376.26938742277</v>
      </c>
      <c r="FB44">
        <f>'TEA Revised Non EYZ'!DS44</f>
        <v>1.2</v>
      </c>
      <c r="FC44">
        <v>0.5</v>
      </c>
      <c r="FD44">
        <f>'TEA Revised Non EYZ'!DT44</f>
        <v>1405.3631449818135</v>
      </c>
      <c r="FE44">
        <f>'TEA Revised Non EYZ'!DU44</f>
        <v>706.52438912777689</v>
      </c>
      <c r="FF44">
        <f>'TEA Revised Non EYZ'!DV44</f>
        <v>0.7</v>
      </c>
      <c r="FG44">
        <f>'TEA Revised Non EYZ'!DW44</f>
        <v>38528.386667103026</v>
      </c>
      <c r="FH44">
        <f>'TEA Revised Non EYZ'!DX44</f>
        <v>33220.879177835675</v>
      </c>
      <c r="FI44">
        <f>'TEA Revised Non EYZ'!DY44</f>
        <v>14065.291587390104</v>
      </c>
      <c r="FJ44">
        <f>'TEA Revised Non EYZ'!DZ44</f>
        <v>7450.7773575794354</v>
      </c>
      <c r="FK44">
        <f>'TEA Revised Non EYZ'!EA44</f>
        <v>7501.4888466080574</v>
      </c>
      <c r="FL44">
        <f>'TEA Revised Non EYZ'!EB44</f>
        <v>849.96363008500089</v>
      </c>
      <c r="FM44">
        <f>'TEA Revised Non EYZ'!EC44</f>
        <v>33429.689941125718</v>
      </c>
      <c r="FN44">
        <f>'TEA Revised Non EYZ'!ED44</f>
        <v>27157.286939258967</v>
      </c>
      <c r="FO44">
        <f>'TEA Revised Non EYZ'!EE44</f>
        <v>11498.044873476576</v>
      </c>
      <c r="FP44">
        <f>'TEA Revised Non EYZ'!EF44</f>
        <v>6094.2231401515764</v>
      </c>
      <c r="FQ44">
        <f>'TEA Revised Non EYZ'!EG44</f>
        <v>6132.2905991875077</v>
      </c>
      <c r="FR44">
        <f>'TEA Revised Non EYZ'!EH44</f>
        <v>427.30595054447951</v>
      </c>
      <c r="FS44">
        <f>'TEA Revised Non EYZ'!EI44</f>
        <v>186355.62871034618</v>
      </c>
      <c r="FT44">
        <f>EG44*EH44</f>
        <v>2551.8483687250759</v>
      </c>
      <c r="FU44">
        <f>EG44*EI44</f>
        <v>4547.1950218343445</v>
      </c>
      <c r="FV44">
        <f>FC44*(FT44+FU44)/(3.6*10^6)*3600*7200*0.07</f>
        <v>1788.9589344209737</v>
      </c>
      <c r="FW44">
        <f>('CAPEX+OPEX'!$C$39/7/100+0.03)*EL44</f>
        <v>92091.168446807264</v>
      </c>
      <c r="FX44">
        <f>('CAPEX+OPEX'!$C$39/7/100+0.03)*EM44</f>
        <v>164099.28891090196</v>
      </c>
      <c r="FY44">
        <f>SUM(FV44:FX44)</f>
        <v>257979.41629213019</v>
      </c>
      <c r="FZ44">
        <f>FY44+FA44+FS44+EU44</f>
        <v>10969813.141121037</v>
      </c>
      <c r="GA44">
        <f>FZ44+EO44</f>
        <v>11961962.49679983</v>
      </c>
      <c r="GB44">
        <f>GA44/(BK44*60*7200)</f>
        <v>0.2768972800185146</v>
      </c>
      <c r="GC44">
        <f>'TEA Revised Non EYZ'!EM44/'TEA Revised Non EYZ'!EK44*GA44</f>
        <v>926.73609417582236</v>
      </c>
      <c r="GD44">
        <f>'TEA Revised Non EYZ'!EN44/'TEA Revised Non EYZ'!EK44*GA44</f>
        <v>1698.4595093811579</v>
      </c>
    </row>
    <row r="45" spans="1:186">
      <c r="A45">
        <f>'TEA Revised Non EYZ'!A45</f>
        <v>7</v>
      </c>
      <c r="B45">
        <f>'TEA Revised Non EYZ'!B45</f>
        <v>1.54143585092054E-3</v>
      </c>
      <c r="C45">
        <f>'TEA Revised Non EYZ'!C45</f>
        <v>1.54143585092054E-3</v>
      </c>
      <c r="D45">
        <f>'TEA Revised Non EYZ'!D45</f>
        <v>3.4254130020456501E-4</v>
      </c>
      <c r="E45">
        <f>'TEA Revised Non EYZ'!E45</f>
        <v>0</v>
      </c>
      <c r="F45">
        <f>'TEA Revised Non EYZ'!F45</f>
        <v>0</v>
      </c>
      <c r="G45">
        <f>'TEA Revised Non EYZ'!G45</f>
        <v>0</v>
      </c>
      <c r="H45">
        <f>'TEA Revised Non EYZ'!H45</f>
        <v>1.7744466230058299E-5</v>
      </c>
      <c r="I45">
        <f>'TEA Revised Non EYZ'!I45</f>
        <v>1.2927742824924801E-8</v>
      </c>
      <c r="J45">
        <f>'TEA Revised Non EYZ'!J45</f>
        <v>3.3739048286900598E-4</v>
      </c>
      <c r="K45">
        <f>'TEA Revised Non EYZ'!K45</f>
        <v>0.13716795306346499</v>
      </c>
      <c r="L45">
        <f>'TEA Revised Non EYZ'!L45</f>
        <v>0.138764207307677</v>
      </c>
      <c r="M45">
        <f>'TEA Revised Non EYZ'!M45</f>
        <v>4.6369433969460899E-4</v>
      </c>
      <c r="N45">
        <f>'TEA Revised Non EYZ'!N45</f>
        <v>-1.1037178115902399E-16</v>
      </c>
      <c r="O45">
        <f>'TEA Revised Non EYZ'!O45</f>
        <v>-5.3700533603207003E-15</v>
      </c>
      <c r="P45">
        <f>'TEA Revised Non EYZ'!P45</f>
        <v>-3.4304834363799101E-19</v>
      </c>
      <c r="Q45">
        <f>'TEA Revised Non EYZ'!Q45</f>
        <v>0.111082169753281</v>
      </c>
      <c r="R45">
        <f>'TEA Revised Non EYZ'!R45</f>
        <v>98.496293050653193</v>
      </c>
      <c r="S45">
        <f>'TEA Revised Non EYZ'!S45</f>
        <v>500</v>
      </c>
      <c r="T45">
        <f>'TEA Revised Non EYZ'!T45</f>
        <v>95</v>
      </c>
      <c r="U45">
        <f>'TEA Revised Non EYZ'!U45</f>
        <v>1</v>
      </c>
      <c r="V45">
        <f>'TEA Revised Non EYZ'!V45</f>
        <v>0.1</v>
      </c>
      <c r="W45">
        <f>'TEA Revised Non EYZ'!W45</f>
        <v>90.023448607553206</v>
      </c>
      <c r="X45" t="str">
        <f>'TEA Revised Non EYZ'!X45</f>
        <v>ddFc</v>
      </c>
      <c r="Y45">
        <f>'TEA Revised Non EYZ'!Y45</f>
        <v>1</v>
      </c>
      <c r="Z45">
        <f>'TEA Revised Non EYZ'!Z45</f>
        <v>0.28318429382522198</v>
      </c>
      <c r="AA45">
        <f>'TEA Revised Non EYZ'!AA45</f>
        <v>0.56945642916197003</v>
      </c>
      <c r="AB45">
        <f>'TEA Revised Non EYZ'!AB45</f>
        <v>3.7698628972227502E-3</v>
      </c>
      <c r="AC45">
        <f>'TEA Revised Non EYZ'!AC45</f>
        <v>1822.2107908876901</v>
      </c>
      <c r="AD45">
        <f>'TEA Revised Non EYZ'!AD45</f>
        <v>2662.6059073104898</v>
      </c>
      <c r="AE45">
        <f>'TEA Revised Non EYZ'!AE45</f>
        <v>2401.5030938442701</v>
      </c>
      <c r="AF45">
        <f>'TEA Revised Non EYZ'!AF45</f>
        <v>7</v>
      </c>
      <c r="AG45">
        <f>'TEA Revised Non EYZ'!AG45</f>
        <v>1.64967327652189E-3</v>
      </c>
      <c r="AH45">
        <f>'TEA Revised Non EYZ'!AH45</f>
        <v>1.66887089455438E-3</v>
      </c>
      <c r="AI45">
        <f>'TEA Revised Non EYZ'!AI45</f>
        <v>5.5766973522943398E-6</v>
      </c>
      <c r="AJ45">
        <f>'TEA Revised Non EYZ'!AJ45</f>
        <v>0</v>
      </c>
      <c r="AK45">
        <f>'TEA Revised Non EYZ'!AK45</f>
        <v>0</v>
      </c>
      <c r="AL45">
        <f>'TEA Revised Non EYZ'!AL45</f>
        <v>0</v>
      </c>
      <c r="AM45">
        <f>'TEA Revised Non EYZ'!AM45</f>
        <v>1.6125268282720601E-3</v>
      </c>
      <c r="AN45">
        <f>'TEA Revised Non EYZ'!AN45</f>
        <v>7.9330002196474706E-5</v>
      </c>
      <c r="AO45">
        <f>'TEA Revised Non EYZ'!AO45</f>
        <v>5.5398308704750104E-6</v>
      </c>
      <c r="AP45">
        <f>'TEA Revised Non EYZ'!AP45</f>
        <v>1.7397589915908601E-3</v>
      </c>
      <c r="AQ45">
        <f>'TEA Revised Non EYZ'!AQ45</f>
        <v>7.4446365407150494E-2</v>
      </c>
      <c r="AR45">
        <f>'TEA Revised Non EYZ'!AR45</f>
        <v>1.7266467254719899E-6</v>
      </c>
      <c r="AS45">
        <f>'TEA Revised Non EYZ'!AS45</f>
        <v>-4.8721335126067302E-18</v>
      </c>
      <c r="AT45">
        <f>'TEA Revised Non EYZ'!AT45</f>
        <v>-2.21068822969794E-15</v>
      </c>
      <c r="AU45">
        <f>'TEA Revised Non EYZ'!AU45</f>
        <v>-5.2476338060364E-21</v>
      </c>
      <c r="AV45">
        <f>'TEA Revised Non EYZ'!AV45</f>
        <v>0.19720924848406601</v>
      </c>
      <c r="AW45">
        <f>'TEA Revised Non EYZ'!AW45</f>
        <v>99.338919086147698</v>
      </c>
      <c r="AX45">
        <f>'TEA Revised Non EYZ'!AX45</f>
        <v>500</v>
      </c>
      <c r="AY45">
        <f>'TEA Revised Non EYZ'!AY45</f>
        <v>95</v>
      </c>
      <c r="AZ45">
        <f>'TEA Revised Non EYZ'!AZ45</f>
        <v>0.92363221637625403</v>
      </c>
      <c r="BA45">
        <f>'TEA Revised Non EYZ'!BA45</f>
        <v>0.1</v>
      </c>
      <c r="BB45">
        <f>'TEA Revised Non EYZ'!BB45</f>
        <v>46.835136966250197</v>
      </c>
      <c r="BC45" t="str">
        <f>'TEA Revised Non EYZ'!BC45</f>
        <v>coeFc</v>
      </c>
      <c r="BD45">
        <f>'TEA Revised Non EYZ'!BD45</f>
        <v>1</v>
      </c>
      <c r="BE45">
        <f>'TEA Revised Non EYZ'!BE45</f>
        <v>1.8775014999999999E-2</v>
      </c>
      <c r="BF45">
        <f>'TEA Revised Non EYZ'!BF45</f>
        <v>0.10492961100000001</v>
      </c>
      <c r="BG45">
        <f>'TEA Revised Non EYZ'!BG45</f>
        <v>1.814625E-3</v>
      </c>
      <c r="BH45">
        <f>'TEA Revised Non EYZ'!BH45</f>
        <v>285.1951444</v>
      </c>
      <c r="BI45">
        <f>'TEA Revised Non EYZ'!BI45</f>
        <v>2169.8944889999998</v>
      </c>
      <c r="BJ45">
        <f>'TEA Revised Non EYZ'!BJ45</f>
        <v>866.49409060000005</v>
      </c>
      <c r="BK45">
        <f>'TEA Revised Non EYZ'!BK45</f>
        <v>100</v>
      </c>
      <c r="BL45">
        <f>'TEA Revised Non EYZ'!BL45</f>
        <v>11.1082169753281</v>
      </c>
      <c r="BM45">
        <f>'TEA Revised Non EYZ'!BM45</f>
        <v>92.363221637625401</v>
      </c>
      <c r="BN45">
        <f>'TEA Revised Non EYZ'!BN45</f>
        <v>19.7209248484066</v>
      </c>
      <c r="BO45">
        <f>'TEA Revised Non EYZ'!BO45</f>
        <v>199.94790555590581</v>
      </c>
      <c r="BP45">
        <f>'TEA Revised Non EYZ'!BP45</f>
        <v>354.97664727131883</v>
      </c>
      <c r="BQ45">
        <f>'TEA Revised Non EYZ'!BQ45</f>
        <v>19.994790555590583</v>
      </c>
      <c r="BR45">
        <f>'TEA Revised Non EYZ'!BR45</f>
        <v>35.497664727131884</v>
      </c>
      <c r="BS45">
        <f>'eLLE Bals'!CF45</f>
        <v>6.6649301851968596</v>
      </c>
      <c r="BT45">
        <f>'eLLE Bals'!CG45</f>
        <v>11.83255490904396</v>
      </c>
      <c r="BU45">
        <f>BM45</f>
        <v>92.363221637625401</v>
      </c>
      <c r="BV45">
        <f>BU45*(AM45*2+AN45*2+AO45*3)</f>
        <v>0.31406572470296529</v>
      </c>
      <c r="BW45">
        <f>BN45*BA45*(AP45*2+AQ45*2+AR45*3)</f>
        <v>0.30050238207288077</v>
      </c>
      <c r="BX45">
        <f>BV45/(2*V45*BL45+BV45)</f>
        <v>0.12385715784767444</v>
      </c>
      <c r="BY45">
        <f>BU45*BX45</f>
        <v>11.439846121691108</v>
      </c>
      <c r="BZ45">
        <f>BW45/(2*BN45*BA45+BW45)</f>
        <v>7.0794938983831684E-2</v>
      </c>
      <c r="CA45">
        <f>2*BN45*BA45/0.04</f>
        <v>98.604624242032997</v>
      </c>
      <c r="CB45">
        <f>(BS45+BL45)*2</f>
        <v>35.54629432104992</v>
      </c>
      <c r="CC45">
        <f>(BU45+BL45)*2</f>
        <v>206.94287722590701</v>
      </c>
      <c r="CD45">
        <f>(BT45+BN45)*2</f>
        <v>63.106959514901121</v>
      </c>
      <c r="CE45">
        <f>(CA45+BN45)*2</f>
        <v>236.65109818087919</v>
      </c>
      <c r="CF45">
        <f>'TEA Revised Non EYZ'!CB45</f>
        <v>2639.3123533379567</v>
      </c>
      <c r="CG45">
        <f>'TEA Revised Non EYZ'!CC45</f>
        <v>4685.6917439814088</v>
      </c>
      <c r="CH45">
        <f>'TEA Revised Non EYZ'!CD45</f>
        <v>3188.7782491883527</v>
      </c>
      <c r="CI45">
        <f>'TEA Revised Non EYZ'!CE45</f>
        <v>36141.156877650901</v>
      </c>
      <c r="CJ45">
        <f>BL45*V45</f>
        <v>1.11082169753281</v>
      </c>
      <c r="CK45">
        <f>CJ45/2*1.2</f>
        <v>0.66649301851968601</v>
      </c>
      <c r="CL45">
        <f>'eLLE Bals'!CB45*'Oxidant Feed Composition'!$N$20</f>
        <v>3.7027389917760348E-2</v>
      </c>
      <c r="CM45">
        <f>'eLLE Bals'!CB45*'Oxidant Feed Composition'!$N$21</f>
        <v>1.8513694958880169</v>
      </c>
      <c r="CN45">
        <f>'eLLE Bals'!CB45*'Oxidant Feed Composition'!$N$22</f>
        <v>0.55541084876640501</v>
      </c>
      <c r="CO45">
        <f>CN45/CK45</f>
        <v>0.83333333333333337</v>
      </c>
      <c r="CP45">
        <f>CO45</f>
        <v>0.83333333333333337</v>
      </c>
      <c r="CQ45">
        <f>CL45/CO45</f>
        <v>4.4432867901312414E-2</v>
      </c>
      <c r="CR45">
        <f>CM45/CO45</f>
        <v>2.22164339506562</v>
      </c>
      <c r="CS45">
        <f>BN45*BA45</f>
        <v>1.97209248484066</v>
      </c>
      <c r="CT45">
        <f>CS45/2*1.2</f>
        <v>1.183255490904396</v>
      </c>
      <c r="CU45">
        <f>'eLLE Bals'!CC45*'Oxidant Feed Composition'!$N$20</f>
        <v>6.5736416161355365E-2</v>
      </c>
      <c r="CV45">
        <f>'eLLE Bals'!CC45*'Oxidant Feed Composition'!$N$21</f>
        <v>3.286820808067767</v>
      </c>
      <c r="CW45">
        <f>'eLLE Bals'!CC45*'Oxidant Feed Composition'!$N$22</f>
        <v>0.98604624242033001</v>
      </c>
      <c r="CX45">
        <f>CU45/CP45</f>
        <v>7.8883699393626439E-2</v>
      </c>
      <c r="CY45">
        <f>CV45/CP45</f>
        <v>3.94418496968132</v>
      </c>
      <c r="CZ45">
        <f>CJ45</f>
        <v>1.11082169753281</v>
      </c>
      <c r="DA45">
        <f>'eLLE Bals'!BQ45</f>
        <v>2.22164339506562</v>
      </c>
      <c r="DB45">
        <f>'eLLE Bals'!BU45</f>
        <v>5.6361057743299128</v>
      </c>
      <c r="DC45">
        <f>CS45</f>
        <v>1.97209248484066</v>
      </c>
      <c r="DD45">
        <f>'eLLE Bals'!BX45</f>
        <v>3.94418496968132</v>
      </c>
      <c r="DE45">
        <f>'eLLE Bals'!CA45</f>
        <v>21.940127440339936</v>
      </c>
      <c r="DF45">
        <f>2*2*(CJ45*'Reagent cost'!$C$36*122.44/1000*0.5+CK45*'Oxidant Feed Composition'!$N$26+CQ45*'Reagent cost'!$C$34+CR45*'Reagent cost'!$C$35)</f>
        <v>74.618654493940213</v>
      </c>
      <c r="DG45">
        <f>2*2*(CS45*'Reagent cost'!$C$36*122.44/1000*0.5+CT45*'Oxidant Feed Composition'!$N$26+CX45*'Reagent cost'!$C$34+CY45*'Reagent cost'!$C$35)</f>
        <v>132.47390475290456</v>
      </c>
      <c r="DH45">
        <f>(AF45+3)*2*(CZ45*'Reagent cost'!$C$38*0.5+DA45*'Reagent cost'!$C$39+DB45*'Reagent cost'!$C$36*122.44/1000)</f>
        <v>1026.7890701034412</v>
      </c>
      <c r="DI45">
        <f>3*2*(DC45*'Reagent cost'!$C$38*0.5+DD45*'Reagent cost'!$C$39+DE45*'Reagent cost'!$C$36*122.44/1000)</f>
        <v>1166.0156270078048</v>
      </c>
      <c r="DJ45">
        <f>7963.6*(CB45/1000)^0.6*1.7*('CAPEX+OPEX'!$G$116/'CAPEX+OPEX'!$G$115)</f>
        <v>2156.3414312027717</v>
      </c>
      <c r="DK45">
        <f>7963.6*(CC45/1000)^0.6*1.7*('CAPEX+OPEX'!$G$116/'CAPEX+OPEX'!$G$115)</f>
        <v>6205.1347590783025</v>
      </c>
      <c r="DL45">
        <f>7963.6*(CD45/1000)^0.6*1.7*('CAPEX+OPEX'!$G$116/'CAPEX+OPEX'!$G$115)</f>
        <v>3042.8972080018357</v>
      </c>
      <c r="DM45">
        <f>7963.6*(CE45/1000)^0.6*1.7*('CAPEX+OPEX'!$G$116/'CAPEX+OPEX'!$G$115)</f>
        <v>6725.2129775576441</v>
      </c>
      <c r="DN45">
        <f>'TEA Revised Non EYZ'!CM45</f>
        <v>39625.826528698344</v>
      </c>
      <c r="DO45">
        <f>'TEA Revised Non EYZ'!CN45</f>
        <v>4586243.4239371875</v>
      </c>
      <c r="DP45">
        <f>'TEA Revised Non EYZ'!CO45</f>
        <v>11794834.586807497</v>
      </c>
      <c r="DQ45">
        <f>'TEA Revised Non EYZ'!CP45</f>
        <v>2275209.1661185985</v>
      </c>
      <c r="DR45">
        <f>'TEA Revised Non EYZ'!CQ45</f>
        <v>14083914.336508472</v>
      </c>
      <c r="DS45">
        <f>'TEA Revised Non EYZ'!CR45</f>
        <v>1662824.8986326549</v>
      </c>
      <c r="DT45">
        <f>'TEA Revised Non EYZ'!CS45</f>
        <v>700033.84449786716</v>
      </c>
      <c r="DU45">
        <f>'TEA Revised Non EYZ'!CT45</f>
        <v>1800336.9288957189</v>
      </c>
      <c r="DV45">
        <f>'TEA Revised Non EYZ'!CU45</f>
        <v>347282.79168127343</v>
      </c>
      <c r="DW45">
        <f>'TEA Revised Non EYZ'!CV45</f>
        <v>2149736.8951473436</v>
      </c>
      <c r="DX45">
        <f>'TEA Revised Non EYZ'!CW45</f>
        <v>253809.83932102245</v>
      </c>
      <c r="DY45">
        <f>'TEA Revised Non EYZ'!CX45</f>
        <v>5251200.2995432261</v>
      </c>
      <c r="DZ45">
        <f>'TEA Revised Non EYZ'!CY45</f>
        <v>661117.06839459355</v>
      </c>
      <c r="EA45">
        <f>'TEA Revised Non EYZ'!CZ45</f>
        <v>1700251.3262881106</v>
      </c>
      <c r="EB45">
        <f>'TEA Revised Non EYZ'!DA45</f>
        <v>327976.40134799713</v>
      </c>
      <c r="EC45">
        <f>'TEA Revised Non EYZ'!DB45</f>
        <v>2030227.2027418208</v>
      </c>
      <c r="ED45">
        <f>'TEA Revised Non EYZ'!DC45</f>
        <v>239699.86340014514</v>
      </c>
      <c r="EE45">
        <f>'TEA Revised Non EYZ'!DD45</f>
        <v>4959271.8621726679</v>
      </c>
      <c r="EF45">
        <v>0.7</v>
      </c>
      <c r="EG45">
        <v>100</v>
      </c>
      <c r="EH45">
        <f>96485*BL45*V45/EF45/EG45/60</f>
        <v>25.518483687250757</v>
      </c>
      <c r="EI45">
        <f>96485*BN45*BA45/EF45/EG45/60</f>
        <v>45.304129380916926</v>
      </c>
      <c r="EJ45">
        <f>EH45*('CAPEX+OPEX'!$O$25+'CAPEX+OPEX'!$O$26)</f>
        <v>813325.1120800561</v>
      </c>
      <c r="EK45">
        <f>EI45*('CAPEX+OPEX'!$O$25+'CAPEX+OPEX'!$O$26)</f>
        <v>1443933.2116285842</v>
      </c>
      <c r="EL45">
        <f>EJ45*1.12/0.6*'CAPEX+OPEX'!$G$116/'CAPEX+OPEX'!$G$115</f>
        <v>1790661.6086879191</v>
      </c>
      <c r="EM45">
        <f>EK45*1.12/0.6*'CAPEX+OPEX'!$G$116/'CAPEX+OPEX'!$G$115</f>
        <v>3179043.3237210219</v>
      </c>
      <c r="EN45">
        <f>EL45+EM45+DY45+EE45+1.15*(SUM(DF45:DM45)+SUM(CF45:CI45))</f>
        <v>15257439.180409646</v>
      </c>
      <c r="EO45">
        <f>EN45/15</f>
        <v>1017162.6120273097</v>
      </c>
      <c r="EP45">
        <f>('eLLE Bals'!CB45+'eLLE Bals'!CC45)*'Oxidant Feed Composition'!$N$29*60*7200</f>
        <v>7689889.1877853787</v>
      </c>
      <c r="EQ45" s="53">
        <f>('eLLE Bals'!BR45+'eLLE Bals'!BY45)*'Reagent cost'!$C$38*60*7200*0.5</f>
        <v>252904.47187813307</v>
      </c>
      <c r="ER45">
        <f>'TEA Revised Non EYZ'!DI45</f>
        <v>504921.59999999998</v>
      </c>
      <c r="ES45">
        <f>'TEA Revised Non EYZ'!DJ45</f>
        <v>73.250040973193663</v>
      </c>
      <c r="ET45">
        <f>'TEA Revised Non EYZ'!DK45</f>
        <v>786.59870253678514</v>
      </c>
      <c r="EU45">
        <f>1.2*SUM(EP45:ET45)</f>
        <v>10138290.130088424</v>
      </c>
      <c r="EV45">
        <f>'TEA Revised Non EYZ'!DM45</f>
        <v>0.70639694042110623</v>
      </c>
      <c r="EW45">
        <f>(BS45*CO45+BT45*CP45)/1000*('Oxidant Feed Composition'!$B$11*'Oxidant Feed Composition'!$O$20+'Oxidant Feed Composition'!$D$11*'Oxidant Feed Composition'!$O$21+'Oxidant Feed Composition'!$F$11*'Oxidant Feed Composition'!$O$27-'Oxidant Feed Composition'!$J$15*18.015)</f>
        <v>1.8001835732398088</v>
      </c>
      <c r="EX45">
        <f>(CZ45*BX45+DC45*BZ45)*368.34/1000</f>
        <v>0.10210288496280813</v>
      </c>
      <c r="EY45">
        <f>'TEA Revised Non EYZ'!DP45</f>
        <v>4.999938342565946E-2</v>
      </c>
      <c r="EZ45">
        <f>SUM(EV45:EX45)-EY45</f>
        <v>2.5586840151980641</v>
      </c>
      <c r="FA45">
        <f>EZ45*0.33*60*7200</f>
        <v>364765.99320663605</v>
      </c>
      <c r="FB45">
        <f>'TEA Revised Non EYZ'!DS45</f>
        <v>1.2</v>
      </c>
      <c r="FC45">
        <v>0.5</v>
      </c>
      <c r="FD45">
        <f>'TEA Revised Non EYZ'!DT45</f>
        <v>1405.7912061949582</v>
      </c>
      <c r="FE45">
        <f>'TEA Revised Non EYZ'!DU45</f>
        <v>706.09632791556498</v>
      </c>
      <c r="FF45">
        <f>'TEA Revised Non EYZ'!DV45</f>
        <v>0.7</v>
      </c>
      <c r="FG45">
        <f>'TEA Revised Non EYZ'!DW45</f>
        <v>38528.386667103026</v>
      </c>
      <c r="FH45">
        <f>'TEA Revised Non EYZ'!DX45</f>
        <v>33220.879177835675</v>
      </c>
      <c r="FI45">
        <f>'TEA Revised Non EYZ'!DY45</f>
        <v>14065.291587390104</v>
      </c>
      <c r="FJ45">
        <f>'TEA Revised Non EYZ'!DZ45</f>
        <v>7450.7773575794354</v>
      </c>
      <c r="FK45">
        <f>'TEA Revised Non EYZ'!EA45</f>
        <v>7501.4888466080574</v>
      </c>
      <c r="FL45">
        <f>'TEA Revised Non EYZ'!EB45</f>
        <v>850.2225215067109</v>
      </c>
      <c r="FM45">
        <f>'TEA Revised Non EYZ'!EC45</f>
        <v>36001.204551981551</v>
      </c>
      <c r="FN45">
        <f>'TEA Revised Non EYZ'!ED45</f>
        <v>31036.899359153111</v>
      </c>
      <c r="FO45">
        <f>'TEA Revised Non EYZ'!EE45</f>
        <v>13140.622712544662</v>
      </c>
      <c r="FP45">
        <f>'TEA Revised Non EYZ'!EF45</f>
        <v>6964.8264458875174</v>
      </c>
      <c r="FQ45">
        <f>'TEA Revised Non EYZ'!EG45</f>
        <v>7008.3321133571535</v>
      </c>
      <c r="FR45">
        <f>'TEA Revised Non EYZ'!EH45</f>
        <v>427.04705912333372</v>
      </c>
      <c r="FS45">
        <f>'TEA Revised Non EYZ'!EI45</f>
        <v>196195.97840007034</v>
      </c>
      <c r="FT45">
        <f>EG45*EH45</f>
        <v>2551.8483687250759</v>
      </c>
      <c r="FU45">
        <f>EG45*EI45</f>
        <v>4530.4129380916929</v>
      </c>
      <c r="FV45">
        <f>FC45*(FT45+FU45)/(3.6*10^6)*3600*7200*0.07</f>
        <v>1784.7298493178259</v>
      </c>
      <c r="FW45">
        <f>('CAPEX+OPEX'!$C$39/7/100+0.03)*EL45</f>
        <v>92091.168446807264</v>
      </c>
      <c r="FX45">
        <f>('CAPEX+OPEX'!$C$39/7/100+0.03)*EM45</f>
        <v>163493.6566485097</v>
      </c>
      <c r="FY45">
        <f>SUM(FV45:FX45)</f>
        <v>257369.55494463479</v>
      </c>
      <c r="FZ45">
        <f>FY45+FA45+FS45+EU45</f>
        <v>10956621.656639766</v>
      </c>
      <c r="GA45">
        <f>FZ45+EO45</f>
        <v>11973784.268667076</v>
      </c>
      <c r="GB45">
        <f>GA45/(BK45*60*7200)</f>
        <v>0.27717093214507121</v>
      </c>
      <c r="GC45">
        <f>'TEA Revised Non EYZ'!EM45/'TEA Revised Non EYZ'!EK45*GA45</f>
        <v>927.3693174812264</v>
      </c>
      <c r="GD45">
        <f>'TEA Revised Non EYZ'!EN45/'TEA Revised Non EYZ'!EK45*GA45</f>
        <v>1701.0882850112446</v>
      </c>
    </row>
    <row r="46" spans="1:186">
      <c r="A46">
        <f>'TEA Revised Non EYZ'!A46</f>
        <v>7</v>
      </c>
      <c r="B46">
        <f>'TEA Revised Non EYZ'!B46</f>
        <v>1.54143585092054E-3</v>
      </c>
      <c r="C46">
        <f>'TEA Revised Non EYZ'!C46</f>
        <v>1.54143585092054E-3</v>
      </c>
      <c r="D46">
        <f>'TEA Revised Non EYZ'!D46</f>
        <v>3.4254130020456501E-4</v>
      </c>
      <c r="E46">
        <f>'TEA Revised Non EYZ'!E46</f>
        <v>0</v>
      </c>
      <c r="F46">
        <f>'TEA Revised Non EYZ'!F46</f>
        <v>0</v>
      </c>
      <c r="G46">
        <f>'TEA Revised Non EYZ'!G46</f>
        <v>0</v>
      </c>
      <c r="H46">
        <f>'TEA Revised Non EYZ'!H46</f>
        <v>1.7744466230058299E-5</v>
      </c>
      <c r="I46">
        <f>'TEA Revised Non EYZ'!I46</f>
        <v>1.2927742824924801E-8</v>
      </c>
      <c r="J46">
        <f>'TEA Revised Non EYZ'!J46</f>
        <v>3.3739048286900598E-4</v>
      </c>
      <c r="K46">
        <f>'TEA Revised Non EYZ'!K46</f>
        <v>0.13716795306346499</v>
      </c>
      <c r="L46">
        <f>'TEA Revised Non EYZ'!L46</f>
        <v>0.138764207307677</v>
      </c>
      <c r="M46">
        <f>'TEA Revised Non EYZ'!M46</f>
        <v>4.6369433969460899E-4</v>
      </c>
      <c r="N46">
        <f>'TEA Revised Non EYZ'!N46</f>
        <v>-1.1037178115902399E-16</v>
      </c>
      <c r="O46">
        <f>'TEA Revised Non EYZ'!O46</f>
        <v>-5.3700533603207003E-15</v>
      </c>
      <c r="P46">
        <f>'TEA Revised Non EYZ'!P46</f>
        <v>-3.4304834363799101E-19</v>
      </c>
      <c r="Q46">
        <f>'TEA Revised Non EYZ'!Q46</f>
        <v>0.111082169753281</v>
      </c>
      <c r="R46">
        <f>'TEA Revised Non EYZ'!R46</f>
        <v>98.496293050653193</v>
      </c>
      <c r="S46">
        <f>'TEA Revised Non EYZ'!S46</f>
        <v>500</v>
      </c>
      <c r="T46">
        <f>'TEA Revised Non EYZ'!T46</f>
        <v>95</v>
      </c>
      <c r="U46">
        <f>'TEA Revised Non EYZ'!U46</f>
        <v>1</v>
      </c>
      <c r="V46">
        <f>'TEA Revised Non EYZ'!V46</f>
        <v>0.1</v>
      </c>
      <c r="W46">
        <f>'TEA Revised Non EYZ'!W46</f>
        <v>90.023448607553206</v>
      </c>
      <c r="X46" t="str">
        <f>'TEA Revised Non EYZ'!X46</f>
        <v>ddFc</v>
      </c>
      <c r="Y46">
        <f>'TEA Revised Non EYZ'!Y46</f>
        <v>1</v>
      </c>
      <c r="Z46">
        <f>'TEA Revised Non EYZ'!Z46</f>
        <v>0.28318429382522198</v>
      </c>
      <c r="AA46">
        <f>'TEA Revised Non EYZ'!AA46</f>
        <v>0.56945642916197003</v>
      </c>
      <c r="AB46">
        <f>'TEA Revised Non EYZ'!AB46</f>
        <v>3.7698628972227502E-3</v>
      </c>
      <c r="AC46">
        <f>'TEA Revised Non EYZ'!AC46</f>
        <v>1822.2107908876901</v>
      </c>
      <c r="AD46">
        <f>'TEA Revised Non EYZ'!AD46</f>
        <v>2662.6059073104898</v>
      </c>
      <c r="AE46">
        <f>'TEA Revised Non EYZ'!AE46</f>
        <v>2401.5030938442701</v>
      </c>
      <c r="AF46">
        <f>'TEA Revised Non EYZ'!AF46</f>
        <v>8</v>
      </c>
      <c r="AG46">
        <f>'TEA Revised Non EYZ'!AG46</f>
        <v>1.64967327652189E-3</v>
      </c>
      <c r="AH46">
        <f>'TEA Revised Non EYZ'!AH46</f>
        <v>1.66887089455438E-3</v>
      </c>
      <c r="AI46">
        <f>'TEA Revised Non EYZ'!AI46</f>
        <v>5.5766973522943398E-6</v>
      </c>
      <c r="AJ46">
        <f>'TEA Revised Non EYZ'!AJ46</f>
        <v>0</v>
      </c>
      <c r="AK46">
        <f>'TEA Revised Non EYZ'!AK46</f>
        <v>0</v>
      </c>
      <c r="AL46">
        <f>'TEA Revised Non EYZ'!AL46</f>
        <v>0</v>
      </c>
      <c r="AM46">
        <f>'TEA Revised Non EYZ'!AM46</f>
        <v>1.6126668855832699E-3</v>
      </c>
      <c r="AN46">
        <f>'TEA Revised Non EYZ'!AN46</f>
        <v>7.9337240379229206E-5</v>
      </c>
      <c r="AO46">
        <f>'TEA Revised Non EYZ'!AO46</f>
        <v>5.5399641251523699E-6</v>
      </c>
      <c r="AP46">
        <f>'TEA Revised Non EYZ'!AP46</f>
        <v>1.7350315599837401E-3</v>
      </c>
      <c r="AQ46">
        <f>'TEA Revised Non EYZ'!AQ46</f>
        <v>7.4524723667687906E-2</v>
      </c>
      <c r="AR46">
        <f>'TEA Revised Non EYZ'!AR46</f>
        <v>1.7222243722089301E-6</v>
      </c>
      <c r="AS46">
        <f>'TEA Revised Non EYZ'!AS46</f>
        <v>5.7278333009773403E-15</v>
      </c>
      <c r="AT46">
        <f>'TEA Revised Non EYZ'!AT46</f>
        <v>-1.34509916226155E-12</v>
      </c>
      <c r="AU46">
        <f>'TEA Revised Non EYZ'!AU46</f>
        <v>2.7085201977436299E-20</v>
      </c>
      <c r="AV46">
        <f>'TEA Revised Non EYZ'!AV46</f>
        <v>0.19700099793756001</v>
      </c>
      <c r="AW46">
        <f>'TEA Revised Non EYZ'!AW46</f>
        <v>99.341308577076504</v>
      </c>
      <c r="AX46">
        <f>'TEA Revised Non EYZ'!AX46</f>
        <v>500</v>
      </c>
      <c r="AY46">
        <f>'TEA Revised Non EYZ'!AY46</f>
        <v>95</v>
      </c>
      <c r="AZ46">
        <f>'TEA Revised Non EYZ'!AZ46</f>
        <v>0.92363221637625403</v>
      </c>
      <c r="BA46">
        <f>'TEA Revised Non EYZ'!BA46</f>
        <v>0.1</v>
      </c>
      <c r="BB46">
        <f>'TEA Revised Non EYZ'!BB46</f>
        <v>46.884646577729498</v>
      </c>
      <c r="BC46" t="str">
        <f>'TEA Revised Non EYZ'!BC46</f>
        <v>coeFc</v>
      </c>
      <c r="BD46">
        <f>'TEA Revised Non EYZ'!BD46</f>
        <v>1</v>
      </c>
      <c r="BE46">
        <f>'TEA Revised Non EYZ'!BE46</f>
        <v>1.8775014999999999E-2</v>
      </c>
      <c r="BF46">
        <f>'TEA Revised Non EYZ'!BF46</f>
        <v>0.10492961100000001</v>
      </c>
      <c r="BG46">
        <f>'TEA Revised Non EYZ'!BG46</f>
        <v>1.814625E-3</v>
      </c>
      <c r="BH46">
        <f>'TEA Revised Non EYZ'!BH46</f>
        <v>285.1951444</v>
      </c>
      <c r="BI46">
        <f>'TEA Revised Non EYZ'!BI46</f>
        <v>2169.8944889999998</v>
      </c>
      <c r="BJ46">
        <f>'TEA Revised Non EYZ'!BJ46</f>
        <v>866.49409060000005</v>
      </c>
      <c r="BK46">
        <f>'TEA Revised Non EYZ'!BK46</f>
        <v>100</v>
      </c>
      <c r="BL46">
        <f>'TEA Revised Non EYZ'!BL46</f>
        <v>11.1082169753281</v>
      </c>
      <c r="BM46">
        <f>'TEA Revised Non EYZ'!BM46</f>
        <v>92.363221637625401</v>
      </c>
      <c r="BN46">
        <f>'TEA Revised Non EYZ'!BN46</f>
        <v>19.700099793756003</v>
      </c>
      <c r="BO46">
        <f>'TEA Revised Non EYZ'!BO46</f>
        <v>199.94790555590581</v>
      </c>
      <c r="BP46">
        <f>'TEA Revised Non EYZ'!BP46</f>
        <v>394.00199587512009</v>
      </c>
      <c r="BQ46">
        <f>'TEA Revised Non EYZ'!BQ46</f>
        <v>19.994790555590583</v>
      </c>
      <c r="BR46">
        <f>'TEA Revised Non EYZ'!BR46</f>
        <v>39.400199587512013</v>
      </c>
      <c r="BS46">
        <f>'eLLE Bals'!CF46</f>
        <v>6.6649301851968596</v>
      </c>
      <c r="BT46">
        <f>'eLLE Bals'!CG46</f>
        <v>11.820059876253602</v>
      </c>
      <c r="BU46">
        <f>BM46</f>
        <v>92.363221637625401</v>
      </c>
      <c r="BV46">
        <f>BU46*(AM46*2+AN46*2+AO46*3)</f>
        <v>0.31409297099916972</v>
      </c>
      <c r="BW46">
        <f>BN46*BA46*(AP46*2+AQ46*2+AR46*3)</f>
        <v>0.30047513604410742</v>
      </c>
      <c r="BX46">
        <f>BV46/(2*V46*BL46+BV46)</f>
        <v>0.12386657193650251</v>
      </c>
      <c r="BY46">
        <f>BU46*BX46</f>
        <v>11.440715637264052</v>
      </c>
      <c r="BZ46">
        <f>BW46/(2*BN46*BA46+BW46)</f>
        <v>7.0858503388650088E-2</v>
      </c>
      <c r="CA46">
        <f>2*BN46*BA46/0.04</f>
        <v>98.500498968780008</v>
      </c>
      <c r="CB46">
        <f>(BS46+BL46)*2</f>
        <v>35.54629432104992</v>
      </c>
      <c r="CC46">
        <f>(BU46+BL46)*2</f>
        <v>206.94287722590701</v>
      </c>
      <c r="CD46">
        <f>(BT46+BN46)*2</f>
        <v>63.040319340019209</v>
      </c>
      <c r="CE46">
        <f>(CA46+BN46)*2</f>
        <v>236.40119752507201</v>
      </c>
      <c r="CF46">
        <f>'TEA Revised Non EYZ'!CB46</f>
        <v>2639.3123533379567</v>
      </c>
      <c r="CG46">
        <f>'TEA Revised Non EYZ'!CC46</f>
        <v>5200.8263455515853</v>
      </c>
      <c r="CH46">
        <f>'TEA Revised Non EYZ'!CD46</f>
        <v>3188.7782491883527</v>
      </c>
      <c r="CI46">
        <f>'TEA Revised Non EYZ'!CE46</f>
        <v>40114.435843849977</v>
      </c>
      <c r="CJ46">
        <f>BL46*V46</f>
        <v>1.11082169753281</v>
      </c>
      <c r="CK46">
        <f>CJ46/2*1.2</f>
        <v>0.66649301851968601</v>
      </c>
      <c r="CL46">
        <f>'eLLE Bals'!CB46*'Oxidant Feed Composition'!$N$20</f>
        <v>3.7027389917760348E-2</v>
      </c>
      <c r="CM46">
        <f>'eLLE Bals'!CB46*'Oxidant Feed Composition'!$N$21</f>
        <v>1.8513694958880169</v>
      </c>
      <c r="CN46">
        <f>'eLLE Bals'!CB46*'Oxidant Feed Composition'!$N$22</f>
        <v>0.55541084876640501</v>
      </c>
      <c r="CO46">
        <f>CN46/CK46</f>
        <v>0.83333333333333337</v>
      </c>
      <c r="CP46">
        <f>CO46</f>
        <v>0.83333333333333337</v>
      </c>
      <c r="CQ46">
        <f>CL46/CO46</f>
        <v>4.4432867901312414E-2</v>
      </c>
      <c r="CR46">
        <f>CM46/CO46</f>
        <v>2.22164339506562</v>
      </c>
      <c r="CS46">
        <f>BN46*BA46</f>
        <v>1.9700099793756003</v>
      </c>
      <c r="CT46">
        <f>CS46/2*1.2</f>
        <v>1.1820059876253601</v>
      </c>
      <c r="CU46">
        <f>'eLLE Bals'!CC46*'Oxidant Feed Composition'!$N$20</f>
        <v>6.5666999312520041E-2</v>
      </c>
      <c r="CV46">
        <f>'eLLE Bals'!CC46*'Oxidant Feed Composition'!$N$21</f>
        <v>3.2833499656260008</v>
      </c>
      <c r="CW46">
        <f>'eLLE Bals'!CC46*'Oxidant Feed Composition'!$N$22</f>
        <v>0.98500498968780015</v>
      </c>
      <c r="CX46">
        <f>CU46/CP46</f>
        <v>7.8800399175024044E-2</v>
      </c>
      <c r="CY46">
        <f>CV46/CP46</f>
        <v>3.9400199587512006</v>
      </c>
      <c r="CZ46">
        <f>CJ46</f>
        <v>1.11082169753281</v>
      </c>
      <c r="DA46">
        <f>'eLLE Bals'!BQ46</f>
        <v>2.22164339506562</v>
      </c>
      <c r="DB46">
        <f>'eLLE Bals'!BU46</f>
        <v>5.6354241482287257</v>
      </c>
      <c r="DC46">
        <f>CS46</f>
        <v>1.9700099793756003</v>
      </c>
      <c r="DD46">
        <f>'eLLE Bals'!BX46</f>
        <v>3.9400199587512006</v>
      </c>
      <c r="DE46">
        <f>'eLLE Bals'!CA46</f>
        <v>21.891996426589657</v>
      </c>
      <c r="DF46">
        <f>2*2*(CJ46*'Reagent cost'!$C$36*122.44/1000*0.5+CK46*'Oxidant Feed Composition'!$N$26+CQ46*'Reagent cost'!$C$34+CR46*'Reagent cost'!$C$35)</f>
        <v>74.618654493940213</v>
      </c>
      <c r="DG46">
        <f>2*2*(CS46*'Reagent cost'!$C$36*122.44/1000*0.5+CT46*'Oxidant Feed Composition'!$N$26+CX46*'Reagent cost'!$C$34+CY46*'Reagent cost'!$C$35)</f>
        <v>132.33401393503149</v>
      </c>
      <c r="DH46">
        <f>(AF46+3)*2*(CZ46*'Reagent cost'!$C$38*0.5+DA46*'Reagent cost'!$C$39+DB46*'Reagent cost'!$C$36*122.44/1000)</f>
        <v>1129.3383129608385</v>
      </c>
      <c r="DI46">
        <f>3*2*(DC46*'Reagent cost'!$C$38*0.5+DD46*'Reagent cost'!$C$39+DE46*'Reagent cost'!$C$36*122.44/1000)</f>
        <v>1163.4892669684091</v>
      </c>
      <c r="DJ46">
        <f>7963.6*(CB46/1000)^0.6*1.7*('CAPEX+OPEX'!$G$116/'CAPEX+OPEX'!$G$115)</f>
        <v>2156.3414312027717</v>
      </c>
      <c r="DK46">
        <f>7963.6*(CC46/1000)^0.6*1.7*('CAPEX+OPEX'!$G$116/'CAPEX+OPEX'!$G$115)</f>
        <v>6205.1347590783025</v>
      </c>
      <c r="DL46">
        <f>7963.6*(CD46/1000)^0.6*1.7*('CAPEX+OPEX'!$G$116/'CAPEX+OPEX'!$G$115)</f>
        <v>3040.9688433532851</v>
      </c>
      <c r="DM46">
        <f>7963.6*(CE46/1000)^0.6*1.7*('CAPEX+OPEX'!$G$116/'CAPEX+OPEX'!$G$115)</f>
        <v>6720.9510317627646</v>
      </c>
      <c r="DN46">
        <f>'TEA Revised Non EYZ'!CM46</f>
        <v>39625.826528698344</v>
      </c>
      <c r="DO46">
        <f>'TEA Revised Non EYZ'!CN46</f>
        <v>4586243.4239371875</v>
      </c>
      <c r="DP46">
        <f>'TEA Revised Non EYZ'!CO46</f>
        <v>11794834.586807497</v>
      </c>
      <c r="DQ46">
        <f>'TEA Revised Non EYZ'!CP46</f>
        <v>2275209.1661185985</v>
      </c>
      <c r="DR46">
        <f>'TEA Revised Non EYZ'!CQ46</f>
        <v>14083914.336508472</v>
      </c>
      <c r="DS46">
        <f>'TEA Revised Non EYZ'!CR46</f>
        <v>1662824.8986326549</v>
      </c>
      <c r="DT46">
        <f>'TEA Revised Non EYZ'!CS46</f>
        <v>700033.84449786716</v>
      </c>
      <c r="DU46">
        <f>'TEA Revised Non EYZ'!CT46</f>
        <v>1800336.9288957189</v>
      </c>
      <c r="DV46">
        <f>'TEA Revised Non EYZ'!CU46</f>
        <v>347282.79168127343</v>
      </c>
      <c r="DW46">
        <f>'TEA Revised Non EYZ'!CV46</f>
        <v>2149736.8951473436</v>
      </c>
      <c r="DX46">
        <f>'TEA Revised Non EYZ'!CW46</f>
        <v>253809.83932102245</v>
      </c>
      <c r="DY46">
        <f>'TEA Revised Non EYZ'!CX46</f>
        <v>5251200.2995432261</v>
      </c>
      <c r="DZ46">
        <f>'TEA Revised Non EYZ'!CY46</f>
        <v>709528.56289770885</v>
      </c>
      <c r="EA46">
        <f>'TEA Revised Non EYZ'!CZ46</f>
        <v>1824755.3085198672</v>
      </c>
      <c r="EB46">
        <f>'TEA Revised Non EYZ'!DA46</f>
        <v>351993.06724586396</v>
      </c>
      <c r="EC46">
        <f>'TEA Revised Non EYZ'!DB46</f>
        <v>2178894.2660567677</v>
      </c>
      <c r="ED46">
        <f>'TEA Revised Non EYZ'!DC46</f>
        <v>257252.31995307075</v>
      </c>
      <c r="EE46">
        <f>'TEA Revised Non EYZ'!DD46</f>
        <v>5322423.5246732784</v>
      </c>
      <c r="EF46">
        <v>0.7</v>
      </c>
      <c r="EG46">
        <v>100</v>
      </c>
      <c r="EH46">
        <f>96485*BL46*V46/EF46/EG46/60</f>
        <v>25.518483687250757</v>
      </c>
      <c r="EI46">
        <f>96485*BN46*BA46/EF46/EG46/60</f>
        <v>45.256288776203533</v>
      </c>
      <c r="EJ46">
        <f>EH46*('CAPEX+OPEX'!$O$25+'CAPEX+OPEX'!$O$26)</f>
        <v>813325.1120800561</v>
      </c>
      <c r="EK46">
        <f>EI46*('CAPEX+OPEX'!$O$25+'CAPEX+OPEX'!$O$26)</f>
        <v>1442408.435875159</v>
      </c>
      <c r="EL46">
        <f>EJ46*1.12/0.6*'CAPEX+OPEX'!$G$116/'CAPEX+OPEX'!$G$115</f>
        <v>1790661.6086879191</v>
      </c>
      <c r="EM46">
        <f>EK46*1.12/0.6*'CAPEX+OPEX'!$G$116/'CAPEX+OPEX'!$G$115</f>
        <v>3175686.2929802225</v>
      </c>
      <c r="EN46">
        <f>EL46+EM46+DY46+EE46+1.15*(SUM(DF46:DM46)+SUM(CF46:CI46))</f>
        <v>15622503.234356182</v>
      </c>
      <c r="EO46">
        <f>EN46/15</f>
        <v>1041500.2156237455</v>
      </c>
      <c r="EP46">
        <f>('eLLE Bals'!CB46+'eLLE Bals'!CC46)*'Oxidant Feed Composition'!$N$29*60*7200</f>
        <v>7684694.6752845664</v>
      </c>
      <c r="EQ46" s="53">
        <f>('eLLE Bals'!BR46+'eLLE Bals'!BY46)*'Reagent cost'!$C$38*60*7200*0.5</f>
        <v>252893.75074281127</v>
      </c>
      <c r="ER46">
        <f>'TEA Revised Non EYZ'!DI46</f>
        <v>504921.59999999998</v>
      </c>
      <c r="ES46">
        <f>'TEA Revised Non EYZ'!DJ46</f>
        <v>78.401386988895425</v>
      </c>
      <c r="ET46">
        <f>'TEA Revised Non EYZ'!DK46</f>
        <v>866.06428186076664</v>
      </c>
      <c r="EU46">
        <f>1.2*SUM(EP46:ET46)</f>
        <v>10132145.390035473</v>
      </c>
      <c r="EV46">
        <f>'TEA Revised Non EYZ'!DM46</f>
        <v>0.70639694042110623</v>
      </c>
      <c r="EW46">
        <f>(BS46*CO46+BT46*CP46)/1000*('Oxidant Feed Composition'!$B$11*'Oxidant Feed Composition'!$O$20+'Oxidant Feed Composition'!$D$11*'Oxidant Feed Composition'!$O$21+'Oxidant Feed Composition'!$F$11*'Oxidant Feed Composition'!$O$27-'Oxidant Feed Composition'!$J$15*18.015)</f>
        <v>1.7989675510258862</v>
      </c>
      <c r="EX46">
        <f>(CZ46*BX46+DC46*BZ46)*368.34/1000</f>
        <v>0.10209855661369548</v>
      </c>
      <c r="EY46">
        <f>'TEA Revised Non EYZ'!DP46</f>
        <v>4.999938342565946E-2</v>
      </c>
      <c r="EZ46">
        <f>SUM(EV46:EX46)-EY46</f>
        <v>2.5574636646350286</v>
      </c>
      <c r="FA46">
        <f>EZ46*0.33*60*7200</f>
        <v>364592.02003036969</v>
      </c>
      <c r="FB46">
        <f>'TEA Revised Non EYZ'!DS46</f>
        <v>1.2</v>
      </c>
      <c r="FC46">
        <v>0.5</v>
      </c>
      <c r="FD46">
        <f>'TEA Revised Non EYZ'!DT46</f>
        <v>1405.9132334970786</v>
      </c>
      <c r="FE46">
        <f>'TEA Revised Non EYZ'!DU46</f>
        <v>705.97430122516892</v>
      </c>
      <c r="FF46">
        <f>'TEA Revised Non EYZ'!DV46</f>
        <v>0.7</v>
      </c>
      <c r="FG46">
        <f>'TEA Revised Non EYZ'!DW46</f>
        <v>38528.386667103026</v>
      </c>
      <c r="FH46">
        <f>'TEA Revised Non EYZ'!DX46</f>
        <v>33220.879177835675</v>
      </c>
      <c r="FI46">
        <f>'TEA Revised Non EYZ'!DY46</f>
        <v>14065.291587390104</v>
      </c>
      <c r="FJ46">
        <f>'TEA Revised Non EYZ'!DZ46</f>
        <v>7450.7773575794354</v>
      </c>
      <c r="FK46">
        <f>'TEA Revised Non EYZ'!EA46</f>
        <v>7501.4888466080574</v>
      </c>
      <c r="FL46">
        <f>'TEA Revised Non EYZ'!EB46</f>
        <v>850.29632361903327</v>
      </c>
      <c r="FM46">
        <f>'TEA Revised Non EYZ'!EC46</f>
        <v>38572.719162837369</v>
      </c>
      <c r="FN46">
        <f>'TEA Revised Non EYZ'!ED46</f>
        <v>34916.511779047243</v>
      </c>
      <c r="FO46">
        <f>'TEA Revised Non EYZ'!EE46</f>
        <v>14783.200551612743</v>
      </c>
      <c r="FP46">
        <f>'TEA Revised Non EYZ'!EF46</f>
        <v>7835.4297516234565</v>
      </c>
      <c r="FQ46">
        <f>'TEA Revised Non EYZ'!EG46</f>
        <v>7884.3736275267966</v>
      </c>
      <c r="FR46">
        <f>'TEA Revised Non EYZ'!EH46</f>
        <v>426.9732573809822</v>
      </c>
      <c r="FS46">
        <f>'TEA Revised Non EYZ'!EI46</f>
        <v>206036.32809016391</v>
      </c>
      <c r="FT46">
        <f>EG46*EH46</f>
        <v>2551.8483687250759</v>
      </c>
      <c r="FU46">
        <f>EG46*EI46</f>
        <v>4525.6288776203537</v>
      </c>
      <c r="FV46">
        <f>FC46*(FT46+FU46)/(3.6*10^6)*3600*7200*0.07</f>
        <v>1783.5242660790486</v>
      </c>
      <c r="FW46">
        <f>('CAPEX+OPEX'!$C$39/7/100+0.03)*EL46</f>
        <v>92091.168446807264</v>
      </c>
      <c r="FX46">
        <f>('CAPEX+OPEX'!$C$39/7/100+0.03)*EM46</f>
        <v>163321.00935326857</v>
      </c>
      <c r="FY46">
        <f>SUM(FV46:FX46)</f>
        <v>257195.70206615489</v>
      </c>
      <c r="FZ46">
        <f>FY46+FA46+FS46+EU46</f>
        <v>10959969.440222161</v>
      </c>
      <c r="GA46">
        <f>FZ46+EO46</f>
        <v>12001469.655845907</v>
      </c>
      <c r="GB46">
        <f>GA46/(BK46*60*7200)</f>
        <v>0.27781179758902563</v>
      </c>
      <c r="GC46">
        <f>'TEA Revised Non EYZ'!EM46/'TEA Revised Non EYZ'!EK46*GA46</f>
        <v>929.43281994474262</v>
      </c>
      <c r="GD46">
        <f>'TEA Revised Non EYZ'!EN46/'TEA Revised Non EYZ'!EK46*GA46</f>
        <v>1705.2931842673104</v>
      </c>
    </row>
    <row r="47" spans="1:186">
      <c r="A47">
        <f>'TEA Revised Non EYZ'!A47</f>
        <v>7</v>
      </c>
      <c r="B47">
        <f>'TEA Revised Non EYZ'!B47</f>
        <v>1.54143585092054E-3</v>
      </c>
      <c r="C47">
        <f>'TEA Revised Non EYZ'!C47</f>
        <v>1.54143585092054E-3</v>
      </c>
      <c r="D47">
        <f>'TEA Revised Non EYZ'!D47</f>
        <v>3.4254130020456501E-4</v>
      </c>
      <c r="E47">
        <f>'TEA Revised Non EYZ'!E47</f>
        <v>0</v>
      </c>
      <c r="F47">
        <f>'TEA Revised Non EYZ'!F47</f>
        <v>0</v>
      </c>
      <c r="G47">
        <f>'TEA Revised Non EYZ'!G47</f>
        <v>0</v>
      </c>
      <c r="H47">
        <f>'TEA Revised Non EYZ'!H47</f>
        <v>1.7744466230058299E-5</v>
      </c>
      <c r="I47">
        <f>'TEA Revised Non EYZ'!I47</f>
        <v>1.2927742824924801E-8</v>
      </c>
      <c r="J47">
        <f>'TEA Revised Non EYZ'!J47</f>
        <v>3.3739048286900598E-4</v>
      </c>
      <c r="K47">
        <f>'TEA Revised Non EYZ'!K47</f>
        <v>0.13716795306346499</v>
      </c>
      <c r="L47">
        <f>'TEA Revised Non EYZ'!L47</f>
        <v>0.138764207307677</v>
      </c>
      <c r="M47">
        <f>'TEA Revised Non EYZ'!M47</f>
        <v>4.6369433969460899E-4</v>
      </c>
      <c r="N47">
        <f>'TEA Revised Non EYZ'!N47</f>
        <v>-1.1037178115902399E-16</v>
      </c>
      <c r="O47">
        <f>'TEA Revised Non EYZ'!O47</f>
        <v>-5.3700533603207003E-15</v>
      </c>
      <c r="P47">
        <f>'TEA Revised Non EYZ'!P47</f>
        <v>-3.4304834363799101E-19</v>
      </c>
      <c r="Q47">
        <f>'TEA Revised Non EYZ'!Q47</f>
        <v>0.111082169753281</v>
      </c>
      <c r="R47">
        <f>'TEA Revised Non EYZ'!R47</f>
        <v>98.496293050653193</v>
      </c>
      <c r="S47">
        <f>'TEA Revised Non EYZ'!S47</f>
        <v>500</v>
      </c>
      <c r="T47">
        <f>'TEA Revised Non EYZ'!T47</f>
        <v>95</v>
      </c>
      <c r="U47">
        <f>'TEA Revised Non EYZ'!U47</f>
        <v>1</v>
      </c>
      <c r="V47">
        <f>'TEA Revised Non EYZ'!V47</f>
        <v>0.1</v>
      </c>
      <c r="W47">
        <f>'TEA Revised Non EYZ'!W47</f>
        <v>90.023448607553206</v>
      </c>
      <c r="X47" t="str">
        <f>'TEA Revised Non EYZ'!X47</f>
        <v>ddFc</v>
      </c>
      <c r="Y47">
        <f>'TEA Revised Non EYZ'!Y47</f>
        <v>1</v>
      </c>
      <c r="Z47">
        <f>'TEA Revised Non EYZ'!Z47</f>
        <v>0.28318429382522198</v>
      </c>
      <c r="AA47">
        <f>'TEA Revised Non EYZ'!AA47</f>
        <v>0.56945642916197003</v>
      </c>
      <c r="AB47">
        <f>'TEA Revised Non EYZ'!AB47</f>
        <v>3.7698628972227502E-3</v>
      </c>
      <c r="AC47">
        <f>'TEA Revised Non EYZ'!AC47</f>
        <v>1822.2107908876901</v>
      </c>
      <c r="AD47">
        <f>'TEA Revised Non EYZ'!AD47</f>
        <v>2662.6059073104898</v>
      </c>
      <c r="AE47">
        <f>'TEA Revised Non EYZ'!AE47</f>
        <v>2401.5030938442701</v>
      </c>
      <c r="AF47">
        <f>'TEA Revised Non EYZ'!AF47</f>
        <v>9</v>
      </c>
      <c r="AG47">
        <f>'TEA Revised Non EYZ'!AG47</f>
        <v>1.64967327652189E-3</v>
      </c>
      <c r="AH47">
        <f>'TEA Revised Non EYZ'!AH47</f>
        <v>1.66887089455438E-3</v>
      </c>
      <c r="AI47">
        <f>'TEA Revised Non EYZ'!AI47</f>
        <v>5.5766973522943398E-6</v>
      </c>
      <c r="AJ47">
        <f>'TEA Revised Non EYZ'!AJ47</f>
        <v>0</v>
      </c>
      <c r="AK47">
        <f>'TEA Revised Non EYZ'!AK47</f>
        <v>0</v>
      </c>
      <c r="AL47">
        <f>'TEA Revised Non EYZ'!AL47</f>
        <v>0</v>
      </c>
      <c r="AM47">
        <f>'TEA Revised Non EYZ'!AM47</f>
        <v>1.6127064588001699E-3</v>
      </c>
      <c r="AN47">
        <f>'TEA Revised Non EYZ'!AN47</f>
        <v>7.9339285496144799E-5</v>
      </c>
      <c r="AO47">
        <f>'TEA Revised Non EYZ'!AO47</f>
        <v>5.5400017762774897E-6</v>
      </c>
      <c r="AP47">
        <f>'TEA Revised Non EYZ'!AP47</f>
        <v>1.7336940135680801E-3</v>
      </c>
      <c r="AQ47">
        <f>'TEA Revised Non EYZ'!AQ47</f>
        <v>7.4546893805151004E-2</v>
      </c>
      <c r="AR47">
        <f>'TEA Revised Non EYZ'!AR47</f>
        <v>1.7209731425580199E-6</v>
      </c>
      <c r="AS47">
        <f>'TEA Revised Non EYZ'!AS47</f>
        <v>4.4438736544749601E-17</v>
      </c>
      <c r="AT47">
        <f>'TEA Revised Non EYZ'!AT47</f>
        <v>-5.7289242794133999E-15</v>
      </c>
      <c r="AU47">
        <f>'TEA Revised Non EYZ'!AU47</f>
        <v>-1.43598554339205E-21</v>
      </c>
      <c r="AV47">
        <f>'TEA Revised Non EYZ'!AV47</f>
        <v>0.19694215655956099</v>
      </c>
      <c r="AW47">
        <f>'TEA Revised Non EYZ'!AW47</f>
        <v>99.341983728025795</v>
      </c>
      <c r="AX47">
        <f>'TEA Revised Non EYZ'!AX47</f>
        <v>500</v>
      </c>
      <c r="AY47">
        <f>'TEA Revised Non EYZ'!AY47</f>
        <v>95</v>
      </c>
      <c r="AZ47">
        <f>'TEA Revised Non EYZ'!AZ47</f>
        <v>0.92363221637625403</v>
      </c>
      <c r="BA47">
        <f>'TEA Revised Non EYZ'!BA47</f>
        <v>0.1</v>
      </c>
      <c r="BB47">
        <f>'TEA Revised Non EYZ'!BB47</f>
        <v>46.898654534480997</v>
      </c>
      <c r="BC47" t="str">
        <f>'TEA Revised Non EYZ'!BC47</f>
        <v>coeFc</v>
      </c>
      <c r="BD47">
        <f>'TEA Revised Non EYZ'!BD47</f>
        <v>1</v>
      </c>
      <c r="BE47">
        <f>'TEA Revised Non EYZ'!BE47</f>
        <v>1.8775014999999999E-2</v>
      </c>
      <c r="BF47">
        <f>'TEA Revised Non EYZ'!BF47</f>
        <v>0.10492961100000001</v>
      </c>
      <c r="BG47">
        <f>'TEA Revised Non EYZ'!BG47</f>
        <v>1.814625E-3</v>
      </c>
      <c r="BH47">
        <f>'TEA Revised Non EYZ'!BH47</f>
        <v>285.1951444</v>
      </c>
      <c r="BI47">
        <f>'TEA Revised Non EYZ'!BI47</f>
        <v>2169.8944889999998</v>
      </c>
      <c r="BJ47">
        <f>'TEA Revised Non EYZ'!BJ47</f>
        <v>866.49409060000005</v>
      </c>
      <c r="BK47">
        <f>'TEA Revised Non EYZ'!BK47</f>
        <v>100</v>
      </c>
      <c r="BL47">
        <f>'TEA Revised Non EYZ'!BL47</f>
        <v>11.1082169753281</v>
      </c>
      <c r="BM47">
        <f>'TEA Revised Non EYZ'!BM47</f>
        <v>92.363221637625401</v>
      </c>
      <c r="BN47">
        <f>'TEA Revised Non EYZ'!BN47</f>
        <v>19.6942156559561</v>
      </c>
      <c r="BO47">
        <f>'TEA Revised Non EYZ'!BO47</f>
        <v>199.94790555590581</v>
      </c>
      <c r="BP47">
        <f>'TEA Revised Non EYZ'!BP47</f>
        <v>433.2727444310342</v>
      </c>
      <c r="BQ47">
        <f>'TEA Revised Non EYZ'!BQ47</f>
        <v>19.994790555590583</v>
      </c>
      <c r="BR47">
        <f>'TEA Revised Non EYZ'!BR47</f>
        <v>43.32727444310342</v>
      </c>
      <c r="BS47">
        <f>'eLLE Bals'!CF47</f>
        <v>6.6649301851968596</v>
      </c>
      <c r="BT47">
        <f>'eLLE Bals'!CG47</f>
        <v>11.81652939357366</v>
      </c>
      <c r="BU47">
        <f>BM47</f>
        <v>92.363221637625401</v>
      </c>
      <c r="BV47">
        <f>BU47*(AM47*2+AN47*2+AO47*3)</f>
        <v>0.3141006694386882</v>
      </c>
      <c r="BW47">
        <f>BN47*BA47*(AP47*2+AQ47*2+AR47*3)</f>
        <v>0.30046743733785264</v>
      </c>
      <c r="BX47">
        <f>BV47/(2*V47*BL47+BV47)</f>
        <v>0.12386923185013514</v>
      </c>
      <c r="BY47">
        <f>BU47*BX47</f>
        <v>11.440961315456439</v>
      </c>
      <c r="BZ47">
        <f>BW47/(2*BN47*BA47+BW47)</f>
        <v>7.0876486277839948E-2</v>
      </c>
      <c r="CA47">
        <f>2*BN47*BA47/0.04</f>
        <v>98.4710782797805</v>
      </c>
      <c r="CB47">
        <f>(BS47+BL47)*2</f>
        <v>35.54629432104992</v>
      </c>
      <c r="CC47">
        <f>(BU47+BL47)*2</f>
        <v>206.94287722590701</v>
      </c>
      <c r="CD47">
        <f>(BT47+BN47)*2</f>
        <v>63.02149009905952</v>
      </c>
      <c r="CE47">
        <f>(CA47+BN47)*2</f>
        <v>236.3305878714732</v>
      </c>
      <c r="CF47">
        <f>'TEA Revised Non EYZ'!CB47</f>
        <v>2639.3123533379567</v>
      </c>
      <c r="CG47">
        <f>'TEA Revised Non EYZ'!CC47</f>
        <v>5719.2002264896519</v>
      </c>
      <c r="CH47">
        <f>'TEA Revised Non EYZ'!CD47</f>
        <v>3188.7782491883527</v>
      </c>
      <c r="CI47">
        <f>'TEA Revised Non EYZ'!CE47</f>
        <v>44112.69965971521</v>
      </c>
      <c r="CJ47">
        <f>BL47*V47</f>
        <v>1.11082169753281</v>
      </c>
      <c r="CK47">
        <f>CJ47/2*1.2</f>
        <v>0.66649301851968601</v>
      </c>
      <c r="CL47">
        <f>'eLLE Bals'!CB47*'Oxidant Feed Composition'!$N$20</f>
        <v>3.7027389917760348E-2</v>
      </c>
      <c r="CM47">
        <f>'eLLE Bals'!CB47*'Oxidant Feed Composition'!$N$21</f>
        <v>1.8513694958880169</v>
      </c>
      <c r="CN47">
        <f>'eLLE Bals'!CB47*'Oxidant Feed Composition'!$N$22</f>
        <v>0.55541084876640501</v>
      </c>
      <c r="CO47">
        <f>CN47/CK47</f>
        <v>0.83333333333333337</v>
      </c>
      <c r="CP47">
        <f>CO47</f>
        <v>0.83333333333333337</v>
      </c>
      <c r="CQ47">
        <f>CL47/CO47</f>
        <v>4.4432867901312414E-2</v>
      </c>
      <c r="CR47">
        <f>CM47/CO47</f>
        <v>2.22164339506562</v>
      </c>
      <c r="CS47">
        <f>BN47*BA47</f>
        <v>1.96942156559561</v>
      </c>
      <c r="CT47">
        <f>CS47/2*1.2</f>
        <v>1.181652939357366</v>
      </c>
      <c r="CU47">
        <f>'eLLE Bals'!CC47*'Oxidant Feed Composition'!$N$20</f>
        <v>6.564738551985369E-2</v>
      </c>
      <c r="CV47">
        <f>'eLLE Bals'!CC47*'Oxidant Feed Composition'!$N$21</f>
        <v>3.2823692759926835</v>
      </c>
      <c r="CW47">
        <f>'eLLE Bals'!CC47*'Oxidant Feed Composition'!$N$22</f>
        <v>0.984710782797805</v>
      </c>
      <c r="CX47">
        <f>CU47/CP47</f>
        <v>7.8776862623824426E-2</v>
      </c>
      <c r="CY47">
        <f>CV47/CP47</f>
        <v>3.93884313119122</v>
      </c>
      <c r="CZ47">
        <f>CJ47</f>
        <v>1.11082169753281</v>
      </c>
      <c r="DA47">
        <f>'eLLE Bals'!BQ47</f>
        <v>2.22164339506562</v>
      </c>
      <c r="DB47">
        <f>'eLLE Bals'!BU47</f>
        <v>5.6352315738162755</v>
      </c>
      <c r="DC47">
        <f>CS47</f>
        <v>1.96942156559561</v>
      </c>
      <c r="DD47">
        <f>'eLLE Bals'!BX47</f>
        <v>3.93884313119122</v>
      </c>
      <c r="DE47">
        <f>'eLLE Bals'!CA47</f>
        <v>21.878405735426242</v>
      </c>
      <c r="DF47">
        <f>2*2*(CJ47*'Reagent cost'!$C$36*122.44/1000*0.5+CK47*'Oxidant Feed Composition'!$N$26+CQ47*'Reagent cost'!$C$34+CR47*'Reagent cost'!$C$35)</f>
        <v>74.618654493940213</v>
      </c>
      <c r="DG47">
        <f>2*2*(CS47*'Reagent cost'!$C$36*122.44/1000*0.5+CT47*'Oxidant Feed Composition'!$N$26+CX47*'Reagent cost'!$C$34+CY47*'Reagent cost'!$C$35)</f>
        <v>132.29448765944102</v>
      </c>
      <c r="DH47">
        <f>(AF47+3)*2*(CZ47*'Reagent cost'!$C$38*0.5+DA47*'Reagent cost'!$C$39+DB47*'Reagent cost'!$C$36*122.44/1000)</f>
        <v>1231.9654690656248</v>
      </c>
      <c r="DI47">
        <f>3*2*(DC47*'Reagent cost'!$C$38*0.5+DD47*'Reagent cost'!$C$39+DE47*'Reagent cost'!$C$36*122.44/1000)</f>
        <v>1162.7758966604208</v>
      </c>
      <c r="DJ47">
        <f>7963.6*(CB47/1000)^0.6*1.7*('CAPEX+OPEX'!$G$116/'CAPEX+OPEX'!$G$115)</f>
        <v>2156.3414312027717</v>
      </c>
      <c r="DK47">
        <f>7963.6*(CC47/1000)^0.6*1.7*('CAPEX+OPEX'!$G$116/'CAPEX+OPEX'!$G$115)</f>
        <v>6205.1347590783025</v>
      </c>
      <c r="DL47">
        <f>7963.6*(CD47/1000)^0.6*1.7*('CAPEX+OPEX'!$G$116/'CAPEX+OPEX'!$G$115)</f>
        <v>3040.4238344763421</v>
      </c>
      <c r="DM47">
        <f>7963.6*(CE47/1000)^0.6*1.7*('CAPEX+OPEX'!$G$116/'CAPEX+OPEX'!$G$115)</f>
        <v>6719.7464886837342</v>
      </c>
      <c r="DN47">
        <f>'TEA Revised Non EYZ'!CM47</f>
        <v>39625.826528698344</v>
      </c>
      <c r="DO47">
        <f>'TEA Revised Non EYZ'!CN47</f>
        <v>4586243.4239371875</v>
      </c>
      <c r="DP47">
        <f>'TEA Revised Non EYZ'!CO47</f>
        <v>11794834.586807497</v>
      </c>
      <c r="DQ47">
        <f>'TEA Revised Non EYZ'!CP47</f>
        <v>2275209.1661185985</v>
      </c>
      <c r="DR47">
        <f>'TEA Revised Non EYZ'!CQ47</f>
        <v>14083914.336508472</v>
      </c>
      <c r="DS47">
        <f>'TEA Revised Non EYZ'!CR47</f>
        <v>1662824.8986326549</v>
      </c>
      <c r="DT47">
        <f>'TEA Revised Non EYZ'!CS47</f>
        <v>700033.84449786716</v>
      </c>
      <c r="DU47">
        <f>'TEA Revised Non EYZ'!CT47</f>
        <v>1800336.9288957189</v>
      </c>
      <c r="DV47">
        <f>'TEA Revised Non EYZ'!CU47</f>
        <v>347282.79168127343</v>
      </c>
      <c r="DW47">
        <f>'TEA Revised Non EYZ'!CV47</f>
        <v>2149736.8951473436</v>
      </c>
      <c r="DX47">
        <f>'TEA Revised Non EYZ'!CW47</f>
        <v>253809.83932102245</v>
      </c>
      <c r="DY47">
        <f>'TEA Revised Non EYZ'!CX47</f>
        <v>5251200.2995432261</v>
      </c>
      <c r="DZ47">
        <f>'TEA Revised Non EYZ'!CY47</f>
        <v>755830.43823057832</v>
      </c>
      <c r="EA47">
        <f>'TEA Revised Non EYZ'!CZ47</f>
        <v>1943833.8026442246</v>
      </c>
      <c r="EB47">
        <f>'TEA Revised Non EYZ'!DA47</f>
        <v>374963.16312345862</v>
      </c>
      <c r="EC47">
        <f>'TEA Revised Non EYZ'!DB47</f>
        <v>2321082.8909352971</v>
      </c>
      <c r="ED47">
        <f>'TEA Revised Non EYZ'!DC47</f>
        <v>274039.89619794104</v>
      </c>
      <c r="EE47">
        <f>'TEA Revised Non EYZ'!DD47</f>
        <v>5669750.1911314996</v>
      </c>
      <c r="EF47">
        <v>0.7</v>
      </c>
      <c r="EG47">
        <v>100</v>
      </c>
      <c r="EH47">
        <f>96485*BL47*V47/EF47/EG47/60</f>
        <v>25.518483687250757</v>
      </c>
      <c r="EI47">
        <f>96485*BN47*BA47/EF47/EG47/60</f>
        <v>45.242771370593452</v>
      </c>
      <c r="EJ47">
        <f>EH47*('CAPEX+OPEX'!$O$25+'CAPEX+OPEX'!$O$26)</f>
        <v>813325.1120800561</v>
      </c>
      <c r="EK47">
        <f>EI47*('CAPEX+OPEX'!$O$25+'CAPEX+OPEX'!$O$26)</f>
        <v>1441977.6091235545</v>
      </c>
      <c r="EL47">
        <f>EJ47*1.12/0.6*'CAPEX+OPEX'!$G$116/'CAPEX+OPEX'!$G$115</f>
        <v>1790661.6086879191</v>
      </c>
      <c r="EM47">
        <f>EK47*1.12/0.6*'CAPEX+OPEX'!$G$116/'CAPEX+OPEX'!$G$115</f>
        <v>3174737.760944711</v>
      </c>
      <c r="EN47">
        <f>EL47+EM47+DY47+EE47+1.15*(SUM(DF47:DM47)+SUM(CF47:CI47))</f>
        <v>15974190.645543914</v>
      </c>
      <c r="EO47">
        <f>EN47/15</f>
        <v>1064946.0430362609</v>
      </c>
      <c r="EP47">
        <f>('eLLE Bals'!CB47+'eLLE Bals'!CC47)*'Oxidant Feed Composition'!$N$29*60*7200</f>
        <v>7683226.9611358689</v>
      </c>
      <c r="EQ47" s="53">
        <f>('eLLE Bals'!BR47+'eLLE Bals'!BY47)*'Reagent cost'!$C$38*60*7200*0.5</f>
        <v>252890.71846963896</v>
      </c>
      <c r="ER47">
        <f>'TEA Revised Non EYZ'!DI47</f>
        <v>504921.59999999998</v>
      </c>
      <c r="ES47">
        <f>'TEA Revised Non EYZ'!DJ47</f>
        <v>83.585125798276096</v>
      </c>
      <c r="ET47">
        <f>'TEA Revised Non EYZ'!DK47</f>
        <v>946.02955817807128</v>
      </c>
      <c r="EU47">
        <f>1.2*SUM(EP47:ET47)</f>
        <v>10130482.67314738</v>
      </c>
      <c r="EV47">
        <f>'TEA Revised Non EYZ'!DM47</f>
        <v>0.70639694042110623</v>
      </c>
      <c r="EW47">
        <f>(BS47*CO47+BT47*CP47)/1000*('Oxidant Feed Composition'!$B$11*'Oxidant Feed Composition'!$O$20+'Oxidant Feed Composition'!$D$11*'Oxidant Feed Composition'!$O$21+'Oxidant Feed Composition'!$F$11*'Oxidant Feed Composition'!$O$27-'Oxidant Feed Composition'!$J$15*18.015)</f>
        <v>1.7986239628627569</v>
      </c>
      <c r="EX47">
        <f>(CZ47*BX47+DC47*BZ47)*368.34/1000</f>
        <v>0.10209733242087447</v>
      </c>
      <c r="EY47">
        <f>'TEA Revised Non EYZ'!DP47</f>
        <v>4.999938342565946E-2</v>
      </c>
      <c r="EZ47">
        <f>SUM(EV47:EX47)-EY47</f>
        <v>2.5571188522790784</v>
      </c>
      <c r="FA47">
        <f>EZ47*0.33*60*7200</f>
        <v>364542.86358090542</v>
      </c>
      <c r="FB47">
        <f>'TEA Revised Non EYZ'!DS47</f>
        <v>1.2</v>
      </c>
      <c r="FC47">
        <v>0.5</v>
      </c>
      <c r="FD47">
        <f>'TEA Revised Non EYZ'!DT47</f>
        <v>1405.9477123179286</v>
      </c>
      <c r="FE47">
        <f>'TEA Revised Non EYZ'!DU47</f>
        <v>705.93982179416889</v>
      </c>
      <c r="FF47">
        <f>'TEA Revised Non EYZ'!DV47</f>
        <v>0.7</v>
      </c>
      <c r="FG47">
        <f>'TEA Revised Non EYZ'!DW47</f>
        <v>38528.386667103026</v>
      </c>
      <c r="FH47">
        <f>'TEA Revised Non EYZ'!DX47</f>
        <v>33220.879177835675</v>
      </c>
      <c r="FI47">
        <f>'TEA Revised Non EYZ'!DY47</f>
        <v>14065.291587390104</v>
      </c>
      <c r="FJ47">
        <f>'TEA Revised Non EYZ'!DZ47</f>
        <v>7450.7773575794354</v>
      </c>
      <c r="FK47">
        <f>'TEA Revised Non EYZ'!EA47</f>
        <v>7501.4888466080574</v>
      </c>
      <c r="FL47">
        <f>'TEA Revised Non EYZ'!EB47</f>
        <v>850.31717640988325</v>
      </c>
      <c r="FM47">
        <f>'TEA Revised Non EYZ'!EC47</f>
        <v>41144.233773693195</v>
      </c>
      <c r="FN47">
        <f>'TEA Revised Non EYZ'!ED47</f>
        <v>38796.12419894139</v>
      </c>
      <c r="FO47">
        <f>'TEA Revised Non EYZ'!EE47</f>
        <v>16425.778390680825</v>
      </c>
      <c r="FP47">
        <f>'TEA Revised Non EYZ'!EF47</f>
        <v>8706.0330573593965</v>
      </c>
      <c r="FQ47">
        <f>'TEA Revised Non EYZ'!EG47</f>
        <v>8760.4151416964414</v>
      </c>
      <c r="FR47">
        <f>'TEA Revised Non EYZ'!EH47</f>
        <v>426.95240422111334</v>
      </c>
      <c r="FS47">
        <f>'TEA Revised Non EYZ'!EI47</f>
        <v>215876.67777951853</v>
      </c>
      <c r="FT47">
        <f>EG47*EH47</f>
        <v>2551.8483687250759</v>
      </c>
      <c r="FU47">
        <f>EG47*EI47</f>
        <v>4524.2771370593455</v>
      </c>
      <c r="FV47">
        <f>FC47*(FT47+FU47)/(3.6*10^6)*3600*7200*0.07</f>
        <v>1783.1836274576742</v>
      </c>
      <c r="FW47">
        <f>('CAPEX+OPEX'!$C$39/7/100+0.03)*EL47</f>
        <v>92091.168446807264</v>
      </c>
      <c r="FX47">
        <f>('CAPEX+OPEX'!$C$39/7/100+0.03)*EM47</f>
        <v>163272.227705728</v>
      </c>
      <c r="FY47">
        <f>SUM(FV47:FX47)</f>
        <v>257146.57977999293</v>
      </c>
      <c r="FZ47">
        <f>FY47+FA47+FS47+EU47</f>
        <v>10968048.794287797</v>
      </c>
      <c r="GA47">
        <f>FZ47+EO47</f>
        <v>12032994.837324059</v>
      </c>
      <c r="GB47">
        <f>GA47/(BK47*60*7200)</f>
        <v>0.27854154716027912</v>
      </c>
      <c r="GC47">
        <f>'TEA Revised Non EYZ'!EM47/'TEA Revised Non EYZ'!EK47*GA47</f>
        <v>931.85136479382459</v>
      </c>
      <c r="GD47">
        <f>'TEA Revised Non EYZ'!EN47/'TEA Revised Non EYZ'!EK47*GA47</f>
        <v>1709.84959669767</v>
      </c>
    </row>
    <row r="48" spans="1:186">
      <c r="A48">
        <f>'TEA Revised Non EYZ'!A48</f>
        <v>7</v>
      </c>
      <c r="B48">
        <f>'TEA Revised Non EYZ'!B48</f>
        <v>1.54143585092054E-3</v>
      </c>
      <c r="C48">
        <f>'TEA Revised Non EYZ'!C48</f>
        <v>1.54143585092054E-3</v>
      </c>
      <c r="D48">
        <f>'TEA Revised Non EYZ'!D48</f>
        <v>3.4254130020456501E-4</v>
      </c>
      <c r="E48">
        <f>'TEA Revised Non EYZ'!E48</f>
        <v>0</v>
      </c>
      <c r="F48">
        <f>'TEA Revised Non EYZ'!F48</f>
        <v>0</v>
      </c>
      <c r="G48">
        <f>'TEA Revised Non EYZ'!G48</f>
        <v>0</v>
      </c>
      <c r="H48">
        <f>'TEA Revised Non EYZ'!H48</f>
        <v>1.7744466230058299E-5</v>
      </c>
      <c r="I48">
        <f>'TEA Revised Non EYZ'!I48</f>
        <v>1.2927742824924801E-8</v>
      </c>
      <c r="J48">
        <f>'TEA Revised Non EYZ'!J48</f>
        <v>3.3739048286900598E-4</v>
      </c>
      <c r="K48">
        <f>'TEA Revised Non EYZ'!K48</f>
        <v>0.13716795306346499</v>
      </c>
      <c r="L48">
        <f>'TEA Revised Non EYZ'!L48</f>
        <v>0.138764207307677</v>
      </c>
      <c r="M48">
        <f>'TEA Revised Non EYZ'!M48</f>
        <v>4.6369433969460899E-4</v>
      </c>
      <c r="N48">
        <f>'TEA Revised Non EYZ'!N48</f>
        <v>-1.1037178115902399E-16</v>
      </c>
      <c r="O48">
        <f>'TEA Revised Non EYZ'!O48</f>
        <v>-5.3700533603207003E-15</v>
      </c>
      <c r="P48">
        <f>'TEA Revised Non EYZ'!P48</f>
        <v>-3.4304834363799101E-19</v>
      </c>
      <c r="Q48">
        <f>'TEA Revised Non EYZ'!Q48</f>
        <v>0.111082169753281</v>
      </c>
      <c r="R48">
        <f>'TEA Revised Non EYZ'!R48</f>
        <v>98.496293050653193</v>
      </c>
      <c r="S48">
        <f>'TEA Revised Non EYZ'!S48</f>
        <v>500</v>
      </c>
      <c r="T48">
        <f>'TEA Revised Non EYZ'!T48</f>
        <v>95</v>
      </c>
      <c r="U48">
        <f>'TEA Revised Non EYZ'!U48</f>
        <v>1</v>
      </c>
      <c r="V48">
        <f>'TEA Revised Non EYZ'!V48</f>
        <v>0.1</v>
      </c>
      <c r="W48">
        <f>'TEA Revised Non EYZ'!W48</f>
        <v>90.023448607553206</v>
      </c>
      <c r="X48" t="str">
        <f>'TEA Revised Non EYZ'!X48</f>
        <v>ddFc</v>
      </c>
      <c r="Y48">
        <f>'TEA Revised Non EYZ'!Y48</f>
        <v>1</v>
      </c>
      <c r="Z48">
        <f>'TEA Revised Non EYZ'!Z48</f>
        <v>0.28318429382522198</v>
      </c>
      <c r="AA48">
        <f>'TEA Revised Non EYZ'!AA48</f>
        <v>0.56945642916197003</v>
      </c>
      <c r="AB48">
        <f>'TEA Revised Non EYZ'!AB48</f>
        <v>3.7698628972227502E-3</v>
      </c>
      <c r="AC48">
        <f>'TEA Revised Non EYZ'!AC48</f>
        <v>1822.2107908876901</v>
      </c>
      <c r="AD48">
        <f>'TEA Revised Non EYZ'!AD48</f>
        <v>2662.6059073104898</v>
      </c>
      <c r="AE48">
        <f>'TEA Revised Non EYZ'!AE48</f>
        <v>2401.5030938442701</v>
      </c>
      <c r="AF48">
        <f>'TEA Revised Non EYZ'!AF48</f>
        <v>10</v>
      </c>
      <c r="AG48">
        <f>'TEA Revised Non EYZ'!AG48</f>
        <v>1.64967327652189E-3</v>
      </c>
      <c r="AH48">
        <f>'TEA Revised Non EYZ'!AH48</f>
        <v>1.66887089455438E-3</v>
      </c>
      <c r="AI48">
        <f>'TEA Revised Non EYZ'!AI48</f>
        <v>5.5766973522943398E-6</v>
      </c>
      <c r="AJ48">
        <f>'TEA Revised Non EYZ'!AJ48</f>
        <v>0</v>
      </c>
      <c r="AK48">
        <f>'TEA Revised Non EYZ'!AK48</f>
        <v>0</v>
      </c>
      <c r="AL48">
        <f>'TEA Revised Non EYZ'!AL48</f>
        <v>0</v>
      </c>
      <c r="AM48">
        <f>'TEA Revised Non EYZ'!AM48</f>
        <v>1.6127176023782901E-3</v>
      </c>
      <c r="AN48">
        <f>'TEA Revised Non EYZ'!AN48</f>
        <v>7.93398614299424E-5</v>
      </c>
      <c r="AO48">
        <f>'TEA Revised Non EYZ'!AO48</f>
        <v>5.5400123786141803E-6</v>
      </c>
      <c r="AP48">
        <f>'TEA Revised Non EYZ'!AP48</f>
        <v>1.73331722315182E-3</v>
      </c>
      <c r="AQ48">
        <f>'TEA Revised Non EYZ'!AQ48</f>
        <v>7.4553139192579998E-2</v>
      </c>
      <c r="AR48">
        <f>'TEA Revised Non EYZ'!AR48</f>
        <v>1.72062066779231E-6</v>
      </c>
      <c r="AS48">
        <f>'TEA Revised Non EYZ'!AS48</f>
        <v>7.0422590285265596E-15</v>
      </c>
      <c r="AT48">
        <f>'TEA Revised Non EYZ'!AT48</f>
        <v>-7.2813760229606304E-13</v>
      </c>
      <c r="AU48">
        <f>'TEA Revised Non EYZ'!AU48</f>
        <v>6.7531025208829095E-20</v>
      </c>
      <c r="AV48">
        <f>'TEA Revised Non EYZ'!AV48</f>
        <v>0.19692558727263099</v>
      </c>
      <c r="AW48">
        <f>'TEA Revised Non EYZ'!AW48</f>
        <v>99.342173846585595</v>
      </c>
      <c r="AX48">
        <f>'TEA Revised Non EYZ'!AX48</f>
        <v>500</v>
      </c>
      <c r="AY48">
        <f>'TEA Revised Non EYZ'!AY48</f>
        <v>95</v>
      </c>
      <c r="AZ48">
        <f>'TEA Revised Non EYZ'!AZ48</f>
        <v>0.92363221637625403</v>
      </c>
      <c r="BA48">
        <f>'TEA Revised Non EYZ'!BA48</f>
        <v>0.1</v>
      </c>
      <c r="BB48">
        <f>'TEA Revised Non EYZ'!BB48</f>
        <v>46.9026005796566</v>
      </c>
      <c r="BC48" t="str">
        <f>'TEA Revised Non EYZ'!BC48</f>
        <v>coeFc</v>
      </c>
      <c r="BD48">
        <f>'TEA Revised Non EYZ'!BD48</f>
        <v>1</v>
      </c>
      <c r="BE48">
        <f>'TEA Revised Non EYZ'!BE48</f>
        <v>1.8775014999999999E-2</v>
      </c>
      <c r="BF48">
        <f>'TEA Revised Non EYZ'!BF48</f>
        <v>0.10492961100000001</v>
      </c>
      <c r="BG48">
        <f>'TEA Revised Non EYZ'!BG48</f>
        <v>1.814625E-3</v>
      </c>
      <c r="BH48">
        <f>'TEA Revised Non EYZ'!BH48</f>
        <v>285.1951444</v>
      </c>
      <c r="BI48">
        <f>'TEA Revised Non EYZ'!BI48</f>
        <v>2169.8944889999998</v>
      </c>
      <c r="BJ48">
        <f>'TEA Revised Non EYZ'!BJ48</f>
        <v>866.49409060000005</v>
      </c>
      <c r="BK48">
        <f>'TEA Revised Non EYZ'!BK48</f>
        <v>100</v>
      </c>
      <c r="BL48">
        <f>'TEA Revised Non EYZ'!BL48</f>
        <v>11.1082169753281</v>
      </c>
      <c r="BM48">
        <f>'TEA Revised Non EYZ'!BM48</f>
        <v>92.363221637625401</v>
      </c>
      <c r="BN48">
        <f>'TEA Revised Non EYZ'!BN48</f>
        <v>19.692558727263098</v>
      </c>
      <c r="BO48">
        <f>'TEA Revised Non EYZ'!BO48</f>
        <v>199.94790555590581</v>
      </c>
      <c r="BP48">
        <f>'TEA Revised Non EYZ'!BP48</f>
        <v>472.62140945431435</v>
      </c>
      <c r="BQ48">
        <f>'TEA Revised Non EYZ'!BQ48</f>
        <v>19.994790555590583</v>
      </c>
      <c r="BR48">
        <f>'TEA Revised Non EYZ'!BR48</f>
        <v>47.26214094543144</v>
      </c>
      <c r="BS48">
        <f>'eLLE Bals'!CF48</f>
        <v>6.6649301851968596</v>
      </c>
      <c r="BT48">
        <f>'eLLE Bals'!CG48</f>
        <v>11.815535236357858</v>
      </c>
      <c r="BU48">
        <f>BM48</f>
        <v>92.363221637625401</v>
      </c>
      <c r="BV48">
        <f>BU48*(AM48*2+AN48*2+AO48*3)</f>
        <v>0.31410283728023963</v>
      </c>
      <c r="BW48">
        <f>BN48*BA48*(AP48*2+AQ48*2+AR48*3)</f>
        <v>0.30046526963938347</v>
      </c>
      <c r="BX48">
        <f>BV48/(2*V48*BL48+BV48)</f>
        <v>0.12386998086541888</v>
      </c>
      <c r="BY48">
        <f>BU48*BX48</f>
        <v>11.441030496921101</v>
      </c>
      <c r="BZ48">
        <f>BW48/(2*BN48*BA48+BW48)</f>
        <v>7.0881551980498794E-2</v>
      </c>
      <c r="CA48">
        <f>2*BN48*BA48/0.04</f>
        <v>98.462793636315496</v>
      </c>
      <c r="CB48">
        <f>(BS48+BL48)*2</f>
        <v>35.54629432104992</v>
      </c>
      <c r="CC48">
        <f>(BU48+BL48)*2</f>
        <v>206.94287722590701</v>
      </c>
      <c r="CD48">
        <f>(BT48+BN48)*2</f>
        <v>63.016187927241916</v>
      </c>
      <c r="CE48">
        <f>(CA48+BN48)*2</f>
        <v>236.3107047271572</v>
      </c>
      <c r="CF48">
        <f>'TEA Revised Non EYZ'!CB48</f>
        <v>2639.3123533379567</v>
      </c>
      <c r="CG48">
        <f>'TEA Revised Non EYZ'!CC48</f>
        <v>6238.6026047969499</v>
      </c>
      <c r="CH48">
        <f>'TEA Revised Non EYZ'!CD48</f>
        <v>3188.7782491883527</v>
      </c>
      <c r="CI48">
        <f>'TEA Revised Non EYZ'!CE48</f>
        <v>48118.896367200447</v>
      </c>
      <c r="CJ48">
        <f>BL48*V48</f>
        <v>1.11082169753281</v>
      </c>
      <c r="CK48">
        <f>CJ48/2*1.2</f>
        <v>0.66649301851968601</v>
      </c>
      <c r="CL48">
        <f>'eLLE Bals'!CB48*'Oxidant Feed Composition'!$N$20</f>
        <v>3.7027389917760348E-2</v>
      </c>
      <c r="CM48">
        <f>'eLLE Bals'!CB48*'Oxidant Feed Composition'!$N$21</f>
        <v>1.8513694958880169</v>
      </c>
      <c r="CN48">
        <f>'eLLE Bals'!CB48*'Oxidant Feed Composition'!$N$22</f>
        <v>0.55541084876640501</v>
      </c>
      <c r="CO48">
        <f>CN48/CK48</f>
        <v>0.83333333333333337</v>
      </c>
      <c r="CP48">
        <f>CO48</f>
        <v>0.83333333333333337</v>
      </c>
      <c r="CQ48">
        <f>CL48/CO48</f>
        <v>4.4432867901312414E-2</v>
      </c>
      <c r="CR48">
        <f>CM48/CO48</f>
        <v>2.22164339506562</v>
      </c>
      <c r="CS48">
        <f>BN48*BA48</f>
        <v>1.9692558727263099</v>
      </c>
      <c r="CT48">
        <f>CS48/2*1.2</f>
        <v>1.1815535236357859</v>
      </c>
      <c r="CU48">
        <f>'eLLE Bals'!CC48*'Oxidant Feed Composition'!$N$20</f>
        <v>6.5641862424210357E-2</v>
      </c>
      <c r="CV48">
        <f>'eLLE Bals'!CC48*'Oxidant Feed Composition'!$N$21</f>
        <v>3.2820931212105164</v>
      </c>
      <c r="CW48">
        <f>'eLLE Bals'!CC48*'Oxidant Feed Composition'!$N$22</f>
        <v>0.98462793636315493</v>
      </c>
      <c r="CX48">
        <f>CU48/CP48</f>
        <v>7.8770234909052425E-2</v>
      </c>
      <c r="CY48">
        <f>CV48/CP48</f>
        <v>3.9385117454526197</v>
      </c>
      <c r="CZ48">
        <f>CJ48</f>
        <v>1.11082169753281</v>
      </c>
      <c r="DA48">
        <f>'eLLE Bals'!BQ48</f>
        <v>2.22164339506562</v>
      </c>
      <c r="DB48">
        <f>'eLLE Bals'!BU48</f>
        <v>5.6351773490843637</v>
      </c>
      <c r="DC48">
        <f>CS48</f>
        <v>1.9692558727263099</v>
      </c>
      <c r="DD48">
        <f>'eLLE Bals'!BX48</f>
        <v>3.9385117454526197</v>
      </c>
      <c r="DE48">
        <f>'eLLE Bals'!CA48</f>
        <v>21.874579377667025</v>
      </c>
      <c r="DF48">
        <f>2*2*(CJ48*'Reagent cost'!$C$36*122.44/1000*0.5+CK48*'Oxidant Feed Composition'!$N$26+CQ48*'Reagent cost'!$C$34+CR48*'Reagent cost'!$C$35)</f>
        <v>74.618654493940213</v>
      </c>
      <c r="DG48">
        <f>2*2*(CS48*'Reagent cost'!$C$36*122.44/1000*0.5+CT48*'Oxidant Feed Composition'!$N$26+CX48*'Reagent cost'!$C$34+CY48*'Reagent cost'!$C$35)</f>
        <v>132.28335735923721</v>
      </c>
      <c r="DH48">
        <f>(AF48+3)*2*(CZ48*'Reagent cost'!$C$38*0.5+DA48*'Reagent cost'!$C$39+DB48*'Reagent cost'!$C$36*122.44/1000)</f>
        <v>1334.6170676466559</v>
      </c>
      <c r="DI48">
        <f>3*2*(DC48*'Reagent cost'!$C$38*0.5+DD48*'Reagent cost'!$C$39+DE48*'Reagent cost'!$C$36*122.44/1000)</f>
        <v>1162.575052156214</v>
      </c>
      <c r="DJ48">
        <f>7963.6*(CB48/1000)^0.6*1.7*('CAPEX+OPEX'!$G$116/'CAPEX+OPEX'!$G$115)</f>
        <v>2156.3414312027717</v>
      </c>
      <c r="DK48">
        <f>7963.6*(CC48/1000)^0.6*1.7*('CAPEX+OPEX'!$G$116/'CAPEX+OPEX'!$G$115)</f>
        <v>6205.1347590783025</v>
      </c>
      <c r="DL48">
        <f>7963.6*(CD48/1000)^0.6*1.7*('CAPEX+OPEX'!$G$116/'CAPEX+OPEX'!$G$115)</f>
        <v>3040.2703523468736</v>
      </c>
      <c r="DM48">
        <f>7963.6*(CE48/1000)^0.6*1.7*('CAPEX+OPEX'!$G$116/'CAPEX+OPEX'!$G$115)</f>
        <v>6719.4072724899679</v>
      </c>
      <c r="DN48">
        <f>'TEA Revised Non EYZ'!CM48</f>
        <v>39625.826528698344</v>
      </c>
      <c r="DO48">
        <f>'TEA Revised Non EYZ'!CN48</f>
        <v>4586243.4239371875</v>
      </c>
      <c r="DP48">
        <f>'TEA Revised Non EYZ'!CO48</f>
        <v>11794834.586807497</v>
      </c>
      <c r="DQ48">
        <f>'TEA Revised Non EYZ'!CP48</f>
        <v>2275209.1661185985</v>
      </c>
      <c r="DR48">
        <f>'TEA Revised Non EYZ'!CQ48</f>
        <v>14083914.336508472</v>
      </c>
      <c r="DS48">
        <f>'TEA Revised Non EYZ'!CR48</f>
        <v>1662824.8986326549</v>
      </c>
      <c r="DT48">
        <f>'TEA Revised Non EYZ'!CS48</f>
        <v>700033.84449786716</v>
      </c>
      <c r="DU48">
        <f>'TEA Revised Non EYZ'!CT48</f>
        <v>1800336.9288957189</v>
      </c>
      <c r="DV48">
        <f>'TEA Revised Non EYZ'!CU48</f>
        <v>347282.79168127343</v>
      </c>
      <c r="DW48">
        <f>'TEA Revised Non EYZ'!CV48</f>
        <v>2149736.8951473436</v>
      </c>
      <c r="DX48">
        <f>'TEA Revised Non EYZ'!CW48</f>
        <v>253809.83932102245</v>
      </c>
      <c r="DY48">
        <f>'TEA Revised Non EYZ'!CX48</f>
        <v>5251200.2995432261</v>
      </c>
      <c r="DZ48">
        <f>'TEA Revised Non EYZ'!CY48</f>
        <v>800313.21584557055</v>
      </c>
      <c r="EA48">
        <f>'TEA Revised Non EYZ'!CZ48</f>
        <v>2058233.9675356387</v>
      </c>
      <c r="EB48">
        <f>'TEA Revised Non EYZ'!DA48</f>
        <v>397030.81501385069</v>
      </c>
      <c r="EC48">
        <f>'TEA Revised Non EYZ'!DB48</f>
        <v>2457685.2409347831</v>
      </c>
      <c r="ED48">
        <f>'TEA Revised Non EYZ'!DC48</f>
        <v>290167.92590357957</v>
      </c>
      <c r="EE48">
        <f>'TEA Revised Non EYZ'!DD48</f>
        <v>6003431.1652334221</v>
      </c>
      <c r="EF48">
        <v>0.7</v>
      </c>
      <c r="EG48">
        <v>100</v>
      </c>
      <c r="EH48">
        <f>96485*BL48*V48/EF48/EG48/60</f>
        <v>25.518483687250757</v>
      </c>
      <c r="EI48">
        <f>96485*BN48*BA48/EF48/EG48/60</f>
        <v>45.238964971428096</v>
      </c>
      <c r="EJ48">
        <f>EH48*('CAPEX+OPEX'!$O$25+'CAPEX+OPEX'!$O$26)</f>
        <v>813325.1120800561</v>
      </c>
      <c r="EK48">
        <f>EI48*('CAPEX+OPEX'!$O$25+'CAPEX+OPEX'!$O$26)</f>
        <v>1441856.2915693563</v>
      </c>
      <c r="EL48">
        <f>EJ48*1.12/0.6*'CAPEX+OPEX'!$G$116/'CAPEX+OPEX'!$G$115</f>
        <v>1790661.6086879191</v>
      </c>
      <c r="EM48">
        <f>EK48*1.12/0.6*'CAPEX+OPEX'!$G$116/'CAPEX+OPEX'!$G$115</f>
        <v>3174470.6614988246</v>
      </c>
      <c r="EN48">
        <f>EL48+EM48+DY48+EE48+1.15*(SUM(DF48:DM48)+SUM(CF48:CI48))</f>
        <v>16312926.198112883</v>
      </c>
      <c r="EO48">
        <f>EN48/15</f>
        <v>1087528.4132075256</v>
      </c>
      <c r="EP48">
        <f>('eLLE Bals'!CB48+'eLLE Bals'!CC48)*'Oxidant Feed Composition'!$N$29*60*7200</f>
        <v>7682813.6639343416</v>
      </c>
      <c r="EQ48" s="53">
        <f>('eLLE Bals'!BR48+'eLLE Bals'!BY48)*'Reagent cost'!$C$38*60*7200*0.5</f>
        <v>252889.86446080878</v>
      </c>
      <c r="ER48">
        <f>'TEA Revised Non EYZ'!DI48</f>
        <v>504921.59999999998</v>
      </c>
      <c r="ES48">
        <f>'TEA Revised Non EYZ'!DJ48</f>
        <v>88.779149581349074</v>
      </c>
      <c r="ET48">
        <f>'TEA Revised Non EYZ'!DK48</f>
        <v>1026.1534923277761</v>
      </c>
      <c r="EU48">
        <f>1.2*SUM(EP48:ET48)</f>
        <v>10130088.073244471</v>
      </c>
      <c r="EV48">
        <f>'TEA Revised Non EYZ'!DM48</f>
        <v>0.70639694042110623</v>
      </c>
      <c r="EW48">
        <f>(BS48*CO48+BT48*CP48)/1000*('Oxidant Feed Composition'!$B$11*'Oxidant Feed Composition'!$O$20+'Oxidant Feed Composition'!$D$11*'Oxidant Feed Composition'!$O$21+'Oxidant Feed Composition'!$F$11*'Oxidant Feed Composition'!$O$27-'Oxidant Feed Composition'!$J$15*18.015)</f>
        <v>1.7985272110351445</v>
      </c>
      <c r="EX48">
        <f>(CZ48*BX48+DC48*BZ48)*368.34/1000</f>
        <v>0.10209698763944491</v>
      </c>
      <c r="EY48">
        <f>'TEA Revised Non EYZ'!DP48</f>
        <v>4.999938342565946E-2</v>
      </c>
      <c r="EZ48">
        <f>SUM(EV48:EX48)-EY48</f>
        <v>2.5570217556700361</v>
      </c>
      <c r="FA48">
        <f>EZ48*0.33*60*7200</f>
        <v>364529.02148832043</v>
      </c>
      <c r="FB48">
        <f>'TEA Revised Non EYZ'!DS48</f>
        <v>1.2</v>
      </c>
      <c r="FC48">
        <v>0.5</v>
      </c>
      <c r="FD48">
        <f>'TEA Revised Non EYZ'!DT48</f>
        <v>1405.9574213625024</v>
      </c>
      <c r="FE48">
        <f>'TEA Revised Non EYZ'!DU48</f>
        <v>705.93011307507709</v>
      </c>
      <c r="FF48">
        <f>'TEA Revised Non EYZ'!DV48</f>
        <v>0.7</v>
      </c>
      <c r="FG48">
        <f>'TEA Revised Non EYZ'!DW48</f>
        <v>38528.386667103026</v>
      </c>
      <c r="FH48">
        <f>'TEA Revised Non EYZ'!DX48</f>
        <v>33220.879177835675</v>
      </c>
      <c r="FI48">
        <f>'TEA Revised Non EYZ'!DY48</f>
        <v>14065.291587390104</v>
      </c>
      <c r="FJ48">
        <f>'TEA Revised Non EYZ'!DZ48</f>
        <v>7450.7773575794354</v>
      </c>
      <c r="FK48">
        <f>'TEA Revised Non EYZ'!EA48</f>
        <v>7501.4888466080574</v>
      </c>
      <c r="FL48">
        <f>'TEA Revised Non EYZ'!EB48</f>
        <v>850.32304844004148</v>
      </c>
      <c r="FM48">
        <f>'TEA Revised Non EYZ'!EC48</f>
        <v>43715.748384549021</v>
      </c>
      <c r="FN48">
        <f>'TEA Revised Non EYZ'!ED48</f>
        <v>42675.736618835523</v>
      </c>
      <c r="FO48">
        <f>'TEA Revised Non EYZ'!EE48</f>
        <v>18068.356229748908</v>
      </c>
      <c r="FP48">
        <f>'TEA Revised Non EYZ'!EF48</f>
        <v>9576.6363630953347</v>
      </c>
      <c r="FQ48">
        <f>'TEA Revised Non EYZ'!EG48</f>
        <v>9636.4566558660845</v>
      </c>
      <c r="FR48">
        <f>'TEA Revised Non EYZ'!EH48</f>
        <v>426.94653238780671</v>
      </c>
      <c r="FS48">
        <f>'TEA Revised Non EYZ'!EI48</f>
        <v>225717.02746943905</v>
      </c>
      <c r="FT48">
        <f>EG48*EH48</f>
        <v>2551.8483687250759</v>
      </c>
      <c r="FU48">
        <f>EG48*EI48</f>
        <v>4523.8964971428095</v>
      </c>
      <c r="FV48">
        <f>FC48*(FT48+FU48)/(3.6*10^6)*3600*7200*0.07</f>
        <v>1783.0877061987076</v>
      </c>
      <c r="FW48">
        <f>('CAPEX+OPEX'!$C$39/7/100+0.03)*EL48</f>
        <v>92091.168446807264</v>
      </c>
      <c r="FX48">
        <f>('CAPEX+OPEX'!$C$39/7/100+0.03)*EM48</f>
        <v>163258.49116279668</v>
      </c>
      <c r="FY48">
        <f>SUM(FV48:FX48)</f>
        <v>257132.74731580267</v>
      </c>
      <c r="FZ48">
        <f>FY48+FA48+FS48+EU48</f>
        <v>10977466.869518034</v>
      </c>
      <c r="GA48">
        <f>FZ48+EO48</f>
        <v>12064995.28272556</v>
      </c>
      <c r="GB48">
        <f>GA48/(BK48*60*7200)</f>
        <v>0.27928229821123979</v>
      </c>
      <c r="GC48">
        <f>'TEA Revised Non EYZ'!EM48/'TEA Revised Non EYZ'!EK48*GA48</f>
        <v>934.32306615331322</v>
      </c>
      <c r="GD48">
        <f>'TEA Revised Non EYZ'!EN48/'TEA Revised Non EYZ'!EK48*GA48</f>
        <v>1714.4184934278846</v>
      </c>
    </row>
    <row r="49" spans="1:186">
      <c r="A49">
        <f>'TEA Revised Non EYZ'!A49</f>
        <v>7</v>
      </c>
      <c r="B49">
        <f>'TEA Revised Non EYZ'!B49</f>
        <v>1.54143585092054E-3</v>
      </c>
      <c r="C49">
        <f>'TEA Revised Non EYZ'!C49</f>
        <v>1.54143585092054E-3</v>
      </c>
      <c r="D49">
        <f>'TEA Revised Non EYZ'!D49</f>
        <v>3.4254130020456501E-4</v>
      </c>
      <c r="E49">
        <f>'TEA Revised Non EYZ'!E49</f>
        <v>0</v>
      </c>
      <c r="F49">
        <f>'TEA Revised Non EYZ'!F49</f>
        <v>0</v>
      </c>
      <c r="G49">
        <f>'TEA Revised Non EYZ'!G49</f>
        <v>0</v>
      </c>
      <c r="H49">
        <f>'TEA Revised Non EYZ'!H49</f>
        <v>1.7744466230058299E-5</v>
      </c>
      <c r="I49">
        <f>'TEA Revised Non EYZ'!I49</f>
        <v>1.2927742824924801E-8</v>
      </c>
      <c r="J49">
        <f>'TEA Revised Non EYZ'!J49</f>
        <v>3.3739048286900598E-4</v>
      </c>
      <c r="K49">
        <f>'TEA Revised Non EYZ'!K49</f>
        <v>0.13716795306346499</v>
      </c>
      <c r="L49">
        <f>'TEA Revised Non EYZ'!L49</f>
        <v>0.138764207307677</v>
      </c>
      <c r="M49">
        <f>'TEA Revised Non EYZ'!M49</f>
        <v>4.6369433969460899E-4</v>
      </c>
      <c r="N49">
        <f>'TEA Revised Non EYZ'!N49</f>
        <v>-1.1037178115902399E-16</v>
      </c>
      <c r="O49">
        <f>'TEA Revised Non EYZ'!O49</f>
        <v>-5.3700533603207003E-15</v>
      </c>
      <c r="P49">
        <f>'TEA Revised Non EYZ'!P49</f>
        <v>-3.4304834363799101E-19</v>
      </c>
      <c r="Q49">
        <f>'TEA Revised Non EYZ'!Q49</f>
        <v>0.111082169753281</v>
      </c>
      <c r="R49">
        <f>'TEA Revised Non EYZ'!R49</f>
        <v>98.496293050653193</v>
      </c>
      <c r="S49">
        <f>'TEA Revised Non EYZ'!S49</f>
        <v>500</v>
      </c>
      <c r="T49">
        <f>'TEA Revised Non EYZ'!T49</f>
        <v>95</v>
      </c>
      <c r="U49">
        <f>'TEA Revised Non EYZ'!U49</f>
        <v>1</v>
      </c>
      <c r="V49">
        <f>'TEA Revised Non EYZ'!V49</f>
        <v>0.1</v>
      </c>
      <c r="W49">
        <f>'TEA Revised Non EYZ'!W49</f>
        <v>90.023448607553206</v>
      </c>
      <c r="X49" t="str">
        <f>'TEA Revised Non EYZ'!X49</f>
        <v>ddFc</v>
      </c>
      <c r="Y49">
        <f>'TEA Revised Non EYZ'!Y49</f>
        <v>1</v>
      </c>
      <c r="Z49">
        <f>'TEA Revised Non EYZ'!Z49</f>
        <v>0.28318429382522198</v>
      </c>
      <c r="AA49">
        <f>'TEA Revised Non EYZ'!AA49</f>
        <v>0.56945642916197003</v>
      </c>
      <c r="AB49">
        <f>'TEA Revised Non EYZ'!AB49</f>
        <v>3.7698628972227502E-3</v>
      </c>
      <c r="AC49">
        <f>'TEA Revised Non EYZ'!AC49</f>
        <v>1822.2107908876901</v>
      </c>
      <c r="AD49">
        <f>'TEA Revised Non EYZ'!AD49</f>
        <v>2662.6059073104898</v>
      </c>
      <c r="AE49">
        <f>'TEA Revised Non EYZ'!AE49</f>
        <v>2401.5030938442701</v>
      </c>
      <c r="AF49">
        <f>'TEA Revised Non EYZ'!AF49</f>
        <v>11</v>
      </c>
      <c r="AG49">
        <f>'TEA Revised Non EYZ'!AG49</f>
        <v>1.64967327652189E-3</v>
      </c>
      <c r="AH49">
        <f>'TEA Revised Non EYZ'!AH49</f>
        <v>1.66887089455438E-3</v>
      </c>
      <c r="AI49">
        <f>'TEA Revised Non EYZ'!AI49</f>
        <v>5.5766973522943398E-6</v>
      </c>
      <c r="AJ49">
        <f>'TEA Revised Non EYZ'!AJ49</f>
        <v>0</v>
      </c>
      <c r="AK49">
        <f>'TEA Revised Non EYZ'!AK49</f>
        <v>0</v>
      </c>
      <c r="AL49">
        <f>'TEA Revised Non EYZ'!AL49</f>
        <v>0</v>
      </c>
      <c r="AM49">
        <f>'TEA Revised Non EYZ'!AM49</f>
        <v>1.6127207366253499E-3</v>
      </c>
      <c r="AN49">
        <f>'TEA Revised Non EYZ'!AN49</f>
        <v>7.9340023409112399E-5</v>
      </c>
      <c r="AO49">
        <f>'TEA Revised Non EYZ'!AO49</f>
        <v>5.5400153606251003E-6</v>
      </c>
      <c r="AP49">
        <f>'TEA Revised Non EYZ'!AP49</f>
        <v>1.7332112363545699E-3</v>
      </c>
      <c r="AQ49">
        <f>'TEA Revised Non EYZ'!AQ49</f>
        <v>7.4554895947902003E-2</v>
      </c>
      <c r="AR49">
        <f>'TEA Revised Non EYZ'!AR49</f>
        <v>1.7205215207154199E-6</v>
      </c>
      <c r="AS49">
        <f>'TEA Revised Non EYZ'!AS49</f>
        <v>2.2210084791272899E-15</v>
      </c>
      <c r="AT49">
        <f>'TEA Revised Non EYZ'!AT49</f>
        <v>-2.21852267459632E-13</v>
      </c>
      <c r="AU49">
        <f>'TEA Revised Non EYZ'!AU49</f>
        <v>1.5524525736395199E-20</v>
      </c>
      <c r="AV49">
        <f>'TEA Revised Non EYZ'!AV49</f>
        <v>0.19692092693176799</v>
      </c>
      <c r="AW49">
        <f>'TEA Revised Non EYZ'!AW49</f>
        <v>99.3422273192906</v>
      </c>
      <c r="AX49">
        <f>'TEA Revised Non EYZ'!AX49</f>
        <v>500</v>
      </c>
      <c r="AY49">
        <f>'TEA Revised Non EYZ'!AY49</f>
        <v>95</v>
      </c>
      <c r="AZ49">
        <f>'TEA Revised Non EYZ'!AZ49</f>
        <v>0.92363221637625403</v>
      </c>
      <c r="BA49">
        <f>'TEA Revised Non EYZ'!BA49</f>
        <v>0.1</v>
      </c>
      <c r="BB49">
        <f>'TEA Revised Non EYZ'!BB49</f>
        <v>46.903710579032897</v>
      </c>
      <c r="BC49" t="str">
        <f>'TEA Revised Non EYZ'!BC49</f>
        <v>coeFc</v>
      </c>
      <c r="BD49">
        <f>'TEA Revised Non EYZ'!BD49</f>
        <v>1</v>
      </c>
      <c r="BE49">
        <f>'TEA Revised Non EYZ'!BE49</f>
        <v>1.8775014999999999E-2</v>
      </c>
      <c r="BF49">
        <f>'TEA Revised Non EYZ'!BF49</f>
        <v>0.10492961100000001</v>
      </c>
      <c r="BG49">
        <f>'TEA Revised Non EYZ'!BG49</f>
        <v>1.814625E-3</v>
      </c>
      <c r="BH49">
        <f>'TEA Revised Non EYZ'!BH49</f>
        <v>285.1951444</v>
      </c>
      <c r="BI49">
        <f>'TEA Revised Non EYZ'!BI49</f>
        <v>2169.8944889999998</v>
      </c>
      <c r="BJ49">
        <f>'TEA Revised Non EYZ'!BJ49</f>
        <v>866.49409060000005</v>
      </c>
      <c r="BK49">
        <f>'TEA Revised Non EYZ'!BK49</f>
        <v>100</v>
      </c>
      <c r="BL49">
        <f>'TEA Revised Non EYZ'!BL49</f>
        <v>11.1082169753281</v>
      </c>
      <c r="BM49">
        <f>'TEA Revised Non EYZ'!BM49</f>
        <v>92.363221637625401</v>
      </c>
      <c r="BN49">
        <f>'TEA Revised Non EYZ'!BN49</f>
        <v>19.6920926931768</v>
      </c>
      <c r="BO49">
        <f>'TEA Revised Non EYZ'!BO49</f>
        <v>199.94790555590581</v>
      </c>
      <c r="BP49">
        <f>'TEA Revised Non EYZ'!BP49</f>
        <v>511.99441002259681</v>
      </c>
      <c r="BQ49">
        <f>'TEA Revised Non EYZ'!BQ49</f>
        <v>19.994790555590583</v>
      </c>
      <c r="BR49">
        <f>'TEA Revised Non EYZ'!BR49</f>
        <v>51.199441002259682</v>
      </c>
      <c r="BS49">
        <f>'eLLE Bals'!CF49</f>
        <v>6.6649301851968596</v>
      </c>
      <c r="BT49">
        <f>'eLLE Bals'!CG49</f>
        <v>11.81525561590608</v>
      </c>
      <c r="BU49">
        <f>BM49</f>
        <v>92.363221637625401</v>
      </c>
      <c r="BV49">
        <f>BU49*(AM49*2+AN49*2+AO49*3)</f>
        <v>0.31410344700667164</v>
      </c>
      <c r="BW49">
        <f>BN49*BA49*(AP49*2+AQ49*2+AR49*3)</f>
        <v>0.30046465981265746</v>
      </c>
      <c r="BX49">
        <f>BV49/(2*V49*BL49+BV49)</f>
        <v>0.12387019153299092</v>
      </c>
      <c r="BY49">
        <f>BU49*BX49</f>
        <v>11.44104995485675</v>
      </c>
      <c r="BZ49">
        <f>BW49/(2*BN49*BA49+BW49)</f>
        <v>7.0882976894165561E-2</v>
      </c>
      <c r="CA49">
        <f>2*BN49*BA49/0.04</f>
        <v>98.460463465884004</v>
      </c>
      <c r="CB49">
        <f>(BS49+BL49)*2</f>
        <v>35.54629432104992</v>
      </c>
      <c r="CC49">
        <f>(BU49+BL49)*2</f>
        <v>206.94287722590701</v>
      </c>
      <c r="CD49">
        <f>(BT49+BN49)*2</f>
        <v>63.014696618165758</v>
      </c>
      <c r="CE49">
        <f>(CA49+BN49)*2</f>
        <v>236.30511231812162</v>
      </c>
      <c r="CF49">
        <f>'TEA Revised Non EYZ'!CB49</f>
        <v>2639.3123533379567</v>
      </c>
      <c r="CG49">
        <f>'TEA Revised Non EYZ'!CC49</f>
        <v>6758.3262122982787</v>
      </c>
      <c r="CH49">
        <f>'TEA Revised Non EYZ'!CD49</f>
        <v>3188.7782491883527</v>
      </c>
      <c r="CI49">
        <f>'TEA Revised Non EYZ'!CE49</f>
        <v>52127.570744009543</v>
      </c>
      <c r="CJ49">
        <f>BL49*V49</f>
        <v>1.11082169753281</v>
      </c>
      <c r="CK49">
        <f>CJ49/2*1.2</f>
        <v>0.66649301851968601</v>
      </c>
      <c r="CL49">
        <f>'eLLE Bals'!CB49*'Oxidant Feed Composition'!$N$20</f>
        <v>3.7027389917760348E-2</v>
      </c>
      <c r="CM49">
        <f>'eLLE Bals'!CB49*'Oxidant Feed Composition'!$N$21</f>
        <v>1.8513694958880169</v>
      </c>
      <c r="CN49">
        <f>'eLLE Bals'!CB49*'Oxidant Feed Composition'!$N$22</f>
        <v>0.55541084876640501</v>
      </c>
      <c r="CO49">
        <f>CN49/CK49</f>
        <v>0.83333333333333337</v>
      </c>
      <c r="CP49">
        <f>CO49</f>
        <v>0.83333333333333337</v>
      </c>
      <c r="CQ49">
        <f>CL49/CO49</f>
        <v>4.4432867901312414E-2</v>
      </c>
      <c r="CR49">
        <f>CM49/CO49</f>
        <v>2.22164339506562</v>
      </c>
      <c r="CS49">
        <f>BN49*BA49</f>
        <v>1.9692092693176801</v>
      </c>
      <c r="CT49">
        <f>CS49/2*1.2</f>
        <v>1.181525561590608</v>
      </c>
      <c r="CU49">
        <f>'eLLE Bals'!CC49*'Oxidant Feed Composition'!$N$20</f>
        <v>6.5640308977256034E-2</v>
      </c>
      <c r="CV49">
        <f>'eLLE Bals'!CC49*'Oxidant Feed Composition'!$N$21</f>
        <v>3.2820154488628002</v>
      </c>
      <c r="CW49">
        <f>'eLLE Bals'!CC49*'Oxidant Feed Composition'!$N$22</f>
        <v>0.98460463465884007</v>
      </c>
      <c r="CX49">
        <f>CU49/CP49</f>
        <v>7.8768370772707236E-2</v>
      </c>
      <c r="CY49">
        <f>CV49/CP49</f>
        <v>3.9384185386353598</v>
      </c>
      <c r="CZ49">
        <f>CJ49</f>
        <v>1.11082169753281</v>
      </c>
      <c r="DA49">
        <f>'eLLE Bals'!BQ49</f>
        <v>2.22164339506562</v>
      </c>
      <c r="DB49">
        <f>'eLLE Bals'!BU49</f>
        <v>5.6351620969941907</v>
      </c>
      <c r="DC49">
        <f>CS49</f>
        <v>1.9692092693176801</v>
      </c>
      <c r="DD49">
        <f>'eLLE Bals'!BX49</f>
        <v>3.9384185386353603</v>
      </c>
      <c r="DE49">
        <f>'eLLE Bals'!CA49</f>
        <v>21.873503228034352</v>
      </c>
      <c r="DF49">
        <f>2*2*(CJ49*'Reagent cost'!$C$36*122.44/1000*0.5+CK49*'Oxidant Feed Composition'!$N$26+CQ49*'Reagent cost'!$C$34+CR49*'Reagent cost'!$C$35)</f>
        <v>74.618654493940213</v>
      </c>
      <c r="DG49">
        <f>2*2*(CS49*'Reagent cost'!$C$36*122.44/1000*0.5+CT49*'Oxidant Feed Composition'!$N$26+CX49*'Reagent cost'!$C$34+CY49*'Reagent cost'!$C$35)</f>
        <v>132.2802268085336</v>
      </c>
      <c r="DH49">
        <f>(AF49+3)*2*(CZ49*'Reagent cost'!$C$38*0.5+DA49*'Reagent cost'!$C$39+DB49*'Reagent cost'!$C$36*122.44/1000)</f>
        <v>1437.2762263516777</v>
      </c>
      <c r="DI49">
        <f>3*2*(DC49*'Reagent cost'!$C$38*0.5+DD49*'Reagent cost'!$C$39+DE49*'Reagent cost'!$C$36*122.44/1000)</f>
        <v>1162.5185653069029</v>
      </c>
      <c r="DJ49">
        <f>7963.6*(CB49/1000)^0.6*1.7*('CAPEX+OPEX'!$G$116/'CAPEX+OPEX'!$G$115)</f>
        <v>2156.3414312027717</v>
      </c>
      <c r="DK49">
        <f>7963.6*(CC49/1000)^0.6*1.7*('CAPEX+OPEX'!$G$116/'CAPEX+OPEX'!$G$115)</f>
        <v>6205.1347590783025</v>
      </c>
      <c r="DL49">
        <f>7963.6*(CD49/1000)^0.6*1.7*('CAPEX+OPEX'!$G$116/'CAPEX+OPEX'!$G$115)</f>
        <v>3040.2271824467625</v>
      </c>
      <c r="DM49">
        <f>7963.6*(CE49/1000)^0.6*1.7*('CAPEX+OPEX'!$G$116/'CAPEX+OPEX'!$G$115)</f>
        <v>6719.3118611919108</v>
      </c>
      <c r="DN49">
        <f>'TEA Revised Non EYZ'!CM49</f>
        <v>39625.826528698344</v>
      </c>
      <c r="DO49">
        <f>'TEA Revised Non EYZ'!CN49</f>
        <v>4586243.4239371875</v>
      </c>
      <c r="DP49">
        <f>'TEA Revised Non EYZ'!CO49</f>
        <v>11794834.586807497</v>
      </c>
      <c r="DQ49">
        <f>'TEA Revised Non EYZ'!CP49</f>
        <v>2275209.1661185985</v>
      </c>
      <c r="DR49">
        <f>'TEA Revised Non EYZ'!CQ49</f>
        <v>14083914.336508472</v>
      </c>
      <c r="DS49">
        <f>'TEA Revised Non EYZ'!CR49</f>
        <v>1662824.8986326549</v>
      </c>
      <c r="DT49">
        <f>'TEA Revised Non EYZ'!CS49</f>
        <v>700033.84449786716</v>
      </c>
      <c r="DU49">
        <f>'TEA Revised Non EYZ'!CT49</f>
        <v>1800336.9288957189</v>
      </c>
      <c r="DV49">
        <f>'TEA Revised Non EYZ'!CU49</f>
        <v>347282.79168127343</v>
      </c>
      <c r="DW49">
        <f>'TEA Revised Non EYZ'!CV49</f>
        <v>2149736.8951473436</v>
      </c>
      <c r="DX49">
        <f>'TEA Revised Non EYZ'!CW49</f>
        <v>253809.83932102245</v>
      </c>
      <c r="DY49">
        <f>'TEA Revised Non EYZ'!CX49</f>
        <v>5251200.2995432261</v>
      </c>
      <c r="DZ49">
        <f>'TEA Revised Non EYZ'!CY49</f>
        <v>843204.90681236121</v>
      </c>
      <c r="EA49">
        <f>'TEA Revised Non EYZ'!CZ49</f>
        <v>2168542.1987693524</v>
      </c>
      <c r="EB49">
        <f>'TEA Revised Non EYZ'!DA49</f>
        <v>418309.13790631329</v>
      </c>
      <c r="EC49">
        <f>'TEA Revised Non EYZ'!DB49</f>
        <v>2589401.5162138832</v>
      </c>
      <c r="ED49">
        <f>'TEA Revised Non EYZ'!DC49</f>
        <v>305719.07857720047</v>
      </c>
      <c r="EE49">
        <f>'TEA Revised Non EYZ'!DD49</f>
        <v>6325176.8382791113</v>
      </c>
      <c r="EF49">
        <v>0.7</v>
      </c>
      <c r="EG49">
        <v>100</v>
      </c>
      <c r="EH49">
        <f>96485*BL49*V49/EF49/EG49/60</f>
        <v>25.518483687250757</v>
      </c>
      <c r="EI49">
        <f>96485*BN49*BA49/EF49/EG49/60</f>
        <v>45.237894369075327</v>
      </c>
      <c r="EJ49">
        <f>EH49*('CAPEX+OPEX'!$O$25+'CAPEX+OPEX'!$O$26)</f>
        <v>813325.1120800561</v>
      </c>
      <c r="EK49">
        <f>EI49*('CAPEX+OPEX'!$O$25+'CAPEX+OPEX'!$O$26)</f>
        <v>1441822.1693311688</v>
      </c>
      <c r="EL49">
        <f>EJ49*1.12/0.6*'CAPEX+OPEX'!$G$116/'CAPEX+OPEX'!$G$115</f>
        <v>1790661.6086879191</v>
      </c>
      <c r="EM49">
        <f>EK49*1.12/0.6*'CAPEX+OPEX'!$G$116/'CAPEX+OPEX'!$G$115</f>
        <v>3174395.5360895419</v>
      </c>
      <c r="EN49">
        <f>EL49+EM49+DY49+EE49+1.15*(SUM(DF49:DM49)+SUM(CF49:CI49))</f>
        <v>16639922.23353537</v>
      </c>
      <c r="EO49">
        <f>EN49/15</f>
        <v>1109328.148902358</v>
      </c>
      <c r="EP49">
        <f>('eLLE Bals'!CB49+'eLLE Bals'!CC49)*'Oxidant Feed Composition'!$N$29*60*7200</f>
        <v>7682697.4183864798</v>
      </c>
      <c r="EQ49" s="53">
        <f>('eLLE Bals'!BR49+'eLLE Bals'!BY49)*'Reagent cost'!$C$38*60*7200*0.5</f>
        <v>252889.62418595501</v>
      </c>
      <c r="ER49">
        <f>'TEA Revised Non EYZ'!DI49</f>
        <v>504921.59999999998</v>
      </c>
      <c r="ES49">
        <f>'TEA Revised Non EYZ'!DJ49</f>
        <v>93.976385656362368</v>
      </c>
      <c r="ET49">
        <f>'TEA Revised Non EYZ'!DK49</f>
        <v>1106.3269798639581</v>
      </c>
      <c r="EU49">
        <f>1.2*SUM(EP49:ET49)</f>
        <v>10130050.735125547</v>
      </c>
      <c r="EV49">
        <f>'TEA Revised Non EYZ'!DM49</f>
        <v>0.70639694042110623</v>
      </c>
      <c r="EW49">
        <f>(BS49*CO49+BT49*CP49)/1000*('Oxidant Feed Composition'!$B$11*'Oxidant Feed Composition'!$O$20+'Oxidant Feed Composition'!$D$11*'Oxidant Feed Composition'!$O$21+'Oxidant Feed Composition'!$F$11*'Oxidant Feed Composition'!$O$27-'Oxidant Feed Composition'!$J$15*18.015)</f>
        <v>1.7984999982469485</v>
      </c>
      <c r="EX49">
        <f>(CZ49*BX49+DC49*BZ49)*368.34/1000</f>
        <v>0.10209689063540392</v>
      </c>
      <c r="EY49">
        <f>'TEA Revised Non EYZ'!DP49</f>
        <v>4.999938342565946E-2</v>
      </c>
      <c r="EZ49">
        <f>SUM(EV49:EX49)-EY49</f>
        <v>2.5569944458777996</v>
      </c>
      <c r="FA49">
        <f>EZ49*0.33*60*7200</f>
        <v>364525.12820433913</v>
      </c>
      <c r="FB49">
        <f>'TEA Revised Non EYZ'!DS49</f>
        <v>1.2</v>
      </c>
      <c r="FC49">
        <v>0.5</v>
      </c>
      <c r="FD49">
        <f>'TEA Revised Non EYZ'!DT49</f>
        <v>1405.9601521286265</v>
      </c>
      <c r="FE49">
        <f>'TEA Revised Non EYZ'!DU49</f>
        <v>705.927382080764</v>
      </c>
      <c r="FF49">
        <f>'TEA Revised Non EYZ'!DV49</f>
        <v>0.7</v>
      </c>
      <c r="FG49">
        <f>'TEA Revised Non EYZ'!DW49</f>
        <v>38528.386667103026</v>
      </c>
      <c r="FH49">
        <f>'TEA Revised Non EYZ'!DX49</f>
        <v>33220.879177835675</v>
      </c>
      <c r="FI49">
        <f>'TEA Revised Non EYZ'!DY49</f>
        <v>14065.291587390104</v>
      </c>
      <c r="FJ49">
        <f>'TEA Revised Non EYZ'!DZ49</f>
        <v>7450.7773575794354</v>
      </c>
      <c r="FK49">
        <f>'TEA Revised Non EYZ'!EA49</f>
        <v>7501.4888466080574</v>
      </c>
      <c r="FL49">
        <f>'TEA Revised Non EYZ'!EB49</f>
        <v>850.3247000073934</v>
      </c>
      <c r="FM49">
        <f>'TEA Revised Non EYZ'!EC49</f>
        <v>46287.262995404846</v>
      </c>
      <c r="FN49">
        <f>'TEA Revised Non EYZ'!ED49</f>
        <v>46555.349038729662</v>
      </c>
      <c r="FO49">
        <f>'TEA Revised Non EYZ'!EE49</f>
        <v>19710.93406881699</v>
      </c>
      <c r="FP49">
        <f>'TEA Revised Non EYZ'!EF49</f>
        <v>10447.239668831275</v>
      </c>
      <c r="FQ49">
        <f>'TEA Revised Non EYZ'!EG49</f>
        <v>10512.498170035729</v>
      </c>
      <c r="FR49">
        <f>'TEA Revised Non EYZ'!EH49</f>
        <v>426.94488068244613</v>
      </c>
      <c r="FS49">
        <f>'TEA Revised Non EYZ'!EI49</f>
        <v>235557.37715902465</v>
      </c>
      <c r="FT49">
        <f>EG49*EH49</f>
        <v>2551.8483687250759</v>
      </c>
      <c r="FU49">
        <f>EG49*EI49</f>
        <v>4523.7894369075329</v>
      </c>
      <c r="FV49">
        <f>FC49*(FT49+FU49)/(3.6*10^6)*3600*7200*0.07</f>
        <v>1783.0607270194173</v>
      </c>
      <c r="FW49">
        <f>('CAPEX+OPEX'!$C$39/7/100+0.03)*EL49</f>
        <v>92091.168446807264</v>
      </c>
      <c r="FX49">
        <f>('CAPEX+OPEX'!$C$39/7/100+0.03)*EM49</f>
        <v>163254.62757031928</v>
      </c>
      <c r="FY49">
        <f>SUM(FV49:FX49)</f>
        <v>257128.85674414597</v>
      </c>
      <c r="FZ49">
        <f>FY49+FA49+FS49+EU49</f>
        <v>10987262.097233057</v>
      </c>
      <c r="GA49">
        <f>FZ49+EO49</f>
        <v>12096590.246135416</v>
      </c>
      <c r="GB49">
        <f>GA49/(BK49*60*7200)</f>
        <v>0.28001366310498649</v>
      </c>
      <c r="GC49">
        <f>'TEA Revised Non EYZ'!EM49/'TEA Revised Non EYZ'!EK49*GA49</f>
        <v>936.76798521823719</v>
      </c>
      <c r="GD49">
        <f>'TEA Revised Non EYZ'!EN49/'TEA Revised Non EYZ'!EK49*GA49</f>
        <v>1718.914222991476</v>
      </c>
    </row>
    <row r="50" spans="1:186">
      <c r="A50">
        <f>'TEA Revised Non EYZ'!A50</f>
        <v>7</v>
      </c>
      <c r="B50">
        <f>'TEA Revised Non EYZ'!B50</f>
        <v>1.54143585092054E-3</v>
      </c>
      <c r="C50">
        <f>'TEA Revised Non EYZ'!C50</f>
        <v>1.54143585092054E-3</v>
      </c>
      <c r="D50">
        <f>'TEA Revised Non EYZ'!D50</f>
        <v>3.4254130020456501E-4</v>
      </c>
      <c r="E50">
        <f>'TEA Revised Non EYZ'!E50</f>
        <v>0</v>
      </c>
      <c r="F50">
        <f>'TEA Revised Non EYZ'!F50</f>
        <v>0</v>
      </c>
      <c r="G50">
        <f>'TEA Revised Non EYZ'!G50</f>
        <v>0</v>
      </c>
      <c r="H50">
        <f>'TEA Revised Non EYZ'!H50</f>
        <v>1.7744466230058299E-5</v>
      </c>
      <c r="I50">
        <f>'TEA Revised Non EYZ'!I50</f>
        <v>1.2927742824924801E-8</v>
      </c>
      <c r="J50">
        <f>'TEA Revised Non EYZ'!J50</f>
        <v>3.3739048286900598E-4</v>
      </c>
      <c r="K50">
        <f>'TEA Revised Non EYZ'!K50</f>
        <v>0.13716795306346499</v>
      </c>
      <c r="L50">
        <f>'TEA Revised Non EYZ'!L50</f>
        <v>0.138764207307677</v>
      </c>
      <c r="M50">
        <f>'TEA Revised Non EYZ'!M50</f>
        <v>4.6369433969460899E-4</v>
      </c>
      <c r="N50">
        <f>'TEA Revised Non EYZ'!N50</f>
        <v>-1.1037178115902399E-16</v>
      </c>
      <c r="O50">
        <f>'TEA Revised Non EYZ'!O50</f>
        <v>-5.3700533603207003E-15</v>
      </c>
      <c r="P50">
        <f>'TEA Revised Non EYZ'!P50</f>
        <v>-3.4304834363799101E-19</v>
      </c>
      <c r="Q50">
        <f>'TEA Revised Non EYZ'!Q50</f>
        <v>0.111082169753281</v>
      </c>
      <c r="R50">
        <f>'TEA Revised Non EYZ'!R50</f>
        <v>98.496293050653193</v>
      </c>
      <c r="S50">
        <f>'TEA Revised Non EYZ'!S50</f>
        <v>500</v>
      </c>
      <c r="T50">
        <f>'TEA Revised Non EYZ'!T50</f>
        <v>95</v>
      </c>
      <c r="U50">
        <f>'TEA Revised Non EYZ'!U50</f>
        <v>1</v>
      </c>
      <c r="V50">
        <f>'TEA Revised Non EYZ'!V50</f>
        <v>0.1</v>
      </c>
      <c r="W50">
        <f>'TEA Revised Non EYZ'!W50</f>
        <v>90.023448607553206</v>
      </c>
      <c r="X50" t="str">
        <f>'TEA Revised Non EYZ'!X50</f>
        <v>ddFc</v>
      </c>
      <c r="Y50">
        <f>'TEA Revised Non EYZ'!Y50</f>
        <v>1</v>
      </c>
      <c r="Z50">
        <f>'TEA Revised Non EYZ'!Z50</f>
        <v>0.28318429382522198</v>
      </c>
      <c r="AA50">
        <f>'TEA Revised Non EYZ'!AA50</f>
        <v>0.56945642916197003</v>
      </c>
      <c r="AB50">
        <f>'TEA Revised Non EYZ'!AB50</f>
        <v>3.7698628972227502E-3</v>
      </c>
      <c r="AC50">
        <f>'TEA Revised Non EYZ'!AC50</f>
        <v>1822.2107908876901</v>
      </c>
      <c r="AD50">
        <f>'TEA Revised Non EYZ'!AD50</f>
        <v>2662.6059073104898</v>
      </c>
      <c r="AE50">
        <f>'TEA Revised Non EYZ'!AE50</f>
        <v>2401.5030938442701</v>
      </c>
      <c r="AF50">
        <f>'TEA Revised Non EYZ'!AF50</f>
        <v>12</v>
      </c>
      <c r="AG50">
        <f>'TEA Revised Non EYZ'!AG50</f>
        <v>1.64967327652189E-3</v>
      </c>
      <c r="AH50">
        <f>'TEA Revised Non EYZ'!AH50</f>
        <v>1.66887089455438E-3</v>
      </c>
      <c r="AI50">
        <f>'TEA Revised Non EYZ'!AI50</f>
        <v>5.5766973522943398E-6</v>
      </c>
      <c r="AJ50">
        <f>'TEA Revised Non EYZ'!AJ50</f>
        <v>0</v>
      </c>
      <c r="AK50">
        <f>'TEA Revised Non EYZ'!AK50</f>
        <v>0</v>
      </c>
      <c r="AL50">
        <f>'TEA Revised Non EYZ'!AL50</f>
        <v>0</v>
      </c>
      <c r="AM50">
        <f>'TEA Revised Non EYZ'!AM50</f>
        <v>1.6127216178039401E-3</v>
      </c>
      <c r="AN50">
        <f>'TEA Revised Non EYZ'!AN50</f>
        <v>7.9340068948572E-5</v>
      </c>
      <c r="AO50">
        <f>'TEA Revised Non EYZ'!AO50</f>
        <v>5.5400161990028701E-6</v>
      </c>
      <c r="AP50">
        <f>'TEA Revised Non EYZ'!AP50</f>
        <v>1.7331814378101901E-3</v>
      </c>
      <c r="AQ50">
        <f>'TEA Revised Non EYZ'!AQ50</f>
        <v>7.4555389865565105E-2</v>
      </c>
      <c r="AR50">
        <f>'TEA Revised Non EYZ'!AR50</f>
        <v>1.7204936451815799E-6</v>
      </c>
      <c r="AS50">
        <f>'TEA Revised Non EYZ'!AS50</f>
        <v>4.8772157102902604E-16</v>
      </c>
      <c r="AT50">
        <f>'TEA Revised Non EYZ'!AT50</f>
        <v>-4.7916531853431302E-14</v>
      </c>
      <c r="AU50">
        <f>'TEA Revised Non EYZ'!AU50</f>
        <v>-4.0829635035617401E-21</v>
      </c>
      <c r="AV50">
        <f>'TEA Revised Non EYZ'!AV50</f>
        <v>0.19691961669677699</v>
      </c>
      <c r="AW50">
        <f>'TEA Revised Non EYZ'!AW50</f>
        <v>99.342242352879694</v>
      </c>
      <c r="AX50">
        <f>'TEA Revised Non EYZ'!AX50</f>
        <v>500</v>
      </c>
      <c r="AY50">
        <f>'TEA Revised Non EYZ'!AY50</f>
        <v>95</v>
      </c>
      <c r="AZ50">
        <f>'TEA Revised Non EYZ'!AZ50</f>
        <v>0.92363221637625403</v>
      </c>
      <c r="BA50">
        <f>'TEA Revised Non EYZ'!BA50</f>
        <v>0.1</v>
      </c>
      <c r="BB50">
        <f>'TEA Revised Non EYZ'!BB50</f>
        <v>46.904022660093197</v>
      </c>
      <c r="BC50" t="str">
        <f>'TEA Revised Non EYZ'!BC50</f>
        <v>coeFc</v>
      </c>
      <c r="BD50">
        <f>'TEA Revised Non EYZ'!BD50</f>
        <v>1</v>
      </c>
      <c r="BE50">
        <f>'TEA Revised Non EYZ'!BE50</f>
        <v>1.8775014999999999E-2</v>
      </c>
      <c r="BF50">
        <f>'TEA Revised Non EYZ'!BF50</f>
        <v>0.10492961100000001</v>
      </c>
      <c r="BG50">
        <f>'TEA Revised Non EYZ'!BG50</f>
        <v>1.814625E-3</v>
      </c>
      <c r="BH50">
        <f>'TEA Revised Non EYZ'!BH50</f>
        <v>285.1951444</v>
      </c>
      <c r="BI50">
        <f>'TEA Revised Non EYZ'!BI50</f>
        <v>2169.8944889999998</v>
      </c>
      <c r="BJ50">
        <f>'TEA Revised Non EYZ'!BJ50</f>
        <v>866.49409060000005</v>
      </c>
      <c r="BK50">
        <f>'TEA Revised Non EYZ'!BK50</f>
        <v>100</v>
      </c>
      <c r="BL50">
        <f>'TEA Revised Non EYZ'!BL50</f>
        <v>11.1082169753281</v>
      </c>
      <c r="BM50">
        <f>'TEA Revised Non EYZ'!BM50</f>
        <v>92.363221637625401</v>
      </c>
      <c r="BN50">
        <f>'TEA Revised Non EYZ'!BN50</f>
        <v>19.691961669677699</v>
      </c>
      <c r="BO50">
        <f>'TEA Revised Non EYZ'!BO50</f>
        <v>199.94790555590581</v>
      </c>
      <c r="BP50">
        <f>'TEA Revised Non EYZ'!BP50</f>
        <v>551.37492675097553</v>
      </c>
      <c r="BQ50">
        <f>'TEA Revised Non EYZ'!BQ50</f>
        <v>19.994790555590583</v>
      </c>
      <c r="BR50">
        <f>'TEA Revised Non EYZ'!BR50</f>
        <v>55.137492675097555</v>
      </c>
      <c r="BS50">
        <f>'eLLE Bals'!CF50</f>
        <v>6.6649301851968596</v>
      </c>
      <c r="BT50">
        <f>'eLLE Bals'!CG50</f>
        <v>11.815177001806619</v>
      </c>
      <c r="BU50">
        <f>BM50</f>
        <v>92.363221637625401</v>
      </c>
      <c r="BV50">
        <f>BU50*(AM50*2+AN50*2+AO50*3)</f>
        <v>0.3141036184283067</v>
      </c>
      <c r="BW50">
        <f>BN50*BA50*(AP50*2+AQ50*2+AR50*3)</f>
        <v>0.30046448835658224</v>
      </c>
      <c r="BX50">
        <f>BV50/(2*V50*BL50+BV50)</f>
        <v>0.12387025076114085</v>
      </c>
      <c r="BY50">
        <f>BU50*BX50</f>
        <v>11.441055425359488</v>
      </c>
      <c r="BZ50">
        <f>BW50/(2*BN50*BA50+BW50)</f>
        <v>7.0883377512644757E-2</v>
      </c>
      <c r="CA50">
        <f>2*BN50*BA50/0.04</f>
        <v>98.459808348388492</v>
      </c>
      <c r="CB50">
        <f>(BS50+BL50)*2</f>
        <v>35.54629432104992</v>
      </c>
      <c r="CC50">
        <f>(BU50+BL50)*2</f>
        <v>206.94287722590701</v>
      </c>
      <c r="CD50">
        <f>(BT50+BN50)*2</f>
        <v>63.01427734296864</v>
      </c>
      <c r="CE50">
        <f>(CA50+BN50)*2</f>
        <v>236.30354003613238</v>
      </c>
      <c r="CF50">
        <f>'TEA Revised Non EYZ'!CB50</f>
        <v>2639.3123533379567</v>
      </c>
      <c r="CG50">
        <f>'TEA Revised Non EYZ'!CC50</f>
        <v>7278.1490331128771</v>
      </c>
      <c r="CH50">
        <f>'TEA Revised Non EYZ'!CD50</f>
        <v>3188.7782491883527</v>
      </c>
      <c r="CI50">
        <f>'TEA Revised Non EYZ'!CE50</f>
        <v>56137.010361921792</v>
      </c>
      <c r="CJ50">
        <f>BL50*V50</f>
        <v>1.11082169753281</v>
      </c>
      <c r="CK50">
        <f>CJ50/2*1.2</f>
        <v>0.66649301851968601</v>
      </c>
      <c r="CL50">
        <f>'eLLE Bals'!CB50*'Oxidant Feed Composition'!$N$20</f>
        <v>3.7027389917760348E-2</v>
      </c>
      <c r="CM50">
        <f>'eLLE Bals'!CB50*'Oxidant Feed Composition'!$N$21</f>
        <v>1.8513694958880169</v>
      </c>
      <c r="CN50">
        <f>'eLLE Bals'!CB50*'Oxidant Feed Composition'!$N$22</f>
        <v>0.55541084876640501</v>
      </c>
      <c r="CO50">
        <f>CN50/CK50</f>
        <v>0.83333333333333337</v>
      </c>
      <c r="CP50">
        <f>CO50</f>
        <v>0.83333333333333337</v>
      </c>
      <c r="CQ50">
        <f>CL50/CO50</f>
        <v>4.4432867901312414E-2</v>
      </c>
      <c r="CR50">
        <f>CM50/CO50</f>
        <v>2.22164339506562</v>
      </c>
      <c r="CS50">
        <f>BN50*BA50</f>
        <v>1.96919616696777</v>
      </c>
      <c r="CT50">
        <f>CS50/2*1.2</f>
        <v>1.181517700180662</v>
      </c>
      <c r="CU50">
        <f>'eLLE Bals'!CC50*'Oxidant Feed Composition'!$N$20</f>
        <v>6.5639872232259033E-2</v>
      </c>
      <c r="CV50">
        <f>'eLLE Bals'!CC50*'Oxidant Feed Composition'!$N$21</f>
        <v>3.28199361161295</v>
      </c>
      <c r="CW50">
        <f>'eLLE Bals'!CC50*'Oxidant Feed Composition'!$N$22</f>
        <v>0.984598083483885</v>
      </c>
      <c r="CX50">
        <f>CU50/CP50</f>
        <v>7.876784667871084E-2</v>
      </c>
      <c r="CY50">
        <f>CV50/CP50</f>
        <v>3.93839233393554</v>
      </c>
      <c r="CZ50">
        <f>CJ50</f>
        <v>1.11082169753281</v>
      </c>
      <c r="DA50">
        <f>'eLLE Bals'!BQ50</f>
        <v>2.22164339506562</v>
      </c>
      <c r="DB50">
        <f>'eLLE Bals'!BU50</f>
        <v>5.6351578089093737</v>
      </c>
      <c r="DC50">
        <f>CS50</f>
        <v>1.96919616696777</v>
      </c>
      <c r="DD50">
        <f>'eLLE Bals'!BX50</f>
        <v>3.93839233393554</v>
      </c>
      <c r="DE50">
        <f>'eLLE Bals'!CA50</f>
        <v>21.873200678005229</v>
      </c>
      <c r="DF50">
        <f>2*2*(CJ50*'Reagent cost'!$C$36*122.44/1000*0.5+CK50*'Oxidant Feed Composition'!$N$26+CQ50*'Reagent cost'!$C$34+CR50*'Reagent cost'!$C$35)</f>
        <v>74.618654493940213</v>
      </c>
      <c r="DG50">
        <f>2*2*(CS50*'Reagent cost'!$C$36*122.44/1000*0.5+CT50*'Oxidant Feed Composition'!$N$26+CX50*'Reagent cost'!$C$34+CY50*'Reagent cost'!$C$35)</f>
        <v>132.27934666753242</v>
      </c>
      <c r="DH50">
        <f>(AF50+3)*2*(CZ50*'Reagent cost'!$C$38*0.5+DA50*'Reagent cost'!$C$39+DB50*'Reagent cost'!$C$36*122.44/1000)</f>
        <v>1539.9377016130898</v>
      </c>
      <c r="DI50">
        <f>3*2*(DC50*'Reagent cost'!$C$38*0.5+DD50*'Reagent cost'!$C$39+DE50*'Reagent cost'!$C$36*122.44/1000)</f>
        <v>1162.5026845217667</v>
      </c>
      <c r="DJ50">
        <f>7963.6*(CB50/1000)^0.6*1.7*('CAPEX+OPEX'!$G$116/'CAPEX+OPEX'!$G$115)</f>
        <v>2156.3414312027717</v>
      </c>
      <c r="DK50">
        <f>7963.6*(CC50/1000)^0.6*1.7*('CAPEX+OPEX'!$G$116/'CAPEX+OPEX'!$G$115)</f>
        <v>6205.1347590783025</v>
      </c>
      <c r="DL50">
        <f>7963.6*(CD50/1000)^0.6*1.7*('CAPEX+OPEX'!$G$116/'CAPEX+OPEX'!$G$115)</f>
        <v>3040.2150453395552</v>
      </c>
      <c r="DM50">
        <f>7963.6*(CE50/1000)^0.6*1.7*('CAPEX+OPEX'!$G$116/'CAPEX+OPEX'!$G$115)</f>
        <v>6719.2850365490385</v>
      </c>
      <c r="DN50">
        <f>'TEA Revised Non EYZ'!CM50</f>
        <v>39625.826528698344</v>
      </c>
      <c r="DO50">
        <f>'TEA Revised Non EYZ'!CN50</f>
        <v>4586243.4239371875</v>
      </c>
      <c r="DP50">
        <f>'TEA Revised Non EYZ'!CO50</f>
        <v>11794834.586807497</v>
      </c>
      <c r="DQ50">
        <f>'TEA Revised Non EYZ'!CP50</f>
        <v>2275209.1661185985</v>
      </c>
      <c r="DR50">
        <f>'TEA Revised Non EYZ'!CQ50</f>
        <v>14083914.336508472</v>
      </c>
      <c r="DS50">
        <f>'TEA Revised Non EYZ'!CR50</f>
        <v>1662824.8986326549</v>
      </c>
      <c r="DT50">
        <f>'TEA Revised Non EYZ'!CS50</f>
        <v>700033.84449786716</v>
      </c>
      <c r="DU50">
        <f>'TEA Revised Non EYZ'!CT50</f>
        <v>1800336.9288957189</v>
      </c>
      <c r="DV50">
        <f>'TEA Revised Non EYZ'!CU50</f>
        <v>347282.79168127343</v>
      </c>
      <c r="DW50">
        <f>'TEA Revised Non EYZ'!CV50</f>
        <v>2149736.8951473436</v>
      </c>
      <c r="DX50">
        <f>'TEA Revised Non EYZ'!CW50</f>
        <v>253809.83932102245</v>
      </c>
      <c r="DY50">
        <f>'TEA Revised Non EYZ'!CX50</f>
        <v>5251200.2995432261</v>
      </c>
      <c r="DZ50">
        <f>'TEA Revised Non EYZ'!CY50</f>
        <v>884688.5141556306</v>
      </c>
      <c r="EA50">
        <f>'TEA Revised Non EYZ'!CZ50</f>
        <v>2275229.140880656</v>
      </c>
      <c r="EB50">
        <f>'TEA Revised Non EYZ'!DA50</f>
        <v>438888.91855608189</v>
      </c>
      <c r="EC50">
        <f>'TEA Revised Non EYZ'!DB50</f>
        <v>2716793.7015354363</v>
      </c>
      <c r="ED50">
        <f>'TEA Revised Non EYZ'!DC50</f>
        <v>320759.70525119215</v>
      </c>
      <c r="EE50">
        <f>'TEA Revised Non EYZ'!DD50</f>
        <v>6636359.9803789966</v>
      </c>
      <c r="EF50">
        <v>0.7</v>
      </c>
      <c r="EG50">
        <v>100</v>
      </c>
      <c r="EH50">
        <f>96485*BL50*V50/EF50/EG50/60</f>
        <v>25.518483687250757</v>
      </c>
      <c r="EI50">
        <f>96485*BN50*BA50/EF50/EG50/60</f>
        <v>45.237593373782218</v>
      </c>
      <c r="EJ50">
        <f>EH50*('CAPEX+OPEX'!$O$25+'CAPEX+OPEX'!$O$26)</f>
        <v>813325.1120800561</v>
      </c>
      <c r="EK50">
        <f>EI50*('CAPEX+OPEX'!$O$25+'CAPEX+OPEX'!$O$26)</f>
        <v>1441812.5760091869</v>
      </c>
      <c r="EL50">
        <f>EJ50*1.12/0.6*'CAPEX+OPEX'!$G$116/'CAPEX+OPEX'!$G$115</f>
        <v>1790661.6086879191</v>
      </c>
      <c r="EM50">
        <f>EK50*1.12/0.6*'CAPEX+OPEX'!$G$116/'CAPEX+OPEX'!$G$115</f>
        <v>3174374.4149005879</v>
      </c>
      <c r="EN50">
        <f>EL50+EM50+DY50+EE50+1.15*(SUM(DF50:DM50)+SUM(CF50:CI50))</f>
        <v>16956410.902866311</v>
      </c>
      <c r="EO50">
        <f>EN50/15</f>
        <v>1130427.3935244207</v>
      </c>
      <c r="EP50">
        <f>('eLLE Bals'!CB50+'eLLE Bals'!CC50)*'Oxidant Feed Composition'!$N$29*60*7200</f>
        <v>7682664.7364456477</v>
      </c>
      <c r="EQ50" s="53">
        <f>('eLLE Bals'!BR50+'eLLE Bals'!BY50)*'Reagent cost'!$C$38*60*7200*0.5</f>
        <v>252889.55662982722</v>
      </c>
      <c r="ER50">
        <f>'TEA Revised Non EYZ'!DI50</f>
        <v>504921.59999999998</v>
      </c>
      <c r="ES50">
        <f>'TEA Revised Non EYZ'!DJ50</f>
        <v>99.174613864508345</v>
      </c>
      <c r="ET50">
        <f>'TEA Revised Non EYZ'!DK50</f>
        <v>1186.5157722222029</v>
      </c>
      <c r="EU50">
        <f>1.2*SUM(EP50:ET50)</f>
        <v>10130113.900153873</v>
      </c>
      <c r="EV50">
        <f>'TEA Revised Non EYZ'!DM50</f>
        <v>0.70639694042110623</v>
      </c>
      <c r="EW50">
        <f>(BS50*CO50+BT50*CP50)/1000*('Oxidant Feed Composition'!$B$11*'Oxidant Feed Composition'!$O$20+'Oxidant Feed Composition'!$D$11*'Oxidant Feed Composition'!$O$21+'Oxidant Feed Composition'!$F$11*'Oxidant Feed Composition'!$O$27-'Oxidant Feed Composition'!$J$15*18.015)</f>
        <v>1.7984923474874124</v>
      </c>
      <c r="EX50">
        <f>(CZ50*BX50+DC50*BZ50)*368.34/1000</f>
        <v>0.10209686336156613</v>
      </c>
      <c r="EY50">
        <f>'TEA Revised Non EYZ'!DP50</f>
        <v>4.999938342565946E-2</v>
      </c>
      <c r="EZ50">
        <f>SUM(EV50:EX50)-EY50</f>
        <v>2.5569867678444256</v>
      </c>
      <c r="FA50">
        <f>EZ50*0.33*60*7200</f>
        <v>364524.03362390131</v>
      </c>
      <c r="FB50">
        <f>'TEA Revised Non EYZ'!DS50</f>
        <v>1.2</v>
      </c>
      <c r="FC50">
        <v>0.5</v>
      </c>
      <c r="FD50">
        <f>'TEA Revised Non EYZ'!DT50</f>
        <v>1405.960919870389</v>
      </c>
      <c r="FE50">
        <f>'TEA Revised Non EYZ'!DU50</f>
        <v>705.92661426068241</v>
      </c>
      <c r="FF50">
        <f>'TEA Revised Non EYZ'!DV50</f>
        <v>0.7</v>
      </c>
      <c r="FG50">
        <f>'TEA Revised Non EYZ'!DW50</f>
        <v>38528.386667103026</v>
      </c>
      <c r="FH50">
        <f>'TEA Revised Non EYZ'!DX50</f>
        <v>33220.879177835675</v>
      </c>
      <c r="FI50">
        <f>'TEA Revised Non EYZ'!DY50</f>
        <v>14065.291587390104</v>
      </c>
      <c r="FJ50">
        <f>'TEA Revised Non EYZ'!DZ50</f>
        <v>7450.7773575794354</v>
      </c>
      <c r="FK50">
        <f>'TEA Revised Non EYZ'!EA50</f>
        <v>7501.4888466080574</v>
      </c>
      <c r="FL50">
        <f>'TEA Revised Non EYZ'!EB50</f>
        <v>850.32516433761134</v>
      </c>
      <c r="FM50">
        <f>'TEA Revised Non EYZ'!EC50</f>
        <v>48858.777606260672</v>
      </c>
      <c r="FN50">
        <f>'TEA Revised Non EYZ'!ED50</f>
        <v>50434.961458623809</v>
      </c>
      <c r="FO50">
        <f>'TEA Revised Non EYZ'!EE50</f>
        <v>21353.511907885077</v>
      </c>
      <c r="FP50">
        <f>'TEA Revised Non EYZ'!EF50</f>
        <v>11317.842974567217</v>
      </c>
      <c r="FQ50">
        <f>'TEA Revised Non EYZ'!EG50</f>
        <v>11388.539684205374</v>
      </c>
      <c r="FR50">
        <f>'TEA Revised Non EYZ'!EH50</f>
        <v>426.94441630486074</v>
      </c>
      <c r="FS50">
        <f>'TEA Revised Non EYZ'!EI50</f>
        <v>245397.72684870093</v>
      </c>
      <c r="FT50">
        <f>EG50*EH50</f>
        <v>2551.8483687250759</v>
      </c>
      <c r="FU50">
        <f>EG50*EI50</f>
        <v>4523.759337378222</v>
      </c>
      <c r="FV50">
        <f>FC50*(FT50+FU50)/(3.6*10^6)*3600*7200*0.07</f>
        <v>1783.0531419380313</v>
      </c>
      <c r="FW50">
        <f>('CAPEX+OPEX'!$C$39/7/100+0.03)*EL50</f>
        <v>92091.168446807264</v>
      </c>
      <c r="FX50">
        <f>('CAPEX+OPEX'!$C$39/7/100+0.03)*EM50</f>
        <v>163253.54133774451</v>
      </c>
      <c r="FY50">
        <f>SUM(FV50:FX50)</f>
        <v>257127.76292648981</v>
      </c>
      <c r="FZ50">
        <f>FY50+FA50+FS50+EU50</f>
        <v>10997163.423552966</v>
      </c>
      <c r="GA50">
        <f>FZ50+EO50</f>
        <v>12127590.817077387</v>
      </c>
      <c r="GB50">
        <f>GA50/(BK50*60*7200)</f>
        <v>0.28073126891382838</v>
      </c>
      <c r="GC50">
        <f>'TEA Revised Non EYZ'!EM50/'TEA Revised Non EYZ'!EK50*GA50</f>
        <v>939.16817685090984</v>
      </c>
      <c r="GD50">
        <f>'TEA Revised Non EYZ'!EN50/'TEA Revised Non EYZ'!EK50*GA50</f>
        <v>1723.3211033548102</v>
      </c>
    </row>
    <row r="51" spans="1:186">
      <c r="A51">
        <f>'TEA Revised Non EYZ'!A51</f>
        <v>7</v>
      </c>
      <c r="B51">
        <f>'TEA Revised Non EYZ'!B51</f>
        <v>1.54143585092054E-3</v>
      </c>
      <c r="C51">
        <f>'TEA Revised Non EYZ'!C51</f>
        <v>1.54143585092054E-3</v>
      </c>
      <c r="D51">
        <f>'TEA Revised Non EYZ'!D51</f>
        <v>3.4254130020456501E-4</v>
      </c>
      <c r="E51">
        <f>'TEA Revised Non EYZ'!E51</f>
        <v>0</v>
      </c>
      <c r="F51">
        <f>'TEA Revised Non EYZ'!F51</f>
        <v>0</v>
      </c>
      <c r="G51">
        <f>'TEA Revised Non EYZ'!G51</f>
        <v>0</v>
      </c>
      <c r="H51">
        <f>'TEA Revised Non EYZ'!H51</f>
        <v>1.7744466230058299E-5</v>
      </c>
      <c r="I51">
        <f>'TEA Revised Non EYZ'!I51</f>
        <v>1.2927742824924801E-8</v>
      </c>
      <c r="J51">
        <f>'TEA Revised Non EYZ'!J51</f>
        <v>3.3739048286900598E-4</v>
      </c>
      <c r="K51">
        <f>'TEA Revised Non EYZ'!K51</f>
        <v>0.13716795306346499</v>
      </c>
      <c r="L51">
        <f>'TEA Revised Non EYZ'!L51</f>
        <v>0.138764207307677</v>
      </c>
      <c r="M51">
        <f>'TEA Revised Non EYZ'!M51</f>
        <v>4.6369433969460899E-4</v>
      </c>
      <c r="N51">
        <f>'TEA Revised Non EYZ'!N51</f>
        <v>-1.1037178115902399E-16</v>
      </c>
      <c r="O51">
        <f>'TEA Revised Non EYZ'!O51</f>
        <v>-5.3700533603207003E-15</v>
      </c>
      <c r="P51">
        <f>'TEA Revised Non EYZ'!P51</f>
        <v>-3.4304834363799101E-19</v>
      </c>
      <c r="Q51">
        <f>'TEA Revised Non EYZ'!Q51</f>
        <v>0.111082169753281</v>
      </c>
      <c r="R51">
        <f>'TEA Revised Non EYZ'!R51</f>
        <v>98.496293050653193</v>
      </c>
      <c r="S51">
        <f>'TEA Revised Non EYZ'!S51</f>
        <v>500</v>
      </c>
      <c r="T51">
        <f>'TEA Revised Non EYZ'!T51</f>
        <v>95</v>
      </c>
      <c r="U51">
        <f>'TEA Revised Non EYZ'!U51</f>
        <v>1</v>
      </c>
      <c r="V51">
        <f>'TEA Revised Non EYZ'!V51</f>
        <v>0.1</v>
      </c>
      <c r="W51">
        <f>'TEA Revised Non EYZ'!W51</f>
        <v>90.023448607553206</v>
      </c>
      <c r="X51" t="str">
        <f>'TEA Revised Non EYZ'!X51</f>
        <v>ddFc</v>
      </c>
      <c r="Y51">
        <f>'TEA Revised Non EYZ'!Y51</f>
        <v>1</v>
      </c>
      <c r="Z51">
        <f>'TEA Revised Non EYZ'!Z51</f>
        <v>0.28318429382522198</v>
      </c>
      <c r="AA51">
        <f>'TEA Revised Non EYZ'!AA51</f>
        <v>0.56945642916197003</v>
      </c>
      <c r="AB51">
        <f>'TEA Revised Non EYZ'!AB51</f>
        <v>3.7698628972227502E-3</v>
      </c>
      <c r="AC51">
        <f>'TEA Revised Non EYZ'!AC51</f>
        <v>1822.2107908876901</v>
      </c>
      <c r="AD51">
        <f>'TEA Revised Non EYZ'!AD51</f>
        <v>2662.6059073104898</v>
      </c>
      <c r="AE51">
        <f>'TEA Revised Non EYZ'!AE51</f>
        <v>2401.5030938442701</v>
      </c>
      <c r="AF51">
        <f>'TEA Revised Non EYZ'!AF51</f>
        <v>13</v>
      </c>
      <c r="AG51">
        <f>'TEA Revised Non EYZ'!AG51</f>
        <v>1.64967327652189E-3</v>
      </c>
      <c r="AH51">
        <f>'TEA Revised Non EYZ'!AH51</f>
        <v>1.66887089455438E-3</v>
      </c>
      <c r="AI51">
        <f>'TEA Revised Non EYZ'!AI51</f>
        <v>5.5766973522943398E-6</v>
      </c>
      <c r="AJ51">
        <f>'TEA Revised Non EYZ'!AJ51</f>
        <v>0</v>
      </c>
      <c r="AK51">
        <f>'TEA Revised Non EYZ'!AK51</f>
        <v>0</v>
      </c>
      <c r="AL51">
        <f>'TEA Revised Non EYZ'!AL51</f>
        <v>0</v>
      </c>
      <c r="AM51">
        <f>'TEA Revised Non EYZ'!AM51</f>
        <v>1.61272186550998E-3</v>
      </c>
      <c r="AN51">
        <f>'TEA Revised Non EYZ'!AN51</f>
        <v>7.93400817500593E-5</v>
      </c>
      <c r="AO51">
        <f>'TEA Revised Non EYZ'!AO51</f>
        <v>5.54001643467726E-6</v>
      </c>
      <c r="AP51">
        <f>'TEA Revised Non EYZ'!AP51</f>
        <v>1.7331730611392299E-3</v>
      </c>
      <c r="AQ51">
        <f>'TEA Revised Non EYZ'!AQ51</f>
        <v>7.4555528710795793E-2</v>
      </c>
      <c r="AR51">
        <f>'TEA Revised Non EYZ'!AR51</f>
        <v>1.7204858090881901E-6</v>
      </c>
      <c r="AS51">
        <f>'TEA Revised Non EYZ'!AS51</f>
        <v>5.6920614055488896E-19</v>
      </c>
      <c r="AT51">
        <f>'TEA Revised Non EYZ'!AT51</f>
        <v>-1.9298798670241899E-17</v>
      </c>
      <c r="AU51">
        <f>'TEA Revised Non EYZ'!AU51</f>
        <v>2.0514079191314999E-22</v>
      </c>
      <c r="AV51">
        <f>'TEA Revised Non EYZ'!AV51</f>
        <v>0.19691924837979699</v>
      </c>
      <c r="AW51">
        <f>'TEA Revised Non EYZ'!AW51</f>
        <v>99.342246578936397</v>
      </c>
      <c r="AX51">
        <f>'TEA Revised Non EYZ'!AX51</f>
        <v>500</v>
      </c>
      <c r="AY51">
        <f>'TEA Revised Non EYZ'!AY51</f>
        <v>95</v>
      </c>
      <c r="AZ51">
        <f>'TEA Revised Non EYZ'!AZ51</f>
        <v>0.92363221637625403</v>
      </c>
      <c r="BA51">
        <f>'TEA Revised Non EYZ'!BA51</f>
        <v>0.1</v>
      </c>
      <c r="BB51">
        <f>'TEA Revised Non EYZ'!BB51</f>
        <v>46.904110389191104</v>
      </c>
      <c r="BC51" t="str">
        <f>'TEA Revised Non EYZ'!BC51</f>
        <v>coeFc</v>
      </c>
      <c r="BD51">
        <f>'TEA Revised Non EYZ'!BD51</f>
        <v>1</v>
      </c>
      <c r="BE51">
        <f>'TEA Revised Non EYZ'!BE51</f>
        <v>1.8775014999999999E-2</v>
      </c>
      <c r="BF51">
        <f>'TEA Revised Non EYZ'!BF51</f>
        <v>0.10492961100000001</v>
      </c>
      <c r="BG51">
        <f>'TEA Revised Non EYZ'!BG51</f>
        <v>1.814625E-3</v>
      </c>
      <c r="BH51">
        <f>'TEA Revised Non EYZ'!BH51</f>
        <v>285.1951444</v>
      </c>
      <c r="BI51">
        <f>'TEA Revised Non EYZ'!BI51</f>
        <v>2169.8944889999998</v>
      </c>
      <c r="BJ51">
        <f>'TEA Revised Non EYZ'!BJ51</f>
        <v>866.49409060000005</v>
      </c>
      <c r="BK51">
        <f>'TEA Revised Non EYZ'!BK51</f>
        <v>100</v>
      </c>
      <c r="BL51">
        <f>'TEA Revised Non EYZ'!BL51</f>
        <v>11.1082169753281</v>
      </c>
      <c r="BM51">
        <f>'TEA Revised Non EYZ'!BM51</f>
        <v>92.363221637625401</v>
      </c>
      <c r="BN51">
        <f>'TEA Revised Non EYZ'!BN51</f>
        <v>19.691924837979698</v>
      </c>
      <c r="BO51">
        <f>'TEA Revised Non EYZ'!BO51</f>
        <v>199.94790555590581</v>
      </c>
      <c r="BP51">
        <f>'TEA Revised Non EYZ'!BP51</f>
        <v>590.75774513939098</v>
      </c>
      <c r="BQ51">
        <f>'TEA Revised Non EYZ'!BQ51</f>
        <v>19.994790555590583</v>
      </c>
      <c r="BR51">
        <f>'TEA Revised Non EYZ'!BR51</f>
        <v>59.075774513939102</v>
      </c>
      <c r="BS51">
        <f>'eLLE Bals'!CF51</f>
        <v>6.6649301851968596</v>
      </c>
      <c r="BT51">
        <f>'eLLE Bals'!CG51</f>
        <v>11.815154902787819</v>
      </c>
      <c r="BU51">
        <f>BM51</f>
        <v>92.363221637625401</v>
      </c>
      <c r="BV51">
        <f>BU51*(AM51*2+AN51*2+AO51*3)</f>
        <v>0.31410366661623862</v>
      </c>
      <c r="BW51">
        <f>BN51*BA51*(AP51*2+AQ51*2+AR51*3)</f>
        <v>0.30046444015916984</v>
      </c>
      <c r="BX51">
        <f>BV51/(2*V51*BL51+BV51)</f>
        <v>0.12387026741062508</v>
      </c>
      <c r="BY51">
        <f>BU51*BX51</f>
        <v>11.441056963159491</v>
      </c>
      <c r="BZ51">
        <f>BW51/(2*BN51*BA51+BW51)</f>
        <v>7.0883490130472807E-2</v>
      </c>
      <c r="CA51">
        <f>2*BN51*BA51/0.04</f>
        <v>98.459624189898491</v>
      </c>
      <c r="CB51">
        <f>(BS51+BL51)*2</f>
        <v>35.54629432104992</v>
      </c>
      <c r="CC51">
        <f>(BU51+BL51)*2</f>
        <v>206.94287722590701</v>
      </c>
      <c r="CD51">
        <f>(BT51+BN51)*2</f>
        <v>63.014159481535032</v>
      </c>
      <c r="CE51">
        <f>(CA51+BN51)*2</f>
        <v>236.30309805575638</v>
      </c>
      <c r="CF51">
        <f>'TEA Revised Non EYZ'!CB51</f>
        <v>2639.3123533379567</v>
      </c>
      <c r="CG51">
        <f>'TEA Revised Non EYZ'!CC51</f>
        <v>7798.0022358399619</v>
      </c>
      <c r="CH51">
        <f>'TEA Revised Non EYZ'!CD51</f>
        <v>3188.7782491883527</v>
      </c>
      <c r="CI51">
        <f>'TEA Revised Non EYZ'!CE51</f>
        <v>60146.684318225351</v>
      </c>
      <c r="CJ51">
        <f>BL51*V51</f>
        <v>1.11082169753281</v>
      </c>
      <c r="CK51">
        <f>CJ51/2*1.2</f>
        <v>0.66649301851968601</v>
      </c>
      <c r="CL51">
        <f>'eLLE Bals'!CB51*'Oxidant Feed Composition'!$N$20</f>
        <v>3.7027389917760348E-2</v>
      </c>
      <c r="CM51">
        <f>'eLLE Bals'!CB51*'Oxidant Feed Composition'!$N$21</f>
        <v>1.8513694958880169</v>
      </c>
      <c r="CN51">
        <f>'eLLE Bals'!CB51*'Oxidant Feed Composition'!$N$22</f>
        <v>0.55541084876640501</v>
      </c>
      <c r="CO51">
        <f>CN51/CK51</f>
        <v>0.83333333333333337</v>
      </c>
      <c r="CP51">
        <f>CO51</f>
        <v>0.83333333333333337</v>
      </c>
      <c r="CQ51">
        <f>CL51/CO51</f>
        <v>4.4432867901312414E-2</v>
      </c>
      <c r="CR51">
        <f>CM51/CO51</f>
        <v>2.22164339506562</v>
      </c>
      <c r="CS51">
        <f>BN51*BA51</f>
        <v>1.96919248379797</v>
      </c>
      <c r="CT51">
        <f>CS51/2*1.2</f>
        <v>1.1815154902787819</v>
      </c>
      <c r="CU51">
        <f>'eLLE Bals'!CC51*'Oxidant Feed Composition'!$N$20</f>
        <v>6.5639749459932353E-2</v>
      </c>
      <c r="CV51">
        <f>'eLLE Bals'!CC51*'Oxidant Feed Composition'!$N$21</f>
        <v>3.2819874729966165</v>
      </c>
      <c r="CW51">
        <f>'eLLE Bals'!CC51*'Oxidant Feed Composition'!$N$22</f>
        <v>0.98459624189898498</v>
      </c>
      <c r="CX51">
        <f>CU51/CP51</f>
        <v>7.8767699351918824E-2</v>
      </c>
      <c r="CY51">
        <f>CV51/CP51</f>
        <v>3.9383849675959395</v>
      </c>
      <c r="CZ51">
        <f>CJ51</f>
        <v>1.11082169753281</v>
      </c>
      <c r="DA51">
        <f>'eLLE Bals'!BQ51</f>
        <v>2.22164339506562</v>
      </c>
      <c r="DB51">
        <f>'eLLE Bals'!BU51</f>
        <v>5.6351566034982188</v>
      </c>
      <c r="DC51">
        <f>CS51</f>
        <v>1.96919248379797</v>
      </c>
      <c r="DD51">
        <f>'eLLE Bals'!BX51</f>
        <v>3.9383849675959399</v>
      </c>
      <c r="DE51">
        <f>'eLLE Bals'!CA51</f>
        <v>21.873115629228174</v>
      </c>
      <c r="DF51">
        <f>2*2*(CJ51*'Reagent cost'!$C$36*122.44/1000*0.5+CK51*'Oxidant Feed Composition'!$N$26+CQ51*'Reagent cost'!$C$34+CR51*'Reagent cost'!$C$35)</f>
        <v>74.618654493940213</v>
      </c>
      <c r="DG51">
        <f>2*2*(CS51*'Reagent cost'!$C$36*122.44/1000*0.5+CT51*'Oxidant Feed Composition'!$N$26+CX51*'Reagent cost'!$C$34+CY51*'Reagent cost'!$C$35)</f>
        <v>132.27909925323061</v>
      </c>
      <c r="DH51">
        <f>(AF51+3)*2*(CZ51*'Reagent cost'!$C$38*0.5+DA51*'Reagent cost'!$C$39+DB51*'Reagent cost'!$C$36*122.44/1000)</f>
        <v>1642.5998815229525</v>
      </c>
      <c r="DI51">
        <f>3*2*(DC51*'Reagent cost'!$C$38*0.5+DD51*'Reagent cost'!$C$39+DE51*'Reagent cost'!$C$36*122.44/1000)</f>
        <v>1162.4982203297823</v>
      </c>
      <c r="DJ51">
        <f>7963.6*(CB51/1000)^0.6*1.7*('CAPEX+OPEX'!$G$116/'CAPEX+OPEX'!$G$115)</f>
        <v>2156.3414312027717</v>
      </c>
      <c r="DK51">
        <f>7963.6*(CC51/1000)^0.6*1.7*('CAPEX+OPEX'!$G$116/'CAPEX+OPEX'!$G$115)</f>
        <v>6205.1347590783025</v>
      </c>
      <c r="DL51">
        <f>7963.6*(CD51/1000)^0.6*1.7*('CAPEX+OPEX'!$G$116/'CAPEX+OPEX'!$G$115)</f>
        <v>3040.2116335009732</v>
      </c>
      <c r="DM51">
        <f>7963.6*(CE51/1000)^0.6*1.7*('CAPEX+OPEX'!$G$116/'CAPEX+OPEX'!$G$115)</f>
        <v>6719.2774959258959</v>
      </c>
      <c r="DN51">
        <f>'TEA Revised Non EYZ'!CM51</f>
        <v>39625.826528698344</v>
      </c>
      <c r="DO51">
        <f>'TEA Revised Non EYZ'!CN51</f>
        <v>4586243.4239371875</v>
      </c>
      <c r="DP51">
        <f>'TEA Revised Non EYZ'!CO51</f>
        <v>11794834.586807497</v>
      </c>
      <c r="DQ51">
        <f>'TEA Revised Non EYZ'!CP51</f>
        <v>2275209.1661185985</v>
      </c>
      <c r="DR51">
        <f>'TEA Revised Non EYZ'!CQ51</f>
        <v>14083914.336508472</v>
      </c>
      <c r="DS51">
        <f>'TEA Revised Non EYZ'!CR51</f>
        <v>1662824.8986326549</v>
      </c>
      <c r="DT51">
        <f>'TEA Revised Non EYZ'!CS51</f>
        <v>700033.84449786716</v>
      </c>
      <c r="DU51">
        <f>'TEA Revised Non EYZ'!CT51</f>
        <v>1800336.9288957189</v>
      </c>
      <c r="DV51">
        <f>'TEA Revised Non EYZ'!CU51</f>
        <v>347282.79168127343</v>
      </c>
      <c r="DW51">
        <f>'TEA Revised Non EYZ'!CV51</f>
        <v>2149736.8951473436</v>
      </c>
      <c r="DX51">
        <f>'TEA Revised Non EYZ'!CW51</f>
        <v>253809.83932102245</v>
      </c>
      <c r="DY51">
        <f>'TEA Revised Non EYZ'!CX51</f>
        <v>5251200.2995432261</v>
      </c>
      <c r="DZ51">
        <f>'TEA Revised Non EYZ'!CY51</f>
        <v>924913.67140026169</v>
      </c>
      <c r="EA51">
        <f>'TEA Revised Non EYZ'!CZ51</f>
        <v>2378679.619207304</v>
      </c>
      <c r="EB51">
        <f>'TEA Revised Non EYZ'!DA51</f>
        <v>458844.38930014853</v>
      </c>
      <c r="EC51">
        <f>'TEA Revised Non EYZ'!DB51</f>
        <v>2840321.3071241546</v>
      </c>
      <c r="ED51">
        <f>'TEA Revised Non EYZ'!DC51</f>
        <v>335344.05824664765</v>
      </c>
      <c r="EE51">
        <f>'TEA Revised Non EYZ'!DD51</f>
        <v>6938103.0452785166</v>
      </c>
      <c r="EF51">
        <v>0.7</v>
      </c>
      <c r="EG51">
        <v>100</v>
      </c>
      <c r="EH51">
        <f>96485*BL51*V51/EF51/EG51/60</f>
        <v>25.518483687250757</v>
      </c>
      <c r="EI51">
        <f>96485*BN51*BA51/EF51/EG51/60</f>
        <v>45.237508761725515</v>
      </c>
      <c r="EJ51">
        <f>EH51*('CAPEX+OPEX'!$O$25+'CAPEX+OPEX'!$O$26)</f>
        <v>813325.1120800561</v>
      </c>
      <c r="EK51">
        <f>EI51*('CAPEX+OPEX'!$O$25+'CAPEX+OPEX'!$O$26)</f>
        <v>1441809.8792537155</v>
      </c>
      <c r="EL51">
        <f>EJ51*1.12/0.6*'CAPEX+OPEX'!$G$116/'CAPEX+OPEX'!$G$115</f>
        <v>1790661.6086879191</v>
      </c>
      <c r="EM51">
        <f>EK51*1.12/0.6*'CAPEX+OPEX'!$G$116/'CAPEX+OPEX'!$G$115</f>
        <v>3174368.4775743959</v>
      </c>
      <c r="EN51">
        <f>EL51+EM51+DY51+EE51+1.15*(SUM(DF51:DM51)+SUM(CF51:CI51))</f>
        <v>17263475.030165743</v>
      </c>
      <c r="EO51">
        <f>EN51/15</f>
        <v>1150898.3353443828</v>
      </c>
      <c r="EP51">
        <f>('eLLE Bals'!CB51+'eLLE Bals'!CC51)*'Oxidant Feed Composition'!$N$29*60*7200</f>
        <v>7682655.5493045356</v>
      </c>
      <c r="EQ51" s="53">
        <f>('eLLE Bals'!BR51+'eLLE Bals'!BY51)*'Reagent cost'!$C$38*60*7200*0.5</f>
        <v>252889.53763925334</v>
      </c>
      <c r="ER51">
        <f>'TEA Revised Non EYZ'!DI51</f>
        <v>504921.59999999998</v>
      </c>
      <c r="ES51">
        <f>'TEA Revised Non EYZ'!DJ51</f>
        <v>104.37314589177919</v>
      </c>
      <c r="ET51">
        <f>'TEA Revised Non EYZ'!DK51</f>
        <v>1266.7092513482742</v>
      </c>
      <c r="EU51">
        <f>1.2*SUM(EP51:ET51)</f>
        <v>10130205.323209235</v>
      </c>
      <c r="EV51">
        <f>'TEA Revised Non EYZ'!DM51</f>
        <v>0.70639694042110623</v>
      </c>
      <c r="EW51">
        <f>(BS51*CO51+BT51*CP51)/1000*('Oxidant Feed Composition'!$B$11*'Oxidant Feed Composition'!$O$20+'Oxidant Feed Composition'!$D$11*'Oxidant Feed Composition'!$O$21+'Oxidant Feed Composition'!$F$11*'Oxidant Feed Composition'!$O$27-'Oxidant Feed Composition'!$J$15*18.015)</f>
        <v>1.7984901968009581</v>
      </c>
      <c r="EX51">
        <f>(CZ51*BX51+DC51*BZ51)*368.34/1000</f>
        <v>0.10209685569466978</v>
      </c>
      <c r="EY51">
        <f>'TEA Revised Non EYZ'!DP51</f>
        <v>4.999938342565946E-2</v>
      </c>
      <c r="EZ51">
        <f>SUM(EV51:EX51)-EY51</f>
        <v>2.5569846094910749</v>
      </c>
      <c r="FA51">
        <f>EZ51*0.33*60*7200</f>
        <v>364523.72592904768</v>
      </c>
      <c r="FB51">
        <f>'TEA Revised Non EYZ'!DS51</f>
        <v>1.2</v>
      </c>
      <c r="FC51">
        <v>0.5</v>
      </c>
      <c r="FD51">
        <f>'TEA Revised Non EYZ'!DT51</f>
        <v>1405.9611356884682</v>
      </c>
      <c r="FE51">
        <f>'TEA Revised Non EYZ'!DU51</f>
        <v>705.92639842104836</v>
      </c>
      <c r="FF51">
        <f>'TEA Revised Non EYZ'!DV51</f>
        <v>0.7</v>
      </c>
      <c r="FG51">
        <f>'TEA Revised Non EYZ'!DW51</f>
        <v>38528.386667103026</v>
      </c>
      <c r="FH51">
        <f>'TEA Revised Non EYZ'!DX51</f>
        <v>33220.879177835675</v>
      </c>
      <c r="FI51">
        <f>'TEA Revised Non EYZ'!DY51</f>
        <v>14065.291587390104</v>
      </c>
      <c r="FJ51">
        <f>'TEA Revised Non EYZ'!DZ51</f>
        <v>7450.7773575794354</v>
      </c>
      <c r="FK51">
        <f>'TEA Revised Non EYZ'!EA51</f>
        <v>7501.4888466080574</v>
      </c>
      <c r="FL51">
        <f>'TEA Revised Non EYZ'!EB51</f>
        <v>850.32529486438557</v>
      </c>
      <c r="FM51">
        <f>'TEA Revised Non EYZ'!EC51</f>
        <v>51430.292217116497</v>
      </c>
      <c r="FN51">
        <f>'TEA Revised Non EYZ'!ED51</f>
        <v>54314.573878517935</v>
      </c>
      <c r="FO51">
        <f>'TEA Revised Non EYZ'!EE51</f>
        <v>22996.089746953152</v>
      </c>
      <c r="FP51">
        <f>'TEA Revised Non EYZ'!EF51</f>
        <v>12188.446280303153</v>
      </c>
      <c r="FQ51">
        <f>'TEA Revised Non EYZ'!EG51</f>
        <v>12264.581198375015</v>
      </c>
      <c r="FR51">
        <f>'TEA Revised Non EYZ'!EH51</f>
        <v>426.94428576505004</v>
      </c>
      <c r="FS51">
        <f>'TEA Revised Non EYZ'!EI51</f>
        <v>255238.07653841146</v>
      </c>
      <c r="FT51">
        <f>EG51*EH51</f>
        <v>2551.8483687250759</v>
      </c>
      <c r="FU51">
        <f>EG51*EI51</f>
        <v>4523.7508761725512</v>
      </c>
      <c r="FV51">
        <f>FC51*(FT51+FU51)/(3.6*10^6)*3600*7200*0.07</f>
        <v>1783.0510097142021</v>
      </c>
      <c r="FW51">
        <f>('CAPEX+OPEX'!$C$39/7/100+0.03)*EL51</f>
        <v>92091.168446807264</v>
      </c>
      <c r="FX51">
        <f>('CAPEX+OPEX'!$C$39/7/100+0.03)*EM51</f>
        <v>163253.23598954035</v>
      </c>
      <c r="FY51">
        <f>SUM(FV51:FX51)</f>
        <v>257127.45544606179</v>
      </c>
      <c r="FZ51">
        <f>FY51+FA51+FS51+EU51</f>
        <v>11007094.581122756</v>
      </c>
      <c r="GA51">
        <f>FZ51+EO51</f>
        <v>12157992.916467139</v>
      </c>
      <c r="GB51">
        <f>GA51/(BK51*60*7200)</f>
        <v>0.28143502121451713</v>
      </c>
      <c r="GC51">
        <f>'TEA Revised Non EYZ'!EM51/'TEA Revised Non EYZ'!EK51*GA51</f>
        <v>941.52238971985003</v>
      </c>
      <c r="GD51">
        <f>'TEA Revised Non EYZ'!EN51/'TEA Revised Non EYZ'!EK51*GA51</f>
        <v>1727.6417047230555</v>
      </c>
    </row>
    <row r="52" spans="1:186">
      <c r="A52">
        <f>'TEA Revised Non EYZ'!A52</f>
        <v>8</v>
      </c>
      <c r="B52">
        <f>'TEA Revised Non EYZ'!B52</f>
        <v>1.54143585092054E-3</v>
      </c>
      <c r="C52">
        <f>'TEA Revised Non EYZ'!C52</f>
        <v>1.54143585092054E-3</v>
      </c>
      <c r="D52">
        <f>'TEA Revised Non EYZ'!D52</f>
        <v>3.4254130020456501E-4</v>
      </c>
      <c r="E52">
        <f>'TEA Revised Non EYZ'!E52</f>
        <v>0</v>
      </c>
      <c r="F52">
        <f>'TEA Revised Non EYZ'!F52</f>
        <v>0</v>
      </c>
      <c r="G52">
        <f>'TEA Revised Non EYZ'!G52</f>
        <v>0</v>
      </c>
      <c r="H52">
        <f>'TEA Revised Non EYZ'!H52</f>
        <v>1.7762434284205799E-5</v>
      </c>
      <c r="I52">
        <f>'TEA Revised Non EYZ'!I52</f>
        <v>4.4591984978445998E-9</v>
      </c>
      <c r="J52">
        <f>'TEA Revised Non EYZ'!J52</f>
        <v>3.37570976171142E-4</v>
      </c>
      <c r="K52">
        <f>'TEA Revised Non EYZ'!K52</f>
        <v>0.13846015972746001</v>
      </c>
      <c r="L52">
        <f>'TEA Revised Non EYZ'!L52</f>
        <v>0.14007387303476199</v>
      </c>
      <c r="M52">
        <f>'TEA Revised Non EYZ'!M52</f>
        <v>4.5166625081916902E-4</v>
      </c>
      <c r="N52">
        <f>'TEA Revised Non EYZ'!N52</f>
        <v>-2.6107588313450902E-16</v>
      </c>
      <c r="O52">
        <f>'TEA Revised Non EYZ'!O52</f>
        <v>-1.18524981496115E-14</v>
      </c>
      <c r="P52">
        <f>'TEA Revised Non EYZ'!P52</f>
        <v>-2.5241581828178102E-19</v>
      </c>
      <c r="Q52">
        <f>'TEA Revised Non EYZ'!Q52</f>
        <v>0.110044175857931</v>
      </c>
      <c r="R52">
        <f>'TEA Revised Non EYZ'!R52</f>
        <v>98.548985471108097</v>
      </c>
      <c r="S52">
        <f>'TEA Revised Non EYZ'!S52</f>
        <v>500</v>
      </c>
      <c r="T52">
        <f>'TEA Revised Non EYZ'!T52</f>
        <v>95</v>
      </c>
      <c r="U52">
        <f>'TEA Revised Non EYZ'!U52</f>
        <v>1</v>
      </c>
      <c r="V52">
        <f>'TEA Revised Non EYZ'!V52</f>
        <v>0.1</v>
      </c>
      <c r="W52">
        <f>'TEA Revised Non EYZ'!W52</f>
        <v>90.872596591664205</v>
      </c>
      <c r="X52" t="str">
        <f>'TEA Revised Non EYZ'!X52</f>
        <v>ddFc</v>
      </c>
      <c r="Y52">
        <f>'TEA Revised Non EYZ'!Y52</f>
        <v>1</v>
      </c>
      <c r="Z52">
        <f>'TEA Revised Non EYZ'!Z52</f>
        <v>0.28318429382522198</v>
      </c>
      <c r="AA52">
        <f>'TEA Revised Non EYZ'!AA52</f>
        <v>0.56945642916197003</v>
      </c>
      <c r="AB52">
        <f>'TEA Revised Non EYZ'!AB52</f>
        <v>3.7698628972227502E-3</v>
      </c>
      <c r="AC52">
        <f>'TEA Revised Non EYZ'!AC52</f>
        <v>1822.2107908876901</v>
      </c>
      <c r="AD52">
        <f>'TEA Revised Non EYZ'!AD52</f>
        <v>2662.6059073104898</v>
      </c>
      <c r="AE52">
        <f>'TEA Revised Non EYZ'!AE52</f>
        <v>2401.5030938442701</v>
      </c>
      <c r="AF52">
        <f>'TEA Revised Non EYZ'!AF52</f>
        <v>4</v>
      </c>
      <c r="AG52">
        <f>'TEA Revised Non EYZ'!AG52</f>
        <v>1.6497294784823999E-3</v>
      </c>
      <c r="AH52">
        <f>'TEA Revised Non EYZ'!AH52</f>
        <v>1.66895660069658E-3</v>
      </c>
      <c r="AI52">
        <f>'TEA Revised Non EYZ'!AI52</f>
        <v>5.38152729188446E-6</v>
      </c>
      <c r="AJ52">
        <f>'TEA Revised Non EYZ'!AJ52</f>
        <v>0</v>
      </c>
      <c r="AK52">
        <f>'TEA Revised Non EYZ'!AK52</f>
        <v>0</v>
      </c>
      <c r="AL52">
        <f>'TEA Revised Non EYZ'!AL52</f>
        <v>0</v>
      </c>
      <c r="AM52">
        <f>'TEA Revised Non EYZ'!AM52</f>
        <v>1.6048042794156499E-3</v>
      </c>
      <c r="AN52">
        <f>'TEA Revised Non EYZ'!AN52</f>
        <v>7.91245725580603E-5</v>
      </c>
      <c r="AO52">
        <f>'TEA Revised Non EYZ'!AO52</f>
        <v>5.33881057128359E-6</v>
      </c>
      <c r="AP52">
        <f>'TEA Revised Non EYZ'!AP52</f>
        <v>1.9876957232607701E-3</v>
      </c>
      <c r="AQ52">
        <f>'TEA Revised Non EYZ'!AQ52</f>
        <v>7.0341420588359904E-2</v>
      </c>
      <c r="AR52">
        <f>'TEA Revised Non EYZ'!AR52</f>
        <v>1.8899825621476501E-6</v>
      </c>
      <c r="AS52">
        <f>'TEA Revised Non EYZ'!AS52</f>
        <v>-9.5823143256984394E-15</v>
      </c>
      <c r="AT52">
        <f>'TEA Revised Non EYZ'!AT52</f>
        <v>-1.23568690002517E-13</v>
      </c>
      <c r="AU52">
        <f>'TEA Revised Non EYZ'!AU52</f>
        <v>-3.11350782564959E-18</v>
      </c>
      <c r="AV52">
        <f>'TEA Revised Non EYZ'!AV52</f>
        <v>0.208746528965852</v>
      </c>
      <c r="AW52">
        <f>'TEA Revised Non EYZ'!AW52</f>
        <v>99.206234247565902</v>
      </c>
      <c r="AX52">
        <f>'TEA Revised Non EYZ'!AX52</f>
        <v>499.99999999999898</v>
      </c>
      <c r="AY52">
        <f>'TEA Revised Non EYZ'!AY52</f>
        <v>95</v>
      </c>
      <c r="AZ52">
        <f>'TEA Revised Non EYZ'!AZ52</f>
        <v>0.92358985913147196</v>
      </c>
      <c r="BA52">
        <f>'TEA Revised Non EYZ'!BA52</f>
        <v>0.1</v>
      </c>
      <c r="BB52">
        <f>'TEA Revised Non EYZ'!BB52</f>
        <v>44.244561272803402</v>
      </c>
      <c r="BC52" t="str">
        <f>'TEA Revised Non EYZ'!BC52</f>
        <v>coeFc</v>
      </c>
      <c r="BD52">
        <f>'TEA Revised Non EYZ'!BD52</f>
        <v>1</v>
      </c>
      <c r="BE52">
        <f>'TEA Revised Non EYZ'!BE52</f>
        <v>1.8775014999999999E-2</v>
      </c>
      <c r="BF52">
        <f>'TEA Revised Non EYZ'!BF52</f>
        <v>0.10492961100000001</v>
      </c>
      <c r="BG52">
        <f>'TEA Revised Non EYZ'!BG52</f>
        <v>1.814625E-3</v>
      </c>
      <c r="BH52">
        <f>'TEA Revised Non EYZ'!BH52</f>
        <v>285.1951444</v>
      </c>
      <c r="BI52">
        <f>'TEA Revised Non EYZ'!BI52</f>
        <v>2169.8944889999998</v>
      </c>
      <c r="BJ52">
        <f>'TEA Revised Non EYZ'!BJ52</f>
        <v>866.49409060000005</v>
      </c>
      <c r="BK52">
        <f>'TEA Revised Non EYZ'!BK52</f>
        <v>100</v>
      </c>
      <c r="BL52">
        <f>'TEA Revised Non EYZ'!BL52</f>
        <v>11.004417585793099</v>
      </c>
      <c r="BM52">
        <f>'TEA Revised Non EYZ'!BM52</f>
        <v>92.358985913147194</v>
      </c>
      <c r="BN52">
        <f>'TEA Revised Non EYZ'!BN52</f>
        <v>20.8746528965852</v>
      </c>
      <c r="BO52">
        <f>'TEA Revised Non EYZ'!BO52</f>
        <v>220.08835171586199</v>
      </c>
      <c r="BP52">
        <f>'TEA Revised Non EYZ'!BP52</f>
        <v>250.49583475902239</v>
      </c>
      <c r="BQ52">
        <f>'TEA Revised Non EYZ'!BQ52</f>
        <v>22.008835171586199</v>
      </c>
      <c r="BR52">
        <f>'TEA Revised Non EYZ'!BR52</f>
        <v>25.049583475902239</v>
      </c>
      <c r="BS52">
        <f>'eLLE Bals'!CF52</f>
        <v>6.6026505514758593</v>
      </c>
      <c r="BT52">
        <f>'eLLE Bals'!CG52</f>
        <v>12.524791737951119</v>
      </c>
      <c r="BU52">
        <f>BM52</f>
        <v>92.358985913147194</v>
      </c>
      <c r="BV52">
        <f>BU52*(AM52*2+AN52*2+AO52*3)</f>
        <v>0.31253118362740245</v>
      </c>
      <c r="BW52">
        <f>BN52*BA52*(AP52*2+AQ52*2+AR52*3)</f>
        <v>0.30198087528335371</v>
      </c>
      <c r="BX52">
        <f>BV52/(2*V52*BL52+BV52)</f>
        <v>0.12434525171260608</v>
      </c>
      <c r="BY52">
        <f>BU52*BX52</f>
        <v>11.484401351291327</v>
      </c>
      <c r="BZ52">
        <f>BW52/(2*BN52*BA52+BW52)</f>
        <v>6.7452947940938965E-2</v>
      </c>
      <c r="CA52">
        <f>2*BN52*BA52/0.04</f>
        <v>104.373264482926</v>
      </c>
      <c r="CB52">
        <f>(BS52+BL52)*2</f>
        <v>35.214136274537921</v>
      </c>
      <c r="CC52">
        <f>(BU52+BL52)*2</f>
        <v>206.7268069978806</v>
      </c>
      <c r="CD52">
        <f>(BT52+BN52)*2</f>
        <v>66.798889269072646</v>
      </c>
      <c r="CE52">
        <f>(CA52+BN52)*2</f>
        <v>250.49583475902242</v>
      </c>
      <c r="CF52">
        <f>'TEA Revised Non EYZ'!CB52</f>
        <v>2905.1662426493785</v>
      </c>
      <c r="CG52">
        <f>'TEA Revised Non EYZ'!CC52</f>
        <v>3306.5450188190953</v>
      </c>
      <c r="CH52">
        <f>'TEA Revised Non EYZ'!CD52</f>
        <v>3509.9789962792502</v>
      </c>
      <c r="CI52">
        <f>'TEA Revised Non EYZ'!CE52</f>
        <v>25503.675610255905</v>
      </c>
      <c r="CJ52">
        <f>BL52*V52</f>
        <v>1.10044175857931</v>
      </c>
      <c r="CK52">
        <f>CJ52/2*1.2</f>
        <v>0.66026505514758604</v>
      </c>
      <c r="CL52">
        <f>'eLLE Bals'!CB52*'Oxidant Feed Composition'!$N$20</f>
        <v>3.668139195264368E-2</v>
      </c>
      <c r="CM52">
        <f>'eLLE Bals'!CB52*'Oxidant Feed Composition'!$N$21</f>
        <v>1.8340695976321835</v>
      </c>
      <c r="CN52">
        <f>'eLLE Bals'!CB52*'Oxidant Feed Composition'!$N$22</f>
        <v>0.55022087928965502</v>
      </c>
      <c r="CO52">
        <f>CN52/CK52</f>
        <v>0.83333333333333326</v>
      </c>
      <c r="CP52">
        <f>CO52</f>
        <v>0.83333333333333326</v>
      </c>
      <c r="CQ52">
        <f>CL52/CO52</f>
        <v>4.4017670343172423E-2</v>
      </c>
      <c r="CR52">
        <f>CM52/CO52</f>
        <v>2.2008835171586205</v>
      </c>
      <c r="CS52">
        <f>BN52*BA52</f>
        <v>2.0874652896585202</v>
      </c>
      <c r="CT52">
        <f>CS52/2*1.2</f>
        <v>1.252479173795112</v>
      </c>
      <c r="CU52">
        <f>'eLLE Bals'!CC52*'Oxidant Feed Composition'!$N$20</f>
        <v>6.9582176321950698E-2</v>
      </c>
      <c r="CV52">
        <f>'eLLE Bals'!CC52*'Oxidant Feed Composition'!$N$21</f>
        <v>3.4791088160975336</v>
      </c>
      <c r="CW52">
        <f>'eLLE Bals'!CC52*'Oxidant Feed Composition'!$N$22</f>
        <v>1.0437326448292601</v>
      </c>
      <c r="CX52">
        <f>CU52/CP52</f>
        <v>8.3498611586340851E-2</v>
      </c>
      <c r="CY52">
        <f>CV52/CP52</f>
        <v>4.1749305793170404</v>
      </c>
      <c r="CZ52">
        <f>CJ52</f>
        <v>1.10044175857931</v>
      </c>
      <c r="DA52">
        <f>'eLLE Bals'!BQ52</f>
        <v>2.2008835171586201</v>
      </c>
      <c r="DB52">
        <f>'eLLE Bals'!BU52</f>
        <v>5.5485643939218185</v>
      </c>
      <c r="DC52">
        <f>CS52</f>
        <v>2.0874652896585202</v>
      </c>
      <c r="DD52">
        <f>'eLLE Bals'!BX52</f>
        <v>4.1749305793170404</v>
      </c>
      <c r="DE52">
        <f>'eLLE Bals'!CA52</f>
        <v>24.684587967613481</v>
      </c>
      <c r="DF52">
        <f>2*2*(CJ52*'Reagent cost'!$C$36*122.44/1000*0.5+CK52*'Oxidant Feed Composition'!$N$26+CQ52*'Reagent cost'!$C$34+CR52*'Reagent cost'!$C$35)</f>
        <v>73.921389505184862</v>
      </c>
      <c r="DG52">
        <f>2*2*(CS52*'Reagent cost'!$C$36*122.44/1000*0.5+CT52*'Oxidant Feed Composition'!$N$26+CX52*'Reagent cost'!$C$34+CY52*'Reagent cost'!$C$35)</f>
        <v>140.22399054959152</v>
      </c>
      <c r="DH52">
        <f>(AF52+3)*2*(CZ52*'Reagent cost'!$C$38*0.5+DA52*'Reagent cost'!$C$39+DB52*'Reagent cost'!$C$36*122.44/1000)</f>
        <v>707.81424005691144</v>
      </c>
      <c r="DI52">
        <f>3*2*(DC52*'Reagent cost'!$C$38*0.5+DD52*'Reagent cost'!$C$39+DE52*'Reagent cost'!$C$36*122.44/1000)</f>
        <v>1310.0227856813663</v>
      </c>
      <c r="DJ52">
        <f>7963.6*(CB52/1000)^0.6*1.7*('CAPEX+OPEX'!$G$116/'CAPEX+OPEX'!$G$115)</f>
        <v>2144.228934815284</v>
      </c>
      <c r="DK52">
        <f>7963.6*(CC52/1000)^0.6*1.7*('CAPEX+OPEX'!$G$116/'CAPEX+OPEX'!$G$115)</f>
        <v>6201.2466571653367</v>
      </c>
      <c r="DL52">
        <f>7963.6*(CD52/1000)^0.6*1.7*('CAPEX+OPEX'!$G$116/'CAPEX+OPEX'!$G$115)</f>
        <v>3148.491118286343</v>
      </c>
      <c r="DM52">
        <f>7963.6*(CE52/1000)^0.6*1.7*('CAPEX+OPEX'!$G$116/'CAPEX+OPEX'!$G$115)</f>
        <v>6958.5897521424013</v>
      </c>
      <c r="DN52">
        <f>'TEA Revised Non EYZ'!CM52</f>
        <v>39625.826528698344</v>
      </c>
      <c r="DO52">
        <f>'TEA Revised Non EYZ'!CN52</f>
        <v>4586243.4239371875</v>
      </c>
      <c r="DP52">
        <f>'TEA Revised Non EYZ'!CO52</f>
        <v>11794834.586807497</v>
      </c>
      <c r="DQ52">
        <f>'TEA Revised Non EYZ'!CP52</f>
        <v>2275209.1661185985</v>
      </c>
      <c r="DR52">
        <f>'TEA Revised Non EYZ'!CQ52</f>
        <v>14083914.336508472</v>
      </c>
      <c r="DS52">
        <f>'TEA Revised Non EYZ'!CR52</f>
        <v>1662824.8986326549</v>
      </c>
      <c r="DT52">
        <f>'TEA Revised Non EYZ'!CS52</f>
        <v>751295.09040276916</v>
      </c>
      <c r="DU52">
        <f>'TEA Revised Non EYZ'!CT52</f>
        <v>1932169.8606163235</v>
      </c>
      <c r="DV52">
        <f>'TEA Revised Non EYZ'!CU52</f>
        <v>372713.20297186484</v>
      </c>
      <c r="DW52">
        <f>'TEA Revised Non EYZ'!CV52</f>
        <v>2307155.2721002945</v>
      </c>
      <c r="DX52">
        <f>'TEA Revised Non EYZ'!CW52</f>
        <v>272395.52441150707</v>
      </c>
      <c r="DY52">
        <f>'TEA Revised Non EYZ'!CX52</f>
        <v>5635728.9505027588</v>
      </c>
      <c r="DZ52">
        <f>'TEA Revised Non EYZ'!CY52</f>
        <v>498645.65589957108</v>
      </c>
      <c r="EA52">
        <f>'TEA Revised Non EYZ'!CZ52</f>
        <v>1282409.694624644</v>
      </c>
      <c r="EB52">
        <f>'TEA Revised Non EYZ'!DA52</f>
        <v>247375.26164146824</v>
      </c>
      <c r="EC52">
        <f>'TEA Revised Non EYZ'!DB52</f>
        <v>1531293.0546396186</v>
      </c>
      <c r="ED52">
        <f>'TEA Revised Non EYZ'!DC52</f>
        <v>180792.93565124425</v>
      </c>
      <c r="EE52">
        <f>'TEA Revised Non EYZ'!DD52</f>
        <v>3740516.6024565459</v>
      </c>
      <c r="EF52">
        <v>0.7</v>
      </c>
      <c r="EG52">
        <v>100</v>
      </c>
      <c r="EH52">
        <f>96485*BL52*V52/EF52/EG52/60</f>
        <v>25.280029303934459</v>
      </c>
      <c r="EI52">
        <f>96485*BN52*BA52/EF52/EG52/60</f>
        <v>47.954544874452935</v>
      </c>
      <c r="EJ52">
        <f>EH52*('CAPEX+OPEX'!$O$25+'CAPEX+OPEX'!$O$26)</f>
        <v>805725.09397499904</v>
      </c>
      <c r="EK52">
        <f>EI52*('CAPEX+OPEX'!$O$25+'CAPEX+OPEX'!$O$26)</f>
        <v>1528407.2542385641</v>
      </c>
      <c r="EL52">
        <f>EJ52*1.12/0.6*'CAPEX+OPEX'!$G$116/'CAPEX+OPEX'!$G$115</f>
        <v>1773928.987938937</v>
      </c>
      <c r="EM52">
        <f>EK52*1.12/0.6*'CAPEX+OPEX'!$G$116/'CAPEX+OPEX'!$G$115</f>
        <v>3365026.0541023617</v>
      </c>
      <c r="EN52">
        <f>EL52+EM52+DY52+EE52+1.15*(SUM(DF52:DM52)+SUM(CF52:CI52))</f>
        <v>14579496.985447241</v>
      </c>
      <c r="EO52">
        <f>EN52/15</f>
        <v>971966.46569648269</v>
      </c>
      <c r="EP52">
        <f>('eLLE Bals'!CB52+'eLLE Bals'!CC52)*'Oxidant Feed Composition'!$N$29*60*7200</f>
        <v>7951778.8987027798</v>
      </c>
      <c r="EQ52" s="53">
        <f>('eLLE Bals'!BR52+'eLLE Bals'!BY52)*'Reagent cost'!$C$38*60*7200*0.5</f>
        <v>253308.65709858367</v>
      </c>
      <c r="ER52">
        <f>'TEA Revised Non EYZ'!DI52</f>
        <v>504921.59999999998</v>
      </c>
      <c r="ES52">
        <f>'TEA Revised Non EYZ'!DJ52</f>
        <v>62.117112614684743</v>
      </c>
      <c r="ET52">
        <f>'TEA Revised Non EYZ'!DK52</f>
        <v>580.27309213070305</v>
      </c>
      <c r="EU52">
        <f>1.2*SUM(EP52:ET52)</f>
        <v>10452781.85520733</v>
      </c>
      <c r="EV52">
        <f>'TEA Revised Non EYZ'!DM52</f>
        <v>0.70639694042110623</v>
      </c>
      <c r="EW52">
        <f>(BS52*CO52+BT52*CP52)/1000*('Oxidant Feed Composition'!$B$11*'Oxidant Feed Composition'!$O$20+'Oxidant Feed Composition'!$D$11*'Oxidant Feed Composition'!$O$21+'Oxidant Feed Composition'!$F$11*'Oxidant Feed Composition'!$O$27-'Oxidant Feed Composition'!$J$15*18.015)</f>
        <v>1.8614912909560635</v>
      </c>
      <c r="EX52">
        <f>(CZ52*BX52+DC52*BZ52)*368.34/1000</f>
        <v>0.10226606308599775</v>
      </c>
      <c r="EY52">
        <f>'TEA Revised Non EYZ'!DP52</f>
        <v>4.999938342565946E-2</v>
      </c>
      <c r="EZ52">
        <f>SUM(EV52:EX52)-EY52</f>
        <v>2.6201549110375084</v>
      </c>
      <c r="FA52">
        <f>EZ52*0.33*60*7200</f>
        <v>373529.28411750722</v>
      </c>
      <c r="FB52">
        <f>'TEA Revised Non EYZ'!DS52</f>
        <v>1.2</v>
      </c>
      <c r="FC52">
        <v>0.5</v>
      </c>
      <c r="FD52">
        <f>'TEA Revised Non EYZ'!DT52</f>
        <v>1398.9575525177422</v>
      </c>
      <c r="FE52">
        <f>'TEA Revised Non EYZ'!DU52</f>
        <v>712.79296950667776</v>
      </c>
      <c r="FF52">
        <f>'TEA Revised Non EYZ'!DV52</f>
        <v>0.7</v>
      </c>
      <c r="FG52">
        <f>'TEA Revised Non EYZ'!DW52</f>
        <v>41280.414286181804</v>
      </c>
      <c r="FH52">
        <f>'TEA Revised Non EYZ'!DX52</f>
        <v>37373.489075065132</v>
      </c>
      <c r="FI52">
        <f>'TEA Revised Non EYZ'!DY52</f>
        <v>15823.453035813865</v>
      </c>
      <c r="FJ52">
        <f>'TEA Revised Non EYZ'!DZ52</f>
        <v>8382.1245272768647</v>
      </c>
      <c r="FK52">
        <f>'TEA Revised Non EYZ'!EA52</f>
        <v>8439.174952434063</v>
      </c>
      <c r="FL52">
        <f>'TEA Revised Non EYZ'!EB52</f>
        <v>846.08952776273043</v>
      </c>
      <c r="FM52">
        <f>'TEA Revised Non EYZ'!EC52</f>
        <v>28285.552898305465</v>
      </c>
      <c r="FN52">
        <f>'TEA Revised Non EYZ'!ED52</f>
        <v>19397.30061303094</v>
      </c>
      <c r="FO52">
        <f>'TEA Revised Non EYZ'!EE52</f>
        <v>8212.5667918074541</v>
      </c>
      <c r="FP52">
        <f>'TEA Revised Non EYZ'!EF52</f>
        <v>4352.8470449002243</v>
      </c>
      <c r="FQ52">
        <f>'TEA Revised Non EYZ'!EG52</f>
        <v>4380.0356222973096</v>
      </c>
      <c r="FR52">
        <f>'TEA Revised Non EYZ'!EH52</f>
        <v>431.09718795763877</v>
      </c>
      <c r="FS52">
        <f>'TEA Revised Non EYZ'!EI52</f>
        <v>177204.1455628335</v>
      </c>
      <c r="FT52">
        <f>EG52*EH52</f>
        <v>2528.0029303934457</v>
      </c>
      <c r="FU52">
        <f>EG52*EI52</f>
        <v>4795.4544874452931</v>
      </c>
      <c r="FV52">
        <f>FC52*(FT52+FU52)/(3.6*10^6)*3600*7200*0.07</f>
        <v>1845.5112692953624</v>
      </c>
      <c r="FW52">
        <f>('CAPEX+OPEX'!$C$39/7/100+0.03)*EL52</f>
        <v>91230.633665431043</v>
      </c>
      <c r="FX52">
        <f>('CAPEX+OPEX'!$C$39/7/100+0.03)*EM52</f>
        <v>173058.48278240717</v>
      </c>
      <c r="FY52">
        <f>SUM(FV52:FX52)</f>
        <v>266134.62771713355</v>
      </c>
      <c r="FZ52">
        <f>FY52+FA52+FS52+EU52</f>
        <v>11269649.912604803</v>
      </c>
      <c r="GA52">
        <f>FZ52+EO52</f>
        <v>12241616.378301285</v>
      </c>
      <c r="GB52">
        <f>GA52/(BK52*60*7200)</f>
        <v>0.28337074949771496</v>
      </c>
      <c r="GC52">
        <f>'TEA Revised Non EYZ'!EM52/'TEA Revised Non EYZ'!EK52*GA52</f>
        <v>952.71724361654651</v>
      </c>
      <c r="GD52">
        <f>'TEA Revised Non EYZ'!EN52/'TEA Revised Non EYZ'!EK52*GA52</f>
        <v>1724.0787819769675</v>
      </c>
    </row>
    <row r="53" spans="1:186">
      <c r="A53">
        <f>'TEA Revised Non EYZ'!A53</f>
        <v>8</v>
      </c>
      <c r="B53">
        <f>'TEA Revised Non EYZ'!B53</f>
        <v>1.54143585092054E-3</v>
      </c>
      <c r="C53">
        <f>'TEA Revised Non EYZ'!C53</f>
        <v>1.54143585092054E-3</v>
      </c>
      <c r="D53">
        <f>'TEA Revised Non EYZ'!D53</f>
        <v>3.4254130020456501E-4</v>
      </c>
      <c r="E53">
        <f>'TEA Revised Non EYZ'!E53</f>
        <v>0</v>
      </c>
      <c r="F53">
        <f>'TEA Revised Non EYZ'!F53</f>
        <v>0</v>
      </c>
      <c r="G53">
        <f>'TEA Revised Non EYZ'!G53</f>
        <v>0</v>
      </c>
      <c r="H53">
        <f>'TEA Revised Non EYZ'!H53</f>
        <v>1.7762434284205799E-5</v>
      </c>
      <c r="I53">
        <f>'TEA Revised Non EYZ'!I53</f>
        <v>4.4591984978445998E-9</v>
      </c>
      <c r="J53">
        <f>'TEA Revised Non EYZ'!J53</f>
        <v>3.37570976171142E-4</v>
      </c>
      <c r="K53">
        <f>'TEA Revised Non EYZ'!K53</f>
        <v>0.13846015972746001</v>
      </c>
      <c r="L53">
        <f>'TEA Revised Non EYZ'!L53</f>
        <v>0.14007387303476199</v>
      </c>
      <c r="M53">
        <f>'TEA Revised Non EYZ'!M53</f>
        <v>4.5166625081916902E-4</v>
      </c>
      <c r="N53">
        <f>'TEA Revised Non EYZ'!N53</f>
        <v>-2.6107588313450902E-16</v>
      </c>
      <c r="O53">
        <f>'TEA Revised Non EYZ'!O53</f>
        <v>-1.18524981496115E-14</v>
      </c>
      <c r="P53">
        <f>'TEA Revised Non EYZ'!P53</f>
        <v>-2.5241581828178102E-19</v>
      </c>
      <c r="Q53">
        <f>'TEA Revised Non EYZ'!Q53</f>
        <v>0.110044175857931</v>
      </c>
      <c r="R53">
        <f>'TEA Revised Non EYZ'!R53</f>
        <v>98.548985471108097</v>
      </c>
      <c r="S53">
        <f>'TEA Revised Non EYZ'!S53</f>
        <v>500</v>
      </c>
      <c r="T53">
        <f>'TEA Revised Non EYZ'!T53</f>
        <v>95</v>
      </c>
      <c r="U53">
        <f>'TEA Revised Non EYZ'!U53</f>
        <v>1</v>
      </c>
      <c r="V53">
        <f>'TEA Revised Non EYZ'!V53</f>
        <v>0.1</v>
      </c>
      <c r="W53">
        <f>'TEA Revised Non EYZ'!W53</f>
        <v>90.872596591664205</v>
      </c>
      <c r="X53" t="str">
        <f>'TEA Revised Non EYZ'!X53</f>
        <v>ddFc</v>
      </c>
      <c r="Y53">
        <f>'TEA Revised Non EYZ'!Y53</f>
        <v>1</v>
      </c>
      <c r="Z53">
        <f>'TEA Revised Non EYZ'!Z53</f>
        <v>0.28318429382522198</v>
      </c>
      <c r="AA53">
        <f>'TEA Revised Non EYZ'!AA53</f>
        <v>0.56945642916197003</v>
      </c>
      <c r="AB53">
        <f>'TEA Revised Non EYZ'!AB53</f>
        <v>3.7698628972227502E-3</v>
      </c>
      <c r="AC53">
        <f>'TEA Revised Non EYZ'!AC53</f>
        <v>1822.2107908876901</v>
      </c>
      <c r="AD53">
        <f>'TEA Revised Non EYZ'!AD53</f>
        <v>2662.6059073104898</v>
      </c>
      <c r="AE53">
        <f>'TEA Revised Non EYZ'!AE53</f>
        <v>2401.5030938442701</v>
      </c>
      <c r="AF53">
        <f>'TEA Revised Non EYZ'!AF53</f>
        <v>5</v>
      </c>
      <c r="AG53">
        <f>'TEA Revised Non EYZ'!AG53</f>
        <v>1.6497294784823999E-3</v>
      </c>
      <c r="AH53">
        <f>'TEA Revised Non EYZ'!AH53</f>
        <v>1.66895660069658E-3</v>
      </c>
      <c r="AI53">
        <f>'TEA Revised Non EYZ'!AI53</f>
        <v>5.38152729188446E-6</v>
      </c>
      <c r="AJ53">
        <f>'TEA Revised Non EYZ'!AJ53</f>
        <v>0</v>
      </c>
      <c r="AK53">
        <f>'TEA Revised Non EYZ'!AK53</f>
        <v>0</v>
      </c>
      <c r="AL53">
        <f>'TEA Revised Non EYZ'!AL53</f>
        <v>0</v>
      </c>
      <c r="AM53">
        <f>'TEA Revised Non EYZ'!AM53</f>
        <v>1.6104132966485E-3</v>
      </c>
      <c r="AN53">
        <f>'TEA Revised Non EYZ'!AN53</f>
        <v>7.9414634231904594E-5</v>
      </c>
      <c r="AO53">
        <f>'TEA Revised Non EYZ'!AO53</f>
        <v>5.3439603602742398E-6</v>
      </c>
      <c r="AP53">
        <f>'TEA Revised Non EYZ'!AP53</f>
        <v>1.8119059661181E-3</v>
      </c>
      <c r="AQ53">
        <f>'TEA Revised Non EYZ'!AQ53</f>
        <v>7.3254839053204804E-2</v>
      </c>
      <c r="AR53">
        <f>'TEA Revised Non EYZ'!AR53</f>
        <v>1.7312908918998299E-6</v>
      </c>
      <c r="AS53">
        <f>'TEA Revised Non EYZ'!AS53</f>
        <v>-4.56313589344836E-17</v>
      </c>
      <c r="AT53">
        <f>'TEA Revised Non EYZ'!AT53</f>
        <v>1.8236280541206101E-16</v>
      </c>
      <c r="AU53">
        <f>'TEA Revised Non EYZ'!AU53</f>
        <v>-3.5912873474602201E-20</v>
      </c>
      <c r="AV53">
        <f>'TEA Revised Non EYZ'!AV53</f>
        <v>0.20040789930945399</v>
      </c>
      <c r="AW53">
        <f>'TEA Revised Non EYZ'!AW53</f>
        <v>99.301928066649793</v>
      </c>
      <c r="AX53">
        <f>'TEA Revised Non EYZ'!AX53</f>
        <v>499.99999999999898</v>
      </c>
      <c r="AY53">
        <f>'TEA Revised Non EYZ'!AY53</f>
        <v>95</v>
      </c>
      <c r="AZ53">
        <f>'TEA Revised Non EYZ'!AZ53</f>
        <v>0.92358985913147196</v>
      </c>
      <c r="BA53">
        <f>'TEA Revised Non EYZ'!BA53</f>
        <v>0.1</v>
      </c>
      <c r="BB53">
        <f>'TEA Revised Non EYZ'!BB53</f>
        <v>46.085501734905897</v>
      </c>
      <c r="BC53" t="str">
        <f>'TEA Revised Non EYZ'!BC53</f>
        <v>coeFc</v>
      </c>
      <c r="BD53">
        <f>'TEA Revised Non EYZ'!BD53</f>
        <v>1</v>
      </c>
      <c r="BE53">
        <f>'TEA Revised Non EYZ'!BE53</f>
        <v>1.8775014999999999E-2</v>
      </c>
      <c r="BF53">
        <f>'TEA Revised Non EYZ'!BF53</f>
        <v>0.10492961100000001</v>
      </c>
      <c r="BG53">
        <f>'TEA Revised Non EYZ'!BG53</f>
        <v>1.814625E-3</v>
      </c>
      <c r="BH53">
        <f>'TEA Revised Non EYZ'!BH53</f>
        <v>285.1951444</v>
      </c>
      <c r="BI53">
        <f>'TEA Revised Non EYZ'!BI53</f>
        <v>2169.8944889999998</v>
      </c>
      <c r="BJ53">
        <f>'TEA Revised Non EYZ'!BJ53</f>
        <v>866.49409060000005</v>
      </c>
      <c r="BK53">
        <f>'TEA Revised Non EYZ'!BK53</f>
        <v>100</v>
      </c>
      <c r="BL53">
        <f>'TEA Revised Non EYZ'!BL53</f>
        <v>11.004417585793099</v>
      </c>
      <c r="BM53">
        <f>'TEA Revised Non EYZ'!BM53</f>
        <v>92.358985913147194</v>
      </c>
      <c r="BN53">
        <f>'TEA Revised Non EYZ'!BN53</f>
        <v>20.040789930945397</v>
      </c>
      <c r="BO53">
        <f>'TEA Revised Non EYZ'!BO53</f>
        <v>220.08835171586199</v>
      </c>
      <c r="BP53">
        <f>'TEA Revised Non EYZ'!BP53</f>
        <v>280.57105903323554</v>
      </c>
      <c r="BQ53">
        <f>'TEA Revised Non EYZ'!BQ53</f>
        <v>22.008835171586199</v>
      </c>
      <c r="BR53">
        <f>'TEA Revised Non EYZ'!BR53</f>
        <v>28.057105903323556</v>
      </c>
      <c r="BS53">
        <f>'eLLE Bals'!CF53</f>
        <v>6.6026505514758593</v>
      </c>
      <c r="BT53">
        <f>'eLLE Bals'!CG53</f>
        <v>12.024473958567238</v>
      </c>
      <c r="BU53">
        <f>BM53</f>
        <v>92.358985913147194</v>
      </c>
      <c r="BV53">
        <f>BU53*(AM53*2+AN53*2+AO53*3)</f>
        <v>0.31362227640655682</v>
      </c>
      <c r="BW53">
        <f>BN53*BA53*(AP53*2+AQ53*2+AR53*3)</f>
        <v>0.30088978247754061</v>
      </c>
      <c r="BX53">
        <f>BV53/(2*V53*BL53+BV53)</f>
        <v>0.12472521527257624</v>
      </c>
      <c r="BY53">
        <f>BU53*BX53</f>
        <v>11.51949440037412</v>
      </c>
      <c r="BZ53">
        <f>BW53/(2*BN53*BA53+BW53)</f>
        <v>6.9827441845845939E-2</v>
      </c>
      <c r="CA53">
        <f>2*BN53*BA53/0.04</f>
        <v>100.20394965472698</v>
      </c>
      <c r="CB53">
        <f>(BS53+BL53)*2</f>
        <v>35.214136274537921</v>
      </c>
      <c r="CC53">
        <f>(BU53+BL53)*2</f>
        <v>206.7268069978806</v>
      </c>
      <c r="CD53">
        <f>(BT53+BN53)*2</f>
        <v>64.130527779025272</v>
      </c>
      <c r="CE53">
        <f>(CA53+BN53)*2</f>
        <v>240.48947917134475</v>
      </c>
      <c r="CF53">
        <f>'TEA Revised Non EYZ'!CB53</f>
        <v>2905.1662426493785</v>
      </c>
      <c r="CG53">
        <f>'TEA Revised Non EYZ'!CC53</f>
        <v>3703.5379792387093</v>
      </c>
      <c r="CH53">
        <f>'TEA Revised Non EYZ'!CD53</f>
        <v>3509.9789962792502</v>
      </c>
      <c r="CI53">
        <f>'TEA Revised Non EYZ'!CE53</f>
        <v>28565.717598032308</v>
      </c>
      <c r="CJ53">
        <f>BL53*V53</f>
        <v>1.10044175857931</v>
      </c>
      <c r="CK53">
        <f>CJ53/2*1.2</f>
        <v>0.66026505514758604</v>
      </c>
      <c r="CL53">
        <f>'eLLE Bals'!CB53*'Oxidant Feed Composition'!$N$20</f>
        <v>3.668139195264368E-2</v>
      </c>
      <c r="CM53">
        <f>'eLLE Bals'!CB53*'Oxidant Feed Composition'!$N$21</f>
        <v>1.8340695976321835</v>
      </c>
      <c r="CN53">
        <f>'eLLE Bals'!CB53*'Oxidant Feed Composition'!$N$22</f>
        <v>0.55022087928965502</v>
      </c>
      <c r="CO53">
        <f>CN53/CK53</f>
        <v>0.83333333333333326</v>
      </c>
      <c r="CP53">
        <f>CO53</f>
        <v>0.83333333333333326</v>
      </c>
      <c r="CQ53">
        <f>CL53/CO53</f>
        <v>4.4017670343172423E-2</v>
      </c>
      <c r="CR53">
        <f>CM53/CO53</f>
        <v>2.2008835171586205</v>
      </c>
      <c r="CS53">
        <f>BN53*BA53</f>
        <v>2.0040789930945397</v>
      </c>
      <c r="CT53">
        <f>CS53/2*1.2</f>
        <v>1.2024473958567239</v>
      </c>
      <c r="CU53">
        <f>'eLLE Bals'!CC53*'Oxidant Feed Composition'!$N$20</f>
        <v>6.6802633103151349E-2</v>
      </c>
      <c r="CV53">
        <f>'eLLE Bals'!CC53*'Oxidant Feed Composition'!$N$21</f>
        <v>3.3401316551575668</v>
      </c>
      <c r="CW53">
        <f>'eLLE Bals'!CC53*'Oxidant Feed Composition'!$N$22</f>
        <v>1.0020394965472699</v>
      </c>
      <c r="CX53">
        <f>CU53/CP53</f>
        <v>8.016315972378163E-2</v>
      </c>
      <c r="CY53">
        <f>CV53/CP53</f>
        <v>4.0081579861890804</v>
      </c>
      <c r="CZ53">
        <f>CJ53</f>
        <v>1.10044175857931</v>
      </c>
      <c r="DA53">
        <f>'eLLE Bals'!BQ53</f>
        <v>2.2008835171586201</v>
      </c>
      <c r="DB53">
        <f>'eLLE Bals'!BU53</f>
        <v>5.5216040427191979</v>
      </c>
      <c r="DC53">
        <f>CS53</f>
        <v>2.0040789930945397</v>
      </c>
      <c r="DD53">
        <f>'eLLE Bals'!BX53</f>
        <v>4.0081579861890795</v>
      </c>
      <c r="DE53">
        <f>'eLLE Bals'!CA53</f>
        <v>22.688212874211377</v>
      </c>
      <c r="DF53">
        <f>2*2*(CJ53*'Reagent cost'!$C$36*122.44/1000*0.5+CK53*'Oxidant Feed Composition'!$N$26+CQ53*'Reagent cost'!$C$34+CR53*'Reagent cost'!$C$35)</f>
        <v>73.921389505184862</v>
      </c>
      <c r="DG53">
        <f>2*2*(CS53*'Reagent cost'!$C$36*122.44/1000*0.5+CT53*'Oxidant Feed Composition'!$N$26+CX53*'Reagent cost'!$C$34+CY53*'Reagent cost'!$C$35)</f>
        <v>134.62257560905098</v>
      </c>
      <c r="DH53">
        <f>(AF53+3)*2*(CZ53*'Reagent cost'!$C$38*0.5+DA53*'Reagent cost'!$C$39+DB53*'Reagent cost'!$C$36*122.44/1000)</f>
        <v>805.20066544366273</v>
      </c>
      <c r="DI53">
        <f>3*2*(DC53*'Reagent cost'!$C$38*0.5+DD53*'Reagent cost'!$C$39+DE53*'Reagent cost'!$C$36*122.44/1000)</f>
        <v>1205.2766928207607</v>
      </c>
      <c r="DJ53">
        <f>7963.6*(CB53/1000)^0.6*1.7*('CAPEX+OPEX'!$G$116/'CAPEX+OPEX'!$G$115)</f>
        <v>2144.228934815284</v>
      </c>
      <c r="DK53">
        <f>7963.6*(CC53/1000)^0.6*1.7*('CAPEX+OPEX'!$G$116/'CAPEX+OPEX'!$G$115)</f>
        <v>6201.2466571653367</v>
      </c>
      <c r="DL53">
        <f>7963.6*(CD53/1000)^0.6*1.7*('CAPEX+OPEX'!$G$116/'CAPEX+OPEX'!$G$115)</f>
        <v>3072.4145724960686</v>
      </c>
      <c r="DM53">
        <f>7963.6*(CE53/1000)^0.6*1.7*('CAPEX+OPEX'!$G$116/'CAPEX+OPEX'!$G$115)</f>
        <v>6790.4503316943192</v>
      </c>
      <c r="DN53">
        <f>'TEA Revised Non EYZ'!CM53</f>
        <v>39625.826528698344</v>
      </c>
      <c r="DO53">
        <f>'TEA Revised Non EYZ'!CN53</f>
        <v>4586243.4239371875</v>
      </c>
      <c r="DP53">
        <f>'TEA Revised Non EYZ'!CO53</f>
        <v>11794834.586807497</v>
      </c>
      <c r="DQ53">
        <f>'TEA Revised Non EYZ'!CP53</f>
        <v>2275209.1661185985</v>
      </c>
      <c r="DR53">
        <f>'TEA Revised Non EYZ'!CQ53</f>
        <v>14083914.336508472</v>
      </c>
      <c r="DS53">
        <f>'TEA Revised Non EYZ'!CR53</f>
        <v>1662824.8986326549</v>
      </c>
      <c r="DT53">
        <f>'TEA Revised Non EYZ'!CS53</f>
        <v>751295.09040276916</v>
      </c>
      <c r="DU53">
        <f>'TEA Revised Non EYZ'!CT53</f>
        <v>1932169.8606163235</v>
      </c>
      <c r="DV53">
        <f>'TEA Revised Non EYZ'!CU53</f>
        <v>372713.20297186484</v>
      </c>
      <c r="DW53">
        <f>'TEA Revised Non EYZ'!CV53</f>
        <v>2307155.2721002945</v>
      </c>
      <c r="DX53">
        <f>'TEA Revised Non EYZ'!CW53</f>
        <v>272395.52441150707</v>
      </c>
      <c r="DY53">
        <f>'TEA Revised Non EYZ'!CX53</f>
        <v>5635728.9505027588</v>
      </c>
      <c r="DZ53">
        <f>'TEA Revised Non EYZ'!CY53</f>
        <v>556289.40374443913</v>
      </c>
      <c r="EA53">
        <f>'TEA Revised Non EYZ'!CZ53</f>
        <v>1430657.052635611</v>
      </c>
      <c r="EB53">
        <f>'TEA Revised Non EYZ'!DA53</f>
        <v>275971.99568780069</v>
      </c>
      <c r="EC53">
        <f>'TEA Revised Non EYZ'!DB53</f>
        <v>1708311.4838065251</v>
      </c>
      <c r="ED53">
        <f>'TEA Revised Non EYZ'!DC53</f>
        <v>201692.71141688875</v>
      </c>
      <c r="EE53">
        <f>'TEA Revised Non EYZ'!DD53</f>
        <v>4172922.6472912654</v>
      </c>
      <c r="EF53">
        <v>0.7</v>
      </c>
      <c r="EG53">
        <v>100</v>
      </c>
      <c r="EH53">
        <f>96485*BL53*V53/EF53/EG53/60</f>
        <v>25.280029303934459</v>
      </c>
      <c r="EI53">
        <f>96485*BN53*BA53/EF53/EG53/60</f>
        <v>46.038943249696835</v>
      </c>
      <c r="EJ53">
        <f>EH53*('CAPEX+OPEX'!$O$25+'CAPEX+OPEX'!$O$26)</f>
        <v>805725.09397499904</v>
      </c>
      <c r="EK53">
        <f>EI53*('CAPEX+OPEX'!$O$25+'CAPEX+OPEX'!$O$26)</f>
        <v>1467353.1992543375</v>
      </c>
      <c r="EL53">
        <f>EJ53*1.12/0.6*'CAPEX+OPEX'!$G$116/'CAPEX+OPEX'!$G$115</f>
        <v>1773928.987938937</v>
      </c>
      <c r="EM53">
        <f>EK53*1.12/0.6*'CAPEX+OPEX'!$G$116/'CAPEX+OPEX'!$G$115</f>
        <v>3230606.0654764427</v>
      </c>
      <c r="EN53">
        <f>EL53+EM53+DY53+EE53+1.15*(SUM(DF53:DM53)+SUM(CF53:CI53))</f>
        <v>14881165.178240515</v>
      </c>
      <c r="EO53">
        <f>EN53/15</f>
        <v>992077.6785493677</v>
      </c>
      <c r="EP53">
        <f>('eLLE Bals'!CB53+'eLLE Bals'!CC53)*'Oxidant Feed Composition'!$N$29*60*7200</f>
        <v>7743783.6894870792</v>
      </c>
      <c r="EQ53" s="53">
        <f>('eLLE Bals'!BR53+'eLLE Bals'!BY53)*'Reagent cost'!$C$38*60*7200*0.5</f>
        <v>252900.05523377217</v>
      </c>
      <c r="ER53">
        <f>'TEA Revised Non EYZ'!DI53</f>
        <v>504921.59999999998</v>
      </c>
      <c r="ES53">
        <f>'TEA Revised Non EYZ'!DJ53</f>
        <v>66.087042218880882</v>
      </c>
      <c r="ET53">
        <f>'TEA Revised Non EYZ'!DK53</f>
        <v>641.51393188623115</v>
      </c>
      <c r="EU53">
        <f>1.2*SUM(EP53:ET53)</f>
        <v>10202775.534833945</v>
      </c>
      <c r="EV53">
        <f>'TEA Revised Non EYZ'!DM53</f>
        <v>0.70639694042110623</v>
      </c>
      <c r="EW53">
        <f>(BS53*CO53+BT53*CP53)/1000*('Oxidant Feed Composition'!$B$11*'Oxidant Feed Composition'!$O$20+'Oxidant Feed Composition'!$D$11*'Oxidant Feed Composition'!$O$21+'Oxidant Feed Composition'!$F$11*'Oxidant Feed Composition'!$O$27-'Oxidant Feed Composition'!$J$15*18.015)</f>
        <v>1.8128001395234232</v>
      </c>
      <c r="EX53">
        <f>(CZ53*BX53+DC53*BZ53)*368.34/1000</f>
        <v>0.10210110187005472</v>
      </c>
      <c r="EY53">
        <f>'TEA Revised Non EYZ'!DP53</f>
        <v>4.999938342565946E-2</v>
      </c>
      <c r="EZ53">
        <f>SUM(EV53:EX53)-EY53</f>
        <v>2.5712987983889248</v>
      </c>
      <c r="FA53">
        <f>EZ53*0.33*60*7200</f>
        <v>366564.35669832514</v>
      </c>
      <c r="FB53">
        <f>'TEA Revised Non EYZ'!DS53</f>
        <v>1.2</v>
      </c>
      <c r="FC53">
        <v>0.5</v>
      </c>
      <c r="FD53">
        <f>'TEA Revised Non EYZ'!DT53</f>
        <v>1403.844239951464</v>
      </c>
      <c r="FE53">
        <f>'TEA Revised Non EYZ'!DU53</f>
        <v>707.90628200732976</v>
      </c>
      <c r="FF53">
        <f>'TEA Revised Non EYZ'!DV53</f>
        <v>0.7</v>
      </c>
      <c r="FG53">
        <f>'TEA Revised Non EYZ'!DW53</f>
        <v>41280.414286181804</v>
      </c>
      <c r="FH53">
        <f>'TEA Revised Non EYZ'!DX53</f>
        <v>37373.489075065132</v>
      </c>
      <c r="FI53">
        <f>'TEA Revised Non EYZ'!DY53</f>
        <v>15823.453035813865</v>
      </c>
      <c r="FJ53">
        <f>'TEA Revised Non EYZ'!DZ53</f>
        <v>8382.1245272768647</v>
      </c>
      <c r="FK53">
        <f>'TEA Revised Non EYZ'!EA53</f>
        <v>8439.174952434063</v>
      </c>
      <c r="FL53">
        <f>'TEA Revised Non EYZ'!EB53</f>
        <v>849.04499632264549</v>
      </c>
      <c r="FM53">
        <f>'TEA Revised Non EYZ'!EC53</f>
        <v>30856.96679815141</v>
      </c>
      <c r="FN53">
        <f>'TEA Revised Non EYZ'!ED53</f>
        <v>23276.76073563713</v>
      </c>
      <c r="FO53">
        <f>'TEA Revised Non EYZ'!EE53</f>
        <v>9855.0801501689457</v>
      </c>
      <c r="FP53">
        <f>'TEA Revised Non EYZ'!EF53</f>
        <v>5223.4164538802697</v>
      </c>
      <c r="FQ53">
        <f>'TEA Revised Non EYZ'!EG53</f>
        <v>5256.0427467567724</v>
      </c>
      <c r="FR53">
        <f>'TEA Revised Non EYZ'!EH53</f>
        <v>428.14171935803307</v>
      </c>
      <c r="FS53">
        <f>'TEA Revised Non EYZ'!EI53</f>
        <v>187044.10947704694</v>
      </c>
      <c r="FT53">
        <f>EG53*EH53</f>
        <v>2528.0029303934457</v>
      </c>
      <c r="FU53">
        <f>EG53*EI53</f>
        <v>4603.8943249696831</v>
      </c>
      <c r="FV53">
        <f>FC53*(FT53+FU53)/(3.6*10^6)*3600*7200*0.07</f>
        <v>1797.2381083515083</v>
      </c>
      <c r="FW53">
        <f>('CAPEX+OPEX'!$C$39/7/100+0.03)*EL53</f>
        <v>91230.633665431043</v>
      </c>
      <c r="FX53">
        <f>('CAPEX+OPEX'!$C$39/7/100+0.03)*EM53</f>
        <v>166145.45479593135</v>
      </c>
      <c r="FY53">
        <f>SUM(FV53:FX53)</f>
        <v>259173.32656971388</v>
      </c>
      <c r="FZ53">
        <f>FY53+FA53+FS53+EU53</f>
        <v>11015557.327579031</v>
      </c>
      <c r="GA53">
        <f>FZ53+EO53</f>
        <v>12007635.006128399</v>
      </c>
      <c r="GB53">
        <f>GA53/(BK53*60*7200)</f>
        <v>0.27795451403074994</v>
      </c>
      <c r="GC53">
        <f>'TEA Revised Non EYZ'!EM53/'TEA Revised Non EYZ'!EK53*GA53</f>
        <v>931.25239076065441</v>
      </c>
      <c r="GD53">
        <f>'TEA Revised Non EYZ'!EN53/'TEA Revised Non EYZ'!EK53*GA53</f>
        <v>1701.8902692869194</v>
      </c>
    </row>
    <row r="54" spans="1:186">
      <c r="A54">
        <f>'TEA Revised Non EYZ'!A54</f>
        <v>8</v>
      </c>
      <c r="B54">
        <f>'TEA Revised Non EYZ'!B54</f>
        <v>1.54143585092054E-3</v>
      </c>
      <c r="C54">
        <f>'TEA Revised Non EYZ'!C54</f>
        <v>1.54143585092054E-3</v>
      </c>
      <c r="D54">
        <f>'TEA Revised Non EYZ'!D54</f>
        <v>3.4254130020456501E-4</v>
      </c>
      <c r="E54">
        <f>'TEA Revised Non EYZ'!E54</f>
        <v>0</v>
      </c>
      <c r="F54">
        <f>'TEA Revised Non EYZ'!F54</f>
        <v>0</v>
      </c>
      <c r="G54">
        <f>'TEA Revised Non EYZ'!G54</f>
        <v>0</v>
      </c>
      <c r="H54">
        <f>'TEA Revised Non EYZ'!H54</f>
        <v>1.7762434284205799E-5</v>
      </c>
      <c r="I54">
        <f>'TEA Revised Non EYZ'!I54</f>
        <v>4.4591984978445998E-9</v>
      </c>
      <c r="J54">
        <f>'TEA Revised Non EYZ'!J54</f>
        <v>3.37570976171142E-4</v>
      </c>
      <c r="K54">
        <f>'TEA Revised Non EYZ'!K54</f>
        <v>0.13846015972746001</v>
      </c>
      <c r="L54">
        <f>'TEA Revised Non EYZ'!L54</f>
        <v>0.14007387303476199</v>
      </c>
      <c r="M54">
        <f>'TEA Revised Non EYZ'!M54</f>
        <v>4.5166625081916902E-4</v>
      </c>
      <c r="N54">
        <f>'TEA Revised Non EYZ'!N54</f>
        <v>-2.6107588313450902E-16</v>
      </c>
      <c r="O54">
        <f>'TEA Revised Non EYZ'!O54</f>
        <v>-1.18524981496115E-14</v>
      </c>
      <c r="P54">
        <f>'TEA Revised Non EYZ'!P54</f>
        <v>-2.5241581828178102E-19</v>
      </c>
      <c r="Q54">
        <f>'TEA Revised Non EYZ'!Q54</f>
        <v>0.110044175857931</v>
      </c>
      <c r="R54">
        <f>'TEA Revised Non EYZ'!R54</f>
        <v>98.548985471108097</v>
      </c>
      <c r="S54">
        <f>'TEA Revised Non EYZ'!S54</f>
        <v>500</v>
      </c>
      <c r="T54">
        <f>'TEA Revised Non EYZ'!T54</f>
        <v>95</v>
      </c>
      <c r="U54">
        <f>'TEA Revised Non EYZ'!U54</f>
        <v>1</v>
      </c>
      <c r="V54">
        <f>'TEA Revised Non EYZ'!V54</f>
        <v>0.1</v>
      </c>
      <c r="W54">
        <f>'TEA Revised Non EYZ'!W54</f>
        <v>90.872596591664205</v>
      </c>
      <c r="X54" t="str">
        <f>'TEA Revised Non EYZ'!X54</f>
        <v>ddFc</v>
      </c>
      <c r="Y54">
        <f>'TEA Revised Non EYZ'!Y54</f>
        <v>1</v>
      </c>
      <c r="Z54">
        <f>'TEA Revised Non EYZ'!Z54</f>
        <v>0.28318429382522198</v>
      </c>
      <c r="AA54">
        <f>'TEA Revised Non EYZ'!AA54</f>
        <v>0.56945642916197003</v>
      </c>
      <c r="AB54">
        <f>'TEA Revised Non EYZ'!AB54</f>
        <v>3.7698628972227502E-3</v>
      </c>
      <c r="AC54">
        <f>'TEA Revised Non EYZ'!AC54</f>
        <v>1822.2107908876901</v>
      </c>
      <c r="AD54">
        <f>'TEA Revised Non EYZ'!AD54</f>
        <v>2662.6059073104898</v>
      </c>
      <c r="AE54">
        <f>'TEA Revised Non EYZ'!AE54</f>
        <v>2401.5030938442701</v>
      </c>
      <c r="AF54">
        <f>'TEA Revised Non EYZ'!AF54</f>
        <v>6</v>
      </c>
      <c r="AG54">
        <f>'TEA Revised Non EYZ'!AG54</f>
        <v>1.6497294784823999E-3</v>
      </c>
      <c r="AH54">
        <f>'TEA Revised Non EYZ'!AH54</f>
        <v>1.66895660069658E-3</v>
      </c>
      <c r="AI54">
        <f>'TEA Revised Non EYZ'!AI54</f>
        <v>5.38152729188446E-6</v>
      </c>
      <c r="AJ54">
        <f>'TEA Revised Non EYZ'!AJ54</f>
        <v>0</v>
      </c>
      <c r="AK54">
        <f>'TEA Revised Non EYZ'!AK54</f>
        <v>0</v>
      </c>
      <c r="AL54">
        <f>'TEA Revised Non EYZ'!AL54</f>
        <v>0</v>
      </c>
      <c r="AM54">
        <f>'TEA Revised Non EYZ'!AM54</f>
        <v>1.6120973624594601E-3</v>
      </c>
      <c r="AN54">
        <f>'TEA Revised Non EYZ'!AN54</f>
        <v>7.9501723318735999E-5</v>
      </c>
      <c r="AO54">
        <f>'TEA Revised Non EYZ'!AO54</f>
        <v>5.3455064946735699E-6</v>
      </c>
      <c r="AP54">
        <f>'TEA Revised Non EYZ'!AP54</f>
        <v>1.7562344447916399E-3</v>
      </c>
      <c r="AQ54">
        <f>'TEA Revised Non EYZ'!AQ54</f>
        <v>7.4177476557294494E-2</v>
      </c>
      <c r="AR54">
        <f>'TEA Revised Non EYZ'!AR54</f>
        <v>1.6810366111767E-6</v>
      </c>
      <c r="AS54">
        <f>'TEA Revised Non EYZ'!AS54</f>
        <v>-2.1616280813929698E-18</v>
      </c>
      <c r="AT54">
        <f>'TEA Revised Non EYZ'!AT54</f>
        <v>-1.5872719805187701E-16</v>
      </c>
      <c r="AU54">
        <f>'TEA Revised Non EYZ'!AU54</f>
        <v>-1.13158307797254E-21</v>
      </c>
      <c r="AV54">
        <f>'TEA Revised Non EYZ'!AV54</f>
        <v>0.19790433355595599</v>
      </c>
      <c r="AW54">
        <f>'TEA Revised Non EYZ'!AW54</f>
        <v>99.330658468178498</v>
      </c>
      <c r="AX54">
        <f>'TEA Revised Non EYZ'!AX54</f>
        <v>499.99999999999898</v>
      </c>
      <c r="AY54">
        <f>'TEA Revised Non EYZ'!AY54</f>
        <v>95</v>
      </c>
      <c r="AZ54">
        <f>'TEA Revised Non EYZ'!AZ54</f>
        <v>0.92358985913147196</v>
      </c>
      <c r="BA54">
        <f>'TEA Revised Non EYZ'!BA54</f>
        <v>0.1</v>
      </c>
      <c r="BB54">
        <f>'TEA Revised Non EYZ'!BB54</f>
        <v>46.668501014422198</v>
      </c>
      <c r="BC54" t="str">
        <f>'TEA Revised Non EYZ'!BC54</f>
        <v>coeFc</v>
      </c>
      <c r="BD54">
        <f>'TEA Revised Non EYZ'!BD54</f>
        <v>1</v>
      </c>
      <c r="BE54">
        <f>'TEA Revised Non EYZ'!BE54</f>
        <v>1.8775014999999999E-2</v>
      </c>
      <c r="BF54">
        <f>'TEA Revised Non EYZ'!BF54</f>
        <v>0.10492961100000001</v>
      </c>
      <c r="BG54">
        <f>'TEA Revised Non EYZ'!BG54</f>
        <v>1.814625E-3</v>
      </c>
      <c r="BH54">
        <f>'TEA Revised Non EYZ'!BH54</f>
        <v>285.1951444</v>
      </c>
      <c r="BI54">
        <f>'TEA Revised Non EYZ'!BI54</f>
        <v>2169.8944889999998</v>
      </c>
      <c r="BJ54">
        <f>'TEA Revised Non EYZ'!BJ54</f>
        <v>866.49409060000005</v>
      </c>
      <c r="BK54">
        <f>'TEA Revised Non EYZ'!BK54</f>
        <v>100</v>
      </c>
      <c r="BL54">
        <f>'TEA Revised Non EYZ'!BL54</f>
        <v>11.004417585793099</v>
      </c>
      <c r="BM54">
        <f>'TEA Revised Non EYZ'!BM54</f>
        <v>92.358985913147194</v>
      </c>
      <c r="BN54">
        <f>'TEA Revised Non EYZ'!BN54</f>
        <v>19.790433355595599</v>
      </c>
      <c r="BO54">
        <f>'TEA Revised Non EYZ'!BO54</f>
        <v>220.08835171586199</v>
      </c>
      <c r="BP54">
        <f>'TEA Revised Non EYZ'!BP54</f>
        <v>316.64693368952959</v>
      </c>
      <c r="BQ54">
        <f>'TEA Revised Non EYZ'!BQ54</f>
        <v>22.008835171586199</v>
      </c>
      <c r="BR54">
        <f>'TEA Revised Non EYZ'!BR54</f>
        <v>31.66469336895296</v>
      </c>
      <c r="BS54">
        <f>'eLLE Bals'!CF54</f>
        <v>6.6026505514758593</v>
      </c>
      <c r="BT54">
        <f>'eLLE Bals'!CG54</f>
        <v>11.874260013357359</v>
      </c>
      <c r="BU54">
        <f>BM54</f>
        <v>92.358985913147194</v>
      </c>
      <c r="BV54">
        <f>BU54*(AM54*2+AN54*2+AO54*3)</f>
        <v>0.31394986894528271</v>
      </c>
      <c r="BW54">
        <f>BN54*BA54*(AP54*2+AQ54*2+AR54*3)</f>
        <v>0.30056218993887501</v>
      </c>
      <c r="BX54">
        <f>BV54/(2*V54*BL54+BV54)</f>
        <v>0.12483923216546304</v>
      </c>
      <c r="BY54">
        <f>BU54*BX54</f>
        <v>11.530024884978113</v>
      </c>
      <c r="BZ54">
        <f>BW54/(2*BN54*BA54+BW54)</f>
        <v>7.0576889465407827E-2</v>
      </c>
      <c r="CA54">
        <f>2*BN54*BA54/0.04</f>
        <v>98.952166777977993</v>
      </c>
      <c r="CB54">
        <f>(BS54+BL54)*2</f>
        <v>35.214136274537921</v>
      </c>
      <c r="CC54">
        <f>(BU54+BL54)*2</f>
        <v>206.7268069978806</v>
      </c>
      <c r="CD54">
        <f>(BT54+BN54)*2</f>
        <v>63.329386737905921</v>
      </c>
      <c r="CE54">
        <f>(CA54+BN54)*2</f>
        <v>237.48520026714718</v>
      </c>
      <c r="CF54">
        <f>'TEA Revised Non EYZ'!CB54</f>
        <v>2905.1662426493785</v>
      </c>
      <c r="CG54">
        <f>'TEA Revised Non EYZ'!CC54</f>
        <v>4179.7395247017912</v>
      </c>
      <c r="CH54">
        <f>'TEA Revised Non EYZ'!CD54</f>
        <v>3509.9789962792502</v>
      </c>
      <c r="CI54">
        <f>'TEA Revised Non EYZ'!CE54</f>
        <v>32238.702442173457</v>
      </c>
      <c r="CJ54">
        <f>BL54*V54</f>
        <v>1.10044175857931</v>
      </c>
      <c r="CK54">
        <f>CJ54/2*1.2</f>
        <v>0.66026505514758604</v>
      </c>
      <c r="CL54">
        <f>'eLLE Bals'!CB54*'Oxidant Feed Composition'!$N$20</f>
        <v>3.668139195264368E-2</v>
      </c>
      <c r="CM54">
        <f>'eLLE Bals'!CB54*'Oxidant Feed Composition'!$N$21</f>
        <v>1.8340695976321835</v>
      </c>
      <c r="CN54">
        <f>'eLLE Bals'!CB54*'Oxidant Feed Composition'!$N$22</f>
        <v>0.55022087928965502</v>
      </c>
      <c r="CO54">
        <f>CN54/CK54</f>
        <v>0.83333333333333326</v>
      </c>
      <c r="CP54">
        <f>CO54</f>
        <v>0.83333333333333326</v>
      </c>
      <c r="CQ54">
        <f>CL54/CO54</f>
        <v>4.4017670343172423E-2</v>
      </c>
      <c r="CR54">
        <f>CM54/CO54</f>
        <v>2.2008835171586205</v>
      </c>
      <c r="CS54">
        <f>BN54*BA54</f>
        <v>1.97904333555956</v>
      </c>
      <c r="CT54">
        <f>CS54/2*1.2</f>
        <v>1.1874260013357361</v>
      </c>
      <c r="CU54">
        <f>'eLLE Bals'!CC54*'Oxidant Feed Composition'!$N$20</f>
        <v>6.5968111185318701E-2</v>
      </c>
      <c r="CV54">
        <f>'eLLE Bals'!CC54*'Oxidant Feed Composition'!$N$21</f>
        <v>3.2984055592659334</v>
      </c>
      <c r="CW54">
        <f>'eLLE Bals'!CC54*'Oxidant Feed Composition'!$N$22</f>
        <v>0.98952166777978001</v>
      </c>
      <c r="CX54">
        <f>CU54/CP54</f>
        <v>7.9161733422382446E-2</v>
      </c>
      <c r="CY54">
        <f>CV54/CP54</f>
        <v>3.9580866711191205</v>
      </c>
      <c r="CZ54">
        <f>CJ54</f>
        <v>1.10044175857931</v>
      </c>
      <c r="DA54">
        <f>'eLLE Bals'!BQ54</f>
        <v>2.2008835171586201</v>
      </c>
      <c r="DB54">
        <f>'eLLE Bals'!BU54</f>
        <v>5.5135459749984346</v>
      </c>
      <c r="DC54">
        <f>CS54</f>
        <v>1.97904333555956</v>
      </c>
      <c r="DD54">
        <f>'eLLE Bals'!BX54</f>
        <v>3.95808667111912</v>
      </c>
      <c r="DE54">
        <f>'eLLE Bals'!CA54</f>
        <v>22.103824341834482</v>
      </c>
      <c r="DF54">
        <f>2*2*(CJ54*'Reagent cost'!$C$36*122.44/1000*0.5+CK54*'Oxidant Feed Composition'!$N$26+CQ54*'Reagent cost'!$C$34+CR54*'Reagent cost'!$C$35)</f>
        <v>73.921389505184862</v>
      </c>
      <c r="DG54">
        <f>2*2*(CS54*'Reagent cost'!$C$36*122.44/1000*0.5+CT54*'Oxidant Feed Composition'!$N$26+CX54*'Reagent cost'!$C$34+CY54*'Reagent cost'!$C$35)</f>
        <v>132.94082318759533</v>
      </c>
      <c r="DH54">
        <f>(AF54+3)*2*(CZ54*'Reagent cost'!$C$38*0.5+DA54*'Reagent cost'!$C$39+DB54*'Reagent cost'!$C$36*122.44/1000)</f>
        <v>904.59658427264139</v>
      </c>
      <c r="DI54">
        <f>3*2*(DC54*'Reagent cost'!$C$38*0.5+DD54*'Reagent cost'!$C$39+DE54*'Reagent cost'!$C$36*122.44/1000)</f>
        <v>1174.6060956488832</v>
      </c>
      <c r="DJ54">
        <f>7963.6*(CB54/1000)^0.6*1.7*('CAPEX+OPEX'!$G$116/'CAPEX+OPEX'!$G$115)</f>
        <v>2144.228934815284</v>
      </c>
      <c r="DK54">
        <f>7963.6*(CC54/1000)^0.6*1.7*('CAPEX+OPEX'!$G$116/'CAPEX+OPEX'!$G$115)</f>
        <v>6201.2466571653367</v>
      </c>
      <c r="DL54">
        <f>7963.6*(CD54/1000)^0.6*1.7*('CAPEX+OPEX'!$G$116/'CAPEX+OPEX'!$G$115)</f>
        <v>3049.3276891123733</v>
      </c>
      <c r="DM54">
        <f>7963.6*(CE54/1000)^0.6*1.7*('CAPEX+OPEX'!$G$116/'CAPEX+OPEX'!$G$115)</f>
        <v>6739.4252075675186</v>
      </c>
      <c r="DN54">
        <f>'TEA Revised Non EYZ'!CM54</f>
        <v>39625.826528698344</v>
      </c>
      <c r="DO54">
        <f>'TEA Revised Non EYZ'!CN54</f>
        <v>4586243.4239371875</v>
      </c>
      <c r="DP54">
        <f>'TEA Revised Non EYZ'!CO54</f>
        <v>11794834.586807497</v>
      </c>
      <c r="DQ54">
        <f>'TEA Revised Non EYZ'!CP54</f>
        <v>2275209.1661185985</v>
      </c>
      <c r="DR54">
        <f>'TEA Revised Non EYZ'!CQ54</f>
        <v>14083914.336508472</v>
      </c>
      <c r="DS54">
        <f>'TEA Revised Non EYZ'!CR54</f>
        <v>1662824.8986326549</v>
      </c>
      <c r="DT54">
        <f>'TEA Revised Non EYZ'!CS54</f>
        <v>751295.09040276916</v>
      </c>
      <c r="DU54">
        <f>'TEA Revised Non EYZ'!CT54</f>
        <v>1932169.8606163235</v>
      </c>
      <c r="DV54">
        <f>'TEA Revised Non EYZ'!CU54</f>
        <v>372713.20297186484</v>
      </c>
      <c r="DW54">
        <f>'TEA Revised Non EYZ'!CV54</f>
        <v>2307155.2721002945</v>
      </c>
      <c r="DX54">
        <f>'TEA Revised Non EYZ'!CW54</f>
        <v>272395.52441150707</v>
      </c>
      <c r="DY54">
        <f>'TEA Revised Non EYZ'!CX54</f>
        <v>5635728.9505027588</v>
      </c>
      <c r="DZ54">
        <f>'TEA Revised Non EYZ'!CY54</f>
        <v>610195.30439334596</v>
      </c>
      <c r="EA54">
        <f>'TEA Revised Non EYZ'!CZ54</f>
        <v>1569291.469223317</v>
      </c>
      <c r="EB54">
        <f>'TEA Revised Non EYZ'!DA54</f>
        <v>302714.40509069752</v>
      </c>
      <c r="EC54">
        <f>'TEA Revised Non EYZ'!DB54</f>
        <v>1873851.3422032651</v>
      </c>
      <c r="ED54">
        <f>'TEA Revised Non EYZ'!DC54</f>
        <v>221237.26356917509</v>
      </c>
      <c r="EE54">
        <f>'TEA Revised Non EYZ'!DD54</f>
        <v>4577289.7844798015</v>
      </c>
      <c r="EF54">
        <v>0.7</v>
      </c>
      <c r="EG54">
        <v>100</v>
      </c>
      <c r="EH54">
        <f>96485*BL54*V54/EF54/EG54/60</f>
        <v>25.280029303934459</v>
      </c>
      <c r="EI54">
        <f>96485*BN54*BA54/EF54/EG54/60</f>
        <v>45.463808626539084</v>
      </c>
      <c r="EJ54">
        <f>EH54*('CAPEX+OPEX'!$O$25+'CAPEX+OPEX'!$O$26)</f>
        <v>805725.09397499904</v>
      </c>
      <c r="EK54">
        <f>EI54*('CAPEX+OPEX'!$O$25+'CAPEX+OPEX'!$O$26)</f>
        <v>1449022.5085450537</v>
      </c>
      <c r="EL54">
        <f>EJ54*1.12/0.6*'CAPEX+OPEX'!$G$116/'CAPEX+OPEX'!$G$115</f>
        <v>1773928.987938937</v>
      </c>
      <c r="EM54">
        <f>EK54*1.12/0.6*'CAPEX+OPEX'!$G$116/'CAPEX+OPEX'!$G$115</f>
        <v>3190248.2016575076</v>
      </c>
      <c r="EN54">
        <f>EL54+EM54+DY54+EE54+1.15*(SUM(DF54:DM54)+SUM(CF54:CI54))</f>
        <v>15249937.887254147</v>
      </c>
      <c r="EO54">
        <f>EN54/15</f>
        <v>1016662.5258169431</v>
      </c>
      <c r="EP54">
        <f>('eLLE Bals'!CB54+'eLLE Bals'!CC54)*'Oxidant Feed Composition'!$N$29*60*7200</f>
        <v>7681335.8168579685</v>
      </c>
      <c r="EQ54" s="53">
        <f>('eLLE Bals'!BR54+'eLLE Bals'!BY54)*'Reagent cost'!$C$38*60*7200*0.5</f>
        <v>252772.76457245904</v>
      </c>
      <c r="ER54">
        <f>'TEA Revised Non EYZ'!DI54</f>
        <v>504921.59999999998</v>
      </c>
      <c r="ES54">
        <f>'TEA Revised Non EYZ'!DJ54</f>
        <v>70.849057673511695</v>
      </c>
      <c r="ET54">
        <f>'TEA Revised Non EYZ'!DK54</f>
        <v>714.97362876905424</v>
      </c>
      <c r="EU54">
        <f>1.2*SUM(EP54:ET54)</f>
        <v>10127779.204940245</v>
      </c>
      <c r="EV54">
        <f>'TEA Revised Non EYZ'!DM54</f>
        <v>0.70639694042110623</v>
      </c>
      <c r="EW54">
        <f>(BS54*CO54+BT54*CP54)/1000*('Oxidant Feed Composition'!$B$11*'Oxidant Feed Composition'!$O$20+'Oxidant Feed Composition'!$D$11*'Oxidant Feed Composition'!$O$21+'Oxidant Feed Composition'!$F$11*'Oxidant Feed Composition'!$O$27-'Oxidant Feed Composition'!$J$15*18.015)</f>
        <v>1.7981812507793224</v>
      </c>
      <c r="EX54">
        <f>(CZ54*BX54+DC54*BZ54)*368.34/1000</f>
        <v>0.10204971193751471</v>
      </c>
      <c r="EY54">
        <f>'TEA Revised Non EYZ'!DP54</f>
        <v>4.999938342565946E-2</v>
      </c>
      <c r="EZ54">
        <f>SUM(EV54:EX54)-EY54</f>
        <v>2.5566285197122842</v>
      </c>
      <c r="FA54">
        <f>EZ54*0.33*60*7200</f>
        <v>364472.96177018329</v>
      </c>
      <c r="FB54">
        <f>'TEA Revised Non EYZ'!DS54</f>
        <v>1.2</v>
      </c>
      <c r="FC54">
        <v>0.5</v>
      </c>
      <c r="FD54">
        <f>'TEA Revised Non EYZ'!DT54</f>
        <v>1405.3114316602573</v>
      </c>
      <c r="FE54">
        <f>'TEA Revised Non EYZ'!DU54</f>
        <v>706.4390902986579</v>
      </c>
      <c r="FF54">
        <f>'TEA Revised Non EYZ'!DV54</f>
        <v>0.7</v>
      </c>
      <c r="FG54">
        <f>'TEA Revised Non EYZ'!DW54</f>
        <v>41280.414286181804</v>
      </c>
      <c r="FH54">
        <f>'TEA Revised Non EYZ'!DX54</f>
        <v>37373.489075065132</v>
      </c>
      <c r="FI54">
        <f>'TEA Revised Non EYZ'!DY54</f>
        <v>15823.453035813865</v>
      </c>
      <c r="FJ54">
        <f>'TEA Revised Non EYZ'!DZ54</f>
        <v>8382.1245272768647</v>
      </c>
      <c r="FK54">
        <f>'TEA Revised Non EYZ'!EA54</f>
        <v>8439.174952434063</v>
      </c>
      <c r="FL54">
        <f>'TEA Revised Non EYZ'!EB54</f>
        <v>849.93235386812376</v>
      </c>
      <c r="FM54">
        <f>'TEA Revised Non EYZ'!EC54</f>
        <v>33428.38069799736</v>
      </c>
      <c r="FN54">
        <f>'TEA Revised Non EYZ'!ED54</f>
        <v>27156.220858243316</v>
      </c>
      <c r="FO54">
        <f>'TEA Revised Non EYZ'!EE54</f>
        <v>11497.593508530435</v>
      </c>
      <c r="FP54">
        <f>'TEA Revised Non EYZ'!EF54</f>
        <v>6093.9858628603142</v>
      </c>
      <c r="FQ54">
        <f>'TEA Revised Non EYZ'!EG54</f>
        <v>6132.0498712162334</v>
      </c>
      <c r="FR54">
        <f>'TEA Revised Non EYZ'!EH54</f>
        <v>427.2543618126283</v>
      </c>
      <c r="FS54">
        <f>'TEA Revised Non EYZ'!EI54</f>
        <v>196884.07339130016</v>
      </c>
      <c r="FT54">
        <f>EG54*EH54</f>
        <v>2528.0029303934457</v>
      </c>
      <c r="FU54">
        <f>EG54*EI54</f>
        <v>4546.3808626539085</v>
      </c>
      <c r="FV54">
        <f>FC54*(FT54+FU54)/(3.6*10^6)*3600*7200*0.07</f>
        <v>1782.7447158479333</v>
      </c>
      <c r="FW54">
        <f>('CAPEX+OPEX'!$C$39/7/100+0.03)*EL54</f>
        <v>91230.633665431043</v>
      </c>
      <c r="FX54">
        <f>('CAPEX+OPEX'!$C$39/7/100+0.03)*EM54</f>
        <v>164069.90751381466</v>
      </c>
      <c r="FY54">
        <f>SUM(FV54:FX54)</f>
        <v>257083.28589509364</v>
      </c>
      <c r="FZ54">
        <f>FY54+FA54+FS54+EU54</f>
        <v>10946219.525996821</v>
      </c>
      <c r="GA54">
        <f>FZ54+EO54</f>
        <v>11962882.051813764</v>
      </c>
      <c r="GB54">
        <f>GA54/(BK54*60*7200)</f>
        <v>0.2769185660142075</v>
      </c>
      <c r="GC54">
        <f>'TEA Revised Non EYZ'!EM54/'TEA Revised Non EYZ'!EK54*GA54</f>
        <v>926.8123334479202</v>
      </c>
      <c r="GD54">
        <f>'TEA Revised Non EYZ'!EN54/'TEA Revised Non EYZ'!EK54*GA54</f>
        <v>1698.7939735277598</v>
      </c>
    </row>
    <row r="55" spans="1:186">
      <c r="A55">
        <f>'TEA Revised Non EYZ'!A55</f>
        <v>8</v>
      </c>
      <c r="B55">
        <f>'TEA Revised Non EYZ'!B55</f>
        <v>1.54143585092054E-3</v>
      </c>
      <c r="C55">
        <f>'TEA Revised Non EYZ'!C55</f>
        <v>1.54143585092054E-3</v>
      </c>
      <c r="D55">
        <f>'TEA Revised Non EYZ'!D55</f>
        <v>3.4254130020456501E-4</v>
      </c>
      <c r="E55">
        <f>'TEA Revised Non EYZ'!E55</f>
        <v>0</v>
      </c>
      <c r="F55">
        <f>'TEA Revised Non EYZ'!F55</f>
        <v>0</v>
      </c>
      <c r="G55">
        <f>'TEA Revised Non EYZ'!G55</f>
        <v>0</v>
      </c>
      <c r="H55">
        <f>'TEA Revised Non EYZ'!H55</f>
        <v>1.7762434284205799E-5</v>
      </c>
      <c r="I55">
        <f>'TEA Revised Non EYZ'!I55</f>
        <v>4.4591984978445998E-9</v>
      </c>
      <c r="J55">
        <f>'TEA Revised Non EYZ'!J55</f>
        <v>3.37570976171142E-4</v>
      </c>
      <c r="K55">
        <f>'TEA Revised Non EYZ'!K55</f>
        <v>0.13846015972746001</v>
      </c>
      <c r="L55">
        <f>'TEA Revised Non EYZ'!L55</f>
        <v>0.14007387303476199</v>
      </c>
      <c r="M55">
        <f>'TEA Revised Non EYZ'!M55</f>
        <v>4.5166625081916902E-4</v>
      </c>
      <c r="N55">
        <f>'TEA Revised Non EYZ'!N55</f>
        <v>-2.6107588313450902E-16</v>
      </c>
      <c r="O55">
        <f>'TEA Revised Non EYZ'!O55</f>
        <v>-1.18524981496115E-14</v>
      </c>
      <c r="P55">
        <f>'TEA Revised Non EYZ'!P55</f>
        <v>-2.5241581828178102E-19</v>
      </c>
      <c r="Q55">
        <f>'TEA Revised Non EYZ'!Q55</f>
        <v>0.110044175857931</v>
      </c>
      <c r="R55">
        <f>'TEA Revised Non EYZ'!R55</f>
        <v>98.548985471108097</v>
      </c>
      <c r="S55">
        <f>'TEA Revised Non EYZ'!S55</f>
        <v>500</v>
      </c>
      <c r="T55">
        <f>'TEA Revised Non EYZ'!T55</f>
        <v>95</v>
      </c>
      <c r="U55">
        <f>'TEA Revised Non EYZ'!U55</f>
        <v>1</v>
      </c>
      <c r="V55">
        <f>'TEA Revised Non EYZ'!V55</f>
        <v>0.1</v>
      </c>
      <c r="W55">
        <f>'TEA Revised Non EYZ'!W55</f>
        <v>90.872596591664205</v>
      </c>
      <c r="X55" t="str">
        <f>'TEA Revised Non EYZ'!X55</f>
        <v>ddFc</v>
      </c>
      <c r="Y55">
        <f>'TEA Revised Non EYZ'!Y55</f>
        <v>1</v>
      </c>
      <c r="Z55">
        <f>'TEA Revised Non EYZ'!Z55</f>
        <v>0.28318429382522198</v>
      </c>
      <c r="AA55">
        <f>'TEA Revised Non EYZ'!AA55</f>
        <v>0.56945642916197003</v>
      </c>
      <c r="AB55">
        <f>'TEA Revised Non EYZ'!AB55</f>
        <v>3.7698628972227502E-3</v>
      </c>
      <c r="AC55">
        <f>'TEA Revised Non EYZ'!AC55</f>
        <v>1822.2107908876901</v>
      </c>
      <c r="AD55">
        <f>'TEA Revised Non EYZ'!AD55</f>
        <v>2662.6059073104898</v>
      </c>
      <c r="AE55">
        <f>'TEA Revised Non EYZ'!AE55</f>
        <v>2401.5030938442701</v>
      </c>
      <c r="AF55">
        <f>'TEA Revised Non EYZ'!AF55</f>
        <v>7</v>
      </c>
      <c r="AG55">
        <f>'TEA Revised Non EYZ'!AG55</f>
        <v>1.6497294784823999E-3</v>
      </c>
      <c r="AH55">
        <f>'TEA Revised Non EYZ'!AH55</f>
        <v>1.66895660069658E-3</v>
      </c>
      <c r="AI55">
        <f>'TEA Revised Non EYZ'!AI55</f>
        <v>5.38152729188446E-6</v>
      </c>
      <c r="AJ55">
        <f>'TEA Revised Non EYZ'!AJ55</f>
        <v>0</v>
      </c>
      <c r="AK55">
        <f>'TEA Revised Non EYZ'!AK55</f>
        <v>0</v>
      </c>
      <c r="AL55">
        <f>'TEA Revised Non EYZ'!AL55</f>
        <v>0</v>
      </c>
      <c r="AM55">
        <f>'TEA Revised Non EYZ'!AM55</f>
        <v>1.6125869955133201E-3</v>
      </c>
      <c r="AN55">
        <f>'TEA Revised Non EYZ'!AN55</f>
        <v>7.9527043739658596E-5</v>
      </c>
      <c r="AO55">
        <f>'TEA Revised Non EYZ'!AO55</f>
        <v>5.3459560242007103E-6</v>
      </c>
      <c r="AP55">
        <f>'TEA Revised Non EYZ'!AP55</f>
        <v>1.7397829738956801E-3</v>
      </c>
      <c r="AQ55">
        <f>'TEA Revised Non EYZ'!AQ55</f>
        <v>7.4450124503133999E-2</v>
      </c>
      <c r="AR55">
        <f>'TEA Revised Non EYZ'!AR55</f>
        <v>1.6661860201321599E-6</v>
      </c>
      <c r="AS55">
        <f>'TEA Revised Non EYZ'!AS55</f>
        <v>-4.4926627522367998E-18</v>
      </c>
      <c r="AT55">
        <f>'TEA Revised Non EYZ'!AT55</f>
        <v>-1.8262301393345801E-15</v>
      </c>
      <c r="AU55">
        <f>'TEA Revised Non EYZ'!AU55</f>
        <v>-5.4726269326508303E-21</v>
      </c>
      <c r="AV55">
        <f>'TEA Revised Non EYZ'!AV55</f>
        <v>0.197176435957374</v>
      </c>
      <c r="AW55">
        <f>'TEA Revised Non EYZ'!AW55</f>
        <v>99.339011664265001</v>
      </c>
      <c r="AX55">
        <f>'TEA Revised Non EYZ'!AX55</f>
        <v>499.99999999999898</v>
      </c>
      <c r="AY55">
        <f>'TEA Revised Non EYZ'!AY55</f>
        <v>95</v>
      </c>
      <c r="AZ55">
        <f>'TEA Revised Non EYZ'!AZ55</f>
        <v>0.92358985913147196</v>
      </c>
      <c r="BA55">
        <f>'TEA Revised Non EYZ'!BA55</f>
        <v>0.1</v>
      </c>
      <c r="BB55">
        <f>'TEA Revised Non EYZ'!BB55</f>
        <v>46.840782705451403</v>
      </c>
      <c r="BC55" t="str">
        <f>'TEA Revised Non EYZ'!BC55</f>
        <v>coeFc</v>
      </c>
      <c r="BD55">
        <f>'TEA Revised Non EYZ'!BD55</f>
        <v>1</v>
      </c>
      <c r="BE55">
        <f>'TEA Revised Non EYZ'!BE55</f>
        <v>1.8775014999999999E-2</v>
      </c>
      <c r="BF55">
        <f>'TEA Revised Non EYZ'!BF55</f>
        <v>0.10492961100000001</v>
      </c>
      <c r="BG55">
        <f>'TEA Revised Non EYZ'!BG55</f>
        <v>1.814625E-3</v>
      </c>
      <c r="BH55">
        <f>'TEA Revised Non EYZ'!BH55</f>
        <v>285.1951444</v>
      </c>
      <c r="BI55">
        <f>'TEA Revised Non EYZ'!BI55</f>
        <v>2169.8944889999998</v>
      </c>
      <c r="BJ55">
        <f>'TEA Revised Non EYZ'!BJ55</f>
        <v>866.49409060000005</v>
      </c>
      <c r="BK55">
        <f>'TEA Revised Non EYZ'!BK55</f>
        <v>100</v>
      </c>
      <c r="BL55">
        <f>'TEA Revised Non EYZ'!BL55</f>
        <v>11.004417585793099</v>
      </c>
      <c r="BM55">
        <f>'TEA Revised Non EYZ'!BM55</f>
        <v>92.358985913147194</v>
      </c>
      <c r="BN55">
        <f>'TEA Revised Non EYZ'!BN55</f>
        <v>19.7176435957374</v>
      </c>
      <c r="BO55">
        <f>'TEA Revised Non EYZ'!BO55</f>
        <v>220.08835171586199</v>
      </c>
      <c r="BP55">
        <f>'TEA Revised Non EYZ'!BP55</f>
        <v>354.91758472327319</v>
      </c>
      <c r="BQ55">
        <f>'TEA Revised Non EYZ'!BQ55</f>
        <v>22.008835171586199</v>
      </c>
      <c r="BR55">
        <f>'TEA Revised Non EYZ'!BR55</f>
        <v>35.491758472327319</v>
      </c>
      <c r="BS55">
        <f>'eLLE Bals'!CF55</f>
        <v>6.6026505514758593</v>
      </c>
      <c r="BT55">
        <f>'eLLE Bals'!CG55</f>
        <v>11.83058615744244</v>
      </c>
      <c r="BU55">
        <f>BM55</f>
        <v>92.358985913147194</v>
      </c>
      <c r="BV55">
        <f>BU55*(AM55*2+AN55*2+AO55*3)</f>
        <v>0.31404511466100327</v>
      </c>
      <c r="BW55">
        <f>BN55*BA55*(AP55*2+AQ55*2+AR55*3)</f>
        <v>0.30046694422348863</v>
      </c>
      <c r="BX55">
        <f>BV55/(2*V55*BL55+BV55)</f>
        <v>0.12487237637188239</v>
      </c>
      <c r="BY55">
        <f>BU55*BX55</f>
        <v>11.533086050271901</v>
      </c>
      <c r="BZ55">
        <f>BW55/(2*BN55*BA55+BW55)</f>
        <v>7.0798127061428323E-2</v>
      </c>
      <c r="CA55">
        <f>2*BN55*BA55/0.04</f>
        <v>98.588217978686998</v>
      </c>
      <c r="CB55">
        <f>(BS55+BL55)*2</f>
        <v>35.214136274537921</v>
      </c>
      <c r="CC55">
        <f>(BU55+BL55)*2</f>
        <v>206.7268069978806</v>
      </c>
      <c r="CD55">
        <f>(BT55+BN55)*2</f>
        <v>63.096459506359679</v>
      </c>
      <c r="CE55">
        <f>(CA55+BN55)*2</f>
        <v>236.6117231488488</v>
      </c>
      <c r="CF55">
        <f>'TEA Revised Non EYZ'!CB55</f>
        <v>2905.1662426493785</v>
      </c>
      <c r="CG55">
        <f>'TEA Revised Non EYZ'!CC55</f>
        <v>4684.9121183472062</v>
      </c>
      <c r="CH55">
        <f>'TEA Revised Non EYZ'!CD55</f>
        <v>3509.9789962792502</v>
      </c>
      <c r="CI55">
        <f>'TEA Revised Non EYZ'!CE55</f>
        <v>36135.1435558425</v>
      </c>
      <c r="CJ55">
        <f>BL55*V55</f>
        <v>1.10044175857931</v>
      </c>
      <c r="CK55">
        <f>CJ55/2*1.2</f>
        <v>0.66026505514758604</v>
      </c>
      <c r="CL55">
        <f>'eLLE Bals'!CB55*'Oxidant Feed Composition'!$N$20</f>
        <v>3.668139195264368E-2</v>
      </c>
      <c r="CM55">
        <f>'eLLE Bals'!CB55*'Oxidant Feed Composition'!$N$21</f>
        <v>1.8340695976321835</v>
      </c>
      <c r="CN55">
        <f>'eLLE Bals'!CB55*'Oxidant Feed Composition'!$N$22</f>
        <v>0.55022087928965502</v>
      </c>
      <c r="CO55">
        <f>CN55/CK55</f>
        <v>0.83333333333333326</v>
      </c>
      <c r="CP55">
        <f>CO55</f>
        <v>0.83333333333333326</v>
      </c>
      <c r="CQ55">
        <f>CL55/CO55</f>
        <v>4.4017670343172423E-2</v>
      </c>
      <c r="CR55">
        <f>CM55/CO55</f>
        <v>2.2008835171586205</v>
      </c>
      <c r="CS55">
        <f>BN55*BA55</f>
        <v>1.97176435957374</v>
      </c>
      <c r="CT55">
        <f>CS55/2*1.2</f>
        <v>1.183058615744244</v>
      </c>
      <c r="CU55">
        <f>'eLLE Bals'!CC55*'Oxidant Feed Composition'!$N$20</f>
        <v>6.5725478652458022E-2</v>
      </c>
      <c r="CV55">
        <f>'eLLE Bals'!CC55*'Oxidant Feed Composition'!$N$21</f>
        <v>3.2862739326229002</v>
      </c>
      <c r="CW55">
        <f>'eLLE Bals'!CC55*'Oxidant Feed Composition'!$N$22</f>
        <v>0.98588217978686998</v>
      </c>
      <c r="CX55">
        <f>CU55/CP55</f>
        <v>7.8870574382949629E-2</v>
      </c>
      <c r="CY55">
        <f>CV55/CP55</f>
        <v>3.9435287191474808</v>
      </c>
      <c r="CZ55">
        <f>CJ55</f>
        <v>1.10044175857931</v>
      </c>
      <c r="DA55">
        <f>'eLLE Bals'!BQ55</f>
        <v>2.2008835171586201</v>
      </c>
      <c r="DB55">
        <f>'eLLE Bals'!BU55</f>
        <v>5.5112062909106427</v>
      </c>
      <c r="DC55">
        <f>CS55</f>
        <v>1.97176435957374</v>
      </c>
      <c r="DD55">
        <f>'eLLE Bals'!BX55</f>
        <v>3.9435287191474799</v>
      </c>
      <c r="DE55">
        <f>'eLLE Bals'!CA55</f>
        <v>21.935222767028907</v>
      </c>
      <c r="DF55">
        <f>2*2*(CJ55*'Reagent cost'!$C$36*122.44/1000*0.5+CK55*'Oxidant Feed Composition'!$N$26+CQ55*'Reagent cost'!$C$34+CR55*'Reagent cost'!$C$35)</f>
        <v>73.921389505184862</v>
      </c>
      <c r="DG55">
        <f>2*2*(CS55*'Reagent cost'!$C$36*122.44/1000*0.5+CT55*'Oxidant Feed Composition'!$N$26+CX55*'Reagent cost'!$C$34+CY55*'Reagent cost'!$C$35)</f>
        <v>132.45186317235439</v>
      </c>
      <c r="DH55">
        <f>(AF55+3)*2*(CZ55*'Reagent cost'!$C$38*0.5+DA55*'Reagent cost'!$C$39+DB55*'Reagent cost'!$C$36*122.44/1000)</f>
        <v>1004.7027043314929</v>
      </c>
      <c r="DI55">
        <f>3*2*(DC55*'Reagent cost'!$C$38*0.5+DD55*'Reagent cost'!$C$39+DE55*'Reagent cost'!$C$36*122.44/1000)</f>
        <v>1165.7565530784959</v>
      </c>
      <c r="DJ55">
        <f>7963.6*(CB55/1000)^0.6*1.7*('CAPEX+OPEX'!$G$116/'CAPEX+OPEX'!$G$115)</f>
        <v>2144.228934815284</v>
      </c>
      <c r="DK55">
        <f>7963.6*(CC55/1000)^0.6*1.7*('CAPEX+OPEX'!$G$116/'CAPEX+OPEX'!$G$115)</f>
        <v>6201.2466571653367</v>
      </c>
      <c r="DL55">
        <f>7963.6*(CD55/1000)^0.6*1.7*('CAPEX+OPEX'!$G$116/'CAPEX+OPEX'!$G$115)</f>
        <v>3042.5934236628641</v>
      </c>
      <c r="DM55">
        <f>7963.6*(CE55/1000)^0.6*1.7*('CAPEX+OPEX'!$G$116/'CAPEX+OPEX'!$G$115)</f>
        <v>6724.5415732218489</v>
      </c>
      <c r="DN55">
        <f>'TEA Revised Non EYZ'!CM55</f>
        <v>39625.826528698344</v>
      </c>
      <c r="DO55">
        <f>'TEA Revised Non EYZ'!CN55</f>
        <v>4586243.4239371875</v>
      </c>
      <c r="DP55">
        <f>'TEA Revised Non EYZ'!CO55</f>
        <v>11794834.586807497</v>
      </c>
      <c r="DQ55">
        <f>'TEA Revised Non EYZ'!CP55</f>
        <v>2275209.1661185985</v>
      </c>
      <c r="DR55">
        <f>'TEA Revised Non EYZ'!CQ55</f>
        <v>14083914.336508472</v>
      </c>
      <c r="DS55">
        <f>'TEA Revised Non EYZ'!CR55</f>
        <v>1662824.8986326549</v>
      </c>
      <c r="DT55">
        <f>'TEA Revised Non EYZ'!CS55</f>
        <v>751295.09040276916</v>
      </c>
      <c r="DU55">
        <f>'TEA Revised Non EYZ'!CT55</f>
        <v>1932169.8606163235</v>
      </c>
      <c r="DV55">
        <f>'TEA Revised Non EYZ'!CU55</f>
        <v>372713.20297186484</v>
      </c>
      <c r="DW55">
        <f>'TEA Revised Non EYZ'!CV55</f>
        <v>2307155.2721002945</v>
      </c>
      <c r="DX55">
        <f>'TEA Revised Non EYZ'!CW55</f>
        <v>272395.52441150707</v>
      </c>
      <c r="DY55">
        <f>'TEA Revised Non EYZ'!CX55</f>
        <v>5635728.9505027588</v>
      </c>
      <c r="DZ55">
        <f>'TEA Revised Non EYZ'!CY55</f>
        <v>661095.23897018633</v>
      </c>
      <c r="EA55">
        <f>'TEA Revised Non EYZ'!CZ55</f>
        <v>1700195.1856897587</v>
      </c>
      <c r="EB55">
        <f>'TEA Revised Non EYZ'!DA55</f>
        <v>327965.57189523784</v>
      </c>
      <c r="EC55">
        <f>'TEA Revised Non EYZ'!DB55</f>
        <v>2030160.1666700414</v>
      </c>
      <c r="ED55">
        <f>'TEA Revised Non EYZ'!DC55</f>
        <v>239691.94875038246</v>
      </c>
      <c r="EE55">
        <f>'TEA Revised Non EYZ'!DD55</f>
        <v>4959108.1119756065</v>
      </c>
      <c r="EF55">
        <v>0.7</v>
      </c>
      <c r="EG55">
        <v>100</v>
      </c>
      <c r="EH55">
        <f>96485*BL55*V55/EF55/EG55/60</f>
        <v>25.280029303934459</v>
      </c>
      <c r="EI55">
        <f>96485*BN55*BA55/EF55/EG55/60</f>
        <v>45.296591484160089</v>
      </c>
      <c r="EJ55">
        <f>EH55*('CAPEX+OPEX'!$O$25+'CAPEX+OPEX'!$O$26)</f>
        <v>805725.09397499904</v>
      </c>
      <c r="EK55">
        <f>EI55*('CAPEX+OPEX'!$O$25+'CAPEX+OPEX'!$O$26)</f>
        <v>1443692.9637831503</v>
      </c>
      <c r="EL55">
        <f>EJ55*1.12/0.6*'CAPEX+OPEX'!$G$116/'CAPEX+OPEX'!$G$115</f>
        <v>1773928.987938937</v>
      </c>
      <c r="EM55">
        <f>EK55*1.12/0.6*'CAPEX+OPEX'!$G$116/'CAPEX+OPEX'!$G$115</f>
        <v>3178514.3807595931</v>
      </c>
      <c r="EN55">
        <f>EL55+EM55+DY55+EE55+1.15*(SUM(DF55:DM55)+SUM(CF55:CI55))</f>
        <v>15625163.771790776</v>
      </c>
      <c r="EO55">
        <f>EN55/15</f>
        <v>1041677.5847860518</v>
      </c>
      <c r="EP55">
        <f>('eLLE Bals'!CB55+'eLLE Bals'!CC55)*'Oxidant Feed Composition'!$N$29*60*7200</f>
        <v>7663179.4506991114</v>
      </c>
      <c r="EQ55" s="53">
        <f>('eLLE Bals'!BR55+'eLLE Bals'!BY55)*'Reagent cost'!$C$38*60*7200*0.5</f>
        <v>252735.3341678624</v>
      </c>
      <c r="ER55">
        <f>'TEA Revised Non EYZ'!DI55</f>
        <v>504921.59999999998</v>
      </c>
      <c r="ES55">
        <f>'TEA Revised Non EYZ'!DJ55</f>
        <v>75.900783609965842</v>
      </c>
      <c r="ET55">
        <f>'TEA Revised Non EYZ'!DK55</f>
        <v>792.90245104243502</v>
      </c>
      <c r="EU55">
        <f>1.2*SUM(EP55:ET55)</f>
        <v>10106046.22572195</v>
      </c>
      <c r="EV55">
        <f>'TEA Revised Non EYZ'!DM55</f>
        <v>0.70639694042110623</v>
      </c>
      <c r="EW55">
        <f>(BS55*CO55+BT55*CP55)/1000*('Oxidant Feed Composition'!$B$11*'Oxidant Feed Composition'!$O$20+'Oxidant Feed Composition'!$D$11*'Oxidant Feed Composition'!$O$21+'Oxidant Feed Composition'!$F$11*'Oxidant Feed Composition'!$O$27-'Oxidant Feed Composition'!$J$15*18.015)</f>
        <v>1.7939308914684478</v>
      </c>
      <c r="EX55">
        <f>(CZ55*BX55+DC55*BZ55)*368.34/1000</f>
        <v>0.10203460049141708</v>
      </c>
      <c r="EY55">
        <f>'TEA Revised Non EYZ'!DP55</f>
        <v>4.999938342565946E-2</v>
      </c>
      <c r="EZ55">
        <f>SUM(EV55:EX55)-EY55</f>
        <v>2.552363048955312</v>
      </c>
      <c r="FA55">
        <f>EZ55*0.33*60*7200</f>
        <v>363864.87625906931</v>
      </c>
      <c r="FB55">
        <f>'TEA Revised Non EYZ'!DS55</f>
        <v>1.2</v>
      </c>
      <c r="FC55">
        <v>0.5</v>
      </c>
      <c r="FD55">
        <f>'TEA Revised Non EYZ'!DT55</f>
        <v>1405.7380096269114</v>
      </c>
      <c r="FE55">
        <f>'TEA Revised Non EYZ'!DU55</f>
        <v>706.0125123327706</v>
      </c>
      <c r="FF55">
        <f>'TEA Revised Non EYZ'!DV55</f>
        <v>0.7</v>
      </c>
      <c r="FG55">
        <f>'TEA Revised Non EYZ'!DW55</f>
        <v>41280.414286181804</v>
      </c>
      <c r="FH55">
        <f>'TEA Revised Non EYZ'!DX55</f>
        <v>37373.489075065132</v>
      </c>
      <c r="FI55">
        <f>'TEA Revised Non EYZ'!DY55</f>
        <v>15823.453035813865</v>
      </c>
      <c r="FJ55">
        <f>'TEA Revised Non EYZ'!DZ55</f>
        <v>8382.1245272768647</v>
      </c>
      <c r="FK55">
        <f>'TEA Revised Non EYZ'!EA55</f>
        <v>8439.174952434063</v>
      </c>
      <c r="FL55">
        <f>'TEA Revised Non EYZ'!EB55</f>
        <v>850.19034822235619</v>
      </c>
      <c r="FM55">
        <f>'TEA Revised Non EYZ'!EC55</f>
        <v>35999.794597843313</v>
      </c>
      <c r="FN55">
        <f>'TEA Revised Non EYZ'!ED55</f>
        <v>31035.680980849509</v>
      </c>
      <c r="FO55">
        <f>'TEA Revised Non EYZ'!EE55</f>
        <v>13140.106866891929</v>
      </c>
      <c r="FP55">
        <f>'TEA Revised Non EYZ'!EF55</f>
        <v>6964.5552718403605</v>
      </c>
      <c r="FQ55">
        <f>'TEA Revised Non EYZ'!EG55</f>
        <v>7008.0569956756972</v>
      </c>
      <c r="FR55">
        <f>'TEA Revised Non EYZ'!EH55</f>
        <v>426.99636745885965</v>
      </c>
      <c r="FS55">
        <f>'TEA Revised Non EYZ'!EI55</f>
        <v>206724.03730555376</v>
      </c>
      <c r="FT55">
        <f>EG55*EH55</f>
        <v>2528.0029303934457</v>
      </c>
      <c r="FU55">
        <f>EG55*EI55</f>
        <v>4529.659148416009</v>
      </c>
      <c r="FV55">
        <f>FC55*(FT55+FU55)/(3.6*10^6)*3600*7200*0.07</f>
        <v>1778.530843859983</v>
      </c>
      <c r="FW55">
        <f>('CAPEX+OPEX'!$C$39/7/100+0.03)*EL55</f>
        <v>91230.633665431043</v>
      </c>
      <c r="FX55">
        <f>('CAPEX+OPEX'!$C$39/7/100+0.03)*EM55</f>
        <v>163466.45386763621</v>
      </c>
      <c r="FY55">
        <f>SUM(FV55:FX55)</f>
        <v>256475.61837692725</v>
      </c>
      <c r="FZ55">
        <f>FY55+FA55+FS55+EU55</f>
        <v>10933110.7576635</v>
      </c>
      <c r="GA55">
        <f>FZ55+EO55</f>
        <v>11974788.342449551</v>
      </c>
      <c r="GB55">
        <f>GA55/(BK55*60*7200)</f>
        <v>0.27719417459373963</v>
      </c>
      <c r="GC55">
        <f>'TEA Revised Non EYZ'!EM55/'TEA Revised Non EYZ'!EK55*GA55</f>
        <v>927.45305969140395</v>
      </c>
      <c r="GD55">
        <f>'TEA Revised Non EYZ'!EN55/'TEA Revised Non EYZ'!EK55*GA55</f>
        <v>1701.4319734770165</v>
      </c>
    </row>
    <row r="56" spans="1:186">
      <c r="A56">
        <f>'TEA Revised Non EYZ'!A56</f>
        <v>8</v>
      </c>
      <c r="B56">
        <f>'TEA Revised Non EYZ'!B56</f>
        <v>1.54143585092054E-3</v>
      </c>
      <c r="C56">
        <f>'TEA Revised Non EYZ'!C56</f>
        <v>1.54143585092054E-3</v>
      </c>
      <c r="D56">
        <f>'TEA Revised Non EYZ'!D56</f>
        <v>3.4254130020456501E-4</v>
      </c>
      <c r="E56">
        <f>'TEA Revised Non EYZ'!E56</f>
        <v>0</v>
      </c>
      <c r="F56">
        <f>'TEA Revised Non EYZ'!F56</f>
        <v>0</v>
      </c>
      <c r="G56">
        <f>'TEA Revised Non EYZ'!G56</f>
        <v>0</v>
      </c>
      <c r="H56">
        <f>'TEA Revised Non EYZ'!H56</f>
        <v>1.7762434284205799E-5</v>
      </c>
      <c r="I56">
        <f>'TEA Revised Non EYZ'!I56</f>
        <v>4.4591984978445998E-9</v>
      </c>
      <c r="J56">
        <f>'TEA Revised Non EYZ'!J56</f>
        <v>3.37570976171142E-4</v>
      </c>
      <c r="K56">
        <f>'TEA Revised Non EYZ'!K56</f>
        <v>0.13846015972746001</v>
      </c>
      <c r="L56">
        <f>'TEA Revised Non EYZ'!L56</f>
        <v>0.14007387303476199</v>
      </c>
      <c r="M56">
        <f>'TEA Revised Non EYZ'!M56</f>
        <v>4.5166625081916902E-4</v>
      </c>
      <c r="N56">
        <f>'TEA Revised Non EYZ'!N56</f>
        <v>-2.6107588313450902E-16</v>
      </c>
      <c r="O56">
        <f>'TEA Revised Non EYZ'!O56</f>
        <v>-1.18524981496115E-14</v>
      </c>
      <c r="P56">
        <f>'TEA Revised Non EYZ'!P56</f>
        <v>-2.5241581828178102E-19</v>
      </c>
      <c r="Q56">
        <f>'TEA Revised Non EYZ'!Q56</f>
        <v>0.110044175857931</v>
      </c>
      <c r="R56">
        <f>'TEA Revised Non EYZ'!R56</f>
        <v>98.548985471108097</v>
      </c>
      <c r="S56">
        <f>'TEA Revised Non EYZ'!S56</f>
        <v>500</v>
      </c>
      <c r="T56">
        <f>'TEA Revised Non EYZ'!T56</f>
        <v>95</v>
      </c>
      <c r="U56">
        <f>'TEA Revised Non EYZ'!U56</f>
        <v>1</v>
      </c>
      <c r="V56">
        <f>'TEA Revised Non EYZ'!V56</f>
        <v>0.1</v>
      </c>
      <c r="W56">
        <f>'TEA Revised Non EYZ'!W56</f>
        <v>90.872596591664205</v>
      </c>
      <c r="X56" t="str">
        <f>'TEA Revised Non EYZ'!X56</f>
        <v>ddFc</v>
      </c>
      <c r="Y56">
        <f>'TEA Revised Non EYZ'!Y56</f>
        <v>1</v>
      </c>
      <c r="Z56">
        <f>'TEA Revised Non EYZ'!Z56</f>
        <v>0.28318429382522198</v>
      </c>
      <c r="AA56">
        <f>'TEA Revised Non EYZ'!AA56</f>
        <v>0.56945642916197003</v>
      </c>
      <c r="AB56">
        <f>'TEA Revised Non EYZ'!AB56</f>
        <v>3.7698628972227502E-3</v>
      </c>
      <c r="AC56">
        <f>'TEA Revised Non EYZ'!AC56</f>
        <v>1822.2107908876901</v>
      </c>
      <c r="AD56">
        <f>'TEA Revised Non EYZ'!AD56</f>
        <v>2662.6059073104898</v>
      </c>
      <c r="AE56">
        <f>'TEA Revised Non EYZ'!AE56</f>
        <v>2401.5030938442701</v>
      </c>
      <c r="AF56">
        <f>'TEA Revised Non EYZ'!AF56</f>
        <v>8</v>
      </c>
      <c r="AG56">
        <f>'TEA Revised Non EYZ'!AG56</f>
        <v>1.6497294784823999E-3</v>
      </c>
      <c r="AH56">
        <f>'TEA Revised Non EYZ'!AH56</f>
        <v>1.66895660069658E-3</v>
      </c>
      <c r="AI56">
        <f>'TEA Revised Non EYZ'!AI56</f>
        <v>5.38152729188446E-6</v>
      </c>
      <c r="AJ56">
        <f>'TEA Revised Non EYZ'!AJ56</f>
        <v>0</v>
      </c>
      <c r="AK56">
        <f>'TEA Revised Non EYZ'!AK56</f>
        <v>0</v>
      </c>
      <c r="AL56">
        <f>'TEA Revised Non EYZ'!AL56</f>
        <v>0</v>
      </c>
      <c r="AM56">
        <f>'TEA Revised Non EYZ'!AM56</f>
        <v>1.6127265357375701E-3</v>
      </c>
      <c r="AN56">
        <f>'TEA Revised Non EYZ'!AN56</f>
        <v>7.9534259850848901E-5</v>
      </c>
      <c r="AO56">
        <f>'TEA Revised Non EYZ'!AO56</f>
        <v>5.3460841353395197E-6</v>
      </c>
      <c r="AP56">
        <f>'TEA Revised Non EYZ'!AP56</f>
        <v>1.7350722139013899E-3</v>
      </c>
      <c r="AQ56">
        <f>'TEA Revised Non EYZ'!AQ56</f>
        <v>7.4528195270851597E-2</v>
      </c>
      <c r="AR56">
        <f>'TEA Revised Non EYZ'!AR56</f>
        <v>1.6619336609946501E-6</v>
      </c>
      <c r="AS56">
        <f>'TEA Revised Non EYZ'!AS56</f>
        <v>5.2535422843599799E-15</v>
      </c>
      <c r="AT56">
        <f>'TEA Revised Non EYZ'!AT56</f>
        <v>-1.2261545945246801E-12</v>
      </c>
      <c r="AU56">
        <f>'TEA Revised Non EYZ'!AU56</f>
        <v>2.5556572205438301E-20</v>
      </c>
      <c r="AV56">
        <f>'TEA Revised Non EYZ'!AV56</f>
        <v>0.19696899297954801</v>
      </c>
      <c r="AW56">
        <f>'TEA Revised Non EYZ'!AW56</f>
        <v>99.341392236393602</v>
      </c>
      <c r="AX56">
        <f>'TEA Revised Non EYZ'!AX56</f>
        <v>499.99999999999898</v>
      </c>
      <c r="AY56">
        <f>'TEA Revised Non EYZ'!AY56</f>
        <v>95</v>
      </c>
      <c r="AZ56">
        <f>'TEA Revised Non EYZ'!AZ56</f>
        <v>0.92358985913147196</v>
      </c>
      <c r="BA56">
        <f>'TEA Revised Non EYZ'!BA56</f>
        <v>0.1</v>
      </c>
      <c r="BB56">
        <f>'TEA Revised Non EYZ'!BB56</f>
        <v>46.890114284504001</v>
      </c>
      <c r="BC56" t="str">
        <f>'TEA Revised Non EYZ'!BC56</f>
        <v>coeFc</v>
      </c>
      <c r="BD56">
        <f>'TEA Revised Non EYZ'!BD56</f>
        <v>1</v>
      </c>
      <c r="BE56">
        <f>'TEA Revised Non EYZ'!BE56</f>
        <v>1.8775014999999999E-2</v>
      </c>
      <c r="BF56">
        <f>'TEA Revised Non EYZ'!BF56</f>
        <v>0.10492961100000001</v>
      </c>
      <c r="BG56">
        <f>'TEA Revised Non EYZ'!BG56</f>
        <v>1.814625E-3</v>
      </c>
      <c r="BH56">
        <f>'TEA Revised Non EYZ'!BH56</f>
        <v>285.1951444</v>
      </c>
      <c r="BI56">
        <f>'TEA Revised Non EYZ'!BI56</f>
        <v>2169.8944889999998</v>
      </c>
      <c r="BJ56">
        <f>'TEA Revised Non EYZ'!BJ56</f>
        <v>866.49409060000005</v>
      </c>
      <c r="BK56">
        <f>'TEA Revised Non EYZ'!BK56</f>
        <v>100</v>
      </c>
      <c r="BL56">
        <f>'TEA Revised Non EYZ'!BL56</f>
        <v>11.004417585793099</v>
      </c>
      <c r="BM56">
        <f>'TEA Revised Non EYZ'!BM56</f>
        <v>92.358985913147194</v>
      </c>
      <c r="BN56">
        <f>'TEA Revised Non EYZ'!BN56</f>
        <v>19.696899297954801</v>
      </c>
      <c r="BO56">
        <f>'TEA Revised Non EYZ'!BO56</f>
        <v>220.08835171586199</v>
      </c>
      <c r="BP56">
        <f>'TEA Revised Non EYZ'!BP56</f>
        <v>393.93798595909601</v>
      </c>
      <c r="BQ56">
        <f>'TEA Revised Non EYZ'!BQ56</f>
        <v>22.008835171586199</v>
      </c>
      <c r="BR56">
        <f>'TEA Revised Non EYZ'!BR56</f>
        <v>39.393798595909601</v>
      </c>
      <c r="BS56">
        <f>'eLLE Bals'!CF56</f>
        <v>6.6026505514758593</v>
      </c>
      <c r="BT56">
        <f>'eLLE Bals'!CG56</f>
        <v>11.818139578772881</v>
      </c>
      <c r="BU56">
        <f>BM56</f>
        <v>92.358985913147194</v>
      </c>
      <c r="BV56">
        <f>BU56*(AM56*2+AN56*2+AO56*3)</f>
        <v>0.3140722586902831</v>
      </c>
      <c r="BW56">
        <f>BN56*BA56*(AP56*2+AQ56*2+AR56*3)</f>
        <v>0.30043980043802221</v>
      </c>
      <c r="BX56">
        <f>BV56/(2*V56*BL56+BV56)</f>
        <v>0.12488182166315452</v>
      </c>
      <c r="BY56">
        <f>BU56*BX56</f>
        <v>11.533958407795449</v>
      </c>
      <c r="BZ56">
        <f>BW56/(2*BN56*BA56+BW56)</f>
        <v>7.0861457450755935E-2</v>
      </c>
      <c r="CA56">
        <f>2*BN56*BA56/0.04</f>
        <v>98.484496489774003</v>
      </c>
      <c r="CB56">
        <f>(BS56+BL56)*2</f>
        <v>35.214136274537921</v>
      </c>
      <c r="CC56">
        <f>(BU56+BL56)*2</f>
        <v>206.7268069978806</v>
      </c>
      <c r="CD56">
        <f>(BT56+BN56)*2</f>
        <v>63.030077753455359</v>
      </c>
      <c r="CE56">
        <f>(CA56+BN56)*2</f>
        <v>236.36279157545761</v>
      </c>
      <c r="CF56">
        <f>'TEA Revised Non EYZ'!CB56</f>
        <v>2905.1662426493785</v>
      </c>
      <c r="CG56">
        <f>'TEA Revised Non EYZ'!CC56</f>
        <v>5199.9814146600684</v>
      </c>
      <c r="CH56">
        <f>'TEA Revised Non EYZ'!CD56</f>
        <v>3509.9789962792502</v>
      </c>
      <c r="CI56">
        <f>'TEA Revised Non EYZ'!CE56</f>
        <v>40107.918816787671</v>
      </c>
      <c r="CJ56">
        <f>BL56*V56</f>
        <v>1.10044175857931</v>
      </c>
      <c r="CK56">
        <f>CJ56/2*1.2</f>
        <v>0.66026505514758604</v>
      </c>
      <c r="CL56">
        <f>'eLLE Bals'!CB56*'Oxidant Feed Composition'!$N$20</f>
        <v>3.668139195264368E-2</v>
      </c>
      <c r="CM56">
        <f>'eLLE Bals'!CB56*'Oxidant Feed Composition'!$N$21</f>
        <v>1.8340695976321835</v>
      </c>
      <c r="CN56">
        <f>'eLLE Bals'!CB56*'Oxidant Feed Composition'!$N$22</f>
        <v>0.55022087928965502</v>
      </c>
      <c r="CO56">
        <f>CN56/CK56</f>
        <v>0.83333333333333326</v>
      </c>
      <c r="CP56">
        <f>CO56</f>
        <v>0.83333333333333326</v>
      </c>
      <c r="CQ56">
        <f>CL56/CO56</f>
        <v>4.4017670343172423E-2</v>
      </c>
      <c r="CR56">
        <f>CM56/CO56</f>
        <v>2.2008835171586205</v>
      </c>
      <c r="CS56">
        <f>BN56*BA56</f>
        <v>1.9696899297954802</v>
      </c>
      <c r="CT56">
        <f>CS56/2*1.2</f>
        <v>1.1818139578772882</v>
      </c>
      <c r="CU56">
        <f>'eLLE Bals'!CC56*'Oxidant Feed Composition'!$N$20</f>
        <v>6.5656330993182702E-2</v>
      </c>
      <c r="CV56">
        <f>'eLLE Bals'!CC56*'Oxidant Feed Composition'!$N$21</f>
        <v>3.2828165496591337</v>
      </c>
      <c r="CW56">
        <f>'eLLE Bals'!CC56*'Oxidant Feed Composition'!$N$22</f>
        <v>0.98484496489774009</v>
      </c>
      <c r="CX56">
        <f>CU56/CP56</f>
        <v>7.8787597191819256E-2</v>
      </c>
      <c r="CY56">
        <f>CV56/CP56</f>
        <v>3.9393798595909608</v>
      </c>
      <c r="CZ56">
        <f>CJ56</f>
        <v>1.10044175857931</v>
      </c>
      <c r="DA56">
        <f>'eLLE Bals'!BQ56</f>
        <v>2.2008835171586201</v>
      </c>
      <c r="DB56">
        <f>'eLLE Bals'!BU56</f>
        <v>5.5105397670481819</v>
      </c>
      <c r="DC56">
        <f>CS56</f>
        <v>1.9696899297954802</v>
      </c>
      <c r="DD56">
        <f>'eLLE Bals'!BX56</f>
        <v>3.9393798595909604</v>
      </c>
      <c r="DE56">
        <f>'eLLE Bals'!CA56</f>
        <v>21.887281014776537</v>
      </c>
      <c r="DF56">
        <f>2*2*(CJ56*'Reagent cost'!$C$36*122.44/1000*0.5+CK56*'Oxidant Feed Composition'!$N$26+CQ56*'Reagent cost'!$C$34+CR56*'Reagent cost'!$C$35)</f>
        <v>73.921389505184862</v>
      </c>
      <c r="DG56">
        <f>2*2*(CS56*'Reagent cost'!$C$36*122.44/1000*0.5+CT56*'Oxidant Feed Composition'!$N$26+CX56*'Reagent cost'!$C$34+CY56*'Reagent cost'!$C$35)</f>
        <v>132.31251483297672</v>
      </c>
      <c r="DH56">
        <f>(AF56+3)*2*(CZ56*'Reagent cost'!$C$38*0.5+DA56*'Reagent cost'!$C$39+DB56*'Reagent cost'!$C$36*122.44/1000)</f>
        <v>1105.0461834755552</v>
      </c>
      <c r="DI56">
        <f>3*2*(DC56*'Reagent cost'!$C$38*0.5+DD56*'Reagent cost'!$C$39+DE56*'Reagent cost'!$C$36*122.44/1000)</f>
        <v>1163.240125637315</v>
      </c>
      <c r="DJ56">
        <f>7963.6*(CB56/1000)^0.6*1.7*('CAPEX+OPEX'!$G$116/'CAPEX+OPEX'!$G$115)</f>
        <v>2144.228934815284</v>
      </c>
      <c r="DK56">
        <f>7963.6*(CC56/1000)^0.6*1.7*('CAPEX+OPEX'!$G$116/'CAPEX+OPEX'!$G$115)</f>
        <v>6201.2466571653367</v>
      </c>
      <c r="DL56">
        <f>7963.6*(CD56/1000)^0.6*1.7*('CAPEX+OPEX'!$G$116/'CAPEX+OPEX'!$G$115)</f>
        <v>3040.6724106131192</v>
      </c>
      <c r="DM56">
        <f>7963.6*(CE56/1000)^0.6*1.7*('CAPEX+OPEX'!$G$116/'CAPEX+OPEX'!$G$115)</f>
        <v>6720.295875451242</v>
      </c>
      <c r="DN56">
        <f>'TEA Revised Non EYZ'!CM56</f>
        <v>39625.826528698344</v>
      </c>
      <c r="DO56">
        <f>'TEA Revised Non EYZ'!CN56</f>
        <v>4586243.4239371875</v>
      </c>
      <c r="DP56">
        <f>'TEA Revised Non EYZ'!CO56</f>
        <v>11794834.586807497</v>
      </c>
      <c r="DQ56">
        <f>'TEA Revised Non EYZ'!CP56</f>
        <v>2275209.1661185985</v>
      </c>
      <c r="DR56">
        <f>'TEA Revised Non EYZ'!CQ56</f>
        <v>14083914.336508472</v>
      </c>
      <c r="DS56">
        <f>'TEA Revised Non EYZ'!CR56</f>
        <v>1662824.8986326549</v>
      </c>
      <c r="DT56">
        <f>'TEA Revised Non EYZ'!CS56</f>
        <v>751295.09040276916</v>
      </c>
      <c r="DU56">
        <f>'TEA Revised Non EYZ'!CT56</f>
        <v>1932169.8606163235</v>
      </c>
      <c r="DV56">
        <f>'TEA Revised Non EYZ'!CU56</f>
        <v>372713.20297186484</v>
      </c>
      <c r="DW56">
        <f>'TEA Revised Non EYZ'!CV56</f>
        <v>2307155.2721002945</v>
      </c>
      <c r="DX56">
        <f>'TEA Revised Non EYZ'!CW56</f>
        <v>272395.52441150707</v>
      </c>
      <c r="DY56">
        <f>'TEA Revised Non EYZ'!CX56</f>
        <v>5635728.9505027588</v>
      </c>
      <c r="DZ56">
        <f>'TEA Revised Non EYZ'!CY56</f>
        <v>709505.13497417013</v>
      </c>
      <c r="EA56">
        <f>'TEA Revised Non EYZ'!CZ56</f>
        <v>1824695.0569245399</v>
      </c>
      <c r="EB56">
        <f>'TEA Revised Non EYZ'!DA56</f>
        <v>351981.44478681608</v>
      </c>
      <c r="EC56">
        <f>'TEA Revised Non EYZ'!DB56</f>
        <v>2178822.3211472412</v>
      </c>
      <c r="ED56">
        <f>'TEA Revised Non EYZ'!DC56</f>
        <v>257243.82573874708</v>
      </c>
      <c r="EE56">
        <f>'TEA Revised Non EYZ'!DD56</f>
        <v>5322247.7835715134</v>
      </c>
      <c r="EF56">
        <v>0.7</v>
      </c>
      <c r="EG56">
        <v>100</v>
      </c>
      <c r="EH56">
        <f>96485*BL56*V56/EF56/EG56/60</f>
        <v>25.280029303934459</v>
      </c>
      <c r="EI56">
        <f>96485*BN56*BA56/EF56/EG56/60</f>
        <v>45.248936399123075</v>
      </c>
      <c r="EJ56">
        <f>EH56*('CAPEX+OPEX'!$O$25+'CAPEX+OPEX'!$O$26)</f>
        <v>805725.09397499904</v>
      </c>
      <c r="EK56">
        <f>EI56*('CAPEX+OPEX'!$O$25+'CAPEX+OPEX'!$O$26)</f>
        <v>1442174.1009128506</v>
      </c>
      <c r="EL56">
        <f>EJ56*1.12/0.6*'CAPEX+OPEX'!$G$116/'CAPEX+OPEX'!$G$115</f>
        <v>1773928.987938937</v>
      </c>
      <c r="EM56">
        <f>EK56*1.12/0.6*'CAPEX+OPEX'!$G$116/'CAPEX+OPEX'!$G$115</f>
        <v>3175170.3681497383</v>
      </c>
      <c r="EN56">
        <f>EL56+EM56+DY56+EE56+1.15*(SUM(DF56:DM56)+SUM(CF56:CI56))</f>
        <v>15990225.701159101</v>
      </c>
      <c r="EO56">
        <f>EN56/15</f>
        <v>1066015.0467439401</v>
      </c>
      <c r="EP56">
        <f>('eLLE Bals'!CB56+'eLLE Bals'!CC56)*'Oxidant Feed Composition'!$N$29*60*7200</f>
        <v>7658005.0818458134</v>
      </c>
      <c r="EQ56" s="53">
        <f>('eLLE Bals'!BR56+'eLLE Bals'!BY56)*'Reagent cost'!$C$38*60*7200*0.5</f>
        <v>252724.63168250502</v>
      </c>
      <c r="ER56">
        <f>'TEA Revised Non EYZ'!DI56</f>
        <v>504921.59999999998</v>
      </c>
      <c r="ES56">
        <f>'TEA Revised Non EYZ'!DJ56</f>
        <v>81.051476573094476</v>
      </c>
      <c r="ET56">
        <f>'TEA Revised Non EYZ'!DK56</f>
        <v>872.35795626133847</v>
      </c>
      <c r="EU56">
        <f>1.2*SUM(EP56:ET56)</f>
        <v>10099925.667553382</v>
      </c>
      <c r="EV56">
        <f>'TEA Revised Non EYZ'!DM56</f>
        <v>0.70639694042110623</v>
      </c>
      <c r="EW56">
        <f>(BS56*CO56+BT56*CP56)/1000*('Oxidant Feed Composition'!$B$11*'Oxidant Feed Composition'!$O$20+'Oxidant Feed Composition'!$D$11*'Oxidant Feed Composition'!$O$21+'Oxidant Feed Composition'!$F$11*'Oxidant Feed Composition'!$O$27-'Oxidant Feed Composition'!$J$15*18.015)</f>
        <v>1.7927195848313657</v>
      </c>
      <c r="EX56">
        <f>(CZ56*BX56+DC56*BZ56)*368.34/1000</f>
        <v>0.10203027967168954</v>
      </c>
      <c r="EY56">
        <f>'TEA Revised Non EYZ'!DP56</f>
        <v>4.999938342565946E-2</v>
      </c>
      <c r="EZ56">
        <f>SUM(EV56:EX56)-EY56</f>
        <v>2.5511474214985022</v>
      </c>
      <c r="FA56">
        <f>EZ56*0.33*60*7200</f>
        <v>363691.57640882646</v>
      </c>
      <c r="FB56">
        <f>'TEA Revised Non EYZ'!DS56</f>
        <v>1.2</v>
      </c>
      <c r="FC56">
        <v>0.5</v>
      </c>
      <c r="FD56">
        <f>'TEA Revised Non EYZ'!DT56</f>
        <v>1405.8595798458919</v>
      </c>
      <c r="FE56">
        <f>'TEA Revised Non EYZ'!DU56</f>
        <v>705.89094267147937</v>
      </c>
      <c r="FF56">
        <f>'TEA Revised Non EYZ'!DV56</f>
        <v>0.7</v>
      </c>
      <c r="FG56">
        <f>'TEA Revised Non EYZ'!DW56</f>
        <v>41280.414286181804</v>
      </c>
      <c r="FH56">
        <f>'TEA Revised Non EYZ'!DX56</f>
        <v>37373.489075065132</v>
      </c>
      <c r="FI56">
        <f>'TEA Revised Non EYZ'!DY56</f>
        <v>15823.453035813865</v>
      </c>
      <c r="FJ56">
        <f>'TEA Revised Non EYZ'!DZ56</f>
        <v>8382.1245272768647</v>
      </c>
      <c r="FK56">
        <f>'TEA Revised Non EYZ'!EA56</f>
        <v>8439.174952434063</v>
      </c>
      <c r="FL56">
        <f>'TEA Revised Non EYZ'!EB56</f>
        <v>850.26387389079548</v>
      </c>
      <c r="FM56">
        <f>'TEA Revised Non EYZ'!EC56</f>
        <v>38571.208497689258</v>
      </c>
      <c r="FN56">
        <f>'TEA Revised Non EYZ'!ED56</f>
        <v>34915.141103455695</v>
      </c>
      <c r="FO56">
        <f>'TEA Revised Non EYZ'!EE56</f>
        <v>14782.620225253419</v>
      </c>
      <c r="FP56">
        <f>'TEA Revised Non EYZ'!EF56</f>
        <v>7835.124680820405</v>
      </c>
      <c r="FQ56">
        <f>'TEA Revised Non EYZ'!EG56</f>
        <v>7884.0641201351591</v>
      </c>
      <c r="FR56">
        <f>'TEA Revised Non EYZ'!EH56</f>
        <v>426.92284212771074</v>
      </c>
      <c r="FS56">
        <f>'TEA Revised Non EYZ'!EI56</f>
        <v>216564.00122014419</v>
      </c>
      <c r="FT56">
        <f>EG56*EH56</f>
        <v>2528.0029303934457</v>
      </c>
      <c r="FU56">
        <f>EG56*EI56</f>
        <v>4524.8936399123077</v>
      </c>
      <c r="FV56">
        <f>FC56*(FT56+FU56)/(3.6*10^6)*3600*7200*0.07</f>
        <v>1777.3299357170501</v>
      </c>
      <c r="FW56">
        <f>('CAPEX+OPEX'!$C$39/7/100+0.03)*EL56</f>
        <v>91230.633665431043</v>
      </c>
      <c r="FX56">
        <f>('CAPEX+OPEX'!$C$39/7/100+0.03)*EM56</f>
        <v>163294.47607627226</v>
      </c>
      <c r="FY56">
        <f>SUM(FV56:FX56)</f>
        <v>256302.43967742036</v>
      </c>
      <c r="FZ56">
        <f>FY56+FA56+FS56+EU56</f>
        <v>10936483.684859773</v>
      </c>
      <c r="GA56">
        <f>FZ56+EO56</f>
        <v>12002498.731603714</v>
      </c>
      <c r="GB56">
        <f>GA56/(BK56*60*7200)</f>
        <v>0.27783561878712298</v>
      </c>
      <c r="GC56">
        <f>'TEA Revised Non EYZ'!EM56/'TEA Revised Non EYZ'!EK56*GA56</f>
        <v>929.51880612336072</v>
      </c>
      <c r="GD56">
        <f>'TEA Revised Non EYZ'!EN56/'TEA Revised Non EYZ'!EK56*GA56</f>
        <v>1705.6399617337527</v>
      </c>
    </row>
    <row r="57" spans="1:186">
      <c r="A57">
        <f>'TEA Revised Non EYZ'!A57</f>
        <v>8</v>
      </c>
      <c r="B57">
        <f>'TEA Revised Non EYZ'!B57</f>
        <v>1.54143585092054E-3</v>
      </c>
      <c r="C57">
        <f>'TEA Revised Non EYZ'!C57</f>
        <v>1.54143585092054E-3</v>
      </c>
      <c r="D57">
        <f>'TEA Revised Non EYZ'!D57</f>
        <v>3.4254130020456501E-4</v>
      </c>
      <c r="E57">
        <f>'TEA Revised Non EYZ'!E57</f>
        <v>0</v>
      </c>
      <c r="F57">
        <f>'TEA Revised Non EYZ'!F57</f>
        <v>0</v>
      </c>
      <c r="G57">
        <f>'TEA Revised Non EYZ'!G57</f>
        <v>0</v>
      </c>
      <c r="H57">
        <f>'TEA Revised Non EYZ'!H57</f>
        <v>1.7762434284205799E-5</v>
      </c>
      <c r="I57">
        <f>'TEA Revised Non EYZ'!I57</f>
        <v>4.4591984978445998E-9</v>
      </c>
      <c r="J57">
        <f>'TEA Revised Non EYZ'!J57</f>
        <v>3.37570976171142E-4</v>
      </c>
      <c r="K57">
        <f>'TEA Revised Non EYZ'!K57</f>
        <v>0.13846015972746001</v>
      </c>
      <c r="L57">
        <f>'TEA Revised Non EYZ'!L57</f>
        <v>0.14007387303476199</v>
      </c>
      <c r="M57">
        <f>'TEA Revised Non EYZ'!M57</f>
        <v>4.5166625081916902E-4</v>
      </c>
      <c r="N57">
        <f>'TEA Revised Non EYZ'!N57</f>
        <v>-2.6107588313450902E-16</v>
      </c>
      <c r="O57">
        <f>'TEA Revised Non EYZ'!O57</f>
        <v>-1.18524981496115E-14</v>
      </c>
      <c r="P57">
        <f>'TEA Revised Non EYZ'!P57</f>
        <v>-2.5241581828178102E-19</v>
      </c>
      <c r="Q57">
        <f>'TEA Revised Non EYZ'!Q57</f>
        <v>0.110044175857931</v>
      </c>
      <c r="R57">
        <f>'TEA Revised Non EYZ'!R57</f>
        <v>98.548985471108097</v>
      </c>
      <c r="S57">
        <f>'TEA Revised Non EYZ'!S57</f>
        <v>500</v>
      </c>
      <c r="T57">
        <f>'TEA Revised Non EYZ'!T57</f>
        <v>95</v>
      </c>
      <c r="U57">
        <f>'TEA Revised Non EYZ'!U57</f>
        <v>1</v>
      </c>
      <c r="V57">
        <f>'TEA Revised Non EYZ'!V57</f>
        <v>0.1</v>
      </c>
      <c r="W57">
        <f>'TEA Revised Non EYZ'!W57</f>
        <v>90.872596591664205</v>
      </c>
      <c r="X57" t="str">
        <f>'TEA Revised Non EYZ'!X57</f>
        <v>ddFc</v>
      </c>
      <c r="Y57">
        <f>'TEA Revised Non EYZ'!Y57</f>
        <v>1</v>
      </c>
      <c r="Z57">
        <f>'TEA Revised Non EYZ'!Z57</f>
        <v>0.28318429382522198</v>
      </c>
      <c r="AA57">
        <f>'TEA Revised Non EYZ'!AA57</f>
        <v>0.56945642916197003</v>
      </c>
      <c r="AB57">
        <f>'TEA Revised Non EYZ'!AB57</f>
        <v>3.7698628972227502E-3</v>
      </c>
      <c r="AC57">
        <f>'TEA Revised Non EYZ'!AC57</f>
        <v>1822.2107908876901</v>
      </c>
      <c r="AD57">
        <f>'TEA Revised Non EYZ'!AD57</f>
        <v>2662.6059073104898</v>
      </c>
      <c r="AE57">
        <f>'TEA Revised Non EYZ'!AE57</f>
        <v>2401.5030938442701</v>
      </c>
      <c r="AF57">
        <f>'TEA Revised Non EYZ'!AF57</f>
        <v>9</v>
      </c>
      <c r="AG57">
        <f>'TEA Revised Non EYZ'!AG57</f>
        <v>1.6497294784823999E-3</v>
      </c>
      <c r="AH57">
        <f>'TEA Revised Non EYZ'!AH57</f>
        <v>1.66895660069658E-3</v>
      </c>
      <c r="AI57">
        <f>'TEA Revised Non EYZ'!AI57</f>
        <v>5.38152729188446E-6</v>
      </c>
      <c r="AJ57">
        <f>'TEA Revised Non EYZ'!AJ57</f>
        <v>0</v>
      </c>
      <c r="AK57">
        <f>'TEA Revised Non EYZ'!AK57</f>
        <v>0</v>
      </c>
      <c r="AL57">
        <f>'TEA Revised Non EYZ'!AL57</f>
        <v>0</v>
      </c>
      <c r="AM57">
        <f>'TEA Revised Non EYZ'!AM57</f>
        <v>1.61276595302466E-3</v>
      </c>
      <c r="AN57">
        <f>'TEA Revised Non EYZ'!AN57</f>
        <v>7.9536298223616001E-5</v>
      </c>
      <c r="AO57">
        <f>'TEA Revised Non EYZ'!AO57</f>
        <v>5.3461203241357404E-6</v>
      </c>
      <c r="AP57">
        <f>'TEA Revised Non EYZ'!AP57</f>
        <v>1.7337397232919901E-3</v>
      </c>
      <c r="AQ57">
        <f>'TEA Revised Non EYZ'!AQ57</f>
        <v>7.4550278451312305E-2</v>
      </c>
      <c r="AR57">
        <f>'TEA Revised Non EYZ'!AR57</f>
        <v>1.66073083417147E-6</v>
      </c>
      <c r="AS57">
        <f>'TEA Revised Non EYZ'!AS57</f>
        <v>3.9512392923518602E-17</v>
      </c>
      <c r="AT57">
        <f>'TEA Revised Non EYZ'!AT57</f>
        <v>-5.1148321689176102E-15</v>
      </c>
      <c r="AU57">
        <f>'TEA Revised Non EYZ'!AU57</f>
        <v>-1.7734752333136898E-21</v>
      </c>
      <c r="AV57">
        <f>'TEA Revised Non EYZ'!AV57</f>
        <v>0.19691039440255501</v>
      </c>
      <c r="AW57">
        <f>'TEA Revised Non EYZ'!AW57</f>
        <v>99.342064699697403</v>
      </c>
      <c r="AX57">
        <f>'TEA Revised Non EYZ'!AX57</f>
        <v>499.99999999999898</v>
      </c>
      <c r="AY57">
        <f>'TEA Revised Non EYZ'!AY57</f>
        <v>95</v>
      </c>
      <c r="AZ57">
        <f>'TEA Revised Non EYZ'!AZ57</f>
        <v>0.92358985913147196</v>
      </c>
      <c r="BA57">
        <f>'TEA Revised Non EYZ'!BA57</f>
        <v>0.1</v>
      </c>
      <c r="BB57">
        <f>'TEA Revised Non EYZ'!BB57</f>
        <v>46.904068316643603</v>
      </c>
      <c r="BC57" t="str">
        <f>'TEA Revised Non EYZ'!BC57</f>
        <v>coeFc</v>
      </c>
      <c r="BD57">
        <f>'TEA Revised Non EYZ'!BD57</f>
        <v>1</v>
      </c>
      <c r="BE57">
        <f>'TEA Revised Non EYZ'!BE57</f>
        <v>1.8775014999999999E-2</v>
      </c>
      <c r="BF57">
        <f>'TEA Revised Non EYZ'!BF57</f>
        <v>0.10492961100000001</v>
      </c>
      <c r="BG57">
        <f>'TEA Revised Non EYZ'!BG57</f>
        <v>1.814625E-3</v>
      </c>
      <c r="BH57">
        <f>'TEA Revised Non EYZ'!BH57</f>
        <v>285.1951444</v>
      </c>
      <c r="BI57">
        <f>'TEA Revised Non EYZ'!BI57</f>
        <v>2169.8944889999998</v>
      </c>
      <c r="BJ57">
        <f>'TEA Revised Non EYZ'!BJ57</f>
        <v>866.49409060000005</v>
      </c>
      <c r="BK57">
        <f>'TEA Revised Non EYZ'!BK57</f>
        <v>100</v>
      </c>
      <c r="BL57">
        <f>'TEA Revised Non EYZ'!BL57</f>
        <v>11.004417585793099</v>
      </c>
      <c r="BM57">
        <f>'TEA Revised Non EYZ'!BM57</f>
        <v>92.358985913147194</v>
      </c>
      <c r="BN57">
        <f>'TEA Revised Non EYZ'!BN57</f>
        <v>19.691039440255501</v>
      </c>
      <c r="BO57">
        <f>'TEA Revised Non EYZ'!BO57</f>
        <v>220.08835171586199</v>
      </c>
      <c r="BP57">
        <f>'TEA Revised Non EYZ'!BP57</f>
        <v>433.20286768562102</v>
      </c>
      <c r="BQ57">
        <f>'TEA Revised Non EYZ'!BQ57</f>
        <v>22.008835171586199</v>
      </c>
      <c r="BR57">
        <f>'TEA Revised Non EYZ'!BR57</f>
        <v>43.320286768562106</v>
      </c>
      <c r="BS57">
        <f>'eLLE Bals'!CF57</f>
        <v>6.6026505514758593</v>
      </c>
      <c r="BT57">
        <f>'eLLE Bals'!CG57</f>
        <v>11.8146236641533</v>
      </c>
      <c r="BU57">
        <f>BM57</f>
        <v>92.358985913147194</v>
      </c>
      <c r="BV57">
        <f>BU57*(AM57*2+AN57*2+AO57*3)</f>
        <v>0.31407992632277415</v>
      </c>
      <c r="BW57">
        <f>BN57*BA57*(AP57*2+AQ57*2+AR57*3)</f>
        <v>0.30043213256236673</v>
      </c>
      <c r="BX57">
        <f>BV57/(2*V57*BL57+BV57)</f>
        <v>0.1248844897276129</v>
      </c>
      <c r="BY57">
        <f>BU57*BX57</f>
        <v>11.534204827523176</v>
      </c>
      <c r="BZ57">
        <f>BW57/(2*BN57*BA57+BW57)</f>
        <v>7.0879369585833463E-2</v>
      </c>
      <c r="CA57">
        <f>2*BN57*BA57/0.04</f>
        <v>98.455197201277514</v>
      </c>
      <c r="CB57">
        <f>(BS57+BL57)*2</f>
        <v>35.214136274537921</v>
      </c>
      <c r="CC57">
        <f>(BU57+BL57)*2</f>
        <v>206.7268069978806</v>
      </c>
      <c r="CD57">
        <f>(BT57+BN57)*2</f>
        <v>63.011326208817607</v>
      </c>
      <c r="CE57">
        <f>(CA57+BN57)*2</f>
        <v>236.29247328306604</v>
      </c>
      <c r="CF57">
        <f>'TEA Revised Non EYZ'!CB57</f>
        <v>2905.1662426493785</v>
      </c>
      <c r="CG57">
        <f>'TEA Revised Non EYZ'!CC57</f>
        <v>5718.2778534501977</v>
      </c>
      <c r="CH57">
        <f>'TEA Revised Non EYZ'!CD57</f>
        <v>3509.9789962792502</v>
      </c>
      <c r="CI57">
        <f>'TEA Revised Non EYZ'!CE57</f>
        <v>44105.585314482967</v>
      </c>
      <c r="CJ57">
        <f>BL57*V57</f>
        <v>1.10044175857931</v>
      </c>
      <c r="CK57">
        <f>CJ57/2*1.2</f>
        <v>0.66026505514758604</v>
      </c>
      <c r="CL57">
        <f>'eLLE Bals'!CB57*'Oxidant Feed Composition'!$N$20</f>
        <v>3.668139195264368E-2</v>
      </c>
      <c r="CM57">
        <f>'eLLE Bals'!CB57*'Oxidant Feed Composition'!$N$21</f>
        <v>1.8340695976321835</v>
      </c>
      <c r="CN57">
        <f>'eLLE Bals'!CB57*'Oxidant Feed Composition'!$N$22</f>
        <v>0.55022087928965502</v>
      </c>
      <c r="CO57">
        <f>CN57/CK57</f>
        <v>0.83333333333333326</v>
      </c>
      <c r="CP57">
        <f>CO57</f>
        <v>0.83333333333333326</v>
      </c>
      <c r="CQ57">
        <f>CL57/CO57</f>
        <v>4.4017670343172423E-2</v>
      </c>
      <c r="CR57">
        <f>CM57/CO57</f>
        <v>2.2008835171586205</v>
      </c>
      <c r="CS57">
        <f>BN57*BA57</f>
        <v>1.9691039440255502</v>
      </c>
      <c r="CT57">
        <f>CS57/2*1.2</f>
        <v>1.1814623664153301</v>
      </c>
      <c r="CU57">
        <f>'eLLE Bals'!CC57*'Oxidant Feed Composition'!$N$20</f>
        <v>6.5636798134185034E-2</v>
      </c>
      <c r="CV57">
        <f>'eLLE Bals'!CC57*'Oxidant Feed Composition'!$N$21</f>
        <v>3.2818399067092505</v>
      </c>
      <c r="CW57">
        <f>'eLLE Bals'!CC57*'Oxidant Feed Composition'!$N$22</f>
        <v>0.98455197201277511</v>
      </c>
      <c r="CX57">
        <f>CU57/CP57</f>
        <v>7.8764157761022052E-2</v>
      </c>
      <c r="CY57">
        <f>CV57/CP57</f>
        <v>3.9382078880511009</v>
      </c>
      <c r="CZ57">
        <f>CJ57</f>
        <v>1.10044175857931</v>
      </c>
      <c r="DA57">
        <f>'eLLE Bals'!BQ57</f>
        <v>2.2008835171586201</v>
      </c>
      <c r="DB57">
        <f>'eLLE Bals'!BU57</f>
        <v>5.5103515063860158</v>
      </c>
      <c r="DC57">
        <f>CS57</f>
        <v>1.9691039440255502</v>
      </c>
      <c r="DD57">
        <f>'eLLE Bals'!BX57</f>
        <v>3.9382078880511004</v>
      </c>
      <c r="DE57">
        <f>'eLLE Bals'!CA57</f>
        <v>21.873747106956458</v>
      </c>
      <c r="DF57">
        <f>2*2*(CJ57*'Reagent cost'!$C$36*122.44/1000*0.5+CK57*'Oxidant Feed Composition'!$N$26+CQ57*'Reagent cost'!$C$34+CR57*'Reagent cost'!$C$35)</f>
        <v>73.921389505184862</v>
      </c>
      <c r="DG57">
        <f>2*2*(CS57*'Reagent cost'!$C$36*122.44/1000*0.5+CT57*'Oxidant Feed Composition'!$N$26+CX57*'Reagent cost'!$C$34+CY57*'Reagent cost'!$C$35)</f>
        <v>132.2731516572286</v>
      </c>
      <c r="DH57">
        <f>(AF57+3)*2*(CZ57*'Reagent cost'!$C$38*0.5+DA57*'Reagent cost'!$C$39+DB57*'Reagent cost'!$C$36*122.44/1000)</f>
        <v>1205.4658593668237</v>
      </c>
      <c r="DI57">
        <f>3*2*(DC57*'Reagent cost'!$C$38*0.5+DD57*'Reagent cost'!$C$39+DE57*'Reagent cost'!$C$36*122.44/1000)</f>
        <v>1162.5297354373413</v>
      </c>
      <c r="DJ57">
        <f>7963.6*(CB57/1000)^0.6*1.7*('CAPEX+OPEX'!$G$116/'CAPEX+OPEX'!$G$115)</f>
        <v>2144.228934815284</v>
      </c>
      <c r="DK57">
        <f>7963.6*(CC57/1000)^0.6*1.7*('CAPEX+OPEX'!$G$116/'CAPEX+OPEX'!$G$115)</f>
        <v>6201.2466571653367</v>
      </c>
      <c r="DL57">
        <f>7963.6*(CD57/1000)^0.6*1.7*('CAPEX+OPEX'!$G$116/'CAPEX+OPEX'!$G$115)</f>
        <v>3040.1296154954202</v>
      </c>
      <c r="DM57">
        <f>7963.6*(CE57/1000)^0.6*1.7*('CAPEX+OPEX'!$G$116/'CAPEX+OPEX'!$G$115)</f>
        <v>6719.0962250785306</v>
      </c>
      <c r="DN57">
        <f>'TEA Revised Non EYZ'!CM57</f>
        <v>39625.826528698344</v>
      </c>
      <c r="DO57">
        <f>'TEA Revised Non EYZ'!CN57</f>
        <v>4586243.4239371875</v>
      </c>
      <c r="DP57">
        <f>'TEA Revised Non EYZ'!CO57</f>
        <v>11794834.586807497</v>
      </c>
      <c r="DQ57">
        <f>'TEA Revised Non EYZ'!CP57</f>
        <v>2275209.1661185985</v>
      </c>
      <c r="DR57">
        <f>'TEA Revised Non EYZ'!CQ57</f>
        <v>14083914.336508472</v>
      </c>
      <c r="DS57">
        <f>'TEA Revised Non EYZ'!CR57</f>
        <v>1662824.8986326549</v>
      </c>
      <c r="DT57">
        <f>'TEA Revised Non EYZ'!CS57</f>
        <v>751295.09040276916</v>
      </c>
      <c r="DU57">
        <f>'TEA Revised Non EYZ'!CT57</f>
        <v>1932169.8606163235</v>
      </c>
      <c r="DV57">
        <f>'TEA Revised Non EYZ'!CU57</f>
        <v>372713.20297186484</v>
      </c>
      <c r="DW57">
        <f>'TEA Revised Non EYZ'!CV57</f>
        <v>2307155.2721002945</v>
      </c>
      <c r="DX57">
        <f>'TEA Revised Non EYZ'!CW57</f>
        <v>272395.52441150707</v>
      </c>
      <c r="DY57">
        <f>'TEA Revised Non EYZ'!CX57</f>
        <v>5635728.9505027588</v>
      </c>
      <c r="DZ57">
        <f>'TEA Revised Non EYZ'!CY57</f>
        <v>755805.48146542325</v>
      </c>
      <c r="EA57">
        <f>'TEA Revised Non EYZ'!CZ57</f>
        <v>1943769.6191961134</v>
      </c>
      <c r="EB57">
        <f>'TEA Revised Non EYZ'!DA57</f>
        <v>374950.78221481753</v>
      </c>
      <c r="EC57">
        <f>'TEA Revised Non EYZ'!DB57</f>
        <v>2321006.2510995818</v>
      </c>
      <c r="ED57">
        <f>'TEA Revised Non EYZ'!DC57</f>
        <v>274030.84767463926</v>
      </c>
      <c r="EE57">
        <f>'TEA Revised Non EYZ'!DD57</f>
        <v>5669562.9816505751</v>
      </c>
      <c r="EF57">
        <v>0.7</v>
      </c>
      <c r="EG57">
        <v>100</v>
      </c>
      <c r="EH57">
        <f>96485*BL57*V57/EF57/EG57/60</f>
        <v>25.280029303934459</v>
      </c>
      <c r="EI57">
        <f>96485*BN57*BA57/EF57/EG57/60</f>
        <v>45.235474771263156</v>
      </c>
      <c r="EJ57">
        <f>EH57*('CAPEX+OPEX'!$O$25+'CAPEX+OPEX'!$O$26)</f>
        <v>805725.09397499904</v>
      </c>
      <c r="EK57">
        <f>EI57*('CAPEX+OPEX'!$O$25+'CAPEX+OPEX'!$O$26)</f>
        <v>1441745.0519096993</v>
      </c>
      <c r="EL57">
        <f>EJ57*1.12/0.6*'CAPEX+OPEX'!$G$116/'CAPEX+OPEX'!$G$115</f>
        <v>1773928.987938937</v>
      </c>
      <c r="EM57">
        <f>EK57*1.12/0.6*'CAPEX+OPEX'!$G$116/'CAPEX+OPEX'!$G$115</f>
        <v>3174225.7501036725</v>
      </c>
      <c r="EN57">
        <f>EL57+EM57+DY57+EE57+1.15*(SUM(DF57:DM57)+SUM(CF57:CI57))</f>
        <v>16341902.255167635</v>
      </c>
      <c r="EO57">
        <f>EN57/15</f>
        <v>1089460.1503445089</v>
      </c>
      <c r="EP57">
        <f>('eLLE Bals'!CB57+'eLLE Bals'!CC57)*'Oxidant Feed Composition'!$N$29*60*7200</f>
        <v>7656543.4240214918</v>
      </c>
      <c r="EQ57" s="53">
        <f>('eLLE Bals'!BR57+'eLLE Bals'!BY57)*'Reagent cost'!$C$38*60*7200*0.5</f>
        <v>252721.60546735849</v>
      </c>
      <c r="ER57">
        <f>'TEA Revised Non EYZ'!DI57</f>
        <v>504921.59999999998</v>
      </c>
      <c r="ES57">
        <f>'TEA Revised Non EYZ'!DJ57</f>
        <v>86.234440960995769</v>
      </c>
      <c r="ET57">
        <f>'TEA Revised Non EYZ'!DK57</f>
        <v>952.31128621524431</v>
      </c>
      <c r="EU57">
        <f>1.2*SUM(EP57:ET57)</f>
        <v>10098270.210259231</v>
      </c>
      <c r="EV57">
        <f>'TEA Revised Non EYZ'!DM57</f>
        <v>0.70639694042110623</v>
      </c>
      <c r="EW57">
        <f>(BS57*CO57+BT57*CP57)/1000*('Oxidant Feed Composition'!$B$11*'Oxidant Feed Composition'!$O$20+'Oxidant Feed Composition'!$D$11*'Oxidant Feed Composition'!$O$21+'Oxidant Feed Composition'!$F$11*'Oxidant Feed Composition'!$O$27-'Oxidant Feed Composition'!$J$15*18.015)</f>
        <v>1.7923774144384261</v>
      </c>
      <c r="EX57">
        <f>(CZ57*BX57+DC57*BZ57)*368.34/1000</f>
        <v>0.10202905792462164</v>
      </c>
      <c r="EY57">
        <f>'TEA Revised Non EYZ'!DP57</f>
        <v>4.999938342565946E-2</v>
      </c>
      <c r="EZ57">
        <f>SUM(EV57:EX57)-EY57</f>
        <v>2.5508040293584946</v>
      </c>
      <c r="FA57">
        <f>EZ57*0.33*60*7200</f>
        <v>363642.62242534704</v>
      </c>
      <c r="FB57">
        <f>'TEA Revised Non EYZ'!DS57</f>
        <v>1.2</v>
      </c>
      <c r="FC57">
        <v>0.5</v>
      </c>
      <c r="FD57">
        <f>'TEA Revised Non EYZ'!DT57</f>
        <v>1405.8939209566693</v>
      </c>
      <c r="FE57">
        <f>'TEA Revised Non EYZ'!DU57</f>
        <v>705.85660100448581</v>
      </c>
      <c r="FF57">
        <f>'TEA Revised Non EYZ'!DV57</f>
        <v>0.7</v>
      </c>
      <c r="FG57">
        <f>'TEA Revised Non EYZ'!DW57</f>
        <v>41280.414286181804</v>
      </c>
      <c r="FH57">
        <f>'TEA Revised Non EYZ'!DX57</f>
        <v>37373.489075065132</v>
      </c>
      <c r="FI57">
        <f>'TEA Revised Non EYZ'!DY57</f>
        <v>15823.453035813865</v>
      </c>
      <c r="FJ57">
        <f>'TEA Revised Non EYZ'!DZ57</f>
        <v>8382.1245272768647</v>
      </c>
      <c r="FK57">
        <f>'TEA Revised Non EYZ'!EA57</f>
        <v>8439.174952434063</v>
      </c>
      <c r="FL57">
        <f>'TEA Revised Non EYZ'!EB57</f>
        <v>850.28464339459367</v>
      </c>
      <c r="FM57">
        <f>'TEA Revised Non EYZ'!EC57</f>
        <v>41142.622397535211</v>
      </c>
      <c r="FN57">
        <f>'TEA Revised Non EYZ'!ED57</f>
        <v>38794.601226061888</v>
      </c>
      <c r="FO57">
        <f>'TEA Revised Non EYZ'!EE57</f>
        <v>16425.133583614912</v>
      </c>
      <c r="FP57">
        <f>'TEA Revised Non EYZ'!EF57</f>
        <v>8705.6940898004505</v>
      </c>
      <c r="FQ57">
        <f>'TEA Revised Non EYZ'!EG57</f>
        <v>8760.071244594621</v>
      </c>
      <c r="FR57">
        <f>'TEA Revised Non EYZ'!EH57</f>
        <v>426.90207228751308</v>
      </c>
      <c r="FS57">
        <f>'TEA Revised Non EYZ'!EI57</f>
        <v>226403.96513406091</v>
      </c>
      <c r="FT57">
        <f>EG57*EH57</f>
        <v>2528.0029303934457</v>
      </c>
      <c r="FU57">
        <f>EG57*EI57</f>
        <v>4523.5474771263152</v>
      </c>
      <c r="FV57">
        <f>FC57*(FT57+FU57)/(3.6*10^6)*3600*7200*0.07</f>
        <v>1776.9907026949797</v>
      </c>
      <c r="FW57">
        <f>('CAPEX+OPEX'!$C$39/7/100+0.03)*EL57</f>
        <v>91230.633665431043</v>
      </c>
      <c r="FX57">
        <f>('CAPEX+OPEX'!$C$39/7/100+0.03)*EM57</f>
        <v>163245.89571961743</v>
      </c>
      <c r="FY57">
        <f>SUM(FV57:FX57)</f>
        <v>256253.52008774347</v>
      </c>
      <c r="FZ57">
        <f>FY57+FA57+FS57+EU57</f>
        <v>10944570.317906382</v>
      </c>
      <c r="GA57">
        <f>FZ57+EO57</f>
        <v>12034030.468250891</v>
      </c>
      <c r="GB57">
        <f>GA57/(BK57*60*7200)</f>
        <v>0.27856552009840024</v>
      </c>
      <c r="GC57">
        <f>'TEA Revised Non EYZ'!EM57/'TEA Revised Non EYZ'!EK57*GA57</f>
        <v>931.9379640192119</v>
      </c>
      <c r="GD57">
        <f>'TEA Revised Non EYZ'!EN57/'TEA Revised Non EYZ'!EK57*GA57</f>
        <v>1710.1975501422023</v>
      </c>
    </row>
    <row r="58" spans="1:186">
      <c r="A58">
        <f>'TEA Revised Non EYZ'!A58</f>
        <v>8</v>
      </c>
      <c r="B58">
        <f>'TEA Revised Non EYZ'!B58</f>
        <v>1.54143585092054E-3</v>
      </c>
      <c r="C58">
        <f>'TEA Revised Non EYZ'!C58</f>
        <v>1.54143585092054E-3</v>
      </c>
      <c r="D58">
        <f>'TEA Revised Non EYZ'!D58</f>
        <v>3.4254130020456501E-4</v>
      </c>
      <c r="E58">
        <f>'TEA Revised Non EYZ'!E58</f>
        <v>0</v>
      </c>
      <c r="F58">
        <f>'TEA Revised Non EYZ'!F58</f>
        <v>0</v>
      </c>
      <c r="G58">
        <f>'TEA Revised Non EYZ'!G58</f>
        <v>0</v>
      </c>
      <c r="H58">
        <f>'TEA Revised Non EYZ'!H58</f>
        <v>1.7762434284205799E-5</v>
      </c>
      <c r="I58">
        <f>'TEA Revised Non EYZ'!I58</f>
        <v>4.4591984978445998E-9</v>
      </c>
      <c r="J58">
        <f>'TEA Revised Non EYZ'!J58</f>
        <v>3.37570976171142E-4</v>
      </c>
      <c r="K58">
        <f>'TEA Revised Non EYZ'!K58</f>
        <v>0.13846015972746001</v>
      </c>
      <c r="L58">
        <f>'TEA Revised Non EYZ'!L58</f>
        <v>0.14007387303476199</v>
      </c>
      <c r="M58">
        <f>'TEA Revised Non EYZ'!M58</f>
        <v>4.5166625081916902E-4</v>
      </c>
      <c r="N58">
        <f>'TEA Revised Non EYZ'!N58</f>
        <v>-2.6107588313450902E-16</v>
      </c>
      <c r="O58">
        <f>'TEA Revised Non EYZ'!O58</f>
        <v>-1.18524981496115E-14</v>
      </c>
      <c r="P58">
        <f>'TEA Revised Non EYZ'!P58</f>
        <v>-2.5241581828178102E-19</v>
      </c>
      <c r="Q58">
        <f>'TEA Revised Non EYZ'!Q58</f>
        <v>0.110044175857931</v>
      </c>
      <c r="R58">
        <f>'TEA Revised Non EYZ'!R58</f>
        <v>98.548985471108097</v>
      </c>
      <c r="S58">
        <f>'TEA Revised Non EYZ'!S58</f>
        <v>500</v>
      </c>
      <c r="T58">
        <f>'TEA Revised Non EYZ'!T58</f>
        <v>95</v>
      </c>
      <c r="U58">
        <f>'TEA Revised Non EYZ'!U58</f>
        <v>1</v>
      </c>
      <c r="V58">
        <f>'TEA Revised Non EYZ'!V58</f>
        <v>0.1</v>
      </c>
      <c r="W58">
        <f>'TEA Revised Non EYZ'!W58</f>
        <v>90.872596591664205</v>
      </c>
      <c r="X58" t="str">
        <f>'TEA Revised Non EYZ'!X58</f>
        <v>ddFc</v>
      </c>
      <c r="Y58">
        <f>'TEA Revised Non EYZ'!Y58</f>
        <v>1</v>
      </c>
      <c r="Z58">
        <f>'TEA Revised Non EYZ'!Z58</f>
        <v>0.28318429382522198</v>
      </c>
      <c r="AA58">
        <f>'TEA Revised Non EYZ'!AA58</f>
        <v>0.56945642916197003</v>
      </c>
      <c r="AB58">
        <f>'TEA Revised Non EYZ'!AB58</f>
        <v>3.7698628972227502E-3</v>
      </c>
      <c r="AC58">
        <f>'TEA Revised Non EYZ'!AC58</f>
        <v>1822.2107908876901</v>
      </c>
      <c r="AD58">
        <f>'TEA Revised Non EYZ'!AD58</f>
        <v>2662.6059073104898</v>
      </c>
      <c r="AE58">
        <f>'TEA Revised Non EYZ'!AE58</f>
        <v>2401.5030938442701</v>
      </c>
      <c r="AF58">
        <f>'TEA Revised Non EYZ'!AF58</f>
        <v>10</v>
      </c>
      <c r="AG58">
        <f>'TEA Revised Non EYZ'!AG58</f>
        <v>1.6497294784823999E-3</v>
      </c>
      <c r="AH58">
        <f>'TEA Revised Non EYZ'!AH58</f>
        <v>1.66895660069658E-3</v>
      </c>
      <c r="AI58">
        <f>'TEA Revised Non EYZ'!AI58</f>
        <v>5.38152729188446E-6</v>
      </c>
      <c r="AJ58">
        <f>'TEA Revised Non EYZ'!AJ58</f>
        <v>0</v>
      </c>
      <c r="AK58">
        <f>'TEA Revised Non EYZ'!AK58</f>
        <v>0</v>
      </c>
      <c r="AL58">
        <f>'TEA Revised Non EYZ'!AL58</f>
        <v>0</v>
      </c>
      <c r="AM58">
        <f>'TEA Revised Non EYZ'!AM58</f>
        <v>1.61277705008137E-3</v>
      </c>
      <c r="AN58">
        <f>'TEA Revised Non EYZ'!AN58</f>
        <v>7.9536872122754404E-5</v>
      </c>
      <c r="AO58">
        <f>'TEA Revised Non EYZ'!AO58</f>
        <v>5.3461305122899801E-6</v>
      </c>
      <c r="AP58">
        <f>'TEA Revised Non EYZ'!AP58</f>
        <v>1.73336444614092E-3</v>
      </c>
      <c r="AQ58">
        <f>'TEA Revised Non EYZ'!AQ58</f>
        <v>7.4556497867205695E-2</v>
      </c>
      <c r="AR58">
        <f>'TEA Revised Non EYZ'!AR58</f>
        <v>1.6603920749814E-6</v>
      </c>
      <c r="AS58">
        <f>'TEA Revised Non EYZ'!AS58</f>
        <v>6.41926968395281E-15</v>
      </c>
      <c r="AT58">
        <f>'TEA Revised Non EYZ'!AT58</f>
        <v>-6.6401007955962902E-13</v>
      </c>
      <c r="AU58">
        <f>'TEA Revised Non EYZ'!AU58</f>
        <v>6.1661351582152895E-20</v>
      </c>
      <c r="AV58">
        <f>'TEA Revised Non EYZ'!AV58</f>
        <v>0.19689389736263299</v>
      </c>
      <c r="AW58">
        <f>'TEA Revised Non EYZ'!AW58</f>
        <v>99.342254016850205</v>
      </c>
      <c r="AX58">
        <f>'TEA Revised Non EYZ'!AX58</f>
        <v>499.99999999999898</v>
      </c>
      <c r="AY58">
        <f>'TEA Revised Non EYZ'!AY58</f>
        <v>95</v>
      </c>
      <c r="AZ58">
        <f>'TEA Revised Non EYZ'!AZ58</f>
        <v>0.92358985913147196</v>
      </c>
      <c r="BA58">
        <f>'TEA Revised Non EYZ'!BA58</f>
        <v>0.1</v>
      </c>
      <c r="BB58">
        <f>'TEA Revised Non EYZ'!BB58</f>
        <v>46.907998241836403</v>
      </c>
      <c r="BC58" t="str">
        <f>'TEA Revised Non EYZ'!BC58</f>
        <v>coeFc</v>
      </c>
      <c r="BD58">
        <f>'TEA Revised Non EYZ'!BD58</f>
        <v>1</v>
      </c>
      <c r="BE58">
        <f>'TEA Revised Non EYZ'!BE58</f>
        <v>1.8775014999999999E-2</v>
      </c>
      <c r="BF58">
        <f>'TEA Revised Non EYZ'!BF58</f>
        <v>0.10492961100000001</v>
      </c>
      <c r="BG58">
        <f>'TEA Revised Non EYZ'!BG58</f>
        <v>1.814625E-3</v>
      </c>
      <c r="BH58">
        <f>'TEA Revised Non EYZ'!BH58</f>
        <v>285.1951444</v>
      </c>
      <c r="BI58">
        <f>'TEA Revised Non EYZ'!BI58</f>
        <v>2169.8944889999998</v>
      </c>
      <c r="BJ58">
        <f>'TEA Revised Non EYZ'!BJ58</f>
        <v>866.49409060000005</v>
      </c>
      <c r="BK58">
        <f>'TEA Revised Non EYZ'!BK58</f>
        <v>100</v>
      </c>
      <c r="BL58">
        <f>'TEA Revised Non EYZ'!BL58</f>
        <v>11.004417585793099</v>
      </c>
      <c r="BM58">
        <f>'TEA Revised Non EYZ'!BM58</f>
        <v>92.358985913147194</v>
      </c>
      <c r="BN58">
        <f>'TEA Revised Non EYZ'!BN58</f>
        <v>19.689389736263298</v>
      </c>
      <c r="BO58">
        <f>'TEA Revised Non EYZ'!BO58</f>
        <v>220.08835171586199</v>
      </c>
      <c r="BP58">
        <f>'TEA Revised Non EYZ'!BP58</f>
        <v>472.54535367031917</v>
      </c>
      <c r="BQ58">
        <f>'TEA Revised Non EYZ'!BQ58</f>
        <v>22.008835171586199</v>
      </c>
      <c r="BR58">
        <f>'TEA Revised Non EYZ'!BR58</f>
        <v>47.25453536703192</v>
      </c>
      <c r="BS58">
        <f>'eLLE Bals'!CF58</f>
        <v>6.6026505514758593</v>
      </c>
      <c r="BT58">
        <f>'eLLE Bals'!CG58</f>
        <v>11.813633841757978</v>
      </c>
      <c r="BU58">
        <f>BM58</f>
        <v>92.358985913147194</v>
      </c>
      <c r="BV58">
        <f>BU58*(AM58*2+AN58*2+AO58*3)</f>
        <v>0.31408208498097057</v>
      </c>
      <c r="BW58">
        <f>BN58*BA58*(AP58*2+AQ58*2+AR58*3)</f>
        <v>0.3004299740346732</v>
      </c>
      <c r="BX58">
        <f>BV58/(2*V58*BL58+BV58)</f>
        <v>0.12488524086125363</v>
      </c>
      <c r="BY58">
        <f>BU58*BX58</f>
        <v>11.534274201464518</v>
      </c>
      <c r="BZ58">
        <f>BW58/(2*BN58*BA58+BW58)</f>
        <v>7.0884414161069567E-2</v>
      </c>
      <c r="CA58">
        <f>2*BN58*BA58/0.04</f>
        <v>98.446948681316485</v>
      </c>
      <c r="CB58">
        <f>(BS58+BL58)*2</f>
        <v>35.214136274537921</v>
      </c>
      <c r="CC58">
        <f>(BU58+BL58)*2</f>
        <v>206.7268069978806</v>
      </c>
      <c r="CD58">
        <f>(BT58+BN58)*2</f>
        <v>63.006047156042555</v>
      </c>
      <c r="CE58">
        <f>(CA58+BN58)*2</f>
        <v>236.27267683515956</v>
      </c>
      <c r="CF58">
        <f>'TEA Revised Non EYZ'!CB58</f>
        <v>2905.1662426493785</v>
      </c>
      <c r="CG58">
        <f>'TEA Revised Non EYZ'!CC58</f>
        <v>6237.5986684482132</v>
      </c>
      <c r="CH58">
        <f>'TEA Revised Non EYZ'!CD58</f>
        <v>3509.9789962792502</v>
      </c>
      <c r="CI58">
        <f>'TEA Revised Non EYZ'!CE58</f>
        <v>48111.152916914485</v>
      </c>
      <c r="CJ58">
        <f>BL58*V58</f>
        <v>1.10044175857931</v>
      </c>
      <c r="CK58">
        <f>CJ58/2*1.2</f>
        <v>0.66026505514758604</v>
      </c>
      <c r="CL58">
        <f>'eLLE Bals'!CB58*'Oxidant Feed Composition'!$N$20</f>
        <v>3.668139195264368E-2</v>
      </c>
      <c r="CM58">
        <f>'eLLE Bals'!CB58*'Oxidant Feed Composition'!$N$21</f>
        <v>1.8340695976321835</v>
      </c>
      <c r="CN58">
        <f>'eLLE Bals'!CB58*'Oxidant Feed Composition'!$N$22</f>
        <v>0.55022087928965502</v>
      </c>
      <c r="CO58">
        <f>CN58/CK58</f>
        <v>0.83333333333333326</v>
      </c>
      <c r="CP58">
        <f>CO58</f>
        <v>0.83333333333333326</v>
      </c>
      <c r="CQ58">
        <f>CL58/CO58</f>
        <v>4.4017670343172423E-2</v>
      </c>
      <c r="CR58">
        <f>CM58/CO58</f>
        <v>2.2008835171586205</v>
      </c>
      <c r="CS58">
        <f>BN58*BA58</f>
        <v>1.9689389736263299</v>
      </c>
      <c r="CT58">
        <f>CS58/2*1.2</f>
        <v>1.1813633841757978</v>
      </c>
      <c r="CU58">
        <f>'eLLE Bals'!CC58*'Oxidant Feed Composition'!$N$20</f>
        <v>6.5631299120877687E-2</v>
      </c>
      <c r="CV58">
        <f>'eLLE Bals'!CC58*'Oxidant Feed Composition'!$N$21</f>
        <v>3.2815649560438831</v>
      </c>
      <c r="CW58">
        <f>'eLLE Bals'!CC58*'Oxidant Feed Composition'!$N$22</f>
        <v>0.98446948681316493</v>
      </c>
      <c r="CX58">
        <f>CU58/CP58</f>
        <v>7.8757558945053235E-2</v>
      </c>
      <c r="CY58">
        <f>CV58/CP58</f>
        <v>3.9378779472526602</v>
      </c>
      <c r="CZ58">
        <f>CJ58</f>
        <v>1.10044175857931</v>
      </c>
      <c r="DA58">
        <f>'eLLE Bals'!BQ58</f>
        <v>2.2008835171586201</v>
      </c>
      <c r="DB58">
        <f>'eLLE Bals'!BU58</f>
        <v>5.5102985086689795</v>
      </c>
      <c r="DC58">
        <f>CS58</f>
        <v>1.9689389736263299</v>
      </c>
      <c r="DD58">
        <f>'eLLE Bals'!BX58</f>
        <v>3.9378779472526597</v>
      </c>
      <c r="DE58">
        <f>'eLLE Bals'!CA58</f>
        <v>21.869937629879374</v>
      </c>
      <c r="DF58">
        <f>2*2*(CJ58*'Reagent cost'!$C$36*122.44/1000*0.5+CK58*'Oxidant Feed Composition'!$N$26+CQ58*'Reagent cost'!$C$34+CR58*'Reagent cost'!$C$35)</f>
        <v>73.921389505184862</v>
      </c>
      <c r="DG58">
        <f>2*2*(CS58*'Reagent cost'!$C$36*122.44/1000*0.5+CT58*'Oxidant Feed Composition'!$N$26+CX58*'Reagent cost'!$C$34+CY58*'Reagent cost'!$C$35)</f>
        <v>132.26206988843666</v>
      </c>
      <c r="DH58">
        <f>(AF58+3)*2*(CZ58*'Reagent cost'!$C$38*0.5+DA58*'Reagent cost'!$C$39+DB58*'Reagent cost'!$C$36*122.44/1000)</f>
        <v>1305.9094329903976</v>
      </c>
      <c r="DI58">
        <f>3*2*(DC58*'Reagent cost'!$C$38*0.5+DD58*'Reagent cost'!$C$39+DE58*'Reagent cost'!$C$36*122.44/1000)</f>
        <v>1162.329776875828</v>
      </c>
      <c r="DJ58">
        <f>7963.6*(CB58/1000)^0.6*1.7*('CAPEX+OPEX'!$G$116/'CAPEX+OPEX'!$G$115)</f>
        <v>2144.228934815284</v>
      </c>
      <c r="DK58">
        <f>7963.6*(CC58/1000)^0.6*1.7*('CAPEX+OPEX'!$G$116/'CAPEX+OPEX'!$G$115)</f>
        <v>6201.2466571653367</v>
      </c>
      <c r="DL58">
        <f>7963.6*(CD58/1000)^0.6*1.7*('CAPEX+OPEX'!$G$116/'CAPEX+OPEX'!$G$115)</f>
        <v>3039.9767927452131</v>
      </c>
      <c r="DM58">
        <f>7963.6*(CE58/1000)^0.6*1.7*('CAPEX+OPEX'!$G$116/'CAPEX+OPEX'!$G$115)</f>
        <v>6718.758466201808</v>
      </c>
      <c r="DN58">
        <f>'TEA Revised Non EYZ'!CM58</f>
        <v>39625.826528698344</v>
      </c>
      <c r="DO58">
        <f>'TEA Revised Non EYZ'!CN58</f>
        <v>4586243.4239371875</v>
      </c>
      <c r="DP58">
        <f>'TEA Revised Non EYZ'!CO58</f>
        <v>11794834.586807497</v>
      </c>
      <c r="DQ58">
        <f>'TEA Revised Non EYZ'!CP58</f>
        <v>2275209.1661185985</v>
      </c>
      <c r="DR58">
        <f>'TEA Revised Non EYZ'!CQ58</f>
        <v>14083914.336508472</v>
      </c>
      <c r="DS58">
        <f>'TEA Revised Non EYZ'!CR58</f>
        <v>1662824.8986326549</v>
      </c>
      <c r="DT58">
        <f>'TEA Revised Non EYZ'!CS58</f>
        <v>751295.09040276916</v>
      </c>
      <c r="DU58">
        <f>'TEA Revised Non EYZ'!CT58</f>
        <v>1932169.8606163235</v>
      </c>
      <c r="DV58">
        <f>'TEA Revised Non EYZ'!CU58</f>
        <v>372713.20297186484</v>
      </c>
      <c r="DW58">
        <f>'TEA Revised Non EYZ'!CV58</f>
        <v>2307155.2721002945</v>
      </c>
      <c r="DX58">
        <f>'TEA Revised Non EYZ'!CW58</f>
        <v>272395.52441150707</v>
      </c>
      <c r="DY58">
        <f>'TEA Revised Non EYZ'!CX58</f>
        <v>5635728.9505027588</v>
      </c>
      <c r="DZ58">
        <f>'TEA Revised Non EYZ'!CY58</f>
        <v>800286.7903035864</v>
      </c>
      <c r="EA58">
        <f>'TEA Revised Non EYZ'!CZ58</f>
        <v>2058166.0067084958</v>
      </c>
      <c r="EB58">
        <f>'TEA Revised Non EYZ'!DA58</f>
        <v>397017.70545341435</v>
      </c>
      <c r="EC58">
        <f>'TEA Revised Non EYZ'!DB58</f>
        <v>2457604.0906260884</v>
      </c>
      <c r="ED58">
        <f>'TEA Revised Non EYZ'!DC58</f>
        <v>290158.34484886675</v>
      </c>
      <c r="EE58">
        <f>'TEA Revised Non EYZ'!DD58</f>
        <v>6003232.9379404513</v>
      </c>
      <c r="EF58">
        <v>0.7</v>
      </c>
      <c r="EG58">
        <v>100</v>
      </c>
      <c r="EH58">
        <f>96485*BL58*V58/EF58/EG58/60</f>
        <v>25.280029303934459</v>
      </c>
      <c r="EI58">
        <f>96485*BN58*BA58/EF58/EG58/60</f>
        <v>45.23168496912772</v>
      </c>
      <c r="EJ58">
        <f>EH58*('CAPEX+OPEX'!$O$25+'CAPEX+OPEX'!$O$26)</f>
        <v>805725.09397499904</v>
      </c>
      <c r="EK58">
        <f>EI58*('CAPEX+OPEX'!$O$25+'CAPEX+OPEX'!$O$26)</f>
        <v>1441624.2633360387</v>
      </c>
      <c r="EL58">
        <f>EJ58*1.12/0.6*'CAPEX+OPEX'!$G$116/'CAPEX+OPEX'!$G$115</f>
        <v>1773928.987938937</v>
      </c>
      <c r="EM58">
        <f>EK58*1.12/0.6*'CAPEX+OPEX'!$G$116/'CAPEX+OPEX'!$G$115</f>
        <v>3173959.8152906322</v>
      </c>
      <c r="EN58">
        <f>EL58+EM58+DY58+EE58+1.15*(SUM(DF58:DM58)+SUM(CF58:CI58))</f>
        <v>16680624.60156893</v>
      </c>
      <c r="EO58">
        <f>EN58/15</f>
        <v>1112041.6401045953</v>
      </c>
      <c r="EP58">
        <f>('eLLE Bals'!CB58+'eLLE Bals'!CC58)*'Oxidant Feed Composition'!$N$29*60*7200</f>
        <v>7656131.9289184101</v>
      </c>
      <c r="EQ58" s="53">
        <f>('eLLE Bals'!BR58+'eLLE Bals'!BY58)*'Reagent cost'!$C$38*60*7200*0.5</f>
        <v>252720.75335893623</v>
      </c>
      <c r="ER58">
        <f>'TEA Revised Non EYZ'!DI58</f>
        <v>504921.59999999998</v>
      </c>
      <c r="ES58">
        <f>'TEA Revised Non EYZ'!DJ58</f>
        <v>91.427649110975906</v>
      </c>
      <c r="ET58">
        <f>'TEA Revised Non EYZ'!DK58</f>
        <v>1032.4226382638747</v>
      </c>
      <c r="EU58">
        <f>1.2*SUM(EP58:ET58)</f>
        <v>10097877.759077663</v>
      </c>
      <c r="EV58">
        <f>'TEA Revised Non EYZ'!DM58</f>
        <v>0.70639694042110623</v>
      </c>
      <c r="EW58">
        <f>(BS58*CO58+BT58*CP58)/1000*('Oxidant Feed Composition'!$B$11*'Oxidant Feed Composition'!$O$20+'Oxidant Feed Composition'!$D$11*'Oxidant Feed Composition'!$O$21+'Oxidant Feed Composition'!$F$11*'Oxidant Feed Composition'!$O$27-'Oxidant Feed Composition'!$J$15*18.015)</f>
        <v>1.7922810844774935</v>
      </c>
      <c r="EX58">
        <f>(CZ58*BX58+DC58*BZ58)*368.34/1000</f>
        <v>0.10202871391042702</v>
      </c>
      <c r="EY58">
        <f>'TEA Revised Non EYZ'!DP58</f>
        <v>4.999938342565946E-2</v>
      </c>
      <c r="EZ58">
        <f>SUM(EV58:EX58)-EY58</f>
        <v>2.5507073553833672</v>
      </c>
      <c r="FA58">
        <f>EZ58*0.33*60*7200</f>
        <v>363628.8405834529</v>
      </c>
      <c r="FB58">
        <f>'TEA Revised Non EYZ'!DS58</f>
        <v>1.2</v>
      </c>
      <c r="FC58">
        <v>0.5</v>
      </c>
      <c r="FD58">
        <f>'TEA Revised Non EYZ'!DT58</f>
        <v>1405.9035889466509</v>
      </c>
      <c r="FE58">
        <f>'TEA Revised Non EYZ'!DU58</f>
        <v>705.84693331136953</v>
      </c>
      <c r="FF58">
        <f>'TEA Revised Non EYZ'!DV58</f>
        <v>0.7</v>
      </c>
      <c r="FG58">
        <f>'TEA Revised Non EYZ'!DW58</f>
        <v>41280.414286181804</v>
      </c>
      <c r="FH58">
        <f>'TEA Revised Non EYZ'!DX58</f>
        <v>37373.489075065132</v>
      </c>
      <c r="FI58">
        <f>'TEA Revised Non EYZ'!DY58</f>
        <v>15823.453035813865</v>
      </c>
      <c r="FJ58">
        <f>'TEA Revised Non EYZ'!DZ58</f>
        <v>8382.1245272768647</v>
      </c>
      <c r="FK58">
        <f>'TEA Revised Non EYZ'!EA58</f>
        <v>8439.174952434063</v>
      </c>
      <c r="FL58">
        <f>'TEA Revised Non EYZ'!EB58</f>
        <v>850.29049059493457</v>
      </c>
      <c r="FM58">
        <f>'TEA Revised Non EYZ'!EC58</f>
        <v>43714.036297381164</v>
      </c>
      <c r="FN58">
        <f>'TEA Revised Non EYZ'!ED58</f>
        <v>42674.061348668067</v>
      </c>
      <c r="FO58">
        <f>'TEA Revised Non EYZ'!EE58</f>
        <v>18067.6469419764</v>
      </c>
      <c r="FP58">
        <f>'TEA Revised Non EYZ'!EF58</f>
        <v>9576.263498780494</v>
      </c>
      <c r="FQ58">
        <f>'TEA Revised Non EYZ'!EG58</f>
        <v>9636.0783690540829</v>
      </c>
      <c r="FR58">
        <f>'TEA Revised Non EYZ'!EH58</f>
        <v>426.89622526671633</v>
      </c>
      <c r="FS58">
        <f>'TEA Revised Non EYZ'!EI58</f>
        <v>236243.92904849356</v>
      </c>
      <c r="FT58">
        <f>EG58*EH58</f>
        <v>2528.0029303934457</v>
      </c>
      <c r="FU58">
        <f>EG58*EI58</f>
        <v>4523.1684969127718</v>
      </c>
      <c r="FV58">
        <f>FC58*(FT58+FU58)/(3.6*10^6)*3600*7200*0.07</f>
        <v>1776.8951996811668</v>
      </c>
      <c r="FW58">
        <f>('CAPEX+OPEX'!$C$39/7/100+0.03)*EL58</f>
        <v>91230.633665431043</v>
      </c>
      <c r="FX58">
        <f>('CAPEX+OPEX'!$C$39/7/100+0.03)*EM58</f>
        <v>163232.21907208965</v>
      </c>
      <c r="FY58">
        <f>SUM(FV58:FX58)</f>
        <v>256239.74793720187</v>
      </c>
      <c r="FZ58">
        <f>FY58+FA58+FS58+EU58</f>
        <v>10953990.276646812</v>
      </c>
      <c r="GA58">
        <f>FZ58+EO58</f>
        <v>12066031.916751407</v>
      </c>
      <c r="GB58">
        <f>GA58/(BK58*60*7200)</f>
        <v>0.27930629436924553</v>
      </c>
      <c r="GC58">
        <f>'TEA Revised Non EYZ'!EM58/'TEA Revised Non EYZ'!EK58*GA58</f>
        <v>934.40978667914169</v>
      </c>
      <c r="GD58">
        <f>'TEA Revised Non EYZ'!EN58/'TEA Revised Non EYZ'!EK58*GA58</f>
        <v>1714.7670386518573</v>
      </c>
    </row>
    <row r="59" spans="1:186">
      <c r="A59">
        <f>'TEA Revised Non EYZ'!A59</f>
        <v>8</v>
      </c>
      <c r="B59">
        <f>'TEA Revised Non EYZ'!B59</f>
        <v>1.54143585092054E-3</v>
      </c>
      <c r="C59">
        <f>'TEA Revised Non EYZ'!C59</f>
        <v>1.54143585092054E-3</v>
      </c>
      <c r="D59">
        <f>'TEA Revised Non EYZ'!D59</f>
        <v>3.4254130020456501E-4</v>
      </c>
      <c r="E59">
        <f>'TEA Revised Non EYZ'!E59</f>
        <v>0</v>
      </c>
      <c r="F59">
        <f>'TEA Revised Non EYZ'!F59</f>
        <v>0</v>
      </c>
      <c r="G59">
        <f>'TEA Revised Non EYZ'!G59</f>
        <v>0</v>
      </c>
      <c r="H59">
        <f>'TEA Revised Non EYZ'!H59</f>
        <v>1.7762434284205799E-5</v>
      </c>
      <c r="I59">
        <f>'TEA Revised Non EYZ'!I59</f>
        <v>4.4591984978445998E-9</v>
      </c>
      <c r="J59">
        <f>'TEA Revised Non EYZ'!J59</f>
        <v>3.37570976171142E-4</v>
      </c>
      <c r="K59">
        <f>'TEA Revised Non EYZ'!K59</f>
        <v>0.13846015972746001</v>
      </c>
      <c r="L59">
        <f>'TEA Revised Non EYZ'!L59</f>
        <v>0.14007387303476199</v>
      </c>
      <c r="M59">
        <f>'TEA Revised Non EYZ'!M59</f>
        <v>4.5166625081916902E-4</v>
      </c>
      <c r="N59">
        <f>'TEA Revised Non EYZ'!N59</f>
        <v>-2.6107588313450902E-16</v>
      </c>
      <c r="O59">
        <f>'TEA Revised Non EYZ'!O59</f>
        <v>-1.18524981496115E-14</v>
      </c>
      <c r="P59">
        <f>'TEA Revised Non EYZ'!P59</f>
        <v>-2.5241581828178102E-19</v>
      </c>
      <c r="Q59">
        <f>'TEA Revised Non EYZ'!Q59</f>
        <v>0.110044175857931</v>
      </c>
      <c r="R59">
        <f>'TEA Revised Non EYZ'!R59</f>
        <v>98.548985471108097</v>
      </c>
      <c r="S59">
        <f>'TEA Revised Non EYZ'!S59</f>
        <v>500</v>
      </c>
      <c r="T59">
        <f>'TEA Revised Non EYZ'!T59</f>
        <v>95</v>
      </c>
      <c r="U59">
        <f>'TEA Revised Non EYZ'!U59</f>
        <v>1</v>
      </c>
      <c r="V59">
        <f>'TEA Revised Non EYZ'!V59</f>
        <v>0.1</v>
      </c>
      <c r="W59">
        <f>'TEA Revised Non EYZ'!W59</f>
        <v>90.872596591664205</v>
      </c>
      <c r="X59" t="str">
        <f>'TEA Revised Non EYZ'!X59</f>
        <v>ddFc</v>
      </c>
      <c r="Y59">
        <f>'TEA Revised Non EYZ'!Y59</f>
        <v>1</v>
      </c>
      <c r="Z59">
        <f>'TEA Revised Non EYZ'!Z59</f>
        <v>0.28318429382522198</v>
      </c>
      <c r="AA59">
        <f>'TEA Revised Non EYZ'!AA59</f>
        <v>0.56945642916197003</v>
      </c>
      <c r="AB59">
        <f>'TEA Revised Non EYZ'!AB59</f>
        <v>3.7698628972227502E-3</v>
      </c>
      <c r="AC59">
        <f>'TEA Revised Non EYZ'!AC59</f>
        <v>1822.2107908876901</v>
      </c>
      <c r="AD59">
        <f>'TEA Revised Non EYZ'!AD59</f>
        <v>2662.6059073104898</v>
      </c>
      <c r="AE59">
        <f>'TEA Revised Non EYZ'!AE59</f>
        <v>2401.5030938442701</v>
      </c>
      <c r="AF59">
        <f>'TEA Revised Non EYZ'!AF59</f>
        <v>11</v>
      </c>
      <c r="AG59">
        <f>'TEA Revised Non EYZ'!AG59</f>
        <v>1.6497294784823999E-3</v>
      </c>
      <c r="AH59">
        <f>'TEA Revised Non EYZ'!AH59</f>
        <v>1.66895660069658E-3</v>
      </c>
      <c r="AI59">
        <f>'TEA Revised Non EYZ'!AI59</f>
        <v>5.38152729188446E-6</v>
      </c>
      <c r="AJ59">
        <f>'TEA Revised Non EYZ'!AJ59</f>
        <v>0</v>
      </c>
      <c r="AK59">
        <f>'TEA Revised Non EYZ'!AK59</f>
        <v>0</v>
      </c>
      <c r="AL59">
        <f>'TEA Revised Non EYZ'!AL59</f>
        <v>0</v>
      </c>
      <c r="AM59">
        <f>'TEA Revised Non EYZ'!AM59</f>
        <v>1.6127801705222199E-3</v>
      </c>
      <c r="AN59">
        <f>'TEA Revised Non EYZ'!AN59</f>
        <v>7.9537033492425895E-5</v>
      </c>
      <c r="AO59">
        <f>'TEA Revised Non EYZ'!AO59</f>
        <v>5.3461333771461197E-6</v>
      </c>
      <c r="AP59">
        <f>'TEA Revised Non EYZ'!AP59</f>
        <v>1.73325890938514E-3</v>
      </c>
      <c r="AQ59">
        <f>'TEA Revised Non EYZ'!AQ59</f>
        <v>7.4558246913040901E-2</v>
      </c>
      <c r="AR59">
        <f>'TEA Revised Non EYZ'!AR59</f>
        <v>1.6602968079419499E-6</v>
      </c>
      <c r="AS59">
        <f>'TEA Revised Non EYZ'!AS59</f>
        <v>2.06541869111204E-15</v>
      </c>
      <c r="AT59">
        <f>'TEA Revised Non EYZ'!AT59</f>
        <v>-2.05823422541606E-13</v>
      </c>
      <c r="AU59">
        <f>'TEA Revised Non EYZ'!AU59</f>
        <v>1.5676726969104899E-20</v>
      </c>
      <c r="AV59">
        <f>'TEA Revised Non EYZ'!AV59</f>
        <v>0.19688925842004401</v>
      </c>
      <c r="AW59">
        <f>'TEA Revised Non EYZ'!AW59</f>
        <v>99.342307251851594</v>
      </c>
      <c r="AX59">
        <f>'TEA Revised Non EYZ'!AX59</f>
        <v>499.99999999999898</v>
      </c>
      <c r="AY59">
        <f>'TEA Revised Non EYZ'!AY59</f>
        <v>95</v>
      </c>
      <c r="AZ59">
        <f>'TEA Revised Non EYZ'!AZ59</f>
        <v>0.92358985913147196</v>
      </c>
      <c r="BA59">
        <f>'TEA Revised Non EYZ'!BA59</f>
        <v>0.1</v>
      </c>
      <c r="BB59">
        <f>'TEA Revised Non EYZ'!BB59</f>
        <v>46.909103449467104</v>
      </c>
      <c r="BC59" t="str">
        <f>'TEA Revised Non EYZ'!BC59</f>
        <v>coeFc</v>
      </c>
      <c r="BD59">
        <f>'TEA Revised Non EYZ'!BD59</f>
        <v>1</v>
      </c>
      <c r="BE59">
        <f>'TEA Revised Non EYZ'!BE59</f>
        <v>1.8775014999999999E-2</v>
      </c>
      <c r="BF59">
        <f>'TEA Revised Non EYZ'!BF59</f>
        <v>0.10492961100000001</v>
      </c>
      <c r="BG59">
        <f>'TEA Revised Non EYZ'!BG59</f>
        <v>1.814625E-3</v>
      </c>
      <c r="BH59">
        <f>'TEA Revised Non EYZ'!BH59</f>
        <v>285.1951444</v>
      </c>
      <c r="BI59">
        <f>'TEA Revised Non EYZ'!BI59</f>
        <v>2169.8944889999998</v>
      </c>
      <c r="BJ59">
        <f>'TEA Revised Non EYZ'!BJ59</f>
        <v>866.49409060000005</v>
      </c>
      <c r="BK59">
        <f>'TEA Revised Non EYZ'!BK59</f>
        <v>100</v>
      </c>
      <c r="BL59">
        <f>'TEA Revised Non EYZ'!BL59</f>
        <v>11.004417585793099</v>
      </c>
      <c r="BM59">
        <f>'TEA Revised Non EYZ'!BM59</f>
        <v>92.358985913147194</v>
      </c>
      <c r="BN59">
        <f>'TEA Revised Non EYZ'!BN59</f>
        <v>19.688925842004402</v>
      </c>
      <c r="BO59">
        <f>'TEA Revised Non EYZ'!BO59</f>
        <v>220.08835171586199</v>
      </c>
      <c r="BP59">
        <f>'TEA Revised Non EYZ'!BP59</f>
        <v>511.91207189211445</v>
      </c>
      <c r="BQ59">
        <f>'TEA Revised Non EYZ'!BQ59</f>
        <v>22.008835171586199</v>
      </c>
      <c r="BR59">
        <f>'TEA Revised Non EYZ'!BR59</f>
        <v>51.191207189211447</v>
      </c>
      <c r="BS59">
        <f>'eLLE Bals'!CF59</f>
        <v>6.6026505514758593</v>
      </c>
      <c r="BT59">
        <f>'eLLE Bals'!CG59</f>
        <v>11.81335550520264</v>
      </c>
      <c r="BU59">
        <f>BM59</f>
        <v>92.358985913147194</v>
      </c>
      <c r="BV59">
        <f>BU59*(AM59*2+AN59*2+AO59*3)</f>
        <v>0.31408269198413957</v>
      </c>
      <c r="BW59">
        <f>BN59*BA59*(AP59*2+AQ59*2+AR59*3)</f>
        <v>0.30042936694073691</v>
      </c>
      <c r="BX59">
        <f>BV59/(2*V59*BL59+BV59)</f>
        <v>0.12488545207579405</v>
      </c>
      <c r="BY59">
        <f>BU59*BX59</f>
        <v>11.534293709025281</v>
      </c>
      <c r="BZ59">
        <f>BW59/(2*BN59*BA59+BW59)</f>
        <v>7.0885832804242668E-2</v>
      </c>
      <c r="CA59">
        <f>2*BN59*BA59/0.04</f>
        <v>98.444629210022015</v>
      </c>
      <c r="CB59">
        <f>(BS59+BL59)*2</f>
        <v>35.214136274537921</v>
      </c>
      <c r="CC59">
        <f>(BU59+BL59)*2</f>
        <v>206.7268069978806</v>
      </c>
      <c r="CD59">
        <f>(BT59+BN59)*2</f>
        <v>63.004562694414084</v>
      </c>
      <c r="CE59">
        <f>(CA59+BN59)*2</f>
        <v>236.26711010405285</v>
      </c>
      <c r="CF59">
        <f>'TEA Revised Non EYZ'!CB59</f>
        <v>2905.1662426493785</v>
      </c>
      <c r="CG59">
        <f>'TEA Revised Non EYZ'!CC59</f>
        <v>6757.2393489759106</v>
      </c>
      <c r="CH59">
        <f>'TEA Revised Non EYZ'!CD59</f>
        <v>3509.9789962792502</v>
      </c>
      <c r="CI59">
        <f>'TEA Revised Non EYZ'!CE59</f>
        <v>52119.187670605555</v>
      </c>
      <c r="CJ59">
        <f>BL59*V59</f>
        <v>1.10044175857931</v>
      </c>
      <c r="CK59">
        <f>CJ59/2*1.2</f>
        <v>0.66026505514758604</v>
      </c>
      <c r="CL59">
        <f>'eLLE Bals'!CB59*'Oxidant Feed Composition'!$N$20</f>
        <v>3.668139195264368E-2</v>
      </c>
      <c r="CM59">
        <f>'eLLE Bals'!CB59*'Oxidant Feed Composition'!$N$21</f>
        <v>1.8340695976321835</v>
      </c>
      <c r="CN59">
        <f>'eLLE Bals'!CB59*'Oxidant Feed Composition'!$N$22</f>
        <v>0.55022087928965502</v>
      </c>
      <c r="CO59">
        <f>CN59/CK59</f>
        <v>0.83333333333333326</v>
      </c>
      <c r="CP59">
        <f>CO59</f>
        <v>0.83333333333333326</v>
      </c>
      <c r="CQ59">
        <f>CL59/CO59</f>
        <v>4.4017670343172423E-2</v>
      </c>
      <c r="CR59">
        <f>CM59/CO59</f>
        <v>2.2008835171586205</v>
      </c>
      <c r="CS59">
        <f>BN59*BA59</f>
        <v>1.9688925842004403</v>
      </c>
      <c r="CT59">
        <f>CS59/2*1.2</f>
        <v>1.1813355505202641</v>
      </c>
      <c r="CU59">
        <f>'eLLE Bals'!CC59*'Oxidant Feed Composition'!$N$20</f>
        <v>6.5629752806681374E-2</v>
      </c>
      <c r="CV59">
        <f>'eLLE Bals'!CC59*'Oxidant Feed Composition'!$N$21</f>
        <v>3.2814876403340674</v>
      </c>
      <c r="CW59">
        <f>'eLLE Bals'!CC59*'Oxidant Feed Composition'!$N$22</f>
        <v>0.98444629210022017</v>
      </c>
      <c r="CX59">
        <f>CU59/CP59</f>
        <v>7.8755703368017654E-2</v>
      </c>
      <c r="CY59">
        <f>CV59/CP59</f>
        <v>3.9377851684008811</v>
      </c>
      <c r="CZ59">
        <f>CJ59</f>
        <v>1.10044175857931</v>
      </c>
      <c r="DA59">
        <f>'eLLE Bals'!BQ59</f>
        <v>2.2008835171586201</v>
      </c>
      <c r="DB59">
        <f>'eLLE Bals'!BU59</f>
        <v>5.5102836052317166</v>
      </c>
      <c r="DC59">
        <f>CS59</f>
        <v>1.9688925842004403</v>
      </c>
      <c r="DD59">
        <f>'eLLE Bals'!BX59</f>
        <v>3.9377851684008807</v>
      </c>
      <c r="DE59">
        <f>'eLLE Bals'!CA59</f>
        <v>21.868866475505691</v>
      </c>
      <c r="DF59">
        <f>2*2*(CJ59*'Reagent cost'!$C$36*122.44/1000*0.5+CK59*'Oxidant Feed Composition'!$N$26+CQ59*'Reagent cost'!$C$34+CR59*'Reagent cost'!$C$35)</f>
        <v>73.921389505184862</v>
      </c>
      <c r="DG59">
        <f>2*2*(CS59*'Reagent cost'!$C$36*122.44/1000*0.5+CT59*'Oxidant Feed Composition'!$N$26+CX59*'Reagent cost'!$C$34+CY59*'Reagent cost'!$C$35)</f>
        <v>132.25895371187087</v>
      </c>
      <c r="DH59">
        <f>(AF59+3)*2*(CZ59*'Reagent cost'!$C$38*0.5+DA59*'Reagent cost'!$C$39+DB59*'Reagent cost'!$C$36*122.44/1000)</f>
        <v>1406.3603965181205</v>
      </c>
      <c r="DI59">
        <f>3*2*(DC59*'Reagent cost'!$C$38*0.5+DD59*'Reagent cost'!$C$39+DE59*'Reagent cost'!$C$36*122.44/1000)</f>
        <v>1162.2735521935847</v>
      </c>
      <c r="DJ59">
        <f>7963.6*(CB59/1000)^0.6*1.7*('CAPEX+OPEX'!$G$116/'CAPEX+OPEX'!$G$115)</f>
        <v>2144.228934815284</v>
      </c>
      <c r="DK59">
        <f>7963.6*(CC59/1000)^0.6*1.7*('CAPEX+OPEX'!$G$116/'CAPEX+OPEX'!$G$115)</f>
        <v>6201.2466571653367</v>
      </c>
      <c r="DL59">
        <f>7963.6*(CD59/1000)^0.6*1.7*('CAPEX+OPEX'!$G$116/'CAPEX+OPEX'!$G$115)</f>
        <v>3039.9338182971837</v>
      </c>
      <c r="DM59">
        <f>7963.6*(CE59/1000)^0.6*1.7*('CAPEX+OPEX'!$G$116/'CAPEX+OPEX'!$G$115)</f>
        <v>6718.6634868791989</v>
      </c>
      <c r="DN59">
        <f>'TEA Revised Non EYZ'!CM59</f>
        <v>39625.826528698344</v>
      </c>
      <c r="DO59">
        <f>'TEA Revised Non EYZ'!CN59</f>
        <v>4586243.4239371875</v>
      </c>
      <c r="DP59">
        <f>'TEA Revised Non EYZ'!CO59</f>
        <v>11794834.586807497</v>
      </c>
      <c r="DQ59">
        <f>'TEA Revised Non EYZ'!CP59</f>
        <v>2275209.1661185985</v>
      </c>
      <c r="DR59">
        <f>'TEA Revised Non EYZ'!CQ59</f>
        <v>14083914.336508472</v>
      </c>
      <c r="DS59">
        <f>'TEA Revised Non EYZ'!CR59</f>
        <v>1662824.8986326549</v>
      </c>
      <c r="DT59">
        <f>'TEA Revised Non EYZ'!CS59</f>
        <v>751295.09040276916</v>
      </c>
      <c r="DU59">
        <f>'TEA Revised Non EYZ'!CT59</f>
        <v>1932169.8606163235</v>
      </c>
      <c r="DV59">
        <f>'TEA Revised Non EYZ'!CU59</f>
        <v>372713.20297186484</v>
      </c>
      <c r="DW59">
        <f>'TEA Revised Non EYZ'!CV59</f>
        <v>2307155.2721002945</v>
      </c>
      <c r="DX59">
        <f>'TEA Revised Non EYZ'!CW59</f>
        <v>272395.52441150707</v>
      </c>
      <c r="DY59">
        <f>'TEA Revised Non EYZ'!CX59</f>
        <v>5635728.9505027588</v>
      </c>
      <c r="DZ59">
        <f>'TEA Revised Non EYZ'!CY59</f>
        <v>843177.06502963789</v>
      </c>
      <c r="EA59">
        <f>'TEA Revised Non EYZ'!CZ59</f>
        <v>2168470.5956747346</v>
      </c>
      <c r="EB59">
        <f>'TEA Revised Non EYZ'!DA59</f>
        <v>418295.32575693569</v>
      </c>
      <c r="EC59">
        <f>'TEA Revised Non EYZ'!DB59</f>
        <v>2589316.0167655097</v>
      </c>
      <c r="ED59">
        <f>'TEA Revised Non EYZ'!DC59</f>
        <v>305708.98403897922</v>
      </c>
      <c r="EE59">
        <f>'TEA Revised Non EYZ'!DD59</f>
        <v>6324967.9872657973</v>
      </c>
      <c r="EF59">
        <v>0.7</v>
      </c>
      <c r="EG59">
        <v>100</v>
      </c>
      <c r="EH59">
        <f>96485*BL59*V59/EF59/EG59/60</f>
        <v>25.280029303934459</v>
      </c>
      <c r="EI59">
        <f>96485*BN59*BA59/EF59/EG59/60</f>
        <v>45.23061928251893</v>
      </c>
      <c r="EJ59">
        <f>EH59*('CAPEX+OPEX'!$O$25+'CAPEX+OPEX'!$O$26)</f>
        <v>805725.09397499904</v>
      </c>
      <c r="EK59">
        <f>EI59*('CAPEX+OPEX'!$O$25+'CAPEX+OPEX'!$O$26)</f>
        <v>1441590.2977724434</v>
      </c>
      <c r="EL59">
        <f>EJ59*1.12/0.6*'CAPEX+OPEX'!$G$116/'CAPEX+OPEX'!$G$115</f>
        <v>1773928.987938937</v>
      </c>
      <c r="EM59">
        <f>EK59*1.12/0.6*'CAPEX+OPEX'!$G$116/'CAPEX+OPEX'!$G$115</f>
        <v>3173885.0348248086</v>
      </c>
      <c r="EN59">
        <f>EL59+EM59+DY59+EE59+1.15*(SUM(DF59:DM59)+SUM(CF59:CI59))</f>
        <v>17007606.988897037</v>
      </c>
      <c r="EO59">
        <f>EN59/15</f>
        <v>1133840.4659264691</v>
      </c>
      <c r="EP59">
        <f>('eLLE Bals'!CB59+'eLLE Bals'!CC59)*'Oxidant Feed Composition'!$N$29*60*7200</f>
        <v>7656016.2171199368</v>
      </c>
      <c r="EQ59" s="53">
        <f>('eLLE Bals'!BR59+'eLLE Bals'!BY59)*'Reagent cost'!$C$38*60*7200*0.5</f>
        <v>252720.51367955099</v>
      </c>
      <c r="ER59">
        <f>'TEA Revised Non EYZ'!DI59</f>
        <v>504921.59999999998</v>
      </c>
      <c r="ES59">
        <f>'TEA Revised Non EYZ'!DJ59</f>
        <v>96.6240559162529</v>
      </c>
      <c r="ET59">
        <f>'TEA Revised Non EYZ'!DK59</f>
        <v>1112.5833333376961</v>
      </c>
      <c r="EU59">
        <f>1.2*SUM(EP59:ET59)</f>
        <v>10097841.045826491</v>
      </c>
      <c r="EV59">
        <f>'TEA Revised Non EYZ'!DM59</f>
        <v>0.70639694042110623</v>
      </c>
      <c r="EW59">
        <f>(BS59*CO59+BT59*CP59)/1000*('Oxidant Feed Composition'!$B$11*'Oxidant Feed Composition'!$O$20+'Oxidant Feed Composition'!$D$11*'Oxidant Feed Composition'!$O$21+'Oxidant Feed Composition'!$F$11*'Oxidant Feed Composition'!$O$27-'Oxidant Feed Composition'!$J$15*18.015)</f>
        <v>1.7922539966386763</v>
      </c>
      <c r="EX59">
        <f>(CZ59*BX59+DC59*BZ59)*368.34/1000</f>
        <v>0.10202861714678929</v>
      </c>
      <c r="EY59">
        <f>'TEA Revised Non EYZ'!DP59</f>
        <v>4.999938342565946E-2</v>
      </c>
      <c r="EZ59">
        <f>SUM(EV59:EX59)-EY59</f>
        <v>2.5506801707809128</v>
      </c>
      <c r="FA59">
        <f>EZ59*0.33*60*7200</f>
        <v>363624.96514652693</v>
      </c>
      <c r="FB59">
        <f>'TEA Revised Non EYZ'!DS59</f>
        <v>1.2</v>
      </c>
      <c r="FC59">
        <v>0.5</v>
      </c>
      <c r="FD59">
        <f>'TEA Revised Non EYZ'!DT59</f>
        <v>1405.9063075371266</v>
      </c>
      <c r="FE59">
        <f>'TEA Revised Non EYZ'!DU59</f>
        <v>705.84421451437709</v>
      </c>
      <c r="FF59">
        <f>'TEA Revised Non EYZ'!DV59</f>
        <v>0.7</v>
      </c>
      <c r="FG59">
        <f>'TEA Revised Non EYZ'!DW59</f>
        <v>41280.414286181804</v>
      </c>
      <c r="FH59">
        <f>'TEA Revised Non EYZ'!DX59</f>
        <v>37373.489075065132</v>
      </c>
      <c r="FI59">
        <f>'TEA Revised Non EYZ'!DY59</f>
        <v>15823.453035813865</v>
      </c>
      <c r="FJ59">
        <f>'TEA Revised Non EYZ'!DZ59</f>
        <v>8382.1245272768647</v>
      </c>
      <c r="FK59">
        <f>'TEA Revised Non EYZ'!EA59</f>
        <v>8439.174952434063</v>
      </c>
      <c r="FL59">
        <f>'TEA Revised Non EYZ'!EB59</f>
        <v>850.29213479845407</v>
      </c>
      <c r="FM59">
        <f>'TEA Revised Non EYZ'!EC59</f>
        <v>46285.450197227117</v>
      </c>
      <c r="FN59">
        <f>'TEA Revised Non EYZ'!ED59</f>
        <v>46553.52147127426</v>
      </c>
      <c r="FO59">
        <f>'TEA Revised Non EYZ'!EE59</f>
        <v>19710.160300337891</v>
      </c>
      <c r="FP59">
        <f>'TEA Revised Non EYZ'!EF59</f>
        <v>10446.832907760539</v>
      </c>
      <c r="FQ59">
        <f>'TEA Revised Non EYZ'!EG59</f>
        <v>10512.085493513545</v>
      </c>
      <c r="FR59">
        <f>'TEA Revised Non EYZ'!EH59</f>
        <v>426.89458093829529</v>
      </c>
      <c r="FS59">
        <f>'TEA Revised Non EYZ'!EI59</f>
        <v>246083.89296262185</v>
      </c>
      <c r="FT59">
        <f>EG59*EH59</f>
        <v>2528.0029303934457</v>
      </c>
      <c r="FU59">
        <f>EG59*EI59</f>
        <v>4523.0619282518928</v>
      </c>
      <c r="FV59">
        <f>FC59*(FT59+FU59)/(3.6*10^6)*3600*7200*0.07</f>
        <v>1776.8683443786256</v>
      </c>
      <c r="FW59">
        <f>('CAPEX+OPEX'!$C$39/7/100+0.03)*EL59</f>
        <v>91230.633665431043</v>
      </c>
      <c r="FX59">
        <f>('CAPEX+OPEX'!$C$39/7/100+0.03)*EM59</f>
        <v>163228.37321956159</v>
      </c>
      <c r="FY59">
        <f>SUM(FV59:FX59)</f>
        <v>256235.87522937125</v>
      </c>
      <c r="FZ59">
        <f>FY59+FA59+FS59+EU59</f>
        <v>10963785.779165011</v>
      </c>
      <c r="GA59">
        <f>FZ59+EO59</f>
        <v>12097626.245091479</v>
      </c>
      <c r="GB59">
        <f>GA59/(BK59*60*7200)</f>
        <v>0.28003764456230273</v>
      </c>
      <c r="GC59">
        <f>'TEA Revised Non EYZ'!EM59/'TEA Revised Non EYZ'!EK59*GA59</f>
        <v>936.85468135544795</v>
      </c>
      <c r="GD59">
        <f>'TEA Revised Non EYZ'!EN59/'TEA Revised Non EYZ'!EK59*GA59</f>
        <v>1719.2631795362731</v>
      </c>
    </row>
    <row r="60" spans="1:186">
      <c r="A60">
        <f>'TEA Revised Non EYZ'!A60</f>
        <v>8</v>
      </c>
      <c r="B60">
        <f>'TEA Revised Non EYZ'!B60</f>
        <v>1.54143585092054E-3</v>
      </c>
      <c r="C60">
        <f>'TEA Revised Non EYZ'!C60</f>
        <v>1.54143585092054E-3</v>
      </c>
      <c r="D60">
        <f>'TEA Revised Non EYZ'!D60</f>
        <v>3.4254130020456501E-4</v>
      </c>
      <c r="E60">
        <f>'TEA Revised Non EYZ'!E60</f>
        <v>0</v>
      </c>
      <c r="F60">
        <f>'TEA Revised Non EYZ'!F60</f>
        <v>0</v>
      </c>
      <c r="G60">
        <f>'TEA Revised Non EYZ'!G60</f>
        <v>0</v>
      </c>
      <c r="H60">
        <f>'TEA Revised Non EYZ'!H60</f>
        <v>1.7762434284205799E-5</v>
      </c>
      <c r="I60">
        <f>'TEA Revised Non EYZ'!I60</f>
        <v>4.4591984978445998E-9</v>
      </c>
      <c r="J60">
        <f>'TEA Revised Non EYZ'!J60</f>
        <v>3.37570976171142E-4</v>
      </c>
      <c r="K60">
        <f>'TEA Revised Non EYZ'!K60</f>
        <v>0.13846015972746001</v>
      </c>
      <c r="L60">
        <f>'TEA Revised Non EYZ'!L60</f>
        <v>0.14007387303476199</v>
      </c>
      <c r="M60">
        <f>'TEA Revised Non EYZ'!M60</f>
        <v>4.5166625081916902E-4</v>
      </c>
      <c r="N60">
        <f>'TEA Revised Non EYZ'!N60</f>
        <v>-2.6107588313450902E-16</v>
      </c>
      <c r="O60">
        <f>'TEA Revised Non EYZ'!O60</f>
        <v>-1.18524981496115E-14</v>
      </c>
      <c r="P60">
        <f>'TEA Revised Non EYZ'!P60</f>
        <v>-2.5241581828178102E-19</v>
      </c>
      <c r="Q60">
        <f>'TEA Revised Non EYZ'!Q60</f>
        <v>0.110044175857931</v>
      </c>
      <c r="R60">
        <f>'TEA Revised Non EYZ'!R60</f>
        <v>98.548985471108097</v>
      </c>
      <c r="S60">
        <f>'TEA Revised Non EYZ'!S60</f>
        <v>500</v>
      </c>
      <c r="T60">
        <f>'TEA Revised Non EYZ'!T60</f>
        <v>95</v>
      </c>
      <c r="U60">
        <f>'TEA Revised Non EYZ'!U60</f>
        <v>1</v>
      </c>
      <c r="V60">
        <f>'TEA Revised Non EYZ'!V60</f>
        <v>0.1</v>
      </c>
      <c r="W60">
        <f>'TEA Revised Non EYZ'!W60</f>
        <v>90.872596591664205</v>
      </c>
      <c r="X60" t="str">
        <f>'TEA Revised Non EYZ'!X60</f>
        <v>ddFc</v>
      </c>
      <c r="Y60">
        <f>'TEA Revised Non EYZ'!Y60</f>
        <v>1</v>
      </c>
      <c r="Z60">
        <f>'TEA Revised Non EYZ'!Z60</f>
        <v>0.28318429382522198</v>
      </c>
      <c r="AA60">
        <f>'TEA Revised Non EYZ'!AA60</f>
        <v>0.56945642916197003</v>
      </c>
      <c r="AB60">
        <f>'TEA Revised Non EYZ'!AB60</f>
        <v>3.7698628972227502E-3</v>
      </c>
      <c r="AC60">
        <f>'TEA Revised Non EYZ'!AC60</f>
        <v>1822.2107908876901</v>
      </c>
      <c r="AD60">
        <f>'TEA Revised Non EYZ'!AD60</f>
        <v>2662.6059073104898</v>
      </c>
      <c r="AE60">
        <f>'TEA Revised Non EYZ'!AE60</f>
        <v>2401.5030938442701</v>
      </c>
      <c r="AF60">
        <f>'TEA Revised Non EYZ'!AF60</f>
        <v>12</v>
      </c>
      <c r="AG60">
        <f>'TEA Revised Non EYZ'!AG60</f>
        <v>1.6497294784823999E-3</v>
      </c>
      <c r="AH60">
        <f>'TEA Revised Non EYZ'!AH60</f>
        <v>1.66895660069658E-3</v>
      </c>
      <c r="AI60">
        <f>'TEA Revised Non EYZ'!AI60</f>
        <v>5.38152729188446E-6</v>
      </c>
      <c r="AJ60">
        <f>'TEA Revised Non EYZ'!AJ60</f>
        <v>0</v>
      </c>
      <c r="AK60">
        <f>'TEA Revised Non EYZ'!AK60</f>
        <v>0</v>
      </c>
      <c r="AL60">
        <f>'TEA Revised Non EYZ'!AL60</f>
        <v>0</v>
      </c>
      <c r="AM60">
        <f>'TEA Revised Non EYZ'!AM60</f>
        <v>1.61278104761876E-3</v>
      </c>
      <c r="AN60">
        <f>'TEA Revised Non EYZ'!AN60</f>
        <v>7.9537078850164199E-5</v>
      </c>
      <c r="AO60">
        <f>'TEA Revised Non EYZ'!AO60</f>
        <v>5.3461341824022602E-6</v>
      </c>
      <c r="AP60">
        <f>'TEA Revised Non EYZ'!AP60</f>
        <v>1.7332292441623099E-3</v>
      </c>
      <c r="AQ60">
        <f>'TEA Revised Non EYZ'!AQ60</f>
        <v>7.4558738550610695E-2</v>
      </c>
      <c r="AR60">
        <f>'TEA Revised Non EYZ'!AR60</f>
        <v>1.6602700294237901E-6</v>
      </c>
      <c r="AS60">
        <f>'TEA Revised Non EYZ'!AS60</f>
        <v>4.1856302495160702E-16</v>
      </c>
      <c r="AT60">
        <f>'TEA Revised Non EYZ'!AT60</f>
        <v>-4.1007778769919203E-14</v>
      </c>
      <c r="AU60">
        <f>'TEA Revised Non EYZ'!AU60</f>
        <v>-1.18452263717593E-21</v>
      </c>
      <c r="AV60">
        <f>'TEA Revised Non EYZ'!AV60</f>
        <v>0.19688795449878599</v>
      </c>
      <c r="AW60">
        <f>'TEA Revised Non EYZ'!AW60</f>
        <v>99.342322215190194</v>
      </c>
      <c r="AX60">
        <f>'TEA Revised Non EYZ'!AX60</f>
        <v>499.99999999999898</v>
      </c>
      <c r="AY60">
        <f>'TEA Revised Non EYZ'!AY60</f>
        <v>95</v>
      </c>
      <c r="AZ60">
        <f>'TEA Revised Non EYZ'!AZ60</f>
        <v>0.92358985913147196</v>
      </c>
      <c r="BA60">
        <f>'TEA Revised Non EYZ'!BA60</f>
        <v>0.1</v>
      </c>
      <c r="BB60">
        <f>'TEA Revised Non EYZ'!BB60</f>
        <v>46.909414112337899</v>
      </c>
      <c r="BC60" t="str">
        <f>'TEA Revised Non EYZ'!BC60</f>
        <v>coeFc</v>
      </c>
      <c r="BD60">
        <f>'TEA Revised Non EYZ'!BD60</f>
        <v>1</v>
      </c>
      <c r="BE60">
        <f>'TEA Revised Non EYZ'!BE60</f>
        <v>1.8775014999999999E-2</v>
      </c>
      <c r="BF60">
        <f>'TEA Revised Non EYZ'!BF60</f>
        <v>0.10492961100000001</v>
      </c>
      <c r="BG60">
        <f>'TEA Revised Non EYZ'!BG60</f>
        <v>1.814625E-3</v>
      </c>
      <c r="BH60">
        <f>'TEA Revised Non EYZ'!BH60</f>
        <v>285.1951444</v>
      </c>
      <c r="BI60">
        <f>'TEA Revised Non EYZ'!BI60</f>
        <v>2169.8944889999998</v>
      </c>
      <c r="BJ60">
        <f>'TEA Revised Non EYZ'!BJ60</f>
        <v>866.49409060000005</v>
      </c>
      <c r="BK60">
        <f>'TEA Revised Non EYZ'!BK60</f>
        <v>100</v>
      </c>
      <c r="BL60">
        <f>'TEA Revised Non EYZ'!BL60</f>
        <v>11.004417585793099</v>
      </c>
      <c r="BM60">
        <f>'TEA Revised Non EYZ'!BM60</f>
        <v>92.358985913147194</v>
      </c>
      <c r="BN60">
        <f>'TEA Revised Non EYZ'!BN60</f>
        <v>19.688795449878597</v>
      </c>
      <c r="BO60">
        <f>'TEA Revised Non EYZ'!BO60</f>
        <v>220.08835171586199</v>
      </c>
      <c r="BP60">
        <f>'TEA Revised Non EYZ'!BP60</f>
        <v>551.28627259660072</v>
      </c>
      <c r="BQ60">
        <f>'TEA Revised Non EYZ'!BQ60</f>
        <v>22.008835171586199</v>
      </c>
      <c r="BR60">
        <f>'TEA Revised Non EYZ'!BR60</f>
        <v>55.128627259660078</v>
      </c>
      <c r="BS60">
        <f>'eLLE Bals'!CF60</f>
        <v>6.6026505514758593</v>
      </c>
      <c r="BT60">
        <f>'eLLE Bals'!CG60</f>
        <v>11.813277269927157</v>
      </c>
      <c r="BU60">
        <f>BM60</f>
        <v>92.358985913147194</v>
      </c>
      <c r="BV60">
        <f>BU60*(AM60*2+AN60*2+AO60*3)</f>
        <v>0.31408286260114093</v>
      </c>
      <c r="BW60">
        <f>BN60*BA60*(AP60*2+AQ60*2+AR60*3)</f>
        <v>0.30042919629110248</v>
      </c>
      <c r="BX60">
        <f>BV60/(2*V60*BL60+BV60)</f>
        <v>0.12488551144415033</v>
      </c>
      <c r="BY60">
        <f>BU60*BX60</f>
        <v>11.534299192226463</v>
      </c>
      <c r="BZ60">
        <f>BW60/(2*BN60*BA60+BW60)</f>
        <v>7.0886231568473665E-2</v>
      </c>
      <c r="CA60">
        <f>2*BN60*BA60/0.04</f>
        <v>98.443977249392987</v>
      </c>
      <c r="CB60">
        <f>(BS60+BL60)*2</f>
        <v>35.214136274537921</v>
      </c>
      <c r="CC60">
        <f>(BU60+BL60)*2</f>
        <v>206.7268069978806</v>
      </c>
      <c r="CD60">
        <f>(BT60+BN60)*2</f>
        <v>63.004145439611506</v>
      </c>
      <c r="CE60">
        <f>(CA60+BN60)*2</f>
        <v>236.26554539854317</v>
      </c>
      <c r="CF60">
        <f>'TEA Revised Non EYZ'!CB60</f>
        <v>2905.1662426493785</v>
      </c>
      <c r="CG60">
        <f>'TEA Revised Non EYZ'!CC60</f>
        <v>7276.9787982751304</v>
      </c>
      <c r="CH60">
        <f>'TEA Revised Non EYZ'!CD60</f>
        <v>3509.9789962792502</v>
      </c>
      <c r="CI60">
        <f>'TEA Revised Non EYZ'!CE60</f>
        <v>56127.984236609766</v>
      </c>
      <c r="CJ60">
        <f>BL60*V60</f>
        <v>1.10044175857931</v>
      </c>
      <c r="CK60">
        <f>CJ60/2*1.2</f>
        <v>0.66026505514758604</v>
      </c>
      <c r="CL60">
        <f>'eLLE Bals'!CB60*'Oxidant Feed Composition'!$N$20</f>
        <v>3.668139195264368E-2</v>
      </c>
      <c r="CM60">
        <f>'eLLE Bals'!CB60*'Oxidant Feed Composition'!$N$21</f>
        <v>1.8340695976321835</v>
      </c>
      <c r="CN60">
        <f>'eLLE Bals'!CB60*'Oxidant Feed Composition'!$N$22</f>
        <v>0.55022087928965502</v>
      </c>
      <c r="CO60">
        <f>CN60/CK60</f>
        <v>0.83333333333333326</v>
      </c>
      <c r="CP60">
        <f>CO60</f>
        <v>0.83333333333333326</v>
      </c>
      <c r="CQ60">
        <f>CL60/CO60</f>
        <v>4.4017670343172423E-2</v>
      </c>
      <c r="CR60">
        <f>CM60/CO60</f>
        <v>2.2008835171586205</v>
      </c>
      <c r="CS60">
        <f>BN60*BA60</f>
        <v>1.9688795449878598</v>
      </c>
      <c r="CT60">
        <f>CS60/2*1.2</f>
        <v>1.1813277269927158</v>
      </c>
      <c r="CU60">
        <f>'eLLE Bals'!CC60*'Oxidant Feed Composition'!$N$20</f>
        <v>6.5629318166262024E-2</v>
      </c>
      <c r="CV60">
        <f>'eLLE Bals'!CC60*'Oxidant Feed Composition'!$N$21</f>
        <v>3.2814659083130997</v>
      </c>
      <c r="CW60">
        <f>'eLLE Bals'!CC60*'Oxidant Feed Composition'!$N$22</f>
        <v>0.98443977249392989</v>
      </c>
      <c r="CX60">
        <f>CU60/CP60</f>
        <v>7.8755181799514434E-2</v>
      </c>
      <c r="CY60">
        <f>CV60/CP60</f>
        <v>3.93775908997572</v>
      </c>
      <c r="CZ60">
        <f>CJ60</f>
        <v>1.10044175857931</v>
      </c>
      <c r="DA60">
        <f>'eLLE Bals'!BQ60</f>
        <v>2.2008835171586201</v>
      </c>
      <c r="DB60">
        <f>'eLLE Bals'!BU60</f>
        <v>5.5102794161205306</v>
      </c>
      <c r="DC60">
        <f>CS60</f>
        <v>1.9688795449878598</v>
      </c>
      <c r="DD60">
        <f>'eLLE Bals'!BX60</f>
        <v>3.9377590899757196</v>
      </c>
      <c r="DE60">
        <f>'eLLE Bals'!CA60</f>
        <v>21.86856539864328</v>
      </c>
      <c r="DF60">
        <f>2*2*(CJ60*'Reagent cost'!$C$36*122.44/1000*0.5+CK60*'Oxidant Feed Composition'!$N$26+CQ60*'Reagent cost'!$C$34+CR60*'Reagent cost'!$C$35)</f>
        <v>73.921389505184862</v>
      </c>
      <c r="DG60">
        <f>2*2*(CS60*'Reagent cost'!$C$36*122.44/1000*0.5+CT60*'Oxidant Feed Composition'!$N$26+CX60*'Reagent cost'!$C$34+CY60*'Reagent cost'!$C$35)</f>
        <v>132.25807781207473</v>
      </c>
      <c r="DH60">
        <f>(AF60+3)*2*(CZ60*'Reagent cost'!$C$38*0.5+DA60*'Reagent cost'!$C$39+DB60*'Reagent cost'!$C$36*122.44/1000)</f>
        <v>1506.8136238938901</v>
      </c>
      <c r="DI60">
        <f>3*2*(DC60*'Reagent cost'!$C$38*0.5+DD60*'Reagent cost'!$C$39+DE60*'Reagent cost'!$C$36*122.44/1000)</f>
        <v>1162.2577487253566</v>
      </c>
      <c r="DJ60">
        <f>7963.6*(CB60/1000)^0.6*1.7*('CAPEX+OPEX'!$G$116/'CAPEX+OPEX'!$G$115)</f>
        <v>2144.228934815284</v>
      </c>
      <c r="DK60">
        <f>7963.6*(CC60/1000)^0.6*1.7*('CAPEX+OPEX'!$G$116/'CAPEX+OPEX'!$G$115)</f>
        <v>6201.2466571653367</v>
      </c>
      <c r="DL60">
        <f>7963.6*(CD60/1000)^0.6*1.7*('CAPEX+OPEX'!$G$116/'CAPEX+OPEX'!$G$115)</f>
        <v>3039.9217388990178</v>
      </c>
      <c r="DM60">
        <f>7963.6*(CE60/1000)^0.6*1.7*('CAPEX+OPEX'!$G$116/'CAPEX+OPEX'!$G$115)</f>
        <v>6718.6367897810824</v>
      </c>
      <c r="DN60">
        <f>'TEA Revised Non EYZ'!CM60</f>
        <v>39625.826528698344</v>
      </c>
      <c r="DO60">
        <f>'TEA Revised Non EYZ'!CN60</f>
        <v>4586243.4239371875</v>
      </c>
      <c r="DP60">
        <f>'TEA Revised Non EYZ'!CO60</f>
        <v>11794834.586807497</v>
      </c>
      <c r="DQ60">
        <f>'TEA Revised Non EYZ'!CP60</f>
        <v>2275209.1661185985</v>
      </c>
      <c r="DR60">
        <f>'TEA Revised Non EYZ'!CQ60</f>
        <v>14083914.336508472</v>
      </c>
      <c r="DS60">
        <f>'TEA Revised Non EYZ'!CR60</f>
        <v>1662824.8986326549</v>
      </c>
      <c r="DT60">
        <f>'TEA Revised Non EYZ'!CS60</f>
        <v>751295.09040276916</v>
      </c>
      <c r="DU60">
        <f>'TEA Revised Non EYZ'!CT60</f>
        <v>1932169.8606163235</v>
      </c>
      <c r="DV60">
        <f>'TEA Revised Non EYZ'!CU60</f>
        <v>372713.20297186484</v>
      </c>
      <c r="DW60">
        <f>'TEA Revised Non EYZ'!CV60</f>
        <v>2307155.2721002945</v>
      </c>
      <c r="DX60">
        <f>'TEA Revised Non EYZ'!CW60</f>
        <v>272395.52441150707</v>
      </c>
      <c r="DY60">
        <f>'TEA Revised Non EYZ'!CX60</f>
        <v>5635728.9505027588</v>
      </c>
      <c r="DZ60">
        <f>'TEA Revised Non EYZ'!CY60</f>
        <v>884659.30262568092</v>
      </c>
      <c r="EA60">
        <f>'TEA Revised Non EYZ'!CZ60</f>
        <v>2275154.0150899086</v>
      </c>
      <c r="EB60">
        <f>'TEA Revised Non EYZ'!DA60</f>
        <v>438874.42688292934</v>
      </c>
      <c r="EC60">
        <f>'TEA Revised Non EYZ'!DB60</f>
        <v>2716703.9957245099</v>
      </c>
      <c r="ED60">
        <f>'TEA Revised Non EYZ'!DC60</f>
        <v>320749.11408652045</v>
      </c>
      <c r="EE60">
        <f>'TEA Revised Non EYZ'!DD60</f>
        <v>6636140.8544095494</v>
      </c>
      <c r="EF60">
        <v>0.7</v>
      </c>
      <c r="EG60">
        <v>100</v>
      </c>
      <c r="EH60">
        <f>96485*BL60*V60/EF60/EG60/60</f>
        <v>25.280029303934459</v>
      </c>
      <c r="EI60">
        <f>96485*BN60*BA60/EF60/EG60/60</f>
        <v>45.230319737655641</v>
      </c>
      <c r="EJ60">
        <f>EH60*('CAPEX+OPEX'!$O$25+'CAPEX+OPEX'!$O$26)</f>
        <v>805725.09397499904</v>
      </c>
      <c r="EK60">
        <f>EI60*('CAPEX+OPEX'!$O$25+'CAPEX+OPEX'!$O$26)</f>
        <v>1441580.7506785607</v>
      </c>
      <c r="EL60">
        <f>EJ60*1.12/0.6*'CAPEX+OPEX'!$G$116/'CAPEX+OPEX'!$G$115</f>
        <v>1773928.987938937</v>
      </c>
      <c r="EM60">
        <f>EK60*1.12/0.6*'CAPEX+OPEX'!$G$116/'CAPEX+OPEX'!$G$115</f>
        <v>3173864.0154141975</v>
      </c>
      <c r="EN60">
        <f>EL60+EM60+DY60+EE60+1.15*(SUM(DF60:DM60)+SUM(CF60:CI60))</f>
        <v>17324082.110485017</v>
      </c>
      <c r="EO60">
        <f>EN60/15</f>
        <v>1154938.8073656678</v>
      </c>
      <c r="EP60">
        <f>('eLLE Bals'!CB60+'eLLE Bals'!CC60)*'Oxidant Feed Composition'!$N$29*60*7200</f>
        <v>7655983.6926661553</v>
      </c>
      <c r="EQ60" s="53">
        <f>('eLLE Bals'!BR60+'eLLE Bals'!BY60)*'Reagent cost'!$C$38*60*7200*0.5</f>
        <v>252720.44630588783</v>
      </c>
      <c r="ER60">
        <f>'TEA Revised Non EYZ'!DI60</f>
        <v>504921.59999999998</v>
      </c>
      <c r="ES60">
        <f>'TEA Revised Non EYZ'!DJ60</f>
        <v>101.82145040924509</v>
      </c>
      <c r="ET60">
        <f>'TEA Revised Non EYZ'!DK60</f>
        <v>1192.7592646577802</v>
      </c>
      <c r="EU60">
        <f>1.2*SUM(EP60:ET60)</f>
        <v>10097904.383624531</v>
      </c>
      <c r="EV60">
        <f>'TEA Revised Non EYZ'!DM60</f>
        <v>0.70639694042110623</v>
      </c>
      <c r="EW60">
        <f>(BS60*CO60+BT60*CP60)/1000*('Oxidant Feed Composition'!$B$11*'Oxidant Feed Composition'!$O$20+'Oxidant Feed Composition'!$D$11*'Oxidant Feed Composition'!$O$21+'Oxidant Feed Composition'!$F$11*'Oxidant Feed Composition'!$O$27-'Oxidant Feed Composition'!$J$15*18.015)</f>
        <v>1.7922463827464605</v>
      </c>
      <c r="EX60">
        <f>(CZ60*BX60+DC60*BZ60)*368.34/1000</f>
        <v>0.10202858994661633</v>
      </c>
      <c r="EY60">
        <f>'TEA Revised Non EYZ'!DP60</f>
        <v>4.999938342565946E-2</v>
      </c>
      <c r="EZ60">
        <f>SUM(EV60:EX60)-EY60</f>
        <v>2.5506725296885238</v>
      </c>
      <c r="FA60">
        <f>EZ60*0.33*60*7200</f>
        <v>363623.87583239598</v>
      </c>
      <c r="FB60">
        <f>'TEA Revised Non EYZ'!DS60</f>
        <v>1.2</v>
      </c>
      <c r="FC60">
        <v>0.5</v>
      </c>
      <c r="FD60">
        <f>'TEA Revised Non EYZ'!DT60</f>
        <v>1405.9070716810863</v>
      </c>
      <c r="FE60">
        <f>'TEA Revised Non EYZ'!DU60</f>
        <v>705.84345029620977</v>
      </c>
      <c r="FF60">
        <f>'TEA Revised Non EYZ'!DV60</f>
        <v>0.7</v>
      </c>
      <c r="FG60">
        <f>'TEA Revised Non EYZ'!DW60</f>
        <v>41280.414286181804</v>
      </c>
      <c r="FH60">
        <f>'TEA Revised Non EYZ'!DX60</f>
        <v>37373.489075065132</v>
      </c>
      <c r="FI60">
        <f>'TEA Revised Non EYZ'!DY60</f>
        <v>15823.453035813865</v>
      </c>
      <c r="FJ60">
        <f>'TEA Revised Non EYZ'!DZ60</f>
        <v>8382.1245272768647</v>
      </c>
      <c r="FK60">
        <f>'TEA Revised Non EYZ'!EA60</f>
        <v>8439.174952434063</v>
      </c>
      <c r="FL60">
        <f>'TEA Revised Non EYZ'!EB60</f>
        <v>850.29259695272106</v>
      </c>
      <c r="FM60">
        <f>'TEA Revised Non EYZ'!EC60</f>
        <v>48856.86409707307</v>
      </c>
      <c r="FN60">
        <f>'TEA Revised Non EYZ'!ED60</f>
        <v>50432.981593880453</v>
      </c>
      <c r="FO60">
        <f>'TEA Revised Non EYZ'!EE60</f>
        <v>21352.673658699387</v>
      </c>
      <c r="FP60">
        <f>'TEA Revised Non EYZ'!EF60</f>
        <v>11317.402316740587</v>
      </c>
      <c r="FQ60">
        <f>'TEA Revised Non EYZ'!EG60</f>
        <v>11388.092617973009</v>
      </c>
      <c r="FR60">
        <f>'TEA Revised Non EYZ'!EH60</f>
        <v>426.8941187391477</v>
      </c>
      <c r="FS60">
        <f>'TEA Revised Non EYZ'!EI60</f>
        <v>255923.8568768301</v>
      </c>
      <c r="FT60">
        <f>EG60*EH60</f>
        <v>2528.0029303934457</v>
      </c>
      <c r="FU60">
        <f>EG60*EI60</f>
        <v>4523.0319737655645</v>
      </c>
      <c r="FV60">
        <f>FC60*(FT60+FU60)/(3.6*10^6)*3600*7200*0.07</f>
        <v>1776.8607958480711</v>
      </c>
      <c r="FW60">
        <f>('CAPEX+OPEX'!$C$39/7/100+0.03)*EL60</f>
        <v>91230.633665431043</v>
      </c>
      <c r="FX60">
        <f>('CAPEX+OPEX'!$C$39/7/100+0.03)*EM60</f>
        <v>163227.29222130158</v>
      </c>
      <c r="FY60">
        <f>SUM(FV60:FX60)</f>
        <v>256234.78668258071</v>
      </c>
      <c r="FZ60">
        <f>FY60+FA60+FS60+EU60</f>
        <v>10973686.903016338</v>
      </c>
      <c r="GA60">
        <f>FZ60+EO60</f>
        <v>12128625.710382005</v>
      </c>
      <c r="GB60">
        <f>GA60/(BK60*60*7200)</f>
        <v>0.28075522477736126</v>
      </c>
      <c r="GC60">
        <f>'TEA Revised Non EYZ'!EM60/'TEA Revised Non EYZ'!EK60*GA60</f>
        <v>939.25480628858941</v>
      </c>
      <c r="GD60">
        <f>'TEA Revised Non EYZ'!EN60/'TEA Revised Non EYZ'!EK60*GA60</f>
        <v>1723.6704121980861</v>
      </c>
    </row>
    <row r="61" spans="1:186">
      <c r="A61">
        <f>'TEA Revised Non EYZ'!A61</f>
        <v>8</v>
      </c>
      <c r="B61">
        <f>'TEA Revised Non EYZ'!B61</f>
        <v>1.54143585092054E-3</v>
      </c>
      <c r="C61">
        <f>'TEA Revised Non EYZ'!C61</f>
        <v>1.54143585092054E-3</v>
      </c>
      <c r="D61">
        <f>'TEA Revised Non EYZ'!D61</f>
        <v>3.4254130020456501E-4</v>
      </c>
      <c r="E61">
        <f>'TEA Revised Non EYZ'!E61</f>
        <v>0</v>
      </c>
      <c r="F61">
        <f>'TEA Revised Non EYZ'!F61</f>
        <v>0</v>
      </c>
      <c r="G61">
        <f>'TEA Revised Non EYZ'!G61</f>
        <v>0</v>
      </c>
      <c r="H61">
        <f>'TEA Revised Non EYZ'!H61</f>
        <v>1.7762434284205799E-5</v>
      </c>
      <c r="I61">
        <f>'TEA Revised Non EYZ'!I61</f>
        <v>4.4591984978445998E-9</v>
      </c>
      <c r="J61">
        <f>'TEA Revised Non EYZ'!J61</f>
        <v>3.37570976171142E-4</v>
      </c>
      <c r="K61">
        <f>'TEA Revised Non EYZ'!K61</f>
        <v>0.13846015972746001</v>
      </c>
      <c r="L61">
        <f>'TEA Revised Non EYZ'!L61</f>
        <v>0.14007387303476199</v>
      </c>
      <c r="M61">
        <f>'TEA Revised Non EYZ'!M61</f>
        <v>4.5166625081916902E-4</v>
      </c>
      <c r="N61">
        <f>'TEA Revised Non EYZ'!N61</f>
        <v>-2.6107588313450902E-16</v>
      </c>
      <c r="O61">
        <f>'TEA Revised Non EYZ'!O61</f>
        <v>-1.18524981496115E-14</v>
      </c>
      <c r="P61">
        <f>'TEA Revised Non EYZ'!P61</f>
        <v>-2.5241581828178102E-19</v>
      </c>
      <c r="Q61">
        <f>'TEA Revised Non EYZ'!Q61</f>
        <v>0.110044175857931</v>
      </c>
      <c r="R61">
        <f>'TEA Revised Non EYZ'!R61</f>
        <v>98.548985471108097</v>
      </c>
      <c r="S61">
        <f>'TEA Revised Non EYZ'!S61</f>
        <v>500</v>
      </c>
      <c r="T61">
        <f>'TEA Revised Non EYZ'!T61</f>
        <v>95</v>
      </c>
      <c r="U61">
        <f>'TEA Revised Non EYZ'!U61</f>
        <v>1</v>
      </c>
      <c r="V61">
        <f>'TEA Revised Non EYZ'!V61</f>
        <v>0.1</v>
      </c>
      <c r="W61">
        <f>'TEA Revised Non EYZ'!W61</f>
        <v>90.872596591664205</v>
      </c>
      <c r="X61" t="str">
        <f>'TEA Revised Non EYZ'!X61</f>
        <v>ddFc</v>
      </c>
      <c r="Y61">
        <f>'TEA Revised Non EYZ'!Y61</f>
        <v>1</v>
      </c>
      <c r="Z61">
        <f>'TEA Revised Non EYZ'!Z61</f>
        <v>0.28318429382522198</v>
      </c>
      <c r="AA61">
        <f>'TEA Revised Non EYZ'!AA61</f>
        <v>0.56945642916197003</v>
      </c>
      <c r="AB61">
        <f>'TEA Revised Non EYZ'!AB61</f>
        <v>3.7698628972227502E-3</v>
      </c>
      <c r="AC61">
        <f>'TEA Revised Non EYZ'!AC61</f>
        <v>1822.2107908876901</v>
      </c>
      <c r="AD61">
        <f>'TEA Revised Non EYZ'!AD61</f>
        <v>2662.6059073104898</v>
      </c>
      <c r="AE61">
        <f>'TEA Revised Non EYZ'!AE61</f>
        <v>2401.5030938442701</v>
      </c>
      <c r="AF61">
        <f>'TEA Revised Non EYZ'!AF61</f>
        <v>13</v>
      </c>
      <c r="AG61">
        <f>'TEA Revised Non EYZ'!AG61</f>
        <v>1.6497294784823999E-3</v>
      </c>
      <c r="AH61">
        <f>'TEA Revised Non EYZ'!AH61</f>
        <v>1.66895660069658E-3</v>
      </c>
      <c r="AI61">
        <f>'TEA Revised Non EYZ'!AI61</f>
        <v>5.38152729188446E-6</v>
      </c>
      <c r="AJ61">
        <f>'TEA Revised Non EYZ'!AJ61</f>
        <v>0</v>
      </c>
      <c r="AK61">
        <f>'TEA Revised Non EYZ'!AK61</f>
        <v>0</v>
      </c>
      <c r="AL61">
        <f>'TEA Revised Non EYZ'!AL61</f>
        <v>0</v>
      </c>
      <c r="AM61">
        <f>'TEA Revised Non EYZ'!AM61</f>
        <v>1.6127812941209201E-3</v>
      </c>
      <c r="AN61">
        <f>'TEA Revised Non EYZ'!AN61</f>
        <v>7.9537091597651401E-5</v>
      </c>
      <c r="AO61">
        <f>'TEA Revised Non EYZ'!AO61</f>
        <v>5.34613440871419E-6</v>
      </c>
      <c r="AP61">
        <f>'TEA Revised Non EYZ'!AP61</f>
        <v>1.73322090687147E-3</v>
      </c>
      <c r="AQ61">
        <f>'TEA Revised Non EYZ'!AQ61</f>
        <v>7.4558876723361894E-2</v>
      </c>
      <c r="AR61">
        <f>'TEA Revised Non EYZ'!AR61</f>
        <v>1.6602625034295099E-6</v>
      </c>
      <c r="AS61">
        <f>'TEA Revised Non EYZ'!AS61</f>
        <v>-3.2526065174565099E-19</v>
      </c>
      <c r="AT61">
        <f>'TEA Revised Non EYZ'!AT61</f>
        <v>-1.5178830414797E-17</v>
      </c>
      <c r="AU61">
        <f>'TEA Revised Non EYZ'!AU61</f>
        <v>5.3601303693436099E-22</v>
      </c>
      <c r="AV61">
        <f>'TEA Revised Non EYZ'!AV61</f>
        <v>0.19688758804081399</v>
      </c>
      <c r="AW61">
        <f>'TEA Revised Non EYZ'!AW61</f>
        <v>99.342326420537802</v>
      </c>
      <c r="AX61">
        <f>'TEA Revised Non EYZ'!AX61</f>
        <v>499.99999999999898</v>
      </c>
      <c r="AY61">
        <f>'TEA Revised Non EYZ'!AY61</f>
        <v>95</v>
      </c>
      <c r="AZ61">
        <f>'TEA Revised Non EYZ'!AZ61</f>
        <v>0.92358985913147196</v>
      </c>
      <c r="BA61">
        <f>'TEA Revised Non EYZ'!BA61</f>
        <v>0.1</v>
      </c>
      <c r="BB61">
        <f>'TEA Revised Non EYZ'!BB61</f>
        <v>46.909501422711003</v>
      </c>
      <c r="BC61" t="str">
        <f>'TEA Revised Non EYZ'!BC61</f>
        <v>coeFc</v>
      </c>
      <c r="BD61">
        <f>'TEA Revised Non EYZ'!BD61</f>
        <v>1</v>
      </c>
      <c r="BE61">
        <f>'TEA Revised Non EYZ'!BE61</f>
        <v>1.8775014999999999E-2</v>
      </c>
      <c r="BF61">
        <f>'TEA Revised Non EYZ'!BF61</f>
        <v>0.10492961100000001</v>
      </c>
      <c r="BG61">
        <f>'TEA Revised Non EYZ'!BG61</f>
        <v>1.814625E-3</v>
      </c>
      <c r="BH61">
        <f>'TEA Revised Non EYZ'!BH61</f>
        <v>285.1951444</v>
      </c>
      <c r="BI61">
        <f>'TEA Revised Non EYZ'!BI61</f>
        <v>2169.8944889999998</v>
      </c>
      <c r="BJ61">
        <f>'TEA Revised Non EYZ'!BJ61</f>
        <v>866.49409060000005</v>
      </c>
      <c r="BK61">
        <f>'TEA Revised Non EYZ'!BK61</f>
        <v>100</v>
      </c>
      <c r="BL61">
        <f>'TEA Revised Non EYZ'!BL61</f>
        <v>11.004417585793099</v>
      </c>
      <c r="BM61">
        <f>'TEA Revised Non EYZ'!BM61</f>
        <v>92.358985913147194</v>
      </c>
      <c r="BN61">
        <f>'TEA Revised Non EYZ'!BN61</f>
        <v>19.688758804081399</v>
      </c>
      <c r="BO61">
        <f>'TEA Revised Non EYZ'!BO61</f>
        <v>220.08835171586199</v>
      </c>
      <c r="BP61">
        <f>'TEA Revised Non EYZ'!BP61</f>
        <v>590.66276412244201</v>
      </c>
      <c r="BQ61">
        <f>'TEA Revised Non EYZ'!BQ61</f>
        <v>22.008835171586199</v>
      </c>
      <c r="BR61">
        <f>'TEA Revised Non EYZ'!BR61</f>
        <v>59.066276412244207</v>
      </c>
      <c r="BS61">
        <f>'eLLE Bals'!CF61</f>
        <v>6.6026505514758593</v>
      </c>
      <c r="BT61">
        <f>'eLLE Bals'!CG61</f>
        <v>11.813255282448839</v>
      </c>
      <c r="BU61">
        <f>BM61</f>
        <v>92.358985913147194</v>
      </c>
      <c r="BV61">
        <f>BU61*(AM61*2+AN61*2+AO61*3)</f>
        <v>0.31408291055191573</v>
      </c>
      <c r="BW61">
        <f>BN61*BA61*(AP61*2+AQ61*2+AR61*3)</f>
        <v>0.3004291483322134</v>
      </c>
      <c r="BX61">
        <f>BV61/(2*V61*BL61+BV61)</f>
        <v>0.12488552812923101</v>
      </c>
      <c r="BY61">
        <f>BU61*BX61</f>
        <v>11.534300733243594</v>
      </c>
      <c r="BZ61">
        <f>BW61/(2*BN61*BA61+BW61)</f>
        <v>7.0886343639486968E-2</v>
      </c>
      <c r="CA61">
        <f>2*BN61*BA61/0.04</f>
        <v>98.443794020406997</v>
      </c>
      <c r="CB61">
        <f>(BS61+BL61)*2</f>
        <v>35.214136274537921</v>
      </c>
      <c r="CC61">
        <f>(BU61+BL61)*2</f>
        <v>206.7268069978806</v>
      </c>
      <c r="CD61">
        <f>(BT61+BN61)*2</f>
        <v>63.004028173060476</v>
      </c>
      <c r="CE61">
        <f>(CA61+BN61)*2</f>
        <v>236.2651056489768</v>
      </c>
      <c r="CF61">
        <f>'TEA Revised Non EYZ'!CB61</f>
        <v>2905.1662426493785</v>
      </c>
      <c r="CG61">
        <f>'TEA Revised Non EYZ'!CC61</f>
        <v>7796.7484864162352</v>
      </c>
      <c r="CH61">
        <f>'TEA Revised Non EYZ'!CD61</f>
        <v>3509.9789962792502</v>
      </c>
      <c r="CI61">
        <f>'TEA Revised Non EYZ'!CE61</f>
        <v>60137.014037489032</v>
      </c>
      <c r="CJ61">
        <f>BL61*V61</f>
        <v>1.10044175857931</v>
      </c>
      <c r="CK61">
        <f>CJ61/2*1.2</f>
        <v>0.66026505514758604</v>
      </c>
      <c r="CL61">
        <f>'eLLE Bals'!CB61*'Oxidant Feed Composition'!$N$20</f>
        <v>3.668139195264368E-2</v>
      </c>
      <c r="CM61">
        <f>'eLLE Bals'!CB61*'Oxidant Feed Composition'!$N$21</f>
        <v>1.8340695976321835</v>
      </c>
      <c r="CN61">
        <f>'eLLE Bals'!CB61*'Oxidant Feed Composition'!$N$22</f>
        <v>0.55022087928965502</v>
      </c>
      <c r="CO61">
        <f>CN61/CK61</f>
        <v>0.83333333333333326</v>
      </c>
      <c r="CP61">
        <f>CO61</f>
        <v>0.83333333333333326</v>
      </c>
      <c r="CQ61">
        <f>CL61/CO61</f>
        <v>4.4017670343172423E-2</v>
      </c>
      <c r="CR61">
        <f>CM61/CO61</f>
        <v>2.2008835171586205</v>
      </c>
      <c r="CS61">
        <f>BN61*BA61</f>
        <v>1.9688758804081399</v>
      </c>
      <c r="CT61">
        <f>CS61/2*1.2</f>
        <v>1.1813255282448838</v>
      </c>
      <c r="CU61">
        <f>'eLLE Bals'!CC61*'Oxidant Feed Composition'!$N$20</f>
        <v>6.5629196013604688E-2</v>
      </c>
      <c r="CV61">
        <f>'eLLE Bals'!CC61*'Oxidant Feed Composition'!$N$21</f>
        <v>3.2814598006802336</v>
      </c>
      <c r="CW61">
        <f>'eLLE Bals'!CC61*'Oxidant Feed Composition'!$N$22</f>
        <v>0.98443794020406994</v>
      </c>
      <c r="CX61">
        <f>CU61/CP61</f>
        <v>7.8755035216325639E-2</v>
      </c>
      <c r="CY61">
        <f>CV61/CP61</f>
        <v>3.9377517608162806</v>
      </c>
      <c r="CZ61">
        <f>CJ61</f>
        <v>1.10044175857931</v>
      </c>
      <c r="DA61">
        <f>'eLLE Bals'!BQ61</f>
        <v>2.2008835171586201</v>
      </c>
      <c r="DB61">
        <f>'eLLE Bals'!BU61</f>
        <v>5.5102782388068858</v>
      </c>
      <c r="DC61">
        <f>CS61</f>
        <v>1.9688758804081399</v>
      </c>
      <c r="DD61">
        <f>'eLLE Bals'!BX61</f>
        <v>3.9377517608162798</v>
      </c>
      <c r="DE61">
        <f>'eLLE Bals'!CA61</f>
        <v>21.868480783346442</v>
      </c>
      <c r="DF61">
        <f>2*2*(CJ61*'Reagent cost'!$C$36*122.44/1000*0.5+CK61*'Oxidant Feed Composition'!$N$26+CQ61*'Reagent cost'!$C$34+CR61*'Reagent cost'!$C$35)</f>
        <v>73.921389505184862</v>
      </c>
      <c r="DG61">
        <f>2*2*(CS61*'Reagent cost'!$C$36*122.44/1000*0.5+CT61*'Oxidant Feed Composition'!$N$26+CX61*'Reagent cost'!$C$34+CY61*'Reagent cost'!$C$35)</f>
        <v>132.25783164654825</v>
      </c>
      <c r="DH61">
        <f>(AF61+3)*2*(CZ61*'Reagent cost'!$C$38*0.5+DA61*'Reagent cost'!$C$39+DB61*'Reagent cost'!$C$36*122.44/1000)</f>
        <v>1607.267539730241</v>
      </c>
      <c r="DI61">
        <f>3*2*(DC61*'Reagent cost'!$C$38*0.5+DD61*'Reagent cost'!$C$39+DE61*'Reagent cost'!$C$36*122.44/1000)</f>
        <v>1162.2533072840874</v>
      </c>
      <c r="DJ61">
        <f>7963.6*(CB61/1000)^0.6*1.7*('CAPEX+OPEX'!$G$116/'CAPEX+OPEX'!$G$115)</f>
        <v>2144.228934815284</v>
      </c>
      <c r="DK61">
        <f>7963.6*(CC61/1000)^0.6*1.7*('CAPEX+OPEX'!$G$116/'CAPEX+OPEX'!$G$115)</f>
        <v>6201.2466571653367</v>
      </c>
      <c r="DL61">
        <f>7963.6*(CD61/1000)^0.6*1.7*('CAPEX+OPEX'!$G$116/'CAPEX+OPEX'!$G$115)</f>
        <v>3039.9183440626803</v>
      </c>
      <c r="DM61">
        <f>7963.6*(CE61/1000)^0.6*1.7*('CAPEX+OPEX'!$G$116/'CAPEX+OPEX'!$G$115)</f>
        <v>6718.629286735194</v>
      </c>
      <c r="DN61">
        <f>'TEA Revised Non EYZ'!CM61</f>
        <v>39625.826528698344</v>
      </c>
      <c r="DO61">
        <f>'TEA Revised Non EYZ'!CN61</f>
        <v>4586243.4239371875</v>
      </c>
      <c r="DP61">
        <f>'TEA Revised Non EYZ'!CO61</f>
        <v>11794834.586807497</v>
      </c>
      <c r="DQ61">
        <f>'TEA Revised Non EYZ'!CP61</f>
        <v>2275209.1661185985</v>
      </c>
      <c r="DR61">
        <f>'TEA Revised Non EYZ'!CQ61</f>
        <v>14083914.336508472</v>
      </c>
      <c r="DS61">
        <f>'TEA Revised Non EYZ'!CR61</f>
        <v>1662824.8986326549</v>
      </c>
      <c r="DT61">
        <f>'TEA Revised Non EYZ'!CS61</f>
        <v>751295.09040276916</v>
      </c>
      <c r="DU61">
        <f>'TEA Revised Non EYZ'!CT61</f>
        <v>1932169.8606163235</v>
      </c>
      <c r="DV61">
        <f>'TEA Revised Non EYZ'!CU61</f>
        <v>372713.20297186484</v>
      </c>
      <c r="DW61">
        <f>'TEA Revised Non EYZ'!CV61</f>
        <v>2307155.2721002945</v>
      </c>
      <c r="DX61">
        <f>'TEA Revised Non EYZ'!CW61</f>
        <v>272395.52441150707</v>
      </c>
      <c r="DY61">
        <f>'TEA Revised Non EYZ'!CX61</f>
        <v>5635728.9505027588</v>
      </c>
      <c r="DZ61">
        <f>'TEA Revised Non EYZ'!CY61</f>
        <v>924883.13167584944</v>
      </c>
      <c r="EA61">
        <f>'TEA Revised Non EYZ'!CZ61</f>
        <v>2378601.0775852241</v>
      </c>
      <c r="EB61">
        <f>'TEA Revised Non EYZ'!DA61</f>
        <v>458829.23871730972</v>
      </c>
      <c r="EC61">
        <f>'TEA Revised Non EYZ'!DB61</f>
        <v>2840227.5225552334</v>
      </c>
      <c r="ED61">
        <f>'TEA Revised Non EYZ'!DC61</f>
        <v>335332.98552122596</v>
      </c>
      <c r="EE61">
        <f>'TEA Revised Non EYZ'!DD61</f>
        <v>6937873.956054843</v>
      </c>
      <c r="EF61">
        <v>0.7</v>
      </c>
      <c r="EG61">
        <v>100</v>
      </c>
      <c r="EH61">
        <f>96485*BL61*V61/EF61/EG61/60</f>
        <v>25.280029303934459</v>
      </c>
      <c r="EI61">
        <f>96485*BN61*BA61/EF61/EG61/60</f>
        <v>45.23023555266176</v>
      </c>
      <c r="EJ61">
        <f>EH61*('CAPEX+OPEX'!$O$25+'CAPEX+OPEX'!$O$26)</f>
        <v>805725.09397499904</v>
      </c>
      <c r="EK61">
        <f>EI61*('CAPEX+OPEX'!$O$25+'CAPEX+OPEX'!$O$26)</f>
        <v>1441578.0675344355</v>
      </c>
      <c r="EL61">
        <f>EJ61*1.12/0.6*'CAPEX+OPEX'!$G$116/'CAPEX+OPEX'!$G$115</f>
        <v>1773928.987938937</v>
      </c>
      <c r="EM61">
        <f>EK61*1.12/0.6*'CAPEX+OPEX'!$G$116/'CAPEX+OPEX'!$G$115</f>
        <v>3173858.1080554998</v>
      </c>
      <c r="EN61">
        <f>EL61+EM61+DY61+EE61+1.15*(SUM(DF61:DM61)+SUM(CF61:CI61))</f>
        <v>17631132.928263884</v>
      </c>
      <c r="EO61">
        <f>EN61/15</f>
        <v>1175408.8618842589</v>
      </c>
      <c r="EP61">
        <f>('eLLE Bals'!CB61+'eLLE Bals'!CC61)*'Oxidant Feed Composition'!$N$29*60*7200</f>
        <v>7655974.5518953465</v>
      </c>
      <c r="EQ61" s="53">
        <f>('eLLE Bals'!BR61+'eLLE Bals'!BY61)*'Reagent cost'!$C$38*60*7200*0.5</f>
        <v>252720.42737129153</v>
      </c>
      <c r="ER61">
        <f>'TEA Revised Non EYZ'!DI61</f>
        <v>504921.59999999998</v>
      </c>
      <c r="ES61">
        <f>'TEA Revised Non EYZ'!DJ61</f>
        <v>107.01914729065615</v>
      </c>
      <c r="ET61">
        <f>'TEA Revised Non EYZ'!DK61</f>
        <v>1272.9398606753657</v>
      </c>
      <c r="EU61">
        <f>1.2*SUM(EP61:ET61)</f>
        <v>10097995.845929524</v>
      </c>
      <c r="EV61">
        <f>'TEA Revised Non EYZ'!DM61</f>
        <v>0.70639694042110623</v>
      </c>
      <c r="EW61">
        <f>(BS61*CO61+BT61*CP61)/1000*('Oxidant Feed Composition'!$B$11*'Oxidant Feed Composition'!$O$20+'Oxidant Feed Composition'!$D$11*'Oxidant Feed Composition'!$O$21+'Oxidant Feed Composition'!$F$11*'Oxidant Feed Composition'!$O$27-'Oxidant Feed Composition'!$J$15*18.015)</f>
        <v>1.7922442429151766</v>
      </c>
      <c r="EX61">
        <f>(CZ61*BX61+DC61*BZ61)*368.34/1000</f>
        <v>0.10202858230231926</v>
      </c>
      <c r="EY61">
        <f>'TEA Revised Non EYZ'!DP61</f>
        <v>4.999938342565946E-2</v>
      </c>
      <c r="EZ61">
        <f>SUM(EV61:EX61)-EY61</f>
        <v>2.5506703822129428</v>
      </c>
      <c r="FA61">
        <f>EZ61*0.33*60*7200</f>
        <v>363623.56968827714</v>
      </c>
      <c r="FB61">
        <f>'TEA Revised Non EYZ'!DS61</f>
        <v>1.2</v>
      </c>
      <c r="FC61">
        <v>0.5</v>
      </c>
      <c r="FD61">
        <f>'TEA Revised Non EYZ'!DT61</f>
        <v>1405.9072864386719</v>
      </c>
      <c r="FE61">
        <f>'TEA Revised Non EYZ'!DU61</f>
        <v>705.84323552017645</v>
      </c>
      <c r="FF61">
        <f>'TEA Revised Non EYZ'!DV61</f>
        <v>0.7</v>
      </c>
      <c r="FG61">
        <f>'TEA Revised Non EYZ'!DW61</f>
        <v>41280.414286181804</v>
      </c>
      <c r="FH61">
        <f>'TEA Revised Non EYZ'!DX61</f>
        <v>37373.489075065132</v>
      </c>
      <c r="FI61">
        <f>'TEA Revised Non EYZ'!DY61</f>
        <v>15823.453035813865</v>
      </c>
      <c r="FJ61">
        <f>'TEA Revised Non EYZ'!DZ61</f>
        <v>8382.1245272768647</v>
      </c>
      <c r="FK61">
        <f>'TEA Revised Non EYZ'!EA61</f>
        <v>8439.174952434063</v>
      </c>
      <c r="FL61">
        <f>'TEA Revised Non EYZ'!EB61</f>
        <v>850.29272683810882</v>
      </c>
      <c r="FM61">
        <f>'TEA Revised Non EYZ'!EC61</f>
        <v>51428.277996919023</v>
      </c>
      <c r="FN61">
        <f>'TEA Revised Non EYZ'!ED61</f>
        <v>54312.441716486632</v>
      </c>
      <c r="FO61">
        <f>'TEA Revised Non EYZ'!EE61</f>
        <v>22995.187017060871</v>
      </c>
      <c r="FP61">
        <f>'TEA Revised Non EYZ'!EF61</f>
        <v>12187.971725720628</v>
      </c>
      <c r="FQ61">
        <f>'TEA Revised Non EYZ'!EG61</f>
        <v>12264.099742432467</v>
      </c>
      <c r="FR61">
        <f>'TEA Revised Non EYZ'!EH61</f>
        <v>426.89398884260271</v>
      </c>
      <c r="FS61">
        <f>'TEA Revised Non EYZ'!EI61</f>
        <v>265763.82079107204</v>
      </c>
      <c r="FT61">
        <f>EG61*EH61</f>
        <v>2528.0029303934457</v>
      </c>
      <c r="FU61">
        <f>EG61*EI61</f>
        <v>4523.0235552661761</v>
      </c>
      <c r="FV61">
        <f>FC61*(FT61+FU61)/(3.6*10^6)*3600*7200*0.07</f>
        <v>1776.8586743862247</v>
      </c>
      <c r="FW61">
        <f>('CAPEX+OPEX'!$C$39/7/100+0.03)*EL61</f>
        <v>91230.633665431043</v>
      </c>
      <c r="FX61">
        <f>('CAPEX+OPEX'!$C$39/7/100+0.03)*EM61</f>
        <v>163226.98841428285</v>
      </c>
      <c r="FY61">
        <f>SUM(FV61:FX61)</f>
        <v>256234.48075410014</v>
      </c>
      <c r="FZ61">
        <f>FY61+FA61+FS61+EU61</f>
        <v>10983617.717162974</v>
      </c>
      <c r="GA61">
        <f>FZ61+EO61</f>
        <v>12159026.579047233</v>
      </c>
      <c r="GB61">
        <f>GA61/(BK61*60*7200)</f>
        <v>0.28145894858905629</v>
      </c>
      <c r="GC61">
        <f>'TEA Revised Non EYZ'!EM61/'TEA Revised Non EYZ'!EK61*GA61</f>
        <v>941.60894080367211</v>
      </c>
      <c r="GD61">
        <f>'TEA Revised Non EYZ'!EN61/'TEA Revised Non EYZ'!EK61*GA61</f>
        <v>1727.9913433908853</v>
      </c>
    </row>
    <row r="62" spans="1:186">
      <c r="A62">
        <f>'TEA Revised Non EYZ'!A62</f>
        <v>9</v>
      </c>
      <c r="B62">
        <f>'TEA Revised Non EYZ'!B62</f>
        <v>1.54143585092054E-3</v>
      </c>
      <c r="C62">
        <f>'TEA Revised Non EYZ'!C62</f>
        <v>1.54143585092054E-3</v>
      </c>
      <c r="D62">
        <f>'TEA Revised Non EYZ'!D62</f>
        <v>3.4254130020456501E-4</v>
      </c>
      <c r="E62">
        <f>'TEA Revised Non EYZ'!E62</f>
        <v>0</v>
      </c>
      <c r="F62">
        <f>'TEA Revised Non EYZ'!F62</f>
        <v>0</v>
      </c>
      <c r="G62">
        <f>'TEA Revised Non EYZ'!G62</f>
        <v>0</v>
      </c>
      <c r="H62">
        <f>'TEA Revised Non EYZ'!H62</f>
        <v>1.7768596981705501E-5</v>
      </c>
      <c r="I62">
        <f>'TEA Revised Non EYZ'!I62</f>
        <v>1.5331283704498101E-9</v>
      </c>
      <c r="J62">
        <f>'TEA Revised Non EYZ'!J62</f>
        <v>3.3763247208936601E-4</v>
      </c>
      <c r="K62">
        <f>'TEA Revised Non EYZ'!K62</f>
        <v>0.13890601070001499</v>
      </c>
      <c r="L62">
        <f>'TEA Revised Non EYZ'!L62</f>
        <v>0.14052575540227799</v>
      </c>
      <c r="M62">
        <f>'TEA Revised Non EYZ'!M62</f>
        <v>4.4751616793740602E-4</v>
      </c>
      <c r="N62">
        <f>'TEA Revised Non EYZ'!N62</f>
        <v>-5.0090140368830299E-17</v>
      </c>
      <c r="O62">
        <f>'TEA Revised Non EYZ'!O62</f>
        <v>-6.2343793322261397E-15</v>
      </c>
      <c r="P62">
        <f>'TEA Revised Non EYZ'!P62</f>
        <v>1.7787691892340301E-20</v>
      </c>
      <c r="Q62">
        <f>'TEA Revised Non EYZ'!Q62</f>
        <v>0.10969051996097</v>
      </c>
      <c r="R62">
        <f>'TEA Revised Non EYZ'!R62</f>
        <v>98.566938318892298</v>
      </c>
      <c r="S62">
        <f>'TEA Revised Non EYZ'!S62</f>
        <v>500</v>
      </c>
      <c r="T62">
        <f>'TEA Revised Non EYZ'!T62</f>
        <v>95</v>
      </c>
      <c r="U62">
        <f>'TEA Revised Non EYZ'!U62</f>
        <v>1</v>
      </c>
      <c r="V62">
        <f>'TEA Revised Non EYZ'!V62</f>
        <v>0.1</v>
      </c>
      <c r="W62">
        <f>'TEA Revised Non EYZ'!W62</f>
        <v>91.165581160141301</v>
      </c>
      <c r="X62" t="str">
        <f>'TEA Revised Non EYZ'!X62</f>
        <v>ddFc</v>
      </c>
      <c r="Y62">
        <f>'TEA Revised Non EYZ'!Y62</f>
        <v>1</v>
      </c>
      <c r="Z62">
        <f>'TEA Revised Non EYZ'!Z62</f>
        <v>0.28318429382522198</v>
      </c>
      <c r="AA62">
        <f>'TEA Revised Non EYZ'!AA62</f>
        <v>0.56945642916197003</v>
      </c>
      <c r="AB62">
        <f>'TEA Revised Non EYZ'!AB62</f>
        <v>3.7698628972227502E-3</v>
      </c>
      <c r="AC62">
        <f>'TEA Revised Non EYZ'!AC62</f>
        <v>1822.2107908876901</v>
      </c>
      <c r="AD62">
        <f>'TEA Revised Non EYZ'!AD62</f>
        <v>2662.6059073104898</v>
      </c>
      <c r="AE62">
        <f>'TEA Revised Non EYZ'!AE62</f>
        <v>2401.5030938442701</v>
      </c>
      <c r="AF62">
        <f>'TEA Revised Non EYZ'!AF62</f>
        <v>4</v>
      </c>
      <c r="AG62">
        <f>'TEA Revised Non EYZ'!AG62</f>
        <v>1.6497485970141401E-3</v>
      </c>
      <c r="AH62">
        <f>'TEA Revised Non EYZ'!AH62</f>
        <v>1.6689858606617799E-3</v>
      </c>
      <c r="AI62">
        <f>'TEA Revised Non EYZ'!AI62</f>
        <v>5.3150268046377499E-6</v>
      </c>
      <c r="AJ62">
        <f>'TEA Revised Non EYZ'!AJ62</f>
        <v>0</v>
      </c>
      <c r="AK62">
        <f>'TEA Revised Non EYZ'!AK62</f>
        <v>0</v>
      </c>
      <c r="AL62">
        <f>'TEA Revised Non EYZ'!AL62</f>
        <v>0</v>
      </c>
      <c r="AM62">
        <f>'TEA Revised Non EYZ'!AM62</f>
        <v>1.6048321319618701E-3</v>
      </c>
      <c r="AN62">
        <f>'TEA Revised Non EYZ'!AN62</f>
        <v>7.9192002642469804E-5</v>
      </c>
      <c r="AO62">
        <f>'TEA Revised Non EYZ'!AO62</f>
        <v>5.2728464102818699E-6</v>
      </c>
      <c r="AP62">
        <f>'TEA Revised Non EYZ'!AP62</f>
        <v>1.9874961185591101E-3</v>
      </c>
      <c r="AQ62">
        <f>'TEA Revised Non EYZ'!AQ62</f>
        <v>7.0346344441502298E-2</v>
      </c>
      <c r="AR62">
        <f>'TEA Revised Non EYZ'!AR62</f>
        <v>1.86642849011818E-6</v>
      </c>
      <c r="AS62">
        <f>'TEA Revised Non EYZ'!AS62</f>
        <v>-9.5194915860664904E-15</v>
      </c>
      <c r="AT62">
        <f>'TEA Revised Non EYZ'!AT62</f>
        <v>-1.2276442883096799E-13</v>
      </c>
      <c r="AU62">
        <f>'TEA Revised Non EYZ'!AU62</f>
        <v>-3.0580668722738401E-18</v>
      </c>
      <c r="AV62">
        <f>'TEA Revised Non EYZ'!AV62</f>
        <v>0.20872364334642199</v>
      </c>
      <c r="AW62">
        <f>'TEA Revised Non EYZ'!AW62</f>
        <v>99.206393572294303</v>
      </c>
      <c r="AX62">
        <f>'TEA Revised Non EYZ'!AX62</f>
        <v>500</v>
      </c>
      <c r="AY62">
        <f>'TEA Revised Non EYZ'!AY62</f>
        <v>95</v>
      </c>
      <c r="AZ62">
        <f>'TEA Revised Non EYZ'!AZ62</f>
        <v>0.92357542033771201</v>
      </c>
      <c r="BA62">
        <f>'TEA Revised Non EYZ'!BA62</f>
        <v>0.1</v>
      </c>
      <c r="BB62">
        <f>'TEA Revised Non EYZ'!BB62</f>
        <v>44.248720726134401</v>
      </c>
      <c r="BC62" t="str">
        <f>'TEA Revised Non EYZ'!BC62</f>
        <v>coeFc</v>
      </c>
      <c r="BD62">
        <f>'TEA Revised Non EYZ'!BD62</f>
        <v>1</v>
      </c>
      <c r="BE62">
        <f>'TEA Revised Non EYZ'!BE62</f>
        <v>1.8775014999999999E-2</v>
      </c>
      <c r="BF62">
        <f>'TEA Revised Non EYZ'!BF62</f>
        <v>0.10492961100000001</v>
      </c>
      <c r="BG62">
        <f>'TEA Revised Non EYZ'!BG62</f>
        <v>1.814625E-3</v>
      </c>
      <c r="BH62">
        <f>'TEA Revised Non EYZ'!BH62</f>
        <v>285.1951444</v>
      </c>
      <c r="BI62">
        <f>'TEA Revised Non EYZ'!BI62</f>
        <v>2169.8944889999998</v>
      </c>
      <c r="BJ62">
        <f>'TEA Revised Non EYZ'!BJ62</f>
        <v>866.49409060000005</v>
      </c>
      <c r="BK62">
        <f>'TEA Revised Non EYZ'!BK62</f>
        <v>100</v>
      </c>
      <c r="BL62">
        <f>'TEA Revised Non EYZ'!BL62</f>
        <v>10.969051996096999</v>
      </c>
      <c r="BM62">
        <f>'TEA Revised Non EYZ'!BM62</f>
        <v>92.357542033771196</v>
      </c>
      <c r="BN62">
        <f>'TEA Revised Non EYZ'!BN62</f>
        <v>20.872364334642199</v>
      </c>
      <c r="BO62">
        <f>'TEA Revised Non EYZ'!BO62</f>
        <v>241.31914391413397</v>
      </c>
      <c r="BP62">
        <f>'TEA Revised Non EYZ'!BP62</f>
        <v>250.46837201570639</v>
      </c>
      <c r="BQ62">
        <f>'TEA Revised Non EYZ'!BQ62</f>
        <v>24.1319143914134</v>
      </c>
      <c r="BR62">
        <f>'TEA Revised Non EYZ'!BR62</f>
        <v>25.046837201570639</v>
      </c>
      <c r="BS62">
        <f>'eLLE Bals'!CF62</f>
        <v>6.5814311976581994</v>
      </c>
      <c r="BT62">
        <f>'eLLE Bals'!CG62</f>
        <v>12.52341860078532</v>
      </c>
      <c r="BU62">
        <f>BM62</f>
        <v>92.357542033771196</v>
      </c>
      <c r="BV62">
        <f>BU62*(AM62*2+AN62*2+AO62*3)</f>
        <v>0.31252562099713665</v>
      </c>
      <c r="BW62">
        <f>BN62*BA62*(AP62*2+AQ62*2+AR62*3)</f>
        <v>0.30196734181133933</v>
      </c>
      <c r="BX62">
        <f>BV62/(2*V62*BL62+BV62)</f>
        <v>0.12469422235336816</v>
      </c>
      <c r="BY62">
        <f>BU62*BX62</f>
        <v>11.516451882369612</v>
      </c>
      <c r="BZ62">
        <f>BW62/(2*BN62*BA62+BW62)</f>
        <v>6.7457025611953852E-2</v>
      </c>
      <c r="CA62">
        <f>2*BN62*BA62/0.04</f>
        <v>104.361821673211</v>
      </c>
      <c r="CB62">
        <f>(BS62+BL62)*2</f>
        <v>35.100966387510397</v>
      </c>
      <c r="CC62">
        <f>(BU62+BL62)*2</f>
        <v>206.65318805973638</v>
      </c>
      <c r="CD62">
        <f>(BT62+BN62)*2</f>
        <v>66.791565870855038</v>
      </c>
      <c r="CE62">
        <f>(CA62+BN62)*2</f>
        <v>250.46837201570639</v>
      </c>
      <c r="CF62">
        <f>'TEA Revised Non EYZ'!CB62</f>
        <v>3185.4126996665682</v>
      </c>
      <c r="CG62">
        <f>'TEA Revised Non EYZ'!CC62</f>
        <v>3306.1825106073247</v>
      </c>
      <c r="CH62">
        <f>'TEA Revised Non EYZ'!CD62</f>
        <v>3848.5686313477631</v>
      </c>
      <c r="CI62">
        <f>'TEA Revised Non EYZ'!CE62</f>
        <v>25500.8795521994</v>
      </c>
      <c r="CJ62">
        <f>BL62*V62</f>
        <v>1.0969051996096999</v>
      </c>
      <c r="CK62">
        <f>CJ62/2*1.2</f>
        <v>0.65814311976581996</v>
      </c>
      <c r="CL62">
        <f>'eLLE Bals'!CB62*'Oxidant Feed Composition'!$N$20</f>
        <v>3.656350665365668E-2</v>
      </c>
      <c r="CM62">
        <f>'eLLE Bals'!CB62*'Oxidant Feed Composition'!$N$21</f>
        <v>1.8281753326828334</v>
      </c>
      <c r="CN62">
        <f>'eLLE Bals'!CB62*'Oxidant Feed Composition'!$N$22</f>
        <v>0.54845259980484995</v>
      </c>
      <c r="CO62">
        <f>CN62/CK62</f>
        <v>0.83333333333333326</v>
      </c>
      <c r="CP62">
        <f>CO62</f>
        <v>0.83333333333333326</v>
      </c>
      <c r="CQ62">
        <f>CL62/CO62</f>
        <v>4.3876207984388023E-2</v>
      </c>
      <c r="CR62">
        <f>CM62/CO62</f>
        <v>2.1938103992194002</v>
      </c>
      <c r="CS62">
        <f>BN62*BA62</f>
        <v>2.0872364334642199</v>
      </c>
      <c r="CT62">
        <f>CS62/2*1.2</f>
        <v>1.2523418600785319</v>
      </c>
      <c r="CU62">
        <f>'eLLE Bals'!CC62*'Oxidant Feed Composition'!$N$20</f>
        <v>6.95745477821407E-2</v>
      </c>
      <c r="CV62">
        <f>'eLLE Bals'!CC62*'Oxidant Feed Composition'!$N$21</f>
        <v>3.4787273891070338</v>
      </c>
      <c r="CW62">
        <f>'eLLE Bals'!CC62*'Oxidant Feed Composition'!$N$22</f>
        <v>1.04361821673211</v>
      </c>
      <c r="CX62">
        <f>CU62/CP62</f>
        <v>8.3489457338568843E-2</v>
      </c>
      <c r="CY62">
        <f>CV62/CP62</f>
        <v>4.1744728669284408</v>
      </c>
      <c r="CZ62">
        <f>CJ62</f>
        <v>1.0969051996096999</v>
      </c>
      <c r="DA62">
        <f>'eLLE Bals'!BQ62</f>
        <v>2.1938103992193998</v>
      </c>
      <c r="DB62">
        <f>'eLLE Bals'!BU62</f>
        <v>5.5060448198242016</v>
      </c>
      <c r="DC62">
        <f>CS62</f>
        <v>2.0872364334642199</v>
      </c>
      <c r="DD62">
        <f>'eLLE Bals'!BX62</f>
        <v>4.1744728669284399</v>
      </c>
      <c r="DE62">
        <f>'eLLE Bals'!CA62</f>
        <v>24.680011217660351</v>
      </c>
      <c r="DF62">
        <f>2*2*(CJ62*'Reagent cost'!$C$36*122.44/1000*0.5+CK62*'Oxidant Feed Composition'!$N$26+CQ62*'Reagent cost'!$C$34+CR62*'Reagent cost'!$C$35)</f>
        <v>73.683823681221483</v>
      </c>
      <c r="DG62">
        <f>2*2*(CS62*'Reagent cost'!$C$36*122.44/1000*0.5+CT62*'Oxidant Feed Composition'!$N$26+CX62*'Reagent cost'!$C$34+CY62*'Reagent cost'!$C$35)</f>
        <v>140.20861729812438</v>
      </c>
      <c r="DH62">
        <f>(AF62+3)*2*(CZ62*'Reagent cost'!$C$38*0.5+DA62*'Reagent cost'!$C$39+DB62*'Reagent cost'!$C$36*122.44/1000)</f>
        <v>702.55093603413718</v>
      </c>
      <c r="DI62">
        <f>3*2*(DC62*'Reagent cost'!$C$38*0.5+DD62*'Reagent cost'!$C$39+DE62*'Reagent cost'!$C$36*122.44/1000)</f>
        <v>1309.7821216453722</v>
      </c>
      <c r="DJ62">
        <f>7963.6*(CB62/1000)^0.6*1.7*('CAPEX+OPEX'!$G$116/'CAPEX+OPEX'!$G$115)</f>
        <v>2140.0916471558648</v>
      </c>
      <c r="DK62">
        <f>7963.6*(CC62/1000)^0.6*1.7*('CAPEX+OPEX'!$G$116/'CAPEX+OPEX'!$G$115)</f>
        <v>6199.9215410229135</v>
      </c>
      <c r="DL62">
        <f>7963.6*(CD62/1000)^0.6*1.7*('CAPEX+OPEX'!$G$116/'CAPEX+OPEX'!$G$115)</f>
        <v>3148.2840056223422</v>
      </c>
      <c r="DM62">
        <f>7963.6*(CE62/1000)^0.6*1.7*('CAPEX+OPEX'!$G$116/'CAPEX+OPEX'!$G$115)</f>
        <v>6958.1320052385299</v>
      </c>
      <c r="DN62">
        <f>'TEA Revised Non EYZ'!CM62</f>
        <v>39625.826528698344</v>
      </c>
      <c r="DO62">
        <f>'TEA Revised Non EYZ'!CN62</f>
        <v>4586243.4239371875</v>
      </c>
      <c r="DP62">
        <f>'TEA Revised Non EYZ'!CO62</f>
        <v>11794834.586807497</v>
      </c>
      <c r="DQ62">
        <f>'TEA Revised Non EYZ'!CP62</f>
        <v>2275209.1661185985</v>
      </c>
      <c r="DR62">
        <f>'TEA Revised Non EYZ'!CQ62</f>
        <v>14083914.336508472</v>
      </c>
      <c r="DS62">
        <f>'TEA Revised Non EYZ'!CR62</f>
        <v>1662824.8986326549</v>
      </c>
      <c r="DT62">
        <f>'TEA Revised Non EYZ'!CS62</f>
        <v>800322.53402245743</v>
      </c>
      <c r="DU62">
        <f>'TEA Revised Non EYZ'!CT62</f>
        <v>2058257.9318883498</v>
      </c>
      <c r="DV62">
        <f>'TEA Revised Non EYZ'!CU62</f>
        <v>397035.437708179</v>
      </c>
      <c r="DW62">
        <f>'TEA Revised Non EYZ'!CV62</f>
        <v>2457713.856163613</v>
      </c>
      <c r="DX62">
        <f>'TEA Revised Non EYZ'!CW62</f>
        <v>290171.30437591631</v>
      </c>
      <c r="DY62">
        <f>'TEA Revised Non EYZ'!CX62</f>
        <v>6003501.064158516</v>
      </c>
      <c r="DZ62">
        <f>'TEA Revised Non EYZ'!CY62</f>
        <v>498640.04312959599</v>
      </c>
      <c r="EA62">
        <f>'TEA Revised Non EYZ'!CZ62</f>
        <v>1282395.2597839017</v>
      </c>
      <c r="EB62">
        <f>'TEA Revised Non EYZ'!DA62</f>
        <v>247372.47717834351</v>
      </c>
      <c r="EC62">
        <f>'TEA Revised Non EYZ'!DB62</f>
        <v>1531275.8183605524</v>
      </c>
      <c r="ED62">
        <f>'TEA Revised Non EYZ'!DC62</f>
        <v>180790.90064071334</v>
      </c>
      <c r="EE62">
        <f>'TEA Revised Non EYZ'!DD62</f>
        <v>3740474.4990931074</v>
      </c>
      <c r="EF62">
        <v>0.7</v>
      </c>
      <c r="EG62">
        <v>100</v>
      </c>
      <c r="EH62">
        <f>96485*BL62*V62/EF62/EG62/60</f>
        <v>25.198785281986165</v>
      </c>
      <c r="EI62">
        <f>96485*BN62*BA62/EF62/EG62/60</f>
        <v>47.949287448284593</v>
      </c>
      <c r="EJ62">
        <f>EH62*('CAPEX+OPEX'!$O$25+'CAPEX+OPEX'!$O$26)</f>
        <v>803135.68450746301</v>
      </c>
      <c r="EK62">
        <f>EI62*('CAPEX+OPEX'!$O$25+'CAPEX+OPEX'!$O$26)</f>
        <v>1528239.6895517264</v>
      </c>
      <c r="EL62">
        <f>EJ62*1.12/0.6*'CAPEX+OPEX'!$G$116/'CAPEX+OPEX'!$G$115</f>
        <v>1768228.0006537526</v>
      </c>
      <c r="EM62">
        <f>EK62*1.12/0.6*'CAPEX+OPEX'!$G$116/'CAPEX+OPEX'!$G$115</f>
        <v>3364657.1344080912</v>
      </c>
      <c r="EN62">
        <f>EL62+EM62+DY62+EE62+1.15*(SUM(DF62:DM62)+SUM(CF62:CI62))</f>
        <v>14941851.451118715</v>
      </c>
      <c r="EO62">
        <f>EN62/15</f>
        <v>996123.43007458106</v>
      </c>
      <c r="EP62">
        <f>('eLLE Bals'!CB62+'eLLE Bals'!CC62)*'Oxidant Feed Composition'!$N$29*60*7200</f>
        <v>7942386.6082776887</v>
      </c>
      <c r="EQ62" s="53">
        <f>('eLLE Bals'!BR62+'eLLE Bals'!BY62)*'Reagent cost'!$C$38*60*7200*0.5</f>
        <v>253250.36392339395</v>
      </c>
      <c r="ER62">
        <f>'TEA Revised Non EYZ'!DI62</f>
        <v>504921.59999999998</v>
      </c>
      <c r="ES62">
        <f>'TEA Revised Non EYZ'!DJ62</f>
        <v>64.915952102738927</v>
      </c>
      <c r="ET62">
        <f>'TEA Revised Non EYZ'!DK62</f>
        <v>586.98896367094324</v>
      </c>
      <c r="EU62">
        <f>1.2*SUM(EP62:ET62)</f>
        <v>10441452.572540227</v>
      </c>
      <c r="EV62">
        <f>'TEA Revised Non EYZ'!DM62</f>
        <v>0.70639694042110623</v>
      </c>
      <c r="EW62">
        <f>(BS62*CO62+BT62*CP62)/1000*('Oxidant Feed Composition'!$B$11*'Oxidant Feed Composition'!$O$20+'Oxidant Feed Composition'!$D$11*'Oxidant Feed Composition'!$O$21+'Oxidant Feed Composition'!$F$11*'Oxidant Feed Composition'!$O$27-'Oxidant Feed Composition'!$J$15*18.015)</f>
        <v>1.8592925795669317</v>
      </c>
      <c r="EX62">
        <f>(CZ62*BX62+DC62*BZ62)*368.34/1000</f>
        <v>0.10224252889810335</v>
      </c>
      <c r="EY62">
        <f>'TEA Revised Non EYZ'!DP62</f>
        <v>4.999938342565946E-2</v>
      </c>
      <c r="EZ62">
        <f>SUM(EV62:EX62)-EY62</f>
        <v>2.617932665460482</v>
      </c>
      <c r="FA62">
        <f>EZ62*0.33*60*7200</f>
        <v>373212.48078804638</v>
      </c>
      <c r="FB62">
        <f>'TEA Revised Non EYZ'!DS62</f>
        <v>1.2</v>
      </c>
      <c r="FC62">
        <v>0.5</v>
      </c>
      <c r="FD62">
        <f>'TEA Revised Non EYZ'!DT62</f>
        <v>1398.9459464463214</v>
      </c>
      <c r="FE62">
        <f>'TEA Revised Non EYZ'!DU62</f>
        <v>712.75787536363475</v>
      </c>
      <c r="FF62">
        <f>'TEA Revised Non EYZ'!DV62</f>
        <v>0.7</v>
      </c>
      <c r="FG62">
        <f>'TEA Revised Non EYZ'!DW62</f>
        <v>44032.441905260595</v>
      </c>
      <c r="FH62">
        <f>'TEA Revised Non EYZ'!DX62</f>
        <v>41526.098972294596</v>
      </c>
      <c r="FI62">
        <f>'TEA Revised Non EYZ'!DY62</f>
        <v>17581.614484237631</v>
      </c>
      <c r="FJ62">
        <f>'TEA Revised Non EYZ'!DZ62</f>
        <v>9313.4716969742931</v>
      </c>
      <c r="FK62">
        <f>'TEA Revised Non EYZ'!EA62</f>
        <v>9376.8610582600722</v>
      </c>
      <c r="FL62">
        <f>'TEA Revised Non EYZ'!EB62</f>
        <v>846.08250841073527</v>
      </c>
      <c r="FM62">
        <f>'TEA Revised Non EYZ'!EC62</f>
        <v>28285.175261081924</v>
      </c>
      <c r="FN62">
        <f>'TEA Revised Non EYZ'!ED62</f>
        <v>19397.041035374452</v>
      </c>
      <c r="FO62">
        <f>'TEA Revised Non EYZ'!EE62</f>
        <v>8212.4568899770857</v>
      </c>
      <c r="FP62">
        <f>'TEA Revised Non EYZ'!EF62</f>
        <v>4352.7892707765368</v>
      </c>
      <c r="FQ62">
        <f>'TEA Revised Non EYZ'!EG62</f>
        <v>4379.977007987779</v>
      </c>
      <c r="FR62">
        <f>'TEA Revised Non EYZ'!EH62</f>
        <v>431.07596301992629</v>
      </c>
      <c r="FS62">
        <f>'TEA Revised Non EYZ'!EI62</f>
        <v>187735.08605365563</v>
      </c>
      <c r="FT62">
        <f>EG62*EH62</f>
        <v>2519.8785281986166</v>
      </c>
      <c r="FU62">
        <f>EG62*EI62</f>
        <v>4794.9287448284595</v>
      </c>
      <c r="FV62">
        <f>FC62*(FT62+FU62)/(3.6*10^6)*3600*7200*0.07</f>
        <v>1843.3314328028234</v>
      </c>
      <c r="FW62">
        <f>('CAPEX+OPEX'!$C$39/7/100+0.03)*EL62</f>
        <v>90937.440033621562</v>
      </c>
      <c r="FX62">
        <f>('CAPEX+OPEX'!$C$39/7/100+0.03)*EM62</f>
        <v>173039.50976955896</v>
      </c>
      <c r="FY62">
        <f>SUM(FV62:FX62)</f>
        <v>265820.28123598336</v>
      </c>
      <c r="FZ62">
        <f>FY62+FA62+FS62+EU62</f>
        <v>11268220.420617912</v>
      </c>
      <c r="GA62">
        <f>FZ62+EO62</f>
        <v>12264343.850692494</v>
      </c>
      <c r="GB62">
        <f>GA62/(BK62*60*7200)</f>
        <v>0.2838968483956596</v>
      </c>
      <c r="GC62">
        <f>'TEA Revised Non EYZ'!EM62/'TEA Revised Non EYZ'!EK62*GA62</f>
        <v>954.48370340100132</v>
      </c>
      <c r="GD62">
        <f>'TEA Revised Non EYZ'!EN62/'TEA Revised Non EYZ'!EK62*GA62</f>
        <v>1727.3631692293266</v>
      </c>
    </row>
    <row r="63" spans="1:186">
      <c r="A63">
        <f>'TEA Revised Non EYZ'!A63</f>
        <v>9</v>
      </c>
      <c r="B63">
        <f>'TEA Revised Non EYZ'!B63</f>
        <v>1.54143585092054E-3</v>
      </c>
      <c r="C63">
        <f>'TEA Revised Non EYZ'!C63</f>
        <v>1.54143585092054E-3</v>
      </c>
      <c r="D63">
        <f>'TEA Revised Non EYZ'!D63</f>
        <v>3.4254130020456501E-4</v>
      </c>
      <c r="E63">
        <f>'TEA Revised Non EYZ'!E63</f>
        <v>0</v>
      </c>
      <c r="F63">
        <f>'TEA Revised Non EYZ'!F63</f>
        <v>0</v>
      </c>
      <c r="G63">
        <f>'TEA Revised Non EYZ'!G63</f>
        <v>0</v>
      </c>
      <c r="H63">
        <f>'TEA Revised Non EYZ'!H63</f>
        <v>1.7768596981705501E-5</v>
      </c>
      <c r="I63">
        <f>'TEA Revised Non EYZ'!I63</f>
        <v>1.5331283704498101E-9</v>
      </c>
      <c r="J63">
        <f>'TEA Revised Non EYZ'!J63</f>
        <v>3.3763247208936601E-4</v>
      </c>
      <c r="K63">
        <f>'TEA Revised Non EYZ'!K63</f>
        <v>0.13890601070001499</v>
      </c>
      <c r="L63">
        <f>'TEA Revised Non EYZ'!L63</f>
        <v>0.14052575540227799</v>
      </c>
      <c r="M63">
        <f>'TEA Revised Non EYZ'!M63</f>
        <v>4.4751616793740602E-4</v>
      </c>
      <c r="N63">
        <f>'TEA Revised Non EYZ'!N63</f>
        <v>-5.0090140368830299E-17</v>
      </c>
      <c r="O63">
        <f>'TEA Revised Non EYZ'!O63</f>
        <v>-6.2343793322261397E-15</v>
      </c>
      <c r="P63">
        <f>'TEA Revised Non EYZ'!P63</f>
        <v>1.7787691892340301E-20</v>
      </c>
      <c r="Q63">
        <f>'TEA Revised Non EYZ'!Q63</f>
        <v>0.10969051996097</v>
      </c>
      <c r="R63">
        <f>'TEA Revised Non EYZ'!R63</f>
        <v>98.566938318892298</v>
      </c>
      <c r="S63">
        <f>'TEA Revised Non EYZ'!S63</f>
        <v>500</v>
      </c>
      <c r="T63">
        <f>'TEA Revised Non EYZ'!T63</f>
        <v>95</v>
      </c>
      <c r="U63">
        <f>'TEA Revised Non EYZ'!U63</f>
        <v>1</v>
      </c>
      <c r="V63">
        <f>'TEA Revised Non EYZ'!V63</f>
        <v>0.1</v>
      </c>
      <c r="W63">
        <f>'TEA Revised Non EYZ'!W63</f>
        <v>91.165581160141301</v>
      </c>
      <c r="X63" t="str">
        <f>'TEA Revised Non EYZ'!X63</f>
        <v>ddFc</v>
      </c>
      <c r="Y63">
        <f>'TEA Revised Non EYZ'!Y63</f>
        <v>1</v>
      </c>
      <c r="Z63">
        <f>'TEA Revised Non EYZ'!Z63</f>
        <v>0.28318429382522198</v>
      </c>
      <c r="AA63">
        <f>'TEA Revised Non EYZ'!AA63</f>
        <v>0.56945642916197003</v>
      </c>
      <c r="AB63">
        <f>'TEA Revised Non EYZ'!AB63</f>
        <v>3.7698628972227502E-3</v>
      </c>
      <c r="AC63">
        <f>'TEA Revised Non EYZ'!AC63</f>
        <v>1822.2107908876901</v>
      </c>
      <c r="AD63">
        <f>'TEA Revised Non EYZ'!AD63</f>
        <v>2662.6059073104898</v>
      </c>
      <c r="AE63">
        <f>'TEA Revised Non EYZ'!AE63</f>
        <v>2401.5030938442701</v>
      </c>
      <c r="AF63">
        <f>'TEA Revised Non EYZ'!AF63</f>
        <v>5</v>
      </c>
      <c r="AG63">
        <f>'TEA Revised Non EYZ'!AG63</f>
        <v>1.6497485970141401E-3</v>
      </c>
      <c r="AH63">
        <f>'TEA Revised Non EYZ'!AH63</f>
        <v>1.6689858606617799E-3</v>
      </c>
      <c r="AI63">
        <f>'TEA Revised Non EYZ'!AI63</f>
        <v>5.3150268046377499E-6</v>
      </c>
      <c r="AJ63">
        <f>'TEA Revised Non EYZ'!AJ63</f>
        <v>0</v>
      </c>
      <c r="AK63">
        <f>'TEA Revised Non EYZ'!AK63</f>
        <v>0</v>
      </c>
      <c r="AL63">
        <f>'TEA Revised Non EYZ'!AL63</f>
        <v>0</v>
      </c>
      <c r="AM63">
        <f>'TEA Revised Non EYZ'!AM63</f>
        <v>1.6104360946851499E-3</v>
      </c>
      <c r="AN63">
        <f>'TEA Revised Non EYZ'!AN63</f>
        <v>7.9481866578997695E-5</v>
      </c>
      <c r="AO63">
        <f>'TEA Revised Non EYZ'!AO63</f>
        <v>5.2779279086813702E-6</v>
      </c>
      <c r="AP63">
        <f>'TEA Revised Non EYZ'!AP63</f>
        <v>1.8118422491867001E-3</v>
      </c>
      <c r="AQ63">
        <f>'TEA Revised Non EYZ'!AQ63</f>
        <v>7.32573690584577E-2</v>
      </c>
      <c r="AR63">
        <f>'TEA Revised Non EYZ'!AR63</f>
        <v>1.7098211283888001E-6</v>
      </c>
      <c r="AS63">
        <f>'TEA Revised Non EYZ'!AS63</f>
        <v>-4.5211230592645498E-17</v>
      </c>
      <c r="AT63">
        <f>'TEA Revised Non EYZ'!AT63</f>
        <v>1.8735013540549499E-16</v>
      </c>
      <c r="AU63">
        <f>'TEA Revised Non EYZ'!AU63</f>
        <v>-3.54430348866721E-20</v>
      </c>
      <c r="AV63">
        <f>'TEA Revised Non EYZ'!AV63</f>
        <v>0.20039305783583899</v>
      </c>
      <c r="AW63">
        <f>'TEA Revised Non EYZ'!AW63</f>
        <v>99.301999833302602</v>
      </c>
      <c r="AX63">
        <f>'TEA Revised Non EYZ'!AX63</f>
        <v>500</v>
      </c>
      <c r="AY63">
        <f>'TEA Revised Non EYZ'!AY63</f>
        <v>95</v>
      </c>
      <c r="AZ63">
        <f>'TEA Revised Non EYZ'!AZ63</f>
        <v>0.92357542033771201</v>
      </c>
      <c r="BA63">
        <f>'TEA Revised Non EYZ'!BA63</f>
        <v>0.1</v>
      </c>
      <c r="BB63">
        <f>'TEA Revised Non EYZ'!BB63</f>
        <v>46.088194387167597</v>
      </c>
      <c r="BC63" t="str">
        <f>'TEA Revised Non EYZ'!BC63</f>
        <v>coeFc</v>
      </c>
      <c r="BD63">
        <f>'TEA Revised Non EYZ'!BD63</f>
        <v>1</v>
      </c>
      <c r="BE63">
        <f>'TEA Revised Non EYZ'!BE63</f>
        <v>1.8775014999999999E-2</v>
      </c>
      <c r="BF63">
        <f>'TEA Revised Non EYZ'!BF63</f>
        <v>0.10492961100000001</v>
      </c>
      <c r="BG63">
        <f>'TEA Revised Non EYZ'!BG63</f>
        <v>1.814625E-3</v>
      </c>
      <c r="BH63">
        <f>'TEA Revised Non EYZ'!BH63</f>
        <v>285.1951444</v>
      </c>
      <c r="BI63">
        <f>'TEA Revised Non EYZ'!BI63</f>
        <v>2169.8944889999998</v>
      </c>
      <c r="BJ63">
        <f>'TEA Revised Non EYZ'!BJ63</f>
        <v>866.49409060000005</v>
      </c>
      <c r="BK63">
        <f>'TEA Revised Non EYZ'!BK63</f>
        <v>100</v>
      </c>
      <c r="BL63">
        <f>'TEA Revised Non EYZ'!BL63</f>
        <v>10.969051996096999</v>
      </c>
      <c r="BM63">
        <f>'TEA Revised Non EYZ'!BM63</f>
        <v>92.357542033771196</v>
      </c>
      <c r="BN63">
        <f>'TEA Revised Non EYZ'!BN63</f>
        <v>20.039305783583899</v>
      </c>
      <c r="BO63">
        <f>'TEA Revised Non EYZ'!BO63</f>
        <v>241.31914391413397</v>
      </c>
      <c r="BP63">
        <f>'TEA Revised Non EYZ'!BP63</f>
        <v>280.55028097017458</v>
      </c>
      <c r="BQ63">
        <f>'TEA Revised Non EYZ'!BQ63</f>
        <v>24.1319143914134</v>
      </c>
      <c r="BR63">
        <f>'TEA Revised Non EYZ'!BR63</f>
        <v>28.055028097017459</v>
      </c>
      <c r="BS63">
        <f>'eLLE Bals'!CF63</f>
        <v>6.5814311976581994</v>
      </c>
      <c r="BT63">
        <f>'eLLE Bals'!CG63</f>
        <v>12.023583470150339</v>
      </c>
      <c r="BU63">
        <f>BM63</f>
        <v>92.357542033771196</v>
      </c>
      <c r="BV63">
        <f>BU63*(AM63*2+AN63*2+AO63*3)</f>
        <v>0.31361570762818863</v>
      </c>
      <c r="BW63">
        <f>BN63*BA63*(AP63*2+AQ63*2+AR63*3)</f>
        <v>0.3008772551538002</v>
      </c>
      <c r="BX63">
        <f>BV63/(2*V63*BL63+BV63)</f>
        <v>0.1250747556515138</v>
      </c>
      <c r="BY63">
        <f>BU63*BX63</f>
        <v>11.551597002448347</v>
      </c>
      <c r="BZ63">
        <f>BW63/(2*BN63*BA63+BW63)</f>
        <v>6.9829547861360752E-2</v>
      </c>
      <c r="CA63">
        <f>2*BN63*BA63/0.04</f>
        <v>100.19652891791949</v>
      </c>
      <c r="CB63">
        <f>(BS63+BL63)*2</f>
        <v>35.100966387510397</v>
      </c>
      <c r="CC63">
        <f>(BU63+BL63)*2</f>
        <v>206.65318805973638</v>
      </c>
      <c r="CD63">
        <f>(BT63+BN63)*2</f>
        <v>64.125778507468482</v>
      </c>
      <c r="CE63">
        <f>(CA63+BN63)*2</f>
        <v>240.47166940300679</v>
      </c>
      <c r="CF63">
        <f>'TEA Revised Non EYZ'!CB63</f>
        <v>3185.4126996665682</v>
      </c>
      <c r="CG63">
        <f>'TEA Revised Non EYZ'!CC63</f>
        <v>3703.2637088063047</v>
      </c>
      <c r="CH63">
        <f>'TEA Revised Non EYZ'!CD63</f>
        <v>3848.5686313477631</v>
      </c>
      <c r="CI63">
        <f>'TEA Revised Non EYZ'!CE63</f>
        <v>28563.602125810481</v>
      </c>
      <c r="CJ63">
        <f>BL63*V63</f>
        <v>1.0969051996096999</v>
      </c>
      <c r="CK63">
        <f>CJ63/2*1.2</f>
        <v>0.65814311976581996</v>
      </c>
      <c r="CL63">
        <f>'eLLE Bals'!CB63*'Oxidant Feed Composition'!$N$20</f>
        <v>3.656350665365668E-2</v>
      </c>
      <c r="CM63">
        <f>'eLLE Bals'!CB63*'Oxidant Feed Composition'!$N$21</f>
        <v>1.8281753326828334</v>
      </c>
      <c r="CN63">
        <f>'eLLE Bals'!CB63*'Oxidant Feed Composition'!$N$22</f>
        <v>0.54845259980484995</v>
      </c>
      <c r="CO63">
        <f>CN63/CK63</f>
        <v>0.83333333333333326</v>
      </c>
      <c r="CP63">
        <f>CO63</f>
        <v>0.83333333333333326</v>
      </c>
      <c r="CQ63">
        <f>CL63/CO63</f>
        <v>4.3876207984388023E-2</v>
      </c>
      <c r="CR63">
        <f>CM63/CO63</f>
        <v>2.1938103992194002</v>
      </c>
      <c r="CS63">
        <f>BN63*BA63</f>
        <v>2.0039305783583901</v>
      </c>
      <c r="CT63">
        <f>CS63/2*1.2</f>
        <v>1.2023583470150341</v>
      </c>
      <c r="CU63">
        <f>'eLLE Bals'!CC63*'Oxidant Feed Composition'!$N$20</f>
        <v>6.6797685945279697E-2</v>
      </c>
      <c r="CV63">
        <f>'eLLE Bals'!CC63*'Oxidant Feed Composition'!$N$21</f>
        <v>3.3398842972639837</v>
      </c>
      <c r="CW63">
        <f>'eLLE Bals'!CC63*'Oxidant Feed Composition'!$N$22</f>
        <v>1.001965289179195</v>
      </c>
      <c r="CX63">
        <f>CU63/CP63</f>
        <v>8.015722313433564E-2</v>
      </c>
      <c r="CY63">
        <f>CV63/CP63</f>
        <v>4.007861156716781</v>
      </c>
      <c r="CZ63">
        <f>CJ63</f>
        <v>1.0969051996096999</v>
      </c>
      <c r="DA63">
        <f>'eLLE Bals'!BQ63</f>
        <v>2.1938103992193998</v>
      </c>
      <c r="DB63">
        <f>'eLLE Bals'!BU63</f>
        <v>5.4792811434863644</v>
      </c>
      <c r="DC63">
        <f>CS63</f>
        <v>2.0039305783583901</v>
      </c>
      <c r="DD63">
        <f>'eLLE Bals'!BX63</f>
        <v>4.0078611567167801</v>
      </c>
      <c r="DE63">
        <f>'eLLE Bals'!CA63</f>
        <v>22.685667144896161</v>
      </c>
      <c r="DF63">
        <f>2*2*(CJ63*'Reagent cost'!$C$36*122.44/1000*0.5+CK63*'Oxidant Feed Composition'!$N$26+CQ63*'Reagent cost'!$C$34+CR63*'Reagent cost'!$C$35)</f>
        <v>73.683823681221483</v>
      </c>
      <c r="DG63">
        <f>2*2*(CS63*'Reagent cost'!$C$36*122.44/1000*0.5+CT63*'Oxidant Feed Composition'!$N$26+CX63*'Reagent cost'!$C$34+CY63*'Reagent cost'!$C$35)</f>
        <v>134.61260595510637</v>
      </c>
      <c r="DH63">
        <f>(AF63+3)*2*(CZ63*'Reagent cost'!$C$38*0.5+DA63*'Reagent cost'!$C$39+DB63*'Reagent cost'!$C$36*122.44/1000)</f>
        <v>799.21267030333854</v>
      </c>
      <c r="DI63">
        <f>3*2*(DC63*'Reagent cost'!$C$38*0.5+DD63*'Reagent cost'!$C$39+DE63*'Reagent cost'!$C$36*122.44/1000)</f>
        <v>1205.142530851645</v>
      </c>
      <c r="DJ63">
        <f>7963.6*(CB63/1000)^0.6*1.7*('CAPEX+OPEX'!$G$116/'CAPEX+OPEX'!$G$115)</f>
        <v>2140.0916471558648</v>
      </c>
      <c r="DK63">
        <f>7963.6*(CC63/1000)^0.6*1.7*('CAPEX+OPEX'!$G$116/'CAPEX+OPEX'!$G$115)</f>
        <v>6199.9215410229135</v>
      </c>
      <c r="DL63">
        <f>7963.6*(CD63/1000)^0.6*1.7*('CAPEX+OPEX'!$G$116/'CAPEX+OPEX'!$G$115)</f>
        <v>3072.2780514246729</v>
      </c>
      <c r="DM63">
        <f>7963.6*(CE63/1000)^0.6*1.7*('CAPEX+OPEX'!$G$116/'CAPEX+OPEX'!$G$115)</f>
        <v>6790.148601725049</v>
      </c>
      <c r="DN63">
        <f>'TEA Revised Non EYZ'!CM63</f>
        <v>39625.826528698344</v>
      </c>
      <c r="DO63">
        <f>'TEA Revised Non EYZ'!CN63</f>
        <v>4586243.4239371875</v>
      </c>
      <c r="DP63">
        <f>'TEA Revised Non EYZ'!CO63</f>
        <v>11794834.586807497</v>
      </c>
      <c r="DQ63">
        <f>'TEA Revised Non EYZ'!CP63</f>
        <v>2275209.1661185985</v>
      </c>
      <c r="DR63">
        <f>'TEA Revised Non EYZ'!CQ63</f>
        <v>14083914.336508472</v>
      </c>
      <c r="DS63">
        <f>'TEA Revised Non EYZ'!CR63</f>
        <v>1662824.8986326549</v>
      </c>
      <c r="DT63">
        <f>'TEA Revised Non EYZ'!CS63</f>
        <v>800322.53402245743</v>
      </c>
      <c r="DU63">
        <f>'TEA Revised Non EYZ'!CT63</f>
        <v>2058257.9318883498</v>
      </c>
      <c r="DV63">
        <f>'TEA Revised Non EYZ'!CU63</f>
        <v>397035.437708179</v>
      </c>
      <c r="DW63">
        <f>'TEA Revised Non EYZ'!CV63</f>
        <v>2457713.856163613</v>
      </c>
      <c r="DX63">
        <f>'TEA Revised Non EYZ'!CW63</f>
        <v>290171.30437591631</v>
      </c>
      <c r="DY63">
        <f>'TEA Revised Non EYZ'!CX63</f>
        <v>6003501.064158516</v>
      </c>
      <c r="DZ63">
        <f>'TEA Revised Non EYZ'!CY63</f>
        <v>556283.14213476516</v>
      </c>
      <c r="EA63">
        <f>'TEA Revised Non EYZ'!CZ63</f>
        <v>1430640.9491183041</v>
      </c>
      <c r="EB63">
        <f>'TEA Revised Non EYZ'!DA63</f>
        <v>275968.88933900755</v>
      </c>
      <c r="EC63">
        <f>'TEA Revised Non EYZ'!DB63</f>
        <v>1708292.2550028826</v>
      </c>
      <c r="ED63">
        <f>'TEA Revised Non EYZ'!DC63</f>
        <v>201690.44115787523</v>
      </c>
      <c r="EE63">
        <f>'TEA Revised Non EYZ'!DD63</f>
        <v>4172875.6767528341</v>
      </c>
      <c r="EF63">
        <v>0.7</v>
      </c>
      <c r="EG63">
        <v>100</v>
      </c>
      <c r="EH63">
        <f>96485*BL63*V63/EF63/EG63/60</f>
        <v>25.198785281986165</v>
      </c>
      <c r="EI63">
        <f>96485*BN63*BA63/EF63/EG63/60</f>
        <v>46.035533774502213</v>
      </c>
      <c r="EJ63">
        <f>EH63*('CAPEX+OPEX'!$O$25+'CAPEX+OPEX'!$O$26)</f>
        <v>803135.68450746301</v>
      </c>
      <c r="EK63">
        <f>EI63*('CAPEX+OPEX'!$O$25+'CAPEX+OPEX'!$O$26)</f>
        <v>1467244.5324609345</v>
      </c>
      <c r="EL63">
        <f>EJ63*1.12/0.6*'CAPEX+OPEX'!$G$116/'CAPEX+OPEX'!$G$115</f>
        <v>1768228.0006537526</v>
      </c>
      <c r="EM63">
        <f>EK63*1.12/0.6*'CAPEX+OPEX'!$G$116/'CAPEX+OPEX'!$G$115</f>
        <v>3230366.8186461213</v>
      </c>
      <c r="EN63">
        <f>EL63+EM63+DY63+EE63+1.15*(SUM(DF63:DM63)+SUM(CF63:CI63))</f>
        <v>15243644.889644638</v>
      </c>
      <c r="EO63">
        <f>EN63/15</f>
        <v>1016242.9926429759</v>
      </c>
      <c r="EP63">
        <f>('eLLE Bals'!CB63+'eLLE Bals'!CC63)*'Oxidant Feed Composition'!$N$29*60*7200</f>
        <v>7734592.0487923054</v>
      </c>
      <c r="EQ63" s="53">
        <f>('eLLE Bals'!BR63+'eLLE Bals'!BY63)*'Reagent cost'!$C$38*60*7200*0.5</f>
        <v>252841.82048099354</v>
      </c>
      <c r="ER63">
        <f>'TEA Revised Non EYZ'!DI63</f>
        <v>504921.59999999998</v>
      </c>
      <c r="ES63">
        <f>'TEA Revised Non EYZ'!DJ63</f>
        <v>68.886764084728725</v>
      </c>
      <c r="ET63">
        <f>'TEA Revised Non EYZ'!DK63</f>
        <v>648.24341514316495</v>
      </c>
      <c r="EU63">
        <f>1.2*SUM(EP63:ET63)</f>
        <v>10191687.119343033</v>
      </c>
      <c r="EV63">
        <f>'TEA Revised Non EYZ'!DM63</f>
        <v>0.70639694042110623</v>
      </c>
      <c r="EW63">
        <f>(BS63*CO63+BT63*CP63)/1000*('Oxidant Feed Composition'!$B$11*'Oxidant Feed Composition'!$O$20+'Oxidant Feed Composition'!$D$11*'Oxidant Feed Composition'!$O$21+'Oxidant Feed Composition'!$F$11*'Oxidant Feed Composition'!$O$27-'Oxidant Feed Composition'!$J$15*18.015)</f>
        <v>1.810648399727727</v>
      </c>
      <c r="EX63">
        <f>(CZ63*BX63+DC63*BZ63)*368.34/1000</f>
        <v>0.10207759126852348</v>
      </c>
      <c r="EY63">
        <f>'TEA Revised Non EYZ'!DP63</f>
        <v>4.999938342565946E-2</v>
      </c>
      <c r="EZ63">
        <f>SUM(EV63:EX63)-EY63</f>
        <v>2.5691235479916972</v>
      </c>
      <c r="FA63">
        <f>EZ63*0.33*60*7200</f>
        <v>366254.25300169637</v>
      </c>
      <c r="FB63">
        <f>'TEA Revised Non EYZ'!DS63</f>
        <v>1.2</v>
      </c>
      <c r="FC63">
        <v>0.5</v>
      </c>
      <c r="FD63">
        <f>'TEA Revised Non EYZ'!DT63</f>
        <v>1403.8281404593017</v>
      </c>
      <c r="FE63">
        <f>'TEA Revised Non EYZ'!DU63</f>
        <v>707.87568128545342</v>
      </c>
      <c r="FF63">
        <f>'TEA Revised Non EYZ'!DV63</f>
        <v>0.7</v>
      </c>
      <c r="FG63">
        <f>'TEA Revised Non EYZ'!DW63</f>
        <v>44032.441905260595</v>
      </c>
      <c r="FH63">
        <f>'TEA Revised Non EYZ'!DX63</f>
        <v>41526.098972294596</v>
      </c>
      <c r="FI63">
        <f>'TEA Revised Non EYZ'!DY63</f>
        <v>17581.614484237631</v>
      </c>
      <c r="FJ63">
        <f>'TEA Revised Non EYZ'!DZ63</f>
        <v>9313.4716969742931</v>
      </c>
      <c r="FK63">
        <f>'TEA Revised Non EYZ'!EA63</f>
        <v>9376.8610582600722</v>
      </c>
      <c r="FL63">
        <f>'TEA Revised Non EYZ'!EB63</f>
        <v>849.03525934978575</v>
      </c>
      <c r="FM63">
        <f>'TEA Revised Non EYZ'!EC63</f>
        <v>30856.554830271187</v>
      </c>
      <c r="FN63">
        <f>'TEA Revised Non EYZ'!ED63</f>
        <v>23276.449242449344</v>
      </c>
      <c r="FO63">
        <f>'TEA Revised Non EYZ'!EE63</f>
        <v>9854.9482679725043</v>
      </c>
      <c r="FP63">
        <f>'TEA Revised Non EYZ'!EF63</f>
        <v>5223.3471249318445</v>
      </c>
      <c r="FQ63">
        <f>'TEA Revised Non EYZ'!EG63</f>
        <v>5255.9724095853353</v>
      </c>
      <c r="FR63">
        <f>'TEA Revised Non EYZ'!EH63</f>
        <v>428.12321204144223</v>
      </c>
      <c r="FS63">
        <f>'TEA Revised Non EYZ'!EI63</f>
        <v>197574.91846362862</v>
      </c>
      <c r="FT63">
        <f>EG63*EH63</f>
        <v>2519.8785281986166</v>
      </c>
      <c r="FU63">
        <f>EG63*EI63</f>
        <v>4603.553377450221</v>
      </c>
      <c r="FV63">
        <f>FC63*(FT63+FU63)/(3.6*10^6)*3600*7200*0.07</f>
        <v>1795.1048402235074</v>
      </c>
      <c r="FW63">
        <f>('CAPEX+OPEX'!$C$39/7/100+0.03)*EL63</f>
        <v>90937.440033621562</v>
      </c>
      <c r="FX63">
        <f>('CAPEX+OPEX'!$C$39/7/100+0.03)*EM63</f>
        <v>166133.1506732291</v>
      </c>
      <c r="FY63">
        <f>SUM(FV63:FX63)</f>
        <v>258865.69554707417</v>
      </c>
      <c r="FZ63">
        <f>FY63+FA63+FS63+EU63</f>
        <v>11014381.986355431</v>
      </c>
      <c r="GA63">
        <f>FZ63+EO63</f>
        <v>12030624.978998408</v>
      </c>
      <c r="GB63">
        <f>GA63/(BK63*60*7200)</f>
        <v>0.27848668932866683</v>
      </c>
      <c r="GC63">
        <f>'TEA Revised Non EYZ'!EM63/'TEA Revised Non EYZ'!EK63*GA63</f>
        <v>933.03608688938061</v>
      </c>
      <c r="GD63">
        <f>'TEA Revised Non EYZ'!EN63/'TEA Revised Non EYZ'!EK63*GA63</f>
        <v>1705.2217424360927</v>
      </c>
    </row>
    <row r="64" spans="1:186">
      <c r="A64">
        <f>'TEA Revised Non EYZ'!A64</f>
        <v>9</v>
      </c>
      <c r="B64">
        <f>'TEA Revised Non EYZ'!B64</f>
        <v>1.54143585092054E-3</v>
      </c>
      <c r="C64">
        <f>'TEA Revised Non EYZ'!C64</f>
        <v>1.54143585092054E-3</v>
      </c>
      <c r="D64">
        <f>'TEA Revised Non EYZ'!D64</f>
        <v>3.4254130020456501E-4</v>
      </c>
      <c r="E64">
        <f>'TEA Revised Non EYZ'!E64</f>
        <v>0</v>
      </c>
      <c r="F64">
        <f>'TEA Revised Non EYZ'!F64</f>
        <v>0</v>
      </c>
      <c r="G64">
        <f>'TEA Revised Non EYZ'!G64</f>
        <v>0</v>
      </c>
      <c r="H64">
        <f>'TEA Revised Non EYZ'!H64</f>
        <v>1.7768596981705501E-5</v>
      </c>
      <c r="I64">
        <f>'TEA Revised Non EYZ'!I64</f>
        <v>1.5331283704498101E-9</v>
      </c>
      <c r="J64">
        <f>'TEA Revised Non EYZ'!J64</f>
        <v>3.3763247208936601E-4</v>
      </c>
      <c r="K64">
        <f>'TEA Revised Non EYZ'!K64</f>
        <v>0.13890601070001499</v>
      </c>
      <c r="L64">
        <f>'TEA Revised Non EYZ'!L64</f>
        <v>0.14052575540227799</v>
      </c>
      <c r="M64">
        <f>'TEA Revised Non EYZ'!M64</f>
        <v>4.4751616793740602E-4</v>
      </c>
      <c r="N64">
        <f>'TEA Revised Non EYZ'!N64</f>
        <v>-5.0090140368830299E-17</v>
      </c>
      <c r="O64">
        <f>'TEA Revised Non EYZ'!O64</f>
        <v>-6.2343793322261397E-15</v>
      </c>
      <c r="P64">
        <f>'TEA Revised Non EYZ'!P64</f>
        <v>1.7787691892340301E-20</v>
      </c>
      <c r="Q64">
        <f>'TEA Revised Non EYZ'!Q64</f>
        <v>0.10969051996097</v>
      </c>
      <c r="R64">
        <f>'TEA Revised Non EYZ'!R64</f>
        <v>98.566938318892298</v>
      </c>
      <c r="S64">
        <f>'TEA Revised Non EYZ'!S64</f>
        <v>500</v>
      </c>
      <c r="T64">
        <f>'TEA Revised Non EYZ'!T64</f>
        <v>95</v>
      </c>
      <c r="U64">
        <f>'TEA Revised Non EYZ'!U64</f>
        <v>1</v>
      </c>
      <c r="V64">
        <f>'TEA Revised Non EYZ'!V64</f>
        <v>0.1</v>
      </c>
      <c r="W64">
        <f>'TEA Revised Non EYZ'!W64</f>
        <v>91.165581160141301</v>
      </c>
      <c r="X64" t="str">
        <f>'TEA Revised Non EYZ'!X64</f>
        <v>ddFc</v>
      </c>
      <c r="Y64">
        <f>'TEA Revised Non EYZ'!Y64</f>
        <v>1</v>
      </c>
      <c r="Z64">
        <f>'TEA Revised Non EYZ'!Z64</f>
        <v>0.28318429382522198</v>
      </c>
      <c r="AA64">
        <f>'TEA Revised Non EYZ'!AA64</f>
        <v>0.56945642916197003</v>
      </c>
      <c r="AB64">
        <f>'TEA Revised Non EYZ'!AB64</f>
        <v>3.7698628972227502E-3</v>
      </c>
      <c r="AC64">
        <f>'TEA Revised Non EYZ'!AC64</f>
        <v>1822.2107908876901</v>
      </c>
      <c r="AD64">
        <f>'TEA Revised Non EYZ'!AD64</f>
        <v>2662.6059073104898</v>
      </c>
      <c r="AE64">
        <f>'TEA Revised Non EYZ'!AE64</f>
        <v>2401.5030938442701</v>
      </c>
      <c r="AF64">
        <f>'TEA Revised Non EYZ'!AF64</f>
        <v>6</v>
      </c>
      <c r="AG64">
        <f>'TEA Revised Non EYZ'!AG64</f>
        <v>1.6497485970141401E-3</v>
      </c>
      <c r="AH64">
        <f>'TEA Revised Non EYZ'!AH64</f>
        <v>1.6689858606617799E-3</v>
      </c>
      <c r="AI64">
        <f>'TEA Revised Non EYZ'!AI64</f>
        <v>5.3150268046377499E-6</v>
      </c>
      <c r="AJ64">
        <f>'TEA Revised Non EYZ'!AJ64</f>
        <v>0</v>
      </c>
      <c r="AK64">
        <f>'TEA Revised Non EYZ'!AK64</f>
        <v>0</v>
      </c>
      <c r="AL64">
        <f>'TEA Revised Non EYZ'!AL64</f>
        <v>0</v>
      </c>
      <c r="AM64">
        <f>'TEA Revised Non EYZ'!AM64</f>
        <v>1.6121184009261799E-3</v>
      </c>
      <c r="AN64">
        <f>'TEA Revised Non EYZ'!AN64</f>
        <v>7.9568883775184404E-5</v>
      </c>
      <c r="AO64">
        <f>'TEA Revised Non EYZ'!AO64</f>
        <v>5.27945332060777E-6</v>
      </c>
      <c r="AP64">
        <f>'TEA Revised Non EYZ'!AP64</f>
        <v>1.7562244702796299E-3</v>
      </c>
      <c r="AQ64">
        <f>'TEA Revised Non EYZ'!AQ64</f>
        <v>7.4179071024813498E-2</v>
      </c>
      <c r="AR64">
        <f>'TEA Revised Non EYZ'!AR64</f>
        <v>1.6602364494864499E-6</v>
      </c>
      <c r="AS64">
        <f>'TEA Revised Non EYZ'!AS64</f>
        <v>-2.22939071717331E-18</v>
      </c>
      <c r="AT64">
        <f>'TEA Revised Non EYZ'!AT64</f>
        <v>-1.51137782844479E-16</v>
      </c>
      <c r="AU64">
        <f>'TEA Revised Non EYZ'!AU64</f>
        <v>-1.53524721689841E-21</v>
      </c>
      <c r="AV64">
        <f>'TEA Revised Non EYZ'!AV64</f>
        <v>0.19789226694805201</v>
      </c>
      <c r="AW64">
        <f>'TEA Revised Non EYZ'!AW64</f>
        <v>99.330699818880703</v>
      </c>
      <c r="AX64">
        <f>'TEA Revised Non EYZ'!AX64</f>
        <v>500</v>
      </c>
      <c r="AY64">
        <f>'TEA Revised Non EYZ'!AY64</f>
        <v>95</v>
      </c>
      <c r="AZ64">
        <f>'TEA Revised Non EYZ'!AZ64</f>
        <v>0.92357542033771201</v>
      </c>
      <c r="BA64">
        <f>'TEA Revised Non EYZ'!BA64</f>
        <v>0.1</v>
      </c>
      <c r="BB64">
        <f>'TEA Revised Non EYZ'!BB64</f>
        <v>46.670617027200798</v>
      </c>
      <c r="BC64" t="str">
        <f>'TEA Revised Non EYZ'!BC64</f>
        <v>coeFc</v>
      </c>
      <c r="BD64">
        <f>'TEA Revised Non EYZ'!BD64</f>
        <v>1</v>
      </c>
      <c r="BE64">
        <f>'TEA Revised Non EYZ'!BE64</f>
        <v>1.8775014999999999E-2</v>
      </c>
      <c r="BF64">
        <f>'TEA Revised Non EYZ'!BF64</f>
        <v>0.10492961100000001</v>
      </c>
      <c r="BG64">
        <f>'TEA Revised Non EYZ'!BG64</f>
        <v>1.814625E-3</v>
      </c>
      <c r="BH64">
        <f>'TEA Revised Non EYZ'!BH64</f>
        <v>285.1951444</v>
      </c>
      <c r="BI64">
        <f>'TEA Revised Non EYZ'!BI64</f>
        <v>2169.8944889999998</v>
      </c>
      <c r="BJ64">
        <f>'TEA Revised Non EYZ'!BJ64</f>
        <v>866.49409060000005</v>
      </c>
      <c r="BK64">
        <f>'TEA Revised Non EYZ'!BK64</f>
        <v>100</v>
      </c>
      <c r="BL64">
        <f>'TEA Revised Non EYZ'!BL64</f>
        <v>10.969051996096999</v>
      </c>
      <c r="BM64">
        <f>'TEA Revised Non EYZ'!BM64</f>
        <v>92.357542033771196</v>
      </c>
      <c r="BN64">
        <f>'TEA Revised Non EYZ'!BN64</f>
        <v>19.789226694805201</v>
      </c>
      <c r="BO64">
        <f>'TEA Revised Non EYZ'!BO64</f>
        <v>241.31914391413397</v>
      </c>
      <c r="BP64">
        <f>'TEA Revised Non EYZ'!BP64</f>
        <v>316.62762711688322</v>
      </c>
      <c r="BQ64">
        <f>'TEA Revised Non EYZ'!BQ64</f>
        <v>24.1319143914134</v>
      </c>
      <c r="BR64">
        <f>'TEA Revised Non EYZ'!BR64</f>
        <v>31.662762711688323</v>
      </c>
      <c r="BS64">
        <f>'eLLE Bals'!CF64</f>
        <v>6.5814311976581994</v>
      </c>
      <c r="BT64">
        <f>'eLLE Bals'!CG64</f>
        <v>11.87353601688312</v>
      </c>
      <c r="BU64">
        <f>BM64</f>
        <v>92.357542033771196</v>
      </c>
      <c r="BV64">
        <f>BU64*(AM64*2+AN64*2+AO64*3)</f>
        <v>0.31394295100552511</v>
      </c>
      <c r="BW64">
        <f>BN64*BA64*(AP64*2+AQ64*2+AR64*3)</f>
        <v>0.30055001177652341</v>
      </c>
      <c r="BX64">
        <f>BV64/(2*V64*BL64+BV64)</f>
        <v>0.12518892696419567</v>
      </c>
      <c r="BY64">
        <f>BU64*BX64</f>
        <v>11.562141584258415</v>
      </c>
      <c r="BZ64">
        <f>BW64/(2*BN64*BA64+BW64)</f>
        <v>7.0578231240194148E-2</v>
      </c>
      <c r="CA64">
        <f>2*BN64*BA64/0.04</f>
        <v>98.946133474026013</v>
      </c>
      <c r="CB64">
        <f>(BS64+BL64)*2</f>
        <v>35.100966387510397</v>
      </c>
      <c r="CC64">
        <f>(BU64+BL64)*2</f>
        <v>206.65318805973638</v>
      </c>
      <c r="CD64">
        <f>(BT64+BN64)*2</f>
        <v>63.325525423376646</v>
      </c>
      <c r="CE64">
        <f>(CA64+BN64)*2</f>
        <v>237.47072033766244</v>
      </c>
      <c r="CF64">
        <f>'TEA Revised Non EYZ'!CB64</f>
        <v>3185.4126996665682</v>
      </c>
      <c r="CG64">
        <f>'TEA Revised Non EYZ'!CC64</f>
        <v>4179.484677942859</v>
      </c>
      <c r="CH64">
        <f>'TEA Revised Non EYZ'!CD64</f>
        <v>3848.5686313477631</v>
      </c>
      <c r="CI64">
        <f>'TEA Revised Non EYZ'!CE64</f>
        <v>32236.736786471469</v>
      </c>
      <c r="CJ64">
        <f>BL64*V64</f>
        <v>1.0969051996096999</v>
      </c>
      <c r="CK64">
        <f>CJ64/2*1.2</f>
        <v>0.65814311976581996</v>
      </c>
      <c r="CL64">
        <f>'eLLE Bals'!CB64*'Oxidant Feed Composition'!$N$20</f>
        <v>3.656350665365668E-2</v>
      </c>
      <c r="CM64">
        <f>'eLLE Bals'!CB64*'Oxidant Feed Composition'!$N$21</f>
        <v>1.8281753326828334</v>
      </c>
      <c r="CN64">
        <f>'eLLE Bals'!CB64*'Oxidant Feed Composition'!$N$22</f>
        <v>0.54845259980484995</v>
      </c>
      <c r="CO64">
        <f>CN64/CK64</f>
        <v>0.83333333333333326</v>
      </c>
      <c r="CP64">
        <f>CO64</f>
        <v>0.83333333333333326</v>
      </c>
      <c r="CQ64">
        <f>CL64/CO64</f>
        <v>4.3876207984388023E-2</v>
      </c>
      <c r="CR64">
        <f>CM64/CO64</f>
        <v>2.1938103992194002</v>
      </c>
      <c r="CS64">
        <f>BN64*BA64</f>
        <v>1.9789226694805202</v>
      </c>
      <c r="CT64">
        <f>CS64/2*1.2</f>
        <v>1.1873536016883122</v>
      </c>
      <c r="CU64">
        <f>'eLLE Bals'!CC64*'Oxidant Feed Composition'!$N$20</f>
        <v>6.5964088982684035E-2</v>
      </c>
      <c r="CV64">
        <f>'eLLE Bals'!CC64*'Oxidant Feed Composition'!$N$21</f>
        <v>3.2982044491342006</v>
      </c>
      <c r="CW64">
        <f>'eLLE Bals'!CC64*'Oxidant Feed Composition'!$N$22</f>
        <v>0.9894613347402601</v>
      </c>
      <c r="CX64">
        <f>CU64/CP64</f>
        <v>7.9156906779220854E-2</v>
      </c>
      <c r="CY64">
        <f>CV64/CP64</f>
        <v>3.9578453389610413</v>
      </c>
      <c r="CZ64">
        <f>CJ64</f>
        <v>1.0969051996096999</v>
      </c>
      <c r="DA64">
        <f>'eLLE Bals'!BQ64</f>
        <v>2.1938103992193998</v>
      </c>
      <c r="DB64">
        <f>'eLLE Bals'!BU64</f>
        <v>5.4712829757209347</v>
      </c>
      <c r="DC64">
        <f>CS64</f>
        <v>1.9789226694805202</v>
      </c>
      <c r="DD64">
        <f>'eLLE Bals'!BX64</f>
        <v>3.9578453389610404</v>
      </c>
      <c r="DE64">
        <f>'eLLE Bals'!CA64</f>
        <v>22.101943570285687</v>
      </c>
      <c r="DF64">
        <f>2*2*(CJ64*'Reagent cost'!$C$36*122.44/1000*0.5+CK64*'Oxidant Feed Composition'!$N$26+CQ64*'Reagent cost'!$C$34+CR64*'Reagent cost'!$C$35)</f>
        <v>73.683823681221483</v>
      </c>
      <c r="DG64">
        <f>2*2*(CS64*'Reagent cost'!$C$36*122.44/1000*0.5+CT64*'Oxidant Feed Composition'!$N$26+CX64*'Reagent cost'!$C$34+CY64*'Reagent cost'!$C$35)</f>
        <v>132.93271752988176</v>
      </c>
      <c r="DH64">
        <f>(AF64+3)*2*(CZ64*'Reagent cost'!$C$38*0.5+DA64*'Reagent cost'!$C$39+DB64*'Reagent cost'!$C$36*122.44/1000)</f>
        <v>897.86941261856578</v>
      </c>
      <c r="DI64">
        <f>3*2*(DC64*'Reagent cost'!$C$38*0.5+DD64*'Reagent cost'!$C$39+DE64*'Reagent cost'!$C$36*122.44/1000)</f>
        <v>1174.5068224145648</v>
      </c>
      <c r="DJ64">
        <f>7963.6*(CB64/1000)^0.6*1.7*('CAPEX+OPEX'!$G$116/'CAPEX+OPEX'!$G$115)</f>
        <v>2140.0916471558648</v>
      </c>
      <c r="DK64">
        <f>7963.6*(CC64/1000)^0.6*1.7*('CAPEX+OPEX'!$G$116/'CAPEX+OPEX'!$G$115)</f>
        <v>6199.9215410229135</v>
      </c>
      <c r="DL64">
        <f>7963.6*(CD64/1000)^0.6*1.7*('CAPEX+OPEX'!$G$116/'CAPEX+OPEX'!$G$115)</f>
        <v>3049.2161337270823</v>
      </c>
      <c r="DM64">
        <f>7963.6*(CE64/1000)^0.6*1.7*('CAPEX+OPEX'!$G$116/'CAPEX+OPEX'!$G$115)</f>
        <v>6739.1786551296318</v>
      </c>
      <c r="DN64">
        <f>'TEA Revised Non EYZ'!CM64</f>
        <v>39625.826528698344</v>
      </c>
      <c r="DO64">
        <f>'TEA Revised Non EYZ'!CN64</f>
        <v>4586243.4239371875</v>
      </c>
      <c r="DP64">
        <f>'TEA Revised Non EYZ'!CO64</f>
        <v>11794834.586807497</v>
      </c>
      <c r="DQ64">
        <f>'TEA Revised Non EYZ'!CP64</f>
        <v>2275209.1661185985</v>
      </c>
      <c r="DR64">
        <f>'TEA Revised Non EYZ'!CQ64</f>
        <v>14083914.336508472</v>
      </c>
      <c r="DS64">
        <f>'TEA Revised Non EYZ'!CR64</f>
        <v>1662824.8986326549</v>
      </c>
      <c r="DT64">
        <f>'TEA Revised Non EYZ'!CS64</f>
        <v>800322.53402245743</v>
      </c>
      <c r="DU64">
        <f>'TEA Revised Non EYZ'!CT64</f>
        <v>2058257.9318883498</v>
      </c>
      <c r="DV64">
        <f>'TEA Revised Non EYZ'!CU64</f>
        <v>397035.437708179</v>
      </c>
      <c r="DW64">
        <f>'TEA Revised Non EYZ'!CV64</f>
        <v>2457713.856163613</v>
      </c>
      <c r="DX64">
        <f>'TEA Revised Non EYZ'!CW64</f>
        <v>290171.30437591631</v>
      </c>
      <c r="DY64">
        <f>'TEA Revised Non EYZ'!CX64</f>
        <v>6003501.064158516</v>
      </c>
      <c r="DZ64">
        <f>'TEA Revised Non EYZ'!CY64</f>
        <v>610188.43601728987</v>
      </c>
      <c r="EA64">
        <f>'TEA Revised Non EYZ'!CZ64</f>
        <v>1569273.8052329933</v>
      </c>
      <c r="EB64">
        <f>'TEA Revised Non EYZ'!DA64</f>
        <v>302710.99772856798</v>
      </c>
      <c r="EC64">
        <f>'TEA Revised Non EYZ'!DB64</f>
        <v>1873830.2500781715</v>
      </c>
      <c r="ED64">
        <f>'TEA Revised Non EYZ'!DC64</f>
        <v>221234.77331611529</v>
      </c>
      <c r="EE64">
        <f>'TEA Revised Non EYZ'!DD64</f>
        <v>4577238.2623731382</v>
      </c>
      <c r="EF64">
        <v>0.7</v>
      </c>
      <c r="EG64">
        <v>100</v>
      </c>
      <c r="EH64">
        <f>96485*BL64*V64/EF64/EG64/60</f>
        <v>25.198785281986165</v>
      </c>
      <c r="EI64">
        <f>96485*BN64*BA64/EF64/EG64/60</f>
        <v>45.461036610673332</v>
      </c>
      <c r="EJ64">
        <f>EH64*('CAPEX+OPEX'!$O$25+'CAPEX+OPEX'!$O$26)</f>
        <v>803135.68450746301</v>
      </c>
      <c r="EK64">
        <f>EI64*('CAPEX+OPEX'!$O$25+'CAPEX+OPEX'!$O$26)</f>
        <v>1448934.1588553805</v>
      </c>
      <c r="EL64">
        <f>EJ64*1.12/0.6*'CAPEX+OPEX'!$G$116/'CAPEX+OPEX'!$G$115</f>
        <v>1768228.0006537526</v>
      </c>
      <c r="EM64">
        <f>EK64*1.12/0.6*'CAPEX+OPEX'!$G$116/'CAPEX+OPEX'!$G$115</f>
        <v>3190053.6860879189</v>
      </c>
      <c r="EN64">
        <f>EL64+EM64+DY64+EE64+1.15*(SUM(DF64:DM64)+SUM(CF64:CI64))</f>
        <v>15612457.25735434</v>
      </c>
      <c r="EO64">
        <f>EN64/15</f>
        <v>1040830.4838236227</v>
      </c>
      <c r="EP64">
        <f>('eLLE Bals'!CB64+'eLLE Bals'!CC64)*'Oxidant Feed Composition'!$N$29*60*7200</f>
        <v>7672213.3912258493</v>
      </c>
      <c r="EQ64" s="53">
        <f>('eLLE Bals'!BR64+'eLLE Bals'!BY64)*'Reagent cost'!$C$38*60*7200*0.5</f>
        <v>252714.57388760467</v>
      </c>
      <c r="ER64">
        <f>'TEA Revised Non EYZ'!DI64</f>
        <v>504921.59999999998</v>
      </c>
      <c r="ES64">
        <f>'TEA Revised Non EYZ'!DJ64</f>
        <v>73.64897377609428</v>
      </c>
      <c r="ET64">
        <f>'TEA Revised Non EYZ'!DK64</f>
        <v>721.70610835638468</v>
      </c>
      <c r="EU64">
        <f>1.2*SUM(EP64:ET64)</f>
        <v>10116773.904234702</v>
      </c>
      <c r="EV64">
        <f>'TEA Revised Non EYZ'!DM64</f>
        <v>0.70639694042110623</v>
      </c>
      <c r="EW64">
        <f>(BS64*CO64+BT64*CP64)/1000*('Oxidant Feed Composition'!$B$11*'Oxidant Feed Composition'!$O$20+'Oxidant Feed Composition'!$D$11*'Oxidant Feed Composition'!$O$21+'Oxidant Feed Composition'!$F$11*'Oxidant Feed Composition'!$O$27-'Oxidant Feed Composition'!$J$15*18.015)</f>
        <v>1.796045714054407</v>
      </c>
      <c r="EX64">
        <f>(CZ64*BX64+DC64*BZ64)*368.34/1000</f>
        <v>0.10202621912713671</v>
      </c>
      <c r="EY64">
        <f>'TEA Revised Non EYZ'!DP64</f>
        <v>4.999938342565946E-2</v>
      </c>
      <c r="EZ64">
        <f>SUM(EV64:EX64)-EY64</f>
        <v>2.5544694901769907</v>
      </c>
      <c r="FA64">
        <f>EZ64*0.33*60*7200</f>
        <v>364165.17051963182</v>
      </c>
      <c r="FB64">
        <f>'TEA Revised Non EYZ'!DS64</f>
        <v>1.2</v>
      </c>
      <c r="FC64">
        <v>0.5</v>
      </c>
      <c r="FD64">
        <f>'TEA Revised Non EYZ'!DT64</f>
        <v>1405.2937722269342</v>
      </c>
      <c r="FE64">
        <f>'TEA Revised Non EYZ'!DU64</f>
        <v>706.41004951793764</v>
      </c>
      <c r="FF64">
        <f>'TEA Revised Non EYZ'!DV64</f>
        <v>0.7</v>
      </c>
      <c r="FG64">
        <f>'TEA Revised Non EYZ'!DW64</f>
        <v>44032.441905260595</v>
      </c>
      <c r="FH64">
        <f>'TEA Revised Non EYZ'!DX64</f>
        <v>41526.098972294596</v>
      </c>
      <c r="FI64">
        <f>'TEA Revised Non EYZ'!DY64</f>
        <v>17581.614484237631</v>
      </c>
      <c r="FJ64">
        <f>'TEA Revised Non EYZ'!DZ64</f>
        <v>9313.4716969742931</v>
      </c>
      <c r="FK64">
        <f>'TEA Revised Non EYZ'!EA64</f>
        <v>9376.8610582600722</v>
      </c>
      <c r="FL64">
        <f>'TEA Revised Non EYZ'!EB64</f>
        <v>849.92167344284985</v>
      </c>
      <c r="FM64">
        <f>'TEA Revised Non EYZ'!EC64</f>
        <v>33427.93439946045</v>
      </c>
      <c r="FN64">
        <f>'TEA Revised Non EYZ'!ED64</f>
        <v>27155.857449524232</v>
      </c>
      <c r="FO64">
        <f>'TEA Revised Non EYZ'!EE64</f>
        <v>11497.439645967921</v>
      </c>
      <c r="FP64">
        <f>'TEA Revised Non EYZ'!EF64</f>
        <v>6093.9049790871513</v>
      </c>
      <c r="FQ64">
        <f>'TEA Revised Non EYZ'!EG64</f>
        <v>6131.9678111828907</v>
      </c>
      <c r="FR64">
        <f>'TEA Revised Non EYZ'!EH64</f>
        <v>427.23679794844873</v>
      </c>
      <c r="FS64">
        <f>'TEA Revised Non EYZ'!EI64</f>
        <v>207414.75087364111</v>
      </c>
      <c r="FT64">
        <f>EG64*EH64</f>
        <v>2519.8785281986166</v>
      </c>
      <c r="FU64">
        <f>EG64*EI64</f>
        <v>4546.1036610673336</v>
      </c>
      <c r="FV64">
        <f>FC64*(FT64+FU64)/(3.6*10^6)*3600*7200*0.07</f>
        <v>1780.6275116950194</v>
      </c>
      <c r="FW64">
        <f>('CAPEX+OPEX'!$C$39/7/100+0.03)*EL64</f>
        <v>90937.440033621562</v>
      </c>
      <c r="FX64">
        <f>('CAPEX+OPEX'!$C$39/7/100+0.03)*EM64</f>
        <v>164059.90385595011</v>
      </c>
      <c r="FY64">
        <f>SUM(FV64:FX64)</f>
        <v>256777.9714012667</v>
      </c>
      <c r="FZ64">
        <f>FY64+FA64+FS64+EU64</f>
        <v>10945131.797029242</v>
      </c>
      <c r="GA64">
        <f>FZ64+EO64</f>
        <v>11985962.280852865</v>
      </c>
      <c r="GB64">
        <f>GA64/(BK64*60*7200)</f>
        <v>0.27745283057529779</v>
      </c>
      <c r="GC64">
        <f>'TEA Revised Non EYZ'!EM64/'TEA Revised Non EYZ'!EK64*GA64</f>
        <v>928.60218386820668</v>
      </c>
      <c r="GD64">
        <f>'TEA Revised Non EYZ'!EN64/'TEA Revised Non EYZ'!EK64*GA64</f>
        <v>1702.1410549217746</v>
      </c>
    </row>
    <row r="65" spans="1:186">
      <c r="A65">
        <f>'TEA Revised Non EYZ'!A65</f>
        <v>9</v>
      </c>
      <c r="B65">
        <f>'TEA Revised Non EYZ'!B65</f>
        <v>1.54143585092054E-3</v>
      </c>
      <c r="C65">
        <f>'TEA Revised Non EYZ'!C65</f>
        <v>1.54143585092054E-3</v>
      </c>
      <c r="D65">
        <f>'TEA Revised Non EYZ'!D65</f>
        <v>3.4254130020456501E-4</v>
      </c>
      <c r="E65">
        <f>'TEA Revised Non EYZ'!E65</f>
        <v>0</v>
      </c>
      <c r="F65">
        <f>'TEA Revised Non EYZ'!F65</f>
        <v>0</v>
      </c>
      <c r="G65">
        <f>'TEA Revised Non EYZ'!G65</f>
        <v>0</v>
      </c>
      <c r="H65">
        <f>'TEA Revised Non EYZ'!H65</f>
        <v>1.7768596981705501E-5</v>
      </c>
      <c r="I65">
        <f>'TEA Revised Non EYZ'!I65</f>
        <v>1.5331283704498101E-9</v>
      </c>
      <c r="J65">
        <f>'TEA Revised Non EYZ'!J65</f>
        <v>3.3763247208936601E-4</v>
      </c>
      <c r="K65">
        <f>'TEA Revised Non EYZ'!K65</f>
        <v>0.13890601070001499</v>
      </c>
      <c r="L65">
        <f>'TEA Revised Non EYZ'!L65</f>
        <v>0.14052575540227799</v>
      </c>
      <c r="M65">
        <f>'TEA Revised Non EYZ'!M65</f>
        <v>4.4751616793740602E-4</v>
      </c>
      <c r="N65">
        <f>'TEA Revised Non EYZ'!N65</f>
        <v>-5.0090140368830299E-17</v>
      </c>
      <c r="O65">
        <f>'TEA Revised Non EYZ'!O65</f>
        <v>-6.2343793322261397E-15</v>
      </c>
      <c r="P65">
        <f>'TEA Revised Non EYZ'!P65</f>
        <v>1.7787691892340301E-20</v>
      </c>
      <c r="Q65">
        <f>'TEA Revised Non EYZ'!Q65</f>
        <v>0.10969051996097</v>
      </c>
      <c r="R65">
        <f>'TEA Revised Non EYZ'!R65</f>
        <v>98.566938318892298</v>
      </c>
      <c r="S65">
        <f>'TEA Revised Non EYZ'!S65</f>
        <v>500</v>
      </c>
      <c r="T65">
        <f>'TEA Revised Non EYZ'!T65</f>
        <v>95</v>
      </c>
      <c r="U65">
        <f>'TEA Revised Non EYZ'!U65</f>
        <v>1</v>
      </c>
      <c r="V65">
        <f>'TEA Revised Non EYZ'!V65</f>
        <v>0.1</v>
      </c>
      <c r="W65">
        <f>'TEA Revised Non EYZ'!W65</f>
        <v>91.165581160141301</v>
      </c>
      <c r="X65" t="str">
        <f>'TEA Revised Non EYZ'!X65</f>
        <v>ddFc</v>
      </c>
      <c r="Y65">
        <f>'TEA Revised Non EYZ'!Y65</f>
        <v>1</v>
      </c>
      <c r="Z65">
        <f>'TEA Revised Non EYZ'!Z65</f>
        <v>0.28318429382522198</v>
      </c>
      <c r="AA65">
        <f>'TEA Revised Non EYZ'!AA65</f>
        <v>0.56945642916197003</v>
      </c>
      <c r="AB65">
        <f>'TEA Revised Non EYZ'!AB65</f>
        <v>3.7698628972227502E-3</v>
      </c>
      <c r="AC65">
        <f>'TEA Revised Non EYZ'!AC65</f>
        <v>1822.2107908876901</v>
      </c>
      <c r="AD65">
        <f>'TEA Revised Non EYZ'!AD65</f>
        <v>2662.6059073104898</v>
      </c>
      <c r="AE65">
        <f>'TEA Revised Non EYZ'!AE65</f>
        <v>2401.5030938442701</v>
      </c>
      <c r="AF65">
        <f>'TEA Revised Non EYZ'!AF65</f>
        <v>7</v>
      </c>
      <c r="AG65">
        <f>'TEA Revised Non EYZ'!AG65</f>
        <v>1.6497485970141401E-3</v>
      </c>
      <c r="AH65">
        <f>'TEA Revised Non EYZ'!AH65</f>
        <v>1.6689858606617799E-3</v>
      </c>
      <c r="AI65">
        <f>'TEA Revised Non EYZ'!AI65</f>
        <v>5.3150268046377499E-6</v>
      </c>
      <c r="AJ65">
        <f>'TEA Revised Non EYZ'!AJ65</f>
        <v>0</v>
      </c>
      <c r="AK65">
        <f>'TEA Revised Non EYZ'!AK65</f>
        <v>0</v>
      </c>
      <c r="AL65">
        <f>'TEA Revised Non EYZ'!AL65</f>
        <v>0</v>
      </c>
      <c r="AM65">
        <f>'TEA Revised Non EYZ'!AM65</f>
        <v>1.6126074648206801E-3</v>
      </c>
      <c r="AN65">
        <f>'TEA Revised Non EYZ'!AN65</f>
        <v>7.9594180322832604E-5</v>
      </c>
      <c r="AO65">
        <f>'TEA Revised Non EYZ'!AO65</f>
        <v>5.2798967729928503E-6</v>
      </c>
      <c r="AP65">
        <f>'TEA Revised Non EYZ'!AP65</f>
        <v>1.73979110112154E-3</v>
      </c>
      <c r="AQ65">
        <f>'TEA Revised Non EYZ'!AQ65</f>
        <v>7.4451405715099297E-2</v>
      </c>
      <c r="AR65">
        <f>'TEA Revised Non EYZ'!AR65</f>
        <v>1.64558571126931E-6</v>
      </c>
      <c r="AS65">
        <f>'TEA Revised Non EYZ'!AS65</f>
        <v>-4.4791102250807402E-18</v>
      </c>
      <c r="AT65">
        <f>'TEA Revised Non EYZ'!AT65</f>
        <v>-1.7100036664441299E-15</v>
      </c>
      <c r="AU65">
        <f>'TEA Revised Non EYZ'!AU65</f>
        <v>-4.5064799771888903E-21</v>
      </c>
      <c r="AV65">
        <f>'TEA Revised Non EYZ'!AV65</f>
        <v>0.19716526171033899</v>
      </c>
      <c r="AW65">
        <f>'TEA Revised Non EYZ'!AW65</f>
        <v>99.339043189504693</v>
      </c>
      <c r="AX65">
        <f>'TEA Revised Non EYZ'!AX65</f>
        <v>500</v>
      </c>
      <c r="AY65">
        <f>'TEA Revised Non EYZ'!AY65</f>
        <v>95</v>
      </c>
      <c r="AZ65">
        <f>'TEA Revised Non EYZ'!AZ65</f>
        <v>0.92357542033771201</v>
      </c>
      <c r="BA65">
        <f>'TEA Revised Non EYZ'!BA65</f>
        <v>0.1</v>
      </c>
      <c r="BB65">
        <f>'TEA Revised Non EYZ'!BB65</f>
        <v>46.842705065081802</v>
      </c>
      <c r="BC65" t="str">
        <f>'TEA Revised Non EYZ'!BC65</f>
        <v>coeFc</v>
      </c>
      <c r="BD65">
        <f>'TEA Revised Non EYZ'!BD65</f>
        <v>1</v>
      </c>
      <c r="BE65">
        <f>'TEA Revised Non EYZ'!BE65</f>
        <v>1.8775014999999999E-2</v>
      </c>
      <c r="BF65">
        <f>'TEA Revised Non EYZ'!BF65</f>
        <v>0.10492961100000001</v>
      </c>
      <c r="BG65">
        <f>'TEA Revised Non EYZ'!BG65</f>
        <v>1.814625E-3</v>
      </c>
      <c r="BH65">
        <f>'TEA Revised Non EYZ'!BH65</f>
        <v>285.1951444</v>
      </c>
      <c r="BI65">
        <f>'TEA Revised Non EYZ'!BI65</f>
        <v>2169.8944889999998</v>
      </c>
      <c r="BJ65">
        <f>'TEA Revised Non EYZ'!BJ65</f>
        <v>866.49409060000005</v>
      </c>
      <c r="BK65">
        <f>'TEA Revised Non EYZ'!BK65</f>
        <v>100</v>
      </c>
      <c r="BL65">
        <f>'TEA Revised Non EYZ'!BL65</f>
        <v>10.969051996096999</v>
      </c>
      <c r="BM65">
        <f>'TEA Revised Non EYZ'!BM65</f>
        <v>92.357542033771196</v>
      </c>
      <c r="BN65">
        <f>'TEA Revised Non EYZ'!BN65</f>
        <v>19.716526171033898</v>
      </c>
      <c r="BO65">
        <f>'TEA Revised Non EYZ'!BO65</f>
        <v>241.31914391413397</v>
      </c>
      <c r="BP65">
        <f>'TEA Revised Non EYZ'!BP65</f>
        <v>354.89747107861018</v>
      </c>
      <c r="BQ65">
        <f>'TEA Revised Non EYZ'!BQ65</f>
        <v>24.1319143914134</v>
      </c>
      <c r="BR65">
        <f>'TEA Revised Non EYZ'!BR65</f>
        <v>35.489747107861021</v>
      </c>
      <c r="BS65">
        <f>'eLLE Bals'!CF65</f>
        <v>6.5814311976581994</v>
      </c>
      <c r="BT65">
        <f>'eLLE Bals'!CG65</f>
        <v>11.829915702620339</v>
      </c>
      <c r="BU65">
        <f>BM65</f>
        <v>92.357542033771196</v>
      </c>
      <c r="BV65">
        <f>BU65*(AM65*2+AN65*2+AO65*3)</f>
        <v>0.31403808400635447</v>
      </c>
      <c r="BW65">
        <f>BN65*BA65*(AP65*2+AQ65*2+AR65*3)</f>
        <v>0.30045487877600546</v>
      </c>
      <c r="BX65">
        <f>BV65/(2*V65*BL65+BV65)</f>
        <v>0.12522211214387988</v>
      </c>
      <c r="BY65">
        <f>BU65*BX65</f>
        <v>11.565206485885996</v>
      </c>
      <c r="BZ65">
        <f>BW65/(2*BN65*BA65+BW65)</f>
        <v>7.0799213616442286E-2</v>
      </c>
      <c r="CA65">
        <f>2*BN65*BA65/0.04</f>
        <v>98.582630855169498</v>
      </c>
      <c r="CB65">
        <f>(BS65+BL65)*2</f>
        <v>35.100966387510397</v>
      </c>
      <c r="CC65">
        <f>(BU65+BL65)*2</f>
        <v>206.65318805973638</v>
      </c>
      <c r="CD65">
        <f>(BT65+BN65)*2</f>
        <v>63.092883747308477</v>
      </c>
      <c r="CE65">
        <f>(CA65+BN65)*2</f>
        <v>236.59831405240681</v>
      </c>
      <c r="CF65">
        <f>'TEA Revised Non EYZ'!CB65</f>
        <v>3185.4126996665682</v>
      </c>
      <c r="CG65">
        <f>'TEA Revised Non EYZ'!CC65</f>
        <v>4684.6466182376553</v>
      </c>
      <c r="CH65">
        <f>'TEA Revised Non EYZ'!CD65</f>
        <v>3848.5686313477631</v>
      </c>
      <c r="CI65">
        <f>'TEA Revised Non EYZ'!CE65</f>
        <v>36133.095729900335</v>
      </c>
      <c r="CJ65">
        <f>BL65*V65</f>
        <v>1.0969051996096999</v>
      </c>
      <c r="CK65">
        <f>CJ65/2*1.2</f>
        <v>0.65814311976581996</v>
      </c>
      <c r="CL65">
        <f>'eLLE Bals'!CB65*'Oxidant Feed Composition'!$N$20</f>
        <v>3.656350665365668E-2</v>
      </c>
      <c r="CM65">
        <f>'eLLE Bals'!CB65*'Oxidant Feed Composition'!$N$21</f>
        <v>1.8281753326828334</v>
      </c>
      <c r="CN65">
        <f>'eLLE Bals'!CB65*'Oxidant Feed Composition'!$N$22</f>
        <v>0.54845259980484995</v>
      </c>
      <c r="CO65">
        <f>CN65/CK65</f>
        <v>0.83333333333333326</v>
      </c>
      <c r="CP65">
        <f>CO65</f>
        <v>0.83333333333333326</v>
      </c>
      <c r="CQ65">
        <f>CL65/CO65</f>
        <v>4.3876207984388023E-2</v>
      </c>
      <c r="CR65">
        <f>CM65/CO65</f>
        <v>2.1938103992194002</v>
      </c>
      <c r="CS65">
        <f>BN65*BA65</f>
        <v>1.9716526171033899</v>
      </c>
      <c r="CT65">
        <f>CS65/2*1.2</f>
        <v>1.1829915702620339</v>
      </c>
      <c r="CU65">
        <f>'eLLE Bals'!CC65*'Oxidant Feed Composition'!$N$20</f>
        <v>6.5721753903446353E-2</v>
      </c>
      <c r="CV65">
        <f>'eLLE Bals'!CC65*'Oxidant Feed Composition'!$N$21</f>
        <v>3.2860876951723168</v>
      </c>
      <c r="CW65">
        <f>'eLLE Bals'!CC65*'Oxidant Feed Composition'!$N$22</f>
        <v>0.98582630855169495</v>
      </c>
      <c r="CX65">
        <f>CU65/CP65</f>
        <v>7.8866104684135629E-2</v>
      </c>
      <c r="CY65">
        <f>CV65/CP65</f>
        <v>3.9433052342067807</v>
      </c>
      <c r="CZ65">
        <f>CJ65</f>
        <v>1.0969051996096999</v>
      </c>
      <c r="DA65">
        <f>'eLLE Bals'!BQ65</f>
        <v>2.1938103992193998</v>
      </c>
      <c r="DB65">
        <f>'eLLE Bals'!BU65</f>
        <v>5.4689609537406412</v>
      </c>
      <c r="DC65">
        <f>CS65</f>
        <v>1.9716526171033899</v>
      </c>
      <c r="DD65">
        <f>'eLLE Bals'!BX65</f>
        <v>3.9433052342067798</v>
      </c>
      <c r="DE65">
        <f>'eLLE Bals'!CA65</f>
        <v>21.933552271766914</v>
      </c>
      <c r="DF65">
        <f>2*2*(CJ65*'Reagent cost'!$C$36*122.44/1000*0.5+CK65*'Oxidant Feed Composition'!$N$26+CQ65*'Reagent cost'!$C$34+CR65*'Reagent cost'!$C$35)</f>
        <v>73.683823681221483</v>
      </c>
      <c r="DG65">
        <f>2*2*(CS65*'Reagent cost'!$C$36*122.44/1000*0.5+CT65*'Oxidant Feed Composition'!$N$26+CX65*'Reagent cost'!$C$34+CY65*'Reagent cost'!$C$35)</f>
        <v>132.44435695168383</v>
      </c>
      <c r="DH65">
        <f>(AF65+3)*2*(CZ65*'Reagent cost'!$C$38*0.5+DA65*'Reagent cost'!$C$39+DB65*'Reagent cost'!$C$36*122.44/1000)</f>
        <v>997.23112354371767</v>
      </c>
      <c r="DI65">
        <f>3*2*(DC65*'Reagent cost'!$C$38*0.5+DD65*'Reagent cost'!$C$39+DE65*'Reagent cost'!$C$36*122.44/1000)</f>
        <v>1165.6683146293299</v>
      </c>
      <c r="DJ65">
        <f>7963.6*(CB65/1000)^0.6*1.7*('CAPEX+OPEX'!$G$116/'CAPEX+OPEX'!$G$115)</f>
        <v>2140.0916471558648</v>
      </c>
      <c r="DK65">
        <f>7963.6*(CC65/1000)^0.6*1.7*('CAPEX+OPEX'!$G$116/'CAPEX+OPEX'!$G$115)</f>
        <v>6199.9215410229135</v>
      </c>
      <c r="DL65">
        <f>7963.6*(CD65/1000)^0.6*1.7*('CAPEX+OPEX'!$G$116/'CAPEX+OPEX'!$G$115)</f>
        <v>3042.489965836156</v>
      </c>
      <c r="DM65">
        <f>7963.6*(CE65/1000)^0.6*1.7*('CAPEX+OPEX'!$G$116/'CAPEX+OPEX'!$G$115)</f>
        <v>6724.3129174798914</v>
      </c>
      <c r="DN65">
        <f>'TEA Revised Non EYZ'!CM65</f>
        <v>39625.826528698344</v>
      </c>
      <c r="DO65">
        <f>'TEA Revised Non EYZ'!CN65</f>
        <v>4586243.4239371875</v>
      </c>
      <c r="DP65">
        <f>'TEA Revised Non EYZ'!CO65</f>
        <v>11794834.586807497</v>
      </c>
      <c r="DQ65">
        <f>'TEA Revised Non EYZ'!CP65</f>
        <v>2275209.1661185985</v>
      </c>
      <c r="DR65">
        <f>'TEA Revised Non EYZ'!CQ65</f>
        <v>14083914.336508472</v>
      </c>
      <c r="DS65">
        <f>'TEA Revised Non EYZ'!CR65</f>
        <v>1662824.8986326549</v>
      </c>
      <c r="DT65">
        <f>'TEA Revised Non EYZ'!CS65</f>
        <v>800322.53402245743</v>
      </c>
      <c r="DU65">
        <f>'TEA Revised Non EYZ'!CT65</f>
        <v>2058257.9318883498</v>
      </c>
      <c r="DV65">
        <f>'TEA Revised Non EYZ'!CU65</f>
        <v>397035.437708179</v>
      </c>
      <c r="DW65">
        <f>'TEA Revised Non EYZ'!CV65</f>
        <v>2457713.856163613</v>
      </c>
      <c r="DX65">
        <f>'TEA Revised Non EYZ'!CW65</f>
        <v>290171.30437591631</v>
      </c>
      <c r="DY65">
        <f>'TEA Revised Non EYZ'!CX65</f>
        <v>6003501.064158516</v>
      </c>
      <c r="DZ65">
        <f>'TEA Revised Non EYZ'!CY65</f>
        <v>661087.79766298935</v>
      </c>
      <c r="EA65">
        <f>'TEA Revised Non EYZ'!CZ65</f>
        <v>1700176.0482434032</v>
      </c>
      <c r="EB65">
        <f>'TEA Revised Non EYZ'!DA65</f>
        <v>327961.88030524191</v>
      </c>
      <c r="EC65">
        <f>'TEA Revised Non EYZ'!DB65</f>
        <v>2030137.3151282831</v>
      </c>
      <c r="ED65">
        <f>'TEA Revised Non EYZ'!DC65</f>
        <v>239689.25077085066</v>
      </c>
      <c r="EE65">
        <f>'TEA Revised Non EYZ'!DD65</f>
        <v>4959052.2921107681</v>
      </c>
      <c r="EF65">
        <v>0.7</v>
      </c>
      <c r="EG65">
        <v>100</v>
      </c>
      <c r="EH65">
        <f>96485*BL65*V65/EF65/EG65/60</f>
        <v>25.198785281986165</v>
      </c>
      <c r="EI65">
        <f>96485*BN65*BA65/EF65/EG65/60</f>
        <v>45.294024466957282</v>
      </c>
      <c r="EJ65">
        <f>EH65*('CAPEX+OPEX'!$O$25+'CAPEX+OPEX'!$O$26)</f>
        <v>803135.68450746301</v>
      </c>
      <c r="EK65">
        <f>EI65*('CAPEX+OPEX'!$O$25+'CAPEX+OPEX'!$O$26)</f>
        <v>1443611.1478108624</v>
      </c>
      <c r="EL65">
        <f>EJ65*1.12/0.6*'CAPEX+OPEX'!$G$116/'CAPEX+OPEX'!$G$115</f>
        <v>1768228.0006537526</v>
      </c>
      <c r="EM65">
        <f>EK65*1.12/0.6*'CAPEX+OPEX'!$G$116/'CAPEX+OPEX'!$G$115</f>
        <v>3178334.2501840368</v>
      </c>
      <c r="EN65">
        <f>EL65+EM65+DY65+EE65+1.15*(SUM(DF65:DM65)+SUM(CF65:CI65))</f>
        <v>15987692.309581945</v>
      </c>
      <c r="EO65">
        <f>EN65/15</f>
        <v>1065846.1539721296</v>
      </c>
      <c r="EP65">
        <f>('eLLE Bals'!CB65+'eLLE Bals'!CC65)*'Oxidant Feed Composition'!$N$29*60*7200</f>
        <v>7654079.2837345768</v>
      </c>
      <c r="EQ65" s="53">
        <f>('eLLE Bals'!BR65+'eLLE Bals'!BY65)*'Reagent cost'!$C$38*60*7200*0.5</f>
        <v>252677.16159043688</v>
      </c>
      <c r="ER65">
        <f>'TEA Revised Non EYZ'!DI65</f>
        <v>504921.59999999998</v>
      </c>
      <c r="ES65">
        <f>'TEA Revised Non EYZ'!DJ65</f>
        <v>78.70059317904223</v>
      </c>
      <c r="ET65">
        <f>'TEA Revised Non EYZ'!DK65</f>
        <v>799.63328722496203</v>
      </c>
      <c r="EU65">
        <f>1.2*SUM(EP65:ET65)</f>
        <v>10095067.6550465</v>
      </c>
      <c r="EV65">
        <f>'TEA Revised Non EYZ'!DM65</f>
        <v>0.70639694042110623</v>
      </c>
      <c r="EW65">
        <f>(BS65*CO65+BT65*CP65)/1000*('Oxidant Feed Composition'!$B$11*'Oxidant Feed Composition'!$O$20+'Oxidant Feed Composition'!$D$11*'Oxidant Feed Composition'!$O$21+'Oxidant Feed Composition'!$F$11*'Oxidant Feed Composition'!$O$27-'Oxidant Feed Composition'!$J$15*18.015)</f>
        <v>1.7918005654412117</v>
      </c>
      <c r="EX65">
        <f>(CZ65*BX65+DC65*BZ65)*368.34/1000</f>
        <v>0.10201111499139105</v>
      </c>
      <c r="EY65">
        <f>'TEA Revised Non EYZ'!DP65</f>
        <v>4.999938342565946E-2</v>
      </c>
      <c r="EZ65">
        <f>SUM(EV65:EX65)-EY65</f>
        <v>2.5502092374280498</v>
      </c>
      <c r="FA65">
        <f>EZ65*0.33*60*7200</f>
        <v>363557.82888774277</v>
      </c>
      <c r="FB65">
        <f>'TEA Revised Non EYZ'!DS65</f>
        <v>1.2</v>
      </c>
      <c r="FC65">
        <v>0.5</v>
      </c>
      <c r="FD65">
        <f>'TEA Revised Non EYZ'!DT65</f>
        <v>1405.7198464932956</v>
      </c>
      <c r="FE65">
        <f>'TEA Revised Non EYZ'!DU65</f>
        <v>705.98397525229223</v>
      </c>
      <c r="FF65">
        <f>'TEA Revised Non EYZ'!DV65</f>
        <v>0.7</v>
      </c>
      <c r="FG65">
        <f>'TEA Revised Non EYZ'!DW65</f>
        <v>44032.441905260595</v>
      </c>
      <c r="FH65">
        <f>'TEA Revised Non EYZ'!DX65</f>
        <v>41526.098972294596</v>
      </c>
      <c r="FI65">
        <f>'TEA Revised Non EYZ'!DY65</f>
        <v>17581.614484237631</v>
      </c>
      <c r="FJ65">
        <f>'TEA Revised Non EYZ'!DZ65</f>
        <v>9313.4716969742931</v>
      </c>
      <c r="FK65">
        <f>'TEA Revised Non EYZ'!EA65</f>
        <v>9376.8610582600722</v>
      </c>
      <c r="FL65">
        <f>'TEA Revised Non EYZ'!EB65</f>
        <v>850.17936315914517</v>
      </c>
      <c r="FM65">
        <f>'TEA Revised Non EYZ'!EC65</f>
        <v>35999.313968649723</v>
      </c>
      <c r="FN65">
        <f>'TEA Revised Non EYZ'!ED65</f>
        <v>31035.265656599127</v>
      </c>
      <c r="FO65">
        <f>'TEA Revised Non EYZ'!EE65</f>
        <v>13139.93102396334</v>
      </c>
      <c r="FP65">
        <f>'TEA Revised Non EYZ'!EF65</f>
        <v>6964.46283324246</v>
      </c>
      <c r="FQ65">
        <f>'TEA Revised Non EYZ'!EG65</f>
        <v>7007.963212780448</v>
      </c>
      <c r="FR65">
        <f>'TEA Revised Non EYZ'!EH65</f>
        <v>426.97910823258638</v>
      </c>
      <c r="FS65">
        <f>'TEA Revised Non EYZ'!EI65</f>
        <v>217254.58328365404</v>
      </c>
      <c r="FT65">
        <f>EG65*EH65</f>
        <v>2519.8785281986166</v>
      </c>
      <c r="FU65">
        <f>EG65*EI65</f>
        <v>4529.402446695728</v>
      </c>
      <c r="FV65">
        <f>FC65*(FT65+FU65)/(3.6*10^6)*3600*7200*0.07</f>
        <v>1776.4188056733749</v>
      </c>
      <c r="FW65">
        <f>('CAPEX+OPEX'!$C$39/7/100+0.03)*EL65</f>
        <v>90937.440033621562</v>
      </c>
      <c r="FX65">
        <f>('CAPEX+OPEX'!$C$39/7/100+0.03)*EM65</f>
        <v>163457.19000946474</v>
      </c>
      <c r="FY65">
        <f>SUM(FV65:FX65)</f>
        <v>256171.04884875967</v>
      </c>
      <c r="FZ65">
        <f>FY65+FA65+FS65+EU65</f>
        <v>10932051.116066657</v>
      </c>
      <c r="GA65">
        <f>FZ65+EO65</f>
        <v>11997897.270038787</v>
      </c>
      <c r="GB65">
        <f>GA65/(BK65*60*7200)</f>
        <v>0.27772910347312008</v>
      </c>
      <c r="GC65">
        <f>'TEA Revised Non EYZ'!EM65/'TEA Revised Non EYZ'!EK65*GA65</f>
        <v>929.24492288573322</v>
      </c>
      <c r="GD65">
        <f>'TEA Revised Non EYZ'!EN65/'TEA Revised Non EYZ'!EK65*GA65</f>
        <v>1704.7839865176227</v>
      </c>
    </row>
    <row r="66" spans="1:186">
      <c r="A66">
        <f>'TEA Revised Non EYZ'!A66</f>
        <v>9</v>
      </c>
      <c r="B66">
        <f>'TEA Revised Non EYZ'!B66</f>
        <v>1.54143585092054E-3</v>
      </c>
      <c r="C66">
        <f>'TEA Revised Non EYZ'!C66</f>
        <v>1.54143585092054E-3</v>
      </c>
      <c r="D66">
        <f>'TEA Revised Non EYZ'!D66</f>
        <v>3.4254130020456501E-4</v>
      </c>
      <c r="E66">
        <f>'TEA Revised Non EYZ'!E66</f>
        <v>0</v>
      </c>
      <c r="F66">
        <f>'TEA Revised Non EYZ'!F66</f>
        <v>0</v>
      </c>
      <c r="G66">
        <f>'TEA Revised Non EYZ'!G66</f>
        <v>0</v>
      </c>
      <c r="H66">
        <f>'TEA Revised Non EYZ'!H66</f>
        <v>1.7768596981705501E-5</v>
      </c>
      <c r="I66">
        <f>'TEA Revised Non EYZ'!I66</f>
        <v>1.5331283704498101E-9</v>
      </c>
      <c r="J66">
        <f>'TEA Revised Non EYZ'!J66</f>
        <v>3.3763247208936601E-4</v>
      </c>
      <c r="K66">
        <f>'TEA Revised Non EYZ'!K66</f>
        <v>0.13890601070001499</v>
      </c>
      <c r="L66">
        <f>'TEA Revised Non EYZ'!L66</f>
        <v>0.14052575540227799</v>
      </c>
      <c r="M66">
        <f>'TEA Revised Non EYZ'!M66</f>
        <v>4.4751616793740602E-4</v>
      </c>
      <c r="N66">
        <f>'TEA Revised Non EYZ'!N66</f>
        <v>-5.0090140368830299E-17</v>
      </c>
      <c r="O66">
        <f>'TEA Revised Non EYZ'!O66</f>
        <v>-6.2343793322261397E-15</v>
      </c>
      <c r="P66">
        <f>'TEA Revised Non EYZ'!P66</f>
        <v>1.7787691892340301E-20</v>
      </c>
      <c r="Q66">
        <f>'TEA Revised Non EYZ'!Q66</f>
        <v>0.10969051996097</v>
      </c>
      <c r="R66">
        <f>'TEA Revised Non EYZ'!R66</f>
        <v>98.566938318892298</v>
      </c>
      <c r="S66">
        <f>'TEA Revised Non EYZ'!S66</f>
        <v>500</v>
      </c>
      <c r="T66">
        <f>'TEA Revised Non EYZ'!T66</f>
        <v>95</v>
      </c>
      <c r="U66">
        <f>'TEA Revised Non EYZ'!U66</f>
        <v>1</v>
      </c>
      <c r="V66">
        <f>'TEA Revised Non EYZ'!V66</f>
        <v>0.1</v>
      </c>
      <c r="W66">
        <f>'TEA Revised Non EYZ'!W66</f>
        <v>91.165581160141301</v>
      </c>
      <c r="X66" t="str">
        <f>'TEA Revised Non EYZ'!X66</f>
        <v>ddFc</v>
      </c>
      <c r="Y66">
        <f>'TEA Revised Non EYZ'!Y66</f>
        <v>1</v>
      </c>
      <c r="Z66">
        <f>'TEA Revised Non EYZ'!Z66</f>
        <v>0.28318429382522198</v>
      </c>
      <c r="AA66">
        <f>'TEA Revised Non EYZ'!AA66</f>
        <v>0.56945642916197003</v>
      </c>
      <c r="AB66">
        <f>'TEA Revised Non EYZ'!AB66</f>
        <v>3.7698628972227502E-3</v>
      </c>
      <c r="AC66">
        <f>'TEA Revised Non EYZ'!AC66</f>
        <v>1822.2107908876901</v>
      </c>
      <c r="AD66">
        <f>'TEA Revised Non EYZ'!AD66</f>
        <v>2662.6059073104898</v>
      </c>
      <c r="AE66">
        <f>'TEA Revised Non EYZ'!AE66</f>
        <v>2401.5030938442701</v>
      </c>
      <c r="AF66">
        <f>'TEA Revised Non EYZ'!AF66</f>
        <v>8</v>
      </c>
      <c r="AG66">
        <f>'TEA Revised Non EYZ'!AG66</f>
        <v>1.6497485970141401E-3</v>
      </c>
      <c r="AH66">
        <f>'TEA Revised Non EYZ'!AH66</f>
        <v>1.6689858606617799E-3</v>
      </c>
      <c r="AI66">
        <f>'TEA Revised Non EYZ'!AI66</f>
        <v>5.3150268046377499E-6</v>
      </c>
      <c r="AJ66">
        <f>'TEA Revised Non EYZ'!AJ66</f>
        <v>0</v>
      </c>
      <c r="AK66">
        <f>'TEA Revised Non EYZ'!AK66</f>
        <v>0</v>
      </c>
      <c r="AL66">
        <f>'TEA Revised Non EYZ'!AL66</f>
        <v>0</v>
      </c>
      <c r="AM66">
        <f>'TEA Revised Non EYZ'!AM66</f>
        <v>1.6127468294673999E-3</v>
      </c>
      <c r="AN66">
        <f>'TEA Revised Non EYZ'!AN66</f>
        <v>7.9601388937146201E-5</v>
      </c>
      <c r="AO66">
        <f>'TEA Revised Non EYZ'!AO66</f>
        <v>5.2800231400846897E-6</v>
      </c>
      <c r="AP66">
        <f>'TEA Revised Non EYZ'!AP66</f>
        <v>1.73508600246416E-3</v>
      </c>
      <c r="AQ66">
        <f>'TEA Revised Non EYZ'!AQ66</f>
        <v>7.4529378862327897E-2</v>
      </c>
      <c r="AR66">
        <f>'TEA Revised Non EYZ'!AR66</f>
        <v>1.6413910047206701E-6</v>
      </c>
      <c r="AS66">
        <f>'TEA Revised Non EYZ'!AS66</f>
        <v>5.1001480057440096E-15</v>
      </c>
      <c r="AT66">
        <f>'TEA Revised Non EYZ'!AT66</f>
        <v>-1.1878935335385401E-12</v>
      </c>
      <c r="AU66">
        <f>'TEA Revised Non EYZ'!AU66</f>
        <v>2.3339728163796199E-20</v>
      </c>
      <c r="AV66">
        <f>'TEA Revised Non EYZ'!AV66</f>
        <v>0.19695809292209099</v>
      </c>
      <c r="AW66">
        <f>'TEA Revised Non EYZ'!AW66</f>
        <v>99.341420733334502</v>
      </c>
      <c r="AX66">
        <f>'TEA Revised Non EYZ'!AX66</f>
        <v>500</v>
      </c>
      <c r="AY66">
        <f>'TEA Revised Non EYZ'!AY66</f>
        <v>95</v>
      </c>
      <c r="AZ66">
        <f>'TEA Revised Non EYZ'!AZ66</f>
        <v>0.92357542033771201</v>
      </c>
      <c r="BA66">
        <f>'TEA Revised Non EYZ'!BA66</f>
        <v>0.1</v>
      </c>
      <c r="BB66">
        <f>'TEA Revised Non EYZ'!BB66</f>
        <v>46.891976188205703</v>
      </c>
      <c r="BC66" t="str">
        <f>'TEA Revised Non EYZ'!BC66</f>
        <v>coeFc</v>
      </c>
      <c r="BD66">
        <f>'TEA Revised Non EYZ'!BD66</f>
        <v>1</v>
      </c>
      <c r="BE66">
        <f>'TEA Revised Non EYZ'!BE66</f>
        <v>1.8775014999999999E-2</v>
      </c>
      <c r="BF66">
        <f>'TEA Revised Non EYZ'!BF66</f>
        <v>0.10492961100000001</v>
      </c>
      <c r="BG66">
        <f>'TEA Revised Non EYZ'!BG66</f>
        <v>1.814625E-3</v>
      </c>
      <c r="BH66">
        <f>'TEA Revised Non EYZ'!BH66</f>
        <v>285.1951444</v>
      </c>
      <c r="BI66">
        <f>'TEA Revised Non EYZ'!BI66</f>
        <v>2169.8944889999998</v>
      </c>
      <c r="BJ66">
        <f>'TEA Revised Non EYZ'!BJ66</f>
        <v>866.49409060000005</v>
      </c>
      <c r="BK66">
        <f>'TEA Revised Non EYZ'!BK66</f>
        <v>100</v>
      </c>
      <c r="BL66">
        <f>'TEA Revised Non EYZ'!BL66</f>
        <v>10.969051996096999</v>
      </c>
      <c r="BM66">
        <f>'TEA Revised Non EYZ'!BM66</f>
        <v>92.357542033771196</v>
      </c>
      <c r="BN66">
        <f>'TEA Revised Non EYZ'!BN66</f>
        <v>19.695809292209098</v>
      </c>
      <c r="BO66">
        <f>'TEA Revised Non EYZ'!BO66</f>
        <v>241.31914391413397</v>
      </c>
      <c r="BP66">
        <f>'TEA Revised Non EYZ'!BP66</f>
        <v>393.916185844182</v>
      </c>
      <c r="BQ66">
        <f>'TEA Revised Non EYZ'!BQ66</f>
        <v>24.1319143914134</v>
      </c>
      <c r="BR66">
        <f>'TEA Revised Non EYZ'!BR66</f>
        <v>39.391618584418204</v>
      </c>
      <c r="BS66">
        <f>'eLLE Bals'!CF66</f>
        <v>6.5814311976581994</v>
      </c>
      <c r="BT66">
        <f>'eLLE Bals'!CG66</f>
        <v>11.817485575325458</v>
      </c>
      <c r="BU66">
        <f>BM66</f>
        <v>92.357542033771196</v>
      </c>
      <c r="BV66">
        <f>BU66*(AM66*2+AN66*2+AO66*3)</f>
        <v>0.31406519331145027</v>
      </c>
      <c r="BW66">
        <f>BN66*BA66*(AP66*2+AQ66*2+AR66*3)</f>
        <v>0.30042776970712609</v>
      </c>
      <c r="BX66">
        <f>BV66/(2*V66*BL66+BV66)</f>
        <v>0.12523156820331266</v>
      </c>
      <c r="BY66">
        <f>BU66*BX66</f>
        <v>11.566079824292533</v>
      </c>
      <c r="BZ66">
        <f>BW66/(2*BN66*BA66+BW66)</f>
        <v>7.0862464544309292E-2</v>
      </c>
      <c r="CA66">
        <f>2*BN66*BA66/0.04</f>
        <v>98.479046461045499</v>
      </c>
      <c r="CB66">
        <f>(BS66+BL66)*2</f>
        <v>35.100966387510397</v>
      </c>
      <c r="CC66">
        <f>(BU66+BL66)*2</f>
        <v>206.65318805973638</v>
      </c>
      <c r="CD66">
        <f>(BT66+BN66)*2</f>
        <v>63.026589735069109</v>
      </c>
      <c r="CE66">
        <f>(CA66+BN66)*2</f>
        <v>236.34971150650921</v>
      </c>
      <c r="CF66">
        <f>'TEA Revised Non EYZ'!CB66</f>
        <v>3185.4126996665682</v>
      </c>
      <c r="CG66">
        <f>'TEA Revised Non EYZ'!CC66</f>
        <v>5199.6936531432029</v>
      </c>
      <c r="CH66">
        <f>'TEA Revised Non EYZ'!CD66</f>
        <v>3848.5686313477631</v>
      </c>
      <c r="CI66">
        <f>'TEA Revised Non EYZ'!CE66</f>
        <v>40105.699286632342</v>
      </c>
      <c r="CJ66">
        <f>BL66*V66</f>
        <v>1.0969051996096999</v>
      </c>
      <c r="CK66">
        <f>CJ66/2*1.2</f>
        <v>0.65814311976581996</v>
      </c>
      <c r="CL66">
        <f>'eLLE Bals'!CB66*'Oxidant Feed Composition'!$N$20</f>
        <v>3.656350665365668E-2</v>
      </c>
      <c r="CM66">
        <f>'eLLE Bals'!CB66*'Oxidant Feed Composition'!$N$21</f>
        <v>1.8281753326828334</v>
      </c>
      <c r="CN66">
        <f>'eLLE Bals'!CB66*'Oxidant Feed Composition'!$N$22</f>
        <v>0.54845259980484995</v>
      </c>
      <c r="CO66">
        <f>CN66/CK66</f>
        <v>0.83333333333333326</v>
      </c>
      <c r="CP66">
        <f>CO66</f>
        <v>0.83333333333333326</v>
      </c>
      <c r="CQ66">
        <f>CL66/CO66</f>
        <v>4.3876207984388023E-2</v>
      </c>
      <c r="CR66">
        <f>CM66/CO66</f>
        <v>2.1938103992194002</v>
      </c>
      <c r="CS66">
        <f>BN66*BA66</f>
        <v>1.9695809292209099</v>
      </c>
      <c r="CT66">
        <f>CS66/2*1.2</f>
        <v>1.1817485575325459</v>
      </c>
      <c r="CU66">
        <f>'eLLE Bals'!CC66*'Oxidant Feed Composition'!$N$20</f>
        <v>6.5652697640697019E-2</v>
      </c>
      <c r="CV66">
        <f>'eLLE Bals'!CC66*'Oxidant Feed Composition'!$N$21</f>
        <v>3.2826348820348499</v>
      </c>
      <c r="CW66">
        <f>'eLLE Bals'!CC66*'Oxidant Feed Composition'!$N$22</f>
        <v>0.98479046461045494</v>
      </c>
      <c r="CX66">
        <f>CU66/CP66</f>
        <v>7.8783237168836437E-2</v>
      </c>
      <c r="CY66">
        <f>CV66/CP66</f>
        <v>3.9391618584418202</v>
      </c>
      <c r="CZ66">
        <f>CJ66</f>
        <v>1.0969051996096999</v>
      </c>
      <c r="DA66">
        <f>'eLLE Bals'!BQ66</f>
        <v>2.1938103992193998</v>
      </c>
      <c r="DB66">
        <f>'eLLE Bals'!BU66</f>
        <v>5.4682995245447401</v>
      </c>
      <c r="DC66">
        <f>CS66</f>
        <v>1.9695809292209099</v>
      </c>
      <c r="DD66">
        <f>'eLLE Bals'!BX66</f>
        <v>3.9391618584418198</v>
      </c>
      <c r="DE66">
        <f>'eLLE Bals'!CA66</f>
        <v>21.885674777215488</v>
      </c>
      <c r="DF66">
        <f>2*2*(CJ66*'Reagent cost'!$C$36*122.44/1000*0.5+CK66*'Oxidant Feed Composition'!$N$26+CQ66*'Reagent cost'!$C$34+CR66*'Reagent cost'!$C$35)</f>
        <v>73.683823681221483</v>
      </c>
      <c r="DG66">
        <f>2*2*(CS66*'Reagent cost'!$C$36*122.44/1000*0.5+CT66*'Oxidant Feed Composition'!$N$26+CX66*'Reagent cost'!$C$34+CY66*'Reagent cost'!$C$35)</f>
        <v>132.30519279719763</v>
      </c>
      <c r="DH66">
        <f>(AF66+3)*2*(CZ66*'Reagent cost'!$C$38*0.5+DA66*'Reagent cost'!$C$39+DB66*'Reagent cost'!$C$36*122.44/1000)</f>
        <v>1096.8284137556104</v>
      </c>
      <c r="DI66">
        <f>3*2*(DC66*'Reagent cost'!$C$38*0.5+DD66*'Reagent cost'!$C$39+DE66*'Reagent cost'!$C$36*122.44/1000)</f>
        <v>1163.1552594856146</v>
      </c>
      <c r="DJ66">
        <f>7963.6*(CB66/1000)^0.6*1.7*('CAPEX+OPEX'!$G$116/'CAPEX+OPEX'!$G$115)</f>
        <v>2140.0916471558648</v>
      </c>
      <c r="DK66">
        <f>7963.6*(CC66/1000)^0.6*1.7*('CAPEX+OPEX'!$G$116/'CAPEX+OPEX'!$G$115)</f>
        <v>6199.9215410229135</v>
      </c>
      <c r="DL66">
        <f>7963.6*(CD66/1000)^0.6*1.7*('CAPEX+OPEX'!$G$116/'CAPEX+OPEX'!$G$115)</f>
        <v>3040.5714489227012</v>
      </c>
      <c r="DM66">
        <f>7963.6*(CE66/1000)^0.6*1.7*('CAPEX+OPEX'!$G$116/'CAPEX+OPEX'!$G$115)</f>
        <v>6720.0727365069333</v>
      </c>
      <c r="DN66">
        <f>'TEA Revised Non EYZ'!CM66</f>
        <v>39625.826528698344</v>
      </c>
      <c r="DO66">
        <f>'TEA Revised Non EYZ'!CN66</f>
        <v>4586243.4239371875</v>
      </c>
      <c r="DP66">
        <f>'TEA Revised Non EYZ'!CO66</f>
        <v>11794834.586807497</v>
      </c>
      <c r="DQ66">
        <f>'TEA Revised Non EYZ'!CP66</f>
        <v>2275209.1661185985</v>
      </c>
      <c r="DR66">
        <f>'TEA Revised Non EYZ'!CQ66</f>
        <v>14083914.336508472</v>
      </c>
      <c r="DS66">
        <f>'TEA Revised Non EYZ'!CR66</f>
        <v>1662824.8986326549</v>
      </c>
      <c r="DT66">
        <f>'TEA Revised Non EYZ'!CS66</f>
        <v>800322.53402245743</v>
      </c>
      <c r="DU66">
        <f>'TEA Revised Non EYZ'!CT66</f>
        <v>2058257.9318883498</v>
      </c>
      <c r="DV66">
        <f>'TEA Revised Non EYZ'!CU66</f>
        <v>397035.437708179</v>
      </c>
      <c r="DW66">
        <f>'TEA Revised Non EYZ'!CV66</f>
        <v>2457713.856163613</v>
      </c>
      <c r="DX66">
        <f>'TEA Revised Non EYZ'!CW66</f>
        <v>290171.30437591631</v>
      </c>
      <c r="DY66">
        <f>'TEA Revised Non EYZ'!CX66</f>
        <v>6003501.064158516</v>
      </c>
      <c r="DZ66">
        <f>'TEA Revised Non EYZ'!CY66</f>
        <v>709497.14876377874</v>
      </c>
      <c r="EA66">
        <f>'TEA Revised Non EYZ'!CZ66</f>
        <v>1824674.5181040205</v>
      </c>
      <c r="EB66">
        <f>'TEA Revised Non EYZ'!DA66</f>
        <v>351977.48287345789</v>
      </c>
      <c r="EC66">
        <f>'TEA Revised Non EYZ'!DB66</f>
        <v>2178797.7962599574</v>
      </c>
      <c r="ED66">
        <f>'TEA Revised Non EYZ'!DC66</f>
        <v>257240.93019477848</v>
      </c>
      <c r="EE66">
        <f>'TEA Revised Non EYZ'!DD66</f>
        <v>5322187.8761959933</v>
      </c>
      <c r="EF66">
        <v>0.7</v>
      </c>
      <c r="EG66">
        <v>100</v>
      </c>
      <c r="EH66">
        <f>96485*BL66*V66/EF66/EG66/60</f>
        <v>25.198785281986165</v>
      </c>
      <c r="EI66">
        <f>96485*BN66*BA66/EF66/EG66/60</f>
        <v>45.246432370447501</v>
      </c>
      <c r="EJ66">
        <f>EH66*('CAPEX+OPEX'!$O$25+'CAPEX+OPEX'!$O$26)</f>
        <v>803135.68450746301</v>
      </c>
      <c r="EK66">
        <f>EI66*('CAPEX+OPEX'!$O$25+'CAPEX+OPEX'!$O$26)</f>
        <v>1442094.2925109027</v>
      </c>
      <c r="EL66">
        <f>EJ66*1.12/0.6*'CAPEX+OPEX'!$G$116/'CAPEX+OPEX'!$G$115</f>
        <v>1768228.0006537526</v>
      </c>
      <c r="EM66">
        <f>EK66*1.12/0.6*'CAPEX+OPEX'!$G$116/'CAPEX+OPEX'!$G$115</f>
        <v>3174994.6575522218</v>
      </c>
      <c r="EN66">
        <f>EL66+EM66+DY66+EE66+1.15*(SUM(DF66:DM66)+SUM(CF66:CI66))</f>
        <v>16352753.50354472</v>
      </c>
      <c r="EO66">
        <f>EN66/15</f>
        <v>1090183.5669029814</v>
      </c>
      <c r="EP66">
        <f>('eLLE Bals'!CB66+'eLLE Bals'!CC66)*'Oxidant Feed Composition'!$N$29*60*7200</f>
        <v>7648911.7541487599</v>
      </c>
      <c r="EQ66" s="53">
        <f>('eLLE Bals'!BR66+'eLLE Bals'!BY66)*'Reagent cost'!$C$38*60*7200*0.5</f>
        <v>252666.46537216834</v>
      </c>
      <c r="ER66">
        <f>'TEA Revised Non EYZ'!DI66</f>
        <v>504921.59999999998</v>
      </c>
      <c r="ES66">
        <f>'TEA Revised Non EYZ'!DJ66</f>
        <v>83.851063528097711</v>
      </c>
      <c r="ET66">
        <f>'TEA Revised Non EYZ'!DK66</f>
        <v>879.08535835960208</v>
      </c>
      <c r="EU66">
        <f>1.2*SUM(EP66:ET66)</f>
        <v>10088955.307131376</v>
      </c>
      <c r="EV66">
        <f>'TEA Revised Non EYZ'!DM66</f>
        <v>0.70639694042110623</v>
      </c>
      <c r="EW66">
        <f>(BS66*CO66+BT66*CP66)/1000*('Oxidant Feed Composition'!$B$11*'Oxidant Feed Composition'!$O$20+'Oxidant Feed Composition'!$D$11*'Oxidant Feed Composition'!$O$21+'Oxidant Feed Composition'!$F$11*'Oxidant Feed Composition'!$O$27-'Oxidant Feed Composition'!$J$15*18.015)</f>
        <v>1.7905908598593168</v>
      </c>
      <c r="EX66">
        <f>(CZ66*BX66+DC66*BZ66)*368.34/1000</f>
        <v>0.1020067967018199</v>
      </c>
      <c r="EY66">
        <f>'TEA Revised Non EYZ'!DP66</f>
        <v>4.999938342565946E-2</v>
      </c>
      <c r="EZ66">
        <f>SUM(EV66:EX66)-EY66</f>
        <v>2.5489952135565836</v>
      </c>
      <c r="FA66">
        <f>EZ66*0.33*60*7200</f>
        <v>363384.7576446266</v>
      </c>
      <c r="FB66">
        <f>'TEA Revised Non EYZ'!DS66</f>
        <v>1.2</v>
      </c>
      <c r="FC66">
        <v>0.5</v>
      </c>
      <c r="FD66">
        <f>'TEA Revised Non EYZ'!DT66</f>
        <v>1405.8412615116492</v>
      </c>
      <c r="FE66">
        <f>'TEA Revised Non EYZ'!DU66</f>
        <v>705.86256077424412</v>
      </c>
      <c r="FF66">
        <f>'TEA Revised Non EYZ'!DV66</f>
        <v>0.7</v>
      </c>
      <c r="FG66">
        <f>'TEA Revised Non EYZ'!DW66</f>
        <v>44032.441905260595</v>
      </c>
      <c r="FH66">
        <f>'TEA Revised Non EYZ'!DX66</f>
        <v>41526.098972294596</v>
      </c>
      <c r="FI66">
        <f>'TEA Revised Non EYZ'!DY66</f>
        <v>17581.614484237631</v>
      </c>
      <c r="FJ66">
        <f>'TEA Revised Non EYZ'!DZ66</f>
        <v>9313.4716969742931</v>
      </c>
      <c r="FK66">
        <f>'TEA Revised Non EYZ'!EA66</f>
        <v>9376.8610582600722</v>
      </c>
      <c r="FL66">
        <f>'TEA Revised Non EYZ'!EB66</f>
        <v>850.25279496224562</v>
      </c>
      <c r="FM66">
        <f>'TEA Revised Non EYZ'!EC66</f>
        <v>38570.693537838983</v>
      </c>
      <c r="FN66">
        <f>'TEA Revised Non EYZ'!ED66</f>
        <v>34914.673863674019</v>
      </c>
      <c r="FO66">
        <f>'TEA Revised Non EYZ'!EE66</f>
        <v>14782.422401958756</v>
      </c>
      <c r="FP66">
        <f>'TEA Revised Non EYZ'!EF66</f>
        <v>7835.0206873977668</v>
      </c>
      <c r="FQ66">
        <f>'TEA Revised Non EYZ'!EG66</f>
        <v>7883.9586143780034</v>
      </c>
      <c r="FR66">
        <f>'TEA Revised Non EYZ'!EH66</f>
        <v>426.90567675626289</v>
      </c>
      <c r="FS66">
        <f>'TEA Revised Non EYZ'!EI66</f>
        <v>227094.41569399321</v>
      </c>
      <c r="FT66">
        <f>EG66*EH66</f>
        <v>2519.8785281986166</v>
      </c>
      <c r="FU66">
        <f>EG66*EI66</f>
        <v>4524.6432370447501</v>
      </c>
      <c r="FV66">
        <f>FC66*(FT66+FU66)/(3.6*10^6)*3600*7200*0.07</f>
        <v>1775.2194848413285</v>
      </c>
      <c r="FW66">
        <f>('CAPEX+OPEX'!$C$39/7/100+0.03)*EL66</f>
        <v>90937.440033621562</v>
      </c>
      <c r="FX66">
        <f>('CAPEX+OPEX'!$C$39/7/100+0.03)*EM66</f>
        <v>163285.43953125711</v>
      </c>
      <c r="FY66">
        <f>SUM(FV66:FX66)</f>
        <v>255998.09904972001</v>
      </c>
      <c r="FZ66">
        <f>FY66+FA66+FS66+EU66</f>
        <v>10935432.579519715</v>
      </c>
      <c r="GA66">
        <f>FZ66+EO66</f>
        <v>12025616.146422697</v>
      </c>
      <c r="GB66">
        <f>GA66/(BK66*60*7200)</f>
        <v>0.278370744130155</v>
      </c>
      <c r="GC66">
        <f>'TEA Revised Non EYZ'!EM66/'TEA Revised Non EYZ'!EK66*GA66</f>
        <v>931.31127878591371</v>
      </c>
      <c r="GD66">
        <f>'TEA Revised Non EYZ'!EN66/'TEA Revised Non EYZ'!EK66*GA66</f>
        <v>1708.9935369205557</v>
      </c>
    </row>
    <row r="67" spans="1:186">
      <c r="A67">
        <f>'TEA Revised Non EYZ'!A67</f>
        <v>9</v>
      </c>
      <c r="B67">
        <f>'TEA Revised Non EYZ'!B67</f>
        <v>1.54143585092054E-3</v>
      </c>
      <c r="C67">
        <f>'TEA Revised Non EYZ'!C67</f>
        <v>1.54143585092054E-3</v>
      </c>
      <c r="D67">
        <f>'TEA Revised Non EYZ'!D67</f>
        <v>3.4254130020456501E-4</v>
      </c>
      <c r="E67">
        <f>'TEA Revised Non EYZ'!E67</f>
        <v>0</v>
      </c>
      <c r="F67">
        <f>'TEA Revised Non EYZ'!F67</f>
        <v>0</v>
      </c>
      <c r="G67">
        <f>'TEA Revised Non EYZ'!G67</f>
        <v>0</v>
      </c>
      <c r="H67">
        <f>'TEA Revised Non EYZ'!H67</f>
        <v>1.7768596981705501E-5</v>
      </c>
      <c r="I67">
        <f>'TEA Revised Non EYZ'!I67</f>
        <v>1.5331283704498101E-9</v>
      </c>
      <c r="J67">
        <f>'TEA Revised Non EYZ'!J67</f>
        <v>3.3763247208936601E-4</v>
      </c>
      <c r="K67">
        <f>'TEA Revised Non EYZ'!K67</f>
        <v>0.13890601070001499</v>
      </c>
      <c r="L67">
        <f>'TEA Revised Non EYZ'!L67</f>
        <v>0.14052575540227799</v>
      </c>
      <c r="M67">
        <f>'TEA Revised Non EYZ'!M67</f>
        <v>4.4751616793740602E-4</v>
      </c>
      <c r="N67">
        <f>'TEA Revised Non EYZ'!N67</f>
        <v>-5.0090140368830299E-17</v>
      </c>
      <c r="O67">
        <f>'TEA Revised Non EYZ'!O67</f>
        <v>-6.2343793322261397E-15</v>
      </c>
      <c r="P67">
        <f>'TEA Revised Non EYZ'!P67</f>
        <v>1.7787691892340301E-20</v>
      </c>
      <c r="Q67">
        <f>'TEA Revised Non EYZ'!Q67</f>
        <v>0.10969051996097</v>
      </c>
      <c r="R67">
        <f>'TEA Revised Non EYZ'!R67</f>
        <v>98.566938318892298</v>
      </c>
      <c r="S67">
        <f>'TEA Revised Non EYZ'!S67</f>
        <v>500</v>
      </c>
      <c r="T67">
        <f>'TEA Revised Non EYZ'!T67</f>
        <v>95</v>
      </c>
      <c r="U67">
        <f>'TEA Revised Non EYZ'!U67</f>
        <v>1</v>
      </c>
      <c r="V67">
        <f>'TEA Revised Non EYZ'!V67</f>
        <v>0.1</v>
      </c>
      <c r="W67">
        <f>'TEA Revised Non EYZ'!W67</f>
        <v>91.165581160141301</v>
      </c>
      <c r="X67" t="str">
        <f>'TEA Revised Non EYZ'!X67</f>
        <v>ddFc</v>
      </c>
      <c r="Y67">
        <f>'TEA Revised Non EYZ'!Y67</f>
        <v>1</v>
      </c>
      <c r="Z67">
        <f>'TEA Revised Non EYZ'!Z67</f>
        <v>0.28318429382522198</v>
      </c>
      <c r="AA67">
        <f>'TEA Revised Non EYZ'!AA67</f>
        <v>0.56945642916197003</v>
      </c>
      <c r="AB67">
        <f>'TEA Revised Non EYZ'!AB67</f>
        <v>3.7698628972227502E-3</v>
      </c>
      <c r="AC67">
        <f>'TEA Revised Non EYZ'!AC67</f>
        <v>1822.2107908876901</v>
      </c>
      <c r="AD67">
        <f>'TEA Revised Non EYZ'!AD67</f>
        <v>2662.6059073104898</v>
      </c>
      <c r="AE67">
        <f>'TEA Revised Non EYZ'!AE67</f>
        <v>2401.5030938442701</v>
      </c>
      <c r="AF67">
        <f>'TEA Revised Non EYZ'!AF67</f>
        <v>9</v>
      </c>
      <c r="AG67">
        <f>'TEA Revised Non EYZ'!AG67</f>
        <v>1.6497485970141401E-3</v>
      </c>
      <c r="AH67">
        <f>'TEA Revised Non EYZ'!AH67</f>
        <v>1.6689858606617799E-3</v>
      </c>
      <c r="AI67">
        <f>'TEA Revised Non EYZ'!AI67</f>
        <v>5.3150268046377499E-6</v>
      </c>
      <c r="AJ67">
        <f>'TEA Revised Non EYZ'!AJ67</f>
        <v>0</v>
      </c>
      <c r="AK67">
        <f>'TEA Revised Non EYZ'!AK67</f>
        <v>0</v>
      </c>
      <c r="AL67">
        <f>'TEA Revised Non EYZ'!AL67</f>
        <v>0</v>
      </c>
      <c r="AM67">
        <f>'TEA Revised Non EYZ'!AM67</f>
        <v>1.6127861938138701E-3</v>
      </c>
      <c r="AN67">
        <f>'TEA Revised Non EYZ'!AN67</f>
        <v>7.9603425019377403E-5</v>
      </c>
      <c r="AO67">
        <f>'TEA Revised Non EYZ'!AO67</f>
        <v>5.2800588331914901E-6</v>
      </c>
      <c r="AP67">
        <f>'TEA Revised Non EYZ'!AP67</f>
        <v>1.7337552285219199E-3</v>
      </c>
      <c r="AQ67">
        <f>'TEA Revised Non EYZ'!AQ67</f>
        <v>7.4551432519081903E-2</v>
      </c>
      <c r="AR67">
        <f>'TEA Revised Non EYZ'!AR67</f>
        <v>1.64020458835788E-6</v>
      </c>
      <c r="AS67">
        <f>'TEA Revised Non EYZ'!AS67</f>
        <v>3.7486290113686297E-17</v>
      </c>
      <c r="AT67">
        <f>'TEA Revised Non EYZ'!AT67</f>
        <v>-4.9181578948287397E-15</v>
      </c>
      <c r="AU67">
        <f>'TEA Revised Non EYZ'!AU67</f>
        <v>-2.56756862136459E-21</v>
      </c>
      <c r="AV67">
        <f>'TEA Revised Non EYZ'!AV67</f>
        <v>0.19689957677272099</v>
      </c>
      <c r="AW67">
        <f>'TEA Revised Non EYZ'!AW67</f>
        <v>99.342092284167904</v>
      </c>
      <c r="AX67">
        <f>'TEA Revised Non EYZ'!AX67</f>
        <v>500</v>
      </c>
      <c r="AY67">
        <f>'TEA Revised Non EYZ'!AY67</f>
        <v>95</v>
      </c>
      <c r="AZ67">
        <f>'TEA Revised Non EYZ'!AZ67</f>
        <v>0.92357542033771201</v>
      </c>
      <c r="BA67">
        <f>'TEA Revised Non EYZ'!BA67</f>
        <v>0.1</v>
      </c>
      <c r="BB67">
        <f>'TEA Revised Non EYZ'!BB67</f>
        <v>46.905911910810303</v>
      </c>
      <c r="BC67" t="str">
        <f>'TEA Revised Non EYZ'!BC67</f>
        <v>coeFc</v>
      </c>
      <c r="BD67">
        <f>'TEA Revised Non EYZ'!BD67</f>
        <v>1</v>
      </c>
      <c r="BE67">
        <f>'TEA Revised Non EYZ'!BE67</f>
        <v>1.8775014999999999E-2</v>
      </c>
      <c r="BF67">
        <f>'TEA Revised Non EYZ'!BF67</f>
        <v>0.10492961100000001</v>
      </c>
      <c r="BG67">
        <f>'TEA Revised Non EYZ'!BG67</f>
        <v>1.814625E-3</v>
      </c>
      <c r="BH67">
        <f>'TEA Revised Non EYZ'!BH67</f>
        <v>285.1951444</v>
      </c>
      <c r="BI67">
        <f>'TEA Revised Non EYZ'!BI67</f>
        <v>2169.8944889999998</v>
      </c>
      <c r="BJ67">
        <f>'TEA Revised Non EYZ'!BJ67</f>
        <v>866.49409060000005</v>
      </c>
      <c r="BK67">
        <f>'TEA Revised Non EYZ'!BK67</f>
        <v>100</v>
      </c>
      <c r="BL67">
        <f>'TEA Revised Non EYZ'!BL67</f>
        <v>10.969051996096999</v>
      </c>
      <c r="BM67">
        <f>'TEA Revised Non EYZ'!BM67</f>
        <v>92.357542033771196</v>
      </c>
      <c r="BN67">
        <f>'TEA Revised Non EYZ'!BN67</f>
        <v>19.689957677272098</v>
      </c>
      <c r="BO67">
        <f>'TEA Revised Non EYZ'!BO67</f>
        <v>241.31914391413397</v>
      </c>
      <c r="BP67">
        <f>'TEA Revised Non EYZ'!BP67</f>
        <v>433.17906889998613</v>
      </c>
      <c r="BQ67">
        <f>'TEA Revised Non EYZ'!BQ67</f>
        <v>24.1319143914134</v>
      </c>
      <c r="BR67">
        <f>'TEA Revised Non EYZ'!BR67</f>
        <v>43.317906889998618</v>
      </c>
      <c r="BS67">
        <f>'eLLE Bals'!CF67</f>
        <v>6.5814311976581994</v>
      </c>
      <c r="BT67">
        <f>'eLLE Bals'!CG67</f>
        <v>11.813974606363258</v>
      </c>
      <c r="BU67">
        <f>BM67</f>
        <v>92.357542033771196</v>
      </c>
      <c r="BV67">
        <f>BU67*(AM67*2+AN67*2+AO67*3)</f>
        <v>0.31407285048470118</v>
      </c>
      <c r="BW67">
        <f>BN67*BA67*(AP67*2+AQ67*2+AR67*3)</f>
        <v>0.30042011229829313</v>
      </c>
      <c r="BX67">
        <f>BV67/(2*V67*BL67+BV67)</f>
        <v>0.12523423908260398</v>
      </c>
      <c r="BY67">
        <f>BU67*BX67</f>
        <v>11.566326500138949</v>
      </c>
      <c r="BZ67">
        <f>BW67/(2*BN67*BA67+BW67)</f>
        <v>7.0880352657010467E-2</v>
      </c>
      <c r="CA67">
        <f>2*BN67*BA67/0.04</f>
        <v>98.449788386360495</v>
      </c>
      <c r="CB67">
        <f>(BS67+BL67)*2</f>
        <v>35.100966387510397</v>
      </c>
      <c r="CC67">
        <f>(BU67+BL67)*2</f>
        <v>206.65318805973638</v>
      </c>
      <c r="CD67">
        <f>(BT67+BN67)*2</f>
        <v>63.007864567270715</v>
      </c>
      <c r="CE67">
        <f>(CA67+BN67)*2</f>
        <v>236.2794921272652</v>
      </c>
      <c r="CF67">
        <f>'TEA Revised Non EYZ'!CB67</f>
        <v>3185.4126996665682</v>
      </c>
      <c r="CG67">
        <f>'TEA Revised Non EYZ'!CC67</f>
        <v>5717.9637094798172</v>
      </c>
      <c r="CH67">
        <f>'TEA Revised Non EYZ'!CD67</f>
        <v>3848.5686313477631</v>
      </c>
      <c r="CI67">
        <f>'TEA Revised Non EYZ'!CE67</f>
        <v>44103.16229411884</v>
      </c>
      <c r="CJ67">
        <f>BL67*V67</f>
        <v>1.0969051996096999</v>
      </c>
      <c r="CK67">
        <f>CJ67/2*1.2</f>
        <v>0.65814311976581996</v>
      </c>
      <c r="CL67">
        <f>'eLLE Bals'!CB67*'Oxidant Feed Composition'!$N$20</f>
        <v>3.656350665365668E-2</v>
      </c>
      <c r="CM67">
        <f>'eLLE Bals'!CB67*'Oxidant Feed Composition'!$N$21</f>
        <v>1.8281753326828334</v>
      </c>
      <c r="CN67">
        <f>'eLLE Bals'!CB67*'Oxidant Feed Composition'!$N$22</f>
        <v>0.54845259980484995</v>
      </c>
      <c r="CO67">
        <f>CN67/CK67</f>
        <v>0.83333333333333326</v>
      </c>
      <c r="CP67">
        <f>CO67</f>
        <v>0.83333333333333326</v>
      </c>
      <c r="CQ67">
        <f>CL67/CO67</f>
        <v>4.3876207984388023E-2</v>
      </c>
      <c r="CR67">
        <f>CM67/CO67</f>
        <v>2.1938103992194002</v>
      </c>
      <c r="CS67">
        <f>BN67*BA67</f>
        <v>1.9689957677272099</v>
      </c>
      <c r="CT67">
        <f>CS67/2*1.2</f>
        <v>1.1813974606363258</v>
      </c>
      <c r="CU67">
        <f>'eLLE Bals'!CC67*'Oxidant Feed Composition'!$N$20</f>
        <v>6.5633192257573691E-2</v>
      </c>
      <c r="CV67">
        <f>'eLLE Bals'!CC67*'Oxidant Feed Composition'!$N$21</f>
        <v>3.2816596128786832</v>
      </c>
      <c r="CW67">
        <f>'eLLE Bals'!CC67*'Oxidant Feed Composition'!$N$22</f>
        <v>0.98449788386360493</v>
      </c>
      <c r="CX67">
        <f>CU67/CP67</f>
        <v>7.8759830709088444E-2</v>
      </c>
      <c r="CY67">
        <f>CV67/CP67</f>
        <v>3.9379915354544202</v>
      </c>
      <c r="CZ67">
        <f>CJ67</f>
        <v>1.0969051996096999</v>
      </c>
      <c r="DA67">
        <f>'eLLE Bals'!BQ67</f>
        <v>2.1938103992193998</v>
      </c>
      <c r="DB67">
        <f>'eLLE Bals'!BU67</f>
        <v>5.4681127187769514</v>
      </c>
      <c r="DC67">
        <f>CS67</f>
        <v>1.9689957677272099</v>
      </c>
      <c r="DD67">
        <f>'eLLE Bals'!BX67</f>
        <v>3.9379915354544197</v>
      </c>
      <c r="DE67">
        <f>'eLLE Bals'!CA67</f>
        <v>21.872160146255688</v>
      </c>
      <c r="DF67">
        <f>2*2*(CJ67*'Reagent cost'!$C$36*122.44/1000*0.5+CK67*'Oxidant Feed Composition'!$N$26+CQ67*'Reagent cost'!$C$34+CR67*'Reagent cost'!$C$35)</f>
        <v>73.683823681221483</v>
      </c>
      <c r="DG67">
        <f>2*2*(CS67*'Reagent cost'!$C$36*122.44/1000*0.5+CT67*'Oxidant Feed Composition'!$N$26+CX67*'Reagent cost'!$C$34+CY67*'Reagent cost'!$C$35)</f>
        <v>132.26588499161684</v>
      </c>
      <c r="DH67">
        <f>(AF67+3)*2*(CZ67*'Reagent cost'!$C$38*0.5+DA67*'Reagent cost'!$C$39+DB67*'Reagent cost'!$C$36*122.44/1000)</f>
        <v>1196.5013215936306</v>
      </c>
      <c r="DI67">
        <f>3*2*(DC67*'Reagent cost'!$C$38*0.5+DD67*'Reagent cost'!$C$39+DE67*'Reagent cost'!$C$36*122.44/1000)</f>
        <v>1162.4458809755661</v>
      </c>
      <c r="DJ67">
        <f>7963.6*(CB67/1000)^0.6*1.7*('CAPEX+OPEX'!$G$116/'CAPEX+OPEX'!$G$115)</f>
        <v>2140.0916471558648</v>
      </c>
      <c r="DK67">
        <f>7963.6*(CC67/1000)^0.6*1.7*('CAPEX+OPEX'!$G$116/'CAPEX+OPEX'!$G$115)</f>
        <v>6199.9215410229135</v>
      </c>
      <c r="DL67">
        <f>7963.6*(CD67/1000)^0.6*1.7*('CAPEX+OPEX'!$G$116/'CAPEX+OPEX'!$G$115)</f>
        <v>3040.029405372095</v>
      </c>
      <c r="DM67">
        <f>7963.6*(CE67/1000)^0.6*1.7*('CAPEX+OPEX'!$G$116/'CAPEX+OPEX'!$G$115)</f>
        <v>6718.8747471987981</v>
      </c>
      <c r="DN67">
        <f>'TEA Revised Non EYZ'!CM67</f>
        <v>39625.826528698344</v>
      </c>
      <c r="DO67">
        <f>'TEA Revised Non EYZ'!CN67</f>
        <v>4586243.4239371875</v>
      </c>
      <c r="DP67">
        <f>'TEA Revised Non EYZ'!CO67</f>
        <v>11794834.586807497</v>
      </c>
      <c r="DQ67">
        <f>'TEA Revised Non EYZ'!CP67</f>
        <v>2275209.1661185985</v>
      </c>
      <c r="DR67">
        <f>'TEA Revised Non EYZ'!CQ67</f>
        <v>14083914.336508472</v>
      </c>
      <c r="DS67">
        <f>'TEA Revised Non EYZ'!CR67</f>
        <v>1662824.8986326549</v>
      </c>
      <c r="DT67">
        <f>'TEA Revised Non EYZ'!CS67</f>
        <v>800322.53402245743</v>
      </c>
      <c r="DU67">
        <f>'TEA Revised Non EYZ'!CT67</f>
        <v>2058257.9318883498</v>
      </c>
      <c r="DV67">
        <f>'TEA Revised Non EYZ'!CU67</f>
        <v>397035.437708179</v>
      </c>
      <c r="DW67">
        <f>'TEA Revised Non EYZ'!CV67</f>
        <v>2457713.856163613</v>
      </c>
      <c r="DX67">
        <f>'TEA Revised Non EYZ'!CW67</f>
        <v>290171.30437591631</v>
      </c>
      <c r="DY67">
        <f>'TEA Revised Non EYZ'!CX67</f>
        <v>6003501.064158516</v>
      </c>
      <c r="DZ67">
        <f>'TEA Revised Non EYZ'!CY67</f>
        <v>755796.97409698786</v>
      </c>
      <c r="EA67">
        <f>'TEA Revised Non EYZ'!CZ67</f>
        <v>1943747.740068865</v>
      </c>
      <c r="EB67">
        <f>'TEA Revised Non EYZ'!DA67</f>
        <v>374946.56175793061</v>
      </c>
      <c r="EC67">
        <f>'TEA Revised Non EYZ'!DB67</f>
        <v>2320980.125785856</v>
      </c>
      <c r="ED67">
        <f>'TEA Revised Non EYZ'!DC67</f>
        <v>274027.76317546447</v>
      </c>
      <c r="EE67">
        <f>'TEA Revised Non EYZ'!DD67</f>
        <v>5669499.1648851037</v>
      </c>
      <c r="EF67">
        <v>0.7</v>
      </c>
      <c r="EG67">
        <v>100</v>
      </c>
      <c r="EH67">
        <f>96485*BL67*V67/EF67/EG67/60</f>
        <v>25.198785281986165</v>
      </c>
      <c r="EI67">
        <f>96485*BN67*BA67/EF67/EG67/60</f>
        <v>45.232989678371396</v>
      </c>
      <c r="EJ67">
        <f>EH67*('CAPEX+OPEX'!$O$25+'CAPEX+OPEX'!$O$26)</f>
        <v>803135.68450746301</v>
      </c>
      <c r="EK67">
        <f>EI67*('CAPEX+OPEX'!$O$25+'CAPEX+OPEX'!$O$26)</f>
        <v>1441665.8470290531</v>
      </c>
      <c r="EL67">
        <f>EJ67*1.12/0.6*'CAPEX+OPEX'!$G$116/'CAPEX+OPEX'!$G$115</f>
        <v>1768228.0006537526</v>
      </c>
      <c r="EM67">
        <f>EK67*1.12/0.6*'CAPEX+OPEX'!$G$116/'CAPEX+OPEX'!$G$115</f>
        <v>3174051.3682520767</v>
      </c>
      <c r="EN67">
        <f>EL67+EM67+DY67+EE67+1.15*(SUM(DF67:DM67)+SUM(CF67:CI67))</f>
        <v>16704426.357774043</v>
      </c>
      <c r="EO67">
        <f>EN67/15</f>
        <v>1113628.4238516029</v>
      </c>
      <c r="EP67">
        <f>('eLLE Bals'!CB67+'eLLE Bals'!CC67)*'Oxidant Feed Composition'!$N$29*60*7200</f>
        <v>7647452.1523637855</v>
      </c>
      <c r="EQ67" s="53">
        <f>('eLLE Bals'!BR67+'eLLE Bals'!BY67)*'Reagent cost'!$C$38*60*7200*0.5</f>
        <v>252663.44119552628</v>
      </c>
      <c r="ER67">
        <f>'TEA Revised Non EYZ'!DI67</f>
        <v>504921.59999999998</v>
      </c>
      <c r="ES67">
        <f>'TEA Revised Non EYZ'!DJ67</f>
        <v>89.033764091463851</v>
      </c>
      <c r="ET67">
        <f>'TEA Revised Non EYZ'!DK67</f>
        <v>959.03461850933206</v>
      </c>
      <c r="EU67">
        <f>1.2*SUM(EP67:ET67)</f>
        <v>10087302.314330297</v>
      </c>
      <c r="EV67">
        <f>'TEA Revised Non EYZ'!DM67</f>
        <v>0.70639694042110623</v>
      </c>
      <c r="EW67">
        <f>(BS67*CO67+BT67*CP67)/1000*('Oxidant Feed Composition'!$B$11*'Oxidant Feed Composition'!$O$20+'Oxidant Feed Composition'!$D$11*'Oxidant Feed Composition'!$O$21+'Oxidant Feed Composition'!$F$11*'Oxidant Feed Composition'!$O$27-'Oxidant Feed Composition'!$J$15*18.015)</f>
        <v>1.7902491707799795</v>
      </c>
      <c r="EX67">
        <f>(CZ67*BX67+DC67*BZ67)*368.34/1000</f>
        <v>0.10200557577773937</v>
      </c>
      <c r="EY67">
        <f>'TEA Revised Non EYZ'!DP67</f>
        <v>4.999938342565946E-2</v>
      </c>
      <c r="EZ67">
        <f>SUM(EV67:EX67)-EY67</f>
        <v>2.5486523035531659</v>
      </c>
      <c r="FA67">
        <f>EZ67*0.33*60*7200</f>
        <v>363335.8723945393</v>
      </c>
      <c r="FB67">
        <f>'TEA Revised Non EYZ'!DS67</f>
        <v>1.2</v>
      </c>
      <c r="FC67">
        <v>0.5</v>
      </c>
      <c r="FD67">
        <f>'TEA Revised Non EYZ'!DT67</f>
        <v>1405.875555868555</v>
      </c>
      <c r="FE67">
        <f>'TEA Revised Non EYZ'!DU67</f>
        <v>705.82826587847319</v>
      </c>
      <c r="FF67">
        <f>'TEA Revised Non EYZ'!DV67</f>
        <v>0.7</v>
      </c>
      <c r="FG67">
        <f>'TEA Revised Non EYZ'!DW67</f>
        <v>44032.441905260595</v>
      </c>
      <c r="FH67">
        <f>'TEA Revised Non EYZ'!DX67</f>
        <v>41526.098972294596</v>
      </c>
      <c r="FI67">
        <f>'TEA Revised Non EYZ'!DY67</f>
        <v>17581.614484237631</v>
      </c>
      <c r="FJ67">
        <f>'TEA Revised Non EYZ'!DZ67</f>
        <v>9313.4716969742931</v>
      </c>
      <c r="FK67">
        <f>'TEA Revised Non EYZ'!EA67</f>
        <v>9376.8610582600722</v>
      </c>
      <c r="FL67">
        <f>'TEA Revised Non EYZ'!EB67</f>
        <v>850.27353618930215</v>
      </c>
      <c r="FM67">
        <f>'TEA Revised Non EYZ'!EC67</f>
        <v>41142.073107028249</v>
      </c>
      <c r="FN67">
        <f>'TEA Revised Non EYZ'!ED67</f>
        <v>38794.082070748911</v>
      </c>
      <c r="FO67">
        <f>'TEA Revised Non EYZ'!EE67</f>
        <v>16424.913779954175</v>
      </c>
      <c r="FP67">
        <f>'TEA Revised Non EYZ'!EF67</f>
        <v>8705.5785415530754</v>
      </c>
      <c r="FQ67">
        <f>'TEA Revised Non EYZ'!EG67</f>
        <v>8759.9540159755597</v>
      </c>
      <c r="FR67">
        <f>'TEA Revised Non EYZ'!EH67</f>
        <v>426.88493520330059</v>
      </c>
      <c r="FS67">
        <f>'TEA Revised Non EYZ'!EI67</f>
        <v>236934.24810367974</v>
      </c>
      <c r="FT67">
        <f>EG67*EH67</f>
        <v>2519.8785281986166</v>
      </c>
      <c r="FU67">
        <f>EG67*EI67</f>
        <v>4523.2989678371396</v>
      </c>
      <c r="FV67">
        <f>FC67*(FT67+FU67)/(3.6*10^6)*3600*7200*0.07</f>
        <v>1774.8807290010106</v>
      </c>
      <c r="FW67">
        <f>('CAPEX+OPEX'!$C$39/7/100+0.03)*EL67</f>
        <v>90937.440033621562</v>
      </c>
      <c r="FX67">
        <f>('CAPEX+OPEX'!$C$39/7/100+0.03)*EM67</f>
        <v>163236.92751010679</v>
      </c>
      <c r="FY67">
        <f>SUM(FV67:FX67)</f>
        <v>255949.24827272937</v>
      </c>
      <c r="FZ67">
        <f>FY67+FA67+FS67+EU67</f>
        <v>10943521.683101244</v>
      </c>
      <c r="GA67">
        <f>FZ67+EO67</f>
        <v>12057150.106952848</v>
      </c>
      <c r="GB67">
        <f>GA67/(BK67*60*7200)</f>
        <v>0.27910069692020484</v>
      </c>
      <c r="GC67">
        <f>'TEA Revised Non EYZ'!EM67/'TEA Revised Non EYZ'!EK67*GA67</f>
        <v>933.73060174009061</v>
      </c>
      <c r="GD67">
        <f>'TEA Revised Non EYZ'!EN67/'TEA Revised Non EYZ'!EK67*GA67</f>
        <v>1713.5516698529882</v>
      </c>
    </row>
    <row r="68" spans="1:186">
      <c r="A68">
        <f>'TEA Revised Non EYZ'!A68</f>
        <v>9</v>
      </c>
      <c r="B68">
        <f>'TEA Revised Non EYZ'!B68</f>
        <v>1.54143585092054E-3</v>
      </c>
      <c r="C68">
        <f>'TEA Revised Non EYZ'!C68</f>
        <v>1.54143585092054E-3</v>
      </c>
      <c r="D68">
        <f>'TEA Revised Non EYZ'!D68</f>
        <v>3.4254130020456501E-4</v>
      </c>
      <c r="E68">
        <f>'TEA Revised Non EYZ'!E68</f>
        <v>0</v>
      </c>
      <c r="F68">
        <f>'TEA Revised Non EYZ'!F68</f>
        <v>0</v>
      </c>
      <c r="G68">
        <f>'TEA Revised Non EYZ'!G68</f>
        <v>0</v>
      </c>
      <c r="H68">
        <f>'TEA Revised Non EYZ'!H68</f>
        <v>1.7768596981705501E-5</v>
      </c>
      <c r="I68">
        <f>'TEA Revised Non EYZ'!I68</f>
        <v>1.5331283704498101E-9</v>
      </c>
      <c r="J68">
        <f>'TEA Revised Non EYZ'!J68</f>
        <v>3.3763247208936601E-4</v>
      </c>
      <c r="K68">
        <f>'TEA Revised Non EYZ'!K68</f>
        <v>0.13890601070001499</v>
      </c>
      <c r="L68">
        <f>'TEA Revised Non EYZ'!L68</f>
        <v>0.14052575540227799</v>
      </c>
      <c r="M68">
        <f>'TEA Revised Non EYZ'!M68</f>
        <v>4.4751616793740602E-4</v>
      </c>
      <c r="N68">
        <f>'TEA Revised Non EYZ'!N68</f>
        <v>-5.0090140368830299E-17</v>
      </c>
      <c r="O68">
        <f>'TEA Revised Non EYZ'!O68</f>
        <v>-6.2343793322261397E-15</v>
      </c>
      <c r="P68">
        <f>'TEA Revised Non EYZ'!P68</f>
        <v>1.7787691892340301E-20</v>
      </c>
      <c r="Q68">
        <f>'TEA Revised Non EYZ'!Q68</f>
        <v>0.10969051996097</v>
      </c>
      <c r="R68">
        <f>'TEA Revised Non EYZ'!R68</f>
        <v>98.566938318892298</v>
      </c>
      <c r="S68">
        <f>'TEA Revised Non EYZ'!S68</f>
        <v>500</v>
      </c>
      <c r="T68">
        <f>'TEA Revised Non EYZ'!T68</f>
        <v>95</v>
      </c>
      <c r="U68">
        <f>'TEA Revised Non EYZ'!U68</f>
        <v>1</v>
      </c>
      <c r="V68">
        <f>'TEA Revised Non EYZ'!V68</f>
        <v>0.1</v>
      </c>
      <c r="W68">
        <f>'TEA Revised Non EYZ'!W68</f>
        <v>91.165581160141301</v>
      </c>
      <c r="X68" t="str">
        <f>'TEA Revised Non EYZ'!X68</f>
        <v>ddFc</v>
      </c>
      <c r="Y68">
        <f>'TEA Revised Non EYZ'!Y68</f>
        <v>1</v>
      </c>
      <c r="Z68">
        <f>'TEA Revised Non EYZ'!Z68</f>
        <v>0.28318429382522198</v>
      </c>
      <c r="AA68">
        <f>'TEA Revised Non EYZ'!AA68</f>
        <v>0.56945642916197003</v>
      </c>
      <c r="AB68">
        <f>'TEA Revised Non EYZ'!AB68</f>
        <v>3.7698628972227502E-3</v>
      </c>
      <c r="AC68">
        <f>'TEA Revised Non EYZ'!AC68</f>
        <v>1822.2107908876901</v>
      </c>
      <c r="AD68">
        <f>'TEA Revised Non EYZ'!AD68</f>
        <v>2662.6059073104898</v>
      </c>
      <c r="AE68">
        <f>'TEA Revised Non EYZ'!AE68</f>
        <v>2401.5030938442701</v>
      </c>
      <c r="AF68">
        <f>'TEA Revised Non EYZ'!AF68</f>
        <v>10</v>
      </c>
      <c r="AG68">
        <f>'TEA Revised Non EYZ'!AG68</f>
        <v>1.6497485970141401E-3</v>
      </c>
      <c r="AH68">
        <f>'TEA Revised Non EYZ'!AH68</f>
        <v>1.6689858606617799E-3</v>
      </c>
      <c r="AI68">
        <f>'TEA Revised Non EYZ'!AI68</f>
        <v>5.3150268046377499E-6</v>
      </c>
      <c r="AJ68">
        <f>'TEA Revised Non EYZ'!AJ68</f>
        <v>0</v>
      </c>
      <c r="AK68">
        <f>'TEA Revised Non EYZ'!AK68</f>
        <v>0</v>
      </c>
      <c r="AL68">
        <f>'TEA Revised Non EYZ'!AL68</f>
        <v>0</v>
      </c>
      <c r="AM68">
        <f>'TEA Revised Non EYZ'!AM68</f>
        <v>1.61279727507717E-3</v>
      </c>
      <c r="AN68">
        <f>'TEA Revised Non EYZ'!AN68</f>
        <v>7.9603998227522496E-5</v>
      </c>
      <c r="AO68">
        <f>'TEA Revised Non EYZ'!AO68</f>
        <v>5.28006888098894E-6</v>
      </c>
      <c r="AP68">
        <f>'TEA Revised Non EYZ'!AP68</f>
        <v>1.7333804651433E-3</v>
      </c>
      <c r="AQ68">
        <f>'TEA Revised Non EYZ'!AQ68</f>
        <v>7.4557643117945299E-2</v>
      </c>
      <c r="AR68">
        <f>'TEA Revised Non EYZ'!AR68</f>
        <v>1.6398704779534299E-6</v>
      </c>
      <c r="AS68">
        <f>'TEA Revised Non EYZ'!AS68</f>
        <v>6.2399223158329797E-15</v>
      </c>
      <c r="AT68">
        <f>'TEA Revised Non EYZ'!AT68</f>
        <v>-6.4600451724072805E-13</v>
      </c>
      <c r="AU68">
        <f>'TEA Revised Non EYZ'!AU68</f>
        <v>5.9854789124336998E-20</v>
      </c>
      <c r="AV68">
        <f>'TEA Revised Non EYZ'!AV68</f>
        <v>0.19688310425783201</v>
      </c>
      <c r="AW68">
        <f>'TEA Revised Non EYZ'!AW68</f>
        <v>99.342281329262306</v>
      </c>
      <c r="AX68">
        <f>'TEA Revised Non EYZ'!AX68</f>
        <v>500</v>
      </c>
      <c r="AY68">
        <f>'TEA Revised Non EYZ'!AY68</f>
        <v>95</v>
      </c>
      <c r="AZ68">
        <f>'TEA Revised Non EYZ'!AZ68</f>
        <v>0.92357542033771201</v>
      </c>
      <c r="BA68">
        <f>'TEA Revised Non EYZ'!BA68</f>
        <v>0.1</v>
      </c>
      <c r="BB68">
        <f>'TEA Revised Non EYZ'!BB68</f>
        <v>46.909836363013902</v>
      </c>
      <c r="BC68" t="str">
        <f>'TEA Revised Non EYZ'!BC68</f>
        <v>coeFc</v>
      </c>
      <c r="BD68">
        <f>'TEA Revised Non EYZ'!BD68</f>
        <v>1</v>
      </c>
      <c r="BE68">
        <f>'TEA Revised Non EYZ'!BE68</f>
        <v>1.8775014999999999E-2</v>
      </c>
      <c r="BF68">
        <f>'TEA Revised Non EYZ'!BF68</f>
        <v>0.10492961100000001</v>
      </c>
      <c r="BG68">
        <f>'TEA Revised Non EYZ'!BG68</f>
        <v>1.814625E-3</v>
      </c>
      <c r="BH68">
        <f>'TEA Revised Non EYZ'!BH68</f>
        <v>285.1951444</v>
      </c>
      <c r="BI68">
        <f>'TEA Revised Non EYZ'!BI68</f>
        <v>2169.8944889999998</v>
      </c>
      <c r="BJ68">
        <f>'TEA Revised Non EYZ'!BJ68</f>
        <v>866.49409060000005</v>
      </c>
      <c r="BK68">
        <f>'TEA Revised Non EYZ'!BK68</f>
        <v>100</v>
      </c>
      <c r="BL68">
        <f>'TEA Revised Non EYZ'!BL68</f>
        <v>10.969051996096999</v>
      </c>
      <c r="BM68">
        <f>'TEA Revised Non EYZ'!BM68</f>
        <v>92.357542033771196</v>
      </c>
      <c r="BN68">
        <f>'TEA Revised Non EYZ'!BN68</f>
        <v>19.6883104257832</v>
      </c>
      <c r="BO68">
        <f>'TEA Revised Non EYZ'!BO68</f>
        <v>241.31914391413397</v>
      </c>
      <c r="BP68">
        <f>'TEA Revised Non EYZ'!BP68</f>
        <v>472.51945021879681</v>
      </c>
      <c r="BQ68">
        <f>'TEA Revised Non EYZ'!BQ68</f>
        <v>24.1319143914134</v>
      </c>
      <c r="BR68">
        <f>'TEA Revised Non EYZ'!BR68</f>
        <v>47.251945021879685</v>
      </c>
      <c r="BS68">
        <f>'eLLE Bals'!CF68</f>
        <v>6.5814311976581994</v>
      </c>
      <c r="BT68">
        <f>'eLLE Bals'!CG68</f>
        <v>11.812986255469919</v>
      </c>
      <c r="BU68">
        <f>BM68</f>
        <v>92.357542033771196</v>
      </c>
      <c r="BV68">
        <f>BU68*(AM68*2+AN68*2+AO68*3)</f>
        <v>0.31407500602534349</v>
      </c>
      <c r="BW68">
        <f>BN68*BA68*(AP68*2+AQ68*2+AR68*3)</f>
        <v>0.30041795688462752</v>
      </c>
      <c r="BX68">
        <f>BV68/(2*V68*BL68+BV68)</f>
        <v>0.12523499094835758</v>
      </c>
      <c r="BY68">
        <f>BU68*BX68</f>
        <v>11.566395940611891</v>
      </c>
      <c r="BZ68">
        <f>BW68/(2*BN68*BA68+BW68)</f>
        <v>7.0885390059771361E-2</v>
      </c>
      <c r="CA68">
        <f>2*BN68*BA68/0.04</f>
        <v>98.441552128916001</v>
      </c>
      <c r="CB68">
        <f>(BS68+BL68)*2</f>
        <v>35.100966387510397</v>
      </c>
      <c r="CC68">
        <f>(BU68+BL68)*2</f>
        <v>206.65318805973638</v>
      </c>
      <c r="CD68">
        <f>(BT68+BN68)*2</f>
        <v>63.002593362506239</v>
      </c>
      <c r="CE68">
        <f>(CA68+BN68)*2</f>
        <v>236.2597251093984</v>
      </c>
      <c r="CF68">
        <f>'TEA Revised Non EYZ'!CB68</f>
        <v>3185.4126996665682</v>
      </c>
      <c r="CG68">
        <f>'TEA Revised Non EYZ'!CC68</f>
        <v>6237.2567428881175</v>
      </c>
      <c r="CH68">
        <f>'TEA Revised Non EYZ'!CD68</f>
        <v>3848.5686313477631</v>
      </c>
      <c r="CI68">
        <f>'TEA Revised Non EYZ'!CE68</f>
        <v>48108.515614679709</v>
      </c>
      <c r="CJ68">
        <f>BL68*V68</f>
        <v>1.0969051996096999</v>
      </c>
      <c r="CK68">
        <f>CJ68/2*1.2</f>
        <v>0.65814311976581996</v>
      </c>
      <c r="CL68">
        <f>'eLLE Bals'!CB68*'Oxidant Feed Composition'!$N$20</f>
        <v>3.656350665365668E-2</v>
      </c>
      <c r="CM68">
        <f>'eLLE Bals'!CB68*'Oxidant Feed Composition'!$N$21</f>
        <v>1.8281753326828334</v>
      </c>
      <c r="CN68">
        <f>'eLLE Bals'!CB68*'Oxidant Feed Composition'!$N$22</f>
        <v>0.54845259980484995</v>
      </c>
      <c r="CO68">
        <f>CN68/CK68</f>
        <v>0.83333333333333326</v>
      </c>
      <c r="CP68">
        <f>CO68</f>
        <v>0.83333333333333326</v>
      </c>
      <c r="CQ68">
        <f>CL68/CO68</f>
        <v>4.3876207984388023E-2</v>
      </c>
      <c r="CR68">
        <f>CM68/CO68</f>
        <v>2.1938103992194002</v>
      </c>
      <c r="CS68">
        <f>BN68*BA68</f>
        <v>1.9688310425783202</v>
      </c>
      <c r="CT68">
        <f>CS68/2*1.2</f>
        <v>1.1812986255469922</v>
      </c>
      <c r="CU68">
        <f>'eLLE Bals'!CC68*'Oxidant Feed Composition'!$N$20</f>
        <v>6.5627701419277359E-2</v>
      </c>
      <c r="CV68">
        <f>'eLLE Bals'!CC68*'Oxidant Feed Composition'!$N$21</f>
        <v>3.281385070963867</v>
      </c>
      <c r="CW68">
        <f>'eLLE Bals'!CC68*'Oxidant Feed Composition'!$N$22</f>
        <v>0.9844155212891601</v>
      </c>
      <c r="CX68">
        <f>CU68/CP68</f>
        <v>7.8753241703132845E-2</v>
      </c>
      <c r="CY68">
        <f>CV68/CP68</f>
        <v>3.9376620851566408</v>
      </c>
      <c r="CZ68">
        <f>CJ68</f>
        <v>1.0969051996096999</v>
      </c>
      <c r="DA68">
        <f>'eLLE Bals'!BQ68</f>
        <v>2.1938103992193998</v>
      </c>
      <c r="DB68">
        <f>'eLLE Bals'!BU68</f>
        <v>5.4680601348151612</v>
      </c>
      <c r="DC68">
        <f>CS68</f>
        <v>1.9688310425783202</v>
      </c>
      <c r="DD68">
        <f>'eLLE Bals'!BX68</f>
        <v>3.9376620851566404</v>
      </c>
      <c r="DE68">
        <f>'eLLE Bals'!CA68</f>
        <v>21.868356399342197</v>
      </c>
      <c r="DF68">
        <f>2*2*(CJ68*'Reagent cost'!$C$36*122.44/1000*0.5+CK68*'Oxidant Feed Composition'!$N$26+CQ68*'Reagent cost'!$C$34+CR68*'Reagent cost'!$C$35)</f>
        <v>73.683823681221483</v>
      </c>
      <c r="DG68">
        <f>2*2*(CS68*'Reagent cost'!$C$36*122.44/1000*0.5+CT68*'Oxidant Feed Composition'!$N$26+CX68*'Reagent cost'!$C$34+CY68*'Reagent cost'!$C$35)</f>
        <v>132.25481969734076</v>
      </c>
      <c r="DH68">
        <f>(AF68+3)*2*(CZ68*'Reagent cost'!$C$38*0.5+DA68*'Reagent cost'!$C$39+DB68*'Reagent cost'!$C$36*122.44/1000)</f>
        <v>1296.1979434209638</v>
      </c>
      <c r="DI68">
        <f>3*2*(DC68*'Reagent cost'!$C$38*0.5+DD68*'Reagent cost'!$C$39+DE68*'Reagent cost'!$C$36*122.44/1000)</f>
        <v>1162.2462231482432</v>
      </c>
      <c r="DJ68">
        <f>7963.6*(CB68/1000)^0.6*1.7*('CAPEX+OPEX'!$G$116/'CAPEX+OPEX'!$G$115)</f>
        <v>2140.0916471558648</v>
      </c>
      <c r="DK68">
        <f>7963.6*(CC68/1000)^0.6*1.7*('CAPEX+OPEX'!$G$116/'CAPEX+OPEX'!$G$115)</f>
        <v>6199.9215410229135</v>
      </c>
      <c r="DL68">
        <f>7963.6*(CD68/1000)^0.6*1.7*('CAPEX+OPEX'!$G$116/'CAPEX+OPEX'!$G$115)</f>
        <v>3039.8768064634182</v>
      </c>
      <c r="DM68">
        <f>7963.6*(CE68/1000)^0.6*1.7*('CAPEX+OPEX'!$G$116/'CAPEX+OPEX'!$G$115)</f>
        <v>6718.5374830420278</v>
      </c>
      <c r="DN68">
        <f>'TEA Revised Non EYZ'!CM68</f>
        <v>39625.826528698344</v>
      </c>
      <c r="DO68">
        <f>'TEA Revised Non EYZ'!CN68</f>
        <v>4586243.4239371875</v>
      </c>
      <c r="DP68">
        <f>'TEA Revised Non EYZ'!CO68</f>
        <v>11794834.586807497</v>
      </c>
      <c r="DQ68">
        <f>'TEA Revised Non EYZ'!CP68</f>
        <v>2275209.1661185985</v>
      </c>
      <c r="DR68">
        <f>'TEA Revised Non EYZ'!CQ68</f>
        <v>14083914.336508472</v>
      </c>
      <c r="DS68">
        <f>'TEA Revised Non EYZ'!CR68</f>
        <v>1662824.8986326549</v>
      </c>
      <c r="DT68">
        <f>'TEA Revised Non EYZ'!CS68</f>
        <v>800322.53402245743</v>
      </c>
      <c r="DU68">
        <f>'TEA Revised Non EYZ'!CT68</f>
        <v>2058257.9318883498</v>
      </c>
      <c r="DV68">
        <f>'TEA Revised Non EYZ'!CU68</f>
        <v>397035.437708179</v>
      </c>
      <c r="DW68">
        <f>'TEA Revised Non EYZ'!CV68</f>
        <v>2457713.856163613</v>
      </c>
      <c r="DX68">
        <f>'TEA Revised Non EYZ'!CW68</f>
        <v>290171.30437591631</v>
      </c>
      <c r="DY68">
        <f>'TEA Revised Non EYZ'!CX68</f>
        <v>6003501.064158516</v>
      </c>
      <c r="DZ68">
        <f>'TEA Revised Non EYZ'!CY68</f>
        <v>800277.78225224779</v>
      </c>
      <c r="EA68">
        <f>'TEA Revised Non EYZ'!CZ68</f>
        <v>2058142.8399321893</v>
      </c>
      <c r="EB68">
        <f>'TEA Revised Non EYZ'!DA68</f>
        <v>397013.23661059892</v>
      </c>
      <c r="EC68">
        <f>'TEA Revised Non EYZ'!DB68</f>
        <v>2457576.4277631165</v>
      </c>
      <c r="ED68">
        <f>'TEA Revised Non EYZ'!DC68</f>
        <v>290155.07881811575</v>
      </c>
      <c r="EE68">
        <f>'TEA Revised Non EYZ'!DD68</f>
        <v>6003165.3653762685</v>
      </c>
      <c r="EF68">
        <v>0.7</v>
      </c>
      <c r="EG68">
        <v>100</v>
      </c>
      <c r="EH68">
        <f>96485*BL68*V68/EF68/EG68/60</f>
        <v>25.198785281986165</v>
      </c>
      <c r="EI68">
        <f>96485*BN68*BA68/EF68/EG68/60</f>
        <v>45.229205510278383</v>
      </c>
      <c r="EJ68">
        <f>EH68*('CAPEX+OPEX'!$O$25+'CAPEX+OPEX'!$O$26)</f>
        <v>803135.68450746301</v>
      </c>
      <c r="EK68">
        <f>EI68*('CAPEX+OPEX'!$O$25+'CAPEX+OPEX'!$O$26)</f>
        <v>1441545.2380235926</v>
      </c>
      <c r="EL68">
        <f>EJ68*1.12/0.6*'CAPEX+OPEX'!$G$116/'CAPEX+OPEX'!$G$115</f>
        <v>1768228.0006537526</v>
      </c>
      <c r="EM68">
        <f>EK68*1.12/0.6*'CAPEX+OPEX'!$G$116/'CAPEX+OPEX'!$G$115</f>
        <v>3173785.8287863303</v>
      </c>
      <c r="EN68">
        <f>EL68+EM68+DY68+EE68+1.15*(SUM(DF68:DM68)+SUM(CF68:CI68))</f>
        <v>17043144.207547516</v>
      </c>
      <c r="EO68">
        <f>EN68/15</f>
        <v>1136209.613836501</v>
      </c>
      <c r="EP68">
        <f>('eLLE Bals'!CB68+'eLLE Bals'!CC68)*'Oxidant Feed Composition'!$N$29*60*7200</f>
        <v>7647041.2690026322</v>
      </c>
      <c r="EQ68" s="53">
        <f>('eLLE Bals'!BR68+'eLLE Bals'!BY68)*'Reagent cost'!$C$38*60*7200*0.5</f>
        <v>252662.58972760447</v>
      </c>
      <c r="ER68">
        <f>'TEA Revised Non EYZ'!DI68</f>
        <v>504921.59999999998</v>
      </c>
      <c r="ES68">
        <f>'TEA Revised Non EYZ'!DJ68</f>
        <v>94.226694425546853</v>
      </c>
      <c r="ET68">
        <f>'TEA Revised Non EYZ'!DK68</f>
        <v>1039.1416849205496</v>
      </c>
      <c r="EU68">
        <f>1.2*SUM(EP68:ET68)</f>
        <v>10086910.5925315</v>
      </c>
      <c r="EV68">
        <f>'TEA Revised Non EYZ'!DM68</f>
        <v>0.70639694042110623</v>
      </c>
      <c r="EW68">
        <f>(BS68*CO68+BT68*CP68)/1000*('Oxidant Feed Composition'!$B$11*'Oxidant Feed Composition'!$O$20+'Oxidant Feed Composition'!$D$11*'Oxidant Feed Composition'!$O$21+'Oxidant Feed Composition'!$F$11*'Oxidant Feed Composition'!$O$27-'Oxidant Feed Composition'!$J$15*18.015)</f>
        <v>1.790152984026282</v>
      </c>
      <c r="EX68">
        <f>(CZ68*BX68+DC68*BZ68)*368.34/1000</f>
        <v>0.10200523202212834</v>
      </c>
      <c r="EY68">
        <f>'TEA Revised Non EYZ'!DP68</f>
        <v>4.999938342565946E-2</v>
      </c>
      <c r="EZ68">
        <f>SUM(EV68:EX68)-EY68</f>
        <v>2.5485557730438573</v>
      </c>
      <c r="FA68">
        <f>EZ68*0.33*60*7200</f>
        <v>363322.11100513232</v>
      </c>
      <c r="FB68">
        <f>'TEA Revised Non EYZ'!DS68</f>
        <v>1.2</v>
      </c>
      <c r="FC68">
        <v>0.5</v>
      </c>
      <c r="FD68">
        <f>'TEA Revised Non EYZ'!DT68</f>
        <v>1405.8852099213232</v>
      </c>
      <c r="FE68">
        <f>'TEA Revised Non EYZ'!DU68</f>
        <v>705.81861211455293</v>
      </c>
      <c r="FF68">
        <f>'TEA Revised Non EYZ'!DV68</f>
        <v>0.7</v>
      </c>
      <c r="FG68">
        <f>'TEA Revised Non EYZ'!DW68</f>
        <v>44032.441905260595</v>
      </c>
      <c r="FH68">
        <f>'TEA Revised Non EYZ'!DX68</f>
        <v>41526.098972294596</v>
      </c>
      <c r="FI68">
        <f>'TEA Revised Non EYZ'!DY68</f>
        <v>17581.614484237631</v>
      </c>
      <c r="FJ68">
        <f>'TEA Revised Non EYZ'!DZ68</f>
        <v>9313.4716969742931</v>
      </c>
      <c r="FK68">
        <f>'TEA Revised Non EYZ'!EA68</f>
        <v>9376.8610582600722</v>
      </c>
      <c r="FL68">
        <f>'TEA Revised Non EYZ'!EB68</f>
        <v>850.27937496041636</v>
      </c>
      <c r="FM68">
        <f>'TEA Revised Non EYZ'!EC68</f>
        <v>43713.452676217516</v>
      </c>
      <c r="FN68">
        <f>'TEA Revised Non EYZ'!ED68</f>
        <v>42673.490277823796</v>
      </c>
      <c r="FO68">
        <f>'TEA Revised Non EYZ'!EE68</f>
        <v>18067.40515794959</v>
      </c>
      <c r="FP68">
        <f>'TEA Revised Non EYZ'!EF68</f>
        <v>9576.1363957083813</v>
      </c>
      <c r="FQ68">
        <f>'TEA Revised Non EYZ'!EG68</f>
        <v>9635.9494175731143</v>
      </c>
      <c r="FR68">
        <f>'TEA Revised Non EYZ'!EH68</f>
        <v>426.87909660688166</v>
      </c>
      <c r="FS68">
        <f>'TEA Revised Non EYZ'!EI68</f>
        <v>246774.08051386688</v>
      </c>
      <c r="FT68">
        <f>EG68*EH68</f>
        <v>2519.8785281986166</v>
      </c>
      <c r="FU68">
        <f>EG68*EI68</f>
        <v>4522.920551027838</v>
      </c>
      <c r="FV68">
        <f>FC68*(FT68+FU68)/(3.6*10^6)*3600*7200*0.07</f>
        <v>1774.7853679650668</v>
      </c>
      <c r="FW68">
        <f>('CAPEX+OPEX'!$C$39/7/100+0.03)*EL68</f>
        <v>90937.440033621562</v>
      </c>
      <c r="FX68">
        <f>('CAPEX+OPEX'!$C$39/7/100+0.03)*EM68</f>
        <v>163223.27119472556</v>
      </c>
      <c r="FY68">
        <f>SUM(FV68:FX68)</f>
        <v>255935.49659631221</v>
      </c>
      <c r="FZ68">
        <f>FY68+FA68+FS68+EU68</f>
        <v>10952942.280646812</v>
      </c>
      <c r="GA68">
        <f>FZ68+EO68</f>
        <v>12089151.894483313</v>
      </c>
      <c r="GB68">
        <f>GA68/(BK68*60*7200)</f>
        <v>0.27984147903896556</v>
      </c>
      <c r="GC68">
        <f>'TEA Revised Non EYZ'!EM68/'TEA Revised Non EYZ'!EK68*GA68</f>
        <v>936.20245343629631</v>
      </c>
      <c r="GD68">
        <f>'TEA Revised Non EYZ'!EN68/'TEA Revised Non EYZ'!EK68*GA68</f>
        <v>1718.1214004057354</v>
      </c>
    </row>
    <row r="69" spans="1:186">
      <c r="A69">
        <f>'TEA Revised Non EYZ'!A69</f>
        <v>9</v>
      </c>
      <c r="B69">
        <f>'TEA Revised Non EYZ'!B69</f>
        <v>1.54143585092054E-3</v>
      </c>
      <c r="C69">
        <f>'TEA Revised Non EYZ'!C69</f>
        <v>1.54143585092054E-3</v>
      </c>
      <c r="D69">
        <f>'TEA Revised Non EYZ'!D69</f>
        <v>3.4254130020456501E-4</v>
      </c>
      <c r="E69">
        <f>'TEA Revised Non EYZ'!E69</f>
        <v>0</v>
      </c>
      <c r="F69">
        <f>'TEA Revised Non EYZ'!F69</f>
        <v>0</v>
      </c>
      <c r="G69">
        <f>'TEA Revised Non EYZ'!G69</f>
        <v>0</v>
      </c>
      <c r="H69">
        <f>'TEA Revised Non EYZ'!H69</f>
        <v>1.7768596981705501E-5</v>
      </c>
      <c r="I69">
        <f>'TEA Revised Non EYZ'!I69</f>
        <v>1.5331283704498101E-9</v>
      </c>
      <c r="J69">
        <f>'TEA Revised Non EYZ'!J69</f>
        <v>3.3763247208936601E-4</v>
      </c>
      <c r="K69">
        <f>'TEA Revised Non EYZ'!K69</f>
        <v>0.13890601070001499</v>
      </c>
      <c r="L69">
        <f>'TEA Revised Non EYZ'!L69</f>
        <v>0.14052575540227799</v>
      </c>
      <c r="M69">
        <f>'TEA Revised Non EYZ'!M69</f>
        <v>4.4751616793740602E-4</v>
      </c>
      <c r="N69">
        <f>'TEA Revised Non EYZ'!N69</f>
        <v>-5.0090140368830299E-17</v>
      </c>
      <c r="O69">
        <f>'TEA Revised Non EYZ'!O69</f>
        <v>-6.2343793322261397E-15</v>
      </c>
      <c r="P69">
        <f>'TEA Revised Non EYZ'!P69</f>
        <v>1.7787691892340301E-20</v>
      </c>
      <c r="Q69">
        <f>'TEA Revised Non EYZ'!Q69</f>
        <v>0.10969051996097</v>
      </c>
      <c r="R69">
        <f>'TEA Revised Non EYZ'!R69</f>
        <v>98.566938318892298</v>
      </c>
      <c r="S69">
        <f>'TEA Revised Non EYZ'!S69</f>
        <v>500</v>
      </c>
      <c r="T69">
        <f>'TEA Revised Non EYZ'!T69</f>
        <v>95</v>
      </c>
      <c r="U69">
        <f>'TEA Revised Non EYZ'!U69</f>
        <v>1</v>
      </c>
      <c r="V69">
        <f>'TEA Revised Non EYZ'!V69</f>
        <v>0.1</v>
      </c>
      <c r="W69">
        <f>'TEA Revised Non EYZ'!W69</f>
        <v>91.165581160141301</v>
      </c>
      <c r="X69" t="str">
        <f>'TEA Revised Non EYZ'!X69</f>
        <v>ddFc</v>
      </c>
      <c r="Y69">
        <f>'TEA Revised Non EYZ'!Y69</f>
        <v>1</v>
      </c>
      <c r="Z69">
        <f>'TEA Revised Non EYZ'!Z69</f>
        <v>0.28318429382522198</v>
      </c>
      <c r="AA69">
        <f>'TEA Revised Non EYZ'!AA69</f>
        <v>0.56945642916197003</v>
      </c>
      <c r="AB69">
        <f>'TEA Revised Non EYZ'!AB69</f>
        <v>3.7698628972227502E-3</v>
      </c>
      <c r="AC69">
        <f>'TEA Revised Non EYZ'!AC69</f>
        <v>1822.2107908876901</v>
      </c>
      <c r="AD69">
        <f>'TEA Revised Non EYZ'!AD69</f>
        <v>2662.6059073104898</v>
      </c>
      <c r="AE69">
        <f>'TEA Revised Non EYZ'!AE69</f>
        <v>2401.5030938442701</v>
      </c>
      <c r="AF69">
        <f>'TEA Revised Non EYZ'!AF69</f>
        <v>11</v>
      </c>
      <c r="AG69">
        <f>'TEA Revised Non EYZ'!AG69</f>
        <v>1.6497485970141401E-3</v>
      </c>
      <c r="AH69">
        <f>'TEA Revised Non EYZ'!AH69</f>
        <v>1.6689858606617799E-3</v>
      </c>
      <c r="AI69">
        <f>'TEA Revised Non EYZ'!AI69</f>
        <v>5.3150268046377499E-6</v>
      </c>
      <c r="AJ69">
        <f>'TEA Revised Non EYZ'!AJ69</f>
        <v>0</v>
      </c>
      <c r="AK69">
        <f>'TEA Revised Non EYZ'!AK69</f>
        <v>0</v>
      </c>
      <c r="AL69">
        <f>'TEA Revised Non EYZ'!AL69</f>
        <v>0</v>
      </c>
      <c r="AM69">
        <f>'TEA Revised Non EYZ'!AM69</f>
        <v>1.6128003908315799E-3</v>
      </c>
      <c r="AN69">
        <f>'TEA Revised Non EYZ'!AN69</f>
        <v>7.9604159390225403E-5</v>
      </c>
      <c r="AO69">
        <f>'TEA Revised Non EYZ'!AO69</f>
        <v>5.2800717061551003E-6</v>
      </c>
      <c r="AP69">
        <f>'TEA Revised Non EYZ'!AP69</f>
        <v>1.7332750811688499E-3</v>
      </c>
      <c r="AQ69">
        <f>'TEA Revised Non EYZ'!AQ69</f>
        <v>7.4559389546738394E-2</v>
      </c>
      <c r="AR69">
        <f>'TEA Revised Non EYZ'!AR69</f>
        <v>1.63977652565795E-6</v>
      </c>
      <c r="AS69">
        <f>'TEA Revised Non EYZ'!AS69</f>
        <v>2.01441375516017E-15</v>
      </c>
      <c r="AT69">
        <f>'TEA Revised Non EYZ'!AT69</f>
        <v>-2.0058065451633499E-13</v>
      </c>
      <c r="AU69">
        <f>'TEA Revised Non EYZ'!AU69</f>
        <v>1.2288595180087699E-20</v>
      </c>
      <c r="AV69">
        <f>'TEA Revised Non EYZ'!AV69</f>
        <v>0.196878472577803</v>
      </c>
      <c r="AW69">
        <f>'TEA Revised Non EYZ'!AW69</f>
        <v>99.342334483578696</v>
      </c>
      <c r="AX69">
        <f>'TEA Revised Non EYZ'!AX69</f>
        <v>500</v>
      </c>
      <c r="AY69">
        <f>'TEA Revised Non EYZ'!AY69</f>
        <v>95</v>
      </c>
      <c r="AZ69">
        <f>'TEA Revised Non EYZ'!AZ69</f>
        <v>0.92357542033771201</v>
      </c>
      <c r="BA69">
        <f>'TEA Revised Non EYZ'!BA69</f>
        <v>0.1</v>
      </c>
      <c r="BB69">
        <f>'TEA Revised Non EYZ'!BB69</f>
        <v>46.9109399440677</v>
      </c>
      <c r="BC69" t="str">
        <f>'TEA Revised Non EYZ'!BC69</f>
        <v>coeFc</v>
      </c>
      <c r="BD69">
        <f>'TEA Revised Non EYZ'!BD69</f>
        <v>1</v>
      </c>
      <c r="BE69">
        <f>'TEA Revised Non EYZ'!BE69</f>
        <v>1.8775014999999999E-2</v>
      </c>
      <c r="BF69">
        <f>'TEA Revised Non EYZ'!BF69</f>
        <v>0.10492961100000001</v>
      </c>
      <c r="BG69">
        <f>'TEA Revised Non EYZ'!BG69</f>
        <v>1.814625E-3</v>
      </c>
      <c r="BH69">
        <f>'TEA Revised Non EYZ'!BH69</f>
        <v>285.1951444</v>
      </c>
      <c r="BI69">
        <f>'TEA Revised Non EYZ'!BI69</f>
        <v>2169.8944889999998</v>
      </c>
      <c r="BJ69">
        <f>'TEA Revised Non EYZ'!BJ69</f>
        <v>866.49409060000005</v>
      </c>
      <c r="BK69">
        <f>'TEA Revised Non EYZ'!BK69</f>
        <v>100</v>
      </c>
      <c r="BL69">
        <f>'TEA Revised Non EYZ'!BL69</f>
        <v>10.969051996096999</v>
      </c>
      <c r="BM69">
        <f>'TEA Revised Non EYZ'!BM69</f>
        <v>92.357542033771196</v>
      </c>
      <c r="BN69">
        <f>'TEA Revised Non EYZ'!BN69</f>
        <v>19.687847257780298</v>
      </c>
      <c r="BO69">
        <f>'TEA Revised Non EYZ'!BO69</f>
        <v>241.31914391413397</v>
      </c>
      <c r="BP69">
        <f>'TEA Revised Non EYZ'!BP69</f>
        <v>511.88402870228776</v>
      </c>
      <c r="BQ69">
        <f>'TEA Revised Non EYZ'!BQ69</f>
        <v>24.1319143914134</v>
      </c>
      <c r="BR69">
        <f>'TEA Revised Non EYZ'!BR69</f>
        <v>51.188402870228778</v>
      </c>
      <c r="BS69">
        <f>'eLLE Bals'!CF69</f>
        <v>6.5814311976581994</v>
      </c>
      <c r="BT69">
        <f>'eLLE Bals'!CG69</f>
        <v>11.812708354668178</v>
      </c>
      <c r="BU69">
        <f>BM69</f>
        <v>92.357542033771196</v>
      </c>
      <c r="BV69">
        <f>BU69*(AM69*2+AN69*2+AO69*3)</f>
        <v>0.3140756121041397</v>
      </c>
      <c r="BW69">
        <f>BN69*BA69*(AP69*2+AQ69*2+AR69*3)</f>
        <v>0.30041735071759135</v>
      </c>
      <c r="BX69">
        <f>BV69/(2*V69*BL69+BV69)</f>
        <v>0.12523520235211408</v>
      </c>
      <c r="BY69">
        <f>BU69*BX69</f>
        <v>11.566415465343217</v>
      </c>
      <c r="BZ69">
        <f>BW69/(2*BN69*BA69+BW69)</f>
        <v>7.0886806574390337E-2</v>
      </c>
      <c r="CA69">
        <f>2*BN69*BA69/0.04</f>
        <v>98.439236288901498</v>
      </c>
      <c r="CB69">
        <f>(BS69+BL69)*2</f>
        <v>35.100966387510397</v>
      </c>
      <c r="CC69">
        <f>(BU69+BL69)*2</f>
        <v>206.65318805973638</v>
      </c>
      <c r="CD69">
        <f>(BT69+BN69)*2</f>
        <v>63.001111224896952</v>
      </c>
      <c r="CE69">
        <f>(CA69+BN69)*2</f>
        <v>236.25416709336361</v>
      </c>
      <c r="CF69">
        <f>'TEA Revised Non EYZ'!CB69</f>
        <v>3185.4126996665682</v>
      </c>
      <c r="CG69">
        <f>'TEA Revised Non EYZ'!CC69</f>
        <v>6756.8691788701981</v>
      </c>
      <c r="CH69">
        <f>'TEA Revised Non EYZ'!CD69</f>
        <v>3848.5686313477631</v>
      </c>
      <c r="CI69">
        <f>'TEA Revised Non EYZ'!CE69</f>
        <v>52116.332515680107</v>
      </c>
      <c r="CJ69">
        <f>BL69*V69</f>
        <v>1.0969051996096999</v>
      </c>
      <c r="CK69">
        <f>CJ69/2*1.2</f>
        <v>0.65814311976581996</v>
      </c>
      <c r="CL69">
        <f>'eLLE Bals'!CB69*'Oxidant Feed Composition'!$N$20</f>
        <v>3.656350665365668E-2</v>
      </c>
      <c r="CM69">
        <f>'eLLE Bals'!CB69*'Oxidant Feed Composition'!$N$21</f>
        <v>1.8281753326828334</v>
      </c>
      <c r="CN69">
        <f>'eLLE Bals'!CB69*'Oxidant Feed Composition'!$N$22</f>
        <v>0.54845259980484995</v>
      </c>
      <c r="CO69">
        <f>CN69/CK69</f>
        <v>0.83333333333333326</v>
      </c>
      <c r="CP69">
        <f>CO69</f>
        <v>0.83333333333333326</v>
      </c>
      <c r="CQ69">
        <f>CL69/CO69</f>
        <v>4.3876207984388023E-2</v>
      </c>
      <c r="CR69">
        <f>CM69/CO69</f>
        <v>2.1938103992194002</v>
      </c>
      <c r="CS69">
        <f>BN69*BA69</f>
        <v>1.96878472577803</v>
      </c>
      <c r="CT69">
        <f>CS69/2*1.2</f>
        <v>1.181270835466818</v>
      </c>
      <c r="CU69">
        <f>'eLLE Bals'!CC69*'Oxidant Feed Composition'!$N$20</f>
        <v>6.5626157525934356E-2</v>
      </c>
      <c r="CV69">
        <f>'eLLE Bals'!CC69*'Oxidant Feed Composition'!$N$21</f>
        <v>3.2813078762967165</v>
      </c>
      <c r="CW69">
        <f>'eLLE Bals'!CC69*'Oxidant Feed Composition'!$N$22</f>
        <v>0.98439236288901499</v>
      </c>
      <c r="CX69">
        <f>CU69/CP69</f>
        <v>7.8751389031121236E-2</v>
      </c>
      <c r="CY69">
        <f>CV69/CP69</f>
        <v>3.93756945155606</v>
      </c>
      <c r="CZ69">
        <f>CJ69</f>
        <v>1.0969051996096999</v>
      </c>
      <c r="DA69">
        <f>'eLLE Bals'!BQ69</f>
        <v>2.1938103992193998</v>
      </c>
      <c r="DB69">
        <f>'eLLE Bals'!BU69</f>
        <v>5.4680453489143357</v>
      </c>
      <c r="DC69">
        <f>CS69</f>
        <v>1.96878472577803</v>
      </c>
      <c r="DD69">
        <f>'eLLE Bals'!BX69</f>
        <v>3.93756945155606</v>
      </c>
      <c r="DE69">
        <f>'eLLE Bals'!CA69</f>
        <v>21.867286940381373</v>
      </c>
      <c r="DF69">
        <f>2*2*(CJ69*'Reagent cost'!$C$36*122.44/1000*0.5+CK69*'Oxidant Feed Composition'!$N$26+CQ69*'Reagent cost'!$C$34+CR69*'Reagent cost'!$C$35)</f>
        <v>73.683823681221483</v>
      </c>
      <c r="DG69">
        <f>2*2*(CS69*'Reagent cost'!$C$36*122.44/1000*0.5+CT69*'Oxidant Feed Composition'!$N$26+CX69*'Reagent cost'!$C$34+CY69*'Reagent cost'!$C$35)</f>
        <v>132.25170839934773</v>
      </c>
      <c r="DH69">
        <f>(AF69+3)*2*(CZ69*'Reagent cost'!$C$38*0.5+DA69*'Reagent cost'!$C$39+DB69*'Reagent cost'!$C$36*122.44/1000)</f>
        <v>1395.9018977460066</v>
      </c>
      <c r="DI69">
        <f>3*2*(DC69*'Reagent cost'!$C$38*0.5+DD69*'Reagent cost'!$C$39+DE69*'Reagent cost'!$C$36*122.44/1000)</f>
        <v>1162.1900874466394</v>
      </c>
      <c r="DJ69">
        <f>7963.6*(CB69/1000)^0.6*1.7*('CAPEX+OPEX'!$G$116/'CAPEX+OPEX'!$G$115)</f>
        <v>2140.0916471558648</v>
      </c>
      <c r="DK69">
        <f>7963.6*(CC69/1000)^0.6*1.7*('CAPEX+OPEX'!$G$116/'CAPEX+OPEX'!$G$115)</f>
        <v>6199.9215410229135</v>
      </c>
      <c r="DL69">
        <f>7963.6*(CD69/1000)^0.6*1.7*('CAPEX+OPEX'!$G$116/'CAPEX+OPEX'!$G$115)</f>
        <v>3039.833898354078</v>
      </c>
      <c r="DM69">
        <f>7963.6*(CE69/1000)^0.6*1.7*('CAPEX+OPEX'!$G$116/'CAPEX+OPEX'!$G$115)</f>
        <v>6718.4426503368622</v>
      </c>
      <c r="DN69">
        <f>'TEA Revised Non EYZ'!CM69</f>
        <v>39625.826528698344</v>
      </c>
      <c r="DO69">
        <f>'TEA Revised Non EYZ'!CN69</f>
        <v>4586243.4239371875</v>
      </c>
      <c r="DP69">
        <f>'TEA Revised Non EYZ'!CO69</f>
        <v>11794834.586807497</v>
      </c>
      <c r="DQ69">
        <f>'TEA Revised Non EYZ'!CP69</f>
        <v>2275209.1661185985</v>
      </c>
      <c r="DR69">
        <f>'TEA Revised Non EYZ'!CQ69</f>
        <v>14083914.336508472</v>
      </c>
      <c r="DS69">
        <f>'TEA Revised Non EYZ'!CR69</f>
        <v>1662824.8986326549</v>
      </c>
      <c r="DT69">
        <f>'TEA Revised Non EYZ'!CS69</f>
        <v>800322.53402245743</v>
      </c>
      <c r="DU69">
        <f>'TEA Revised Non EYZ'!CT69</f>
        <v>2058257.9318883498</v>
      </c>
      <c r="DV69">
        <f>'TEA Revised Non EYZ'!CU69</f>
        <v>397035.437708179</v>
      </c>
      <c r="DW69">
        <f>'TEA Revised Non EYZ'!CV69</f>
        <v>2457713.856163613</v>
      </c>
      <c r="DX69">
        <f>'TEA Revised Non EYZ'!CW69</f>
        <v>290171.30437591631</v>
      </c>
      <c r="DY69">
        <f>'TEA Revised Non EYZ'!CX69</f>
        <v>6003501.064158516</v>
      </c>
      <c r="DZ69">
        <f>'TEA Revised Non EYZ'!CY69</f>
        <v>843167.57420412218</v>
      </c>
      <c r="EA69">
        <f>'TEA Revised Non EYZ'!CZ69</f>
        <v>2168446.1873067734</v>
      </c>
      <c r="EB69">
        <f>'TEA Revised Non EYZ'!DA69</f>
        <v>418290.61741260858</v>
      </c>
      <c r="EC69">
        <f>'TEA Revised Non EYZ'!DB69</f>
        <v>2589286.8713492746</v>
      </c>
      <c r="ED69">
        <f>'TEA Revised Non EYZ'!DC69</f>
        <v>305705.5429697822</v>
      </c>
      <c r="EE69">
        <f>'TEA Revised Non EYZ'!DD69</f>
        <v>6324896.7932425607</v>
      </c>
      <c r="EF69">
        <v>0.7</v>
      </c>
      <c r="EG69">
        <v>100</v>
      </c>
      <c r="EH69">
        <f>96485*BL69*V69/EF69/EG69/60</f>
        <v>25.198785281986165</v>
      </c>
      <c r="EI69">
        <f>96485*BN69*BA69/EF69/EG69/60</f>
        <v>45.22814149206981</v>
      </c>
      <c r="EJ69">
        <f>EH69*('CAPEX+OPEX'!$O$25+'CAPEX+OPEX'!$O$26)</f>
        <v>803135.68450746301</v>
      </c>
      <c r="EK69">
        <f>EI69*('CAPEX+OPEX'!$O$25+'CAPEX+OPEX'!$O$26)</f>
        <v>1441511.325635249</v>
      </c>
      <c r="EL69">
        <f>EJ69*1.12/0.6*'CAPEX+OPEX'!$G$116/'CAPEX+OPEX'!$G$115</f>
        <v>1768228.0006537526</v>
      </c>
      <c r="EM69">
        <f>EK69*1.12/0.6*'CAPEX+OPEX'!$G$116/'CAPEX+OPEX'!$G$115</f>
        <v>3173711.1653940855</v>
      </c>
      <c r="EN69">
        <f>EL69+EM69+DY69+EE69+1.15*(SUM(DF69:DM69)+SUM(CF69:CI69))</f>
        <v>17370121.948770579</v>
      </c>
      <c r="EO69">
        <f>EN69/15</f>
        <v>1158008.1299180386</v>
      </c>
      <c r="EP69">
        <f>('eLLE Bals'!CB69+'eLLE Bals'!CC69)*'Oxidant Feed Composition'!$N$29*60*7200</f>
        <v>7646925.7383583477</v>
      </c>
      <c r="EQ69" s="53">
        <f>('eLLE Bals'!BR69+'eLLE Bals'!BY69)*'Reagent cost'!$C$38*60*7200*0.5</f>
        <v>252662.3502486877</v>
      </c>
      <c r="ER69">
        <f>'TEA Revised Non EYZ'!DI69</f>
        <v>504921.59999999998</v>
      </c>
      <c r="ES69">
        <f>'TEA Revised Non EYZ'!DJ69</f>
        <v>99.422818785367667</v>
      </c>
      <c r="ET69">
        <f>'TEA Revised Non EYZ'!DK69</f>
        <v>1119.2980229405575</v>
      </c>
      <c r="EU69">
        <f>1.2*SUM(EP69:ET69)</f>
        <v>10086874.091338513</v>
      </c>
      <c r="EV69">
        <f>'TEA Revised Non EYZ'!DM69</f>
        <v>0.70639694042110623</v>
      </c>
      <c r="EW69">
        <f>(BS69*CO69+BT69*CP69)/1000*('Oxidant Feed Composition'!$B$11*'Oxidant Feed Composition'!$O$20+'Oxidant Feed Composition'!$D$11*'Oxidant Feed Composition'!$O$21+'Oxidant Feed Composition'!$F$11*'Oxidant Feed Composition'!$O$27-'Oxidant Feed Composition'!$J$15*18.015)</f>
        <v>1.7901259385952011</v>
      </c>
      <c r="EX69">
        <f>(CZ69*BX69+DC69*BZ69)*368.34/1000</f>
        <v>0.10200513533942393</v>
      </c>
      <c r="EY69">
        <f>'TEA Revised Non EYZ'!DP69</f>
        <v>4.999938342565946E-2</v>
      </c>
      <c r="EZ69">
        <f>SUM(EV69:EX69)-EY69</f>
        <v>2.5485286309300719</v>
      </c>
      <c r="FA69">
        <f>EZ69*0.33*60*7200</f>
        <v>363318.24162539106</v>
      </c>
      <c r="FB69">
        <f>'TEA Revised Non EYZ'!DS69</f>
        <v>1.2</v>
      </c>
      <c r="FC69">
        <v>0.5</v>
      </c>
      <c r="FD69">
        <f>'TEA Revised Non EYZ'!DT69</f>
        <v>1405.8879243789322</v>
      </c>
      <c r="FE69">
        <f>'TEA Revised Non EYZ'!DU69</f>
        <v>705.81589745617578</v>
      </c>
      <c r="FF69">
        <f>'TEA Revised Non EYZ'!DV69</f>
        <v>0.7</v>
      </c>
      <c r="FG69">
        <f>'TEA Revised Non EYZ'!DW69</f>
        <v>44032.441905260595</v>
      </c>
      <c r="FH69">
        <f>'TEA Revised Non EYZ'!DX69</f>
        <v>41526.098972294596</v>
      </c>
      <c r="FI69">
        <f>'TEA Revised Non EYZ'!DY69</f>
        <v>17581.614484237631</v>
      </c>
      <c r="FJ69">
        <f>'TEA Revised Non EYZ'!DZ69</f>
        <v>9313.4716969742931</v>
      </c>
      <c r="FK69">
        <f>'TEA Revised Non EYZ'!EA69</f>
        <v>9376.8610582600722</v>
      </c>
      <c r="FL69">
        <f>'TEA Revised Non EYZ'!EB69</f>
        <v>850.28101666437828</v>
      </c>
      <c r="FM69">
        <f>'TEA Revised Non EYZ'!EC69</f>
        <v>46284.832245406782</v>
      </c>
      <c r="FN69">
        <f>'TEA Revised Non EYZ'!ED69</f>
        <v>46552.898484898687</v>
      </c>
      <c r="FO69">
        <f>'TEA Revised Non EYZ'!EE69</f>
        <v>19709.896535945009</v>
      </c>
      <c r="FP69">
        <f>'TEA Revised Non EYZ'!EF69</f>
        <v>10446.694249863689</v>
      </c>
      <c r="FQ69">
        <f>'TEA Revised Non EYZ'!EG69</f>
        <v>10511.944819170671</v>
      </c>
      <c r="FR69">
        <f>'TEA Revised Non EYZ'!EH69</f>
        <v>426.8774547814952</v>
      </c>
      <c r="FS69">
        <f>'TEA Revised Non EYZ'!EI69</f>
        <v>256613.91292375789</v>
      </c>
      <c r="FT69">
        <f>EG69*EH69</f>
        <v>2519.8785281986166</v>
      </c>
      <c r="FU69">
        <f>EG69*EI69</f>
        <v>4522.8141492069808</v>
      </c>
      <c r="FV69">
        <f>FC69*(FT69+FU69)/(3.6*10^6)*3600*7200*0.07</f>
        <v>1774.7585547062108</v>
      </c>
      <c r="FW69">
        <f>('CAPEX+OPEX'!$C$39/7/100+0.03)*EL69</f>
        <v>90937.440033621562</v>
      </c>
      <c r="FX69">
        <f>('CAPEX+OPEX'!$C$39/7/100+0.03)*EM69</f>
        <v>163219.4313631244</v>
      </c>
      <c r="FY69">
        <f>SUM(FV69:FX69)</f>
        <v>255931.62995145217</v>
      </c>
      <c r="FZ69">
        <f>FY69+FA69+FS69+EU69</f>
        <v>10962737.875839114</v>
      </c>
      <c r="GA69">
        <f>FZ69+EO69</f>
        <v>12120746.005757153</v>
      </c>
      <c r="GB69">
        <f>GA69/(BK69*60*7200)</f>
        <v>0.28057282420734153</v>
      </c>
      <c r="GC69">
        <f>'TEA Revised Non EYZ'!EM69/'TEA Revised Non EYZ'!EK69*GA69</f>
        <v>938.6473363989777</v>
      </c>
      <c r="GD69">
        <f>'TEA Revised Non EYZ'!EN69/'TEA Revised Non EYZ'!EK69*GA69</f>
        <v>1722.6176927425943</v>
      </c>
    </row>
    <row r="70" spans="1:186">
      <c r="A70">
        <f>'TEA Revised Non EYZ'!A70</f>
        <v>9</v>
      </c>
      <c r="B70">
        <f>'TEA Revised Non EYZ'!B70</f>
        <v>1.54143585092054E-3</v>
      </c>
      <c r="C70">
        <f>'TEA Revised Non EYZ'!C70</f>
        <v>1.54143585092054E-3</v>
      </c>
      <c r="D70">
        <f>'TEA Revised Non EYZ'!D70</f>
        <v>3.4254130020456501E-4</v>
      </c>
      <c r="E70">
        <f>'TEA Revised Non EYZ'!E70</f>
        <v>0</v>
      </c>
      <c r="F70">
        <f>'TEA Revised Non EYZ'!F70</f>
        <v>0</v>
      </c>
      <c r="G70">
        <f>'TEA Revised Non EYZ'!G70</f>
        <v>0</v>
      </c>
      <c r="H70">
        <f>'TEA Revised Non EYZ'!H70</f>
        <v>1.7768596981705501E-5</v>
      </c>
      <c r="I70">
        <f>'TEA Revised Non EYZ'!I70</f>
        <v>1.5331283704498101E-9</v>
      </c>
      <c r="J70">
        <f>'TEA Revised Non EYZ'!J70</f>
        <v>3.3763247208936601E-4</v>
      </c>
      <c r="K70">
        <f>'TEA Revised Non EYZ'!K70</f>
        <v>0.13890601070001499</v>
      </c>
      <c r="L70">
        <f>'TEA Revised Non EYZ'!L70</f>
        <v>0.14052575540227799</v>
      </c>
      <c r="M70">
        <f>'TEA Revised Non EYZ'!M70</f>
        <v>4.4751616793740602E-4</v>
      </c>
      <c r="N70">
        <f>'TEA Revised Non EYZ'!N70</f>
        <v>-5.0090140368830299E-17</v>
      </c>
      <c r="O70">
        <f>'TEA Revised Non EYZ'!O70</f>
        <v>-6.2343793322261397E-15</v>
      </c>
      <c r="P70">
        <f>'TEA Revised Non EYZ'!P70</f>
        <v>1.7787691892340301E-20</v>
      </c>
      <c r="Q70">
        <f>'TEA Revised Non EYZ'!Q70</f>
        <v>0.10969051996097</v>
      </c>
      <c r="R70">
        <f>'TEA Revised Non EYZ'!R70</f>
        <v>98.566938318892298</v>
      </c>
      <c r="S70">
        <f>'TEA Revised Non EYZ'!S70</f>
        <v>500</v>
      </c>
      <c r="T70">
        <f>'TEA Revised Non EYZ'!T70</f>
        <v>95</v>
      </c>
      <c r="U70">
        <f>'TEA Revised Non EYZ'!U70</f>
        <v>1</v>
      </c>
      <c r="V70">
        <f>'TEA Revised Non EYZ'!V70</f>
        <v>0.1</v>
      </c>
      <c r="W70">
        <f>'TEA Revised Non EYZ'!W70</f>
        <v>91.165581160141301</v>
      </c>
      <c r="X70" t="str">
        <f>'TEA Revised Non EYZ'!X70</f>
        <v>ddFc</v>
      </c>
      <c r="Y70">
        <f>'TEA Revised Non EYZ'!Y70</f>
        <v>1</v>
      </c>
      <c r="Z70">
        <f>'TEA Revised Non EYZ'!Z70</f>
        <v>0.28318429382522198</v>
      </c>
      <c r="AA70">
        <f>'TEA Revised Non EYZ'!AA70</f>
        <v>0.56945642916197003</v>
      </c>
      <c r="AB70">
        <f>'TEA Revised Non EYZ'!AB70</f>
        <v>3.7698628972227502E-3</v>
      </c>
      <c r="AC70">
        <f>'TEA Revised Non EYZ'!AC70</f>
        <v>1822.2107908876901</v>
      </c>
      <c r="AD70">
        <f>'TEA Revised Non EYZ'!AD70</f>
        <v>2662.6059073104898</v>
      </c>
      <c r="AE70">
        <f>'TEA Revised Non EYZ'!AE70</f>
        <v>2401.5030938442701</v>
      </c>
      <c r="AF70">
        <f>'TEA Revised Non EYZ'!AF70</f>
        <v>12</v>
      </c>
      <c r="AG70">
        <f>'TEA Revised Non EYZ'!AG70</f>
        <v>1.6497485970141401E-3</v>
      </c>
      <c r="AH70">
        <f>'TEA Revised Non EYZ'!AH70</f>
        <v>1.6689858606617799E-3</v>
      </c>
      <c r="AI70">
        <f>'TEA Revised Non EYZ'!AI70</f>
        <v>5.3150268046377499E-6</v>
      </c>
      <c r="AJ70">
        <f>'TEA Revised Non EYZ'!AJ70</f>
        <v>0</v>
      </c>
      <c r="AK70">
        <f>'TEA Revised Non EYZ'!AK70</f>
        <v>0</v>
      </c>
      <c r="AL70">
        <f>'TEA Revised Non EYZ'!AL70</f>
        <v>0</v>
      </c>
      <c r="AM70">
        <f>'TEA Revised Non EYZ'!AM70</f>
        <v>1.61280126654258E-3</v>
      </c>
      <c r="AN70">
        <f>'TEA Revised Non EYZ'!AN70</f>
        <v>7.9604204686258806E-5</v>
      </c>
      <c r="AO70">
        <f>'TEA Revised Non EYZ'!AO70</f>
        <v>5.2800725001932601E-6</v>
      </c>
      <c r="AP70">
        <f>'TEA Revised Non EYZ'!AP70</f>
        <v>1.7332454612020299E-3</v>
      </c>
      <c r="AQ70">
        <f>'TEA Revised Non EYZ'!AQ70</f>
        <v>7.4559880410390605E-2</v>
      </c>
      <c r="AR70">
        <f>'TEA Revised Non EYZ'!AR70</f>
        <v>1.63975011876007E-6</v>
      </c>
      <c r="AS70">
        <f>'TEA Revised Non EYZ'!AS70</f>
        <v>3.97766672030619E-16</v>
      </c>
      <c r="AT70">
        <f>'TEA Revised Non EYZ'!AT70</f>
        <v>-3.8874068894467698E-14</v>
      </c>
      <c r="AU70">
        <f>'TEA Revised Non EYZ'!AU70</f>
        <v>-3.3087224502121099E-21</v>
      </c>
      <c r="AV70">
        <f>'TEA Revised Non EYZ'!AV70</f>
        <v>0.196877170799345</v>
      </c>
      <c r="AW70">
        <f>'TEA Revised Non EYZ'!AW70</f>
        <v>99.3423494230736</v>
      </c>
      <c r="AX70">
        <f>'TEA Revised Non EYZ'!AX70</f>
        <v>500</v>
      </c>
      <c r="AY70">
        <f>'TEA Revised Non EYZ'!AY70</f>
        <v>95</v>
      </c>
      <c r="AZ70">
        <f>'TEA Revised Non EYZ'!AZ70</f>
        <v>0.92357542033771201</v>
      </c>
      <c r="BA70">
        <f>'TEA Revised Non EYZ'!BA70</f>
        <v>0.1</v>
      </c>
      <c r="BB70">
        <f>'TEA Revised Non EYZ'!BB70</f>
        <v>46.911250125541898</v>
      </c>
      <c r="BC70" t="str">
        <f>'TEA Revised Non EYZ'!BC70</f>
        <v>coeFc</v>
      </c>
      <c r="BD70">
        <f>'TEA Revised Non EYZ'!BD70</f>
        <v>1</v>
      </c>
      <c r="BE70">
        <f>'TEA Revised Non EYZ'!BE70</f>
        <v>1.8775014999999999E-2</v>
      </c>
      <c r="BF70">
        <f>'TEA Revised Non EYZ'!BF70</f>
        <v>0.10492961100000001</v>
      </c>
      <c r="BG70">
        <f>'TEA Revised Non EYZ'!BG70</f>
        <v>1.814625E-3</v>
      </c>
      <c r="BH70">
        <f>'TEA Revised Non EYZ'!BH70</f>
        <v>285.1951444</v>
      </c>
      <c r="BI70">
        <f>'TEA Revised Non EYZ'!BI70</f>
        <v>2169.8944889999998</v>
      </c>
      <c r="BJ70">
        <f>'TEA Revised Non EYZ'!BJ70</f>
        <v>866.49409060000005</v>
      </c>
      <c r="BK70">
        <f>'TEA Revised Non EYZ'!BK70</f>
        <v>100</v>
      </c>
      <c r="BL70">
        <f>'TEA Revised Non EYZ'!BL70</f>
        <v>10.969051996096999</v>
      </c>
      <c r="BM70">
        <f>'TEA Revised Non EYZ'!BM70</f>
        <v>92.357542033771196</v>
      </c>
      <c r="BN70">
        <f>'TEA Revised Non EYZ'!BN70</f>
        <v>19.687717079934501</v>
      </c>
      <c r="BO70">
        <f>'TEA Revised Non EYZ'!BO70</f>
        <v>241.31914391413397</v>
      </c>
      <c r="BP70">
        <f>'TEA Revised Non EYZ'!BP70</f>
        <v>551.25607823816608</v>
      </c>
      <c r="BQ70">
        <f>'TEA Revised Non EYZ'!BQ70</f>
        <v>24.1319143914134</v>
      </c>
      <c r="BR70">
        <f>'TEA Revised Non EYZ'!BR70</f>
        <v>55.125607823816608</v>
      </c>
      <c r="BS70">
        <f>'eLLE Bals'!CF70</f>
        <v>6.5814311976581994</v>
      </c>
      <c r="BT70">
        <f>'eLLE Bals'!CG70</f>
        <v>11.812630247960699</v>
      </c>
      <c r="BU70">
        <f>BM70</f>
        <v>92.357542033771196</v>
      </c>
      <c r="BV70">
        <f>BU70*(AM70*2+AN70*2+AO70*3)</f>
        <v>0.31407578244803752</v>
      </c>
      <c r="BW70">
        <f>BN70*BA70*(AP70*2+AQ70*2+AR70*3)</f>
        <v>0.30041718034167542</v>
      </c>
      <c r="BX70">
        <f>BV70/(2*V70*BL70+BV70)</f>
        <v>0.12523526176902319</v>
      </c>
      <c r="BY70">
        <f>BU70*BX70</f>
        <v>11.566420952942899</v>
      </c>
      <c r="BZ70">
        <f>BW70/(2*BN70*BA70+BW70)</f>
        <v>7.0887204709249155E-2</v>
      </c>
      <c r="CA70">
        <f>2*BN70*BA70/0.04</f>
        <v>98.438585399672505</v>
      </c>
      <c r="CB70">
        <f>(BS70+BL70)*2</f>
        <v>35.100966387510397</v>
      </c>
      <c r="CC70">
        <f>(BU70+BL70)*2</f>
        <v>206.65318805973638</v>
      </c>
      <c r="CD70">
        <f>(BT70+BN70)*2</f>
        <v>63.000694655790397</v>
      </c>
      <c r="CE70">
        <f>(CA70+BN70)*2</f>
        <v>236.25260495921401</v>
      </c>
      <c r="CF70">
        <f>'TEA Revised Non EYZ'!CB70</f>
        <v>3185.4126996665682</v>
      </c>
      <c r="CG70">
        <f>'TEA Revised Non EYZ'!CC70</f>
        <v>7276.5802327437923</v>
      </c>
      <c r="CH70">
        <f>'TEA Revised Non EYZ'!CD70</f>
        <v>3848.5686313477631</v>
      </c>
      <c r="CI70">
        <f>'TEA Revised Non EYZ'!CE70</f>
        <v>56124.910065242737</v>
      </c>
      <c r="CJ70">
        <f>BL70*V70</f>
        <v>1.0969051996096999</v>
      </c>
      <c r="CK70">
        <f>CJ70/2*1.2</f>
        <v>0.65814311976581996</v>
      </c>
      <c r="CL70">
        <f>'eLLE Bals'!CB70*'Oxidant Feed Composition'!$N$20</f>
        <v>3.656350665365668E-2</v>
      </c>
      <c r="CM70">
        <f>'eLLE Bals'!CB70*'Oxidant Feed Composition'!$N$21</f>
        <v>1.8281753326828334</v>
      </c>
      <c r="CN70">
        <f>'eLLE Bals'!CB70*'Oxidant Feed Composition'!$N$22</f>
        <v>0.54845259980484995</v>
      </c>
      <c r="CO70">
        <f>CN70/CK70</f>
        <v>0.83333333333333326</v>
      </c>
      <c r="CP70">
        <f>CO70</f>
        <v>0.83333333333333326</v>
      </c>
      <c r="CQ70">
        <f>CL70/CO70</f>
        <v>4.3876207984388023E-2</v>
      </c>
      <c r="CR70">
        <f>CM70/CO70</f>
        <v>2.1938103992194002</v>
      </c>
      <c r="CS70">
        <f>BN70*BA70</f>
        <v>1.9687717079934501</v>
      </c>
      <c r="CT70">
        <f>CS70/2*1.2</f>
        <v>1.18126302479607</v>
      </c>
      <c r="CU70">
        <f>'eLLE Bals'!CC70*'Oxidant Feed Composition'!$N$20</f>
        <v>6.5625723599781693E-2</v>
      </c>
      <c r="CV70">
        <f>'eLLE Bals'!CC70*'Oxidant Feed Composition'!$N$21</f>
        <v>3.2812861799890838</v>
      </c>
      <c r="CW70">
        <f>'eLLE Bals'!CC70*'Oxidant Feed Composition'!$N$22</f>
        <v>0.98438585399672507</v>
      </c>
      <c r="CX70">
        <f>CU70/CP70</f>
        <v>7.8750868319738043E-2</v>
      </c>
      <c r="CY70">
        <f>CV70/CP70</f>
        <v>3.9375434159869007</v>
      </c>
      <c r="CZ70">
        <f>CJ70</f>
        <v>1.0969051996096999</v>
      </c>
      <c r="DA70">
        <f>'eLLE Bals'!BQ70</f>
        <v>2.1938103992193998</v>
      </c>
      <c r="DB70">
        <f>'eLLE Bals'!BU70</f>
        <v>5.46804119316376</v>
      </c>
      <c r="DC70">
        <f>CS70</f>
        <v>1.9687717079934501</v>
      </c>
      <c r="DD70">
        <f>'eLLE Bals'!BX70</f>
        <v>3.9375434159869003</v>
      </c>
      <c r="DE70">
        <f>'eLLE Bals'!CA70</f>
        <v>21.86698636348217</v>
      </c>
      <c r="DF70">
        <f>2*2*(CJ70*'Reagent cost'!$C$36*122.44/1000*0.5+CK70*'Oxidant Feed Composition'!$N$26+CQ70*'Reagent cost'!$C$34+CR70*'Reagent cost'!$C$35)</f>
        <v>73.683823681221483</v>
      </c>
      <c r="DG70">
        <f>2*2*(CS70*'Reagent cost'!$C$36*122.44/1000*0.5+CT70*'Oxidant Feed Composition'!$N$26+CX70*'Reagent cost'!$C$34+CY70*'Reagent cost'!$C$35)</f>
        <v>132.25083393896224</v>
      </c>
      <c r="DH70">
        <f>(AF70+3)*2*(CZ70*'Reagent cost'!$C$38*0.5+DA70*'Reagent cost'!$C$39+DB70*'Reagent cost'!$C$36*122.44/1000)</f>
        <v>1495.6080981489847</v>
      </c>
      <c r="DI70">
        <f>3*2*(DC70*'Reagent cost'!$C$38*0.5+DD70*'Reagent cost'!$C$39+DE70*'Reagent cost'!$C$36*122.44/1000)</f>
        <v>1162.1743102182245</v>
      </c>
      <c r="DJ70">
        <f>7963.6*(CB70/1000)^0.6*1.7*('CAPEX+OPEX'!$G$116/'CAPEX+OPEX'!$G$115)</f>
        <v>2140.0916471558648</v>
      </c>
      <c r="DK70">
        <f>7963.6*(CC70/1000)^0.6*1.7*('CAPEX+OPEX'!$G$116/'CAPEX+OPEX'!$G$115)</f>
        <v>6199.9215410229135</v>
      </c>
      <c r="DL70">
        <f>7963.6*(CD70/1000)^0.6*1.7*('CAPEX+OPEX'!$G$116/'CAPEX+OPEX'!$G$115)</f>
        <v>3039.8218385423597</v>
      </c>
      <c r="DM70">
        <f>7963.6*(CE70/1000)^0.6*1.7*('CAPEX+OPEX'!$G$116/'CAPEX+OPEX'!$G$115)</f>
        <v>6718.4159965274393</v>
      </c>
      <c r="DN70">
        <f>'TEA Revised Non EYZ'!CM70</f>
        <v>39625.826528698344</v>
      </c>
      <c r="DO70">
        <f>'TEA Revised Non EYZ'!CN70</f>
        <v>4586243.4239371875</v>
      </c>
      <c r="DP70">
        <f>'TEA Revised Non EYZ'!CO70</f>
        <v>11794834.586807497</v>
      </c>
      <c r="DQ70">
        <f>'TEA Revised Non EYZ'!CP70</f>
        <v>2275209.1661185985</v>
      </c>
      <c r="DR70">
        <f>'TEA Revised Non EYZ'!CQ70</f>
        <v>14083914.336508472</v>
      </c>
      <c r="DS70">
        <f>'TEA Revised Non EYZ'!CR70</f>
        <v>1662824.8986326549</v>
      </c>
      <c r="DT70">
        <f>'TEA Revised Non EYZ'!CS70</f>
        <v>800322.53402245743</v>
      </c>
      <c r="DU70">
        <f>'TEA Revised Non EYZ'!CT70</f>
        <v>2058257.9318883498</v>
      </c>
      <c r="DV70">
        <f>'TEA Revised Non EYZ'!CU70</f>
        <v>397035.437708179</v>
      </c>
      <c r="DW70">
        <f>'TEA Revised Non EYZ'!CV70</f>
        <v>2457713.856163613</v>
      </c>
      <c r="DX70">
        <f>'TEA Revised Non EYZ'!CW70</f>
        <v>290171.30437591631</v>
      </c>
      <c r="DY70">
        <f>'TEA Revised Non EYZ'!CX70</f>
        <v>6003501.064158516</v>
      </c>
      <c r="DZ70">
        <f>'TEA Revised Non EYZ'!CY70</f>
        <v>884649.34487489494</v>
      </c>
      <c r="EA70">
        <f>'TEA Revised Non EYZ'!CZ70</f>
        <v>2275128.4058902822</v>
      </c>
      <c r="EB70">
        <f>'TEA Revised Non EYZ'!DA70</f>
        <v>438869.48689964274</v>
      </c>
      <c r="EC70">
        <f>'TEA Revised Non EYZ'!DB70</f>
        <v>2716673.4164254861</v>
      </c>
      <c r="ED70">
        <f>'TEA Revised Non EYZ'!DC70</f>
        <v>320745.50372518308</v>
      </c>
      <c r="EE70">
        <f>'TEA Revised Non EYZ'!DD70</f>
        <v>6636066.157815489</v>
      </c>
      <c r="EF70">
        <v>0.7</v>
      </c>
      <c r="EG70">
        <v>100</v>
      </c>
      <c r="EH70">
        <f>96485*BL70*V70/EF70/EG70/60</f>
        <v>25.198785281986165</v>
      </c>
      <c r="EI70">
        <f>96485*BN70*BA70/EF70/EG70/60</f>
        <v>45.227842439463828</v>
      </c>
      <c r="EJ70">
        <f>EH70*('CAPEX+OPEX'!$O$25+'CAPEX+OPEX'!$O$26)</f>
        <v>803135.68450746301</v>
      </c>
      <c r="EK70">
        <f>EI70*('CAPEX+OPEX'!$O$25+'CAPEX+OPEX'!$O$26)</f>
        <v>1441501.794230591</v>
      </c>
      <c r="EL70">
        <f>EJ70*1.12/0.6*'CAPEX+OPEX'!$G$116/'CAPEX+OPEX'!$G$115</f>
        <v>1768228.0006537526</v>
      </c>
      <c r="EM70">
        <f>EK70*1.12/0.6*'CAPEX+OPEX'!$G$116/'CAPEX+OPEX'!$G$115</f>
        <v>3173690.1805257415</v>
      </c>
      <c r="EN70">
        <f>EL70+EM70+DY70+EE70+1.15*(SUM(DF70:DM70)+SUM(CF70:CI70))</f>
        <v>17686592.45882947</v>
      </c>
      <c r="EO70">
        <f>EN70/15</f>
        <v>1179106.1639219646</v>
      </c>
      <c r="EP70">
        <f>('eLLE Bals'!CB70+'eLLE Bals'!CC70)*'Oxidant Feed Composition'!$N$29*60*7200</f>
        <v>7646893.267353653</v>
      </c>
      <c r="EQ70" s="53">
        <f>('eLLE Bals'!BR70+'eLLE Bals'!BY70)*'Reagent cost'!$C$38*60*7200*0.5</f>
        <v>252662.28293658333</v>
      </c>
      <c r="ER70">
        <f>'TEA Revised Non EYZ'!DI70</f>
        <v>504921.59999999998</v>
      </c>
      <c r="ES70">
        <f>'TEA Revised Non EYZ'!DJ70</f>
        <v>104.61992932410362</v>
      </c>
      <c r="ET70">
        <f>'TEA Revised Non EYZ'!DK70</f>
        <v>1199.4695739318101</v>
      </c>
      <c r="EU70">
        <f>1.2*SUM(EP70:ET70)</f>
        <v>10086937.48775219</v>
      </c>
      <c r="EV70">
        <f>'TEA Revised Non EYZ'!DM70</f>
        <v>0.70639694042110623</v>
      </c>
      <c r="EW70">
        <f>(BS70*CO70+BT70*CP70)/1000*('Oxidant Feed Composition'!$B$11*'Oxidant Feed Composition'!$O$20+'Oxidant Feed Composition'!$D$11*'Oxidant Feed Composition'!$O$21+'Oxidant Feed Composition'!$F$11*'Oxidant Feed Composition'!$O$27-'Oxidant Feed Composition'!$J$15*18.015)</f>
        <v>1.7901183372152811</v>
      </c>
      <c r="EX70">
        <f>(CZ70*BX70+DC70*BZ70)*368.34/1000</f>
        <v>0.10200510816410356</v>
      </c>
      <c r="EY70">
        <f>'TEA Revised Non EYZ'!DP70</f>
        <v>4.999938342565946E-2</v>
      </c>
      <c r="EZ70">
        <f>SUM(EV70:EX70)-EY70</f>
        <v>2.5485210023748315</v>
      </c>
      <c r="FA70">
        <f>EZ70*0.33*60*7200</f>
        <v>363317.15409855603</v>
      </c>
      <c r="FB70">
        <f>'TEA Revised Non EYZ'!DS70</f>
        <v>1.2</v>
      </c>
      <c r="FC70">
        <v>0.5</v>
      </c>
      <c r="FD70">
        <f>'TEA Revised Non EYZ'!DT70</f>
        <v>1405.8886873017445</v>
      </c>
      <c r="FE70">
        <f>'TEA Revised Non EYZ'!DU70</f>
        <v>705.8151344605501</v>
      </c>
      <c r="FF70">
        <f>'TEA Revised Non EYZ'!DV70</f>
        <v>0.7</v>
      </c>
      <c r="FG70">
        <f>'TEA Revised Non EYZ'!DW70</f>
        <v>44032.441905260595</v>
      </c>
      <c r="FH70">
        <f>'TEA Revised Non EYZ'!DX70</f>
        <v>41526.098972294596</v>
      </c>
      <c r="FI70">
        <f>'TEA Revised Non EYZ'!DY70</f>
        <v>17581.614484237631</v>
      </c>
      <c r="FJ70">
        <f>'TEA Revised Non EYZ'!DZ70</f>
        <v>9313.4716969742931</v>
      </c>
      <c r="FK70">
        <f>'TEA Revised Non EYZ'!EA70</f>
        <v>9376.8610582600722</v>
      </c>
      <c r="FL70">
        <f>'TEA Revised Non EYZ'!EB70</f>
        <v>850.28147808009521</v>
      </c>
      <c r="FM70">
        <f>'TEA Revised Non EYZ'!EC70</f>
        <v>48856.211814596048</v>
      </c>
      <c r="FN70">
        <f>'TEA Revised Non EYZ'!ED70</f>
        <v>50432.306691973587</v>
      </c>
      <c r="FO70">
        <f>'TEA Revised Non EYZ'!EE70</f>
        <v>21352.387913940427</v>
      </c>
      <c r="FP70">
        <f>'TEA Revised Non EYZ'!EF70</f>
        <v>11317.252104018999</v>
      </c>
      <c r="FQ70">
        <f>'TEA Revised Non EYZ'!EG70</f>
        <v>11387.940220768229</v>
      </c>
      <c r="FR70">
        <f>'TEA Revised Non EYZ'!EH70</f>
        <v>426.87699332174071</v>
      </c>
      <c r="FS70">
        <f>'TEA Revised Non EYZ'!EI70</f>
        <v>266453.74533372629</v>
      </c>
      <c r="FT70">
        <f>EG70*EH70</f>
        <v>2519.8785281986166</v>
      </c>
      <c r="FU70">
        <f>EG70*EI70</f>
        <v>4522.784243946383</v>
      </c>
      <c r="FV70">
        <f>FC70*(FT70+FU70)/(3.6*10^6)*3600*7200*0.07</f>
        <v>1774.7510185805399</v>
      </c>
      <c r="FW70">
        <f>('CAPEX+OPEX'!$C$39/7/100+0.03)*EL70</f>
        <v>90937.440033621562</v>
      </c>
      <c r="FX70">
        <f>('CAPEX+OPEX'!$C$39/7/100+0.03)*EM70</f>
        <v>163218.35214132385</v>
      </c>
      <c r="FY70">
        <f>SUM(FV70:FX70)</f>
        <v>255930.54319352595</v>
      </c>
      <c r="FZ70">
        <f>FY70+FA70+FS70+EU70</f>
        <v>10972638.930377997</v>
      </c>
      <c r="GA70">
        <f>FZ70+EO70</f>
        <v>12151745.094299963</v>
      </c>
      <c r="GB70">
        <f>GA70/(BK70*60*7200)</f>
        <v>0.28129039570138803</v>
      </c>
      <c r="GC70">
        <f>'TEA Revised Non EYZ'!EM70/'TEA Revised Non EYZ'!EK70*GA70</f>
        <v>941.04743770763116</v>
      </c>
      <c r="GD70">
        <f>'TEA Revised Non EYZ'!EN70/'TEA Revised Non EYZ'!EK70*GA70</f>
        <v>1727.0250485643339</v>
      </c>
    </row>
    <row r="71" spans="1:186">
      <c r="A71">
        <f>'TEA Revised Non EYZ'!A71</f>
        <v>9</v>
      </c>
      <c r="B71">
        <f>'TEA Revised Non EYZ'!B71</f>
        <v>1.54143585092054E-3</v>
      </c>
      <c r="C71">
        <f>'TEA Revised Non EYZ'!C71</f>
        <v>1.54143585092054E-3</v>
      </c>
      <c r="D71">
        <f>'TEA Revised Non EYZ'!D71</f>
        <v>3.4254130020456501E-4</v>
      </c>
      <c r="E71">
        <f>'TEA Revised Non EYZ'!E71</f>
        <v>0</v>
      </c>
      <c r="F71">
        <f>'TEA Revised Non EYZ'!F71</f>
        <v>0</v>
      </c>
      <c r="G71">
        <f>'TEA Revised Non EYZ'!G71</f>
        <v>0</v>
      </c>
      <c r="H71">
        <f>'TEA Revised Non EYZ'!H71</f>
        <v>1.7768596981705501E-5</v>
      </c>
      <c r="I71">
        <f>'TEA Revised Non EYZ'!I71</f>
        <v>1.5331283704498101E-9</v>
      </c>
      <c r="J71">
        <f>'TEA Revised Non EYZ'!J71</f>
        <v>3.3763247208936601E-4</v>
      </c>
      <c r="K71">
        <f>'TEA Revised Non EYZ'!K71</f>
        <v>0.13890601070001499</v>
      </c>
      <c r="L71">
        <f>'TEA Revised Non EYZ'!L71</f>
        <v>0.14052575540227799</v>
      </c>
      <c r="M71">
        <f>'TEA Revised Non EYZ'!M71</f>
        <v>4.4751616793740602E-4</v>
      </c>
      <c r="N71">
        <f>'TEA Revised Non EYZ'!N71</f>
        <v>-5.0090140368830299E-17</v>
      </c>
      <c r="O71">
        <f>'TEA Revised Non EYZ'!O71</f>
        <v>-6.2343793322261397E-15</v>
      </c>
      <c r="P71">
        <f>'TEA Revised Non EYZ'!P71</f>
        <v>1.7787691892340301E-20</v>
      </c>
      <c r="Q71">
        <f>'TEA Revised Non EYZ'!Q71</f>
        <v>0.10969051996097</v>
      </c>
      <c r="R71">
        <f>'TEA Revised Non EYZ'!R71</f>
        <v>98.566938318892298</v>
      </c>
      <c r="S71">
        <f>'TEA Revised Non EYZ'!S71</f>
        <v>500</v>
      </c>
      <c r="T71">
        <f>'TEA Revised Non EYZ'!T71</f>
        <v>95</v>
      </c>
      <c r="U71">
        <f>'TEA Revised Non EYZ'!U71</f>
        <v>1</v>
      </c>
      <c r="V71">
        <f>'TEA Revised Non EYZ'!V71</f>
        <v>0.1</v>
      </c>
      <c r="W71">
        <f>'TEA Revised Non EYZ'!W71</f>
        <v>91.165581160141301</v>
      </c>
      <c r="X71" t="str">
        <f>'TEA Revised Non EYZ'!X71</f>
        <v>ddFc</v>
      </c>
      <c r="Y71">
        <f>'TEA Revised Non EYZ'!Y71</f>
        <v>1</v>
      </c>
      <c r="Z71">
        <f>'TEA Revised Non EYZ'!Z71</f>
        <v>0.28318429382522198</v>
      </c>
      <c r="AA71">
        <f>'TEA Revised Non EYZ'!AA71</f>
        <v>0.56945642916197003</v>
      </c>
      <c r="AB71">
        <f>'TEA Revised Non EYZ'!AB71</f>
        <v>3.7698628972227502E-3</v>
      </c>
      <c r="AC71">
        <f>'TEA Revised Non EYZ'!AC71</f>
        <v>1822.2107908876901</v>
      </c>
      <c r="AD71">
        <f>'TEA Revised Non EYZ'!AD71</f>
        <v>2662.6059073104898</v>
      </c>
      <c r="AE71">
        <f>'TEA Revised Non EYZ'!AE71</f>
        <v>2401.5030938442701</v>
      </c>
      <c r="AF71">
        <f>'TEA Revised Non EYZ'!AF71</f>
        <v>13</v>
      </c>
      <c r="AG71">
        <f>'TEA Revised Non EYZ'!AG71</f>
        <v>1.6497485970141401E-3</v>
      </c>
      <c r="AH71">
        <f>'TEA Revised Non EYZ'!AH71</f>
        <v>1.6689858606617799E-3</v>
      </c>
      <c r="AI71">
        <f>'TEA Revised Non EYZ'!AI71</f>
        <v>5.3150268046377499E-6</v>
      </c>
      <c r="AJ71">
        <f>'TEA Revised Non EYZ'!AJ71</f>
        <v>0</v>
      </c>
      <c r="AK71">
        <f>'TEA Revised Non EYZ'!AK71</f>
        <v>0</v>
      </c>
      <c r="AL71">
        <f>'TEA Revised Non EYZ'!AL71</f>
        <v>0</v>
      </c>
      <c r="AM71">
        <f>'TEA Revised Non EYZ'!AM71</f>
        <v>1.6128015126361699E-3</v>
      </c>
      <c r="AN71">
        <f>'TEA Revised Non EYZ'!AN71</f>
        <v>7.9604217415409805E-5</v>
      </c>
      <c r="AO71">
        <f>'TEA Revised Non EYZ'!AO71</f>
        <v>5.2800727233350599E-6</v>
      </c>
      <c r="AP71">
        <f>'TEA Revised Non EYZ'!AP71</f>
        <v>1.7332371372774599E-3</v>
      </c>
      <c r="AQ71">
        <f>'TEA Revised Non EYZ'!AQ71</f>
        <v>7.4560018354909094E-2</v>
      </c>
      <c r="AR71">
        <f>'TEA Revised Non EYZ'!AR71</f>
        <v>1.6397426977852001E-6</v>
      </c>
      <c r="AS71">
        <f>'TEA Revised Non EYZ'!AS71</f>
        <v>2.84603070277444E-19</v>
      </c>
      <c r="AT71">
        <f>'TEA Revised Non EYZ'!AT71</f>
        <v>-1.2576745200831801E-17</v>
      </c>
      <c r="AU71">
        <f>'TEA Revised Non EYZ'!AU71</f>
        <v>8.8673761665684492E-22</v>
      </c>
      <c r="AV71">
        <f>'TEA Revised Non EYZ'!AV71</f>
        <v>0.196876804972202</v>
      </c>
      <c r="AW71">
        <f>'TEA Revised Non EYZ'!AW71</f>
        <v>99.342353621393102</v>
      </c>
      <c r="AX71">
        <f>'TEA Revised Non EYZ'!AX71</f>
        <v>500</v>
      </c>
      <c r="AY71">
        <f>'TEA Revised Non EYZ'!AY71</f>
        <v>95</v>
      </c>
      <c r="AZ71">
        <f>'TEA Revised Non EYZ'!AZ71</f>
        <v>0.92357542033771201</v>
      </c>
      <c r="BA71">
        <f>'TEA Revised Non EYZ'!BA71</f>
        <v>0.1</v>
      </c>
      <c r="BB71">
        <f>'TEA Revised Non EYZ'!BB71</f>
        <v>46.911337293802198</v>
      </c>
      <c r="BC71" t="str">
        <f>'TEA Revised Non EYZ'!BC71</f>
        <v>coeFc</v>
      </c>
      <c r="BD71">
        <f>'TEA Revised Non EYZ'!BD71</f>
        <v>1</v>
      </c>
      <c r="BE71">
        <f>'TEA Revised Non EYZ'!BE71</f>
        <v>1.8775014999999999E-2</v>
      </c>
      <c r="BF71">
        <f>'TEA Revised Non EYZ'!BF71</f>
        <v>0.10492961100000001</v>
      </c>
      <c r="BG71">
        <f>'TEA Revised Non EYZ'!BG71</f>
        <v>1.814625E-3</v>
      </c>
      <c r="BH71">
        <f>'TEA Revised Non EYZ'!BH71</f>
        <v>285.1951444</v>
      </c>
      <c r="BI71">
        <f>'TEA Revised Non EYZ'!BI71</f>
        <v>2169.8944889999998</v>
      </c>
      <c r="BJ71">
        <f>'TEA Revised Non EYZ'!BJ71</f>
        <v>866.49409060000005</v>
      </c>
      <c r="BK71">
        <f>'TEA Revised Non EYZ'!BK71</f>
        <v>100</v>
      </c>
      <c r="BL71">
        <f>'TEA Revised Non EYZ'!BL71</f>
        <v>10.969051996096999</v>
      </c>
      <c r="BM71">
        <f>'TEA Revised Non EYZ'!BM71</f>
        <v>92.357542033771196</v>
      </c>
      <c r="BN71">
        <f>'TEA Revised Non EYZ'!BN71</f>
        <v>19.6876804972202</v>
      </c>
      <c r="BO71">
        <f>'TEA Revised Non EYZ'!BO71</f>
        <v>241.31914391413397</v>
      </c>
      <c r="BP71">
        <f>'TEA Revised Non EYZ'!BP71</f>
        <v>590.63041491660601</v>
      </c>
      <c r="BQ71">
        <f>'TEA Revised Non EYZ'!BQ71</f>
        <v>24.1319143914134</v>
      </c>
      <c r="BR71">
        <f>'TEA Revised Non EYZ'!BR71</f>
        <v>59.063041491660606</v>
      </c>
      <c r="BS71">
        <f>'eLLE Bals'!CF71</f>
        <v>6.5814311976581994</v>
      </c>
      <c r="BT71">
        <f>'eLLE Bals'!CG71</f>
        <v>11.812608298332119</v>
      </c>
      <c r="BU71">
        <f>BM71</f>
        <v>92.357542033771196</v>
      </c>
      <c r="BV71">
        <f>BU71*(AM71*2+AN71*2+AO71*3)</f>
        <v>0.31407583031832836</v>
      </c>
      <c r="BW71">
        <f>BN71*BA71*(AP71*2+AQ71*2+AR71*3)</f>
        <v>0.30041713246369134</v>
      </c>
      <c r="BX71">
        <f>BV71/(2*V71*BL71+BV71)</f>
        <v>0.12523527846644827</v>
      </c>
      <c r="BY71">
        <f>BU71*BX71</f>
        <v>11.566422495076036</v>
      </c>
      <c r="BZ71">
        <f>BW71/(2*BN71*BA71+BW71)</f>
        <v>7.0887316594680158E-2</v>
      </c>
      <c r="CA71">
        <f>2*BN71*BA71/0.04</f>
        <v>98.438402486100998</v>
      </c>
      <c r="CB71">
        <f>(BS71+BL71)*2</f>
        <v>35.100966387510397</v>
      </c>
      <c r="CC71">
        <f>(BU71+BL71)*2</f>
        <v>206.65318805973638</v>
      </c>
      <c r="CD71">
        <f>(BT71+BN71)*2</f>
        <v>63.000577591104637</v>
      </c>
      <c r="CE71">
        <f>(CA71+BN71)*2</f>
        <v>236.25216596664239</v>
      </c>
      <c r="CF71">
        <f>'TEA Revised Non EYZ'!CB71</f>
        <v>3185.4126996665682</v>
      </c>
      <c r="CG71">
        <f>'TEA Revised Non EYZ'!CC71</f>
        <v>7796.3214768992002</v>
      </c>
      <c r="CH71">
        <f>'TEA Revised Non EYZ'!CD71</f>
        <v>3848.5686313477631</v>
      </c>
      <c r="CI71">
        <f>'TEA Revised Non EYZ'!CE71</f>
        <v>60133.720475132257</v>
      </c>
      <c r="CJ71">
        <f>BL71*V71</f>
        <v>1.0969051996096999</v>
      </c>
      <c r="CK71">
        <f>CJ71/2*1.2</f>
        <v>0.65814311976581996</v>
      </c>
      <c r="CL71">
        <f>'eLLE Bals'!CB71*'Oxidant Feed Composition'!$N$20</f>
        <v>3.656350665365668E-2</v>
      </c>
      <c r="CM71">
        <f>'eLLE Bals'!CB71*'Oxidant Feed Composition'!$N$21</f>
        <v>1.8281753326828334</v>
      </c>
      <c r="CN71">
        <f>'eLLE Bals'!CB71*'Oxidant Feed Composition'!$N$22</f>
        <v>0.54845259980484995</v>
      </c>
      <c r="CO71">
        <f>CN71/CK71</f>
        <v>0.83333333333333326</v>
      </c>
      <c r="CP71">
        <f>CO71</f>
        <v>0.83333333333333326</v>
      </c>
      <c r="CQ71">
        <f>CL71/CO71</f>
        <v>4.3876207984388023E-2</v>
      </c>
      <c r="CR71">
        <f>CM71/CO71</f>
        <v>2.1938103992194002</v>
      </c>
      <c r="CS71">
        <f>BN71*BA71</f>
        <v>1.9687680497220201</v>
      </c>
      <c r="CT71">
        <f>CS71/2*1.2</f>
        <v>1.1812608298332121</v>
      </c>
      <c r="CU71">
        <f>'eLLE Bals'!CC71*'Oxidant Feed Composition'!$N$20</f>
        <v>6.5625601657400695E-2</v>
      </c>
      <c r="CV71">
        <f>'eLLE Bals'!CC71*'Oxidant Feed Composition'!$N$21</f>
        <v>3.2812800828700337</v>
      </c>
      <c r="CW71">
        <f>'eLLE Bals'!CC71*'Oxidant Feed Composition'!$N$22</f>
        <v>0.98438402486101007</v>
      </c>
      <c r="CX71">
        <f>CU71/CP71</f>
        <v>7.8750721988880848E-2</v>
      </c>
      <c r="CY71">
        <f>CV71/CP71</f>
        <v>3.9375360994440407</v>
      </c>
      <c r="CZ71">
        <f>CJ71</f>
        <v>1.0969051996096999</v>
      </c>
      <c r="DA71">
        <f>'eLLE Bals'!BQ71</f>
        <v>2.1938103992193998</v>
      </c>
      <c r="DB71">
        <f>'eLLE Bals'!BU71</f>
        <v>5.4680400253185892</v>
      </c>
      <c r="DC71">
        <f>CS71</f>
        <v>1.9687680497220201</v>
      </c>
      <c r="DD71">
        <f>'eLLE Bals'!BX71</f>
        <v>3.9375360994440403</v>
      </c>
      <c r="DE71">
        <f>'eLLE Bals'!CA71</f>
        <v>21.866901895281231</v>
      </c>
      <c r="DF71">
        <f>2*2*(CJ71*'Reagent cost'!$C$36*122.44/1000*0.5+CK71*'Oxidant Feed Composition'!$N$26+CQ71*'Reagent cost'!$C$34+CR71*'Reagent cost'!$C$35)</f>
        <v>73.683823681221483</v>
      </c>
      <c r="DG71">
        <f>2*2*(CS71*'Reagent cost'!$C$36*122.44/1000*0.5+CT71*'Oxidant Feed Composition'!$N$26+CX71*'Reagent cost'!$C$34+CY71*'Reagent cost'!$C$35)</f>
        <v>132.25058819719067</v>
      </c>
      <c r="DH71">
        <f>(AF71+3)*2*(CZ71*'Reagent cost'!$C$38*0.5+DA71*'Reagent cost'!$C$39+DB71*'Reagent cost'!$C$36*122.44/1000)</f>
        <v>1595.314981555553</v>
      </c>
      <c r="DI71">
        <f>3*2*(DC71*'Reagent cost'!$C$38*0.5+DD71*'Reagent cost'!$C$39+DE71*'Reagent cost'!$C$36*122.44/1000)</f>
        <v>1162.1698764971156</v>
      </c>
      <c r="DJ71">
        <f>7963.6*(CB71/1000)^0.6*1.7*('CAPEX+OPEX'!$G$116/'CAPEX+OPEX'!$G$115)</f>
        <v>2140.0916471558648</v>
      </c>
      <c r="DK71">
        <f>7963.6*(CC71/1000)^0.6*1.7*('CAPEX+OPEX'!$G$116/'CAPEX+OPEX'!$G$115)</f>
        <v>6199.9215410229135</v>
      </c>
      <c r="DL71">
        <f>7963.6*(CD71/1000)^0.6*1.7*('CAPEX+OPEX'!$G$116/'CAPEX+OPEX'!$G$115)</f>
        <v>3039.8184494757229</v>
      </c>
      <c r="DM71">
        <f>7963.6*(CE71/1000)^0.6*1.7*('CAPEX+OPEX'!$G$116/'CAPEX+OPEX'!$G$115)</f>
        <v>6718.4085062333661</v>
      </c>
      <c r="DN71">
        <f>'TEA Revised Non EYZ'!CM71</f>
        <v>39625.826528698344</v>
      </c>
      <c r="DO71">
        <f>'TEA Revised Non EYZ'!CN71</f>
        <v>4586243.4239371875</v>
      </c>
      <c r="DP71">
        <f>'TEA Revised Non EYZ'!CO71</f>
        <v>11794834.586807497</v>
      </c>
      <c r="DQ71">
        <f>'TEA Revised Non EYZ'!CP71</f>
        <v>2275209.1661185985</v>
      </c>
      <c r="DR71">
        <f>'TEA Revised Non EYZ'!CQ71</f>
        <v>14083914.336508472</v>
      </c>
      <c r="DS71">
        <f>'TEA Revised Non EYZ'!CR71</f>
        <v>1662824.8986326549</v>
      </c>
      <c r="DT71">
        <f>'TEA Revised Non EYZ'!CS71</f>
        <v>800322.53402245743</v>
      </c>
      <c r="DU71">
        <f>'TEA Revised Non EYZ'!CT71</f>
        <v>2058257.9318883498</v>
      </c>
      <c r="DV71">
        <f>'TEA Revised Non EYZ'!CU71</f>
        <v>397035.437708179</v>
      </c>
      <c r="DW71">
        <f>'TEA Revised Non EYZ'!CV71</f>
        <v>2457713.856163613</v>
      </c>
      <c r="DX71">
        <f>'TEA Revised Non EYZ'!CW71</f>
        <v>290171.30437591631</v>
      </c>
      <c r="DY71">
        <f>'TEA Revised Non EYZ'!CX71</f>
        <v>6003501.064158516</v>
      </c>
      <c r="DZ71">
        <f>'TEA Revised Non EYZ'!CY71</f>
        <v>924872.72116447624</v>
      </c>
      <c r="EA71">
        <f>'TEA Revised Non EYZ'!CZ71</f>
        <v>2378574.3039824599</v>
      </c>
      <c r="EB71">
        <f>'TEA Revised Non EYZ'!DA71</f>
        <v>458824.07412208192</v>
      </c>
      <c r="EC71">
        <f>'TEA Revised Non EYZ'!DB71</f>
        <v>2840195.5528718065</v>
      </c>
      <c r="ED71">
        <f>'TEA Revised Non EYZ'!DC71</f>
        <v>335329.21100340848</v>
      </c>
      <c r="EE71">
        <f>'TEA Revised Non EYZ'!DD71</f>
        <v>6937795.8631442329</v>
      </c>
      <c r="EF71">
        <v>0.7</v>
      </c>
      <c r="EG71">
        <v>100</v>
      </c>
      <c r="EH71">
        <f>96485*BL71*V71/EF71/EG71/60</f>
        <v>25.198785281986165</v>
      </c>
      <c r="EI71">
        <f>96485*BN71*BA71/EF71/EG71/60</f>
        <v>45.227758399387888</v>
      </c>
      <c r="EJ71">
        <f>EH71*('CAPEX+OPEX'!$O$25+'CAPEX+OPEX'!$O$26)</f>
        <v>803135.68450746301</v>
      </c>
      <c r="EK71">
        <f>EI71*('CAPEX+OPEX'!$O$25+'CAPEX+OPEX'!$O$26)</f>
        <v>1441499.1157052908</v>
      </c>
      <c r="EL71">
        <f>EJ71*1.12/0.6*'CAPEX+OPEX'!$G$116/'CAPEX+OPEX'!$G$115</f>
        <v>1768228.0006537526</v>
      </c>
      <c r="EM71">
        <f>EK71*1.12/0.6*'CAPEX+OPEX'!$G$116/'CAPEX+OPEX'!$G$115</f>
        <v>3173684.2833361039</v>
      </c>
      <c r="EN71">
        <f>EL71+EM71+DY71+EE71+1.15*(SUM(DF71:DM71)+SUM(CF71:CI71))</f>
        <v>17993638.746394001</v>
      </c>
      <c r="EO71">
        <f>EN71/15</f>
        <v>1199575.9164262668</v>
      </c>
      <c r="EP71">
        <f>('eLLE Bals'!CB71+'eLLE Bals'!CC71)*'Oxidant Feed Composition'!$N$29*60*7200</f>
        <v>7646884.1423179712</v>
      </c>
      <c r="EQ71" s="53">
        <f>('eLLE Bals'!BR71+'eLLE Bals'!BY71)*'Reagent cost'!$C$38*60*7200*0.5</f>
        <v>252662.26402086424</v>
      </c>
      <c r="ER71">
        <f>'TEA Revised Non EYZ'!DI71</f>
        <v>504921.59999999998</v>
      </c>
      <c r="ES71">
        <f>'TEA Revised Non EYZ'!DJ71</f>
        <v>109.8173417656577</v>
      </c>
      <c r="ET71">
        <f>'TEA Revised Non EYZ'!DK71</f>
        <v>1279.6457821296005</v>
      </c>
      <c r="EU71">
        <f>1.2*SUM(EP71:ET71)</f>
        <v>10087028.963355275</v>
      </c>
      <c r="EV71">
        <f>'TEA Revised Non EYZ'!DM71</f>
        <v>0.70639694042110623</v>
      </c>
      <c r="EW71">
        <f>(BS71*CO71+BT71*CP71)/1000*('Oxidant Feed Composition'!$B$11*'Oxidant Feed Composition'!$O$20+'Oxidant Feed Composition'!$D$11*'Oxidant Feed Composition'!$O$21+'Oxidant Feed Composition'!$F$11*'Oxidant Feed Composition'!$O$27-'Oxidant Feed Composition'!$J$15*18.015)</f>
        <v>1.7901162010675504</v>
      </c>
      <c r="EX71">
        <f>(CZ71*BX71+DC71*BZ71)*368.34/1000</f>
        <v>0.10200510052742763</v>
      </c>
      <c r="EY71">
        <f>'TEA Revised Non EYZ'!DP71</f>
        <v>4.999938342565946E-2</v>
      </c>
      <c r="EZ71">
        <f>SUM(EV71:EX71)-EY71</f>
        <v>2.548518858590425</v>
      </c>
      <c r="FA71">
        <f>EZ71*0.33*60*7200</f>
        <v>363316.84848065104</v>
      </c>
      <c r="FB71">
        <f>'TEA Revised Non EYZ'!DS71</f>
        <v>1.2</v>
      </c>
      <c r="FC71">
        <v>0.5</v>
      </c>
      <c r="FD71">
        <f>'TEA Revised Non EYZ'!DT71</f>
        <v>1405.8889016994299</v>
      </c>
      <c r="FE71">
        <f>'TEA Revised Non EYZ'!DU71</f>
        <v>705.8149200453754</v>
      </c>
      <c r="FF71">
        <f>'TEA Revised Non EYZ'!DV71</f>
        <v>0.7</v>
      </c>
      <c r="FG71">
        <f>'TEA Revised Non EYZ'!DW71</f>
        <v>44032.441905260595</v>
      </c>
      <c r="FH71">
        <f>'TEA Revised Non EYZ'!DX71</f>
        <v>41526.098972294596</v>
      </c>
      <c r="FI71">
        <f>'TEA Revised Non EYZ'!DY71</f>
        <v>17581.614484237631</v>
      </c>
      <c r="FJ71">
        <f>'TEA Revised Non EYZ'!DZ71</f>
        <v>9313.4716969742931</v>
      </c>
      <c r="FK71">
        <f>'TEA Revised Non EYZ'!EA71</f>
        <v>9376.8610582600722</v>
      </c>
      <c r="FL71">
        <f>'TEA Revised Non EYZ'!EB71</f>
        <v>850.28160774781531</v>
      </c>
      <c r="FM71">
        <f>'TEA Revised Non EYZ'!EC71</f>
        <v>51427.591383785315</v>
      </c>
      <c r="FN71">
        <f>'TEA Revised Non EYZ'!ED71</f>
        <v>54311.714899048464</v>
      </c>
      <c r="FO71">
        <f>'TEA Revised Non EYZ'!EE71</f>
        <v>22994.879291935842</v>
      </c>
      <c r="FP71">
        <f>'TEA Revised Non EYZ'!EF71</f>
        <v>12187.809958174303</v>
      </c>
      <c r="FQ71">
        <f>'TEA Revised Non EYZ'!EG71</f>
        <v>12263.935622365781</v>
      </c>
      <c r="FR71">
        <f>'TEA Revised Non EYZ'!EH71</f>
        <v>426.87686364344307</v>
      </c>
      <c r="FS71">
        <f>'TEA Revised Non EYZ'!EI71</f>
        <v>276293.57774372824</v>
      </c>
      <c r="FT71">
        <f>EG71*EH71</f>
        <v>2519.8785281986166</v>
      </c>
      <c r="FU71">
        <f>EG71*EI71</f>
        <v>4522.7758399387885</v>
      </c>
      <c r="FV71">
        <f>FC71*(FT71+FU71)/(3.6*10^6)*3600*7200*0.07</f>
        <v>1774.7489007706261</v>
      </c>
      <c r="FW71">
        <f>('CAPEX+OPEX'!$C$39/7/100+0.03)*EL71</f>
        <v>90937.440033621562</v>
      </c>
      <c r="FX71">
        <f>('CAPEX+OPEX'!$C$39/7/100+0.03)*EM71</f>
        <v>163218.04885728535</v>
      </c>
      <c r="FY71">
        <f>SUM(FV71:FX71)</f>
        <v>255930.23779167753</v>
      </c>
      <c r="FZ71">
        <f>FY71+FA71+FS71+EU71</f>
        <v>10982569.627371332</v>
      </c>
      <c r="GA71">
        <f>FZ71+EO71</f>
        <v>12182145.543797599</v>
      </c>
      <c r="GB71">
        <f>GA71/(BK71*60*7200)</f>
        <v>0.28199410981012962</v>
      </c>
      <c r="GC71">
        <f>'TEA Revised Non EYZ'!EM71/'TEA Revised Non EYZ'!EK71*GA71</f>
        <v>943.40154533161899</v>
      </c>
      <c r="GD71">
        <f>'TEA Revised Non EYZ'!EN71/'TEA Revised Non EYZ'!EK71*GA71</f>
        <v>1731.3460929636651</v>
      </c>
    </row>
    <row r="72" spans="1:186">
      <c r="A72">
        <f>'TEA Revised Non EYZ'!A72</f>
        <v>10</v>
      </c>
      <c r="B72">
        <f>'TEA Revised Non EYZ'!B72</f>
        <v>1.54143585092054E-3</v>
      </c>
      <c r="C72">
        <f>'TEA Revised Non EYZ'!C72</f>
        <v>1.54143585092054E-3</v>
      </c>
      <c r="D72">
        <f>'TEA Revised Non EYZ'!D72</f>
        <v>3.4254130020456501E-4</v>
      </c>
      <c r="E72">
        <f>'TEA Revised Non EYZ'!E72</f>
        <v>0</v>
      </c>
      <c r="F72">
        <f>'TEA Revised Non EYZ'!F72</f>
        <v>0</v>
      </c>
      <c r="G72">
        <f>'TEA Revised Non EYZ'!G72</f>
        <v>0</v>
      </c>
      <c r="H72">
        <f>'TEA Revised Non EYZ'!H72</f>
        <v>1.7770671970930099E-5</v>
      </c>
      <c r="I72">
        <f>'TEA Revised Non EYZ'!I72</f>
        <v>5.2649488631162003E-10</v>
      </c>
      <c r="J72">
        <f>'TEA Revised Non EYZ'!J72</f>
        <v>3.3765279177869602E-4</v>
      </c>
      <c r="K72">
        <f>'TEA Revised Non EYZ'!K72</f>
        <v>0.139053960209192</v>
      </c>
      <c r="L72">
        <f>'TEA Revised Non EYZ'!L72</f>
        <v>0.14067571356050099</v>
      </c>
      <c r="M72">
        <f>'TEA Revised Non EYZ'!M72</f>
        <v>4.4613899794023002E-4</v>
      </c>
      <c r="N72">
        <f>'TEA Revised Non EYZ'!N72</f>
        <v>-1.6046192152785399E-16</v>
      </c>
      <c r="O72">
        <f>'TEA Revised Non EYZ'!O72</f>
        <v>-5.9831913729046996E-14</v>
      </c>
      <c r="P72">
        <f>'TEA Revised Non EYZ'!P72</f>
        <v>-6.6915602833089703E-20</v>
      </c>
      <c r="Q72">
        <f>'TEA Revised Non EYZ'!Q72</f>
        <v>0.10957366310586</v>
      </c>
      <c r="R72">
        <f>'TEA Revised Non EYZ'!R72</f>
        <v>98.572870359588904</v>
      </c>
      <c r="S72">
        <f>'TEA Revised Non EYZ'!S72</f>
        <v>500</v>
      </c>
      <c r="T72">
        <f>'TEA Revised Non EYZ'!T72</f>
        <v>95</v>
      </c>
      <c r="U72">
        <f>'TEA Revised Non EYZ'!U72</f>
        <v>1</v>
      </c>
      <c r="V72">
        <f>'TEA Revised Non EYZ'!V72</f>
        <v>0.1</v>
      </c>
      <c r="W72">
        <f>'TEA Revised Non EYZ'!W72</f>
        <v>91.262806376555005</v>
      </c>
      <c r="X72" t="str">
        <f>'TEA Revised Non EYZ'!X72</f>
        <v>ddFc</v>
      </c>
      <c r="Y72">
        <f>'TEA Revised Non EYZ'!Y72</f>
        <v>1</v>
      </c>
      <c r="Z72">
        <f>'TEA Revised Non EYZ'!Z72</f>
        <v>0.28318429382522198</v>
      </c>
      <c r="AA72">
        <f>'TEA Revised Non EYZ'!AA72</f>
        <v>0.56945642916197003</v>
      </c>
      <c r="AB72">
        <f>'TEA Revised Non EYZ'!AB72</f>
        <v>3.7698628972227502E-3</v>
      </c>
      <c r="AC72">
        <f>'TEA Revised Non EYZ'!AC72</f>
        <v>1822.2107908876901</v>
      </c>
      <c r="AD72">
        <f>'TEA Revised Non EYZ'!AD72</f>
        <v>2662.6059073104898</v>
      </c>
      <c r="AE72">
        <f>'TEA Revised Non EYZ'!AE72</f>
        <v>2401.5030938442701</v>
      </c>
      <c r="AF72">
        <f>'TEA Revised Non EYZ'!AF72</f>
        <v>4</v>
      </c>
      <c r="AG72">
        <f>'TEA Revised Non EYZ'!AG72</f>
        <v>1.6497548842793E-3</v>
      </c>
      <c r="AH72">
        <f>'TEA Revised Non EYZ'!AH72</f>
        <v>1.66899558413707E-3</v>
      </c>
      <c r="AI72">
        <f>'TEA Revised Non EYZ'!AI72</f>
        <v>5.2930530695573503E-6</v>
      </c>
      <c r="AJ72">
        <f>'TEA Revised Non EYZ'!AJ72</f>
        <v>0</v>
      </c>
      <c r="AK72">
        <f>'TEA Revised Non EYZ'!AK72</f>
        <v>0</v>
      </c>
      <c r="AL72">
        <f>'TEA Revised Non EYZ'!AL72</f>
        <v>0</v>
      </c>
      <c r="AM72">
        <f>'TEA Revised Non EYZ'!AM72</f>
        <v>1.6048413033404E-3</v>
      </c>
      <c r="AN72">
        <f>'TEA Revised Non EYZ'!AN72</f>
        <v>7.9214281912587002E-5</v>
      </c>
      <c r="AO72">
        <f>'TEA Revised Non EYZ'!AO72</f>
        <v>5.2510498442721197E-6</v>
      </c>
      <c r="AP72">
        <f>'TEA Revised Non EYZ'!AP72</f>
        <v>1.9874301532163399E-3</v>
      </c>
      <c r="AQ72">
        <f>'TEA Revised Non EYZ'!AQ72</f>
        <v>7.0347971160411499E-2</v>
      </c>
      <c r="AR72">
        <f>'TEA Revised Non EYZ'!AR72</f>
        <v>1.8586466433211301E-6</v>
      </c>
      <c r="AS72">
        <f>'TEA Revised Non EYZ'!AS72</f>
        <v>-9.4990475988515606E-15</v>
      </c>
      <c r="AT72">
        <f>'TEA Revised Non EYZ'!AT72</f>
        <v>-1.2249511301132201E-13</v>
      </c>
      <c r="AU72">
        <f>'TEA Revised Non EYZ'!AU72</f>
        <v>-3.0412916494512601E-18</v>
      </c>
      <c r="AV72">
        <f>'TEA Revised Non EYZ'!AV72</f>
        <v>0.20871608876883399</v>
      </c>
      <c r="AW72">
        <f>'TEA Revised Non EYZ'!AW72</f>
        <v>99.206446171363694</v>
      </c>
      <c r="AX72">
        <f>'TEA Revised Non EYZ'!AX72</f>
        <v>500</v>
      </c>
      <c r="AY72">
        <f>'TEA Revised Non EYZ'!AY72</f>
        <v>95</v>
      </c>
      <c r="AZ72">
        <f>'TEA Revised Non EYZ'!AZ72</f>
        <v>0.92357064280818002</v>
      </c>
      <c r="BA72">
        <f>'TEA Revised Non EYZ'!BA72</f>
        <v>0.1</v>
      </c>
      <c r="BB72">
        <f>'TEA Revised Non EYZ'!BB72</f>
        <v>44.250093428642501</v>
      </c>
      <c r="BC72" t="str">
        <f>'TEA Revised Non EYZ'!BC72</f>
        <v>coeFc</v>
      </c>
      <c r="BD72">
        <f>'TEA Revised Non EYZ'!BD72</f>
        <v>1</v>
      </c>
      <c r="BE72">
        <f>'TEA Revised Non EYZ'!BE72</f>
        <v>1.8775014999999999E-2</v>
      </c>
      <c r="BF72">
        <f>'TEA Revised Non EYZ'!BF72</f>
        <v>0.10492961100000001</v>
      </c>
      <c r="BG72">
        <f>'TEA Revised Non EYZ'!BG72</f>
        <v>1.814625E-3</v>
      </c>
      <c r="BH72">
        <f>'TEA Revised Non EYZ'!BH72</f>
        <v>285.1951444</v>
      </c>
      <c r="BI72">
        <f>'TEA Revised Non EYZ'!BI72</f>
        <v>2169.8944889999998</v>
      </c>
      <c r="BJ72">
        <f>'TEA Revised Non EYZ'!BJ72</f>
        <v>866.49409060000005</v>
      </c>
      <c r="BK72">
        <f>'TEA Revised Non EYZ'!BK72</f>
        <v>100</v>
      </c>
      <c r="BL72">
        <f>'TEA Revised Non EYZ'!BL72</f>
        <v>10.957366310586</v>
      </c>
      <c r="BM72">
        <f>'TEA Revised Non EYZ'!BM72</f>
        <v>92.357064280818008</v>
      </c>
      <c r="BN72">
        <f>'TEA Revised Non EYZ'!BN72</f>
        <v>20.8716088768834</v>
      </c>
      <c r="BO72">
        <f>'TEA Revised Non EYZ'!BO72</f>
        <v>262.97679145406403</v>
      </c>
      <c r="BP72">
        <f>'TEA Revised Non EYZ'!BP72</f>
        <v>250.4593065226008</v>
      </c>
      <c r="BQ72">
        <f>'TEA Revised Non EYZ'!BQ72</f>
        <v>26.297679145406406</v>
      </c>
      <c r="BR72">
        <f>'TEA Revised Non EYZ'!BR72</f>
        <v>25.045930652260083</v>
      </c>
      <c r="BS72">
        <f>'eLLE Bals'!CF72</f>
        <v>6.5744197863515996</v>
      </c>
      <c r="BT72">
        <f>'eLLE Bals'!CG72</f>
        <v>12.52296532613004</v>
      </c>
      <c r="BU72">
        <f>BM72</f>
        <v>92.357064280818008</v>
      </c>
      <c r="BV72">
        <f>BU72*(AM72*2+AN72*2+AO72*3)</f>
        <v>0.31252377452338909</v>
      </c>
      <c r="BW72">
        <f>BN72*BA72*(AP72*2+AQ72*2+AR72*3)</f>
        <v>0.30196287871782157</v>
      </c>
      <c r="BX72">
        <f>BV72/(2*V72*BL72+BV72)</f>
        <v>0.12480996181316453</v>
      </c>
      <c r="BY72">
        <f>BU72*BX72</f>
        <v>11.527081666064877</v>
      </c>
      <c r="BZ72">
        <f>BW72/(2*BN72*BA72+BW72)</f>
        <v>6.7458372747053325E-2</v>
      </c>
      <c r="CA72">
        <f>2*BN72*BA72/0.04</f>
        <v>104.358044384417</v>
      </c>
      <c r="CB72">
        <f>(BS72+BL72)*2</f>
        <v>35.063572193875203</v>
      </c>
      <c r="CC72">
        <f>(BU72+BL72)*2</f>
        <v>206.62886118280801</v>
      </c>
      <c r="CD72">
        <f>(BT72+BN72)*2</f>
        <v>66.789148406026882</v>
      </c>
      <c r="CE72">
        <f>(CA72+BN72)*2</f>
        <v>250.4593065226008</v>
      </c>
      <c r="CF72">
        <f>'TEA Revised Non EYZ'!CB72</f>
        <v>3471.2936471936455</v>
      </c>
      <c r="CG72">
        <f>'TEA Revised Non EYZ'!CC72</f>
        <v>3306.0628460983307</v>
      </c>
      <c r="CH72">
        <f>'TEA Revised Non EYZ'!CD72</f>
        <v>4193.9657747282263</v>
      </c>
      <c r="CI72">
        <f>'TEA Revised Non EYZ'!CE72</f>
        <v>25499.956569205955</v>
      </c>
      <c r="CJ72">
        <f>BL72*V72</f>
        <v>1.0957366310586001</v>
      </c>
      <c r="CK72">
        <f>CJ72/2*1.2</f>
        <v>0.65744197863516007</v>
      </c>
      <c r="CL72">
        <f>'eLLE Bals'!CB72*'Oxidant Feed Composition'!$N$20</f>
        <v>3.6524554368620017E-2</v>
      </c>
      <c r="CM72">
        <f>'eLLE Bals'!CB72*'Oxidant Feed Composition'!$N$21</f>
        <v>1.8262277184310003</v>
      </c>
      <c r="CN72">
        <f>'eLLE Bals'!CB72*'Oxidant Feed Composition'!$N$22</f>
        <v>0.54786831552930004</v>
      </c>
      <c r="CO72">
        <f>CN72/CK72</f>
        <v>0.83333333333333326</v>
      </c>
      <c r="CP72">
        <f>CO72</f>
        <v>0.83333333333333326</v>
      </c>
      <c r="CQ72">
        <f>CL72/CO72</f>
        <v>4.3829465242344025E-2</v>
      </c>
      <c r="CR72">
        <f>CM72/CO72</f>
        <v>2.1914732621172006</v>
      </c>
      <c r="CS72">
        <f>BN72*BA72</f>
        <v>2.0871608876883401</v>
      </c>
      <c r="CT72">
        <f>CS72/2*1.2</f>
        <v>1.252296532613004</v>
      </c>
      <c r="CU72">
        <f>'eLLE Bals'!CC72*'Oxidant Feed Composition'!$N$20</f>
        <v>6.9572029589611367E-2</v>
      </c>
      <c r="CV72">
        <f>'eLLE Bals'!CC72*'Oxidant Feed Composition'!$N$21</f>
        <v>3.4786014794805671</v>
      </c>
      <c r="CW72">
        <f>'eLLE Bals'!CC72*'Oxidant Feed Composition'!$N$22</f>
        <v>1.04358044384417</v>
      </c>
      <c r="CX72">
        <f>CU72/CP72</f>
        <v>8.3486435507533652E-2</v>
      </c>
      <c r="CY72">
        <f>CV72/CP72</f>
        <v>4.174321775376681</v>
      </c>
      <c r="CZ72">
        <f>CJ72</f>
        <v>1.0957366310586001</v>
      </c>
      <c r="DA72">
        <f>'eLLE Bals'!BQ72</f>
        <v>2.1914732621172002</v>
      </c>
      <c r="DB72">
        <f>'eLLE Bals'!BU72</f>
        <v>5.4920302825561587</v>
      </c>
      <c r="DC72">
        <f>CS72</f>
        <v>2.0871608876883401</v>
      </c>
      <c r="DD72">
        <f>'eLLE Bals'!BX72</f>
        <v>4.1743217753766801</v>
      </c>
      <c r="DE72">
        <f>'eLLE Bals'!CA72</f>
        <v>24.678500065461598</v>
      </c>
      <c r="DF72">
        <f>2*2*(CJ72*'Reagent cost'!$C$36*122.44/1000*0.5+CK72*'Oxidant Feed Composition'!$N$26+CQ72*'Reagent cost'!$C$34+CR72*'Reagent cost'!$C$35)</f>
        <v>73.605325923065834</v>
      </c>
      <c r="DG72">
        <f>2*2*(CS72*'Reagent cost'!$C$36*122.44/1000*0.5+CT72*'Oxidant Feed Composition'!$N$26+CX72*'Reagent cost'!$C$34+CY72*'Reagent cost'!$C$35)</f>
        <v>140.20354256456332</v>
      </c>
      <c r="DH72">
        <f>(AF72+3)*2*(CZ72*'Reagent cost'!$C$38*0.5+DA72*'Reagent cost'!$C$39+DB72*'Reagent cost'!$C$36*122.44/1000)</f>
        <v>700.81604481008992</v>
      </c>
      <c r="DI72">
        <f>3*2*(DC72*'Reagent cost'!$C$38*0.5+DD72*'Reagent cost'!$C$39+DE72*'Reagent cost'!$C$36*122.44/1000)</f>
        <v>1309.7026594001225</v>
      </c>
      <c r="DJ72">
        <f>7963.6*(CB72/1000)^0.6*1.7*('CAPEX+OPEX'!$G$116/'CAPEX+OPEX'!$G$115)</f>
        <v>2138.7234102796551</v>
      </c>
      <c r="DK72">
        <f>7963.6*(CC72/1000)^0.6*1.7*('CAPEX+OPEX'!$G$116/'CAPEX+OPEX'!$G$115)</f>
        <v>6199.4836239091055</v>
      </c>
      <c r="DL72">
        <f>7963.6*(CD72/1000)^0.6*1.7*('CAPEX+OPEX'!$G$116/'CAPEX+OPEX'!$G$115)</f>
        <v>3148.2156354245658</v>
      </c>
      <c r="DM72">
        <f>7963.6*(CE72/1000)^0.6*1.7*('CAPEX+OPEX'!$G$116/'CAPEX+OPEX'!$G$115)</f>
        <v>6957.9808978859182</v>
      </c>
      <c r="DN72">
        <f>'TEA Revised Non EYZ'!CM72</f>
        <v>39625.826528698344</v>
      </c>
      <c r="DO72">
        <f>'TEA Revised Non EYZ'!CN72</f>
        <v>4586243.4239371875</v>
      </c>
      <c r="DP72">
        <f>'TEA Revised Non EYZ'!CO72</f>
        <v>11794834.586807497</v>
      </c>
      <c r="DQ72">
        <f>'TEA Revised Non EYZ'!CP72</f>
        <v>2275209.1661185985</v>
      </c>
      <c r="DR72">
        <f>'TEA Revised Non EYZ'!CQ72</f>
        <v>14083914.336508472</v>
      </c>
      <c r="DS72">
        <f>'TEA Revised Non EYZ'!CR72</f>
        <v>1662824.8986326549</v>
      </c>
      <c r="DT72">
        <f>'TEA Revised Non EYZ'!CS72</f>
        <v>847423.79840727116</v>
      </c>
      <c r="DU72">
        <f>'TEA Revised Non EYZ'!CT72</f>
        <v>2179392.2832288719</v>
      </c>
      <c r="DV72">
        <f>'TEA Revised Non EYZ'!CU72</f>
        <v>420402.1059283549</v>
      </c>
      <c r="DW72">
        <f>'TEA Revised Non EYZ'!CV72</f>
        <v>2602357.3282642425</v>
      </c>
      <c r="DX72">
        <f>'TEA Revised Non EYZ'!CW72</f>
        <v>307248.71347447456</v>
      </c>
      <c r="DY72">
        <f>'TEA Revised Non EYZ'!CX72</f>
        <v>6356824.2293032147</v>
      </c>
      <c r="DZ72">
        <f>'TEA Revised Non EYZ'!CY72</f>
        <v>498638.18596251757</v>
      </c>
      <c r="EA72">
        <f>'TEA Revised Non EYZ'!CZ72</f>
        <v>1282390.483548437</v>
      </c>
      <c r="EB72">
        <f>'TEA Revised Non EYZ'!DA72</f>
        <v>247371.55584836402</v>
      </c>
      <c r="EC72">
        <f>'TEA Revised Non EYZ'!DB72</f>
        <v>1531270.1151783131</v>
      </c>
      <c r="ED72">
        <f>'TEA Revised Non EYZ'!DC72</f>
        <v>180790.22729144391</v>
      </c>
      <c r="EE72">
        <f>'TEA Revised Non EYZ'!DD72</f>
        <v>3740460.5678290757</v>
      </c>
      <c r="EF72">
        <v>0.7</v>
      </c>
      <c r="EG72">
        <v>100</v>
      </c>
      <c r="EH72">
        <f>96485*BL72*V72/EF72/EG72/60</f>
        <v>25.171940201830719</v>
      </c>
      <c r="EI72">
        <f>96485*BN72*BA72/EF72/EG72/60</f>
        <v>47.947551963954638</v>
      </c>
      <c r="EJ72">
        <f>EH72*('CAPEX+OPEX'!$O$25+'CAPEX+OPEX'!$O$26)</f>
        <v>802280.07811274868</v>
      </c>
      <c r="EK72">
        <f>EI72*('CAPEX+OPEX'!$O$25+'CAPEX+OPEX'!$O$26)</f>
        <v>1528184.3761951623</v>
      </c>
      <c r="EL72">
        <f>EJ72*1.12/0.6*'CAPEX+OPEX'!$G$116/'CAPEX+OPEX'!$G$115</f>
        <v>1766344.2502316802</v>
      </c>
      <c r="EM72">
        <f>EK72*1.12/0.6*'CAPEX+OPEX'!$G$116/'CAPEX+OPEX'!$G$115</f>
        <v>3364535.3534590267</v>
      </c>
      <c r="EN72">
        <f>EL72+EM72+DY72+EE72+1.15*(SUM(DF72:DM72)+SUM(CF72:CI72))</f>
        <v>15293875.412297035</v>
      </c>
      <c r="EO72">
        <f>EN72/15</f>
        <v>1019591.6941531356</v>
      </c>
      <c r="EP72">
        <f>('eLLE Bals'!CB72+'eLLE Bals'!CC72)*'Oxidant Feed Composition'!$N$29*60*7200</f>
        <v>7939283.3427485637</v>
      </c>
      <c r="EQ72" s="53">
        <f>('eLLE Bals'!BR72+'eLLE Bals'!BY72)*'Reagent cost'!$C$38*60*7200*0.5</f>
        <v>253231.04174220661</v>
      </c>
      <c r="ER72">
        <f>'TEA Revised Non EYZ'!DI72</f>
        <v>504921.59999999998</v>
      </c>
      <c r="ES72">
        <f>'TEA Revised Non EYZ'!DJ72</f>
        <v>67.773564932919768</v>
      </c>
      <c r="ET72">
        <f>'TEA Revised Non EYZ'!DK72</f>
        <v>593.87844687868358</v>
      </c>
      <c r="EU72">
        <f>1.2*SUM(EP72:ET72)</f>
        <v>10437717.163803099</v>
      </c>
      <c r="EV72">
        <f>'TEA Revised Non EYZ'!DM72</f>
        <v>0.70639694042110623</v>
      </c>
      <c r="EW72">
        <f>(BS72*CO72+BT72*CP72)/1000*('Oxidant Feed Composition'!$B$11*'Oxidant Feed Composition'!$O$20+'Oxidant Feed Composition'!$D$11*'Oxidant Feed Composition'!$O$21+'Oxidant Feed Composition'!$F$11*'Oxidant Feed Composition'!$O$27-'Oxidant Feed Composition'!$J$15*18.015)</f>
        <v>1.8585661129700133</v>
      </c>
      <c r="EX72">
        <f>(CZ72*BX72+DC72*BZ72)*368.34/1000</f>
        <v>0.10223472812483765</v>
      </c>
      <c r="EY72">
        <f>'TEA Revised Non EYZ'!DP72</f>
        <v>4.999938342565946E-2</v>
      </c>
      <c r="EZ72">
        <f>SUM(EV72:EX72)-EY72</f>
        <v>2.6171983980902978</v>
      </c>
      <c r="FA72">
        <f>EZ72*0.33*60*7200</f>
        <v>373107.80363175285</v>
      </c>
      <c r="FB72">
        <f>'TEA Revised Non EYZ'!DS72</f>
        <v>1.2</v>
      </c>
      <c r="FC72">
        <v>0.5</v>
      </c>
      <c r="FD72">
        <f>'TEA Revised Non EYZ'!DT72</f>
        <v>1398.9420736828372</v>
      </c>
      <c r="FE72">
        <f>'TEA Revised Non EYZ'!DU72</f>
        <v>712.74630003990501</v>
      </c>
      <c r="FF72">
        <f>'TEA Revised Non EYZ'!DV72</f>
        <v>0.7</v>
      </c>
      <c r="FG72">
        <f>'TEA Revised Non EYZ'!DW72</f>
        <v>46784.46952433938</v>
      </c>
      <c r="FH72">
        <f>'TEA Revised Non EYZ'!DX72</f>
        <v>45678.708869524045</v>
      </c>
      <c r="FI72">
        <f>'TEA Revised Non EYZ'!DY72</f>
        <v>19339.775932661389</v>
      </c>
      <c r="FJ72">
        <f>'TEA Revised Non EYZ'!DZ72</f>
        <v>10244.818866671721</v>
      </c>
      <c r="FK72">
        <f>'TEA Revised Non EYZ'!EA72</f>
        <v>10314.547164086078</v>
      </c>
      <c r="FL72">
        <f>'TEA Revised Non EYZ'!EB72</f>
        <v>846.08016616337989</v>
      </c>
      <c r="FM72">
        <f>'TEA Revised Non EYZ'!EC72</f>
        <v>28285.050307726531</v>
      </c>
      <c r="FN72">
        <f>'TEA Revised Non EYZ'!ED72</f>
        <v>19396.955145805132</v>
      </c>
      <c r="FO72">
        <f>'TEA Revised Non EYZ'!EE72</f>
        <v>8212.4205254416884</v>
      </c>
      <c r="FP72">
        <f>'TEA Revised Non EYZ'!EF72</f>
        <v>4352.7701543586227</v>
      </c>
      <c r="FQ72">
        <f>'TEA Revised Non EYZ'!EG72</f>
        <v>4379.9576135689013</v>
      </c>
      <c r="FR72">
        <f>'TEA Revised Non EYZ'!EH72</f>
        <v>431.06896226413448</v>
      </c>
      <c r="FS72">
        <f>'TEA Revised Non EYZ'!EI72</f>
        <v>198266.62323261102</v>
      </c>
      <c r="FT72">
        <f>EG72*EH72</f>
        <v>2517.1940201830716</v>
      </c>
      <c r="FU72">
        <f>EG72*EI72</f>
        <v>4794.7551963954638</v>
      </c>
      <c r="FV72">
        <f>FC72*(FT72+FU72)/(3.6*10^6)*3600*7200*0.07</f>
        <v>1842.6112025777911</v>
      </c>
      <c r="FW72">
        <f>('CAPEX+OPEX'!$C$39/7/100+0.03)*EL72</f>
        <v>90840.561440486417</v>
      </c>
      <c r="FX72">
        <f>('CAPEX+OPEX'!$C$39/7/100+0.03)*EM72</f>
        <v>173033.24674932138</v>
      </c>
      <c r="FY72">
        <f>SUM(FV72:FX72)</f>
        <v>265716.41939238558</v>
      </c>
      <c r="FZ72">
        <f>FY72+FA72+FS72+EU72</f>
        <v>11274808.010059848</v>
      </c>
      <c r="GA72">
        <f>FZ72+EO72</f>
        <v>12294399.704212984</v>
      </c>
      <c r="GB72">
        <f>GA72/(BK72*60*7200)</f>
        <v>0.28459258574567092</v>
      </c>
      <c r="GC72">
        <f>'TEA Revised Non EYZ'!EM72/'TEA Revised Non EYZ'!EK72*GA72</f>
        <v>956.82208139899865</v>
      </c>
      <c r="GD72">
        <f>'TEA Revised Non EYZ'!EN72/'TEA Revised Non EYZ'!EK72*GA72</f>
        <v>1731.6239774315047</v>
      </c>
    </row>
    <row r="73" spans="1:186">
      <c r="A73">
        <f>'TEA Revised Non EYZ'!A73</f>
        <v>10</v>
      </c>
      <c r="B73">
        <f>'TEA Revised Non EYZ'!B73</f>
        <v>1.54143585092054E-3</v>
      </c>
      <c r="C73">
        <f>'TEA Revised Non EYZ'!C73</f>
        <v>1.54143585092054E-3</v>
      </c>
      <c r="D73">
        <f>'TEA Revised Non EYZ'!D73</f>
        <v>3.4254130020456501E-4</v>
      </c>
      <c r="E73">
        <f>'TEA Revised Non EYZ'!E73</f>
        <v>0</v>
      </c>
      <c r="F73">
        <f>'TEA Revised Non EYZ'!F73</f>
        <v>0</v>
      </c>
      <c r="G73">
        <f>'TEA Revised Non EYZ'!G73</f>
        <v>0</v>
      </c>
      <c r="H73">
        <f>'TEA Revised Non EYZ'!H73</f>
        <v>1.7770671970930099E-5</v>
      </c>
      <c r="I73">
        <f>'TEA Revised Non EYZ'!I73</f>
        <v>5.2649488631162003E-10</v>
      </c>
      <c r="J73">
        <f>'TEA Revised Non EYZ'!J73</f>
        <v>3.3765279177869602E-4</v>
      </c>
      <c r="K73">
        <f>'TEA Revised Non EYZ'!K73</f>
        <v>0.139053960209192</v>
      </c>
      <c r="L73">
        <f>'TEA Revised Non EYZ'!L73</f>
        <v>0.14067571356050099</v>
      </c>
      <c r="M73">
        <f>'TEA Revised Non EYZ'!M73</f>
        <v>4.4613899794023002E-4</v>
      </c>
      <c r="N73">
        <f>'TEA Revised Non EYZ'!N73</f>
        <v>-1.6046192152785399E-16</v>
      </c>
      <c r="O73">
        <f>'TEA Revised Non EYZ'!O73</f>
        <v>-5.9831913729046996E-14</v>
      </c>
      <c r="P73">
        <f>'TEA Revised Non EYZ'!P73</f>
        <v>-6.6915602833089703E-20</v>
      </c>
      <c r="Q73">
        <f>'TEA Revised Non EYZ'!Q73</f>
        <v>0.10957366310586</v>
      </c>
      <c r="R73">
        <f>'TEA Revised Non EYZ'!R73</f>
        <v>98.572870359588904</v>
      </c>
      <c r="S73">
        <f>'TEA Revised Non EYZ'!S73</f>
        <v>500</v>
      </c>
      <c r="T73">
        <f>'TEA Revised Non EYZ'!T73</f>
        <v>95</v>
      </c>
      <c r="U73">
        <f>'TEA Revised Non EYZ'!U73</f>
        <v>1</v>
      </c>
      <c r="V73">
        <f>'TEA Revised Non EYZ'!V73</f>
        <v>0.1</v>
      </c>
      <c r="W73">
        <f>'TEA Revised Non EYZ'!W73</f>
        <v>91.262806376555005</v>
      </c>
      <c r="X73" t="str">
        <f>'TEA Revised Non EYZ'!X73</f>
        <v>ddFc</v>
      </c>
      <c r="Y73">
        <f>'TEA Revised Non EYZ'!Y73</f>
        <v>1</v>
      </c>
      <c r="Z73">
        <f>'TEA Revised Non EYZ'!Z73</f>
        <v>0.28318429382522198</v>
      </c>
      <c r="AA73">
        <f>'TEA Revised Non EYZ'!AA73</f>
        <v>0.56945642916197003</v>
      </c>
      <c r="AB73">
        <f>'TEA Revised Non EYZ'!AB73</f>
        <v>3.7698628972227502E-3</v>
      </c>
      <c r="AC73">
        <f>'TEA Revised Non EYZ'!AC73</f>
        <v>1822.2107908876901</v>
      </c>
      <c r="AD73">
        <f>'TEA Revised Non EYZ'!AD73</f>
        <v>2662.6059073104898</v>
      </c>
      <c r="AE73">
        <f>'TEA Revised Non EYZ'!AE73</f>
        <v>2401.5030938442701</v>
      </c>
      <c r="AF73">
        <f>'TEA Revised Non EYZ'!AF73</f>
        <v>5</v>
      </c>
      <c r="AG73">
        <f>'TEA Revised Non EYZ'!AG73</f>
        <v>1.6497548842793E-3</v>
      </c>
      <c r="AH73">
        <f>'TEA Revised Non EYZ'!AH73</f>
        <v>1.66899558413707E-3</v>
      </c>
      <c r="AI73">
        <f>'TEA Revised Non EYZ'!AI73</f>
        <v>5.2930530695573503E-6</v>
      </c>
      <c r="AJ73">
        <f>'TEA Revised Non EYZ'!AJ73</f>
        <v>0</v>
      </c>
      <c r="AK73">
        <f>'TEA Revised Non EYZ'!AK73</f>
        <v>0</v>
      </c>
      <c r="AL73">
        <f>'TEA Revised Non EYZ'!AL73</f>
        <v>0</v>
      </c>
      <c r="AM73">
        <f>'TEA Revised Non EYZ'!AM73</f>
        <v>1.6104435974931999E-3</v>
      </c>
      <c r="AN73">
        <f>'TEA Revised Non EYZ'!AN73</f>
        <v>7.9504080567360702E-5</v>
      </c>
      <c r="AO73">
        <f>'TEA Revised Non EYZ'!AO73</f>
        <v>5.2561088045772501E-6</v>
      </c>
      <c r="AP73">
        <f>'TEA Revised Non EYZ'!AP73</f>
        <v>1.81182114984423E-3</v>
      </c>
      <c r="AQ73">
        <f>'TEA Revised Non EYZ'!AQ73</f>
        <v>7.3258205444439506E-2</v>
      </c>
      <c r="AR73">
        <f>'TEA Revised Non EYZ'!AR73</f>
        <v>1.7027272859467399E-6</v>
      </c>
      <c r="AS73">
        <f>'TEA Revised Non EYZ'!AS73</f>
        <v>-4.4743668405761099E-17</v>
      </c>
      <c r="AT73">
        <f>'TEA Revised Non EYZ'!AT73</f>
        <v>1.8843433757798001E-16</v>
      </c>
      <c r="AU73">
        <f>'TEA Revised Non EYZ'!AU73</f>
        <v>-3.54364174417717E-20</v>
      </c>
      <c r="AV73">
        <f>'TEA Revised Non EYZ'!AV73</f>
        <v>0.200388158675712</v>
      </c>
      <c r="AW73">
        <f>'TEA Revised Non EYZ'!AW73</f>
        <v>99.302023529811606</v>
      </c>
      <c r="AX73">
        <f>'TEA Revised Non EYZ'!AX73</f>
        <v>500</v>
      </c>
      <c r="AY73">
        <f>'TEA Revised Non EYZ'!AY73</f>
        <v>95</v>
      </c>
      <c r="AZ73">
        <f>'TEA Revised Non EYZ'!AZ73</f>
        <v>0.92357064280818002</v>
      </c>
      <c r="BA73">
        <f>'TEA Revised Non EYZ'!BA73</f>
        <v>0.1</v>
      </c>
      <c r="BB73">
        <f>'TEA Revised Non EYZ'!BB73</f>
        <v>46.089082753776403</v>
      </c>
      <c r="BC73" t="str">
        <f>'TEA Revised Non EYZ'!BC73</f>
        <v>coeFc</v>
      </c>
      <c r="BD73">
        <f>'TEA Revised Non EYZ'!BD73</f>
        <v>1</v>
      </c>
      <c r="BE73">
        <f>'TEA Revised Non EYZ'!BE73</f>
        <v>1.8775014999999999E-2</v>
      </c>
      <c r="BF73">
        <f>'TEA Revised Non EYZ'!BF73</f>
        <v>0.10492961100000001</v>
      </c>
      <c r="BG73">
        <f>'TEA Revised Non EYZ'!BG73</f>
        <v>1.814625E-3</v>
      </c>
      <c r="BH73">
        <f>'TEA Revised Non EYZ'!BH73</f>
        <v>285.1951444</v>
      </c>
      <c r="BI73">
        <f>'TEA Revised Non EYZ'!BI73</f>
        <v>2169.8944889999998</v>
      </c>
      <c r="BJ73">
        <f>'TEA Revised Non EYZ'!BJ73</f>
        <v>866.49409060000005</v>
      </c>
      <c r="BK73">
        <f>'TEA Revised Non EYZ'!BK73</f>
        <v>100</v>
      </c>
      <c r="BL73">
        <f>'TEA Revised Non EYZ'!BL73</f>
        <v>10.957366310586</v>
      </c>
      <c r="BM73">
        <f>'TEA Revised Non EYZ'!BM73</f>
        <v>92.357064280818008</v>
      </c>
      <c r="BN73">
        <f>'TEA Revised Non EYZ'!BN73</f>
        <v>20.038815867571198</v>
      </c>
      <c r="BO73">
        <f>'TEA Revised Non EYZ'!BO73</f>
        <v>262.97679145406403</v>
      </c>
      <c r="BP73">
        <f>'TEA Revised Non EYZ'!BP73</f>
        <v>280.54342214599677</v>
      </c>
      <c r="BQ73">
        <f>'TEA Revised Non EYZ'!BQ73</f>
        <v>26.297679145406406</v>
      </c>
      <c r="BR73">
        <f>'TEA Revised Non EYZ'!BR73</f>
        <v>28.054342214599679</v>
      </c>
      <c r="BS73">
        <f>'eLLE Bals'!CF73</f>
        <v>6.5744197863515996</v>
      </c>
      <c r="BT73">
        <f>'eLLE Bals'!CG73</f>
        <v>12.023289520542718</v>
      </c>
      <c r="BU73">
        <f>BM73</f>
        <v>92.357064280818008</v>
      </c>
      <c r="BV73">
        <f>BU73*(AM73*2+AN73*2+AO73*3)</f>
        <v>0.3136135290039106</v>
      </c>
      <c r="BW73">
        <f>BN73*BA73*(AP73*2+AQ73*2+AR73*3)</f>
        <v>0.3008731242108717</v>
      </c>
      <c r="BX73">
        <f>BV73/(2*V73*BL73+BV73)</f>
        <v>0.1251906840575204</v>
      </c>
      <c r="BY73">
        <f>BU73*BX73</f>
        <v>11.56224405485999</v>
      </c>
      <c r="BZ73">
        <f>BW73/(2*BN73*BA73+BW73)</f>
        <v>6.9830244054186627E-2</v>
      </c>
      <c r="CA73">
        <f>2*BN73*BA73/0.04</f>
        <v>100.194079337856</v>
      </c>
      <c r="CB73">
        <f>(BS73+BL73)*2</f>
        <v>35.063572193875203</v>
      </c>
      <c r="CC73">
        <f>(BU73+BL73)*2</f>
        <v>206.62886118280801</v>
      </c>
      <c r="CD73">
        <f>(BT73+BN73)*2</f>
        <v>64.124210776227841</v>
      </c>
      <c r="CE73">
        <f>(CA73+BN73)*2</f>
        <v>240.4657904108544</v>
      </c>
      <c r="CF73">
        <f>'TEA Revised Non EYZ'!CB73</f>
        <v>3471.2936471936455</v>
      </c>
      <c r="CG73">
        <f>'TEA Revised Non EYZ'!CC73</f>
        <v>3703.1731723271578</v>
      </c>
      <c r="CH73">
        <f>'TEA Revised Non EYZ'!CD73</f>
        <v>4193.9657747282263</v>
      </c>
      <c r="CI73">
        <f>'TEA Revised Non EYZ'!CE73</f>
        <v>28562.90380990009</v>
      </c>
      <c r="CJ73">
        <f>BL73*V73</f>
        <v>1.0957366310586001</v>
      </c>
      <c r="CK73">
        <f>CJ73/2*1.2</f>
        <v>0.65744197863516007</v>
      </c>
      <c r="CL73">
        <f>'eLLE Bals'!CB73*'Oxidant Feed Composition'!$N$20</f>
        <v>3.6524554368620017E-2</v>
      </c>
      <c r="CM73">
        <f>'eLLE Bals'!CB73*'Oxidant Feed Composition'!$N$21</f>
        <v>1.8262277184310003</v>
      </c>
      <c r="CN73">
        <f>'eLLE Bals'!CB73*'Oxidant Feed Composition'!$N$22</f>
        <v>0.54786831552930004</v>
      </c>
      <c r="CO73">
        <f>CN73/CK73</f>
        <v>0.83333333333333326</v>
      </c>
      <c r="CP73">
        <f>CO73</f>
        <v>0.83333333333333326</v>
      </c>
      <c r="CQ73">
        <f>CL73/CO73</f>
        <v>4.3829465242344025E-2</v>
      </c>
      <c r="CR73">
        <f>CM73/CO73</f>
        <v>2.1914732621172006</v>
      </c>
      <c r="CS73">
        <f>BN73*BA73</f>
        <v>2.00388158675712</v>
      </c>
      <c r="CT73">
        <f>CS73/2*1.2</f>
        <v>1.2023289520542719</v>
      </c>
      <c r="CU73">
        <f>'eLLE Bals'!CC73*'Oxidant Feed Composition'!$N$20</f>
        <v>6.6796052891904031E-2</v>
      </c>
      <c r="CV73">
        <f>'eLLE Bals'!CC73*'Oxidant Feed Composition'!$N$21</f>
        <v>3.3398026445952</v>
      </c>
      <c r="CW73">
        <f>'eLLE Bals'!CC73*'Oxidant Feed Composition'!$N$22</f>
        <v>1.00194079337856</v>
      </c>
      <c r="CX73">
        <f>CU73/CP73</f>
        <v>8.0155263470284843E-2</v>
      </c>
      <c r="CY73">
        <f>CV73/CP73</f>
        <v>4.0077631735142401</v>
      </c>
      <c r="CZ73">
        <f>CJ73</f>
        <v>1.0957366310586001</v>
      </c>
      <c r="DA73">
        <f>'eLLE Bals'!BQ73</f>
        <v>2.1914732621172002</v>
      </c>
      <c r="DB73">
        <f>'eLLE Bals'!BU73</f>
        <v>5.4653313946018605</v>
      </c>
      <c r="DC73">
        <f>CS73</f>
        <v>2.00388158675712</v>
      </c>
      <c r="DD73">
        <f>'eLLE Bals'!BX73</f>
        <v>4.0077631735142401</v>
      </c>
      <c r="DE73">
        <f>'eLLE Bals'!CA73</f>
        <v>22.684826430666405</v>
      </c>
      <c r="DF73">
        <f>2*2*(CJ73*'Reagent cost'!$C$36*122.44/1000*0.5+CK73*'Oxidant Feed Composition'!$N$26+CQ73*'Reagent cost'!$C$34+CR73*'Reagent cost'!$C$35)</f>
        <v>73.605325923065834</v>
      </c>
      <c r="DG73">
        <f>2*2*(CS73*'Reagent cost'!$C$36*122.44/1000*0.5+CT73*'Oxidant Feed Composition'!$N$26+CX73*'Reagent cost'!$C$34+CY73*'Reagent cost'!$C$35)</f>
        <v>134.60931497926714</v>
      </c>
      <c r="DH73">
        <f>(AF73+3)*2*(CZ73*'Reagent cost'!$C$38*0.5+DA73*'Reagent cost'!$C$39+DB73*'Reagent cost'!$C$36*122.44/1000)</f>
        <v>797.23890078057968</v>
      </c>
      <c r="DI73">
        <f>3*2*(DC73*'Reagent cost'!$C$38*0.5+DD73*'Reagent cost'!$C$39+DE73*'Reagent cost'!$C$36*122.44/1000)</f>
        <v>1205.0982248441615</v>
      </c>
      <c r="DJ73">
        <f>7963.6*(CB73/1000)^0.6*1.7*('CAPEX+OPEX'!$G$116/'CAPEX+OPEX'!$G$115)</f>
        <v>2138.7234102796551</v>
      </c>
      <c r="DK73">
        <f>7963.6*(CC73/1000)^0.6*1.7*('CAPEX+OPEX'!$G$116/'CAPEX+OPEX'!$G$115)</f>
        <v>6199.4836239091055</v>
      </c>
      <c r="DL73">
        <f>7963.6*(CD73/1000)^0.6*1.7*('CAPEX+OPEX'!$G$116/'CAPEX+OPEX'!$G$115)</f>
        <v>3072.2329850260039</v>
      </c>
      <c r="DM73">
        <f>7963.6*(CE73/1000)^0.6*1.7*('CAPEX+OPEX'!$G$116/'CAPEX+OPEX'!$G$115)</f>
        <v>6790.048998909554</v>
      </c>
      <c r="DN73">
        <f>'TEA Revised Non EYZ'!CM73</f>
        <v>39625.826528698344</v>
      </c>
      <c r="DO73">
        <f>'TEA Revised Non EYZ'!CN73</f>
        <v>4586243.4239371875</v>
      </c>
      <c r="DP73">
        <f>'TEA Revised Non EYZ'!CO73</f>
        <v>11794834.586807497</v>
      </c>
      <c r="DQ73">
        <f>'TEA Revised Non EYZ'!CP73</f>
        <v>2275209.1661185985</v>
      </c>
      <c r="DR73">
        <f>'TEA Revised Non EYZ'!CQ73</f>
        <v>14083914.336508472</v>
      </c>
      <c r="DS73">
        <f>'TEA Revised Non EYZ'!CR73</f>
        <v>1662824.8986326549</v>
      </c>
      <c r="DT73">
        <f>'TEA Revised Non EYZ'!CS73</f>
        <v>847423.79840727116</v>
      </c>
      <c r="DU73">
        <f>'TEA Revised Non EYZ'!CT73</f>
        <v>2179392.2832288719</v>
      </c>
      <c r="DV73">
        <f>'TEA Revised Non EYZ'!CU73</f>
        <v>420402.1059283549</v>
      </c>
      <c r="DW73">
        <f>'TEA Revised Non EYZ'!CV73</f>
        <v>2602357.3282642425</v>
      </c>
      <c r="DX73">
        <f>'TEA Revised Non EYZ'!CW73</f>
        <v>307248.71347447456</v>
      </c>
      <c r="DY73">
        <f>'TEA Revised Non EYZ'!CX73</f>
        <v>6356824.2293032147</v>
      </c>
      <c r="DZ73">
        <f>'TEA Revised Non EYZ'!CY73</f>
        <v>556281.07027801778</v>
      </c>
      <c r="EA73">
        <f>'TEA Revised Non EYZ'!CZ73</f>
        <v>1430635.6207470505</v>
      </c>
      <c r="EB73">
        <f>'TEA Revised Non EYZ'!DA73</f>
        <v>275967.86150270962</v>
      </c>
      <c r="EC73">
        <f>'TEA Revised Non EYZ'!DB73</f>
        <v>1708285.8925292303</v>
      </c>
      <c r="ED73">
        <f>'TEA Revised Non EYZ'!DC73</f>
        <v>201689.68996901164</v>
      </c>
      <c r="EE73">
        <f>'TEA Revised Non EYZ'!DD73</f>
        <v>4172860.13502602</v>
      </c>
      <c r="EF73">
        <v>0.7</v>
      </c>
      <c r="EG73">
        <v>100</v>
      </c>
      <c r="EH73">
        <f>96485*BL73*V73/EF73/EG73/60</f>
        <v>25.171940201830719</v>
      </c>
      <c r="EI73">
        <f>96485*BN73*BA73/EF73/EG73/60</f>
        <v>46.034408309109693</v>
      </c>
      <c r="EJ73">
        <f>EH73*('CAPEX+OPEX'!$O$25+'CAPEX+OPEX'!$O$26)</f>
        <v>802280.07811274868</v>
      </c>
      <c r="EK73">
        <f>EI73*('CAPEX+OPEX'!$O$25+'CAPEX+OPEX'!$O$26)</f>
        <v>1467208.6616279441</v>
      </c>
      <c r="EL73">
        <f>EJ73*1.12/0.6*'CAPEX+OPEX'!$G$116/'CAPEX+OPEX'!$G$115</f>
        <v>1766344.2502316802</v>
      </c>
      <c r="EM73">
        <f>EK73*1.12/0.6*'CAPEX+OPEX'!$G$116/'CAPEX+OPEX'!$G$115</f>
        <v>3230287.8434336833</v>
      </c>
      <c r="EN73">
        <f>EL73+EM73+DY73+EE73+1.15*(SUM(DF73:DM73)+SUM(CF73:CI73))</f>
        <v>15595710.191761719</v>
      </c>
      <c r="EO73">
        <f>EN73/15</f>
        <v>1039714.0127841146</v>
      </c>
      <c r="EP73">
        <f>('eLLE Bals'!CB73+'eLLE Bals'!CC73)*'Oxidant Feed Composition'!$N$29*60*7200</f>
        <v>7731555.0188598074</v>
      </c>
      <c r="EQ73" s="53">
        <f>('eLLE Bals'!BR73+'eLLE Bals'!BY73)*'Reagent cost'!$C$38*60*7200*0.5</f>
        <v>252822.51726627516</v>
      </c>
      <c r="ER73">
        <f>'TEA Revised Non EYZ'!DI73</f>
        <v>504921.59999999998</v>
      </c>
      <c r="ES73">
        <f>'TEA Revised Non EYZ'!DJ73</f>
        <v>71.744668195208035</v>
      </c>
      <c r="ET73">
        <f>'TEA Revised Non EYZ'!DK73</f>
        <v>655.13739169256633</v>
      </c>
      <c r="EU73">
        <f>1.2*SUM(EP73:ET73)</f>
        <v>10188031.221823163</v>
      </c>
      <c r="EV73">
        <f>'TEA Revised Non EYZ'!DM73</f>
        <v>0.70639694042110623</v>
      </c>
      <c r="EW73">
        <f>(BS73*CO73+BT73*CP73)/1000*('Oxidant Feed Composition'!$B$11*'Oxidant Feed Composition'!$O$20+'Oxidant Feed Composition'!$D$11*'Oxidant Feed Composition'!$O$21+'Oxidant Feed Composition'!$F$11*'Oxidant Feed Composition'!$O$27-'Oxidant Feed Composition'!$J$15*18.015)</f>
        <v>1.8099374387161424</v>
      </c>
      <c r="EX73">
        <f>(CZ73*BX73+DC73*BZ73)*368.34/1000</f>
        <v>0.10206979815242254</v>
      </c>
      <c r="EY73">
        <f>'TEA Revised Non EYZ'!DP73</f>
        <v>4.999938342565946E-2</v>
      </c>
      <c r="EZ73">
        <f>SUM(EV73:EX73)-EY73</f>
        <v>2.568404793864012</v>
      </c>
      <c r="FA73">
        <f>EZ73*0.33*60*7200</f>
        <v>366151.78741325357</v>
      </c>
      <c r="FB73">
        <f>'TEA Revised Non EYZ'!DS73</f>
        <v>1.2</v>
      </c>
      <c r="FC73">
        <v>0.5</v>
      </c>
      <c r="FD73">
        <f>'TEA Revised Non EYZ'!DT73</f>
        <v>1403.8227843223513</v>
      </c>
      <c r="FE73">
        <f>'TEA Revised Non EYZ'!DU73</f>
        <v>707.86558933533445</v>
      </c>
      <c r="FF73">
        <f>'TEA Revised Non EYZ'!DV73</f>
        <v>0.7</v>
      </c>
      <c r="FG73">
        <f>'TEA Revised Non EYZ'!DW73</f>
        <v>46784.46952433938</v>
      </c>
      <c r="FH73">
        <f>'TEA Revised Non EYZ'!DX73</f>
        <v>45678.708869524045</v>
      </c>
      <c r="FI73">
        <f>'TEA Revised Non EYZ'!DY73</f>
        <v>19339.775932661389</v>
      </c>
      <c r="FJ73">
        <f>'TEA Revised Non EYZ'!DZ73</f>
        <v>10244.818866671721</v>
      </c>
      <c r="FK73">
        <f>'TEA Revised Non EYZ'!EA73</f>
        <v>10314.547164086078</v>
      </c>
      <c r="FL73">
        <f>'TEA Revised Non EYZ'!EB73</f>
        <v>849.03201995815812</v>
      </c>
      <c r="FM73">
        <f>'TEA Revised Non EYZ'!EC73</f>
        <v>30856.418517519851</v>
      </c>
      <c r="FN73">
        <f>'TEA Revised Non EYZ'!ED73</f>
        <v>23276.346174966162</v>
      </c>
      <c r="FO73">
        <f>'TEA Revised Non EYZ'!EE73</f>
        <v>9854.9046305300271</v>
      </c>
      <c r="FP73">
        <f>'TEA Revised Non EYZ'!EF73</f>
        <v>5223.3241852303481</v>
      </c>
      <c r="FQ73">
        <f>'TEA Revised Non EYZ'!EG73</f>
        <v>5255.949136282682</v>
      </c>
      <c r="FR73">
        <f>'TEA Revised Non EYZ'!EH73</f>
        <v>428.11710843001032</v>
      </c>
      <c r="FS73">
        <f>'TEA Revised Non EYZ'!EI73</f>
        <v>208106.41213019987</v>
      </c>
      <c r="FT73">
        <f>EG73*EH73</f>
        <v>2517.1940201830716</v>
      </c>
      <c r="FU73">
        <f>EG73*EI73</f>
        <v>4603.4408309109695</v>
      </c>
      <c r="FV73">
        <f>FC73*(FT73+FU73)/(3.6*10^6)*3600*7200*0.07</f>
        <v>1794.3999824756982</v>
      </c>
      <c r="FW73">
        <f>('CAPEX+OPEX'!$C$39/7/100+0.03)*EL73</f>
        <v>90840.561440486417</v>
      </c>
      <c r="FX73">
        <f>('CAPEX+OPEX'!$C$39/7/100+0.03)*EM73</f>
        <v>166129.08909087515</v>
      </c>
      <c r="FY73">
        <f>SUM(FV73:FX73)</f>
        <v>258764.05051383725</v>
      </c>
      <c r="FZ73">
        <f>FY73+FA73+FS73+EU73</f>
        <v>11021053.471880455</v>
      </c>
      <c r="GA73">
        <f>FZ73+EO73</f>
        <v>12060767.484664569</v>
      </c>
      <c r="GB73">
        <f>GA73/(BK73*60*7200)</f>
        <v>0.27918443251538355</v>
      </c>
      <c r="GC73">
        <f>'TEA Revised Non EYZ'!EM73/'TEA Revised Non EYZ'!EK73*GA73</f>
        <v>935.37405028983324</v>
      </c>
      <c r="GD73">
        <f>'TEA Revised Non EYZ'!EN73/'TEA Revised Non EYZ'!EK73*GA73</f>
        <v>1709.5182836647327</v>
      </c>
    </row>
    <row r="74" spans="1:186">
      <c r="A74">
        <f>'TEA Revised Non EYZ'!A74</f>
        <v>10</v>
      </c>
      <c r="B74">
        <f>'TEA Revised Non EYZ'!B74</f>
        <v>1.54143585092054E-3</v>
      </c>
      <c r="C74">
        <f>'TEA Revised Non EYZ'!C74</f>
        <v>1.54143585092054E-3</v>
      </c>
      <c r="D74">
        <f>'TEA Revised Non EYZ'!D74</f>
        <v>3.4254130020456501E-4</v>
      </c>
      <c r="E74">
        <f>'TEA Revised Non EYZ'!E74</f>
        <v>0</v>
      </c>
      <c r="F74">
        <f>'TEA Revised Non EYZ'!F74</f>
        <v>0</v>
      </c>
      <c r="G74">
        <f>'TEA Revised Non EYZ'!G74</f>
        <v>0</v>
      </c>
      <c r="H74">
        <f>'TEA Revised Non EYZ'!H74</f>
        <v>1.7770671970930099E-5</v>
      </c>
      <c r="I74">
        <f>'TEA Revised Non EYZ'!I74</f>
        <v>5.2649488631162003E-10</v>
      </c>
      <c r="J74">
        <f>'TEA Revised Non EYZ'!J74</f>
        <v>3.3765279177869602E-4</v>
      </c>
      <c r="K74">
        <f>'TEA Revised Non EYZ'!K74</f>
        <v>0.139053960209192</v>
      </c>
      <c r="L74">
        <f>'TEA Revised Non EYZ'!L74</f>
        <v>0.14067571356050099</v>
      </c>
      <c r="M74">
        <f>'TEA Revised Non EYZ'!M74</f>
        <v>4.4613899794023002E-4</v>
      </c>
      <c r="N74">
        <f>'TEA Revised Non EYZ'!N74</f>
        <v>-1.6046192152785399E-16</v>
      </c>
      <c r="O74">
        <f>'TEA Revised Non EYZ'!O74</f>
        <v>-5.9831913729046996E-14</v>
      </c>
      <c r="P74">
        <f>'TEA Revised Non EYZ'!P74</f>
        <v>-6.6915602833089703E-20</v>
      </c>
      <c r="Q74">
        <f>'TEA Revised Non EYZ'!Q74</f>
        <v>0.10957366310586</v>
      </c>
      <c r="R74">
        <f>'TEA Revised Non EYZ'!R74</f>
        <v>98.572870359588904</v>
      </c>
      <c r="S74">
        <f>'TEA Revised Non EYZ'!S74</f>
        <v>500</v>
      </c>
      <c r="T74">
        <f>'TEA Revised Non EYZ'!T74</f>
        <v>95</v>
      </c>
      <c r="U74">
        <f>'TEA Revised Non EYZ'!U74</f>
        <v>1</v>
      </c>
      <c r="V74">
        <f>'TEA Revised Non EYZ'!V74</f>
        <v>0.1</v>
      </c>
      <c r="W74">
        <f>'TEA Revised Non EYZ'!W74</f>
        <v>91.262806376555005</v>
      </c>
      <c r="X74" t="str">
        <f>'TEA Revised Non EYZ'!X74</f>
        <v>ddFc</v>
      </c>
      <c r="Y74">
        <f>'TEA Revised Non EYZ'!Y74</f>
        <v>1</v>
      </c>
      <c r="Z74">
        <f>'TEA Revised Non EYZ'!Z74</f>
        <v>0.28318429382522198</v>
      </c>
      <c r="AA74">
        <f>'TEA Revised Non EYZ'!AA74</f>
        <v>0.56945642916197003</v>
      </c>
      <c r="AB74">
        <f>'TEA Revised Non EYZ'!AB74</f>
        <v>3.7698628972227502E-3</v>
      </c>
      <c r="AC74">
        <f>'TEA Revised Non EYZ'!AC74</f>
        <v>1822.2107908876901</v>
      </c>
      <c r="AD74">
        <f>'TEA Revised Non EYZ'!AD74</f>
        <v>2662.6059073104898</v>
      </c>
      <c r="AE74">
        <f>'TEA Revised Non EYZ'!AE74</f>
        <v>2401.5030938442701</v>
      </c>
      <c r="AF74">
        <f>'TEA Revised Non EYZ'!AF74</f>
        <v>6</v>
      </c>
      <c r="AG74">
        <f>'TEA Revised Non EYZ'!AG74</f>
        <v>1.6497548842793E-3</v>
      </c>
      <c r="AH74">
        <f>'TEA Revised Non EYZ'!AH74</f>
        <v>1.66899558413707E-3</v>
      </c>
      <c r="AI74">
        <f>'TEA Revised Non EYZ'!AI74</f>
        <v>5.2930530695573503E-6</v>
      </c>
      <c r="AJ74">
        <f>'TEA Revised Non EYZ'!AJ74</f>
        <v>0</v>
      </c>
      <c r="AK74">
        <f>'TEA Revised Non EYZ'!AK74</f>
        <v>0</v>
      </c>
      <c r="AL74">
        <f>'TEA Revised Non EYZ'!AL74</f>
        <v>0</v>
      </c>
      <c r="AM74">
        <f>'TEA Revised Non EYZ'!AM74</f>
        <v>1.6121253228941501E-3</v>
      </c>
      <c r="AN74">
        <f>'TEA Revised Non EYZ'!AN74</f>
        <v>7.9591074029532495E-5</v>
      </c>
      <c r="AO74">
        <f>'TEA Revised Non EYZ'!AO74</f>
        <v>5.2576273786285902E-6</v>
      </c>
      <c r="AP74">
        <f>'TEA Revised Non EYZ'!AP74</f>
        <v>1.75622111317691E-3</v>
      </c>
      <c r="AQ74">
        <f>'TEA Revised Non EYZ'!AQ74</f>
        <v>7.4179598573032607E-2</v>
      </c>
      <c r="AR74">
        <f>'TEA Revised Non EYZ'!AR74</f>
        <v>1.65336358086057E-6</v>
      </c>
      <c r="AS74">
        <f>'TEA Revised Non EYZ'!AS74</f>
        <v>-1.84991995680339E-18</v>
      </c>
      <c r="AT74">
        <f>'TEA Revised Non EYZ'!AT74</f>
        <v>-1.4875253806501101E-16</v>
      </c>
      <c r="AU74">
        <f>'TEA Revised Non EYZ'!AU74</f>
        <v>-2.54771628666332E-21</v>
      </c>
      <c r="AV74">
        <f>'TEA Revised Non EYZ'!AV74</f>
        <v>0.19788828374922501</v>
      </c>
      <c r="AW74">
        <f>'TEA Revised Non EYZ'!AW74</f>
        <v>99.330713475508006</v>
      </c>
      <c r="AX74">
        <f>'TEA Revised Non EYZ'!AX74</f>
        <v>500</v>
      </c>
      <c r="AY74">
        <f>'TEA Revised Non EYZ'!AY74</f>
        <v>95</v>
      </c>
      <c r="AZ74">
        <f>'TEA Revised Non EYZ'!AZ74</f>
        <v>0.92357064280818002</v>
      </c>
      <c r="BA74">
        <f>'TEA Revised Non EYZ'!BA74</f>
        <v>0.1</v>
      </c>
      <c r="BB74">
        <f>'TEA Revised Non EYZ'!BB74</f>
        <v>46.671315012190298</v>
      </c>
      <c r="BC74" t="str">
        <f>'TEA Revised Non EYZ'!BC74</f>
        <v>coeFc</v>
      </c>
      <c r="BD74">
        <f>'TEA Revised Non EYZ'!BD74</f>
        <v>1</v>
      </c>
      <c r="BE74">
        <f>'TEA Revised Non EYZ'!BE74</f>
        <v>1.8775014999999999E-2</v>
      </c>
      <c r="BF74">
        <f>'TEA Revised Non EYZ'!BF74</f>
        <v>0.10492961100000001</v>
      </c>
      <c r="BG74">
        <f>'TEA Revised Non EYZ'!BG74</f>
        <v>1.814625E-3</v>
      </c>
      <c r="BH74">
        <f>'TEA Revised Non EYZ'!BH74</f>
        <v>285.1951444</v>
      </c>
      <c r="BI74">
        <f>'TEA Revised Non EYZ'!BI74</f>
        <v>2169.8944889999998</v>
      </c>
      <c r="BJ74">
        <f>'TEA Revised Non EYZ'!BJ74</f>
        <v>866.49409060000005</v>
      </c>
      <c r="BK74">
        <f>'TEA Revised Non EYZ'!BK74</f>
        <v>100</v>
      </c>
      <c r="BL74">
        <f>'TEA Revised Non EYZ'!BL74</f>
        <v>10.957366310586</v>
      </c>
      <c r="BM74">
        <f>'TEA Revised Non EYZ'!BM74</f>
        <v>92.357064280818008</v>
      </c>
      <c r="BN74">
        <f>'TEA Revised Non EYZ'!BN74</f>
        <v>19.788828374922502</v>
      </c>
      <c r="BO74">
        <f>'TEA Revised Non EYZ'!BO74</f>
        <v>262.97679145406403</v>
      </c>
      <c r="BP74">
        <f>'TEA Revised Non EYZ'!BP74</f>
        <v>316.62125399876004</v>
      </c>
      <c r="BQ74">
        <f>'TEA Revised Non EYZ'!BQ74</f>
        <v>26.297679145406406</v>
      </c>
      <c r="BR74">
        <f>'TEA Revised Non EYZ'!BR74</f>
        <v>31.662125399876004</v>
      </c>
      <c r="BS74">
        <f>'eLLE Bals'!CF74</f>
        <v>6.5744197863515996</v>
      </c>
      <c r="BT74">
        <f>'eLLE Bals'!CG74</f>
        <v>11.873297024953501</v>
      </c>
      <c r="BU74">
        <f>BM74</f>
        <v>92.357064280818008</v>
      </c>
      <c r="BV74">
        <f>BU74*(AM74*2+AN74*2+AO74*3)</f>
        <v>0.31394065712050656</v>
      </c>
      <c r="BW74">
        <f>BN74*BA74*(AP74*2+AQ74*2+AR74*3)</f>
        <v>0.30054599609433524</v>
      </c>
      <c r="BX74">
        <f>BV74/(2*V74*BL74+BV74)</f>
        <v>0.12530490659045498</v>
      </c>
      <c r="BY74">
        <f>BU74*BX74</f>
        <v>11.572793312676547</v>
      </c>
      <c r="BZ74">
        <f>BW74/(2*BN74*BA74+BW74)</f>
        <v>7.0578675143849301E-2</v>
      </c>
      <c r="CA74">
        <f>2*BN74*BA74/0.04</f>
        <v>98.944141874612512</v>
      </c>
      <c r="CB74">
        <f>(BS74+BL74)*2</f>
        <v>35.063572193875203</v>
      </c>
      <c r="CC74">
        <f>(BU74+BL74)*2</f>
        <v>206.62886118280801</v>
      </c>
      <c r="CD74">
        <f>(BT74+BN74)*2</f>
        <v>63.324250799752008</v>
      </c>
      <c r="CE74">
        <f>(CA74+BN74)*2</f>
        <v>237.46594049907003</v>
      </c>
      <c r="CF74">
        <f>'TEA Revised Non EYZ'!CB74</f>
        <v>3471.2936471936455</v>
      </c>
      <c r="CG74">
        <f>'TEA Revised Non EYZ'!CC74</f>
        <v>4179.4005527836325</v>
      </c>
      <c r="CH74">
        <f>'TEA Revised Non EYZ'!CD74</f>
        <v>4193.9657747282263</v>
      </c>
      <c r="CI74">
        <f>'TEA Revised Non EYZ'!CE74</f>
        <v>32236.087921641458</v>
      </c>
      <c r="CJ74">
        <f>BL74*V74</f>
        <v>1.0957366310586001</v>
      </c>
      <c r="CK74">
        <f>CJ74/2*1.2</f>
        <v>0.65744197863516007</v>
      </c>
      <c r="CL74">
        <f>'eLLE Bals'!CB74*'Oxidant Feed Composition'!$N$20</f>
        <v>3.6524554368620017E-2</v>
      </c>
      <c r="CM74">
        <f>'eLLE Bals'!CB74*'Oxidant Feed Composition'!$N$21</f>
        <v>1.8262277184310003</v>
      </c>
      <c r="CN74">
        <f>'eLLE Bals'!CB74*'Oxidant Feed Composition'!$N$22</f>
        <v>0.54786831552930004</v>
      </c>
      <c r="CO74">
        <f>CN74/CK74</f>
        <v>0.83333333333333326</v>
      </c>
      <c r="CP74">
        <f>CO74</f>
        <v>0.83333333333333326</v>
      </c>
      <c r="CQ74">
        <f>CL74/CO74</f>
        <v>4.3829465242344025E-2</v>
      </c>
      <c r="CR74">
        <f>CM74/CO74</f>
        <v>2.1914732621172006</v>
      </c>
      <c r="CS74">
        <f>BN74*BA74</f>
        <v>1.9788828374922502</v>
      </c>
      <c r="CT74">
        <f>CS74/2*1.2</f>
        <v>1.1873297024953502</v>
      </c>
      <c r="CU74">
        <f>'eLLE Bals'!CC74*'Oxidant Feed Composition'!$N$20</f>
        <v>6.5962761249741708E-2</v>
      </c>
      <c r="CV74">
        <f>'eLLE Bals'!CC74*'Oxidant Feed Composition'!$N$21</f>
        <v>3.2981380624870842</v>
      </c>
      <c r="CW74">
        <f>'eLLE Bals'!CC74*'Oxidant Feed Composition'!$N$22</f>
        <v>0.98944141874612512</v>
      </c>
      <c r="CX74">
        <f>CU74/CP74</f>
        <v>7.9155313499690058E-2</v>
      </c>
      <c r="CY74">
        <f>CV74/CP74</f>
        <v>3.9577656749845014</v>
      </c>
      <c r="CZ74">
        <f>CJ74</f>
        <v>1.0957366310586001</v>
      </c>
      <c r="DA74">
        <f>'eLLE Bals'!BQ74</f>
        <v>2.1914732621172002</v>
      </c>
      <c r="DB74">
        <f>'eLLE Bals'!BU74</f>
        <v>5.4573529565450052</v>
      </c>
      <c r="DC74">
        <f>CS74</f>
        <v>1.9788828374922502</v>
      </c>
      <c r="DD74">
        <f>'eLLE Bals'!BX74</f>
        <v>3.9577656749845005</v>
      </c>
      <c r="DE74">
        <f>'eLLE Bals'!CA74</f>
        <v>22.101322354205113</v>
      </c>
      <c r="DF74">
        <f>2*2*(CJ74*'Reagent cost'!$C$36*122.44/1000*0.5+CK74*'Oxidant Feed Composition'!$N$26+CQ74*'Reagent cost'!$C$34+CR74*'Reagent cost'!$C$35)</f>
        <v>73.605325923065834</v>
      </c>
      <c r="DG74">
        <f>2*2*(CS74*'Reagent cost'!$C$36*122.44/1000*0.5+CT74*'Oxidant Feed Composition'!$N$26+CX74*'Reagent cost'!$C$34+CY74*'Reagent cost'!$C$35)</f>
        <v>132.93004184450658</v>
      </c>
      <c r="DH74">
        <f>(AF74+3)*2*(CZ74*'Reagent cost'!$C$38*0.5+DA74*'Reagent cost'!$C$39+DB74*'Reagent cost'!$C$36*122.44/1000)</f>
        <v>895.65199265368824</v>
      </c>
      <c r="DI74">
        <f>3*2*(DC74*'Reagent cost'!$C$38*0.5+DD74*'Reagent cost'!$C$39+DE74*'Reagent cost'!$C$36*122.44/1000)</f>
        <v>1174.4740329465926</v>
      </c>
      <c r="DJ74">
        <f>7963.6*(CB74/1000)^0.6*1.7*('CAPEX+OPEX'!$G$116/'CAPEX+OPEX'!$G$115)</f>
        <v>2138.7234102796551</v>
      </c>
      <c r="DK74">
        <f>7963.6*(CC74/1000)^0.6*1.7*('CAPEX+OPEX'!$G$116/'CAPEX+OPEX'!$G$115)</f>
        <v>6199.4836239091055</v>
      </c>
      <c r="DL74">
        <f>7963.6*(CD74/1000)^0.6*1.7*('CAPEX+OPEX'!$G$116/'CAPEX+OPEX'!$G$115)</f>
        <v>3049.1793085902286</v>
      </c>
      <c r="DM74">
        <f>7963.6*(CE74/1000)^0.6*1.7*('CAPEX+OPEX'!$G$116/'CAPEX+OPEX'!$G$115)</f>
        <v>6739.097266613574</v>
      </c>
      <c r="DN74">
        <f>'TEA Revised Non EYZ'!CM74</f>
        <v>39625.826528698344</v>
      </c>
      <c r="DO74">
        <f>'TEA Revised Non EYZ'!CN74</f>
        <v>4586243.4239371875</v>
      </c>
      <c r="DP74">
        <f>'TEA Revised Non EYZ'!CO74</f>
        <v>11794834.586807497</v>
      </c>
      <c r="DQ74">
        <f>'TEA Revised Non EYZ'!CP74</f>
        <v>2275209.1661185985</v>
      </c>
      <c r="DR74">
        <f>'TEA Revised Non EYZ'!CQ74</f>
        <v>14083914.336508472</v>
      </c>
      <c r="DS74">
        <f>'TEA Revised Non EYZ'!CR74</f>
        <v>1662824.8986326549</v>
      </c>
      <c r="DT74">
        <f>'TEA Revised Non EYZ'!CS74</f>
        <v>847423.79840727116</v>
      </c>
      <c r="DU74">
        <f>'TEA Revised Non EYZ'!CT74</f>
        <v>2179392.2832288719</v>
      </c>
      <c r="DV74">
        <f>'TEA Revised Non EYZ'!CU74</f>
        <v>420402.1059283549</v>
      </c>
      <c r="DW74">
        <f>'TEA Revised Non EYZ'!CV74</f>
        <v>2602357.3282642425</v>
      </c>
      <c r="DX74">
        <f>'TEA Revised Non EYZ'!CW74</f>
        <v>307248.71347447456</v>
      </c>
      <c r="DY74">
        <f>'TEA Revised Non EYZ'!CX74</f>
        <v>6356824.2293032147</v>
      </c>
      <c r="DZ74">
        <f>'TEA Revised Non EYZ'!CY74</f>
        <v>610186.16339219559</v>
      </c>
      <c r="EA74">
        <f>'TEA Revised Non EYZ'!CZ74</f>
        <v>1569267.9605286056</v>
      </c>
      <c r="EB74">
        <f>'TEA Revised Non EYZ'!DA74</f>
        <v>302709.87029223994</v>
      </c>
      <c r="EC74">
        <f>'TEA Revised Non EYZ'!DB74</f>
        <v>1873823.2710641536</v>
      </c>
      <c r="ED74">
        <f>'TEA Revised Non EYZ'!DC74</f>
        <v>221233.94933508278</v>
      </c>
      <c r="EE74">
        <f>'TEA Revised Non EYZ'!DD74</f>
        <v>4577221.2146122772</v>
      </c>
      <c r="EF74">
        <v>0.7</v>
      </c>
      <c r="EG74">
        <v>100</v>
      </c>
      <c r="EH74">
        <f>96485*BL74*V74/EF74/EG74/60</f>
        <v>25.171940201830719</v>
      </c>
      <c r="EI74">
        <f>96485*BN74*BA74/EF74/EG74/60</f>
        <v>45.460121565580906</v>
      </c>
      <c r="EJ74">
        <f>EH74*('CAPEX+OPEX'!$O$25+'CAPEX+OPEX'!$O$26)</f>
        <v>802280.07811274868</v>
      </c>
      <c r="EK74">
        <f>EI74*('CAPEX+OPEX'!$O$25+'CAPEX+OPEX'!$O$26)</f>
        <v>1448904.9945381947</v>
      </c>
      <c r="EL74">
        <f>EJ74*1.12/0.6*'CAPEX+OPEX'!$G$116/'CAPEX+OPEX'!$G$115</f>
        <v>1766344.2502316802</v>
      </c>
      <c r="EM74">
        <f>EK74*1.12/0.6*'CAPEX+OPEX'!$G$116/'CAPEX+OPEX'!$G$115</f>
        <v>3189989.4763120827</v>
      </c>
      <c r="EN74">
        <f>EL74+EM74+DY74+EE74+1.15*(SUM(DF74:DM74)+SUM(CF74:CI74))</f>
        <v>15964535.647293227</v>
      </c>
      <c r="EO74">
        <f>EN74/15</f>
        <v>1064302.376486215</v>
      </c>
      <c r="EP74">
        <f>('eLLE Bals'!CB74+'eLLE Bals'!CC74)*'Oxidant Feed Composition'!$N$29*60*7200</f>
        <v>7669199.2086399868</v>
      </c>
      <c r="EQ74" s="53">
        <f>('eLLE Bals'!BR74+'eLLE Bals'!BY74)*'Reagent cost'!$C$38*60*7200*0.5</f>
        <v>252695.2851268313</v>
      </c>
      <c r="ER74">
        <f>'TEA Revised Non EYZ'!DI74</f>
        <v>504921.59999999998</v>
      </c>
      <c r="ES74">
        <f>'TEA Revised Non EYZ'!DJ74</f>
        <v>76.506941999772778</v>
      </c>
      <c r="ET74">
        <f>'TEA Revised Non EYZ'!DK74</f>
        <v>728.60107392739371</v>
      </c>
      <c r="EU74">
        <f>1.2*SUM(EP74:ET74)</f>
        <v>10113145.442139296</v>
      </c>
      <c r="EV74">
        <f>'TEA Revised Non EYZ'!DM74</f>
        <v>0.70639694042110623</v>
      </c>
      <c r="EW74">
        <f>(BS74*CO74+BT74*CP74)/1000*('Oxidant Feed Composition'!$B$11*'Oxidant Feed Composition'!$O$20+'Oxidant Feed Composition'!$D$11*'Oxidant Feed Composition'!$O$21+'Oxidant Feed Composition'!$F$11*'Oxidant Feed Composition'!$O$27-'Oxidant Feed Composition'!$J$15*18.015)</f>
        <v>1.7953401015487769</v>
      </c>
      <c r="EX74">
        <f>(CZ74*BX74+DC74*BZ74)*368.34/1000</f>
        <v>0.10201843184639904</v>
      </c>
      <c r="EY74">
        <f>'TEA Revised Non EYZ'!DP74</f>
        <v>4.999938342565946E-2</v>
      </c>
      <c r="EZ74">
        <f>SUM(EV74:EX74)-EY74</f>
        <v>2.5537560903906229</v>
      </c>
      <c r="FA74">
        <f>EZ74*0.33*60*7200</f>
        <v>364063.4682460872</v>
      </c>
      <c r="FB74">
        <f>'TEA Revised Non EYZ'!DS74</f>
        <v>1.2</v>
      </c>
      <c r="FC74">
        <v>0.5</v>
      </c>
      <c r="FD74">
        <f>'TEA Revised Non EYZ'!DT74</f>
        <v>1405.2879011413529</v>
      </c>
      <c r="FE74">
        <f>'TEA Revised Non EYZ'!DU74</f>
        <v>706.40047251644887</v>
      </c>
      <c r="FF74">
        <f>'TEA Revised Non EYZ'!DV74</f>
        <v>0.7</v>
      </c>
      <c r="FG74">
        <f>'TEA Revised Non EYZ'!DW74</f>
        <v>46784.46952433938</v>
      </c>
      <c r="FH74">
        <f>'TEA Revised Non EYZ'!DX74</f>
        <v>45678.708869524045</v>
      </c>
      <c r="FI74">
        <f>'TEA Revised Non EYZ'!DY74</f>
        <v>19339.775932661389</v>
      </c>
      <c r="FJ74">
        <f>'TEA Revised Non EYZ'!DZ74</f>
        <v>10244.818866671721</v>
      </c>
      <c r="FK74">
        <f>'TEA Revised Non EYZ'!EA74</f>
        <v>10314.547164086078</v>
      </c>
      <c r="FL74">
        <f>'TEA Revised Non EYZ'!EB74</f>
        <v>849.91812261029031</v>
      </c>
      <c r="FM74">
        <f>'TEA Revised Non EYZ'!EC74</f>
        <v>33427.786727313171</v>
      </c>
      <c r="FN74">
        <f>'TEA Revised Non EYZ'!ED74</f>
        <v>27155.737204127185</v>
      </c>
      <c r="FO74">
        <f>'TEA Revised Non EYZ'!EE74</f>
        <v>11497.388735618364</v>
      </c>
      <c r="FP74">
        <f>'TEA Revised Non EYZ'!EF74</f>
        <v>6093.8782161020717</v>
      </c>
      <c r="FQ74">
        <f>'TEA Revised Non EYZ'!EG74</f>
        <v>6131.9406589964619</v>
      </c>
      <c r="FR74">
        <f>'TEA Revised Non EYZ'!EH74</f>
        <v>427.23100577794827</v>
      </c>
      <c r="FS74">
        <f>'TEA Revised Non EYZ'!EI74</f>
        <v>217946.20102782812</v>
      </c>
      <c r="FT74">
        <f>EG74*EH74</f>
        <v>2517.1940201830716</v>
      </c>
      <c r="FU74">
        <f>EG74*EI74</f>
        <v>4546.0121565580903</v>
      </c>
      <c r="FV74">
        <f>FC74*(FT74+FU74)/(3.6*10^6)*3600*7200*0.07</f>
        <v>1779.9279565387728</v>
      </c>
      <c r="FW74">
        <f>('CAPEX+OPEX'!$C$39/7/100+0.03)*EL74</f>
        <v>90840.561440486417</v>
      </c>
      <c r="FX74">
        <f>('CAPEX+OPEX'!$C$39/7/100+0.03)*EM74</f>
        <v>164056.6016389071</v>
      </c>
      <c r="FY74">
        <f>SUM(FV74:FX74)</f>
        <v>256677.0910359323</v>
      </c>
      <c r="FZ74">
        <f>FY74+FA74+FS74+EU74</f>
        <v>10951832.202449143</v>
      </c>
      <c r="GA74">
        <f>FZ74+EO74</f>
        <v>12016134.578935359</v>
      </c>
      <c r="GB74">
        <f>GA74/(BK74*60*7200)</f>
        <v>0.27815126340128143</v>
      </c>
      <c r="GC74">
        <f>'TEA Revised Non EYZ'!EM74/'TEA Revised Non EYZ'!EK74*GA74</f>
        <v>930.94035471909149</v>
      </c>
      <c r="GD74">
        <f>'TEA Revised Non EYZ'!EN74/'TEA Revised Non EYZ'!EK74*GA74</f>
        <v>1706.4488587292637</v>
      </c>
    </row>
    <row r="75" spans="1:186">
      <c r="A75">
        <f>'TEA Revised Non EYZ'!A75</f>
        <v>10</v>
      </c>
      <c r="B75">
        <f>'TEA Revised Non EYZ'!B75</f>
        <v>1.54143585092054E-3</v>
      </c>
      <c r="C75">
        <f>'TEA Revised Non EYZ'!C75</f>
        <v>1.54143585092054E-3</v>
      </c>
      <c r="D75">
        <f>'TEA Revised Non EYZ'!D75</f>
        <v>3.4254130020456501E-4</v>
      </c>
      <c r="E75">
        <f>'TEA Revised Non EYZ'!E75</f>
        <v>0</v>
      </c>
      <c r="F75">
        <f>'TEA Revised Non EYZ'!F75</f>
        <v>0</v>
      </c>
      <c r="G75">
        <f>'TEA Revised Non EYZ'!G75</f>
        <v>0</v>
      </c>
      <c r="H75">
        <f>'TEA Revised Non EYZ'!H75</f>
        <v>1.7770671970930099E-5</v>
      </c>
      <c r="I75">
        <f>'TEA Revised Non EYZ'!I75</f>
        <v>5.2649488631162003E-10</v>
      </c>
      <c r="J75">
        <f>'TEA Revised Non EYZ'!J75</f>
        <v>3.3765279177869602E-4</v>
      </c>
      <c r="K75">
        <f>'TEA Revised Non EYZ'!K75</f>
        <v>0.139053960209192</v>
      </c>
      <c r="L75">
        <f>'TEA Revised Non EYZ'!L75</f>
        <v>0.14067571356050099</v>
      </c>
      <c r="M75">
        <f>'TEA Revised Non EYZ'!M75</f>
        <v>4.4613899794023002E-4</v>
      </c>
      <c r="N75">
        <f>'TEA Revised Non EYZ'!N75</f>
        <v>-1.6046192152785399E-16</v>
      </c>
      <c r="O75">
        <f>'TEA Revised Non EYZ'!O75</f>
        <v>-5.9831913729046996E-14</v>
      </c>
      <c r="P75">
        <f>'TEA Revised Non EYZ'!P75</f>
        <v>-6.6915602833089703E-20</v>
      </c>
      <c r="Q75">
        <f>'TEA Revised Non EYZ'!Q75</f>
        <v>0.10957366310586</v>
      </c>
      <c r="R75">
        <f>'TEA Revised Non EYZ'!R75</f>
        <v>98.572870359588904</v>
      </c>
      <c r="S75">
        <f>'TEA Revised Non EYZ'!S75</f>
        <v>500</v>
      </c>
      <c r="T75">
        <f>'TEA Revised Non EYZ'!T75</f>
        <v>95</v>
      </c>
      <c r="U75">
        <f>'TEA Revised Non EYZ'!U75</f>
        <v>1</v>
      </c>
      <c r="V75">
        <f>'TEA Revised Non EYZ'!V75</f>
        <v>0.1</v>
      </c>
      <c r="W75">
        <f>'TEA Revised Non EYZ'!W75</f>
        <v>91.262806376555005</v>
      </c>
      <c r="X75" t="str">
        <f>'TEA Revised Non EYZ'!X75</f>
        <v>ddFc</v>
      </c>
      <c r="Y75">
        <f>'TEA Revised Non EYZ'!Y75</f>
        <v>1</v>
      </c>
      <c r="Z75">
        <f>'TEA Revised Non EYZ'!Z75</f>
        <v>0.28318429382522198</v>
      </c>
      <c r="AA75">
        <f>'TEA Revised Non EYZ'!AA75</f>
        <v>0.56945642916197003</v>
      </c>
      <c r="AB75">
        <f>'TEA Revised Non EYZ'!AB75</f>
        <v>3.7698628972227502E-3</v>
      </c>
      <c r="AC75">
        <f>'TEA Revised Non EYZ'!AC75</f>
        <v>1822.2107908876901</v>
      </c>
      <c r="AD75">
        <f>'TEA Revised Non EYZ'!AD75</f>
        <v>2662.6059073104898</v>
      </c>
      <c r="AE75">
        <f>'TEA Revised Non EYZ'!AE75</f>
        <v>2401.5030938442701</v>
      </c>
      <c r="AF75">
        <f>'TEA Revised Non EYZ'!AF75</f>
        <v>7</v>
      </c>
      <c r="AG75">
        <f>'TEA Revised Non EYZ'!AG75</f>
        <v>1.6497548842793E-3</v>
      </c>
      <c r="AH75">
        <f>'TEA Revised Non EYZ'!AH75</f>
        <v>1.66899558413707E-3</v>
      </c>
      <c r="AI75">
        <f>'TEA Revised Non EYZ'!AI75</f>
        <v>5.2930530695573503E-6</v>
      </c>
      <c r="AJ75">
        <f>'TEA Revised Non EYZ'!AJ75</f>
        <v>0</v>
      </c>
      <c r="AK75">
        <f>'TEA Revised Non EYZ'!AK75</f>
        <v>0</v>
      </c>
      <c r="AL75">
        <f>'TEA Revised Non EYZ'!AL75</f>
        <v>0</v>
      </c>
      <c r="AM75">
        <f>'TEA Revised Non EYZ'!AM75</f>
        <v>1.6126141989109301E-3</v>
      </c>
      <c r="AN75">
        <f>'TEA Revised Non EYZ'!AN75</f>
        <v>7.9616362695628595E-5</v>
      </c>
      <c r="AO75">
        <f>'TEA Revised Non EYZ'!AO75</f>
        <v>5.2580688259994502E-6</v>
      </c>
      <c r="AP75">
        <f>'TEA Revised Non EYZ'!AP75</f>
        <v>1.7397937197708099E-3</v>
      </c>
      <c r="AQ75">
        <f>'TEA Revised Non EYZ'!AQ75</f>
        <v>7.4451829856534701E-2</v>
      </c>
      <c r="AR75">
        <f>'TEA Revised Non EYZ'!AR75</f>
        <v>1.63877878475564E-6</v>
      </c>
      <c r="AS75">
        <f>'TEA Revised Non EYZ'!AS75</f>
        <v>-4.3300324263639803E-18</v>
      </c>
      <c r="AT75">
        <f>'TEA Revised Non EYZ'!AT75</f>
        <v>-1.6727071117106299E-15</v>
      </c>
      <c r="AU75">
        <f>'TEA Revised Non EYZ'!AU75</f>
        <v>-5.3336605897419202E-21</v>
      </c>
      <c r="AV75">
        <f>'TEA Revised Non EYZ'!AV75</f>
        <v>0.197161573065819</v>
      </c>
      <c r="AW75">
        <f>'TEA Revised Non EYZ'!AW75</f>
        <v>99.339053602936502</v>
      </c>
      <c r="AX75">
        <f>'TEA Revised Non EYZ'!AX75</f>
        <v>500</v>
      </c>
      <c r="AY75">
        <f>'TEA Revised Non EYZ'!AY75</f>
        <v>95</v>
      </c>
      <c r="AZ75">
        <f>'TEA Revised Non EYZ'!AZ75</f>
        <v>0.92357064280818002</v>
      </c>
      <c r="BA75">
        <f>'TEA Revised Non EYZ'!BA75</f>
        <v>0.1</v>
      </c>
      <c r="BB75">
        <f>'TEA Revised Non EYZ'!BB75</f>
        <v>46.843339117600799</v>
      </c>
      <c r="BC75" t="str">
        <f>'TEA Revised Non EYZ'!BC75</f>
        <v>coeFc</v>
      </c>
      <c r="BD75">
        <f>'TEA Revised Non EYZ'!BD75</f>
        <v>1</v>
      </c>
      <c r="BE75">
        <f>'TEA Revised Non EYZ'!BE75</f>
        <v>1.8775014999999999E-2</v>
      </c>
      <c r="BF75">
        <f>'TEA Revised Non EYZ'!BF75</f>
        <v>0.10492961100000001</v>
      </c>
      <c r="BG75">
        <f>'TEA Revised Non EYZ'!BG75</f>
        <v>1.814625E-3</v>
      </c>
      <c r="BH75">
        <f>'TEA Revised Non EYZ'!BH75</f>
        <v>285.1951444</v>
      </c>
      <c r="BI75">
        <f>'TEA Revised Non EYZ'!BI75</f>
        <v>2169.8944889999998</v>
      </c>
      <c r="BJ75">
        <f>'TEA Revised Non EYZ'!BJ75</f>
        <v>866.49409060000005</v>
      </c>
      <c r="BK75">
        <f>'TEA Revised Non EYZ'!BK75</f>
        <v>100</v>
      </c>
      <c r="BL75">
        <f>'TEA Revised Non EYZ'!BL75</f>
        <v>10.957366310586</v>
      </c>
      <c r="BM75">
        <f>'TEA Revised Non EYZ'!BM75</f>
        <v>92.357064280818008</v>
      </c>
      <c r="BN75">
        <f>'TEA Revised Non EYZ'!BN75</f>
        <v>19.716157306581898</v>
      </c>
      <c r="BO75">
        <f>'TEA Revised Non EYZ'!BO75</f>
        <v>262.97679145406403</v>
      </c>
      <c r="BP75">
        <f>'TEA Revised Non EYZ'!BP75</f>
        <v>354.89083151847416</v>
      </c>
      <c r="BQ75">
        <f>'TEA Revised Non EYZ'!BQ75</f>
        <v>26.297679145406406</v>
      </c>
      <c r="BR75">
        <f>'TEA Revised Non EYZ'!BR75</f>
        <v>35.489083151847417</v>
      </c>
      <c r="BS75">
        <f>'eLLE Bals'!CF75</f>
        <v>6.5744197863515996</v>
      </c>
      <c r="BT75">
        <f>'eLLE Bals'!CG75</f>
        <v>11.829694383949139</v>
      </c>
      <c r="BU75">
        <f>BM75</f>
        <v>92.357064280818008</v>
      </c>
      <c r="BV75">
        <f>BU75*(AM75*2+AN75*2+AO75*3)</f>
        <v>0.31403575291419078</v>
      </c>
      <c r="BW75">
        <f>BN75*BA75*(AP75*2+AQ75*2+AR75*3)</f>
        <v>0.300450900300956</v>
      </c>
      <c r="BX75">
        <f>BV75/(2*V75*BL75+BV75)</f>
        <v>0.12533810536309578</v>
      </c>
      <c r="BY75">
        <f>BU75*BX75</f>
        <v>11.575859453855378</v>
      </c>
      <c r="BZ75">
        <f>BW75/(2*BN75*BA75+BW75)</f>
        <v>7.0799573271183594E-2</v>
      </c>
      <c r="CA75">
        <f>2*BN75*BA75/0.04</f>
        <v>98.580786532909485</v>
      </c>
      <c r="CB75">
        <f>(BS75+BL75)*2</f>
        <v>35.063572193875203</v>
      </c>
      <c r="CC75">
        <f>(BU75+BL75)*2</f>
        <v>206.62886118280801</v>
      </c>
      <c r="CD75">
        <f>(BT75+BN75)*2</f>
        <v>63.091703381062075</v>
      </c>
      <c r="CE75">
        <f>(CA75+BN75)*2</f>
        <v>236.59388767898275</v>
      </c>
      <c r="CF75">
        <f>'TEA Revised Non EYZ'!CB75</f>
        <v>3471.2936471936455</v>
      </c>
      <c r="CG75">
        <f>'TEA Revised Non EYZ'!CC75</f>
        <v>4684.5589760438597</v>
      </c>
      <c r="CH75">
        <f>'TEA Revised Non EYZ'!CD75</f>
        <v>4193.9657747282263</v>
      </c>
      <c r="CI75">
        <f>'TEA Revised Non EYZ'!CE75</f>
        <v>36132.419737870092</v>
      </c>
      <c r="CJ75">
        <f>BL75*V75</f>
        <v>1.0957366310586001</v>
      </c>
      <c r="CK75">
        <f>CJ75/2*1.2</f>
        <v>0.65744197863516007</v>
      </c>
      <c r="CL75">
        <f>'eLLE Bals'!CB75*'Oxidant Feed Composition'!$N$20</f>
        <v>3.6524554368620017E-2</v>
      </c>
      <c r="CM75">
        <f>'eLLE Bals'!CB75*'Oxidant Feed Composition'!$N$21</f>
        <v>1.8262277184310003</v>
      </c>
      <c r="CN75">
        <f>'eLLE Bals'!CB75*'Oxidant Feed Composition'!$N$22</f>
        <v>0.54786831552930004</v>
      </c>
      <c r="CO75">
        <f>CN75/CK75</f>
        <v>0.83333333333333326</v>
      </c>
      <c r="CP75">
        <f>CO75</f>
        <v>0.83333333333333326</v>
      </c>
      <c r="CQ75">
        <f>CL75/CO75</f>
        <v>4.3829465242344025E-2</v>
      </c>
      <c r="CR75">
        <f>CM75/CO75</f>
        <v>2.1914732621172006</v>
      </c>
      <c r="CS75">
        <f>BN75*BA75</f>
        <v>1.9716157306581898</v>
      </c>
      <c r="CT75">
        <f>CS75/2*1.2</f>
        <v>1.1829694383949139</v>
      </c>
      <c r="CU75">
        <f>'eLLE Bals'!CC75*'Oxidant Feed Composition'!$N$20</f>
        <v>6.5720524355273022E-2</v>
      </c>
      <c r="CV75">
        <f>'eLLE Bals'!CC75*'Oxidant Feed Composition'!$N$21</f>
        <v>3.2860262177636499</v>
      </c>
      <c r="CW75">
        <f>'eLLE Bals'!CC75*'Oxidant Feed Composition'!$N$22</f>
        <v>0.98580786532909492</v>
      </c>
      <c r="CX75">
        <f>CU75/CP75</f>
        <v>7.8864629226327629E-2</v>
      </c>
      <c r="CY75">
        <f>CV75/CP75</f>
        <v>3.9432314613163801</v>
      </c>
      <c r="CZ75">
        <f>CJ75</f>
        <v>1.0957366310586001</v>
      </c>
      <c r="DA75">
        <f>'eLLE Bals'!BQ75</f>
        <v>2.1914732621172002</v>
      </c>
      <c r="DB75">
        <f>'eLLE Bals'!BU75</f>
        <v>5.4550367514868254</v>
      </c>
      <c r="DC75">
        <f>CS75</f>
        <v>1.9716157306581898</v>
      </c>
      <c r="DD75">
        <f>'eLLE Bals'!BX75</f>
        <v>3.9432314613163797</v>
      </c>
      <c r="DE75">
        <f>'eLLE Bals'!CA75</f>
        <v>21.933000465331368</v>
      </c>
      <c r="DF75">
        <f>2*2*(CJ75*'Reagent cost'!$C$36*122.44/1000*0.5+CK75*'Oxidant Feed Composition'!$N$26+CQ75*'Reagent cost'!$C$34+CR75*'Reagent cost'!$C$35)</f>
        <v>73.605325923065834</v>
      </c>
      <c r="DG75">
        <f>2*2*(CS75*'Reagent cost'!$C$36*122.44/1000*0.5+CT75*'Oxidant Feed Composition'!$N$26+CX75*'Reagent cost'!$C$34+CY75*'Reagent cost'!$C$35)</f>
        <v>132.44187913106148</v>
      </c>
      <c r="DH75">
        <f>(AF75+3)*2*(CZ75*'Reagent cost'!$C$38*0.5+DA75*'Reagent cost'!$C$39+DB75*'Reagent cost'!$C$36*122.44/1000)</f>
        <v>994.76832952784048</v>
      </c>
      <c r="DI75">
        <f>3*2*(DC75*'Reagent cost'!$C$38*0.5+DD75*'Reagent cost'!$C$39+DE75*'Reagent cost'!$C$36*122.44/1000)</f>
        <v>1165.6391676092935</v>
      </c>
      <c r="DJ75">
        <f>7963.6*(CB75/1000)^0.6*1.7*('CAPEX+OPEX'!$G$116/'CAPEX+OPEX'!$G$115)</f>
        <v>2138.7234102796551</v>
      </c>
      <c r="DK75">
        <f>7963.6*(CC75/1000)^0.6*1.7*('CAPEX+OPEX'!$G$116/'CAPEX+OPEX'!$G$115)</f>
        <v>6199.4836239091055</v>
      </c>
      <c r="DL75">
        <f>7963.6*(CD75/1000)^0.6*1.7*('CAPEX+OPEX'!$G$116/'CAPEX+OPEX'!$G$115)</f>
        <v>3042.4558136558958</v>
      </c>
      <c r="DM75">
        <f>7963.6*(CE75/1000)^0.6*1.7*('CAPEX+OPEX'!$G$116/'CAPEX+OPEX'!$G$115)</f>
        <v>6724.2374365581909</v>
      </c>
      <c r="DN75">
        <f>'TEA Revised Non EYZ'!CM75</f>
        <v>39625.826528698344</v>
      </c>
      <c r="DO75">
        <f>'TEA Revised Non EYZ'!CN75</f>
        <v>4586243.4239371875</v>
      </c>
      <c r="DP75">
        <f>'TEA Revised Non EYZ'!CO75</f>
        <v>11794834.586807497</v>
      </c>
      <c r="DQ75">
        <f>'TEA Revised Non EYZ'!CP75</f>
        <v>2275209.1661185985</v>
      </c>
      <c r="DR75">
        <f>'TEA Revised Non EYZ'!CQ75</f>
        <v>14083914.336508472</v>
      </c>
      <c r="DS75">
        <f>'TEA Revised Non EYZ'!CR75</f>
        <v>1662824.8986326549</v>
      </c>
      <c r="DT75">
        <f>'TEA Revised Non EYZ'!CS75</f>
        <v>847423.79840727116</v>
      </c>
      <c r="DU75">
        <f>'TEA Revised Non EYZ'!CT75</f>
        <v>2179392.2832288719</v>
      </c>
      <c r="DV75">
        <f>'TEA Revised Non EYZ'!CU75</f>
        <v>420402.1059283549</v>
      </c>
      <c r="DW75">
        <f>'TEA Revised Non EYZ'!CV75</f>
        <v>2602357.3282642425</v>
      </c>
      <c r="DX75">
        <f>'TEA Revised Non EYZ'!CW75</f>
        <v>307248.71347447456</v>
      </c>
      <c r="DY75">
        <f>'TEA Revised Non EYZ'!CX75</f>
        <v>6356824.2293032147</v>
      </c>
      <c r="DZ75">
        <f>'TEA Revised Non EYZ'!CY75</f>
        <v>661085.33546503587</v>
      </c>
      <c r="EA75">
        <f>'TEA Revised Non EYZ'!CZ75</f>
        <v>1700169.715998274</v>
      </c>
      <c r="EB75">
        <f>'TEA Revised Non EYZ'!DA75</f>
        <v>327960.6588229012</v>
      </c>
      <c r="EC75">
        <f>'TEA Revised Non EYZ'!DB75</f>
        <v>2030129.7539541693</v>
      </c>
      <c r="ED75">
        <f>'TEA Revised Non EYZ'!DC75</f>
        <v>239688.35805677422</v>
      </c>
      <c r="EE75">
        <f>'TEA Revised Non EYZ'!DD75</f>
        <v>4959033.822297154</v>
      </c>
      <c r="EF75">
        <v>0.7</v>
      </c>
      <c r="EG75">
        <v>100</v>
      </c>
      <c r="EH75">
        <f>96485*BL75*V75/EF75/EG75/60</f>
        <v>25.171940201830719</v>
      </c>
      <c r="EI75">
        <f>96485*BN75*BA75/EF75/EG75/60</f>
        <v>45.293177088703693</v>
      </c>
      <c r="EJ75">
        <f>EH75*('CAPEX+OPEX'!$O$25+'CAPEX+OPEX'!$O$26)</f>
        <v>802280.07811274868</v>
      </c>
      <c r="EK75">
        <f>EI75*('CAPEX+OPEX'!$O$25+'CAPEX+OPEX'!$O$26)</f>
        <v>1443584.1401711642</v>
      </c>
      <c r="EL75">
        <f>EJ75*1.12/0.6*'CAPEX+OPEX'!$G$116/'CAPEX+OPEX'!$G$115</f>
        <v>1766344.2502316802</v>
      </c>
      <c r="EM75">
        <f>EK75*1.12/0.6*'CAPEX+OPEX'!$G$116/'CAPEX+OPEX'!$G$115</f>
        <v>3178274.7886687941</v>
      </c>
      <c r="EN75">
        <f>EL75+EM75+DY75+EE75+1.15*(SUM(DF75:DM75)+SUM(CF75:CI75))</f>
        <v>16339773.722591637</v>
      </c>
      <c r="EO75">
        <f>EN75/15</f>
        <v>1089318.2481727758</v>
      </c>
      <c r="EP75">
        <f>('eLLE Bals'!CB75+'eLLE Bals'!CC75)*'Oxidant Feed Composition'!$N$29*60*7200</f>
        <v>7651072.4483852806</v>
      </c>
      <c r="EQ75" s="53">
        <f>('eLLE Bals'!BR75+'eLLE Bals'!BY75)*'Reagent cost'!$C$38*60*7200*0.5</f>
        <v>252657.8787807567</v>
      </c>
      <c r="ER75">
        <f>'TEA Revised Non EYZ'!DI75</f>
        <v>504921.59999999998</v>
      </c>
      <c r="ES75">
        <f>'TEA Revised Non EYZ'!DJ75</f>
        <v>81.558526232375058</v>
      </c>
      <c r="ET75">
        <f>'TEA Revised Non EYZ'!DK75</f>
        <v>806.52771025196637</v>
      </c>
      <c r="EU75">
        <f>1.2*SUM(EP75:ET75)</f>
        <v>10091448.016083026</v>
      </c>
      <c r="EV75">
        <f>'TEA Revised Non EYZ'!DM75</f>
        <v>0.70639694042110623</v>
      </c>
      <c r="EW75">
        <f>(BS75*CO75+BT75*CP75)/1000*('Oxidant Feed Composition'!$B$11*'Oxidant Feed Composition'!$O$20+'Oxidant Feed Composition'!$D$11*'Oxidant Feed Composition'!$O$21+'Oxidant Feed Composition'!$F$11*'Oxidant Feed Composition'!$O$27-'Oxidant Feed Composition'!$J$15*18.015)</f>
        <v>1.7910966729050439</v>
      </c>
      <c r="EX75">
        <f>(CZ75*BX75+DC75*BZ75)*368.34/1000</f>
        <v>0.10200333011323562</v>
      </c>
      <c r="EY75">
        <f>'TEA Revised Non EYZ'!DP75</f>
        <v>4.999938342565946E-2</v>
      </c>
      <c r="EZ75">
        <f>SUM(EV75:EX75)-EY75</f>
        <v>2.5494975600137266</v>
      </c>
      <c r="FA75">
        <f>EZ75*0.33*60*7200</f>
        <v>363456.37215555692</v>
      </c>
      <c r="FB75">
        <f>'TEA Revised Non EYZ'!DS75</f>
        <v>1.2</v>
      </c>
      <c r="FC75">
        <v>0.5</v>
      </c>
      <c r="FD75">
        <f>'TEA Revised Non EYZ'!DT75</f>
        <v>1405.7138091362219</v>
      </c>
      <c r="FE75">
        <f>'TEA Revised Non EYZ'!DU75</f>
        <v>705.97456452228209</v>
      </c>
      <c r="FF75">
        <f>'TEA Revised Non EYZ'!DV75</f>
        <v>0.7</v>
      </c>
      <c r="FG75">
        <f>'TEA Revised Non EYZ'!DW75</f>
        <v>46784.46952433938</v>
      </c>
      <c r="FH75">
        <f>'TEA Revised Non EYZ'!DX75</f>
        <v>45678.708869524045</v>
      </c>
      <c r="FI75">
        <f>'TEA Revised Non EYZ'!DY75</f>
        <v>19339.775932661389</v>
      </c>
      <c r="FJ75">
        <f>'TEA Revised Non EYZ'!DZ75</f>
        <v>10244.818866671721</v>
      </c>
      <c r="FK75">
        <f>'TEA Revised Non EYZ'!EA75</f>
        <v>10314.547164086078</v>
      </c>
      <c r="FL75">
        <f>'TEA Revised Non EYZ'!EB75</f>
        <v>850.17571176558715</v>
      </c>
      <c r="FM75">
        <f>'TEA Revised Non EYZ'!EC75</f>
        <v>35999.15493710649</v>
      </c>
      <c r="FN75">
        <f>'TEA Revised Non EYZ'!ED75</f>
        <v>31035.128233288218</v>
      </c>
      <c r="FO75">
        <f>'TEA Revised Non EYZ'!EE75</f>
        <v>13139.872840706705</v>
      </c>
      <c r="FP75">
        <f>'TEA Revised Non EYZ'!EF75</f>
        <v>6964.4322469737981</v>
      </c>
      <c r="FQ75">
        <f>'TEA Revised Non EYZ'!EG75</f>
        <v>7007.9321817102436</v>
      </c>
      <c r="FR75">
        <f>'TEA Revised Non EYZ'!EH75</f>
        <v>426.97341662307616</v>
      </c>
      <c r="FS75">
        <f>'TEA Revised Non EYZ'!EI75</f>
        <v>227785.98992545673</v>
      </c>
      <c r="FT75">
        <f>EG75*EH75</f>
        <v>2517.1940201830716</v>
      </c>
      <c r="FU75">
        <f>EG75*EI75</f>
        <v>4529.3177088703696</v>
      </c>
      <c r="FV75">
        <f>FC75*(FT75+FU75)/(3.6*10^6)*3600*7200*0.07</f>
        <v>1775.7209557214674</v>
      </c>
      <c r="FW75">
        <f>('CAPEX+OPEX'!$C$39/7/100+0.03)*EL75</f>
        <v>90840.561440486417</v>
      </c>
      <c r="FX75">
        <f>('CAPEX+OPEX'!$C$39/7/100+0.03)*EM75</f>
        <v>163454.13198868083</v>
      </c>
      <c r="FY75">
        <f>SUM(FV75:FX75)</f>
        <v>256070.41438488872</v>
      </c>
      <c r="FZ75">
        <f>FY75+FA75+FS75+EU75</f>
        <v>10938760.792548928</v>
      </c>
      <c r="GA75">
        <f>FZ75+EO75</f>
        <v>12028079.040721703</v>
      </c>
      <c r="GB75">
        <f>GA75/(BK75*60*7200)</f>
        <v>0.27842775557226163</v>
      </c>
      <c r="GC75">
        <f>'TEA Revised Non EYZ'!EM75/'TEA Revised Non EYZ'!EK75*GA75</f>
        <v>931.58322865090815</v>
      </c>
      <c r="GD75">
        <f>'TEA Revised Non EYZ'!EN75/'TEA Revised Non EYZ'!EK75*GA75</f>
        <v>1709.0951987053934</v>
      </c>
    </row>
    <row r="76" spans="1:186">
      <c r="A76">
        <f>'TEA Revised Non EYZ'!A76</f>
        <v>10</v>
      </c>
      <c r="B76">
        <f>'TEA Revised Non EYZ'!B76</f>
        <v>1.54143585092054E-3</v>
      </c>
      <c r="C76">
        <f>'TEA Revised Non EYZ'!C76</f>
        <v>1.54143585092054E-3</v>
      </c>
      <c r="D76">
        <f>'TEA Revised Non EYZ'!D76</f>
        <v>3.4254130020456501E-4</v>
      </c>
      <c r="E76">
        <f>'TEA Revised Non EYZ'!E76</f>
        <v>0</v>
      </c>
      <c r="F76">
        <f>'TEA Revised Non EYZ'!F76</f>
        <v>0</v>
      </c>
      <c r="G76">
        <f>'TEA Revised Non EYZ'!G76</f>
        <v>0</v>
      </c>
      <c r="H76">
        <f>'TEA Revised Non EYZ'!H76</f>
        <v>1.7770671970930099E-5</v>
      </c>
      <c r="I76">
        <f>'TEA Revised Non EYZ'!I76</f>
        <v>5.2649488631162003E-10</v>
      </c>
      <c r="J76">
        <f>'TEA Revised Non EYZ'!J76</f>
        <v>3.3765279177869602E-4</v>
      </c>
      <c r="K76">
        <f>'TEA Revised Non EYZ'!K76</f>
        <v>0.139053960209192</v>
      </c>
      <c r="L76">
        <f>'TEA Revised Non EYZ'!L76</f>
        <v>0.14067571356050099</v>
      </c>
      <c r="M76">
        <f>'TEA Revised Non EYZ'!M76</f>
        <v>4.4613899794023002E-4</v>
      </c>
      <c r="N76">
        <f>'TEA Revised Non EYZ'!N76</f>
        <v>-1.6046192152785399E-16</v>
      </c>
      <c r="O76">
        <f>'TEA Revised Non EYZ'!O76</f>
        <v>-5.9831913729046996E-14</v>
      </c>
      <c r="P76">
        <f>'TEA Revised Non EYZ'!P76</f>
        <v>-6.6915602833089703E-20</v>
      </c>
      <c r="Q76">
        <f>'TEA Revised Non EYZ'!Q76</f>
        <v>0.10957366310586</v>
      </c>
      <c r="R76">
        <f>'TEA Revised Non EYZ'!R76</f>
        <v>98.572870359588904</v>
      </c>
      <c r="S76">
        <f>'TEA Revised Non EYZ'!S76</f>
        <v>500</v>
      </c>
      <c r="T76">
        <f>'TEA Revised Non EYZ'!T76</f>
        <v>95</v>
      </c>
      <c r="U76">
        <f>'TEA Revised Non EYZ'!U76</f>
        <v>1</v>
      </c>
      <c r="V76">
        <f>'TEA Revised Non EYZ'!V76</f>
        <v>0.1</v>
      </c>
      <c r="W76">
        <f>'TEA Revised Non EYZ'!W76</f>
        <v>91.262806376555005</v>
      </c>
      <c r="X76" t="str">
        <f>'TEA Revised Non EYZ'!X76</f>
        <v>ddFc</v>
      </c>
      <c r="Y76">
        <f>'TEA Revised Non EYZ'!Y76</f>
        <v>1</v>
      </c>
      <c r="Z76">
        <f>'TEA Revised Non EYZ'!Z76</f>
        <v>0.28318429382522198</v>
      </c>
      <c r="AA76">
        <f>'TEA Revised Non EYZ'!AA76</f>
        <v>0.56945642916197003</v>
      </c>
      <c r="AB76">
        <f>'TEA Revised Non EYZ'!AB76</f>
        <v>3.7698628972227502E-3</v>
      </c>
      <c r="AC76">
        <f>'TEA Revised Non EYZ'!AC76</f>
        <v>1822.2107908876901</v>
      </c>
      <c r="AD76">
        <f>'TEA Revised Non EYZ'!AD76</f>
        <v>2662.6059073104898</v>
      </c>
      <c r="AE76">
        <f>'TEA Revised Non EYZ'!AE76</f>
        <v>2401.5030938442701</v>
      </c>
      <c r="AF76">
        <f>'TEA Revised Non EYZ'!AF76</f>
        <v>8</v>
      </c>
      <c r="AG76">
        <f>'TEA Revised Non EYZ'!AG76</f>
        <v>1.6497548842793E-3</v>
      </c>
      <c r="AH76">
        <f>'TEA Revised Non EYZ'!AH76</f>
        <v>1.66899558413707E-3</v>
      </c>
      <c r="AI76">
        <f>'TEA Revised Non EYZ'!AI76</f>
        <v>5.2930530695573503E-6</v>
      </c>
      <c r="AJ76">
        <f>'TEA Revised Non EYZ'!AJ76</f>
        <v>0</v>
      </c>
      <c r="AK76">
        <f>'TEA Revised Non EYZ'!AK76</f>
        <v>0</v>
      </c>
      <c r="AL76">
        <f>'TEA Revised Non EYZ'!AL76</f>
        <v>0</v>
      </c>
      <c r="AM76">
        <f>'TEA Revised Non EYZ'!AM76</f>
        <v>1.61275350560018E-3</v>
      </c>
      <c r="AN76">
        <f>'TEA Revised Non EYZ'!AN76</f>
        <v>7.9623568834895101E-5</v>
      </c>
      <c r="AO76">
        <f>'TEA Revised Non EYZ'!AO76</f>
        <v>5.2581946177476304E-6</v>
      </c>
      <c r="AP76">
        <f>'TEA Revised Non EYZ'!AP76</f>
        <v>1.7350904900191701E-3</v>
      </c>
      <c r="AQ76">
        <f>'TEA Revised Non EYZ'!AQ76</f>
        <v>7.4529770779203794E-2</v>
      </c>
      <c r="AR76">
        <f>'TEA Revised Non EYZ'!AR76</f>
        <v>1.63460309858261E-6</v>
      </c>
      <c r="AS76">
        <f>'TEA Revised Non EYZ'!AS76</f>
        <v>5.0504644411898598E-15</v>
      </c>
      <c r="AT76">
        <f>'TEA Revised Non EYZ'!AT76</f>
        <v>-1.17550023534529E-12</v>
      </c>
      <c r="AU76">
        <f>'TEA Revised Non EYZ'!AU76</f>
        <v>2.20162391837113E-20</v>
      </c>
      <c r="AV76">
        <f>'TEA Revised Non EYZ'!AV76</f>
        <v>0.19695449478278201</v>
      </c>
      <c r="AW76">
        <f>'TEA Revised Non EYZ'!AW76</f>
        <v>99.341430147182905</v>
      </c>
      <c r="AX76">
        <f>'TEA Revised Non EYZ'!AX76</f>
        <v>500</v>
      </c>
      <c r="AY76">
        <f>'TEA Revised Non EYZ'!AY76</f>
        <v>95</v>
      </c>
      <c r="AZ76">
        <f>'TEA Revised Non EYZ'!AZ76</f>
        <v>0.92357064280818002</v>
      </c>
      <c r="BA76">
        <f>'TEA Revised Non EYZ'!BA76</f>
        <v>0.1</v>
      </c>
      <c r="BB76">
        <f>'TEA Revised Non EYZ'!BB76</f>
        <v>46.8925902821751</v>
      </c>
      <c r="BC76" t="str">
        <f>'TEA Revised Non EYZ'!BC76</f>
        <v>coeFc</v>
      </c>
      <c r="BD76">
        <f>'TEA Revised Non EYZ'!BD76</f>
        <v>1</v>
      </c>
      <c r="BE76">
        <f>'TEA Revised Non EYZ'!BE76</f>
        <v>1.8775014999999999E-2</v>
      </c>
      <c r="BF76">
        <f>'TEA Revised Non EYZ'!BF76</f>
        <v>0.10492961100000001</v>
      </c>
      <c r="BG76">
        <f>'TEA Revised Non EYZ'!BG76</f>
        <v>1.814625E-3</v>
      </c>
      <c r="BH76">
        <f>'TEA Revised Non EYZ'!BH76</f>
        <v>285.1951444</v>
      </c>
      <c r="BI76">
        <f>'TEA Revised Non EYZ'!BI76</f>
        <v>2169.8944889999998</v>
      </c>
      <c r="BJ76">
        <f>'TEA Revised Non EYZ'!BJ76</f>
        <v>866.49409060000005</v>
      </c>
      <c r="BK76">
        <f>'TEA Revised Non EYZ'!BK76</f>
        <v>100</v>
      </c>
      <c r="BL76">
        <f>'TEA Revised Non EYZ'!BL76</f>
        <v>10.957366310586</v>
      </c>
      <c r="BM76">
        <f>'TEA Revised Non EYZ'!BM76</f>
        <v>92.357064280818008</v>
      </c>
      <c r="BN76">
        <f>'TEA Revised Non EYZ'!BN76</f>
        <v>19.695449478278203</v>
      </c>
      <c r="BO76">
        <f>'TEA Revised Non EYZ'!BO76</f>
        <v>262.97679145406403</v>
      </c>
      <c r="BP76">
        <f>'TEA Revised Non EYZ'!BP76</f>
        <v>393.90898956556407</v>
      </c>
      <c r="BQ76">
        <f>'TEA Revised Non EYZ'!BQ76</f>
        <v>26.297679145406406</v>
      </c>
      <c r="BR76">
        <f>'TEA Revised Non EYZ'!BR76</f>
        <v>39.390898956556413</v>
      </c>
      <c r="BS76">
        <f>'eLLE Bals'!CF76</f>
        <v>6.5744197863515996</v>
      </c>
      <c r="BT76">
        <f>'eLLE Bals'!CG76</f>
        <v>11.817269686966922</v>
      </c>
      <c r="BU76">
        <f>BM76</f>
        <v>92.357064280818008</v>
      </c>
      <c r="BV76">
        <f>BU76*(AM76*2+AN76*2+AO76*3)</f>
        <v>0.31406285075690299</v>
      </c>
      <c r="BW76">
        <f>BN76*BA76*(AP76*2+AQ76*2+AR76*3)</f>
        <v>0.30042380269199898</v>
      </c>
      <c r="BX76">
        <f>BV76/(2*V76*BL76+BV76)</f>
        <v>0.1253475649954377</v>
      </c>
      <c r="BY76">
        <f>BU76*BX76</f>
        <v>11.576733117727652</v>
      </c>
      <c r="BZ76">
        <f>BW76/(2*BN76*BA76+BW76)</f>
        <v>7.0862797968807095E-2</v>
      </c>
      <c r="CA76">
        <f>2*BN76*BA76/0.04</f>
        <v>98.477247391391018</v>
      </c>
      <c r="CB76">
        <f>(BS76+BL76)*2</f>
        <v>35.063572193875203</v>
      </c>
      <c r="CC76">
        <f>(BU76+BL76)*2</f>
        <v>206.62886118280801</v>
      </c>
      <c r="CD76">
        <f>(BT76+BN76)*2</f>
        <v>63.025438330490246</v>
      </c>
      <c r="CE76">
        <f>(CA76+BN76)*2</f>
        <v>236.34539373933845</v>
      </c>
      <c r="CF76">
        <f>'TEA Revised Non EYZ'!CB76</f>
        <v>3471.2936471936455</v>
      </c>
      <c r="CG76">
        <f>'TEA Revised Non EYZ'!CC76</f>
        <v>5199.5986622654455</v>
      </c>
      <c r="CH76">
        <f>'TEA Revised Non EYZ'!CD76</f>
        <v>4193.9657747282263</v>
      </c>
      <c r="CI76">
        <f>'TEA Revised Non EYZ'!CE76</f>
        <v>40104.966613549579</v>
      </c>
      <c r="CJ76">
        <f>BL76*V76</f>
        <v>1.0957366310586001</v>
      </c>
      <c r="CK76">
        <f>CJ76/2*1.2</f>
        <v>0.65744197863516007</v>
      </c>
      <c r="CL76">
        <f>'eLLE Bals'!CB76*'Oxidant Feed Composition'!$N$20</f>
        <v>3.6524554368620017E-2</v>
      </c>
      <c r="CM76">
        <f>'eLLE Bals'!CB76*'Oxidant Feed Composition'!$N$21</f>
        <v>1.8262277184310003</v>
      </c>
      <c r="CN76">
        <f>'eLLE Bals'!CB76*'Oxidant Feed Composition'!$N$22</f>
        <v>0.54786831552930004</v>
      </c>
      <c r="CO76">
        <f>CN76/CK76</f>
        <v>0.83333333333333326</v>
      </c>
      <c r="CP76">
        <f>CO76</f>
        <v>0.83333333333333326</v>
      </c>
      <c r="CQ76">
        <f>CL76/CO76</f>
        <v>4.3829465242344025E-2</v>
      </c>
      <c r="CR76">
        <f>CM76/CO76</f>
        <v>2.1914732621172006</v>
      </c>
      <c r="CS76">
        <f>BN76*BA76</f>
        <v>1.9695449478278204</v>
      </c>
      <c r="CT76">
        <f>CS76/2*1.2</f>
        <v>1.1817269686966922</v>
      </c>
      <c r="CU76">
        <f>'eLLE Bals'!CC76*'Oxidant Feed Composition'!$N$20</f>
        <v>6.5651498260927366E-2</v>
      </c>
      <c r="CV76">
        <f>'eLLE Bals'!CC76*'Oxidant Feed Composition'!$N$21</f>
        <v>3.2825749130463673</v>
      </c>
      <c r="CW76">
        <f>'eLLE Bals'!CC76*'Oxidant Feed Composition'!$N$22</f>
        <v>0.98477247391391021</v>
      </c>
      <c r="CX76">
        <f>CU76/CP76</f>
        <v>7.878179791311285E-2</v>
      </c>
      <c r="CY76">
        <f>CV76/CP76</f>
        <v>3.9390898956556413</v>
      </c>
      <c r="CZ76">
        <f>CJ76</f>
        <v>1.0957366310586001</v>
      </c>
      <c r="DA76">
        <f>'eLLE Bals'!BQ76</f>
        <v>2.1914732621172002</v>
      </c>
      <c r="DB76">
        <f>'eLLE Bals'!BU76</f>
        <v>5.4543770000616636</v>
      </c>
      <c r="DC76">
        <f>CS76</f>
        <v>1.9695449478278204</v>
      </c>
      <c r="DD76">
        <f>'eLLE Bals'!BX76</f>
        <v>3.9390898956556408</v>
      </c>
      <c r="DE76">
        <f>'eLLE Bals'!CA76</f>
        <v>21.885144181369458</v>
      </c>
      <c r="DF76">
        <f>2*2*(CJ76*'Reagent cost'!$C$36*122.44/1000*0.5+CK76*'Oxidant Feed Composition'!$N$26+CQ76*'Reagent cost'!$C$34+CR76*'Reagent cost'!$C$35)</f>
        <v>73.605325923065834</v>
      </c>
      <c r="DG76">
        <f>2*2*(CS76*'Reagent cost'!$C$36*122.44/1000*0.5+CT76*'Oxidant Feed Composition'!$N$26+CX76*'Reagent cost'!$C$34+CY76*'Reagent cost'!$C$35)</f>
        <v>132.30277577280469</v>
      </c>
      <c r="DH76">
        <f>(AF76+3)*2*(CZ76*'Reagent cost'!$C$38*0.5+DA76*'Reagent cost'!$C$39+DB76*'Reagent cost'!$C$36*122.44/1000)</f>
        <v>1094.1196594965836</v>
      </c>
      <c r="DI76">
        <f>3*2*(DC76*'Reagent cost'!$C$38*0.5+DD76*'Reagent cost'!$C$39+DE76*'Reagent cost'!$C$36*122.44/1000)</f>
        <v>1163.1272256147722</v>
      </c>
      <c r="DJ76">
        <f>7963.6*(CB76/1000)^0.6*1.7*('CAPEX+OPEX'!$G$116/'CAPEX+OPEX'!$G$115)</f>
        <v>2138.7234102796551</v>
      </c>
      <c r="DK76">
        <f>7963.6*(CC76/1000)^0.6*1.7*('CAPEX+OPEX'!$G$116/'CAPEX+OPEX'!$G$115)</f>
        <v>6199.4836239091055</v>
      </c>
      <c r="DL76">
        <f>7963.6*(CD76/1000)^0.6*1.7*('CAPEX+OPEX'!$G$116/'CAPEX+OPEX'!$G$115)</f>
        <v>3040.5381206969964</v>
      </c>
      <c r="DM76">
        <f>7963.6*(CE76/1000)^0.6*1.7*('CAPEX+OPEX'!$G$116/'CAPEX+OPEX'!$G$115)</f>
        <v>6719.9990766358605</v>
      </c>
      <c r="DN76">
        <f>'TEA Revised Non EYZ'!CM76</f>
        <v>39625.826528698344</v>
      </c>
      <c r="DO76">
        <f>'TEA Revised Non EYZ'!CN76</f>
        <v>4586243.4239371875</v>
      </c>
      <c r="DP76">
        <f>'TEA Revised Non EYZ'!CO76</f>
        <v>11794834.586807497</v>
      </c>
      <c r="DQ76">
        <f>'TEA Revised Non EYZ'!CP76</f>
        <v>2275209.1661185985</v>
      </c>
      <c r="DR76">
        <f>'TEA Revised Non EYZ'!CQ76</f>
        <v>14083914.336508472</v>
      </c>
      <c r="DS76">
        <f>'TEA Revised Non EYZ'!CR76</f>
        <v>1662824.8986326549</v>
      </c>
      <c r="DT76">
        <f>'TEA Revised Non EYZ'!CS76</f>
        <v>847423.79840727116</v>
      </c>
      <c r="DU76">
        <f>'TEA Revised Non EYZ'!CT76</f>
        <v>2179392.2832288719</v>
      </c>
      <c r="DV76">
        <f>'TEA Revised Non EYZ'!CU76</f>
        <v>420402.1059283549</v>
      </c>
      <c r="DW76">
        <f>'TEA Revised Non EYZ'!CV76</f>
        <v>2602357.3282642425</v>
      </c>
      <c r="DX76">
        <f>'TEA Revised Non EYZ'!CW76</f>
        <v>307248.71347447456</v>
      </c>
      <c r="DY76">
        <f>'TEA Revised Non EYZ'!CX76</f>
        <v>6356824.2293032147</v>
      </c>
      <c r="DZ76">
        <f>'TEA Revised Non EYZ'!CY76</f>
        <v>709494.50626692141</v>
      </c>
      <c r="EA76">
        <f>'TEA Revised Non EYZ'!CZ76</f>
        <v>1824667.7221687753</v>
      </c>
      <c r="EB76">
        <f>'TEA Revised Non EYZ'!DA76</f>
        <v>351976.17194586084</v>
      </c>
      <c r="EC76">
        <f>'TEA Revised Non EYZ'!DB76</f>
        <v>2178789.6814051773</v>
      </c>
      <c r="ED76">
        <f>'TEA Revised Non EYZ'!DC76</f>
        <v>257239.97211009727</v>
      </c>
      <c r="EE76">
        <f>'TEA Revised Non EYZ'!DD76</f>
        <v>5322168.0538968323</v>
      </c>
      <c r="EF76">
        <v>0.7</v>
      </c>
      <c r="EG76">
        <v>100</v>
      </c>
      <c r="EH76">
        <f>96485*BL76*V76/EF76/EG76/60</f>
        <v>25.171940201830719</v>
      </c>
      <c r="EI76">
        <f>96485*BN76*BA76/EF76/EG76/60</f>
        <v>45.245605783611254</v>
      </c>
      <c r="EJ76">
        <f>EH76*('CAPEX+OPEX'!$O$25+'CAPEX+OPEX'!$O$26)</f>
        <v>802280.07811274868</v>
      </c>
      <c r="EK76">
        <f>EI76*('CAPEX+OPEX'!$O$25+'CAPEX+OPEX'!$O$26)</f>
        <v>1442067.9475352578</v>
      </c>
      <c r="EL76">
        <f>EJ76*1.12/0.6*'CAPEX+OPEX'!$G$116/'CAPEX+OPEX'!$G$115</f>
        <v>1766344.2502316802</v>
      </c>
      <c r="EM76">
        <f>EK76*1.12/0.6*'CAPEX+OPEX'!$G$116/'CAPEX+OPEX'!$G$115</f>
        <v>3174936.6549948575</v>
      </c>
      <c r="EN76">
        <f>EL76+EM76+DY76+EE76+1.15*(SUM(DF76:DM76)+SUM(CF76:CI76))</f>
        <v>16704834.67093006</v>
      </c>
      <c r="EO76">
        <f>EN76/15</f>
        <v>1113655.6447286706</v>
      </c>
      <c r="EP76">
        <f>('eLLE Bals'!CB76+'eLLE Bals'!CC76)*'Oxidant Feed Composition'!$N$29*60*7200</f>
        <v>7645907.1763227107</v>
      </c>
      <c r="EQ76" s="53">
        <f>('eLLE Bals'!BR76+'eLLE Bals'!BY76)*'Reagent cost'!$C$38*60*7200*0.5</f>
        <v>252647.18462408465</v>
      </c>
      <c r="ER76">
        <f>'TEA Revised Non EYZ'!DI76</f>
        <v>504921.59999999998</v>
      </c>
      <c r="ES76">
        <f>'TEA Revised Non EYZ'!DJ76</f>
        <v>86.708923094590901</v>
      </c>
      <c r="ET76">
        <f>'TEA Revised Non EYZ'!DK76</f>
        <v>885.97864776555616</v>
      </c>
      <c r="EU76">
        <f>1.2*SUM(EP76:ET76)</f>
        <v>10085338.378221184</v>
      </c>
      <c r="EV76">
        <f>'TEA Revised Non EYZ'!DM76</f>
        <v>0.70639694042110623</v>
      </c>
      <c r="EW76">
        <f>(BS76*CO76+BT76*CP76)/1000*('Oxidant Feed Composition'!$B$11*'Oxidant Feed Composition'!$O$20+'Oxidant Feed Composition'!$D$11*'Oxidant Feed Composition'!$O$21+'Oxidant Feed Composition'!$F$11*'Oxidant Feed Composition'!$O$27-'Oxidant Feed Composition'!$J$15*18.015)</f>
        <v>1.7898874958036213</v>
      </c>
      <c r="EX76">
        <f>(CZ76*BX76+DC76*BZ76)*368.34/1000</f>
        <v>0.10199901265597461</v>
      </c>
      <c r="EY76">
        <f>'TEA Revised Non EYZ'!DP76</f>
        <v>4.999938342565946E-2</v>
      </c>
      <c r="EZ76">
        <f>SUM(EV76:EX76)-EY76</f>
        <v>2.5482840654550429</v>
      </c>
      <c r="FA76">
        <f>EZ76*0.33*60*7200</f>
        <v>363283.37637127092</v>
      </c>
      <c r="FB76">
        <f>'TEA Revised Non EYZ'!DS76</f>
        <v>1.2</v>
      </c>
      <c r="FC76">
        <v>0.5</v>
      </c>
      <c r="FD76">
        <f>'TEA Revised Non EYZ'!DT76</f>
        <v>1405.8351729230828</v>
      </c>
      <c r="FE76">
        <f>'TEA Revised Non EYZ'!DU76</f>
        <v>705.85320127009629</v>
      </c>
      <c r="FF76">
        <f>'TEA Revised Non EYZ'!DV76</f>
        <v>0.7</v>
      </c>
      <c r="FG76">
        <f>'TEA Revised Non EYZ'!DW76</f>
        <v>46784.46952433938</v>
      </c>
      <c r="FH76">
        <f>'TEA Revised Non EYZ'!DX76</f>
        <v>45678.708869524045</v>
      </c>
      <c r="FI76">
        <f>'TEA Revised Non EYZ'!DY76</f>
        <v>19339.775932661389</v>
      </c>
      <c r="FJ76">
        <f>'TEA Revised Non EYZ'!DZ76</f>
        <v>10244.818866671721</v>
      </c>
      <c r="FK76">
        <f>'TEA Revised Non EYZ'!EA76</f>
        <v>10314.547164086078</v>
      </c>
      <c r="FL76">
        <f>'TEA Revised Non EYZ'!EB76</f>
        <v>850.24911258388056</v>
      </c>
      <c r="FM76">
        <f>'TEA Revised Non EYZ'!EC76</f>
        <v>38570.52314689981</v>
      </c>
      <c r="FN76">
        <f>'TEA Revised Non EYZ'!ED76</f>
        <v>34914.519262449241</v>
      </c>
      <c r="FO76">
        <f>'TEA Revised Non EYZ'!EE76</f>
        <v>14782.35694579504</v>
      </c>
      <c r="FP76">
        <f>'TEA Revised Non EYZ'!EF76</f>
        <v>7834.9862778455226</v>
      </c>
      <c r="FQ76">
        <f>'TEA Revised Non EYZ'!EG76</f>
        <v>7883.9237044240235</v>
      </c>
      <c r="FR76">
        <f>'TEA Revised Non EYZ'!EH76</f>
        <v>426.90001612815422</v>
      </c>
      <c r="FS76">
        <f>'TEA Revised Non EYZ'!EI76</f>
        <v>237625.77882340824</v>
      </c>
      <c r="FT76">
        <f>EG76*EH76</f>
        <v>2517.1940201830716</v>
      </c>
      <c r="FU76">
        <f>EG76*EI76</f>
        <v>4524.5605783611254</v>
      </c>
      <c r="FV76">
        <f>FC76*(FT76+FU76)/(3.6*10^6)*3600*7200*0.07</f>
        <v>1774.5221588331378</v>
      </c>
      <c r="FW76">
        <f>('CAPEX+OPEX'!$C$39/7/100+0.03)*EL76</f>
        <v>90840.561440486417</v>
      </c>
      <c r="FX76">
        <f>('CAPEX+OPEX'!$C$39/7/100+0.03)*EM76</f>
        <v>163282.45654259267</v>
      </c>
      <c r="FY76">
        <f>SUM(FV76:FX76)</f>
        <v>255897.54014191224</v>
      </c>
      <c r="FZ76">
        <f>FY76+FA76+FS76+EU76</f>
        <v>10942145.073557775</v>
      </c>
      <c r="GA76">
        <f>FZ76+EO76</f>
        <v>12055800.718286445</v>
      </c>
      <c r="GB76">
        <f>GA76/(BK76*60*7200)</f>
        <v>0.27906946107144548</v>
      </c>
      <c r="GC76">
        <f>'TEA Revised Non EYZ'!EM76/'TEA Revised Non EYZ'!EK76*GA76</f>
        <v>933.64963495023346</v>
      </c>
      <c r="GD76">
        <f>'TEA Revised Non EYZ'!EN76/'TEA Revised Non EYZ'!EK76*GA76</f>
        <v>1713.3057723768968</v>
      </c>
    </row>
    <row r="77" spans="1:186">
      <c r="A77">
        <f>'TEA Revised Non EYZ'!A77</f>
        <v>10</v>
      </c>
      <c r="B77">
        <f>'TEA Revised Non EYZ'!B77</f>
        <v>1.54143585092054E-3</v>
      </c>
      <c r="C77">
        <f>'TEA Revised Non EYZ'!C77</f>
        <v>1.54143585092054E-3</v>
      </c>
      <c r="D77">
        <f>'TEA Revised Non EYZ'!D77</f>
        <v>3.4254130020456501E-4</v>
      </c>
      <c r="E77">
        <f>'TEA Revised Non EYZ'!E77</f>
        <v>0</v>
      </c>
      <c r="F77">
        <f>'TEA Revised Non EYZ'!F77</f>
        <v>0</v>
      </c>
      <c r="G77">
        <f>'TEA Revised Non EYZ'!G77</f>
        <v>0</v>
      </c>
      <c r="H77">
        <f>'TEA Revised Non EYZ'!H77</f>
        <v>1.7770671970930099E-5</v>
      </c>
      <c r="I77">
        <f>'TEA Revised Non EYZ'!I77</f>
        <v>5.2649488631162003E-10</v>
      </c>
      <c r="J77">
        <f>'TEA Revised Non EYZ'!J77</f>
        <v>3.3765279177869602E-4</v>
      </c>
      <c r="K77">
        <f>'TEA Revised Non EYZ'!K77</f>
        <v>0.139053960209192</v>
      </c>
      <c r="L77">
        <f>'TEA Revised Non EYZ'!L77</f>
        <v>0.14067571356050099</v>
      </c>
      <c r="M77">
        <f>'TEA Revised Non EYZ'!M77</f>
        <v>4.4613899794023002E-4</v>
      </c>
      <c r="N77">
        <f>'TEA Revised Non EYZ'!N77</f>
        <v>-1.6046192152785399E-16</v>
      </c>
      <c r="O77">
        <f>'TEA Revised Non EYZ'!O77</f>
        <v>-5.9831913729046996E-14</v>
      </c>
      <c r="P77">
        <f>'TEA Revised Non EYZ'!P77</f>
        <v>-6.6915602833089703E-20</v>
      </c>
      <c r="Q77">
        <f>'TEA Revised Non EYZ'!Q77</f>
        <v>0.10957366310586</v>
      </c>
      <c r="R77">
        <f>'TEA Revised Non EYZ'!R77</f>
        <v>98.572870359588904</v>
      </c>
      <c r="S77">
        <f>'TEA Revised Non EYZ'!S77</f>
        <v>500</v>
      </c>
      <c r="T77">
        <f>'TEA Revised Non EYZ'!T77</f>
        <v>95</v>
      </c>
      <c r="U77">
        <f>'TEA Revised Non EYZ'!U77</f>
        <v>1</v>
      </c>
      <c r="V77">
        <f>'TEA Revised Non EYZ'!V77</f>
        <v>0.1</v>
      </c>
      <c r="W77">
        <f>'TEA Revised Non EYZ'!W77</f>
        <v>91.262806376555005</v>
      </c>
      <c r="X77" t="str">
        <f>'TEA Revised Non EYZ'!X77</f>
        <v>ddFc</v>
      </c>
      <c r="Y77">
        <f>'TEA Revised Non EYZ'!Y77</f>
        <v>1</v>
      </c>
      <c r="Z77">
        <f>'TEA Revised Non EYZ'!Z77</f>
        <v>0.28318429382522198</v>
      </c>
      <c r="AA77">
        <f>'TEA Revised Non EYZ'!AA77</f>
        <v>0.56945642916197003</v>
      </c>
      <c r="AB77">
        <f>'TEA Revised Non EYZ'!AB77</f>
        <v>3.7698628972227502E-3</v>
      </c>
      <c r="AC77">
        <f>'TEA Revised Non EYZ'!AC77</f>
        <v>1822.2107908876901</v>
      </c>
      <c r="AD77">
        <f>'TEA Revised Non EYZ'!AD77</f>
        <v>2662.6059073104898</v>
      </c>
      <c r="AE77">
        <f>'TEA Revised Non EYZ'!AE77</f>
        <v>2401.5030938442701</v>
      </c>
      <c r="AF77">
        <f>'TEA Revised Non EYZ'!AF77</f>
        <v>9</v>
      </c>
      <c r="AG77">
        <f>'TEA Revised Non EYZ'!AG77</f>
        <v>1.6497548842793E-3</v>
      </c>
      <c r="AH77">
        <f>'TEA Revised Non EYZ'!AH77</f>
        <v>1.66899558413707E-3</v>
      </c>
      <c r="AI77">
        <f>'TEA Revised Non EYZ'!AI77</f>
        <v>5.2930530695573503E-6</v>
      </c>
      <c r="AJ77">
        <f>'TEA Revised Non EYZ'!AJ77</f>
        <v>0</v>
      </c>
      <c r="AK77">
        <f>'TEA Revised Non EYZ'!AK77</f>
        <v>0</v>
      </c>
      <c r="AL77">
        <f>'TEA Revised Non EYZ'!AL77</f>
        <v>0</v>
      </c>
      <c r="AM77">
        <f>'TEA Revised Non EYZ'!AM77</f>
        <v>1.6127928524710801E-3</v>
      </c>
      <c r="AN77">
        <f>'TEA Revised Non EYZ'!AN77</f>
        <v>7.9625604160899597E-5</v>
      </c>
      <c r="AO77">
        <f>'TEA Revised Non EYZ'!AO77</f>
        <v>5.2582301473474496E-6</v>
      </c>
      <c r="AP77">
        <f>'TEA Revised Non EYZ'!AP77</f>
        <v>1.73376028278021E-3</v>
      </c>
      <c r="AQ77">
        <f>'TEA Revised Non EYZ'!AQ77</f>
        <v>7.4551814690152901E-2</v>
      </c>
      <c r="AR77">
        <f>'TEA Revised Non EYZ'!AR77</f>
        <v>1.6334220957110999E-6</v>
      </c>
      <c r="AS77">
        <f>'TEA Revised Non EYZ'!AS77</f>
        <v>3.7072938035426199E-17</v>
      </c>
      <c r="AT77">
        <f>'TEA Revised Non EYZ'!AT77</f>
        <v>-4.8554910092590799E-15</v>
      </c>
      <c r="AU77">
        <f>'TEA Revised Non EYZ'!AU77</f>
        <v>-3.3748968992163501E-22</v>
      </c>
      <c r="AV77">
        <f>'TEA Revised Non EYZ'!AV77</f>
        <v>0.19689600584133801</v>
      </c>
      <c r="AW77">
        <f>'TEA Revised Non EYZ'!AW77</f>
        <v>99.342101396825598</v>
      </c>
      <c r="AX77">
        <f>'TEA Revised Non EYZ'!AX77</f>
        <v>500</v>
      </c>
      <c r="AY77">
        <f>'TEA Revised Non EYZ'!AY77</f>
        <v>95</v>
      </c>
      <c r="AZ77">
        <f>'TEA Revised Non EYZ'!AZ77</f>
        <v>0.92357064280818002</v>
      </c>
      <c r="BA77">
        <f>'TEA Revised Non EYZ'!BA77</f>
        <v>0.1</v>
      </c>
      <c r="BB77">
        <f>'TEA Revised Non EYZ'!BB77</f>
        <v>46.906519960207</v>
      </c>
      <c r="BC77" t="str">
        <f>'TEA Revised Non EYZ'!BC77</f>
        <v>coeFc</v>
      </c>
      <c r="BD77">
        <f>'TEA Revised Non EYZ'!BD77</f>
        <v>1</v>
      </c>
      <c r="BE77">
        <f>'TEA Revised Non EYZ'!BE77</f>
        <v>1.8775014999999999E-2</v>
      </c>
      <c r="BF77">
        <f>'TEA Revised Non EYZ'!BF77</f>
        <v>0.10492961100000001</v>
      </c>
      <c r="BG77">
        <f>'TEA Revised Non EYZ'!BG77</f>
        <v>1.814625E-3</v>
      </c>
      <c r="BH77">
        <f>'TEA Revised Non EYZ'!BH77</f>
        <v>285.1951444</v>
      </c>
      <c r="BI77">
        <f>'TEA Revised Non EYZ'!BI77</f>
        <v>2169.8944889999998</v>
      </c>
      <c r="BJ77">
        <f>'TEA Revised Non EYZ'!BJ77</f>
        <v>866.49409060000005</v>
      </c>
      <c r="BK77">
        <f>'TEA Revised Non EYZ'!BK77</f>
        <v>100</v>
      </c>
      <c r="BL77">
        <f>'TEA Revised Non EYZ'!BL77</f>
        <v>10.957366310586</v>
      </c>
      <c r="BM77">
        <f>'TEA Revised Non EYZ'!BM77</f>
        <v>92.357064280818008</v>
      </c>
      <c r="BN77">
        <f>'TEA Revised Non EYZ'!BN77</f>
        <v>19.6896005841338</v>
      </c>
      <c r="BO77">
        <f>'TEA Revised Non EYZ'!BO77</f>
        <v>262.97679145406403</v>
      </c>
      <c r="BP77">
        <f>'TEA Revised Non EYZ'!BP77</f>
        <v>433.17121285094356</v>
      </c>
      <c r="BQ77">
        <f>'TEA Revised Non EYZ'!BQ77</f>
        <v>26.297679145406406</v>
      </c>
      <c r="BR77">
        <f>'TEA Revised Non EYZ'!BR77</f>
        <v>43.317121285094359</v>
      </c>
      <c r="BS77">
        <f>'eLLE Bals'!CF77</f>
        <v>6.5744197863515996</v>
      </c>
      <c r="BT77">
        <f>'eLLE Bals'!CG77</f>
        <v>11.81376035048028</v>
      </c>
      <c r="BU77">
        <f>BM77</f>
        <v>92.357064280818008</v>
      </c>
      <c r="BV77">
        <f>BU77*(AM77*2+AN77*2+AO77*3)</f>
        <v>0.31407050447757079</v>
      </c>
      <c r="BW77">
        <f>BN77*BA77*(AP77*2+AQ77*2+AR77*3)</f>
        <v>0.30041614873820427</v>
      </c>
      <c r="BX77">
        <f>BV77/(2*V77*BL77+BV77)</f>
        <v>0.1253502368088413</v>
      </c>
      <c r="BY77">
        <f>BU77*BX77</f>
        <v>11.576979878569915</v>
      </c>
      <c r="BZ77">
        <f>BW77/(2*BN77*BA77+BW77)</f>
        <v>7.0880678151703763E-2</v>
      </c>
      <c r="CA77">
        <f>2*BN77*BA77/0.04</f>
        <v>98.448002920668998</v>
      </c>
      <c r="CB77">
        <f>(BS77+BL77)*2</f>
        <v>35.063572193875203</v>
      </c>
      <c r="CC77">
        <f>(BU77+BL77)*2</f>
        <v>206.62886118280801</v>
      </c>
      <c r="CD77">
        <f>(BT77+BN77)*2</f>
        <v>63.006721869228159</v>
      </c>
      <c r="CE77">
        <f>(CA77+BN77)*2</f>
        <v>236.27520700960559</v>
      </c>
      <c r="CF77">
        <f>'TEA Revised Non EYZ'!CB77</f>
        <v>3471.2936471936455</v>
      </c>
      <c r="CG77">
        <f>'TEA Revised Non EYZ'!CC77</f>
        <v>5717.8600096324553</v>
      </c>
      <c r="CH77">
        <f>'TEA Revised Non EYZ'!CD77</f>
        <v>4193.9657747282263</v>
      </c>
      <c r="CI77">
        <f>'TEA Revised Non EYZ'!CE77</f>
        <v>44102.36244797946</v>
      </c>
      <c r="CJ77">
        <f>BL77*V77</f>
        <v>1.0957366310586001</v>
      </c>
      <c r="CK77">
        <f>CJ77/2*1.2</f>
        <v>0.65744197863516007</v>
      </c>
      <c r="CL77">
        <f>'eLLE Bals'!CB77*'Oxidant Feed Composition'!$N$20</f>
        <v>3.6524554368620017E-2</v>
      </c>
      <c r="CM77">
        <f>'eLLE Bals'!CB77*'Oxidant Feed Composition'!$N$21</f>
        <v>1.8262277184310003</v>
      </c>
      <c r="CN77">
        <f>'eLLE Bals'!CB77*'Oxidant Feed Composition'!$N$22</f>
        <v>0.54786831552930004</v>
      </c>
      <c r="CO77">
        <f>CN77/CK77</f>
        <v>0.83333333333333326</v>
      </c>
      <c r="CP77">
        <f>CO77</f>
        <v>0.83333333333333326</v>
      </c>
      <c r="CQ77">
        <f>CL77/CO77</f>
        <v>4.3829465242344025E-2</v>
      </c>
      <c r="CR77">
        <f>CM77/CO77</f>
        <v>2.1914732621172006</v>
      </c>
      <c r="CS77">
        <f>BN77*BA77</f>
        <v>1.96896005841338</v>
      </c>
      <c r="CT77">
        <f>CS77/2*1.2</f>
        <v>1.181376035048028</v>
      </c>
      <c r="CU77">
        <f>'eLLE Bals'!CC77*'Oxidant Feed Composition'!$N$20</f>
        <v>6.5632001947112689E-2</v>
      </c>
      <c r="CV77">
        <f>'eLLE Bals'!CC77*'Oxidant Feed Composition'!$N$21</f>
        <v>3.2816000973556334</v>
      </c>
      <c r="CW77">
        <f>'eLLE Bals'!CC77*'Oxidant Feed Composition'!$N$22</f>
        <v>0.98448002920668998</v>
      </c>
      <c r="CX77">
        <f>CU77/CP77</f>
        <v>7.8758402336535235E-2</v>
      </c>
      <c r="CY77">
        <f>CV77/CP77</f>
        <v>3.9379201168267604</v>
      </c>
      <c r="CZ77">
        <f>CJ77</f>
        <v>1.0957366310586001</v>
      </c>
      <c r="DA77">
        <f>'eLLE Bals'!BQ77</f>
        <v>2.1914732621172002</v>
      </c>
      <c r="DB77">
        <f>'eLLE Bals'!BU77</f>
        <v>5.4541906733858641</v>
      </c>
      <c r="DC77">
        <f>CS77</f>
        <v>1.96896005841338</v>
      </c>
      <c r="DD77">
        <f>'eLLE Bals'!BX77</f>
        <v>3.9379201168267599</v>
      </c>
      <c r="DE77">
        <f>'eLLE Bals'!CA77</f>
        <v>21.871635913436023</v>
      </c>
      <c r="DF77">
        <f>2*2*(CJ77*'Reagent cost'!$C$36*122.44/1000*0.5+CK77*'Oxidant Feed Composition'!$N$26+CQ77*'Reagent cost'!$C$34+CR77*'Reagent cost'!$C$35)</f>
        <v>73.605325923065834</v>
      </c>
      <c r="DG77">
        <f>2*2*(CS77*'Reagent cost'!$C$36*122.44/1000*0.5+CT77*'Oxidant Feed Composition'!$N$26+CX77*'Reagent cost'!$C$34+CY77*'Reagent cost'!$C$35)</f>
        <v>132.26348624395391</v>
      </c>
      <c r="DH77">
        <f>(AF77+3)*2*(CZ77*'Reagent cost'!$C$38*0.5+DA77*'Reagent cost'!$C$39+DB77*'Reagent cost'!$C$36*122.44/1000)</f>
        <v>1193.5464163691195</v>
      </c>
      <c r="DI77">
        <f>3*2*(DC77*'Reagent cost'!$C$38*0.5+DD77*'Reagent cost'!$C$39+DE77*'Reagent cost'!$C$36*122.44/1000)</f>
        <v>1162.4181810496068</v>
      </c>
      <c r="DJ77">
        <f>7963.6*(CB77/1000)^0.6*1.7*('CAPEX+OPEX'!$G$116/'CAPEX+OPEX'!$G$115)</f>
        <v>2138.7234102796551</v>
      </c>
      <c r="DK77">
        <f>7963.6*(CC77/1000)^0.6*1.7*('CAPEX+OPEX'!$G$116/'CAPEX+OPEX'!$G$115)</f>
        <v>6199.4836239091055</v>
      </c>
      <c r="DL77">
        <f>7963.6*(CD77/1000)^0.6*1.7*('CAPEX+OPEX'!$G$116/'CAPEX+OPEX'!$G$115)</f>
        <v>3039.9963252325761</v>
      </c>
      <c r="DM77">
        <f>7963.6*(CE77/1000)^0.6*1.7*('CAPEX+OPEX'!$G$116/'CAPEX+OPEX'!$G$115)</f>
        <v>6718.8016356316366</v>
      </c>
      <c r="DN77">
        <f>'TEA Revised Non EYZ'!CM77</f>
        <v>39625.826528698344</v>
      </c>
      <c r="DO77">
        <f>'TEA Revised Non EYZ'!CN77</f>
        <v>4586243.4239371875</v>
      </c>
      <c r="DP77">
        <f>'TEA Revised Non EYZ'!CO77</f>
        <v>11794834.586807497</v>
      </c>
      <c r="DQ77">
        <f>'TEA Revised Non EYZ'!CP77</f>
        <v>2275209.1661185985</v>
      </c>
      <c r="DR77">
        <f>'TEA Revised Non EYZ'!CQ77</f>
        <v>14083914.336508472</v>
      </c>
      <c r="DS77">
        <f>'TEA Revised Non EYZ'!CR77</f>
        <v>1662824.8986326549</v>
      </c>
      <c r="DT77">
        <f>'TEA Revised Non EYZ'!CS77</f>
        <v>847423.79840727116</v>
      </c>
      <c r="DU77">
        <f>'TEA Revised Non EYZ'!CT77</f>
        <v>2179392.2832288719</v>
      </c>
      <c r="DV77">
        <f>'TEA Revised Non EYZ'!CU77</f>
        <v>420402.1059283549</v>
      </c>
      <c r="DW77">
        <f>'TEA Revised Non EYZ'!CV77</f>
        <v>2602357.3282642425</v>
      </c>
      <c r="DX77">
        <f>'TEA Revised Non EYZ'!CW77</f>
        <v>307248.71347447456</v>
      </c>
      <c r="DY77">
        <f>'TEA Revised Non EYZ'!CX77</f>
        <v>6356824.2293032147</v>
      </c>
      <c r="DZ77">
        <f>'TEA Revised Non EYZ'!CY77</f>
        <v>755794.15915808035</v>
      </c>
      <c r="EA77">
        <f>'TEA Revised Non EYZ'!CZ77</f>
        <v>1943740.5006496462</v>
      </c>
      <c r="EB77">
        <f>'TEA Revised Non EYZ'!DA77</f>
        <v>374945.16528281744</v>
      </c>
      <c r="EC77">
        <f>'TEA Revised Non EYZ'!DB77</f>
        <v>2320971.4813780542</v>
      </c>
      <c r="ED77">
        <f>'TEA Revised Non EYZ'!DC77</f>
        <v>274026.74256882182</v>
      </c>
      <c r="EE77">
        <f>'TEA Revised Non EYZ'!DD77</f>
        <v>5669478.0490374202</v>
      </c>
      <c r="EF77">
        <v>0.7</v>
      </c>
      <c r="EG77">
        <v>100</v>
      </c>
      <c r="EH77">
        <f>96485*BL77*V77/EF77/EG77/60</f>
        <v>25.171940201830719</v>
      </c>
      <c r="EI77">
        <f>96485*BN77*BA77/EF77/EG77/60</f>
        <v>45.232169341908325</v>
      </c>
      <c r="EJ77">
        <f>EH77*('CAPEX+OPEX'!$O$25+'CAPEX+OPEX'!$O$26)</f>
        <v>802280.07811274868</v>
      </c>
      <c r="EK77">
        <f>EI77*('CAPEX+OPEX'!$O$25+'CAPEX+OPEX'!$O$26)</f>
        <v>1441639.701265302</v>
      </c>
      <c r="EL77">
        <f>EJ77*1.12/0.6*'CAPEX+OPEX'!$G$116/'CAPEX+OPEX'!$G$115</f>
        <v>1766344.2502316802</v>
      </c>
      <c r="EM77">
        <f>EK77*1.12/0.6*'CAPEX+OPEX'!$G$116/'CAPEX+OPEX'!$G$115</f>
        <v>3173993.8042906509</v>
      </c>
      <c r="EN77">
        <f>EL77+EM77+DY77+EE77+1.15*(SUM(DF77:DM77)+SUM(CF77:CI77))</f>
        <v>17056506.301189765</v>
      </c>
      <c r="EO77">
        <f>EN77/15</f>
        <v>1137100.4200793176</v>
      </c>
      <c r="EP77">
        <f>('eLLE Bals'!CB77+'eLLE Bals'!CC77)*'Oxidant Feed Composition'!$N$29*60*7200</f>
        <v>7644448.2532005981</v>
      </c>
      <c r="EQ77" s="53">
        <f>('eLLE Bals'!BR77+'eLLE Bals'!BY77)*'Reagent cost'!$C$38*60*7200*0.5</f>
        <v>252644.16111838055</v>
      </c>
      <c r="ER77">
        <f>'TEA Revised Non EYZ'!DI77</f>
        <v>504921.59999999998</v>
      </c>
      <c r="ES77">
        <f>'TEA Revised Non EYZ'!DJ77</f>
        <v>91.891536568261003</v>
      </c>
      <c r="ET77">
        <f>'TEA Revised Non EYZ'!DK77</f>
        <v>965.92656445415378</v>
      </c>
      <c r="EU77">
        <f>1.2*SUM(EP77:ET77)</f>
        <v>10083686.198904</v>
      </c>
      <c r="EV77">
        <f>'TEA Revised Non EYZ'!DM77</f>
        <v>0.70639694042110623</v>
      </c>
      <c r="EW77">
        <f>(BS77*CO77+BT77*CP77)/1000*('Oxidant Feed Composition'!$B$11*'Oxidant Feed Composition'!$O$20+'Oxidant Feed Composition'!$D$11*'Oxidant Feed Composition'!$O$21+'Oxidant Feed Composition'!$F$11*'Oxidant Feed Composition'!$O$27-'Oxidant Feed Composition'!$J$15*18.015)</f>
        <v>1.7895459655975396</v>
      </c>
      <c r="EX77">
        <f>(CZ77*BX77+DC77*BZ77)*368.34/1000</f>
        <v>0.10199779200276589</v>
      </c>
      <c r="EY77">
        <f>'TEA Revised Non EYZ'!DP77</f>
        <v>4.999938342565946E-2</v>
      </c>
      <c r="EZ77">
        <f>SUM(EV77:EX77)-EY77</f>
        <v>2.5479413145957523</v>
      </c>
      <c r="FA77">
        <f>EZ77*0.33*60*7200</f>
        <v>363234.51380877045</v>
      </c>
      <c r="FB77">
        <f>'TEA Revised Non EYZ'!DS77</f>
        <v>1.2</v>
      </c>
      <c r="FC77">
        <v>0.5</v>
      </c>
      <c r="FD77">
        <f>'TEA Revised Non EYZ'!DT77</f>
        <v>1405.8694518465684</v>
      </c>
      <c r="FE77">
        <f>'TEA Revised Non EYZ'!DU77</f>
        <v>705.8189218133607</v>
      </c>
      <c r="FF77">
        <f>'TEA Revised Non EYZ'!DV77</f>
        <v>0.7</v>
      </c>
      <c r="FG77">
        <f>'TEA Revised Non EYZ'!DW77</f>
        <v>46784.46952433938</v>
      </c>
      <c r="FH77">
        <f>'TEA Revised Non EYZ'!DX77</f>
        <v>45678.708869524045</v>
      </c>
      <c r="FI77">
        <f>'TEA Revised Non EYZ'!DY77</f>
        <v>19339.775932661389</v>
      </c>
      <c r="FJ77">
        <f>'TEA Revised Non EYZ'!DZ77</f>
        <v>10244.818866671721</v>
      </c>
      <c r="FK77">
        <f>'TEA Revised Non EYZ'!EA77</f>
        <v>10314.547164086078</v>
      </c>
      <c r="FL77">
        <f>'TEA Revised Non EYZ'!EB77</f>
        <v>850.26984447680456</v>
      </c>
      <c r="FM77">
        <f>'TEA Revised Non EYZ'!EC77</f>
        <v>41141.89135669313</v>
      </c>
      <c r="FN77">
        <f>'TEA Revised Non EYZ'!ED77</f>
        <v>38793.910291610271</v>
      </c>
      <c r="FO77">
        <f>'TEA Revised Non EYZ'!EE77</f>
        <v>16424.84105088338</v>
      </c>
      <c r="FP77">
        <f>'TEA Revised Non EYZ'!EF77</f>
        <v>8705.5403087172472</v>
      </c>
      <c r="FQ77">
        <f>'TEA Revised Non EYZ'!EG77</f>
        <v>8759.9152271378043</v>
      </c>
      <c r="FR77">
        <f>'TEA Revised Non EYZ'!EH77</f>
        <v>426.87928391272061</v>
      </c>
      <c r="FS77">
        <f>'TEA Revised Non EYZ'!EI77</f>
        <v>247465.56772071397</v>
      </c>
      <c r="FT77">
        <f>EG77*EH77</f>
        <v>2517.1940201830716</v>
      </c>
      <c r="FU77">
        <f>EG77*EI77</f>
        <v>4523.216934190832</v>
      </c>
      <c r="FV77">
        <f>FC77*(FT77+FU77)/(3.6*10^6)*3600*7200*0.07</f>
        <v>1774.1835605022241</v>
      </c>
      <c r="FW77">
        <f>('CAPEX+OPEX'!$C$39/7/100+0.03)*EL77</f>
        <v>90840.561440486417</v>
      </c>
      <c r="FX77">
        <f>('CAPEX+OPEX'!$C$39/7/100+0.03)*EM77</f>
        <v>163233.9670778049</v>
      </c>
      <c r="FY77">
        <f>SUM(FV77:FX77)</f>
        <v>255848.71207879356</v>
      </c>
      <c r="FZ77">
        <f>FY77+FA77+FS77+EU77</f>
        <v>10950234.992512278</v>
      </c>
      <c r="GA77">
        <f>FZ77+EO77</f>
        <v>12087335.412591595</v>
      </c>
      <c r="GB77">
        <f>GA77/(BK77*60*7200)</f>
        <v>0.27979943084702769</v>
      </c>
      <c r="GC77">
        <f>'TEA Revised Non EYZ'!EM77/'TEA Revised Non EYZ'!EK77*GA77</f>
        <v>936.06896983990396</v>
      </c>
      <c r="GD77">
        <f>'TEA Revised Non EYZ'!EN77/'TEA Revised Non EYZ'!EK77*GA77</f>
        <v>1717.8642283829711</v>
      </c>
    </row>
    <row r="78" spans="1:186">
      <c r="A78">
        <f>'TEA Revised Non EYZ'!A78</f>
        <v>10</v>
      </c>
      <c r="B78">
        <f>'TEA Revised Non EYZ'!B78</f>
        <v>1.54143585092054E-3</v>
      </c>
      <c r="C78">
        <f>'TEA Revised Non EYZ'!C78</f>
        <v>1.54143585092054E-3</v>
      </c>
      <c r="D78">
        <f>'TEA Revised Non EYZ'!D78</f>
        <v>3.4254130020456501E-4</v>
      </c>
      <c r="E78">
        <f>'TEA Revised Non EYZ'!E78</f>
        <v>0</v>
      </c>
      <c r="F78">
        <f>'TEA Revised Non EYZ'!F78</f>
        <v>0</v>
      </c>
      <c r="G78">
        <f>'TEA Revised Non EYZ'!G78</f>
        <v>0</v>
      </c>
      <c r="H78">
        <f>'TEA Revised Non EYZ'!H78</f>
        <v>1.7770671970930099E-5</v>
      </c>
      <c r="I78">
        <f>'TEA Revised Non EYZ'!I78</f>
        <v>5.2649488631162003E-10</v>
      </c>
      <c r="J78">
        <f>'TEA Revised Non EYZ'!J78</f>
        <v>3.3765279177869602E-4</v>
      </c>
      <c r="K78">
        <f>'TEA Revised Non EYZ'!K78</f>
        <v>0.139053960209192</v>
      </c>
      <c r="L78">
        <f>'TEA Revised Non EYZ'!L78</f>
        <v>0.14067571356050099</v>
      </c>
      <c r="M78">
        <f>'TEA Revised Non EYZ'!M78</f>
        <v>4.4613899794023002E-4</v>
      </c>
      <c r="N78">
        <f>'TEA Revised Non EYZ'!N78</f>
        <v>-1.6046192152785399E-16</v>
      </c>
      <c r="O78">
        <f>'TEA Revised Non EYZ'!O78</f>
        <v>-5.9831913729046996E-14</v>
      </c>
      <c r="P78">
        <f>'TEA Revised Non EYZ'!P78</f>
        <v>-6.6915602833089703E-20</v>
      </c>
      <c r="Q78">
        <f>'TEA Revised Non EYZ'!Q78</f>
        <v>0.10957366310586</v>
      </c>
      <c r="R78">
        <f>'TEA Revised Non EYZ'!R78</f>
        <v>98.572870359588904</v>
      </c>
      <c r="S78">
        <f>'TEA Revised Non EYZ'!S78</f>
        <v>500</v>
      </c>
      <c r="T78">
        <f>'TEA Revised Non EYZ'!T78</f>
        <v>95</v>
      </c>
      <c r="U78">
        <f>'TEA Revised Non EYZ'!U78</f>
        <v>1</v>
      </c>
      <c r="V78">
        <f>'TEA Revised Non EYZ'!V78</f>
        <v>0.1</v>
      </c>
      <c r="W78">
        <f>'TEA Revised Non EYZ'!W78</f>
        <v>91.262806376555005</v>
      </c>
      <c r="X78" t="str">
        <f>'TEA Revised Non EYZ'!X78</f>
        <v>ddFc</v>
      </c>
      <c r="Y78">
        <f>'TEA Revised Non EYZ'!Y78</f>
        <v>1</v>
      </c>
      <c r="Z78">
        <f>'TEA Revised Non EYZ'!Z78</f>
        <v>0.28318429382522198</v>
      </c>
      <c r="AA78">
        <f>'TEA Revised Non EYZ'!AA78</f>
        <v>0.56945642916197003</v>
      </c>
      <c r="AB78">
        <f>'TEA Revised Non EYZ'!AB78</f>
        <v>3.7698628972227502E-3</v>
      </c>
      <c r="AC78">
        <f>'TEA Revised Non EYZ'!AC78</f>
        <v>1822.2107908876901</v>
      </c>
      <c r="AD78">
        <f>'TEA Revised Non EYZ'!AD78</f>
        <v>2662.6059073104898</v>
      </c>
      <c r="AE78">
        <f>'TEA Revised Non EYZ'!AE78</f>
        <v>2401.5030938442701</v>
      </c>
      <c r="AF78">
        <f>'TEA Revised Non EYZ'!AF78</f>
        <v>10</v>
      </c>
      <c r="AG78">
        <f>'TEA Revised Non EYZ'!AG78</f>
        <v>1.6497548842793E-3</v>
      </c>
      <c r="AH78">
        <f>'TEA Revised Non EYZ'!AH78</f>
        <v>1.66899558413707E-3</v>
      </c>
      <c r="AI78">
        <f>'TEA Revised Non EYZ'!AI78</f>
        <v>5.2930530695573503E-6</v>
      </c>
      <c r="AJ78">
        <f>'TEA Revised Non EYZ'!AJ78</f>
        <v>0</v>
      </c>
      <c r="AK78">
        <f>'TEA Revised Non EYZ'!AK78</f>
        <v>0</v>
      </c>
      <c r="AL78">
        <f>'TEA Revised Non EYZ'!AL78</f>
        <v>0</v>
      </c>
      <c r="AM78">
        <f>'TEA Revised Non EYZ'!AM78</f>
        <v>1.612803928521E-3</v>
      </c>
      <c r="AN78">
        <f>'TEA Revised Non EYZ'!AN78</f>
        <v>7.96261771409158E-5</v>
      </c>
      <c r="AO78">
        <f>'TEA Revised Non EYZ'!AO78</f>
        <v>5.2582401488513497E-6</v>
      </c>
      <c r="AP78">
        <f>'TEA Revised Non EYZ'!AP78</f>
        <v>1.7333856890078599E-3</v>
      </c>
      <c r="AQ78">
        <f>'TEA Revised Non EYZ'!AQ78</f>
        <v>7.4558022378498803E-2</v>
      </c>
      <c r="AR78">
        <f>'TEA Revised Non EYZ'!AR78</f>
        <v>1.6330895187087101E-6</v>
      </c>
      <c r="AS78">
        <f>'TEA Revised Non EYZ'!AS78</f>
        <v>6.1817751980698602E-15</v>
      </c>
      <c r="AT78">
        <f>'TEA Revised Non EYZ'!AT78</f>
        <v>-6.4017497899970799E-13</v>
      </c>
      <c r="AU78">
        <f>'TEA Revised Non EYZ'!AU78</f>
        <v>5.9603326218120902E-20</v>
      </c>
      <c r="AV78">
        <f>'TEA Revised Non EYZ'!AV78</f>
        <v>0.196879541421767</v>
      </c>
      <c r="AW78">
        <f>'TEA Revised Non EYZ'!AW78</f>
        <v>99.342290352117899</v>
      </c>
      <c r="AX78">
        <f>'TEA Revised Non EYZ'!AX78</f>
        <v>500</v>
      </c>
      <c r="AY78">
        <f>'TEA Revised Non EYZ'!AY78</f>
        <v>95</v>
      </c>
      <c r="AZ78">
        <f>'TEA Revised Non EYZ'!AZ78</f>
        <v>0.92357064280818002</v>
      </c>
      <c r="BA78">
        <f>'TEA Revised Non EYZ'!BA78</f>
        <v>0.1</v>
      </c>
      <c r="BB78">
        <f>'TEA Revised Non EYZ'!BB78</f>
        <v>46.910442605595598</v>
      </c>
      <c r="BC78" t="str">
        <f>'TEA Revised Non EYZ'!BC78</f>
        <v>coeFc</v>
      </c>
      <c r="BD78">
        <f>'TEA Revised Non EYZ'!BD78</f>
        <v>1</v>
      </c>
      <c r="BE78">
        <f>'TEA Revised Non EYZ'!BE78</f>
        <v>1.8775014999999999E-2</v>
      </c>
      <c r="BF78">
        <f>'TEA Revised Non EYZ'!BF78</f>
        <v>0.10492961100000001</v>
      </c>
      <c r="BG78">
        <f>'TEA Revised Non EYZ'!BG78</f>
        <v>1.814625E-3</v>
      </c>
      <c r="BH78">
        <f>'TEA Revised Non EYZ'!BH78</f>
        <v>285.1951444</v>
      </c>
      <c r="BI78">
        <f>'TEA Revised Non EYZ'!BI78</f>
        <v>2169.8944889999998</v>
      </c>
      <c r="BJ78">
        <f>'TEA Revised Non EYZ'!BJ78</f>
        <v>866.49409060000005</v>
      </c>
      <c r="BK78">
        <f>'TEA Revised Non EYZ'!BK78</f>
        <v>100</v>
      </c>
      <c r="BL78">
        <f>'TEA Revised Non EYZ'!BL78</f>
        <v>10.957366310586</v>
      </c>
      <c r="BM78">
        <f>'TEA Revised Non EYZ'!BM78</f>
        <v>92.357064280818008</v>
      </c>
      <c r="BN78">
        <f>'TEA Revised Non EYZ'!BN78</f>
        <v>19.6879541421767</v>
      </c>
      <c r="BO78">
        <f>'TEA Revised Non EYZ'!BO78</f>
        <v>262.97679145406403</v>
      </c>
      <c r="BP78">
        <f>'TEA Revised Non EYZ'!BP78</f>
        <v>472.5108994122408</v>
      </c>
      <c r="BQ78">
        <f>'TEA Revised Non EYZ'!BQ78</f>
        <v>26.297679145406406</v>
      </c>
      <c r="BR78">
        <f>'TEA Revised Non EYZ'!BR78</f>
        <v>47.25108994122408</v>
      </c>
      <c r="BS78">
        <f>'eLLE Bals'!CF78</f>
        <v>6.5744197863515996</v>
      </c>
      <c r="BT78">
        <f>'eLLE Bals'!CG78</f>
        <v>11.81277248530602</v>
      </c>
      <c r="BU78">
        <f>BM78</f>
        <v>92.357064280818008</v>
      </c>
      <c r="BV78">
        <f>BU78*(AM78*2+AN78*2+AO78*3)</f>
        <v>0.31407265898911269</v>
      </c>
      <c r="BW78">
        <f>BN78*BA78*(AP78*2+AQ78*2+AR78*3)</f>
        <v>0.30041399435249844</v>
      </c>
      <c r="BX78">
        <f>BV78/(2*V78*BL78+BV78)</f>
        <v>0.12535098891759097</v>
      </c>
      <c r="BY78">
        <f>BU78*BX78</f>
        <v>11.577049341126056</v>
      </c>
      <c r="BZ78">
        <f>BW78/(2*BN78*BA78+BW78)</f>
        <v>7.0885713186819951E-2</v>
      </c>
      <c r="CA78">
        <f>2*BN78*BA78/0.04</f>
        <v>98.439770710883494</v>
      </c>
      <c r="CB78">
        <f>(BS78+BL78)*2</f>
        <v>35.063572193875203</v>
      </c>
      <c r="CC78">
        <f>(BU78+BL78)*2</f>
        <v>206.62886118280801</v>
      </c>
      <c r="CD78">
        <f>(BT78+BN78)*2</f>
        <v>63.00145325496544</v>
      </c>
      <c r="CE78">
        <f>(CA78+BN78)*2</f>
        <v>236.25544970612037</v>
      </c>
      <c r="CF78">
        <f>'TEA Revised Non EYZ'!CB78</f>
        <v>3471.2936471936455</v>
      </c>
      <c r="CG78">
        <f>'TEA Revised Non EYZ'!CC78</f>
        <v>6237.1438722415787</v>
      </c>
      <c r="CH78">
        <f>'TEA Revised Non EYZ'!CD78</f>
        <v>4193.9657747282263</v>
      </c>
      <c r="CI78">
        <f>'TEA Revised Non EYZ'!CE78</f>
        <v>48107.645033351197</v>
      </c>
      <c r="CJ78">
        <f>BL78*V78</f>
        <v>1.0957366310586001</v>
      </c>
      <c r="CK78">
        <f>CJ78/2*1.2</f>
        <v>0.65744197863516007</v>
      </c>
      <c r="CL78">
        <f>'eLLE Bals'!CB78*'Oxidant Feed Composition'!$N$20</f>
        <v>3.6524554368620017E-2</v>
      </c>
      <c r="CM78">
        <f>'eLLE Bals'!CB78*'Oxidant Feed Composition'!$N$21</f>
        <v>1.8262277184310003</v>
      </c>
      <c r="CN78">
        <f>'eLLE Bals'!CB78*'Oxidant Feed Composition'!$N$22</f>
        <v>0.54786831552930004</v>
      </c>
      <c r="CO78">
        <f>CN78/CK78</f>
        <v>0.83333333333333326</v>
      </c>
      <c r="CP78">
        <f>CO78</f>
        <v>0.83333333333333326</v>
      </c>
      <c r="CQ78">
        <f>CL78/CO78</f>
        <v>4.3829465242344025E-2</v>
      </c>
      <c r="CR78">
        <f>CM78/CO78</f>
        <v>2.1914732621172006</v>
      </c>
      <c r="CS78">
        <f>BN78*BA78</f>
        <v>1.96879541421767</v>
      </c>
      <c r="CT78">
        <f>CS78/2*1.2</f>
        <v>1.181277248530602</v>
      </c>
      <c r="CU78">
        <f>'eLLE Bals'!CC78*'Oxidant Feed Composition'!$N$20</f>
        <v>6.562651380725569E-2</v>
      </c>
      <c r="CV78">
        <f>'eLLE Bals'!CC78*'Oxidant Feed Composition'!$N$21</f>
        <v>3.2813256903627837</v>
      </c>
      <c r="CW78">
        <f>'eLLE Bals'!CC78*'Oxidant Feed Composition'!$N$22</f>
        <v>0.98439770710883501</v>
      </c>
      <c r="CX78">
        <f>CU78/CP78</f>
        <v>7.8751816568706834E-2</v>
      </c>
      <c r="CY78">
        <f>CV78/CP78</f>
        <v>3.9375908284353409</v>
      </c>
      <c r="CZ78">
        <f>CJ78</f>
        <v>1.0957366310586001</v>
      </c>
      <c r="DA78">
        <f>'eLLE Bals'!BQ78</f>
        <v>2.1914732621172002</v>
      </c>
      <c r="DB78">
        <f>'eLLE Bals'!BU78</f>
        <v>5.4541382256641127</v>
      </c>
      <c r="DC78">
        <f>CS78</f>
        <v>1.96879541421767</v>
      </c>
      <c r="DD78">
        <f>'eLLE Bals'!BX78</f>
        <v>3.93759082843534</v>
      </c>
      <c r="DE78">
        <f>'eLLE Bals'!CA78</f>
        <v>21.867834057972193</v>
      </c>
      <c r="DF78">
        <f>2*2*(CJ78*'Reagent cost'!$C$36*122.44/1000*0.5+CK78*'Oxidant Feed Composition'!$N$26+CQ78*'Reagent cost'!$C$34+CR78*'Reagent cost'!$C$35)</f>
        <v>73.605325923065834</v>
      </c>
      <c r="DG78">
        <f>2*2*(CS78*'Reagent cost'!$C$36*122.44/1000*0.5+CT78*'Oxidant Feed Composition'!$N$26+CX78*'Reagent cost'!$C$34+CY78*'Reagent cost'!$C$35)</f>
        <v>132.25242638764988</v>
      </c>
      <c r="DH78">
        <f>(AF78+3)*2*(CZ78*'Reagent cost'!$C$38*0.5+DA78*'Reagent cost'!$C$39+DB78*'Reagent cost'!$C$36*122.44/1000)</f>
        <v>1292.9968267231507</v>
      </c>
      <c r="DI78">
        <f>3*2*(DC78*'Reagent cost'!$C$38*0.5+DD78*'Reagent cost'!$C$39+DE78*'Reagent cost'!$C$36*122.44/1000)</f>
        <v>1162.2186224905718</v>
      </c>
      <c r="DJ78">
        <f>7963.6*(CB78/1000)^0.6*1.7*('CAPEX+OPEX'!$G$116/'CAPEX+OPEX'!$G$115)</f>
        <v>2138.7234102796551</v>
      </c>
      <c r="DK78">
        <f>7963.6*(CC78/1000)^0.6*1.7*('CAPEX+OPEX'!$G$116/'CAPEX+OPEX'!$G$115)</f>
        <v>6199.4836239091055</v>
      </c>
      <c r="DL78">
        <f>7963.6*(CD78/1000)^0.6*1.7*('CAPEX+OPEX'!$G$116/'CAPEX+OPEX'!$G$115)</f>
        <v>3039.8438002124476</v>
      </c>
      <c r="DM78">
        <f>7963.6*(CE78/1000)^0.6*1.7*('CAPEX+OPEX'!$G$116/'CAPEX+OPEX'!$G$115)</f>
        <v>6718.4645347785172</v>
      </c>
      <c r="DN78">
        <f>'TEA Revised Non EYZ'!CM78</f>
        <v>39625.826528698344</v>
      </c>
      <c r="DO78">
        <f>'TEA Revised Non EYZ'!CN78</f>
        <v>4586243.4239371875</v>
      </c>
      <c r="DP78">
        <f>'TEA Revised Non EYZ'!CO78</f>
        <v>11794834.586807497</v>
      </c>
      <c r="DQ78">
        <f>'TEA Revised Non EYZ'!CP78</f>
        <v>2275209.1661185985</v>
      </c>
      <c r="DR78">
        <f>'TEA Revised Non EYZ'!CQ78</f>
        <v>14083914.336508472</v>
      </c>
      <c r="DS78">
        <f>'TEA Revised Non EYZ'!CR78</f>
        <v>1662824.8986326549</v>
      </c>
      <c r="DT78">
        <f>'TEA Revised Non EYZ'!CS78</f>
        <v>847423.79840727116</v>
      </c>
      <c r="DU78">
        <f>'TEA Revised Non EYZ'!CT78</f>
        <v>2179392.2832288719</v>
      </c>
      <c r="DV78">
        <f>'TEA Revised Non EYZ'!CU78</f>
        <v>420402.1059283549</v>
      </c>
      <c r="DW78">
        <f>'TEA Revised Non EYZ'!CV78</f>
        <v>2602357.3282642425</v>
      </c>
      <c r="DX78">
        <f>'TEA Revised Non EYZ'!CW78</f>
        <v>307248.71347447456</v>
      </c>
      <c r="DY78">
        <f>'TEA Revised Non EYZ'!CX78</f>
        <v>6356824.2293032147</v>
      </c>
      <c r="DZ78">
        <f>'TEA Revised Non EYZ'!CY78</f>
        <v>800274.80164615484</v>
      </c>
      <c r="EA78">
        <f>'TEA Revised Non EYZ'!CZ78</f>
        <v>2058135.1744524958</v>
      </c>
      <c r="EB78">
        <f>'TEA Revised Non EYZ'!DA78</f>
        <v>397011.75794894132</v>
      </c>
      <c r="EC78">
        <f>'TEA Revised Non EYZ'!DB78</f>
        <v>2457567.2746072533</v>
      </c>
      <c r="ED78">
        <f>'TEA Revised Non EYZ'!DC78</f>
        <v>290153.99814586045</v>
      </c>
      <c r="EE78">
        <f>'TEA Revised Non EYZ'!DD78</f>
        <v>6003143.0068007056</v>
      </c>
      <c r="EF78">
        <v>0.7</v>
      </c>
      <c r="EG78">
        <v>100</v>
      </c>
      <c r="EH78">
        <f>96485*BL78*V78/EF78/EG78/60</f>
        <v>25.171940201830719</v>
      </c>
      <c r="EI78">
        <f>96485*BN78*BA78/EF78/EG78/60</f>
        <v>45.228387033521891</v>
      </c>
      <c r="EJ78">
        <f>EH78*('CAPEX+OPEX'!$O$25+'CAPEX+OPEX'!$O$26)</f>
        <v>802280.07811274868</v>
      </c>
      <c r="EK78">
        <f>EI78*('CAPEX+OPEX'!$O$25+'CAPEX+OPEX'!$O$26)</f>
        <v>1441519.1515324097</v>
      </c>
      <c r="EL78">
        <f>EJ78*1.12/0.6*'CAPEX+OPEX'!$G$116/'CAPEX+OPEX'!$G$115</f>
        <v>1766344.2502316802</v>
      </c>
      <c r="EM78">
        <f>EK78*1.12/0.6*'CAPEX+OPEX'!$G$116/'CAPEX+OPEX'!$G$115</f>
        <v>3173728.3953226726</v>
      </c>
      <c r="EN78">
        <f>EL78+EM78+DY78+EE78+1.15*(SUM(DF78:DM78)+SUM(CF78:CI78))</f>
        <v>17395222.664091222</v>
      </c>
      <c r="EO78">
        <f>EN78/15</f>
        <v>1159681.5109394148</v>
      </c>
      <c r="EP78">
        <f>('eLLE Bals'!CB78+'eLLE Bals'!CC78)*'Oxidant Feed Composition'!$N$29*60*7200</f>
        <v>7644037.5717655895</v>
      </c>
      <c r="EQ78" s="53">
        <f>('eLLE Bals'!BR78+'eLLE Bals'!BY78)*'Reagent cost'!$C$38*60*7200*0.5</f>
        <v>252643.30986136931</v>
      </c>
      <c r="ER78">
        <f>'TEA Revised Non EYZ'!DI78</f>
        <v>504921.59999999998</v>
      </c>
      <c r="ES78">
        <f>'TEA Revised Non EYZ'!DJ78</f>
        <v>97.084375194352248</v>
      </c>
      <c r="ET78">
        <f>'TEA Revised Non EYZ'!DK78</f>
        <v>1046.0322161615884</v>
      </c>
      <c r="EU78">
        <f>1.2*SUM(EP78:ET78)</f>
        <v>10083294.717861978</v>
      </c>
      <c r="EV78">
        <f>'TEA Revised Non EYZ'!DM78</f>
        <v>0.70639694042110623</v>
      </c>
      <c r="EW78">
        <f>(BS78*CO78+BT78*CP78)/1000*('Oxidant Feed Composition'!$B$11*'Oxidant Feed Composition'!$O$20+'Oxidant Feed Composition'!$D$11*'Oxidant Feed Composition'!$O$21+'Oxidant Feed Composition'!$F$11*'Oxidant Feed Composition'!$O$27-'Oxidant Feed Composition'!$J$15*18.015)</f>
        <v>1.7894498261142413</v>
      </c>
      <c r="EX78">
        <f>(CZ78*BX78+DC78*BZ78)*368.34/1000</f>
        <v>0.10199744833230388</v>
      </c>
      <c r="EY78">
        <f>'TEA Revised Non EYZ'!DP78</f>
        <v>4.999938342565946E-2</v>
      </c>
      <c r="EZ78">
        <f>SUM(EV78:EX78)-EY78</f>
        <v>2.5478448314419921</v>
      </c>
      <c r="FA78">
        <f>EZ78*0.33*60*7200</f>
        <v>363220.75917037041</v>
      </c>
      <c r="FB78">
        <f>'TEA Revised Non EYZ'!DS78</f>
        <v>1.2</v>
      </c>
      <c r="FC78">
        <v>0.5</v>
      </c>
      <c r="FD78">
        <f>'TEA Revised Non EYZ'!DT78</f>
        <v>1405.8791012986701</v>
      </c>
      <c r="FE78">
        <f>'TEA Revised Non EYZ'!DU78</f>
        <v>705.80927264751585</v>
      </c>
      <c r="FF78">
        <f>'TEA Revised Non EYZ'!DV78</f>
        <v>0.7</v>
      </c>
      <c r="FG78">
        <f>'TEA Revised Non EYZ'!DW78</f>
        <v>46784.46952433938</v>
      </c>
      <c r="FH78">
        <f>'TEA Revised Non EYZ'!DX78</f>
        <v>45678.708869524045</v>
      </c>
      <c r="FI78">
        <f>'TEA Revised Non EYZ'!DY78</f>
        <v>19339.775932661389</v>
      </c>
      <c r="FJ78">
        <f>'TEA Revised Non EYZ'!DZ78</f>
        <v>10244.818866671721</v>
      </c>
      <c r="FK78">
        <f>'TEA Revised Non EYZ'!EA78</f>
        <v>10314.547164086078</v>
      </c>
      <c r="FL78">
        <f>'TEA Revised Non EYZ'!EB78</f>
        <v>850.2756804654357</v>
      </c>
      <c r="FM78">
        <f>'TEA Revised Non EYZ'!EC78</f>
        <v>43713.259566486457</v>
      </c>
      <c r="FN78">
        <f>'TEA Revised Non EYZ'!ED78</f>
        <v>42673.301320771294</v>
      </c>
      <c r="FO78">
        <f>'TEA Revised Non EYZ'!EE78</f>
        <v>18067.325155971717</v>
      </c>
      <c r="FP78">
        <f>'TEA Revised Non EYZ'!EF78</f>
        <v>9576.0943395889717</v>
      </c>
      <c r="FQ78">
        <f>'TEA Revised Non EYZ'!EG78</f>
        <v>9635.9067498515833</v>
      </c>
      <c r="FR78">
        <f>'TEA Revised Non EYZ'!EH78</f>
        <v>426.87344809721759</v>
      </c>
      <c r="FS78">
        <f>'TEA Revised Non EYZ'!EI78</f>
        <v>257305.35661851533</v>
      </c>
      <c r="FT78">
        <f>EG78*EH78</f>
        <v>2517.1940201830716</v>
      </c>
      <c r="FU78">
        <f>EG78*EI78</f>
        <v>4522.8387033521894</v>
      </c>
      <c r="FV78">
        <f>FC78*(FT78+FU78)/(3.6*10^6)*3600*7200*0.07</f>
        <v>1774.0882463308858</v>
      </c>
      <c r="FW78">
        <f>('CAPEX+OPEX'!$C$39/7/100+0.03)*EL78</f>
        <v>90840.561440486417</v>
      </c>
      <c r="FX78">
        <f>('CAPEX+OPEX'!$C$39/7/100+0.03)*EM78</f>
        <v>163220.31747373744</v>
      </c>
      <c r="FY78">
        <f>SUM(FV78:FX78)</f>
        <v>255834.96716055472</v>
      </c>
      <c r="FZ78">
        <f>FY78+FA78+FS78+EU78</f>
        <v>10959655.800811419</v>
      </c>
      <c r="GA78">
        <f>FZ78+EO78</f>
        <v>12119337.311750835</v>
      </c>
      <c r="GB78">
        <f>GA78/(BK78*60*7200)</f>
        <v>0.28054021554978786</v>
      </c>
      <c r="GC78">
        <f>'TEA Revised Non EYZ'!EM78/'TEA Revised Non EYZ'!EK78*GA78</f>
        <v>938.54081917602105</v>
      </c>
      <c r="GD78">
        <f>'TEA Revised Non EYZ'!EN78/'TEA Revised Non EYZ'!EK78*GA78</f>
        <v>1722.4340791087195</v>
      </c>
    </row>
    <row r="79" spans="1:186">
      <c r="A79">
        <f>'TEA Revised Non EYZ'!A79</f>
        <v>10</v>
      </c>
      <c r="B79">
        <f>'TEA Revised Non EYZ'!B79</f>
        <v>1.54143585092054E-3</v>
      </c>
      <c r="C79">
        <f>'TEA Revised Non EYZ'!C79</f>
        <v>1.54143585092054E-3</v>
      </c>
      <c r="D79">
        <f>'TEA Revised Non EYZ'!D79</f>
        <v>3.4254130020456501E-4</v>
      </c>
      <c r="E79">
        <f>'TEA Revised Non EYZ'!E79</f>
        <v>0</v>
      </c>
      <c r="F79">
        <f>'TEA Revised Non EYZ'!F79</f>
        <v>0</v>
      </c>
      <c r="G79">
        <f>'TEA Revised Non EYZ'!G79</f>
        <v>0</v>
      </c>
      <c r="H79">
        <f>'TEA Revised Non EYZ'!H79</f>
        <v>1.7770671970930099E-5</v>
      </c>
      <c r="I79">
        <f>'TEA Revised Non EYZ'!I79</f>
        <v>5.2649488631162003E-10</v>
      </c>
      <c r="J79">
        <f>'TEA Revised Non EYZ'!J79</f>
        <v>3.3765279177869602E-4</v>
      </c>
      <c r="K79">
        <f>'TEA Revised Non EYZ'!K79</f>
        <v>0.139053960209192</v>
      </c>
      <c r="L79">
        <f>'TEA Revised Non EYZ'!L79</f>
        <v>0.14067571356050099</v>
      </c>
      <c r="M79">
        <f>'TEA Revised Non EYZ'!M79</f>
        <v>4.4613899794023002E-4</v>
      </c>
      <c r="N79">
        <f>'TEA Revised Non EYZ'!N79</f>
        <v>-1.6046192152785399E-16</v>
      </c>
      <c r="O79">
        <f>'TEA Revised Non EYZ'!O79</f>
        <v>-5.9831913729046996E-14</v>
      </c>
      <c r="P79">
        <f>'TEA Revised Non EYZ'!P79</f>
        <v>-6.6915602833089703E-20</v>
      </c>
      <c r="Q79">
        <f>'TEA Revised Non EYZ'!Q79</f>
        <v>0.10957366310586</v>
      </c>
      <c r="R79">
        <f>'TEA Revised Non EYZ'!R79</f>
        <v>98.572870359588904</v>
      </c>
      <c r="S79">
        <f>'TEA Revised Non EYZ'!S79</f>
        <v>500</v>
      </c>
      <c r="T79">
        <f>'TEA Revised Non EYZ'!T79</f>
        <v>95</v>
      </c>
      <c r="U79">
        <f>'TEA Revised Non EYZ'!U79</f>
        <v>1</v>
      </c>
      <c r="V79">
        <f>'TEA Revised Non EYZ'!V79</f>
        <v>0.1</v>
      </c>
      <c r="W79">
        <f>'TEA Revised Non EYZ'!W79</f>
        <v>91.262806376555005</v>
      </c>
      <c r="X79" t="str">
        <f>'TEA Revised Non EYZ'!X79</f>
        <v>ddFc</v>
      </c>
      <c r="Y79">
        <f>'TEA Revised Non EYZ'!Y79</f>
        <v>1</v>
      </c>
      <c r="Z79">
        <f>'TEA Revised Non EYZ'!Z79</f>
        <v>0.28318429382522198</v>
      </c>
      <c r="AA79">
        <f>'TEA Revised Non EYZ'!AA79</f>
        <v>0.56945642916197003</v>
      </c>
      <c r="AB79">
        <f>'TEA Revised Non EYZ'!AB79</f>
        <v>3.7698628972227502E-3</v>
      </c>
      <c r="AC79">
        <f>'TEA Revised Non EYZ'!AC79</f>
        <v>1822.2107908876901</v>
      </c>
      <c r="AD79">
        <f>'TEA Revised Non EYZ'!AD79</f>
        <v>2662.6059073104898</v>
      </c>
      <c r="AE79">
        <f>'TEA Revised Non EYZ'!AE79</f>
        <v>2401.5030938442701</v>
      </c>
      <c r="AF79">
        <f>'TEA Revised Non EYZ'!AF79</f>
        <v>11</v>
      </c>
      <c r="AG79">
        <f>'TEA Revised Non EYZ'!AG79</f>
        <v>1.6497548842793E-3</v>
      </c>
      <c r="AH79">
        <f>'TEA Revised Non EYZ'!AH79</f>
        <v>1.66899558413707E-3</v>
      </c>
      <c r="AI79">
        <f>'TEA Revised Non EYZ'!AI79</f>
        <v>5.2930530695573503E-6</v>
      </c>
      <c r="AJ79">
        <f>'TEA Revised Non EYZ'!AJ79</f>
        <v>0</v>
      </c>
      <c r="AK79">
        <f>'TEA Revised Non EYZ'!AK79</f>
        <v>0</v>
      </c>
      <c r="AL79">
        <f>'TEA Revised Non EYZ'!AL79</f>
        <v>0</v>
      </c>
      <c r="AM79">
        <f>'TEA Revised Non EYZ'!AM79</f>
        <v>1.6128070427284199E-3</v>
      </c>
      <c r="AN79">
        <f>'TEA Revised Non EYZ'!AN79</f>
        <v>7.9626338235286499E-5</v>
      </c>
      <c r="AO79">
        <f>'TEA Revised Non EYZ'!AO79</f>
        <v>5.2582429609278296E-6</v>
      </c>
      <c r="AP79">
        <f>'TEA Revised Non EYZ'!AP79</f>
        <v>1.73328035546949E-3</v>
      </c>
      <c r="AQ79">
        <f>'TEA Revised Non EYZ'!AQ79</f>
        <v>7.4559767943401897E-2</v>
      </c>
      <c r="AR79">
        <f>'TEA Revised Non EYZ'!AR79</f>
        <v>1.6329960000428399E-6</v>
      </c>
      <c r="AS79">
        <f>'TEA Revised Non EYZ'!AS79</f>
        <v>1.9974730962150899E-15</v>
      </c>
      <c r="AT79">
        <f>'TEA Revised Non EYZ'!AT79</f>
        <v>-1.98872819254236E-13</v>
      </c>
      <c r="AU79">
        <f>'TEA Revised Non EYZ'!AU79</f>
        <v>1.25797627557064E-20</v>
      </c>
      <c r="AV79">
        <f>'TEA Revised Non EYZ'!AV79</f>
        <v>0.19687491213897099</v>
      </c>
      <c r="AW79">
        <f>'TEA Revised Non EYZ'!AW79</f>
        <v>99.342343479801301</v>
      </c>
      <c r="AX79">
        <f>'TEA Revised Non EYZ'!AX79</f>
        <v>500</v>
      </c>
      <c r="AY79">
        <f>'TEA Revised Non EYZ'!AY79</f>
        <v>95</v>
      </c>
      <c r="AZ79">
        <f>'TEA Revised Non EYZ'!AZ79</f>
        <v>0.92357064280818002</v>
      </c>
      <c r="BA79">
        <f>'TEA Revised Non EYZ'!BA79</f>
        <v>0.1</v>
      </c>
      <c r="BB79">
        <f>'TEA Revised Non EYZ'!BB79</f>
        <v>46.911545649668199</v>
      </c>
      <c r="BC79" t="str">
        <f>'TEA Revised Non EYZ'!BC79</f>
        <v>coeFc</v>
      </c>
      <c r="BD79">
        <f>'TEA Revised Non EYZ'!BD79</f>
        <v>1</v>
      </c>
      <c r="BE79">
        <f>'TEA Revised Non EYZ'!BE79</f>
        <v>1.8775014999999999E-2</v>
      </c>
      <c r="BF79">
        <f>'TEA Revised Non EYZ'!BF79</f>
        <v>0.10492961100000001</v>
      </c>
      <c r="BG79">
        <f>'TEA Revised Non EYZ'!BG79</f>
        <v>1.814625E-3</v>
      </c>
      <c r="BH79">
        <f>'TEA Revised Non EYZ'!BH79</f>
        <v>285.1951444</v>
      </c>
      <c r="BI79">
        <f>'TEA Revised Non EYZ'!BI79</f>
        <v>2169.8944889999998</v>
      </c>
      <c r="BJ79">
        <f>'TEA Revised Non EYZ'!BJ79</f>
        <v>866.49409060000005</v>
      </c>
      <c r="BK79">
        <f>'TEA Revised Non EYZ'!BK79</f>
        <v>100</v>
      </c>
      <c r="BL79">
        <f>'TEA Revised Non EYZ'!BL79</f>
        <v>10.957366310586</v>
      </c>
      <c r="BM79">
        <f>'TEA Revised Non EYZ'!BM79</f>
        <v>92.357064280818008</v>
      </c>
      <c r="BN79">
        <f>'TEA Revised Non EYZ'!BN79</f>
        <v>19.687491213897097</v>
      </c>
      <c r="BO79">
        <f>'TEA Revised Non EYZ'!BO79</f>
        <v>262.97679145406403</v>
      </c>
      <c r="BP79">
        <f>'TEA Revised Non EYZ'!BP79</f>
        <v>511.87477156132451</v>
      </c>
      <c r="BQ79">
        <f>'TEA Revised Non EYZ'!BQ79</f>
        <v>26.297679145406406</v>
      </c>
      <c r="BR79">
        <f>'TEA Revised Non EYZ'!BR79</f>
        <v>51.187477156132452</v>
      </c>
      <c r="BS79">
        <f>'eLLE Bals'!CF79</f>
        <v>6.5744197863515996</v>
      </c>
      <c r="BT79">
        <f>'eLLE Bals'!CG79</f>
        <v>11.812494728338258</v>
      </c>
      <c r="BU79">
        <f>BM79</f>
        <v>92.357064280818008</v>
      </c>
      <c r="BV79">
        <f>BU79*(AM79*2+AN79*2+AO79*3)</f>
        <v>0.31407326476277408</v>
      </c>
      <c r="BW79">
        <f>BN79*BA79*(AP79*2+AQ79*2+AR79*3)</f>
        <v>0.30041338849141241</v>
      </c>
      <c r="BX79">
        <f>BV79/(2*V79*BL79+BV79)</f>
        <v>0.12535120038416253</v>
      </c>
      <c r="BY79">
        <f>BU79*BX79</f>
        <v>11.577068871557797</v>
      </c>
      <c r="BZ79">
        <f>BW79/(2*BN79*BA79+BW79)</f>
        <v>7.088712899880048E-2</v>
      </c>
      <c r="CA79">
        <f>2*BN79*BA79/0.04</f>
        <v>98.437456069485478</v>
      </c>
      <c r="CB79">
        <f>(BS79+BL79)*2</f>
        <v>35.063572193875203</v>
      </c>
      <c r="CC79">
        <f>(BU79+BL79)*2</f>
        <v>206.62886118280801</v>
      </c>
      <c r="CD79">
        <f>(BT79+BN79)*2</f>
        <v>62.99997188447071</v>
      </c>
      <c r="CE79">
        <f>(CA79+BN79)*2</f>
        <v>236.24989456676514</v>
      </c>
      <c r="CF79">
        <f>'TEA Revised Non EYZ'!CB79</f>
        <v>3471.2936471936455</v>
      </c>
      <c r="CG79">
        <f>'TEA Revised Non EYZ'!CC79</f>
        <v>6756.7469846094846</v>
      </c>
      <c r="CH79">
        <f>'TEA Revised Non EYZ'!CD79</f>
        <v>4193.9657747282263</v>
      </c>
      <c r="CI79">
        <f>'TEA Revised Non EYZ'!CE79</f>
        <v>52115.390020486797</v>
      </c>
      <c r="CJ79">
        <f>BL79*V79</f>
        <v>1.0957366310586001</v>
      </c>
      <c r="CK79">
        <f>CJ79/2*1.2</f>
        <v>0.65744197863516007</v>
      </c>
      <c r="CL79">
        <f>'eLLE Bals'!CB79*'Oxidant Feed Composition'!$N$20</f>
        <v>3.6524554368620017E-2</v>
      </c>
      <c r="CM79">
        <f>'eLLE Bals'!CB79*'Oxidant Feed Composition'!$N$21</f>
        <v>1.8262277184310003</v>
      </c>
      <c r="CN79">
        <f>'eLLE Bals'!CB79*'Oxidant Feed Composition'!$N$22</f>
        <v>0.54786831552930004</v>
      </c>
      <c r="CO79">
        <f>CN79/CK79</f>
        <v>0.83333333333333326</v>
      </c>
      <c r="CP79">
        <f>CO79</f>
        <v>0.83333333333333326</v>
      </c>
      <c r="CQ79">
        <f>CL79/CO79</f>
        <v>4.3829465242344025E-2</v>
      </c>
      <c r="CR79">
        <f>CM79/CO79</f>
        <v>2.1914732621172006</v>
      </c>
      <c r="CS79">
        <f>BN79*BA79</f>
        <v>1.9687491213897097</v>
      </c>
      <c r="CT79">
        <f>CS79/2*1.2</f>
        <v>1.1812494728338259</v>
      </c>
      <c r="CU79">
        <f>'eLLE Bals'!CC79*'Oxidant Feed Composition'!$N$20</f>
        <v>6.5624970712990352E-2</v>
      </c>
      <c r="CV79">
        <f>'eLLE Bals'!CC79*'Oxidant Feed Composition'!$N$21</f>
        <v>3.2812485356495165</v>
      </c>
      <c r="CW79">
        <f>'eLLE Bals'!CC79*'Oxidant Feed Composition'!$N$22</f>
        <v>0.98437456069485485</v>
      </c>
      <c r="CX79">
        <f>CU79/CP79</f>
        <v>7.8749964855588425E-2</v>
      </c>
      <c r="CY79">
        <f>CV79/CP79</f>
        <v>3.9374982427794203</v>
      </c>
      <c r="CZ79">
        <f>CJ79</f>
        <v>1.0957366310586001</v>
      </c>
      <c r="DA79">
        <f>'eLLE Bals'!BQ79</f>
        <v>2.1914732621172002</v>
      </c>
      <c r="DB79">
        <f>'eLLE Bals'!BU79</f>
        <v>5.4541234784628276</v>
      </c>
      <c r="DC79">
        <f>CS79</f>
        <v>1.9687491213897097</v>
      </c>
      <c r="DD79">
        <f>'eLLE Bals'!BX79</f>
        <v>3.9374982427794194</v>
      </c>
      <c r="DE79">
        <f>'eLLE Bals'!CA79</f>
        <v>21.866765158640536</v>
      </c>
      <c r="DF79">
        <f>2*2*(CJ79*'Reagent cost'!$C$36*122.44/1000*0.5+CK79*'Oxidant Feed Composition'!$N$26+CQ79*'Reagent cost'!$C$34+CR79*'Reagent cost'!$C$35)</f>
        <v>73.605325923065834</v>
      </c>
      <c r="DG79">
        <f>2*2*(CS79*'Reagent cost'!$C$36*122.44/1000*0.5+CT79*'Oxidant Feed Composition'!$N$26+CX79*'Reagent cost'!$C$34+CY79*'Reagent cost'!$C$35)</f>
        <v>132.24931669998102</v>
      </c>
      <c r="DH79">
        <f>(AF79+3)*2*(CZ79*'Reagent cost'!$C$38*0.5+DA79*'Reagent cost'!$C$39+DB79*'Reagent cost'!$C$36*122.44/1000)</f>
        <v>1392.454550671675</v>
      </c>
      <c r="DI79">
        <f>3*2*(DC79*'Reagent cost'!$C$38*0.5+DD79*'Reagent cost'!$C$39+DE79*'Reagent cost'!$C$36*122.44/1000)</f>
        <v>1162.1625161600773</v>
      </c>
      <c r="DJ79">
        <f>7963.6*(CB79/1000)^0.6*1.7*('CAPEX+OPEX'!$G$116/'CAPEX+OPEX'!$G$115)</f>
        <v>2138.7234102796551</v>
      </c>
      <c r="DK79">
        <f>7963.6*(CC79/1000)^0.6*1.7*('CAPEX+OPEX'!$G$116/'CAPEX+OPEX'!$G$115)</f>
        <v>6199.4836239091055</v>
      </c>
      <c r="DL79">
        <f>7963.6*(CD79/1000)^0.6*1.7*('CAPEX+OPEX'!$G$116/'CAPEX+OPEX'!$G$115)</f>
        <v>3039.8009140008598</v>
      </c>
      <c r="DM79">
        <f>7963.6*(CE79/1000)^0.6*1.7*('CAPEX+OPEX'!$G$116/'CAPEX+OPEX'!$G$115)</f>
        <v>6718.3697504703332</v>
      </c>
      <c r="DN79">
        <f>'TEA Revised Non EYZ'!CM79</f>
        <v>39625.826528698344</v>
      </c>
      <c r="DO79">
        <f>'TEA Revised Non EYZ'!CN79</f>
        <v>4586243.4239371875</v>
      </c>
      <c r="DP79">
        <f>'TEA Revised Non EYZ'!CO79</f>
        <v>11794834.586807497</v>
      </c>
      <c r="DQ79">
        <f>'TEA Revised Non EYZ'!CP79</f>
        <v>2275209.1661185985</v>
      </c>
      <c r="DR79">
        <f>'TEA Revised Non EYZ'!CQ79</f>
        <v>14083914.336508472</v>
      </c>
      <c r="DS79">
        <f>'TEA Revised Non EYZ'!CR79</f>
        <v>1662824.8986326549</v>
      </c>
      <c r="DT79">
        <f>'TEA Revised Non EYZ'!CS79</f>
        <v>847423.79840727116</v>
      </c>
      <c r="DU79">
        <f>'TEA Revised Non EYZ'!CT79</f>
        <v>2179392.2832288719</v>
      </c>
      <c r="DV79">
        <f>'TEA Revised Non EYZ'!CU79</f>
        <v>420402.1059283549</v>
      </c>
      <c r="DW79">
        <f>'TEA Revised Non EYZ'!CV79</f>
        <v>2602357.3282642425</v>
      </c>
      <c r="DX79">
        <f>'TEA Revised Non EYZ'!CW79</f>
        <v>307248.71347447456</v>
      </c>
      <c r="DY79">
        <f>'TEA Revised Non EYZ'!CX79</f>
        <v>6356824.2293032147</v>
      </c>
      <c r="DZ79">
        <f>'TEA Revised Non EYZ'!CY79</f>
        <v>843164.43385652674</v>
      </c>
      <c r="EA79">
        <f>'TEA Revised Non EYZ'!CZ79</f>
        <v>2168438.1110061919</v>
      </c>
      <c r="EB79">
        <f>'TEA Revised Non EYZ'!DA79</f>
        <v>418289.05950410414</v>
      </c>
      <c r="EC79">
        <f>'TEA Revised Non EYZ'!DB79</f>
        <v>2589277.2276425567</v>
      </c>
      <c r="ED79">
        <f>'TEA Revised Non EYZ'!DC79</f>
        <v>305704.40438037703</v>
      </c>
      <c r="EE79">
        <f>'TEA Revised Non EYZ'!DD79</f>
        <v>6324873.2363897571</v>
      </c>
      <c r="EF79">
        <v>0.7</v>
      </c>
      <c r="EG79">
        <v>100</v>
      </c>
      <c r="EH79">
        <f>96485*BL79*V79/EF79/EG79/60</f>
        <v>25.171940201830719</v>
      </c>
      <c r="EI79">
        <f>96485*BN79*BA79/EF79/EG79/60</f>
        <v>45.227323566020509</v>
      </c>
      <c r="EJ79">
        <f>EH79*('CAPEX+OPEX'!$O$25+'CAPEX+OPEX'!$O$26)</f>
        <v>802280.07811274868</v>
      </c>
      <c r="EK79">
        <f>EI79*('CAPEX+OPEX'!$O$25+'CAPEX+OPEX'!$O$26)</f>
        <v>1441485.2566962056</v>
      </c>
      <c r="EL79">
        <f>EJ79*1.12/0.6*'CAPEX+OPEX'!$G$116/'CAPEX+OPEX'!$G$115</f>
        <v>1766344.2502316802</v>
      </c>
      <c r="EM79">
        <f>EK79*1.12/0.6*'CAPEX+OPEX'!$G$116/'CAPEX+OPEX'!$G$115</f>
        <v>3173653.7705741897</v>
      </c>
      <c r="EN79">
        <f>EL79+EM79+DY79+EE79+1.15*(SUM(DF79:DM79)+SUM(CF79:CI79))</f>
        <v>17722198.869209245</v>
      </c>
      <c r="EO79">
        <f>EN79/15</f>
        <v>1181479.9246139496</v>
      </c>
      <c r="EP79">
        <f>('eLLE Bals'!CB79+'eLLE Bals'!CC79)*'Oxidant Feed Composition'!$N$29*60*7200</f>
        <v>7643922.1009168597</v>
      </c>
      <c r="EQ79" s="53">
        <f>('eLLE Bals'!BR79+'eLLE Bals'!BY79)*'Reagent cost'!$C$38*60*7200*0.5</f>
        <v>252643.07044847606</v>
      </c>
      <c r="ER79">
        <f>'TEA Revised Non EYZ'!DI79</f>
        <v>504921.59999999998</v>
      </c>
      <c r="ES79">
        <f>'TEA Revised Non EYZ'!DJ79</f>
        <v>102.28040631803131</v>
      </c>
      <c r="ET79">
        <f>'TEA Revised Non EYZ'!DK79</f>
        <v>1126.1871159043005</v>
      </c>
      <c r="EU79">
        <f>1.2*SUM(EP79:ET79)</f>
        <v>10083258.286665069</v>
      </c>
      <c r="EV79">
        <f>'TEA Revised Non EYZ'!DM79</f>
        <v>0.70639694042110623</v>
      </c>
      <c r="EW79">
        <f>(BS79*CO79+BT79*CP79)/1000*('Oxidant Feed Composition'!$B$11*'Oxidant Feed Composition'!$O$20+'Oxidant Feed Composition'!$D$11*'Oxidant Feed Composition'!$O$21+'Oxidant Feed Composition'!$F$11*'Oxidant Feed Composition'!$O$27-'Oxidant Feed Composition'!$J$15*18.015)</f>
        <v>1.7894227946811481</v>
      </c>
      <c r="EX79">
        <f>(CZ79*BX79+DC79*BZ79)*368.34/1000</f>
        <v>0.10199735167625458</v>
      </c>
      <c r="EY79">
        <f>'TEA Revised Non EYZ'!DP79</f>
        <v>4.999938342565946E-2</v>
      </c>
      <c r="EZ79">
        <f>SUM(EV79:EX79)-EY79</f>
        <v>2.5478177033528495</v>
      </c>
      <c r="FA79">
        <f>EZ79*0.33*60*7200</f>
        <v>363216.89178998227</v>
      </c>
      <c r="FB79">
        <f>'TEA Revised Non EYZ'!DS79</f>
        <v>1.2</v>
      </c>
      <c r="FC79">
        <v>0.5</v>
      </c>
      <c r="FD79">
        <f>'TEA Revised Non EYZ'!DT79</f>
        <v>1405.8818143920212</v>
      </c>
      <c r="FE79">
        <f>'TEA Revised Non EYZ'!DU79</f>
        <v>705.80655935524931</v>
      </c>
      <c r="FF79">
        <f>'TEA Revised Non EYZ'!DV79</f>
        <v>0.7</v>
      </c>
      <c r="FG79">
        <f>'TEA Revised Non EYZ'!DW79</f>
        <v>46784.46952433938</v>
      </c>
      <c r="FH79">
        <f>'TEA Revised Non EYZ'!DX79</f>
        <v>45678.708869524045</v>
      </c>
      <c r="FI79">
        <f>'TEA Revised Non EYZ'!DY79</f>
        <v>19339.775932661389</v>
      </c>
      <c r="FJ79">
        <f>'TEA Revised Non EYZ'!DZ79</f>
        <v>10244.818866671721</v>
      </c>
      <c r="FK79">
        <f>'TEA Revised Non EYZ'!EA79</f>
        <v>10314.547164086078</v>
      </c>
      <c r="FL79">
        <f>'TEA Revised Non EYZ'!EB79</f>
        <v>850.27732134429448</v>
      </c>
      <c r="FM79">
        <f>'TEA Revised Non EYZ'!EC79</f>
        <v>46284.627776279776</v>
      </c>
      <c r="FN79">
        <f>'TEA Revised Non EYZ'!ED79</f>
        <v>46552.692349932324</v>
      </c>
      <c r="FO79">
        <f>'TEA Revised Non EYZ'!EE79</f>
        <v>19709.809261060054</v>
      </c>
      <c r="FP79">
        <f>'TEA Revised Non EYZ'!EF79</f>
        <v>10446.648370460696</v>
      </c>
      <c r="FQ79">
        <f>'TEA Revised Non EYZ'!EG79</f>
        <v>10511.898272565364</v>
      </c>
      <c r="FR79">
        <f>'TEA Revised Non EYZ'!EH79</f>
        <v>426.87180709805483</v>
      </c>
      <c r="FS79">
        <f>'TEA Revised Non EYZ'!EI79</f>
        <v>267145.14551602321</v>
      </c>
      <c r="FT79">
        <f>EG79*EH79</f>
        <v>2517.1940201830716</v>
      </c>
      <c r="FU79">
        <f>EG79*EI79</f>
        <v>4522.7323566020505</v>
      </c>
      <c r="FV79">
        <f>FC79*(FT79+FU79)/(3.6*10^6)*3600*7200*0.07</f>
        <v>1774.0614469498507</v>
      </c>
      <c r="FW79">
        <f>('CAPEX+OPEX'!$C$39/7/100+0.03)*EL79</f>
        <v>90840.561440486417</v>
      </c>
      <c r="FX79">
        <f>('CAPEX+OPEX'!$C$39/7/100+0.03)*EM79</f>
        <v>163216.47962952976</v>
      </c>
      <c r="FY79">
        <f>SUM(FV79:FX79)</f>
        <v>255831.10251696603</v>
      </c>
      <c r="FZ79">
        <f>FY79+FA79+FS79+EU79</f>
        <v>10969451.42648804</v>
      </c>
      <c r="GA79">
        <f>FZ79+EO79</f>
        <v>12150931.351101989</v>
      </c>
      <c r="GB79">
        <f>GA79/(BK79*60*7200)</f>
        <v>0.28127155905328677</v>
      </c>
      <c r="GC79">
        <f>'TEA Revised Non EYZ'!EM79/'TEA Revised Non EYZ'!EK79*GA79</f>
        <v>940.98569494491187</v>
      </c>
      <c r="GD79">
        <f>'TEA Revised Non EYZ'!EN79/'TEA Revised Non EYZ'!EK79*GA79</f>
        <v>1726.9304326962967</v>
      </c>
    </row>
    <row r="80" spans="1:186">
      <c r="A80">
        <f>'TEA Revised Non EYZ'!A80</f>
        <v>10</v>
      </c>
      <c r="B80">
        <f>'TEA Revised Non EYZ'!B80</f>
        <v>1.54143585092054E-3</v>
      </c>
      <c r="C80">
        <f>'TEA Revised Non EYZ'!C80</f>
        <v>1.54143585092054E-3</v>
      </c>
      <c r="D80">
        <f>'TEA Revised Non EYZ'!D80</f>
        <v>3.4254130020456501E-4</v>
      </c>
      <c r="E80">
        <f>'TEA Revised Non EYZ'!E80</f>
        <v>0</v>
      </c>
      <c r="F80">
        <f>'TEA Revised Non EYZ'!F80</f>
        <v>0</v>
      </c>
      <c r="G80">
        <f>'TEA Revised Non EYZ'!G80</f>
        <v>0</v>
      </c>
      <c r="H80">
        <f>'TEA Revised Non EYZ'!H80</f>
        <v>1.7770671970930099E-5</v>
      </c>
      <c r="I80">
        <f>'TEA Revised Non EYZ'!I80</f>
        <v>5.2649488631162003E-10</v>
      </c>
      <c r="J80">
        <f>'TEA Revised Non EYZ'!J80</f>
        <v>3.3765279177869602E-4</v>
      </c>
      <c r="K80">
        <f>'TEA Revised Non EYZ'!K80</f>
        <v>0.139053960209192</v>
      </c>
      <c r="L80">
        <f>'TEA Revised Non EYZ'!L80</f>
        <v>0.14067571356050099</v>
      </c>
      <c r="M80">
        <f>'TEA Revised Non EYZ'!M80</f>
        <v>4.4613899794023002E-4</v>
      </c>
      <c r="N80">
        <f>'TEA Revised Non EYZ'!N80</f>
        <v>-1.6046192152785399E-16</v>
      </c>
      <c r="O80">
        <f>'TEA Revised Non EYZ'!O80</f>
        <v>-5.9831913729046996E-14</v>
      </c>
      <c r="P80">
        <f>'TEA Revised Non EYZ'!P80</f>
        <v>-6.6915602833089703E-20</v>
      </c>
      <c r="Q80">
        <f>'TEA Revised Non EYZ'!Q80</f>
        <v>0.10957366310586</v>
      </c>
      <c r="R80">
        <f>'TEA Revised Non EYZ'!R80</f>
        <v>98.572870359588904</v>
      </c>
      <c r="S80">
        <f>'TEA Revised Non EYZ'!S80</f>
        <v>500</v>
      </c>
      <c r="T80">
        <f>'TEA Revised Non EYZ'!T80</f>
        <v>95</v>
      </c>
      <c r="U80">
        <f>'TEA Revised Non EYZ'!U80</f>
        <v>1</v>
      </c>
      <c r="V80">
        <f>'TEA Revised Non EYZ'!V80</f>
        <v>0.1</v>
      </c>
      <c r="W80">
        <f>'TEA Revised Non EYZ'!W80</f>
        <v>91.262806376555005</v>
      </c>
      <c r="X80" t="str">
        <f>'TEA Revised Non EYZ'!X80</f>
        <v>ddFc</v>
      </c>
      <c r="Y80">
        <f>'TEA Revised Non EYZ'!Y80</f>
        <v>1</v>
      </c>
      <c r="Z80">
        <f>'TEA Revised Non EYZ'!Z80</f>
        <v>0.28318429382522198</v>
      </c>
      <c r="AA80">
        <f>'TEA Revised Non EYZ'!AA80</f>
        <v>0.56945642916197003</v>
      </c>
      <c r="AB80">
        <f>'TEA Revised Non EYZ'!AB80</f>
        <v>3.7698628972227502E-3</v>
      </c>
      <c r="AC80">
        <f>'TEA Revised Non EYZ'!AC80</f>
        <v>1822.2107908876901</v>
      </c>
      <c r="AD80">
        <f>'TEA Revised Non EYZ'!AD80</f>
        <v>2662.6059073104898</v>
      </c>
      <c r="AE80">
        <f>'TEA Revised Non EYZ'!AE80</f>
        <v>2401.5030938442701</v>
      </c>
      <c r="AF80">
        <f>'TEA Revised Non EYZ'!AF80</f>
        <v>12</v>
      </c>
      <c r="AG80">
        <f>'TEA Revised Non EYZ'!AG80</f>
        <v>1.6497548842793E-3</v>
      </c>
      <c r="AH80">
        <f>'TEA Revised Non EYZ'!AH80</f>
        <v>1.66899558413707E-3</v>
      </c>
      <c r="AI80">
        <f>'TEA Revised Non EYZ'!AI80</f>
        <v>5.2930530695573503E-6</v>
      </c>
      <c r="AJ80">
        <f>'TEA Revised Non EYZ'!AJ80</f>
        <v>0</v>
      </c>
      <c r="AK80">
        <f>'TEA Revised Non EYZ'!AK80</f>
        <v>0</v>
      </c>
      <c r="AL80">
        <f>'TEA Revised Non EYZ'!AL80</f>
        <v>0</v>
      </c>
      <c r="AM80">
        <f>'TEA Revised Non EYZ'!AM80</f>
        <v>1.6128079179820701E-3</v>
      </c>
      <c r="AN80">
        <f>'TEA Revised Non EYZ'!AN80</f>
        <v>7.9626383510946294E-5</v>
      </c>
      <c r="AO80">
        <f>'TEA Revised Non EYZ'!AO80</f>
        <v>5.2582437512666399E-6</v>
      </c>
      <c r="AP80">
        <f>'TEA Revised Non EYZ'!AP80</f>
        <v>1.7332507504425E-3</v>
      </c>
      <c r="AQ80">
        <f>'TEA Revised Non EYZ'!AQ80</f>
        <v>7.4560258551583894E-2</v>
      </c>
      <c r="AR80">
        <f>'TEA Revised Non EYZ'!AR80</f>
        <v>1.6329697157021899E-6</v>
      </c>
      <c r="AS80">
        <f>'TEA Revised Non EYZ'!AS80</f>
        <v>3.9110560493341098E-16</v>
      </c>
      <c r="AT80">
        <f>'TEA Revised Non EYZ'!AT80</f>
        <v>-3.8191238366236302E-14</v>
      </c>
      <c r="AU80">
        <f>'TEA Revised Non EYZ'!AU80</f>
        <v>-3.3021050053116801E-21</v>
      </c>
      <c r="AV80">
        <f>'TEA Revised Non EYZ'!AV80</f>
        <v>0.19687361106780901</v>
      </c>
      <c r="AW80">
        <f>'TEA Revised Non EYZ'!AW80</f>
        <v>99.342358411425806</v>
      </c>
      <c r="AX80">
        <f>'TEA Revised Non EYZ'!AX80</f>
        <v>500</v>
      </c>
      <c r="AY80">
        <f>'TEA Revised Non EYZ'!AY80</f>
        <v>95</v>
      </c>
      <c r="AZ80">
        <f>'TEA Revised Non EYZ'!AZ80</f>
        <v>0.92357064280818002</v>
      </c>
      <c r="BA80">
        <f>'TEA Revised Non EYZ'!BA80</f>
        <v>0.1</v>
      </c>
      <c r="BB80">
        <f>'TEA Revised Non EYZ'!BB80</f>
        <v>46.911855672219602</v>
      </c>
      <c r="BC80" t="str">
        <f>'TEA Revised Non EYZ'!BC80</f>
        <v>coeFc</v>
      </c>
      <c r="BD80">
        <f>'TEA Revised Non EYZ'!BD80</f>
        <v>1</v>
      </c>
      <c r="BE80">
        <f>'TEA Revised Non EYZ'!BE80</f>
        <v>1.8775014999999999E-2</v>
      </c>
      <c r="BF80">
        <f>'TEA Revised Non EYZ'!BF80</f>
        <v>0.10492961100000001</v>
      </c>
      <c r="BG80">
        <f>'TEA Revised Non EYZ'!BG80</f>
        <v>1.814625E-3</v>
      </c>
      <c r="BH80">
        <f>'TEA Revised Non EYZ'!BH80</f>
        <v>285.1951444</v>
      </c>
      <c r="BI80">
        <f>'TEA Revised Non EYZ'!BI80</f>
        <v>2169.8944889999998</v>
      </c>
      <c r="BJ80">
        <f>'TEA Revised Non EYZ'!BJ80</f>
        <v>866.49409060000005</v>
      </c>
      <c r="BK80">
        <f>'TEA Revised Non EYZ'!BK80</f>
        <v>100</v>
      </c>
      <c r="BL80">
        <f>'TEA Revised Non EYZ'!BL80</f>
        <v>10.957366310586</v>
      </c>
      <c r="BM80">
        <f>'TEA Revised Non EYZ'!BM80</f>
        <v>92.357064280818008</v>
      </c>
      <c r="BN80">
        <f>'TEA Revised Non EYZ'!BN80</f>
        <v>19.687361106780902</v>
      </c>
      <c r="BO80">
        <f>'TEA Revised Non EYZ'!BO80</f>
        <v>262.97679145406403</v>
      </c>
      <c r="BP80">
        <f>'TEA Revised Non EYZ'!BP80</f>
        <v>551.2461109898652</v>
      </c>
      <c r="BQ80">
        <f>'TEA Revised Non EYZ'!BQ80</f>
        <v>26.297679145406406</v>
      </c>
      <c r="BR80">
        <f>'TEA Revised Non EYZ'!BR80</f>
        <v>55.12461109898652</v>
      </c>
      <c r="BS80">
        <f>'eLLE Bals'!CF80</f>
        <v>6.5744197863515996</v>
      </c>
      <c r="BT80">
        <f>'eLLE Bals'!CG80</f>
        <v>11.812416664068541</v>
      </c>
      <c r="BU80">
        <f>BM80</f>
        <v>92.357064280818008</v>
      </c>
      <c r="BV80">
        <f>BU80*(AM80*2+AN80*2+AO80*3)</f>
        <v>0.31407343501652346</v>
      </c>
      <c r="BW80">
        <f>BN80*BA80*(AP80*2+AQ80*2+AR80*3)</f>
        <v>0.30041321820584915</v>
      </c>
      <c r="BX80">
        <f>BV80/(2*V80*BL80+BV80)</f>
        <v>0.12535125981719472</v>
      </c>
      <c r="BY80">
        <f>BU80*BX80</f>
        <v>11.577074360618171</v>
      </c>
      <c r="BZ80">
        <f>BW80/(2*BN80*BA80+BW80)</f>
        <v>7.0887526925903818E-2</v>
      </c>
      <c r="CA80">
        <f>2*BN80*BA80/0.04</f>
        <v>98.436805533904518</v>
      </c>
      <c r="CB80">
        <f>(BS80+BL80)*2</f>
        <v>35.063572193875203</v>
      </c>
      <c r="CC80">
        <f>(BU80+BL80)*2</f>
        <v>206.62886118280801</v>
      </c>
      <c r="CD80">
        <f>(BT80+BN80)*2</f>
        <v>62.999555541698882</v>
      </c>
      <c r="CE80">
        <f>(CA80+BN80)*2</f>
        <v>236.24833328137083</v>
      </c>
      <c r="CF80">
        <f>'TEA Revised Non EYZ'!CB80</f>
        <v>3471.2936471936455</v>
      </c>
      <c r="CG80">
        <f>'TEA Revised Non EYZ'!CC80</f>
        <v>7276.4486650662202</v>
      </c>
      <c r="CH80">
        <f>'TEA Revised Non EYZ'!CD80</f>
        <v>4193.9657747282263</v>
      </c>
      <c r="CI80">
        <f>'TEA Revised Non EYZ'!CE80</f>
        <v>56123.895272052112</v>
      </c>
      <c r="CJ80">
        <f>BL80*V80</f>
        <v>1.0957366310586001</v>
      </c>
      <c r="CK80">
        <f>CJ80/2*1.2</f>
        <v>0.65744197863516007</v>
      </c>
      <c r="CL80">
        <f>'eLLE Bals'!CB80*'Oxidant Feed Composition'!$N$20</f>
        <v>3.6524554368620017E-2</v>
      </c>
      <c r="CM80">
        <f>'eLLE Bals'!CB80*'Oxidant Feed Composition'!$N$21</f>
        <v>1.8262277184310003</v>
      </c>
      <c r="CN80">
        <f>'eLLE Bals'!CB80*'Oxidant Feed Composition'!$N$22</f>
        <v>0.54786831552930004</v>
      </c>
      <c r="CO80">
        <f>CN80/CK80</f>
        <v>0.83333333333333326</v>
      </c>
      <c r="CP80">
        <f>CO80</f>
        <v>0.83333333333333326</v>
      </c>
      <c r="CQ80">
        <f>CL80/CO80</f>
        <v>4.3829465242344025E-2</v>
      </c>
      <c r="CR80">
        <f>CM80/CO80</f>
        <v>2.1914732621172006</v>
      </c>
      <c r="CS80">
        <f>BN80*BA80</f>
        <v>1.9687361106780903</v>
      </c>
      <c r="CT80">
        <f>CS80/2*1.2</f>
        <v>1.1812416664068541</v>
      </c>
      <c r="CU80">
        <f>'eLLE Bals'!CC80*'Oxidant Feed Composition'!$N$20</f>
        <v>6.5624537022603041E-2</v>
      </c>
      <c r="CV80">
        <f>'eLLE Bals'!CC80*'Oxidant Feed Composition'!$N$21</f>
        <v>3.2812268511301506</v>
      </c>
      <c r="CW80">
        <f>'eLLE Bals'!CC80*'Oxidant Feed Composition'!$N$22</f>
        <v>0.98436805533904514</v>
      </c>
      <c r="CX80">
        <f>CU80/CP80</f>
        <v>7.8749444427123658E-2</v>
      </c>
      <c r="CY80">
        <f>CV80/CP80</f>
        <v>3.937472221356181</v>
      </c>
      <c r="CZ80">
        <f>CJ80</f>
        <v>1.0957366310586001</v>
      </c>
      <c r="DA80">
        <f>'eLLE Bals'!BQ80</f>
        <v>2.1914732621172002</v>
      </c>
      <c r="DB80">
        <f>'eLLE Bals'!BU80</f>
        <v>5.454119333695763</v>
      </c>
      <c r="DC80">
        <f>CS80</f>
        <v>1.9687361106780903</v>
      </c>
      <c r="DD80">
        <f>'eLLE Bals'!BX80</f>
        <v>3.9374722213561806</v>
      </c>
      <c r="DE80">
        <f>'eLLE Bals'!CA80</f>
        <v>21.866464746770401</v>
      </c>
      <c r="DF80">
        <f>2*2*(CJ80*'Reagent cost'!$C$36*122.44/1000*0.5+CK80*'Oxidant Feed Composition'!$N$26+CQ80*'Reagent cost'!$C$34+CR80*'Reagent cost'!$C$35)</f>
        <v>73.605325923065834</v>
      </c>
      <c r="DG80">
        <f>2*2*(CS80*'Reagent cost'!$C$36*122.44/1000*0.5+CT80*'Oxidant Feed Composition'!$N$26+CX80*'Reagent cost'!$C$34+CY80*'Reagent cost'!$C$35)</f>
        <v>132.24844271471659</v>
      </c>
      <c r="DH80">
        <f>(AF80+3)*2*(CZ80*'Reagent cost'!$C$38*0.5+DA80*'Reagent cost'!$C$39+DB80*'Reagent cost'!$C$36*122.44/1000)</f>
        <v>1491.9145148470529</v>
      </c>
      <c r="DI80">
        <f>3*2*(DC80*'Reagent cost'!$C$38*0.5+DD80*'Reagent cost'!$C$39+DE80*'Reagent cost'!$C$36*122.44/1000)</f>
        <v>1162.1467475929626</v>
      </c>
      <c r="DJ80">
        <f>7963.6*(CB80/1000)^0.6*1.7*('CAPEX+OPEX'!$G$116/'CAPEX+OPEX'!$G$115)</f>
        <v>2138.7234102796551</v>
      </c>
      <c r="DK80">
        <f>7963.6*(CC80/1000)^0.6*1.7*('CAPEX+OPEX'!$G$116/'CAPEX+OPEX'!$G$115)</f>
        <v>6199.4836239091055</v>
      </c>
      <c r="DL80">
        <f>7963.6*(CD80/1000)^0.6*1.7*('CAPEX+OPEX'!$G$116/'CAPEX+OPEX'!$G$115)</f>
        <v>3039.7888606544216</v>
      </c>
      <c r="DM80">
        <f>7963.6*(CE80/1000)^0.6*1.7*('CAPEX+OPEX'!$G$116/'CAPEX+OPEX'!$G$115)</f>
        <v>6718.3431109500534</v>
      </c>
      <c r="DN80">
        <f>'TEA Revised Non EYZ'!CM80</f>
        <v>39625.826528698344</v>
      </c>
      <c r="DO80">
        <f>'TEA Revised Non EYZ'!CN80</f>
        <v>4586243.4239371875</v>
      </c>
      <c r="DP80">
        <f>'TEA Revised Non EYZ'!CO80</f>
        <v>11794834.586807497</v>
      </c>
      <c r="DQ80">
        <f>'TEA Revised Non EYZ'!CP80</f>
        <v>2275209.1661185985</v>
      </c>
      <c r="DR80">
        <f>'TEA Revised Non EYZ'!CQ80</f>
        <v>14083914.336508472</v>
      </c>
      <c r="DS80">
        <f>'TEA Revised Non EYZ'!CR80</f>
        <v>1662824.8986326549</v>
      </c>
      <c r="DT80">
        <f>'TEA Revised Non EYZ'!CS80</f>
        <v>847423.79840727116</v>
      </c>
      <c r="DU80">
        <f>'TEA Revised Non EYZ'!CT80</f>
        <v>2179392.2832288719</v>
      </c>
      <c r="DV80">
        <f>'TEA Revised Non EYZ'!CU80</f>
        <v>420402.1059283549</v>
      </c>
      <c r="DW80">
        <f>'TEA Revised Non EYZ'!CV80</f>
        <v>2602357.3282642425</v>
      </c>
      <c r="DX80">
        <f>'TEA Revised Non EYZ'!CW80</f>
        <v>307248.71347447456</v>
      </c>
      <c r="DY80">
        <f>'TEA Revised Non EYZ'!CX80</f>
        <v>6356824.2293032147</v>
      </c>
      <c r="DZ80">
        <f>'TEA Revised Non EYZ'!CY80</f>
        <v>884646.05002992239</v>
      </c>
      <c r="EA80">
        <f>'TEA Revised Non EYZ'!CZ80</f>
        <v>2275119.9322555778</v>
      </c>
      <c r="EB80">
        <f>'TEA Revised Non EYZ'!DA80</f>
        <v>438867.85234587191</v>
      </c>
      <c r="EC80">
        <f>'TEA Revised Non EYZ'!DB80</f>
        <v>2716663.2982721184</v>
      </c>
      <c r="ED80">
        <f>'TEA Revised Non EYZ'!DC80</f>
        <v>320744.30911997985</v>
      </c>
      <c r="EE80">
        <f>'TEA Revised Non EYZ'!DD80</f>
        <v>6636041.4420234701</v>
      </c>
      <c r="EF80">
        <v>0.7</v>
      </c>
      <c r="EG80">
        <v>100</v>
      </c>
      <c r="EH80">
        <f>96485*BL80*V80/EF80/EG80/60</f>
        <v>25.171940201830719</v>
      </c>
      <c r="EI80">
        <f>96485*BN80*BA80/EF80/EG80/60</f>
        <v>45.227024675898946</v>
      </c>
      <c r="EJ80">
        <f>EH80*('CAPEX+OPEX'!$O$25+'CAPEX+OPEX'!$O$26)</f>
        <v>802280.07811274868</v>
      </c>
      <c r="EK80">
        <f>EI80*('CAPEX+OPEX'!$O$25+'CAPEX+OPEX'!$O$26)</f>
        <v>1441475.7304702513</v>
      </c>
      <c r="EL80">
        <f>EJ80*1.12/0.6*'CAPEX+OPEX'!$G$116/'CAPEX+OPEX'!$G$115</f>
        <v>1766344.2502316802</v>
      </c>
      <c r="EM80">
        <f>EK80*1.12/0.6*'CAPEX+OPEX'!$G$116/'CAPEX+OPEX'!$G$115</f>
        <v>3173632.7971075671</v>
      </c>
      <c r="EN80">
        <f>EL80+EM80+DY80+EE80+1.15*(SUM(DF80:DM80)+SUM(CF80:CI80))</f>
        <v>18038667.854671229</v>
      </c>
      <c r="EO80">
        <f>EN80/15</f>
        <v>1202577.8569780819</v>
      </c>
      <c r="EP80">
        <f>('eLLE Bals'!CB80+'eLLE Bals'!CC80)*'Oxidant Feed Composition'!$N$29*60*7200</f>
        <v>7643889.6475546546</v>
      </c>
      <c r="EQ80" s="53">
        <f>('eLLE Bals'!BR80+'eLLE Bals'!BY80)*'Reagent cost'!$C$38*60*7200*0.5</f>
        <v>252643.00315665375</v>
      </c>
      <c r="ER80">
        <f>'TEA Revised Non EYZ'!DI80</f>
        <v>504921.59999999998</v>
      </c>
      <c r="ES80">
        <f>'TEA Revised Non EYZ'!DJ80</f>
        <v>107.47742312259867</v>
      </c>
      <c r="ET80">
        <f>'TEA Revised Non EYZ'!DK80</f>
        <v>1206.3572209356068</v>
      </c>
      <c r="EU80">
        <f>1.2*SUM(EP80:ET80)</f>
        <v>10083321.702426439</v>
      </c>
      <c r="EV80">
        <f>'TEA Revised Non EYZ'!DM80</f>
        <v>0.70639694042110623</v>
      </c>
      <c r="EW80">
        <f>(BS80*CO80+BT80*CP80)/1000*('Oxidant Feed Composition'!$B$11*'Oxidant Feed Composition'!$O$20+'Oxidant Feed Composition'!$D$11*'Oxidant Feed Composition'!$O$21+'Oxidant Feed Composition'!$F$11*'Oxidant Feed Composition'!$O$27-'Oxidant Feed Composition'!$J$15*18.015)</f>
        <v>1.7894151974312904</v>
      </c>
      <c r="EX80">
        <f>(CZ80*BX80+DC80*BZ80)*368.34/1000</f>
        <v>0.10199732450912252</v>
      </c>
      <c r="EY80">
        <f>'TEA Revised Non EYZ'!DP80</f>
        <v>4.999938342565946E-2</v>
      </c>
      <c r="EZ80">
        <f>SUM(EV80:EX80)-EY80</f>
        <v>2.5478100789358598</v>
      </c>
      <c r="FA80">
        <f>EZ80*0.33*60*7200</f>
        <v>363215.8048530962</v>
      </c>
      <c r="FB80">
        <f>'TEA Revised Non EYZ'!DS80</f>
        <v>1.2</v>
      </c>
      <c r="FC80">
        <v>0.5</v>
      </c>
      <c r="FD80">
        <f>'TEA Revised Non EYZ'!DT80</f>
        <v>1405.8825769117466</v>
      </c>
      <c r="FE80">
        <f>'TEA Revised Non EYZ'!DU80</f>
        <v>705.80579676317939</v>
      </c>
      <c r="FF80">
        <f>'TEA Revised Non EYZ'!DV80</f>
        <v>0.7</v>
      </c>
      <c r="FG80">
        <f>'TEA Revised Non EYZ'!DW80</f>
        <v>46784.46952433938</v>
      </c>
      <c r="FH80">
        <f>'TEA Revised Non EYZ'!DX80</f>
        <v>45678.708869524045</v>
      </c>
      <c r="FI80">
        <f>'TEA Revised Non EYZ'!DY80</f>
        <v>19339.775932661389</v>
      </c>
      <c r="FJ80">
        <f>'TEA Revised Non EYZ'!DZ80</f>
        <v>10244.818866671721</v>
      </c>
      <c r="FK80">
        <f>'TEA Revised Non EYZ'!EA80</f>
        <v>10314.547164086078</v>
      </c>
      <c r="FL80">
        <f>'TEA Revised Non EYZ'!EB80</f>
        <v>850.27778251622431</v>
      </c>
      <c r="FM80">
        <f>'TEA Revised Non EYZ'!EC80</f>
        <v>48855.995986073096</v>
      </c>
      <c r="FN80">
        <f>'TEA Revised Non EYZ'!ED80</f>
        <v>50432.083379093361</v>
      </c>
      <c r="FO80">
        <f>'TEA Revised Non EYZ'!EE80</f>
        <v>21352.293366148395</v>
      </c>
      <c r="FP80">
        <f>'TEA Revised Non EYZ'!EF80</f>
        <v>11317.202401332423</v>
      </c>
      <c r="FQ80">
        <f>'TEA Revised Non EYZ'!EG80</f>
        <v>11387.889795279147</v>
      </c>
      <c r="FR80">
        <f>'TEA Revised Non EYZ'!EH80</f>
        <v>426.87134588237086</v>
      </c>
      <c r="FS80">
        <f>'TEA Revised Non EYZ'!EI80</f>
        <v>276984.93441360764</v>
      </c>
      <c r="FT80">
        <f>EG80*EH80</f>
        <v>2517.1940201830716</v>
      </c>
      <c r="FU80">
        <f>EG80*EI80</f>
        <v>4522.7024675898947</v>
      </c>
      <c r="FV80">
        <f>FC80*(FT80+FU80)/(3.6*10^6)*3600*7200*0.07</f>
        <v>1774.053914918788</v>
      </c>
      <c r="FW80">
        <f>('CAPEX+OPEX'!$C$39/7/100+0.03)*EL80</f>
        <v>90840.561440486417</v>
      </c>
      <c r="FX80">
        <f>('CAPEX+OPEX'!$C$39/7/100+0.03)*EM80</f>
        <v>163215.40099410346</v>
      </c>
      <c r="FY80">
        <f>SUM(FV80:FX80)</f>
        <v>255830.01634950866</v>
      </c>
      <c r="FZ80">
        <f>FY80+FA80+FS80+EU80</f>
        <v>10979352.458042651</v>
      </c>
      <c r="GA80">
        <f>FZ80+EO80</f>
        <v>12181930.315020733</v>
      </c>
      <c r="GB80">
        <f>GA80/(BK80*60*7200)</f>
        <v>0.28198912766251694</v>
      </c>
      <c r="GC80">
        <f>'TEA Revised Non EYZ'!EM80/'TEA Revised Non EYZ'!EK80*GA80</f>
        <v>943.38578755070898</v>
      </c>
      <c r="GD80">
        <f>'TEA Revised Non EYZ'!EN80/'TEA Revised Non EYZ'!EK80*GA80</f>
        <v>1731.3378322695226</v>
      </c>
    </row>
    <row r="81" spans="1:186">
      <c r="A81">
        <f>'TEA Revised Non EYZ'!A81</f>
        <v>10</v>
      </c>
      <c r="B81">
        <f>'TEA Revised Non EYZ'!B81</f>
        <v>1.54143585092054E-3</v>
      </c>
      <c r="C81">
        <f>'TEA Revised Non EYZ'!C81</f>
        <v>1.54143585092054E-3</v>
      </c>
      <c r="D81">
        <f>'TEA Revised Non EYZ'!D81</f>
        <v>3.4254130020456501E-4</v>
      </c>
      <c r="E81">
        <f>'TEA Revised Non EYZ'!E81</f>
        <v>0</v>
      </c>
      <c r="F81">
        <f>'TEA Revised Non EYZ'!F81</f>
        <v>0</v>
      </c>
      <c r="G81">
        <f>'TEA Revised Non EYZ'!G81</f>
        <v>0</v>
      </c>
      <c r="H81">
        <f>'TEA Revised Non EYZ'!H81</f>
        <v>1.7770671970930099E-5</v>
      </c>
      <c r="I81">
        <f>'TEA Revised Non EYZ'!I81</f>
        <v>5.2649488631162003E-10</v>
      </c>
      <c r="J81">
        <f>'TEA Revised Non EYZ'!J81</f>
        <v>3.3765279177869602E-4</v>
      </c>
      <c r="K81">
        <f>'TEA Revised Non EYZ'!K81</f>
        <v>0.139053960209192</v>
      </c>
      <c r="L81">
        <f>'TEA Revised Non EYZ'!L81</f>
        <v>0.14067571356050099</v>
      </c>
      <c r="M81">
        <f>'TEA Revised Non EYZ'!M81</f>
        <v>4.4613899794023002E-4</v>
      </c>
      <c r="N81">
        <f>'TEA Revised Non EYZ'!N81</f>
        <v>-1.6046192152785399E-16</v>
      </c>
      <c r="O81">
        <f>'TEA Revised Non EYZ'!O81</f>
        <v>-5.9831913729046996E-14</v>
      </c>
      <c r="P81">
        <f>'TEA Revised Non EYZ'!P81</f>
        <v>-6.6915602833089703E-20</v>
      </c>
      <c r="Q81">
        <f>'TEA Revised Non EYZ'!Q81</f>
        <v>0.10957366310586</v>
      </c>
      <c r="R81">
        <f>'TEA Revised Non EYZ'!R81</f>
        <v>98.572870359588904</v>
      </c>
      <c r="S81">
        <f>'TEA Revised Non EYZ'!S81</f>
        <v>500</v>
      </c>
      <c r="T81">
        <f>'TEA Revised Non EYZ'!T81</f>
        <v>95</v>
      </c>
      <c r="U81">
        <f>'TEA Revised Non EYZ'!U81</f>
        <v>1</v>
      </c>
      <c r="V81">
        <f>'TEA Revised Non EYZ'!V81</f>
        <v>0.1</v>
      </c>
      <c r="W81">
        <f>'TEA Revised Non EYZ'!W81</f>
        <v>91.262806376555005</v>
      </c>
      <c r="X81" t="str">
        <f>'TEA Revised Non EYZ'!X81</f>
        <v>ddFc</v>
      </c>
      <c r="Y81">
        <f>'TEA Revised Non EYZ'!Y81</f>
        <v>1</v>
      </c>
      <c r="Z81">
        <f>'TEA Revised Non EYZ'!Z81</f>
        <v>0.28318429382522198</v>
      </c>
      <c r="AA81">
        <f>'TEA Revised Non EYZ'!AA81</f>
        <v>0.56945642916197003</v>
      </c>
      <c r="AB81">
        <f>'TEA Revised Non EYZ'!AB81</f>
        <v>3.7698628972227502E-3</v>
      </c>
      <c r="AC81">
        <f>'TEA Revised Non EYZ'!AC81</f>
        <v>1822.2107908876901</v>
      </c>
      <c r="AD81">
        <f>'TEA Revised Non EYZ'!AD81</f>
        <v>2662.6059073104898</v>
      </c>
      <c r="AE81">
        <f>'TEA Revised Non EYZ'!AE81</f>
        <v>2401.5030938442701</v>
      </c>
      <c r="AF81">
        <f>'TEA Revised Non EYZ'!AF81</f>
        <v>13</v>
      </c>
      <c r="AG81">
        <f>'TEA Revised Non EYZ'!AG81</f>
        <v>1.6497548842793E-3</v>
      </c>
      <c r="AH81">
        <f>'TEA Revised Non EYZ'!AH81</f>
        <v>1.66899558413707E-3</v>
      </c>
      <c r="AI81">
        <f>'TEA Revised Non EYZ'!AI81</f>
        <v>5.2930530695573503E-6</v>
      </c>
      <c r="AJ81">
        <f>'TEA Revised Non EYZ'!AJ81</f>
        <v>0</v>
      </c>
      <c r="AK81">
        <f>'TEA Revised Non EYZ'!AK81</f>
        <v>0</v>
      </c>
      <c r="AL81">
        <f>'TEA Revised Non EYZ'!AL81</f>
        <v>0</v>
      </c>
      <c r="AM81">
        <f>'TEA Revised Non EYZ'!AM81</f>
        <v>1.6128081639407901E-3</v>
      </c>
      <c r="AN81">
        <f>'TEA Revised Non EYZ'!AN81</f>
        <v>7.96263962340472E-5</v>
      </c>
      <c r="AO81">
        <f>'TEA Revised Non EYZ'!AO81</f>
        <v>5.2582439733631299E-6</v>
      </c>
      <c r="AP81">
        <f>'TEA Revised Non EYZ'!AP81</f>
        <v>1.7332424309303299E-3</v>
      </c>
      <c r="AQ81">
        <f>'TEA Revised Non EYZ'!AQ81</f>
        <v>7.4560396420763494E-2</v>
      </c>
      <c r="AR81">
        <f>'TEA Revised Non EYZ'!AR81</f>
        <v>1.63296232935881E-6</v>
      </c>
      <c r="AS81">
        <f>'TEA Revised Non EYZ'!AS81</f>
        <v>5.2177229550864901E-19</v>
      </c>
      <c r="AT81">
        <f>'TEA Revised Non EYZ'!AT81</f>
        <v>-1.32272665043231E-17</v>
      </c>
      <c r="AU81">
        <f>'TEA Revised Non EYZ'!AU81</f>
        <v>8.0732827785175501E-22</v>
      </c>
      <c r="AV81">
        <f>'TEA Revised Non EYZ'!AV81</f>
        <v>0.19687324544888599</v>
      </c>
      <c r="AW81">
        <f>'TEA Revised Non EYZ'!AW81</f>
        <v>99.3423626074255</v>
      </c>
      <c r="AX81">
        <f>'TEA Revised Non EYZ'!AX81</f>
        <v>500</v>
      </c>
      <c r="AY81">
        <f>'TEA Revised Non EYZ'!AY81</f>
        <v>95</v>
      </c>
      <c r="AZ81">
        <f>'TEA Revised Non EYZ'!AZ81</f>
        <v>0.92357064280818002</v>
      </c>
      <c r="BA81">
        <f>'TEA Revised Non EYZ'!BA81</f>
        <v>0.1</v>
      </c>
      <c r="BB81">
        <f>'TEA Revised Non EYZ'!BB81</f>
        <v>46.9119427935657</v>
      </c>
      <c r="BC81" t="str">
        <f>'TEA Revised Non EYZ'!BC81</f>
        <v>coeFc</v>
      </c>
      <c r="BD81">
        <f>'TEA Revised Non EYZ'!BD81</f>
        <v>1</v>
      </c>
      <c r="BE81">
        <f>'TEA Revised Non EYZ'!BE81</f>
        <v>1.8775014999999999E-2</v>
      </c>
      <c r="BF81">
        <f>'TEA Revised Non EYZ'!BF81</f>
        <v>0.10492961100000001</v>
      </c>
      <c r="BG81">
        <f>'TEA Revised Non EYZ'!BG81</f>
        <v>1.814625E-3</v>
      </c>
      <c r="BH81">
        <f>'TEA Revised Non EYZ'!BH81</f>
        <v>285.1951444</v>
      </c>
      <c r="BI81">
        <f>'TEA Revised Non EYZ'!BI81</f>
        <v>2169.8944889999998</v>
      </c>
      <c r="BJ81">
        <f>'TEA Revised Non EYZ'!BJ81</f>
        <v>866.49409060000005</v>
      </c>
      <c r="BK81">
        <f>'TEA Revised Non EYZ'!BK81</f>
        <v>100</v>
      </c>
      <c r="BL81">
        <f>'TEA Revised Non EYZ'!BL81</f>
        <v>10.957366310586</v>
      </c>
      <c r="BM81">
        <f>'TEA Revised Non EYZ'!BM81</f>
        <v>92.357064280818008</v>
      </c>
      <c r="BN81">
        <f>'TEA Revised Non EYZ'!BN81</f>
        <v>19.6873245448886</v>
      </c>
      <c r="BO81">
        <f>'TEA Revised Non EYZ'!BO81</f>
        <v>262.97679145406403</v>
      </c>
      <c r="BP81">
        <f>'TEA Revised Non EYZ'!BP81</f>
        <v>590.61973634665799</v>
      </c>
      <c r="BQ81">
        <f>'TEA Revised Non EYZ'!BQ81</f>
        <v>26.297679145406406</v>
      </c>
      <c r="BR81">
        <f>'TEA Revised Non EYZ'!BR81</f>
        <v>59.061973634665804</v>
      </c>
      <c r="BS81">
        <f>'eLLE Bals'!CF81</f>
        <v>6.5744197863515996</v>
      </c>
      <c r="BT81">
        <f>'eLLE Bals'!CG81</f>
        <v>11.81239472693316</v>
      </c>
      <c r="BU81">
        <f>BM81</f>
        <v>92.357064280818008</v>
      </c>
      <c r="BV81">
        <f>BU81*(AM81*2+AN81*2+AO81*3)</f>
        <v>0.31407348286024717</v>
      </c>
      <c r="BW81">
        <f>BN81*BA81*(AP81*2+AQ81*2+AR81*3)</f>
        <v>0.30041317035456794</v>
      </c>
      <c r="BX81">
        <f>BV81/(2*V81*BL81+BV81)</f>
        <v>0.12535127651872013</v>
      </c>
      <c r="BY81">
        <f>BU81*BX81</f>
        <v>11.577075903122028</v>
      </c>
      <c r="BZ81">
        <f>BW81/(2*BN81*BA81+BW81)</f>
        <v>7.0887638750074769E-2</v>
      </c>
      <c r="CA81">
        <f>2*BN81*BA81/0.04</f>
        <v>98.436622724442998</v>
      </c>
      <c r="CB81">
        <f>(BS81+BL81)*2</f>
        <v>35.063572193875203</v>
      </c>
      <c r="CC81">
        <f>(BU81+BL81)*2</f>
        <v>206.62886118280801</v>
      </c>
      <c r="CD81">
        <f>(BT81+BN81)*2</f>
        <v>62.999438543643521</v>
      </c>
      <c r="CE81">
        <f>(CA81+BN81)*2</f>
        <v>236.24789453866319</v>
      </c>
      <c r="CF81">
        <f>'TEA Revised Non EYZ'!CB81</f>
        <v>3471.2936471936455</v>
      </c>
      <c r="CG81">
        <f>'TEA Revised Non EYZ'!CC81</f>
        <v>7796.1805197758858</v>
      </c>
      <c r="CH81">
        <f>'TEA Revised Non EYZ'!CD81</f>
        <v>4193.9657747282263</v>
      </c>
      <c r="CI81">
        <f>'TEA Revised Non EYZ'!CE81</f>
        <v>60132.633260312105</v>
      </c>
      <c r="CJ81">
        <f>BL81*V81</f>
        <v>1.0957366310586001</v>
      </c>
      <c r="CK81">
        <f>CJ81/2*1.2</f>
        <v>0.65744197863516007</v>
      </c>
      <c r="CL81">
        <f>'eLLE Bals'!CB81*'Oxidant Feed Composition'!$N$20</f>
        <v>3.6524554368620017E-2</v>
      </c>
      <c r="CM81">
        <f>'eLLE Bals'!CB81*'Oxidant Feed Composition'!$N$21</f>
        <v>1.8262277184310003</v>
      </c>
      <c r="CN81">
        <f>'eLLE Bals'!CB81*'Oxidant Feed Composition'!$N$22</f>
        <v>0.54786831552930004</v>
      </c>
      <c r="CO81">
        <f>CN81/CK81</f>
        <v>0.83333333333333326</v>
      </c>
      <c r="CP81">
        <f>CO81</f>
        <v>0.83333333333333326</v>
      </c>
      <c r="CQ81">
        <f>CL81/CO81</f>
        <v>4.3829465242344025E-2</v>
      </c>
      <c r="CR81">
        <f>CM81/CO81</f>
        <v>2.1914732621172006</v>
      </c>
      <c r="CS81">
        <f>BN81*BA81</f>
        <v>1.96873245448886</v>
      </c>
      <c r="CT81">
        <f>CS81/2*1.2</f>
        <v>1.181239472693316</v>
      </c>
      <c r="CU81">
        <f>'eLLE Bals'!CC81*'Oxidant Feed Composition'!$N$20</f>
        <v>6.5624415149628704E-2</v>
      </c>
      <c r="CV81">
        <f>'eLLE Bals'!CC81*'Oxidant Feed Composition'!$N$21</f>
        <v>3.2812207574814338</v>
      </c>
      <c r="CW81">
        <f>'eLLE Bals'!CC81*'Oxidant Feed Composition'!$N$22</f>
        <v>0.98436622724443001</v>
      </c>
      <c r="CX81">
        <f>CU81/CP81</f>
        <v>7.874929817955445E-2</v>
      </c>
      <c r="CY81">
        <f>CV81/CP81</f>
        <v>3.9374649089777209</v>
      </c>
      <c r="CZ81">
        <f>CJ81</f>
        <v>1.0957366310586001</v>
      </c>
      <c r="DA81">
        <f>'eLLE Bals'!BQ81</f>
        <v>2.1914732621172002</v>
      </c>
      <c r="DB81">
        <f>'eLLE Bals'!BU81</f>
        <v>5.4541181689677547</v>
      </c>
      <c r="DC81">
        <f>CS81</f>
        <v>1.96873245448886</v>
      </c>
      <c r="DD81">
        <f>'eLLE Bals'!BX81</f>
        <v>3.9374649089777201</v>
      </c>
      <c r="DE81">
        <f>'eLLE Bals'!CA81</f>
        <v>21.866380327122432</v>
      </c>
      <c r="DF81">
        <f>2*2*(CJ81*'Reagent cost'!$C$36*122.44/1000*0.5+CK81*'Oxidant Feed Composition'!$N$26+CQ81*'Reagent cost'!$C$34+CR81*'Reagent cost'!$C$35)</f>
        <v>73.605325923065834</v>
      </c>
      <c r="DG81">
        <f>2*2*(CS81*'Reagent cost'!$C$36*122.44/1000*0.5+CT81*'Oxidant Feed Composition'!$N$26+CX81*'Reagent cost'!$C$34+CY81*'Reagent cost'!$C$35)</f>
        <v>132.24819711281529</v>
      </c>
      <c r="DH81">
        <f>(AF81+3)*2*(CZ81*'Reagent cost'!$C$38*0.5+DA81*'Reagent cost'!$C$39+DB81*'Reagent cost'!$C$36*122.44/1000)</f>
        <v>1591.3751602293287</v>
      </c>
      <c r="DI81">
        <f>3*2*(DC81*'Reagent cost'!$C$38*0.5+DD81*'Reagent cost'!$C$39+DE81*'Reagent cost'!$C$36*122.44/1000)</f>
        <v>1162.1423164201008</v>
      </c>
      <c r="DJ81">
        <f>7963.6*(CB81/1000)^0.6*1.7*('CAPEX+OPEX'!$G$116/'CAPEX+OPEX'!$G$115)</f>
        <v>2138.7234102796551</v>
      </c>
      <c r="DK81">
        <f>7963.6*(CC81/1000)^0.6*1.7*('CAPEX+OPEX'!$G$116/'CAPEX+OPEX'!$G$115)</f>
        <v>6199.4836239091055</v>
      </c>
      <c r="DL81">
        <f>7963.6*(CD81/1000)^0.6*1.7*('CAPEX+OPEX'!$G$116/'CAPEX+OPEX'!$G$115)</f>
        <v>3039.7854734922639</v>
      </c>
      <c r="DM81">
        <f>7963.6*(CE81/1000)^0.6*1.7*('CAPEX+OPEX'!$G$116/'CAPEX+OPEX'!$G$115)</f>
        <v>6718.3356248651335</v>
      </c>
      <c r="DN81">
        <f>'TEA Revised Non EYZ'!CM81</f>
        <v>39625.826528698344</v>
      </c>
      <c r="DO81">
        <f>'TEA Revised Non EYZ'!CN81</f>
        <v>4586243.4239371875</v>
      </c>
      <c r="DP81">
        <f>'TEA Revised Non EYZ'!CO81</f>
        <v>11794834.586807497</v>
      </c>
      <c r="DQ81">
        <f>'TEA Revised Non EYZ'!CP81</f>
        <v>2275209.1661185985</v>
      </c>
      <c r="DR81">
        <f>'TEA Revised Non EYZ'!CQ81</f>
        <v>14083914.336508472</v>
      </c>
      <c r="DS81">
        <f>'TEA Revised Non EYZ'!CR81</f>
        <v>1662824.8986326549</v>
      </c>
      <c r="DT81">
        <f>'TEA Revised Non EYZ'!CS81</f>
        <v>847423.79840727116</v>
      </c>
      <c r="DU81">
        <f>'TEA Revised Non EYZ'!CT81</f>
        <v>2179392.2832288719</v>
      </c>
      <c r="DV81">
        <f>'TEA Revised Non EYZ'!CU81</f>
        <v>420402.1059283549</v>
      </c>
      <c r="DW81">
        <f>'TEA Revised Non EYZ'!CV81</f>
        <v>2602357.3282642425</v>
      </c>
      <c r="DX81">
        <f>'TEA Revised Non EYZ'!CW81</f>
        <v>307248.71347447456</v>
      </c>
      <c r="DY81">
        <f>'TEA Revised Non EYZ'!CX81</f>
        <v>6356824.2293032147</v>
      </c>
      <c r="DZ81">
        <f>'TEA Revised Non EYZ'!CY81</f>
        <v>924869.27650897147</v>
      </c>
      <c r="EA81">
        <f>'TEA Revised Non EYZ'!CZ81</f>
        <v>2378565.4450671924</v>
      </c>
      <c r="EB81">
        <f>'TEA Revised Non EYZ'!DA81</f>
        <v>458822.36524816178</v>
      </c>
      <c r="EC81">
        <f>'TEA Revised Non EYZ'!DB81</f>
        <v>2840184.9746646415</v>
      </c>
      <c r="ED81">
        <f>'TEA Revised Non EYZ'!DC81</f>
        <v>335327.96208170697</v>
      </c>
      <c r="EE81">
        <f>'TEA Revised Non EYZ'!DD81</f>
        <v>6937770.0235706745</v>
      </c>
      <c r="EF81">
        <v>0.7</v>
      </c>
      <c r="EG81">
        <v>100</v>
      </c>
      <c r="EH81">
        <f>96485*BL81*V81/EF81/EG81/60</f>
        <v>25.171940201830719</v>
      </c>
      <c r="EI81">
        <f>96485*BN81*BA81/EF81/EG81/60</f>
        <v>45.226940683656593</v>
      </c>
      <c r="EJ81">
        <f>EH81*('CAPEX+OPEX'!$O$25+'CAPEX+OPEX'!$O$26)</f>
        <v>802280.07811274868</v>
      </c>
      <c r="EK81">
        <f>EI81*('CAPEX+OPEX'!$O$25+'CAPEX+OPEX'!$O$26)</f>
        <v>1441473.0534695028</v>
      </c>
      <c r="EL81">
        <f>EJ81*1.12/0.6*'CAPEX+OPEX'!$G$116/'CAPEX+OPEX'!$G$115</f>
        <v>1766344.2502316802</v>
      </c>
      <c r="EM81">
        <f>EK81*1.12/0.6*'CAPEX+OPEX'!$G$116/'CAPEX+OPEX'!$G$115</f>
        <v>3173626.9032744672</v>
      </c>
      <c r="EN81">
        <f>EL81+EM81+DY81+EE81+1.15*(SUM(DF81:DM81)+SUM(CF81:CI81))</f>
        <v>18345712.644564416</v>
      </c>
      <c r="EO81">
        <f>EN81/15</f>
        <v>1223047.5096376278</v>
      </c>
      <c r="EP81">
        <f>('eLLE Bals'!CB81+'eLLE Bals'!CC81)*'Oxidant Feed Composition'!$N$29*60*7200</f>
        <v>7643880.5277127223</v>
      </c>
      <c r="EQ81" s="53">
        <f>('eLLE Bals'!BR81+'eLLE Bals'!BY81)*'Reagent cost'!$C$38*60*7200*0.5</f>
        <v>252642.984247154</v>
      </c>
      <c r="ER81">
        <f>'TEA Revised Non EYZ'!DI81</f>
        <v>504921.59999999998</v>
      </c>
      <c r="ES81">
        <f>'TEA Revised Non EYZ'!DJ81</f>
        <v>112.67474166969532</v>
      </c>
      <c r="ET81">
        <f>'TEA Revised Non EYZ'!DK81</f>
        <v>1286.5319807008066</v>
      </c>
      <c r="EU81">
        <f>1.2*SUM(EP81:ET81)</f>
        <v>10083413.182418697</v>
      </c>
      <c r="EV81">
        <f>'TEA Revised Non EYZ'!DM81</f>
        <v>0.70639694042110623</v>
      </c>
      <c r="EW81">
        <f>(BS81*CO81+BT81*CP81)/1000*('Oxidant Feed Composition'!$B$11*'Oxidant Feed Composition'!$O$20+'Oxidant Feed Composition'!$D$11*'Oxidant Feed Composition'!$O$21+'Oxidant Feed Composition'!$F$11*'Oxidant Feed Composition'!$O$27-'Oxidant Feed Composition'!$J$15*18.015)</f>
        <v>1.7894130624994036</v>
      </c>
      <c r="EX81">
        <f>(CZ81*BX81+DC81*BZ81)*368.34/1000</f>
        <v>0.10199731687495749</v>
      </c>
      <c r="EY81">
        <f>'TEA Revised Non EYZ'!DP81</f>
        <v>4.999938342565946E-2</v>
      </c>
      <c r="EZ81">
        <f>SUM(EV81:EX81)-EY81</f>
        <v>2.5478079363698076</v>
      </c>
      <c r="FA81">
        <f>EZ81*0.33*60*7200</f>
        <v>363215.49940887978</v>
      </c>
      <c r="FB81">
        <f>'TEA Revised Non EYZ'!DS81</f>
        <v>1.2</v>
      </c>
      <c r="FC81">
        <v>0.5</v>
      </c>
      <c r="FD81">
        <f>'TEA Revised Non EYZ'!DT81</f>
        <v>1405.8827911906292</v>
      </c>
      <c r="FE81">
        <f>'TEA Revised Non EYZ'!DU81</f>
        <v>705.80558246711394</v>
      </c>
      <c r="FF81">
        <f>'TEA Revised Non EYZ'!DV81</f>
        <v>0.7</v>
      </c>
      <c r="FG81">
        <f>'TEA Revised Non EYZ'!DW81</f>
        <v>46784.46952433938</v>
      </c>
      <c r="FH81">
        <f>'TEA Revised Non EYZ'!DX81</f>
        <v>45678.708869524045</v>
      </c>
      <c r="FI81">
        <f>'TEA Revised Non EYZ'!DY81</f>
        <v>19339.775932661389</v>
      </c>
      <c r="FJ81">
        <f>'TEA Revised Non EYZ'!DZ81</f>
        <v>10244.818866671721</v>
      </c>
      <c r="FK81">
        <f>'TEA Revised Non EYZ'!EA81</f>
        <v>10314.547164086078</v>
      </c>
      <c r="FL81">
        <f>'TEA Revised Non EYZ'!EB81</f>
        <v>850.27791211209262</v>
      </c>
      <c r="FM81">
        <f>'TEA Revised Non EYZ'!EC81</f>
        <v>51427.364195866423</v>
      </c>
      <c r="FN81">
        <f>'TEA Revised Non EYZ'!ED81</f>
        <v>54311.474408254369</v>
      </c>
      <c r="FO81">
        <f>'TEA Revised Non EYZ'!EE81</f>
        <v>22994.777471236728</v>
      </c>
      <c r="FP81">
        <f>'TEA Revised Non EYZ'!EF81</f>
        <v>12187.756432204143</v>
      </c>
      <c r="FQ81">
        <f>'TEA Revised Non EYZ'!EG81</f>
        <v>12263.881317992924</v>
      </c>
      <c r="FR81">
        <f>'TEA Revised Non EYZ'!EH81</f>
        <v>426.87121627611049</v>
      </c>
      <c r="FS81">
        <f>'TEA Revised Non EYZ'!EI81</f>
        <v>286824.72331122548</v>
      </c>
      <c r="FT81">
        <f>EG81*EH81</f>
        <v>2517.1940201830716</v>
      </c>
      <c r="FU81">
        <f>EG81*EI81</f>
        <v>4522.6940683656594</v>
      </c>
      <c r="FV81">
        <f>FC81*(FT81+FU81)/(3.6*10^6)*3600*7200*0.07</f>
        <v>1774.0517983142804</v>
      </c>
      <c r="FW81">
        <f>('CAPEX+OPEX'!$C$39/7/100+0.03)*EL81</f>
        <v>90840.561440486417</v>
      </c>
      <c r="FX81">
        <f>('CAPEX+OPEX'!$C$39/7/100+0.03)*EM81</f>
        <v>163215.09788268688</v>
      </c>
      <c r="FY81">
        <f>SUM(FV81:FX81)</f>
        <v>255829.71112148758</v>
      </c>
      <c r="FZ81">
        <f>FY81+FA81+FS81+EU81</f>
        <v>10989283.11626029</v>
      </c>
      <c r="GA81">
        <f>FZ81+EO81</f>
        <v>12212330.625897918</v>
      </c>
      <c r="GB81">
        <f>GA81/(BK81*60*7200)</f>
        <v>0.28269283856245181</v>
      </c>
      <c r="GC81">
        <f>'TEA Revised Non EYZ'!EM81/'TEA Revised Non EYZ'!EK81*GA81</f>
        <v>945.73988607387503</v>
      </c>
      <c r="GD81">
        <f>'TEA Revised Non EYZ'!EN81/'TEA Revised Non EYZ'!EK81*GA81</f>
        <v>1735.6589148426026</v>
      </c>
    </row>
    <row r="82" spans="1:186">
      <c r="A82">
        <f>'TEA Revised Non EYZ'!A82</f>
        <v>11</v>
      </c>
      <c r="B82">
        <f>'TEA Revised Non EYZ'!B82</f>
        <v>1.54143585092054E-3</v>
      </c>
      <c r="C82">
        <f>'TEA Revised Non EYZ'!C82</f>
        <v>1.54143585092054E-3</v>
      </c>
      <c r="D82">
        <f>'TEA Revised Non EYZ'!D82</f>
        <v>3.4254130020456501E-4</v>
      </c>
      <c r="E82">
        <f>'TEA Revised Non EYZ'!E82</f>
        <v>0</v>
      </c>
      <c r="F82">
        <f>'TEA Revised Non EYZ'!F82</f>
        <v>0</v>
      </c>
      <c r="G82">
        <f>'TEA Revised Non EYZ'!G82</f>
        <v>0</v>
      </c>
      <c r="H82">
        <f>'TEA Revised Non EYZ'!H82</f>
        <v>1.7771367359861701E-5</v>
      </c>
      <c r="I82">
        <f>'TEA Revised Non EYZ'!I82</f>
        <v>1.8081057367328801E-10</v>
      </c>
      <c r="J82">
        <f>'TEA Revised Non EYZ'!J82</f>
        <v>3.3765941525589702E-4</v>
      </c>
      <c r="K82">
        <f>'TEA Revised Non EYZ'!K82</f>
        <v>0.139102253285185</v>
      </c>
      <c r="L82">
        <f>'TEA Revised Non EYZ'!L82</f>
        <v>0.14072466572308701</v>
      </c>
      <c r="M82">
        <f>'TEA Revised Non EYZ'!M82</f>
        <v>4.4568945720355099E-4</v>
      </c>
      <c r="N82">
        <f>'TEA Revised Non EYZ'!N82</f>
        <v>-8.03393809811758E-16</v>
      </c>
      <c r="O82">
        <f>'TEA Revised Non EYZ'!O82</f>
        <v>-8.4019770307808202E-13</v>
      </c>
      <c r="P82">
        <f>'TEA Revised Non EYZ'!P82</f>
        <v>-2.26157796916898E-19</v>
      </c>
      <c r="Q82">
        <f>'TEA Revised Non EYZ'!Q82</f>
        <v>0.10953557168033</v>
      </c>
      <c r="R82">
        <f>'TEA Revised Non EYZ'!R82</f>
        <v>98.5748039883795</v>
      </c>
      <c r="S82">
        <f>'TEA Revised Non EYZ'!S82</f>
        <v>500</v>
      </c>
      <c r="T82">
        <f>'TEA Revised Non EYZ'!T82</f>
        <v>95</v>
      </c>
      <c r="U82">
        <f>'TEA Revised Non EYZ'!U82</f>
        <v>1</v>
      </c>
      <c r="V82">
        <f>'TEA Revised Non EYZ'!V82</f>
        <v>0.1</v>
      </c>
      <c r="W82">
        <f>'TEA Revised Non EYZ'!W82</f>
        <v>91.294543376138293</v>
      </c>
      <c r="X82" t="str">
        <f>'TEA Revised Non EYZ'!X82</f>
        <v>ddFc</v>
      </c>
      <c r="Y82">
        <f>'TEA Revised Non EYZ'!Y82</f>
        <v>1</v>
      </c>
      <c r="Z82">
        <f>'TEA Revised Non EYZ'!Z82</f>
        <v>0.28318429382522198</v>
      </c>
      <c r="AA82">
        <f>'TEA Revised Non EYZ'!AA82</f>
        <v>0.56945642916197003</v>
      </c>
      <c r="AB82">
        <f>'TEA Revised Non EYZ'!AB82</f>
        <v>3.7698628972227502E-3</v>
      </c>
      <c r="AC82">
        <f>'TEA Revised Non EYZ'!AC82</f>
        <v>1822.2107908876901</v>
      </c>
      <c r="AD82">
        <f>'TEA Revised Non EYZ'!AD82</f>
        <v>2662.6059073104898</v>
      </c>
      <c r="AE82">
        <f>'TEA Revised Non EYZ'!AE82</f>
        <v>2401.5030938442701</v>
      </c>
      <c r="AF82">
        <f>'TEA Revised Non EYZ'!AF82</f>
        <v>4</v>
      </c>
      <c r="AG82">
        <f>'TEA Revised Non EYZ'!AG82</f>
        <v>1.6497569194096201E-3</v>
      </c>
      <c r="AH82">
        <f>'TEA Revised Non EYZ'!AH82</f>
        <v>1.6689987798565299E-3</v>
      </c>
      <c r="AI82">
        <f>'TEA Revised Non EYZ'!AI82</f>
        <v>5.28589040482341E-6</v>
      </c>
      <c r="AJ82">
        <f>'TEA Revised Non EYZ'!AJ82</f>
        <v>0</v>
      </c>
      <c r="AK82">
        <f>'TEA Revised Non EYZ'!AK82</f>
        <v>0</v>
      </c>
      <c r="AL82">
        <f>'TEA Revised Non EYZ'!AL82</f>
        <v>0</v>
      </c>
      <c r="AM82">
        <f>'TEA Revised Non EYZ'!AM82</f>
        <v>1.6048442786411501E-3</v>
      </c>
      <c r="AN82">
        <f>'TEA Revised Non EYZ'!AN82</f>
        <v>7.9221543426505204E-5</v>
      </c>
      <c r="AO82">
        <f>'TEA Revised Non EYZ'!AO82</f>
        <v>5.2439449251215197E-6</v>
      </c>
      <c r="AP82">
        <f>'TEA Revised Non EYZ'!AP82</f>
        <v>1.9874086219128402E-3</v>
      </c>
      <c r="AQ82">
        <f>'TEA Revised Non EYZ'!AQ82</f>
        <v>7.0348501715363707E-2</v>
      </c>
      <c r="AR82">
        <f>'TEA Revised Non EYZ'!AR82</f>
        <v>1.8561101411739801E-6</v>
      </c>
      <c r="AS82">
        <f>'TEA Revised Non EYZ'!AS82</f>
        <v>-9.4923594267000406E-15</v>
      </c>
      <c r="AT82">
        <f>'TEA Revised Non EYZ'!AT82</f>
        <v>-1.2240620843317799E-13</v>
      </c>
      <c r="AU82">
        <f>'TEA Revised Non EYZ'!AU82</f>
        <v>-3.0355146200531901E-18</v>
      </c>
      <c r="AV82">
        <f>'TEA Revised Non EYZ'!AV82</f>
        <v>0.20871362817040201</v>
      </c>
      <c r="AW82">
        <f>'TEA Revised Non EYZ'!AW82</f>
        <v>99.206463311013493</v>
      </c>
      <c r="AX82">
        <f>'TEA Revised Non EYZ'!AX82</f>
        <v>500</v>
      </c>
      <c r="AY82">
        <f>'TEA Revised Non EYZ'!AY82</f>
        <v>95</v>
      </c>
      <c r="AZ82">
        <f>'TEA Revised Non EYZ'!AZ82</f>
        <v>0.92356908198738696</v>
      </c>
      <c r="BA82">
        <f>'TEA Revised Non EYZ'!BA82</f>
        <v>0.1</v>
      </c>
      <c r="BB82">
        <f>'TEA Revised Non EYZ'!BB82</f>
        <v>44.250540325682302</v>
      </c>
      <c r="BC82" t="str">
        <f>'TEA Revised Non EYZ'!BC82</f>
        <v>coeFc</v>
      </c>
      <c r="BD82">
        <f>'TEA Revised Non EYZ'!BD82</f>
        <v>1</v>
      </c>
      <c r="BE82">
        <f>'TEA Revised Non EYZ'!BE82</f>
        <v>1.8775014999999999E-2</v>
      </c>
      <c r="BF82">
        <f>'TEA Revised Non EYZ'!BF82</f>
        <v>0.10492961100000001</v>
      </c>
      <c r="BG82">
        <f>'TEA Revised Non EYZ'!BG82</f>
        <v>1.814625E-3</v>
      </c>
      <c r="BH82">
        <f>'TEA Revised Non EYZ'!BH82</f>
        <v>285.1951444</v>
      </c>
      <c r="BI82">
        <f>'TEA Revised Non EYZ'!BI82</f>
        <v>2169.8944889999998</v>
      </c>
      <c r="BJ82">
        <f>'TEA Revised Non EYZ'!BJ82</f>
        <v>866.49409060000005</v>
      </c>
      <c r="BK82">
        <f>'TEA Revised Non EYZ'!BK82</f>
        <v>100</v>
      </c>
      <c r="BL82">
        <f>'TEA Revised Non EYZ'!BL82</f>
        <v>10.953557168032999</v>
      </c>
      <c r="BM82">
        <f>'TEA Revised Non EYZ'!BM82</f>
        <v>92.356908198738694</v>
      </c>
      <c r="BN82">
        <f>'TEA Revised Non EYZ'!BN82</f>
        <v>20.8713628170402</v>
      </c>
      <c r="BO82">
        <f>'TEA Revised Non EYZ'!BO82</f>
        <v>284.79248636885796</v>
      </c>
      <c r="BP82">
        <f>'TEA Revised Non EYZ'!BP82</f>
        <v>250.4563538044824</v>
      </c>
      <c r="BQ82">
        <f>'TEA Revised Non EYZ'!BQ82</f>
        <v>28.479248636885799</v>
      </c>
      <c r="BR82">
        <f>'TEA Revised Non EYZ'!BR82</f>
        <v>25.045635380448243</v>
      </c>
      <c r="BS82">
        <f>'eLLE Bals'!CF82</f>
        <v>6.5721343008197994</v>
      </c>
      <c r="BT82">
        <f>'eLLE Bals'!CG82</f>
        <v>12.52281769022412</v>
      </c>
      <c r="BU82">
        <f>BM82</f>
        <v>92.356908198738694</v>
      </c>
      <c r="BV82">
        <f>BU82*(AM82*2+AN82*2+AO82*3)</f>
        <v>0.31252316867881774</v>
      </c>
      <c r="BW82">
        <f>BN82*BA82*(AP82*2+AQ82*2+AR82*3)</f>
        <v>0.30196142773449303</v>
      </c>
      <c r="BX82">
        <f>BV82/(2*V82*BL82+BV82)</f>
        <v>0.12484773436476491</v>
      </c>
      <c r="BY82">
        <f>BU82*BX82</f>
        <v>11.530550741547108</v>
      </c>
      <c r="BZ82">
        <f>BW82/(2*BN82*BA82+BW82)</f>
        <v>6.745881210231798E-2</v>
      </c>
      <c r="CA82">
        <f>2*BN82*BA82/0.04</f>
        <v>104.35681408520101</v>
      </c>
      <c r="CB82">
        <f>(BS82+BL82)*2</f>
        <v>35.051382937705597</v>
      </c>
      <c r="CC82">
        <f>(BU82+BL82)*2</f>
        <v>206.62093073354339</v>
      </c>
      <c r="CD82">
        <f>(BT82+BN82)*2</f>
        <v>66.788361014528647</v>
      </c>
      <c r="CE82">
        <f>(CA82+BN82)*2</f>
        <v>250.45635380448243</v>
      </c>
      <c r="CF82">
        <f>'TEA Revised Non EYZ'!CB82</f>
        <v>3759.2608200689256</v>
      </c>
      <c r="CG82">
        <f>'TEA Revised Non EYZ'!CC82</f>
        <v>3306.0238702191682</v>
      </c>
      <c r="CH82">
        <f>'TEA Revised Non EYZ'!CD82</f>
        <v>4541.8834647976191</v>
      </c>
      <c r="CI82">
        <f>'TEA Revised Non EYZ'!CE82</f>
        <v>25499.65594478586</v>
      </c>
      <c r="CJ82">
        <f>BL82*V82</f>
        <v>1.0953557168032999</v>
      </c>
      <c r="CK82">
        <f>CJ82/2*1.2</f>
        <v>0.65721343008197997</v>
      </c>
      <c r="CL82">
        <f>'eLLE Bals'!CB82*'Oxidant Feed Composition'!$N$20</f>
        <v>3.6511857226776682E-2</v>
      </c>
      <c r="CM82">
        <f>'eLLE Bals'!CB82*'Oxidant Feed Composition'!$N$21</f>
        <v>1.8255928613388335</v>
      </c>
      <c r="CN82">
        <f>'eLLE Bals'!CB82*'Oxidant Feed Composition'!$N$22</f>
        <v>0.54767785840164995</v>
      </c>
      <c r="CO82">
        <f>CN82/CK82</f>
        <v>0.83333333333333326</v>
      </c>
      <c r="CP82">
        <f>CO82</f>
        <v>0.83333333333333326</v>
      </c>
      <c r="CQ82">
        <f>CL82/CO82</f>
        <v>4.381422867213202E-2</v>
      </c>
      <c r="CR82">
        <f>CM82/CO82</f>
        <v>2.1907114336066003</v>
      </c>
      <c r="CS82">
        <f>BN82*BA82</f>
        <v>2.0871362817040202</v>
      </c>
      <c r="CT82">
        <f>CS82/2*1.2</f>
        <v>1.2522817690224122</v>
      </c>
      <c r="CU82">
        <f>'eLLE Bals'!CC82*'Oxidant Feed Composition'!$N$20</f>
        <v>6.9571209390134031E-2</v>
      </c>
      <c r="CV82">
        <f>'eLLE Bals'!CC82*'Oxidant Feed Composition'!$N$21</f>
        <v>3.4785604695067005</v>
      </c>
      <c r="CW82">
        <f>'eLLE Bals'!CC82*'Oxidant Feed Composition'!$N$22</f>
        <v>1.0435681408520101</v>
      </c>
      <c r="CX82">
        <f>CU82/CP82</f>
        <v>8.3485451268160843E-2</v>
      </c>
      <c r="CY82">
        <f>CV82/CP82</f>
        <v>4.1742725634080413</v>
      </c>
      <c r="CZ82">
        <f>CJ82</f>
        <v>1.0953557168032999</v>
      </c>
      <c r="DA82">
        <f>'eLLE Bals'!BQ82</f>
        <v>2.1907114336065998</v>
      </c>
      <c r="DB82">
        <f>'eLLE Bals'!BU82</f>
        <v>5.4874658447993694</v>
      </c>
      <c r="DC82">
        <f>CS82</f>
        <v>2.0871362817040202</v>
      </c>
      <c r="DD82">
        <f>'eLLE Bals'!BX82</f>
        <v>4.1742725634080404</v>
      </c>
      <c r="DE82">
        <f>'eLLE Bals'!CA82</f>
        <v>24.678007617460118</v>
      </c>
      <c r="DF82">
        <f>2*2*(CJ82*'Reagent cost'!$C$36*122.44/1000*0.5+CK82*'Oxidant Feed Composition'!$N$26+CQ82*'Reagent cost'!$C$34+CR82*'Reagent cost'!$C$35)</f>
        <v>73.579738279908327</v>
      </c>
      <c r="DG82">
        <f>2*2*(CS82*'Reagent cost'!$C$36*122.44/1000*0.5+CT82*'Oxidant Feed Composition'!$N$26+CX82*'Reagent cost'!$C$34+CY82*'Reagent cost'!$C$35)</f>
        <v>140.20188967513334</v>
      </c>
      <c r="DH82">
        <f>(AF82+3)*2*(CZ82*'Reagent cost'!$C$38*0.5+DA82*'Reagent cost'!$C$39+DB82*'Reagent cost'!$C$36*122.44/1000)</f>
        <v>700.25099225553072</v>
      </c>
      <c r="DI82">
        <f>3*2*(DC82*'Reagent cost'!$C$38*0.5+DD82*'Reagent cost'!$C$39+DE82*'Reagent cost'!$C$36*122.44/1000)</f>
        <v>1309.6767647504751</v>
      </c>
      <c r="DJ82">
        <f>7963.6*(CB82/1000)^0.6*1.7*('CAPEX+OPEX'!$G$116/'CAPEX+OPEX'!$G$115)</f>
        <v>2138.2772847076108</v>
      </c>
      <c r="DK82">
        <f>7963.6*(CC82/1000)^0.6*1.7*('CAPEX+OPEX'!$G$116/'CAPEX+OPEX'!$G$115)</f>
        <v>6199.3408604999822</v>
      </c>
      <c r="DL82">
        <f>7963.6*(CD82/1000)^0.6*1.7*('CAPEX+OPEX'!$G$116/'CAPEX+OPEX'!$G$115)</f>
        <v>3148.193366381196</v>
      </c>
      <c r="DM82">
        <f>7963.6*(CE82/1000)^0.6*1.7*('CAPEX+OPEX'!$G$116/'CAPEX+OPEX'!$G$115)</f>
        <v>6957.9316802984595</v>
      </c>
      <c r="DN82">
        <f>'TEA Revised Non EYZ'!CM82</f>
        <v>39625.826528698344</v>
      </c>
      <c r="DO82">
        <f>'TEA Revised Non EYZ'!CN82</f>
        <v>4586243.4239371875</v>
      </c>
      <c r="DP82">
        <f>'TEA Revised Non EYZ'!CO82</f>
        <v>11794834.586807497</v>
      </c>
      <c r="DQ82">
        <f>'TEA Revised Non EYZ'!CP82</f>
        <v>2275209.1661185985</v>
      </c>
      <c r="DR82">
        <f>'TEA Revised Non EYZ'!CQ82</f>
        <v>14083914.336508472</v>
      </c>
      <c r="DS82">
        <f>'TEA Revised Non EYZ'!CR82</f>
        <v>1662824.8986326549</v>
      </c>
      <c r="DT82">
        <f>'TEA Revised Non EYZ'!CS82</f>
        <v>892840.31653984461</v>
      </c>
      <c r="DU82">
        <f>'TEA Revised Non EYZ'!CT82</f>
        <v>2296193.8284949926</v>
      </c>
      <c r="DV82">
        <f>'TEA Revised Non EYZ'!CU82</f>
        <v>442932.9811560188</v>
      </c>
      <c r="DW82">
        <f>'TEA Revised Non EYZ'!CV82</f>
        <v>2741827.1059701391</v>
      </c>
      <c r="DX82">
        <f>'TEA Revised Non EYZ'!CW82</f>
        <v>323715.28756992728</v>
      </c>
      <c r="DY82">
        <f>'TEA Revised Non EYZ'!CX82</f>
        <v>6697509.5197309218</v>
      </c>
      <c r="DZ82">
        <f>'TEA Revised Non EYZ'!CY82</f>
        <v>498637.57922471326</v>
      </c>
      <c r="EA82">
        <f>'TEA Revised Non EYZ'!CZ82</f>
        <v>1282388.9231489168</v>
      </c>
      <c r="EB82">
        <f>'TEA Revised Non EYZ'!DA82</f>
        <v>247371.254849205</v>
      </c>
      <c r="EC82">
        <f>'TEA Revised Non EYZ'!DB82</f>
        <v>1531268.2519446225</v>
      </c>
      <c r="ED82">
        <f>'TEA Revised Non EYZ'!DC82</f>
        <v>180790.00730775911</v>
      </c>
      <c r="EE82">
        <f>'TEA Revised Non EYZ'!DD82</f>
        <v>3740456.016475217</v>
      </c>
      <c r="EF82">
        <v>0.7</v>
      </c>
      <c r="EG82">
        <v>100</v>
      </c>
      <c r="EH82">
        <f>96485*BL82*V82/EF82/EG82/60</f>
        <v>25.163189603753906</v>
      </c>
      <c r="EI82">
        <f>96485*BN82*BA82/EF82/EG82/60</f>
        <v>47.946986700050573</v>
      </c>
      <c r="EJ82">
        <f>EH82*('CAPEX+OPEX'!$O$25+'CAPEX+OPEX'!$O$26)</f>
        <v>802001.17905084451</v>
      </c>
      <c r="EK82">
        <f>EI82*('CAPEX+OPEX'!$O$25+'CAPEX+OPEX'!$O$26)</f>
        <v>1528166.3601040118</v>
      </c>
      <c r="EL82">
        <f>EJ82*1.12/0.6*'CAPEX+OPEX'!$G$116/'CAPEX+OPEX'!$G$115</f>
        <v>1765730.2106115664</v>
      </c>
      <c r="EM82">
        <f>EK82*1.12/0.6*'CAPEX+OPEX'!$G$116/'CAPEX+OPEX'!$G$115</f>
        <v>3364495.6882350184</v>
      </c>
      <c r="EN82">
        <f>EL82+EM82+DY82+EE82+1.15*(SUM(DF82:DM82)+SUM(CF82:CI82))</f>
        <v>15634631.853230953</v>
      </c>
      <c r="EO82">
        <f>EN82/15</f>
        <v>1042308.7902153969</v>
      </c>
      <c r="EP82">
        <f>('eLLE Bals'!CB82+'eLLE Bals'!CC82)*'Oxidant Feed Composition'!$N$29*60*7200</f>
        <v>7938271.830419125</v>
      </c>
      <c r="EQ82" s="53">
        <f>('eLLE Bals'!BR82+'eLLE Bals'!BY82)*'Reagent cost'!$C$38*60*7200*0.5</f>
        <v>253224.73695428841</v>
      </c>
      <c r="ER82">
        <f>'TEA Revised Non EYZ'!DI82</f>
        <v>504921.59999999998</v>
      </c>
      <c r="ES82">
        <f>'TEA Revised Non EYZ'!DJ82</f>
        <v>70.652846902880938</v>
      </c>
      <c r="ET82">
        <f>'TEA Revised Non EYZ'!DK82</f>
        <v>600.83078819166963</v>
      </c>
      <c r="EU82">
        <f>1.2*SUM(EP82:ET82)</f>
        <v>10436507.581210209</v>
      </c>
      <c r="EV82">
        <f>'TEA Revised Non EYZ'!DM82</f>
        <v>0.70639694042110623</v>
      </c>
      <c r="EW82">
        <f>(BS82*CO82+BT82*CP82)/1000*('Oxidant Feed Composition'!$B$11*'Oxidant Feed Composition'!$O$20+'Oxidant Feed Composition'!$D$11*'Oxidant Feed Composition'!$O$21+'Oxidant Feed Composition'!$F$11*'Oxidant Feed Composition'!$O$27-'Oxidant Feed Composition'!$J$15*18.015)</f>
        <v>1.8583293204967897</v>
      </c>
      <c r="EX82">
        <f>(CZ82*BX82+DC82*BZ82)*368.34/1000</f>
        <v>0.10223218274859043</v>
      </c>
      <c r="EY82">
        <f>'TEA Revised Non EYZ'!DP82</f>
        <v>4.999938342565946E-2</v>
      </c>
      <c r="EZ82">
        <f>SUM(EV82:EX82)-EY82</f>
        <v>2.616959060240827</v>
      </c>
      <c r="FA82">
        <f>EZ82*0.33*60*7200</f>
        <v>373073.68362793227</v>
      </c>
      <c r="FB82">
        <f>'TEA Revised Non EYZ'!DS82</f>
        <v>1.2</v>
      </c>
      <c r="FC82">
        <v>0.5</v>
      </c>
      <c r="FD82">
        <f>'TEA Revised Non EYZ'!DT82</f>
        <v>1398.9407935581069</v>
      </c>
      <c r="FE82">
        <f>'TEA Revised Non EYZ'!DU82</f>
        <v>712.74253559444992</v>
      </c>
      <c r="FF82">
        <f>'TEA Revised Non EYZ'!DV82</f>
        <v>0.7</v>
      </c>
      <c r="FG82">
        <f>'TEA Revised Non EYZ'!DW82</f>
        <v>49536.497143418172</v>
      </c>
      <c r="FH82">
        <f>'TEA Revised Non EYZ'!DX82</f>
        <v>49831.318766753509</v>
      </c>
      <c r="FI82">
        <f>'TEA Revised Non EYZ'!DY82</f>
        <v>21097.937381085154</v>
      </c>
      <c r="FJ82">
        <f>'TEA Revised Non EYZ'!DZ82</f>
        <v>11176.166036369152</v>
      </c>
      <c r="FK82">
        <f>'TEA Revised Non EYZ'!EA82</f>
        <v>11252.233269912085</v>
      </c>
      <c r="FL82">
        <f>'TEA Revised Non EYZ'!EB82</f>
        <v>846.07939194394294</v>
      </c>
      <c r="FM82">
        <f>'TEA Revised Non EYZ'!EC82</f>
        <v>28285.00948539532</v>
      </c>
      <c r="FN82">
        <f>'TEA Revised Non EYZ'!ED82</f>
        <v>19396.927085634903</v>
      </c>
      <c r="FO82">
        <f>'TEA Revised Non EYZ'!EE82</f>
        <v>8212.4086451276798</v>
      </c>
      <c r="FP82">
        <f>'TEA Revised Non EYZ'!EF82</f>
        <v>4352.763909014071</v>
      </c>
      <c r="FQ82">
        <f>'TEA Revised Non EYZ'!EG82</f>
        <v>4379.9512774014302</v>
      </c>
      <c r="FR82">
        <f>'TEA Revised Non EYZ'!EH82</f>
        <v>431.06668552752325</v>
      </c>
      <c r="FS82">
        <f>'TEA Revised Non EYZ'!EI82</f>
        <v>208798.35907758295</v>
      </c>
      <c r="FT82">
        <f>EG82*EH82</f>
        <v>2516.3189603753908</v>
      </c>
      <c r="FU82">
        <f>EG82*EI82</f>
        <v>4794.6986700050575</v>
      </c>
      <c r="FV82">
        <f>FC82*(FT82+FU82)/(3.6*10^6)*3600*7200*0.07</f>
        <v>1842.3764428558732</v>
      </c>
      <c r="FW82">
        <f>('CAPEX+OPEX'!$C$39/7/100+0.03)*EL82</f>
        <v>90808.982260023418</v>
      </c>
      <c r="FX82">
        <f>('CAPEX+OPEX'!$C$39/7/100+0.03)*EM82</f>
        <v>173031.20682351524</v>
      </c>
      <c r="FY82">
        <f>SUM(FV82:FX82)</f>
        <v>265682.56552639452</v>
      </c>
      <c r="FZ82">
        <f>FY82+FA82+FS82+EU82</f>
        <v>11284062.189442119</v>
      </c>
      <c r="GA82">
        <f>FZ82+EO82</f>
        <v>12326370.979657516</v>
      </c>
      <c r="GB82">
        <f>GA82/(BK82*60*7200)</f>
        <v>0.28533266156614623</v>
      </c>
      <c r="GC82">
        <f>'TEA Revised Non EYZ'!EM82/'TEA Revised Non EYZ'!EK82*GA82</f>
        <v>959.3100413600132</v>
      </c>
      <c r="GD82">
        <f>'TEA Revised Non EYZ'!EN82/'TEA Revised Non EYZ'!EK82*GA82</f>
        <v>1736.1360245766762</v>
      </c>
    </row>
    <row r="83" spans="1:186">
      <c r="A83">
        <f>'TEA Revised Non EYZ'!A83</f>
        <v>11</v>
      </c>
      <c r="B83">
        <f>'TEA Revised Non EYZ'!B83</f>
        <v>1.54143585092054E-3</v>
      </c>
      <c r="C83">
        <f>'TEA Revised Non EYZ'!C83</f>
        <v>1.54143585092054E-3</v>
      </c>
      <c r="D83">
        <f>'TEA Revised Non EYZ'!D83</f>
        <v>3.4254130020456501E-4</v>
      </c>
      <c r="E83">
        <f>'TEA Revised Non EYZ'!E83</f>
        <v>0</v>
      </c>
      <c r="F83">
        <f>'TEA Revised Non EYZ'!F83</f>
        <v>0</v>
      </c>
      <c r="G83">
        <f>'TEA Revised Non EYZ'!G83</f>
        <v>0</v>
      </c>
      <c r="H83">
        <f>'TEA Revised Non EYZ'!H83</f>
        <v>1.7771367359861701E-5</v>
      </c>
      <c r="I83">
        <f>'TEA Revised Non EYZ'!I83</f>
        <v>1.8081057367328801E-10</v>
      </c>
      <c r="J83">
        <f>'TEA Revised Non EYZ'!J83</f>
        <v>3.3765941525589702E-4</v>
      </c>
      <c r="K83">
        <f>'TEA Revised Non EYZ'!K83</f>
        <v>0.139102253285185</v>
      </c>
      <c r="L83">
        <f>'TEA Revised Non EYZ'!L83</f>
        <v>0.14072466572308701</v>
      </c>
      <c r="M83">
        <f>'TEA Revised Non EYZ'!M83</f>
        <v>4.4568945720355099E-4</v>
      </c>
      <c r="N83">
        <f>'TEA Revised Non EYZ'!N83</f>
        <v>-8.03393809811758E-16</v>
      </c>
      <c r="O83">
        <f>'TEA Revised Non EYZ'!O83</f>
        <v>-8.4019770307808202E-13</v>
      </c>
      <c r="P83">
        <f>'TEA Revised Non EYZ'!P83</f>
        <v>-2.26157796916898E-19</v>
      </c>
      <c r="Q83">
        <f>'TEA Revised Non EYZ'!Q83</f>
        <v>0.10953557168033</v>
      </c>
      <c r="R83">
        <f>'TEA Revised Non EYZ'!R83</f>
        <v>98.5748039883795</v>
      </c>
      <c r="S83">
        <f>'TEA Revised Non EYZ'!S83</f>
        <v>500</v>
      </c>
      <c r="T83">
        <f>'TEA Revised Non EYZ'!T83</f>
        <v>95</v>
      </c>
      <c r="U83">
        <f>'TEA Revised Non EYZ'!U83</f>
        <v>1</v>
      </c>
      <c r="V83">
        <f>'TEA Revised Non EYZ'!V83</f>
        <v>0.1</v>
      </c>
      <c r="W83">
        <f>'TEA Revised Non EYZ'!W83</f>
        <v>91.294543376138293</v>
      </c>
      <c r="X83" t="str">
        <f>'TEA Revised Non EYZ'!X83</f>
        <v>ddFc</v>
      </c>
      <c r="Y83">
        <f>'TEA Revised Non EYZ'!Y83</f>
        <v>1</v>
      </c>
      <c r="Z83">
        <f>'TEA Revised Non EYZ'!Z83</f>
        <v>0.28318429382522198</v>
      </c>
      <c r="AA83">
        <f>'TEA Revised Non EYZ'!AA83</f>
        <v>0.56945642916197003</v>
      </c>
      <c r="AB83">
        <f>'TEA Revised Non EYZ'!AB83</f>
        <v>3.7698628972227502E-3</v>
      </c>
      <c r="AC83">
        <f>'TEA Revised Non EYZ'!AC83</f>
        <v>1822.2107908876901</v>
      </c>
      <c r="AD83">
        <f>'TEA Revised Non EYZ'!AD83</f>
        <v>2662.6059073104898</v>
      </c>
      <c r="AE83">
        <f>'TEA Revised Non EYZ'!AE83</f>
        <v>2401.5030938442701</v>
      </c>
      <c r="AF83">
        <f>'TEA Revised Non EYZ'!AF83</f>
        <v>5</v>
      </c>
      <c r="AG83">
        <f>'TEA Revised Non EYZ'!AG83</f>
        <v>1.6497569194096201E-3</v>
      </c>
      <c r="AH83">
        <f>'TEA Revised Non EYZ'!AH83</f>
        <v>1.6689987798565299E-3</v>
      </c>
      <c r="AI83">
        <f>'TEA Revised Non EYZ'!AI83</f>
        <v>5.28589040482341E-6</v>
      </c>
      <c r="AJ83">
        <f>'TEA Revised Non EYZ'!AJ83</f>
        <v>0</v>
      </c>
      <c r="AK83">
        <f>'TEA Revised Non EYZ'!AK83</f>
        <v>0</v>
      </c>
      <c r="AL83">
        <f>'TEA Revised Non EYZ'!AL83</f>
        <v>0</v>
      </c>
      <c r="AM83">
        <f>'TEA Revised Non EYZ'!AM83</f>
        <v>1.6104460290619601E-3</v>
      </c>
      <c r="AN83">
        <f>'TEA Revised Non EYZ'!AN83</f>
        <v>7.9511320807382698E-5</v>
      </c>
      <c r="AO83">
        <f>'TEA Revised Non EYZ'!AO83</f>
        <v>5.2489965417355999E-6</v>
      </c>
      <c r="AP83">
        <f>'TEA Revised Non EYZ'!AP83</f>
        <v>1.8118142403982199E-3</v>
      </c>
      <c r="AQ83">
        <f>'TEA Revised Non EYZ'!AQ83</f>
        <v>7.3258478446211001E-2</v>
      </c>
      <c r="AR83">
        <f>'TEA Revised Non EYZ'!AR83</f>
        <v>1.7004149724062101E-6</v>
      </c>
      <c r="AS83">
        <f>'TEA Revised Non EYZ'!AS83</f>
        <v>-4.4892746204477899E-17</v>
      </c>
      <c r="AT83">
        <f>'TEA Revised Non EYZ'!AT83</f>
        <v>1.89301699315969E-16</v>
      </c>
      <c r="AU83">
        <f>'TEA Revised Non EYZ'!AU83</f>
        <v>-3.52775987641615E-20</v>
      </c>
      <c r="AV83">
        <f>'TEA Revised Non EYZ'!AV83</f>
        <v>0.200386563373979</v>
      </c>
      <c r="AW83">
        <f>'TEA Revised Non EYZ'!AW83</f>
        <v>99.302031251836993</v>
      </c>
      <c r="AX83">
        <f>'TEA Revised Non EYZ'!AX83</f>
        <v>500</v>
      </c>
      <c r="AY83">
        <f>'TEA Revised Non EYZ'!AY83</f>
        <v>95</v>
      </c>
      <c r="AZ83">
        <f>'TEA Revised Non EYZ'!AZ83</f>
        <v>0.92356908198738696</v>
      </c>
      <c r="BA83">
        <f>'TEA Revised Non EYZ'!BA83</f>
        <v>0.1</v>
      </c>
      <c r="BB83">
        <f>'TEA Revised Non EYZ'!BB83</f>
        <v>46.089371784062003</v>
      </c>
      <c r="BC83" t="str">
        <f>'TEA Revised Non EYZ'!BC83</f>
        <v>coeFc</v>
      </c>
      <c r="BD83">
        <f>'TEA Revised Non EYZ'!BD83</f>
        <v>1</v>
      </c>
      <c r="BE83">
        <f>'TEA Revised Non EYZ'!BE83</f>
        <v>1.8775014999999999E-2</v>
      </c>
      <c r="BF83">
        <f>'TEA Revised Non EYZ'!BF83</f>
        <v>0.10492961100000001</v>
      </c>
      <c r="BG83">
        <f>'TEA Revised Non EYZ'!BG83</f>
        <v>1.814625E-3</v>
      </c>
      <c r="BH83">
        <f>'TEA Revised Non EYZ'!BH83</f>
        <v>285.1951444</v>
      </c>
      <c r="BI83">
        <f>'TEA Revised Non EYZ'!BI83</f>
        <v>2169.8944889999998</v>
      </c>
      <c r="BJ83">
        <f>'TEA Revised Non EYZ'!BJ83</f>
        <v>866.49409060000005</v>
      </c>
      <c r="BK83">
        <f>'TEA Revised Non EYZ'!BK83</f>
        <v>100</v>
      </c>
      <c r="BL83">
        <f>'TEA Revised Non EYZ'!BL83</f>
        <v>10.953557168032999</v>
      </c>
      <c r="BM83">
        <f>'TEA Revised Non EYZ'!BM83</f>
        <v>92.356908198738694</v>
      </c>
      <c r="BN83">
        <f>'TEA Revised Non EYZ'!BN83</f>
        <v>20.038656337397899</v>
      </c>
      <c r="BO83">
        <f>'TEA Revised Non EYZ'!BO83</f>
        <v>284.79248636885796</v>
      </c>
      <c r="BP83">
        <f>'TEA Revised Non EYZ'!BP83</f>
        <v>280.5411887235706</v>
      </c>
      <c r="BQ83">
        <f>'TEA Revised Non EYZ'!BQ83</f>
        <v>28.479248636885799</v>
      </c>
      <c r="BR83">
        <f>'TEA Revised Non EYZ'!BR83</f>
        <v>28.054118872357062</v>
      </c>
      <c r="BS83">
        <f>'eLLE Bals'!CF83</f>
        <v>6.5721343008197994</v>
      </c>
      <c r="BT83">
        <f>'eLLE Bals'!CG83</f>
        <v>12.023193802438739</v>
      </c>
      <c r="BU83">
        <f>BM83</f>
        <v>92.356908198738694</v>
      </c>
      <c r="BV83">
        <f>BU83*(AM83*2+AN83*2+AO83*3)</f>
        <v>0.31361281491855497</v>
      </c>
      <c r="BW83">
        <f>BN83*BA83*(AP83*2+AQ83*2+AR83*3)</f>
        <v>0.30087178146834637</v>
      </c>
      <c r="BX83">
        <f>BV83/(2*V83*BL83+BV83)</f>
        <v>0.12522851827324183</v>
      </c>
      <c r="BY83">
        <f>BU83*BX83</f>
        <v>11.565718766025867</v>
      </c>
      <c r="BZ83">
        <f>BW83/(2*BN83*BA83+BW83)</f>
        <v>6.9830471280433501E-2</v>
      </c>
      <c r="CA83">
        <f>2*BN83*BA83/0.04</f>
        <v>100.19328168698951</v>
      </c>
      <c r="CB83">
        <f>(BS83+BL83)*2</f>
        <v>35.051382937705597</v>
      </c>
      <c r="CC83">
        <f>(BU83+BL83)*2</f>
        <v>206.62093073354339</v>
      </c>
      <c r="CD83">
        <f>(BT83+BN83)*2</f>
        <v>64.123700279673272</v>
      </c>
      <c r="CE83">
        <f>(CA83+BN83)*2</f>
        <v>240.46387604877481</v>
      </c>
      <c r="CF83">
        <f>'TEA Revised Non EYZ'!CB83</f>
        <v>3759.2608200689256</v>
      </c>
      <c r="CG83">
        <f>'TEA Revised Non EYZ'!CC83</f>
        <v>3703.1436911511319</v>
      </c>
      <c r="CH83">
        <f>'TEA Revised Non EYZ'!CD83</f>
        <v>4541.8834647976191</v>
      </c>
      <c r="CI83">
        <f>'TEA Revised Non EYZ'!CE83</f>
        <v>28562.676418969168</v>
      </c>
      <c r="CJ83">
        <f>BL83*V83</f>
        <v>1.0953557168032999</v>
      </c>
      <c r="CK83">
        <f>CJ83/2*1.2</f>
        <v>0.65721343008197997</v>
      </c>
      <c r="CL83">
        <f>'eLLE Bals'!CB83*'Oxidant Feed Composition'!$N$20</f>
        <v>3.6511857226776682E-2</v>
      </c>
      <c r="CM83">
        <f>'eLLE Bals'!CB83*'Oxidant Feed Composition'!$N$21</f>
        <v>1.8255928613388335</v>
      </c>
      <c r="CN83">
        <f>'eLLE Bals'!CB83*'Oxidant Feed Composition'!$N$22</f>
        <v>0.54767785840164995</v>
      </c>
      <c r="CO83">
        <f>CN83/CK83</f>
        <v>0.83333333333333326</v>
      </c>
      <c r="CP83">
        <f>CO83</f>
        <v>0.83333333333333326</v>
      </c>
      <c r="CQ83">
        <f>CL83/CO83</f>
        <v>4.381422867213202E-2</v>
      </c>
      <c r="CR83">
        <f>CM83/CO83</f>
        <v>2.1907114336066003</v>
      </c>
      <c r="CS83">
        <f>BN83*BA83</f>
        <v>2.0038656337397902</v>
      </c>
      <c r="CT83">
        <f>CS83/2*1.2</f>
        <v>1.2023193802438741</v>
      </c>
      <c r="CU83">
        <f>'eLLE Bals'!CC83*'Oxidant Feed Composition'!$N$20</f>
        <v>6.6795521124659696E-2</v>
      </c>
      <c r="CV83">
        <f>'eLLE Bals'!CC83*'Oxidant Feed Composition'!$N$21</f>
        <v>3.3397760562329837</v>
      </c>
      <c r="CW83">
        <f>'eLLE Bals'!CC83*'Oxidant Feed Composition'!$N$22</f>
        <v>1.0019328168698951</v>
      </c>
      <c r="CX83">
        <f>CU83/CP83</f>
        <v>8.0154625349591641E-2</v>
      </c>
      <c r="CY83">
        <f>CV83/CP83</f>
        <v>4.0077312674795804</v>
      </c>
      <c r="CZ83">
        <f>CJ83</f>
        <v>1.0953557168032999</v>
      </c>
      <c r="DA83">
        <f>'eLLE Bals'!BQ83</f>
        <v>2.1907114336065998</v>
      </c>
      <c r="DB83">
        <f>'eLLE Bals'!BU83</f>
        <v>5.4607880540353682</v>
      </c>
      <c r="DC83">
        <f>CS83</f>
        <v>2.0038656337397902</v>
      </c>
      <c r="DD83">
        <f>'eLLE Bals'!BX83</f>
        <v>4.0077312674795804</v>
      </c>
      <c r="DE83">
        <f>'eLLE Bals'!CA83</f>
        <v>22.684552458741681</v>
      </c>
      <c r="DF83">
        <f>2*2*(CJ83*'Reagent cost'!$C$36*122.44/1000*0.5+CK83*'Oxidant Feed Composition'!$N$26+CQ83*'Reagent cost'!$C$34+CR83*'Reagent cost'!$C$35)</f>
        <v>73.579738279908327</v>
      </c>
      <c r="DG83">
        <f>2*2*(CS83*'Reagent cost'!$C$36*122.44/1000*0.5+CT83*'Oxidant Feed Composition'!$N$26+CX83*'Reagent cost'!$C$34+CY83*'Reagent cost'!$C$35)</f>
        <v>134.60824334671719</v>
      </c>
      <c r="DH83">
        <f>(AF83+3)*2*(CZ83*'Reagent cost'!$C$38*0.5+DA83*'Reagent cost'!$C$39+DB83*'Reagent cost'!$C$36*122.44/1000)</f>
        <v>796.59604517403807</v>
      </c>
      <c r="DI83">
        <f>3*2*(DC83*'Reagent cost'!$C$38*0.5+DD83*'Reagent cost'!$C$39+DE83*'Reagent cost'!$C$36*122.44/1000)</f>
        <v>1205.0837865779577</v>
      </c>
      <c r="DJ83">
        <f>7963.6*(CB83/1000)^0.6*1.7*('CAPEX+OPEX'!$G$116/'CAPEX+OPEX'!$G$115)</f>
        <v>2138.2772847076108</v>
      </c>
      <c r="DK83">
        <f>7963.6*(CC83/1000)^0.6*1.7*('CAPEX+OPEX'!$G$116/'CAPEX+OPEX'!$G$115)</f>
        <v>6199.3408604999822</v>
      </c>
      <c r="DL83">
        <f>7963.6*(CD83/1000)^0.6*1.7*('CAPEX+OPEX'!$G$116/'CAPEX+OPEX'!$G$115)</f>
        <v>3072.218310067838</v>
      </c>
      <c r="DM83">
        <f>7963.6*(CE83/1000)^0.6*1.7*('CAPEX+OPEX'!$G$116/'CAPEX+OPEX'!$G$115)</f>
        <v>6790.0165652739934</v>
      </c>
      <c r="DN83">
        <f>'TEA Revised Non EYZ'!CM83</f>
        <v>39625.826528698344</v>
      </c>
      <c r="DO83">
        <f>'TEA Revised Non EYZ'!CN83</f>
        <v>4586243.4239371875</v>
      </c>
      <c r="DP83">
        <f>'TEA Revised Non EYZ'!CO83</f>
        <v>11794834.586807497</v>
      </c>
      <c r="DQ83">
        <f>'TEA Revised Non EYZ'!CP83</f>
        <v>2275209.1661185985</v>
      </c>
      <c r="DR83">
        <f>'TEA Revised Non EYZ'!CQ83</f>
        <v>14083914.336508472</v>
      </c>
      <c r="DS83">
        <f>'TEA Revised Non EYZ'!CR83</f>
        <v>1662824.8986326549</v>
      </c>
      <c r="DT83">
        <f>'TEA Revised Non EYZ'!CS83</f>
        <v>892840.31653984461</v>
      </c>
      <c r="DU83">
        <f>'TEA Revised Non EYZ'!CT83</f>
        <v>2296193.8284949926</v>
      </c>
      <c r="DV83">
        <f>'TEA Revised Non EYZ'!CU83</f>
        <v>442932.9811560188</v>
      </c>
      <c r="DW83">
        <f>'TEA Revised Non EYZ'!CV83</f>
        <v>2741827.1059701391</v>
      </c>
      <c r="DX83">
        <f>'TEA Revised Non EYZ'!CW83</f>
        <v>323715.28756992728</v>
      </c>
      <c r="DY83">
        <f>'TEA Revised Non EYZ'!CX83</f>
        <v>6697509.5197309218</v>
      </c>
      <c r="DZ83">
        <f>'TEA Revised Non EYZ'!CY83</f>
        <v>556280.39340094617</v>
      </c>
      <c r="EA83">
        <f>'TEA Revised Non EYZ'!CZ83</f>
        <v>1430633.8799643754</v>
      </c>
      <c r="EB83">
        <f>'TEA Revised Non EYZ'!DA83</f>
        <v>275967.52570786065</v>
      </c>
      <c r="EC83">
        <f>'TEA Revised Non EYZ'!DB83</f>
        <v>1708283.8139045672</v>
      </c>
      <c r="ED83">
        <f>'TEA Revised Non EYZ'!DC83</f>
        <v>201689.4445550761</v>
      </c>
      <c r="EE83">
        <f>'TEA Revised Non EYZ'!DD83</f>
        <v>4172855.0575328255</v>
      </c>
      <c r="EF83">
        <v>0.7</v>
      </c>
      <c r="EG83">
        <v>100</v>
      </c>
      <c r="EH83">
        <f>96485*BL83*V83/EF83/EG83/60</f>
        <v>25.163189603753906</v>
      </c>
      <c r="EI83">
        <f>96485*BN83*BA83/EF83/EG83/60</f>
        <v>46.034041826519918</v>
      </c>
      <c r="EJ83">
        <f>EH83*('CAPEX+OPEX'!$O$25+'CAPEX+OPEX'!$O$26)</f>
        <v>802001.17905084451</v>
      </c>
      <c r="EK83">
        <f>EI83*('CAPEX+OPEX'!$O$25+'CAPEX+OPEX'!$O$26)</f>
        <v>1467196.9810948428</v>
      </c>
      <c r="EL83">
        <f>EJ83*1.12/0.6*'CAPEX+OPEX'!$G$116/'CAPEX+OPEX'!$G$115</f>
        <v>1765730.2106115664</v>
      </c>
      <c r="EM83">
        <f>EK83*1.12/0.6*'CAPEX+OPEX'!$G$116/'CAPEX+OPEX'!$G$115</f>
        <v>3230262.1269251397</v>
      </c>
      <c r="EN83">
        <f>EL83+EM83+DY83+EE83+1.15*(SUM(DF83:DM83)+SUM(CF83:CI83))</f>
        <v>15936480.102813706</v>
      </c>
      <c r="EO83">
        <f>EN83/15</f>
        <v>1062432.0068542471</v>
      </c>
      <c r="EP83">
        <f>('eLLE Bals'!CB83+'eLLE Bals'!CC83)*'Oxidant Feed Composition'!$N$29*60*7200</f>
        <v>7730565.090120879</v>
      </c>
      <c r="EQ83" s="53">
        <f>('eLLE Bals'!BR83+'eLLE Bals'!BY83)*'Reagent cost'!$C$38*60*7200*0.5</f>
        <v>252816.21862288009</v>
      </c>
      <c r="ER83">
        <f>'TEA Revised Non EYZ'!DI83</f>
        <v>504921.59999999998</v>
      </c>
      <c r="ES83">
        <f>'TEA Revised Non EYZ'!DJ83</f>
        <v>74.624045112200577</v>
      </c>
      <c r="ET83">
        <f>'TEA Revised Non EYZ'!DK83</f>
        <v>662.09119767533571</v>
      </c>
      <c r="EU83">
        <f>1.2*SUM(EP83:ET83)</f>
        <v>10186847.548783857</v>
      </c>
      <c r="EV83">
        <f>'TEA Revised Non EYZ'!DM83</f>
        <v>0.70639694042110623</v>
      </c>
      <c r="EW83">
        <f>(BS83*CO83+BT83*CP83)/1000*('Oxidant Feed Composition'!$B$11*'Oxidant Feed Composition'!$O$20+'Oxidant Feed Composition'!$D$11*'Oxidant Feed Composition'!$O$21+'Oxidant Feed Composition'!$F$11*'Oxidant Feed Composition'!$O$27-'Oxidant Feed Composition'!$J$15*18.015)</f>
        <v>1.8097056989067668</v>
      </c>
      <c r="EX83">
        <f>(CZ83*BX83+DC83*BZ83)*368.34/1000</f>
        <v>0.1020672552568493</v>
      </c>
      <c r="EY83">
        <f>'TEA Revised Non EYZ'!DP83</f>
        <v>4.999938342565946E-2</v>
      </c>
      <c r="EZ83">
        <f>SUM(EV83:EX83)-EY83</f>
        <v>2.5681705111590629</v>
      </c>
      <c r="FA83">
        <f>EZ83*0.33*60*7200</f>
        <v>366118.38807083602</v>
      </c>
      <c r="FB83">
        <f>'TEA Revised Non EYZ'!DS83</f>
        <v>1.2</v>
      </c>
      <c r="FC83">
        <v>0.5</v>
      </c>
      <c r="FD83">
        <f>'TEA Revised Non EYZ'!DT83</f>
        <v>1403.8210207975924</v>
      </c>
      <c r="FE83">
        <f>'TEA Revised Non EYZ'!DU83</f>
        <v>707.86230828995599</v>
      </c>
      <c r="FF83">
        <f>'TEA Revised Non EYZ'!DV83</f>
        <v>0.7</v>
      </c>
      <c r="FG83">
        <f>'TEA Revised Non EYZ'!DW83</f>
        <v>49536.497143418172</v>
      </c>
      <c r="FH83">
        <f>'TEA Revised Non EYZ'!DX83</f>
        <v>49831.318766753509</v>
      </c>
      <c r="FI83">
        <f>'TEA Revised Non EYZ'!DY83</f>
        <v>21097.937381085154</v>
      </c>
      <c r="FJ83">
        <f>'TEA Revised Non EYZ'!DZ83</f>
        <v>11176.166036369152</v>
      </c>
      <c r="FK83">
        <f>'TEA Revised Non EYZ'!EA83</f>
        <v>11252.233269912085</v>
      </c>
      <c r="FL83">
        <f>'TEA Revised Non EYZ'!EB83</f>
        <v>849.03095337838397</v>
      </c>
      <c r="FM83">
        <f>'TEA Revised Non EYZ'!EC83</f>
        <v>30856.373984067617</v>
      </c>
      <c r="FN83">
        <f>'TEA Revised Non EYZ'!ED83</f>
        <v>23276.312502761884</v>
      </c>
      <c r="FO83">
        <f>'TEA Revised Non EYZ'!EE83</f>
        <v>9854.8903741532158</v>
      </c>
      <c r="FP83">
        <f>'TEA Revised Non EYZ'!EF83</f>
        <v>5223.316690816886</v>
      </c>
      <c r="FQ83">
        <f>'TEA Revised Non EYZ'!EG83</f>
        <v>5255.9415328817167</v>
      </c>
      <c r="FR83">
        <f>'TEA Revised Non EYZ'!EH83</f>
        <v>428.11512405376538</v>
      </c>
      <c r="FS83">
        <f>'TEA Revised Non EYZ'!EI83</f>
        <v>218638.13375965157</v>
      </c>
      <c r="FT83">
        <f>EG83*EH83</f>
        <v>2516.3189603753908</v>
      </c>
      <c r="FU83">
        <f>EG83*EI83</f>
        <v>4603.4041826519915</v>
      </c>
      <c r="FV83">
        <f>FC83*(FT83+FU83)/(3.6*10^6)*3600*7200*0.07</f>
        <v>1794.1702320429004</v>
      </c>
      <c r="FW83">
        <f>('CAPEX+OPEX'!$C$39/7/100+0.03)*EL83</f>
        <v>90808.982260023418</v>
      </c>
      <c r="FX83">
        <f>('CAPEX+OPEX'!$C$39/7/100+0.03)*EM83</f>
        <v>166127.76652757861</v>
      </c>
      <c r="FY83">
        <f>SUM(FV83:FX83)</f>
        <v>258730.91901964493</v>
      </c>
      <c r="FZ83">
        <f>FY83+FA83+FS83+EU83</f>
        <v>11030334.98963399</v>
      </c>
      <c r="GA83">
        <f>FZ83+EO83</f>
        <v>12092766.996488238</v>
      </c>
      <c r="GB83">
        <f>GA83/(BK83*60*7200)</f>
        <v>0.27992516195574624</v>
      </c>
      <c r="GC83">
        <f>'TEA Revised Non EYZ'!EM83/'TEA Revised Non EYZ'!EK83*GA83</f>
        <v>937.85587210106769</v>
      </c>
      <c r="GD83">
        <f>'TEA Revised Non EYZ'!EN83/'TEA Revised Non EYZ'!EK83*GA83</f>
        <v>1714.0618299995069</v>
      </c>
    </row>
    <row r="84" spans="1:186">
      <c r="A84">
        <f>'TEA Revised Non EYZ'!A84</f>
        <v>11</v>
      </c>
      <c r="B84">
        <f>'TEA Revised Non EYZ'!B84</f>
        <v>1.54143585092054E-3</v>
      </c>
      <c r="C84">
        <f>'TEA Revised Non EYZ'!C84</f>
        <v>1.54143585092054E-3</v>
      </c>
      <c r="D84">
        <f>'TEA Revised Non EYZ'!D84</f>
        <v>3.4254130020456501E-4</v>
      </c>
      <c r="E84">
        <f>'TEA Revised Non EYZ'!E84</f>
        <v>0</v>
      </c>
      <c r="F84">
        <f>'TEA Revised Non EYZ'!F84</f>
        <v>0</v>
      </c>
      <c r="G84">
        <f>'TEA Revised Non EYZ'!G84</f>
        <v>0</v>
      </c>
      <c r="H84">
        <f>'TEA Revised Non EYZ'!H84</f>
        <v>1.7771367359861701E-5</v>
      </c>
      <c r="I84">
        <f>'TEA Revised Non EYZ'!I84</f>
        <v>1.8081057367328801E-10</v>
      </c>
      <c r="J84">
        <f>'TEA Revised Non EYZ'!J84</f>
        <v>3.3765941525589702E-4</v>
      </c>
      <c r="K84">
        <f>'TEA Revised Non EYZ'!K84</f>
        <v>0.139102253285185</v>
      </c>
      <c r="L84">
        <f>'TEA Revised Non EYZ'!L84</f>
        <v>0.14072466572308701</v>
      </c>
      <c r="M84">
        <f>'TEA Revised Non EYZ'!M84</f>
        <v>4.4568945720355099E-4</v>
      </c>
      <c r="N84">
        <f>'TEA Revised Non EYZ'!N84</f>
        <v>-8.03393809811758E-16</v>
      </c>
      <c r="O84">
        <f>'TEA Revised Non EYZ'!O84</f>
        <v>-8.4019770307808202E-13</v>
      </c>
      <c r="P84">
        <f>'TEA Revised Non EYZ'!P84</f>
        <v>-2.26157796916898E-19</v>
      </c>
      <c r="Q84">
        <f>'TEA Revised Non EYZ'!Q84</f>
        <v>0.10953557168033</v>
      </c>
      <c r="R84">
        <f>'TEA Revised Non EYZ'!R84</f>
        <v>98.5748039883795</v>
      </c>
      <c r="S84">
        <f>'TEA Revised Non EYZ'!S84</f>
        <v>500</v>
      </c>
      <c r="T84">
        <f>'TEA Revised Non EYZ'!T84</f>
        <v>95</v>
      </c>
      <c r="U84">
        <f>'TEA Revised Non EYZ'!U84</f>
        <v>1</v>
      </c>
      <c r="V84">
        <f>'TEA Revised Non EYZ'!V84</f>
        <v>0.1</v>
      </c>
      <c r="W84">
        <f>'TEA Revised Non EYZ'!W84</f>
        <v>91.294543376138293</v>
      </c>
      <c r="X84" t="str">
        <f>'TEA Revised Non EYZ'!X84</f>
        <v>ddFc</v>
      </c>
      <c r="Y84">
        <f>'TEA Revised Non EYZ'!Y84</f>
        <v>1</v>
      </c>
      <c r="Z84">
        <f>'TEA Revised Non EYZ'!Z84</f>
        <v>0.28318429382522198</v>
      </c>
      <c r="AA84">
        <f>'TEA Revised Non EYZ'!AA84</f>
        <v>0.56945642916197003</v>
      </c>
      <c r="AB84">
        <f>'TEA Revised Non EYZ'!AB84</f>
        <v>3.7698628972227502E-3</v>
      </c>
      <c r="AC84">
        <f>'TEA Revised Non EYZ'!AC84</f>
        <v>1822.2107908876901</v>
      </c>
      <c r="AD84">
        <f>'TEA Revised Non EYZ'!AD84</f>
        <v>2662.6059073104898</v>
      </c>
      <c r="AE84">
        <f>'TEA Revised Non EYZ'!AE84</f>
        <v>2401.5030938442701</v>
      </c>
      <c r="AF84">
        <f>'TEA Revised Non EYZ'!AF84</f>
        <v>6</v>
      </c>
      <c r="AG84">
        <f>'TEA Revised Non EYZ'!AG84</f>
        <v>1.6497569194096201E-3</v>
      </c>
      <c r="AH84">
        <f>'TEA Revised Non EYZ'!AH84</f>
        <v>1.6689987798565299E-3</v>
      </c>
      <c r="AI84">
        <f>'TEA Revised Non EYZ'!AI84</f>
        <v>5.28589040482341E-6</v>
      </c>
      <c r="AJ84">
        <f>'TEA Revised Non EYZ'!AJ84</f>
        <v>0</v>
      </c>
      <c r="AK84">
        <f>'TEA Revised Non EYZ'!AK84</f>
        <v>0</v>
      </c>
      <c r="AL84">
        <f>'TEA Revised Non EYZ'!AL84</f>
        <v>0</v>
      </c>
      <c r="AM84">
        <f>'TEA Revised Non EYZ'!AM84</f>
        <v>1.61212756517482E-3</v>
      </c>
      <c r="AN84">
        <f>'TEA Revised Non EYZ'!AN84</f>
        <v>7.9598306534484298E-5</v>
      </c>
      <c r="AO84">
        <f>'TEA Revised Non EYZ'!AO84</f>
        <v>5.2505128878875599E-6</v>
      </c>
      <c r="AP84">
        <f>'TEA Revised Non EYZ'!AP84</f>
        <v>1.7562199861538999E-3</v>
      </c>
      <c r="AQ84">
        <f>'TEA Revised Non EYZ'!AQ84</f>
        <v>7.4179770926534203E-2</v>
      </c>
      <c r="AR84">
        <f>'TEA Revised Non EYZ'!AR84</f>
        <v>1.6511232671055801E-6</v>
      </c>
      <c r="AS84">
        <f>'TEA Revised Non EYZ'!AS84</f>
        <v>-1.8702487475374901E-18</v>
      </c>
      <c r="AT84">
        <f>'TEA Revised Non EYZ'!AT84</f>
        <v>-1.4853569763051401E-16</v>
      </c>
      <c r="AU84">
        <f>'TEA Revised Non EYZ'!AU84</f>
        <v>-1.8925892415213202E-21</v>
      </c>
      <c r="AV84">
        <f>'TEA Revised Non EYZ'!AV84</f>
        <v>0.197886986940187</v>
      </c>
      <c r="AW84">
        <f>'TEA Revised Non EYZ'!AW84</f>
        <v>99.330717925903897</v>
      </c>
      <c r="AX84">
        <f>'TEA Revised Non EYZ'!AX84</f>
        <v>500</v>
      </c>
      <c r="AY84">
        <f>'TEA Revised Non EYZ'!AY84</f>
        <v>95</v>
      </c>
      <c r="AZ84">
        <f>'TEA Revised Non EYZ'!AZ84</f>
        <v>0.92356908198738696</v>
      </c>
      <c r="BA84">
        <f>'TEA Revised Non EYZ'!BA84</f>
        <v>0.1</v>
      </c>
      <c r="BB84">
        <f>'TEA Revised Non EYZ'!BB84</f>
        <v>46.671541988081501</v>
      </c>
      <c r="BC84" t="str">
        <f>'TEA Revised Non EYZ'!BC84</f>
        <v>coeFc</v>
      </c>
      <c r="BD84">
        <f>'TEA Revised Non EYZ'!BD84</f>
        <v>1</v>
      </c>
      <c r="BE84">
        <f>'TEA Revised Non EYZ'!BE84</f>
        <v>1.8775014999999999E-2</v>
      </c>
      <c r="BF84">
        <f>'TEA Revised Non EYZ'!BF84</f>
        <v>0.10492961100000001</v>
      </c>
      <c r="BG84">
        <f>'TEA Revised Non EYZ'!BG84</f>
        <v>1.814625E-3</v>
      </c>
      <c r="BH84">
        <f>'TEA Revised Non EYZ'!BH84</f>
        <v>285.1951444</v>
      </c>
      <c r="BI84">
        <f>'TEA Revised Non EYZ'!BI84</f>
        <v>2169.8944889999998</v>
      </c>
      <c r="BJ84">
        <f>'TEA Revised Non EYZ'!BJ84</f>
        <v>866.49409060000005</v>
      </c>
      <c r="BK84">
        <f>'TEA Revised Non EYZ'!BK84</f>
        <v>100</v>
      </c>
      <c r="BL84">
        <f>'TEA Revised Non EYZ'!BL84</f>
        <v>10.953557168032999</v>
      </c>
      <c r="BM84">
        <f>'TEA Revised Non EYZ'!BM84</f>
        <v>92.356908198738694</v>
      </c>
      <c r="BN84">
        <f>'TEA Revised Non EYZ'!BN84</f>
        <v>19.788698694018699</v>
      </c>
      <c r="BO84">
        <f>'TEA Revised Non EYZ'!BO84</f>
        <v>284.79248636885796</v>
      </c>
      <c r="BP84">
        <f>'TEA Revised Non EYZ'!BP84</f>
        <v>316.61917910429918</v>
      </c>
      <c r="BQ84">
        <f>'TEA Revised Non EYZ'!BQ84</f>
        <v>28.479248636885799</v>
      </c>
      <c r="BR84">
        <f>'TEA Revised Non EYZ'!BR84</f>
        <v>31.661917910429921</v>
      </c>
      <c r="BS84">
        <f>'eLLE Bals'!CF84</f>
        <v>6.5721343008197994</v>
      </c>
      <c r="BT84">
        <f>'eLLE Bals'!CG84</f>
        <v>11.873219216411218</v>
      </c>
      <c r="BU84">
        <f>BM84</f>
        <v>92.356908198738694</v>
      </c>
      <c r="BV84">
        <f>BU84*(AM84*2+AN84*2+AO84*3)</f>
        <v>0.31393990547212364</v>
      </c>
      <c r="BW84">
        <f>BN84*BA84*(AP84*2+AQ84*2+AR84*3)</f>
        <v>0.30054469091483726</v>
      </c>
      <c r="BX84">
        <f>BV84/(2*V84*BL84+BV84)</f>
        <v>0.12534275752233004</v>
      </c>
      <c r="BY84">
        <f>BU84*BX84</f>
        <v>11.5762695498666</v>
      </c>
      <c r="BZ84">
        <f>BW84/(2*BN84*BA84+BW84)</f>
        <v>7.0578820150513005E-2</v>
      </c>
      <c r="CA84">
        <f>2*BN84*BA84/0.04</f>
        <v>98.9434934700935</v>
      </c>
      <c r="CB84">
        <f>(BS84+BL84)*2</f>
        <v>35.051382937705597</v>
      </c>
      <c r="CC84">
        <f>(BU84+BL84)*2</f>
        <v>206.62093073354339</v>
      </c>
      <c r="CD84">
        <f>(BT84+BN84)*2</f>
        <v>63.323835820859834</v>
      </c>
      <c r="CE84">
        <f>(CA84+BN84)*2</f>
        <v>237.46438432822441</v>
      </c>
      <c r="CF84">
        <f>'TEA Revised Non EYZ'!CB84</f>
        <v>3759.2608200689256</v>
      </c>
      <c r="CG84">
        <f>'TEA Revised Non EYZ'!CC84</f>
        <v>4179.373164176749</v>
      </c>
      <c r="CH84">
        <f>'TEA Revised Non EYZ'!CD84</f>
        <v>4541.8834647976191</v>
      </c>
      <c r="CI84">
        <f>'TEA Revised Non EYZ'!CE84</f>
        <v>32235.876670882313</v>
      </c>
      <c r="CJ84">
        <f>BL84*V84</f>
        <v>1.0953557168032999</v>
      </c>
      <c r="CK84">
        <f>CJ84/2*1.2</f>
        <v>0.65721343008197997</v>
      </c>
      <c r="CL84">
        <f>'eLLE Bals'!CB84*'Oxidant Feed Composition'!$N$20</f>
        <v>3.6511857226776682E-2</v>
      </c>
      <c r="CM84">
        <f>'eLLE Bals'!CB84*'Oxidant Feed Composition'!$N$21</f>
        <v>1.8255928613388335</v>
      </c>
      <c r="CN84">
        <f>'eLLE Bals'!CB84*'Oxidant Feed Composition'!$N$22</f>
        <v>0.54767785840164995</v>
      </c>
      <c r="CO84">
        <f>CN84/CK84</f>
        <v>0.83333333333333326</v>
      </c>
      <c r="CP84">
        <f>CO84</f>
        <v>0.83333333333333326</v>
      </c>
      <c r="CQ84">
        <f>CL84/CO84</f>
        <v>4.381422867213202E-2</v>
      </c>
      <c r="CR84">
        <f>CM84/CO84</f>
        <v>2.1907114336066003</v>
      </c>
      <c r="CS84">
        <f>BN84*BA84</f>
        <v>1.97886986940187</v>
      </c>
      <c r="CT84">
        <f>CS84/2*1.2</f>
        <v>1.1873219216411219</v>
      </c>
      <c r="CU84">
        <f>'eLLE Bals'!CC84*'Oxidant Feed Composition'!$N$20</f>
        <v>6.5962328980062365E-2</v>
      </c>
      <c r="CV84">
        <f>'eLLE Bals'!CC84*'Oxidant Feed Composition'!$N$21</f>
        <v>3.2981164490031167</v>
      </c>
      <c r="CW84">
        <f>'eLLE Bals'!CC84*'Oxidant Feed Composition'!$N$22</f>
        <v>0.98943493470093502</v>
      </c>
      <c r="CX84">
        <f>CU84/CP84</f>
        <v>7.9154794776074844E-2</v>
      </c>
      <c r="CY84">
        <f>CV84/CP84</f>
        <v>3.9577397388037405</v>
      </c>
      <c r="CZ84">
        <f>CJ84</f>
        <v>1.0953557168032999</v>
      </c>
      <c r="DA84">
        <f>'eLLE Bals'!BQ84</f>
        <v>2.1907114336065998</v>
      </c>
      <c r="DB84">
        <f>'eLLE Bals'!BU84</f>
        <v>5.4528160404133699</v>
      </c>
      <c r="DC84">
        <f>CS84</f>
        <v>1.97886986940187</v>
      </c>
      <c r="DD84">
        <f>'eLLE Bals'!BX84</f>
        <v>3.9577397388037401</v>
      </c>
      <c r="DE84">
        <f>'eLLE Bals'!CA84</f>
        <v>22.101119914359764</v>
      </c>
      <c r="DF84">
        <f>2*2*(CJ84*'Reagent cost'!$C$36*122.44/1000*0.5+CK84*'Oxidant Feed Composition'!$N$26+CQ84*'Reagent cost'!$C$34+CR84*'Reagent cost'!$C$35)</f>
        <v>73.579738279908327</v>
      </c>
      <c r="DG84">
        <f>2*2*(CS84*'Reagent cost'!$C$36*122.44/1000*0.5+CT84*'Oxidant Feed Composition'!$N$26+CX84*'Reagent cost'!$C$34+CY84*'Reagent cost'!$C$35)</f>
        <v>132.92917072229346</v>
      </c>
      <c r="DH84">
        <f>(AF84+3)*2*(CZ84*'Reagent cost'!$C$38*0.5+DA84*'Reagent cost'!$C$39+DB84*'Reagent cost'!$C$36*122.44/1000)</f>
        <v>894.9297800007048</v>
      </c>
      <c r="DI84">
        <f>3*2*(DC84*'Reagent cost'!$C$38*0.5+DD84*'Reagent cost'!$C$39+DE84*'Reagent cost'!$C$36*122.44/1000)</f>
        <v>1174.4633477951047</v>
      </c>
      <c r="DJ84">
        <f>7963.6*(CB84/1000)^0.6*1.7*('CAPEX+OPEX'!$G$116/'CAPEX+OPEX'!$G$115)</f>
        <v>2138.2772847076108</v>
      </c>
      <c r="DK84">
        <f>7963.6*(CC84/1000)^0.6*1.7*('CAPEX+OPEX'!$G$116/'CAPEX+OPEX'!$G$115)</f>
        <v>6199.3408604999822</v>
      </c>
      <c r="DL84">
        <f>7963.6*(CD84/1000)^0.6*1.7*('CAPEX+OPEX'!$G$116/'CAPEX+OPEX'!$G$115)</f>
        <v>3049.1673193757256</v>
      </c>
      <c r="DM84">
        <f>7963.6*(CE84/1000)^0.6*1.7*('CAPEX+OPEX'!$G$116/'CAPEX+OPEX'!$G$115)</f>
        <v>6739.0707688335169</v>
      </c>
      <c r="DN84">
        <f>'TEA Revised Non EYZ'!CM84</f>
        <v>39625.826528698344</v>
      </c>
      <c r="DO84">
        <f>'TEA Revised Non EYZ'!CN84</f>
        <v>4586243.4239371875</v>
      </c>
      <c r="DP84">
        <f>'TEA Revised Non EYZ'!CO84</f>
        <v>11794834.586807497</v>
      </c>
      <c r="DQ84">
        <f>'TEA Revised Non EYZ'!CP84</f>
        <v>2275209.1661185985</v>
      </c>
      <c r="DR84">
        <f>'TEA Revised Non EYZ'!CQ84</f>
        <v>14083914.336508472</v>
      </c>
      <c r="DS84">
        <f>'TEA Revised Non EYZ'!CR84</f>
        <v>1662824.8986326549</v>
      </c>
      <c r="DT84">
        <f>'TEA Revised Non EYZ'!CS84</f>
        <v>892840.31653984461</v>
      </c>
      <c r="DU84">
        <f>'TEA Revised Non EYZ'!CT84</f>
        <v>2296193.8284949926</v>
      </c>
      <c r="DV84">
        <f>'TEA Revised Non EYZ'!CU84</f>
        <v>442932.9811560188</v>
      </c>
      <c r="DW84">
        <f>'TEA Revised Non EYZ'!CV84</f>
        <v>2741827.1059701391</v>
      </c>
      <c r="DX84">
        <f>'TEA Revised Non EYZ'!CW84</f>
        <v>323715.28756992728</v>
      </c>
      <c r="DY84">
        <f>'TEA Revised Non EYZ'!CX84</f>
        <v>6697509.5197309218</v>
      </c>
      <c r="DZ84">
        <f>'TEA Revised Non EYZ'!CY84</f>
        <v>610185.42092396237</v>
      </c>
      <c r="EA84">
        <f>'TEA Revised Non EYZ'!CZ84</f>
        <v>1569266.0510595285</v>
      </c>
      <c r="EB84">
        <f>'TEA Revised Non EYZ'!DA84</f>
        <v>302709.50195799035</v>
      </c>
      <c r="EC84">
        <f>'TEA Revised Non EYZ'!DB84</f>
        <v>1873820.9910153144</v>
      </c>
      <c r="ED84">
        <f>'TEA Revised Non EYZ'!DC84</f>
        <v>221233.6801398939</v>
      </c>
      <c r="EE84">
        <f>'TEA Revised Non EYZ'!DD84</f>
        <v>4577215.6450966895</v>
      </c>
      <c r="EF84">
        <v>0.7</v>
      </c>
      <c r="EG84">
        <v>100</v>
      </c>
      <c r="EH84">
        <f>96485*BL84*V84/EF84/EG84/60</f>
        <v>25.163189603753906</v>
      </c>
      <c r="EI84">
        <f>96485*BN84*BA84/EF84/EG84/60</f>
        <v>45.459823654580809</v>
      </c>
      <c r="EJ84">
        <f>EH84*('CAPEX+OPEX'!$O$25+'CAPEX+OPEX'!$O$26)</f>
        <v>802001.17905084451</v>
      </c>
      <c r="EK84">
        <f>EI84*('CAPEX+OPEX'!$O$25+'CAPEX+OPEX'!$O$26)</f>
        <v>1448895.4995187996</v>
      </c>
      <c r="EL84">
        <f>EJ84*1.12/0.6*'CAPEX+OPEX'!$G$116/'CAPEX+OPEX'!$G$115</f>
        <v>1765730.2106115664</v>
      </c>
      <c r="EM84">
        <f>EK84*1.12/0.6*'CAPEX+OPEX'!$G$116/'CAPEX+OPEX'!$G$115</f>
        <v>3189968.5715515488</v>
      </c>
      <c r="EN84">
        <f>EL84+EM84+DY84+EE84+1.15*(SUM(DF84:DM84)+SUM(CF84:CI84))</f>
        <v>16305309.822239388</v>
      </c>
      <c r="EO84">
        <f>EN84/15</f>
        <v>1087020.6548159593</v>
      </c>
      <c r="EP84">
        <f>('eLLE Bals'!CB84+'eLLE Bals'!CC84)*'Oxidant Feed Composition'!$N$29*60*7200</f>
        <v>7668216.725375087</v>
      </c>
      <c r="EQ84" s="53">
        <f>('eLLE Bals'!BR84+'eLLE Bals'!BY84)*'Reagent cost'!$C$38*60*7200*0.5</f>
        <v>252688.99118397219</v>
      </c>
      <c r="ER84">
        <f>'TEA Revised Non EYZ'!DI84</f>
        <v>504921.59999999998</v>
      </c>
      <c r="ES84">
        <f>'TEA Revised Non EYZ'!DJ84</f>
        <v>79.386339842456749</v>
      </c>
      <c r="ET84">
        <f>'TEA Revised Non EYZ'!DK84</f>
        <v>735.55520271359876</v>
      </c>
      <c r="EU84">
        <f>1.2*SUM(EP84:ET84)</f>
        <v>10111970.70972194</v>
      </c>
      <c r="EV84">
        <f>'TEA Revised Non EYZ'!DM84</f>
        <v>0.70639694042110623</v>
      </c>
      <c r="EW84">
        <f>(BS84*CO84+BT84*CP84)/1000*('Oxidant Feed Composition'!$B$11*'Oxidant Feed Composition'!$O$20+'Oxidant Feed Composition'!$D$11*'Oxidant Feed Composition'!$O$21+'Oxidant Feed Composition'!$F$11*'Oxidant Feed Composition'!$O$27-'Oxidant Feed Composition'!$J$15*18.015)</f>
        <v>1.795110104706005</v>
      </c>
      <c r="EX84">
        <f>(CZ84*BX84+DC84*BZ84)*368.34/1000</f>
        <v>0.1020158908485316</v>
      </c>
      <c r="EY84">
        <f>'TEA Revised Non EYZ'!DP84</f>
        <v>4.999938342565946E-2</v>
      </c>
      <c r="EZ84">
        <f>SUM(EV84:EX84)-EY84</f>
        <v>2.5535235525499833</v>
      </c>
      <c r="FA84">
        <f>EZ84*0.33*60*7200</f>
        <v>364030.31765152566</v>
      </c>
      <c r="FB84">
        <f>'TEA Revised Non EYZ'!DS84</f>
        <v>1.2</v>
      </c>
      <c r="FC84">
        <v>0.5</v>
      </c>
      <c r="FD84">
        <f>'TEA Revised Non EYZ'!DT84</f>
        <v>1405.2859697967249</v>
      </c>
      <c r="FE84">
        <f>'TEA Revised Non EYZ'!DU84</f>
        <v>706.39735929093831</v>
      </c>
      <c r="FF84">
        <f>'TEA Revised Non EYZ'!DV84</f>
        <v>0.7</v>
      </c>
      <c r="FG84">
        <f>'TEA Revised Non EYZ'!DW84</f>
        <v>49536.497143418172</v>
      </c>
      <c r="FH84">
        <f>'TEA Revised Non EYZ'!DX84</f>
        <v>49831.318766753509</v>
      </c>
      <c r="FI84">
        <f>'TEA Revised Non EYZ'!DY84</f>
        <v>21097.937381085154</v>
      </c>
      <c r="FJ84">
        <f>'TEA Revised Non EYZ'!DZ84</f>
        <v>11176.166036369152</v>
      </c>
      <c r="FK84">
        <f>'TEA Revised Non EYZ'!EA84</f>
        <v>11252.233269912085</v>
      </c>
      <c r="FL84">
        <f>'TEA Revised Non EYZ'!EB84</f>
        <v>849.9169545330592</v>
      </c>
      <c r="FM84">
        <f>'TEA Revised Non EYZ'!EC84</f>
        <v>33427.738482739922</v>
      </c>
      <c r="FN84">
        <f>'TEA Revised Non EYZ'!ED84</f>
        <v>27155.697919888862</v>
      </c>
      <c r="FO84">
        <f>'TEA Revised Non EYZ'!EE84</f>
        <v>11497.37210317875</v>
      </c>
      <c r="FP84">
        <f>'TEA Revised Non EYZ'!EF84</f>
        <v>6093.8694726196991</v>
      </c>
      <c r="FQ84">
        <f>'TEA Revised Non EYZ'!EG84</f>
        <v>6131.9317883620024</v>
      </c>
      <c r="FR84">
        <f>'TEA Revised Non EYZ'!EH84</f>
        <v>427.22912289915951</v>
      </c>
      <c r="FS84">
        <f>'TEA Revised Non EYZ'!EI84</f>
        <v>228477.90844175953</v>
      </c>
      <c r="FT84">
        <f>EG84*EH84</f>
        <v>2516.3189603753908</v>
      </c>
      <c r="FU84">
        <f>EG84*EI84</f>
        <v>4545.9823654580805</v>
      </c>
      <c r="FV84">
        <f>FC84*(FT84+FU84)/(3.6*10^6)*3600*7200*0.07</f>
        <v>1779.6999341100347</v>
      </c>
      <c r="FW84">
        <f>('CAPEX+OPEX'!$C$39/7/100+0.03)*EL84</f>
        <v>90808.982260023418</v>
      </c>
      <c r="FX84">
        <f>('CAPEX+OPEX'!$C$39/7/100+0.03)*EM84</f>
        <v>164055.52653693678</v>
      </c>
      <c r="FY84">
        <f>SUM(FV84:FX84)</f>
        <v>256644.20873107022</v>
      </c>
      <c r="FZ84">
        <f>FY84+FA84+FS84+EU84</f>
        <v>10961123.144546295</v>
      </c>
      <c r="GA84">
        <f>FZ84+EO84</f>
        <v>12048143.799362253</v>
      </c>
      <c r="GB84">
        <f>GA84/(BK84*60*7200)</f>
        <v>0.27889221757782995</v>
      </c>
      <c r="GC84">
        <f>'TEA Revised Non EYZ'!EM84/'TEA Revised Non EYZ'!EK84*GA84</f>
        <v>933.42045039203663</v>
      </c>
      <c r="GD84">
        <f>'TEA Revised Non EYZ'!EN84/'TEA Revised Non EYZ'!EK84*GA84</f>
        <v>1711.0020844278317</v>
      </c>
    </row>
    <row r="85" spans="1:186">
      <c r="A85">
        <f>'TEA Revised Non EYZ'!A85</f>
        <v>11</v>
      </c>
      <c r="B85">
        <f>'TEA Revised Non EYZ'!B85</f>
        <v>1.54143585092054E-3</v>
      </c>
      <c r="C85">
        <f>'TEA Revised Non EYZ'!C85</f>
        <v>1.54143585092054E-3</v>
      </c>
      <c r="D85">
        <f>'TEA Revised Non EYZ'!D85</f>
        <v>3.4254130020456501E-4</v>
      </c>
      <c r="E85">
        <f>'TEA Revised Non EYZ'!E85</f>
        <v>0</v>
      </c>
      <c r="F85">
        <f>'TEA Revised Non EYZ'!F85</f>
        <v>0</v>
      </c>
      <c r="G85">
        <f>'TEA Revised Non EYZ'!G85</f>
        <v>0</v>
      </c>
      <c r="H85">
        <f>'TEA Revised Non EYZ'!H85</f>
        <v>1.7771367359861701E-5</v>
      </c>
      <c r="I85">
        <f>'TEA Revised Non EYZ'!I85</f>
        <v>1.8081057367328801E-10</v>
      </c>
      <c r="J85">
        <f>'TEA Revised Non EYZ'!J85</f>
        <v>3.3765941525589702E-4</v>
      </c>
      <c r="K85">
        <f>'TEA Revised Non EYZ'!K85</f>
        <v>0.139102253285185</v>
      </c>
      <c r="L85">
        <f>'TEA Revised Non EYZ'!L85</f>
        <v>0.14072466572308701</v>
      </c>
      <c r="M85">
        <f>'TEA Revised Non EYZ'!M85</f>
        <v>4.4568945720355099E-4</v>
      </c>
      <c r="N85">
        <f>'TEA Revised Non EYZ'!N85</f>
        <v>-8.03393809811758E-16</v>
      </c>
      <c r="O85">
        <f>'TEA Revised Non EYZ'!O85</f>
        <v>-8.4019770307808202E-13</v>
      </c>
      <c r="P85">
        <f>'TEA Revised Non EYZ'!P85</f>
        <v>-2.26157796916898E-19</v>
      </c>
      <c r="Q85">
        <f>'TEA Revised Non EYZ'!Q85</f>
        <v>0.10953557168033</v>
      </c>
      <c r="R85">
        <f>'TEA Revised Non EYZ'!R85</f>
        <v>98.5748039883795</v>
      </c>
      <c r="S85">
        <f>'TEA Revised Non EYZ'!S85</f>
        <v>500</v>
      </c>
      <c r="T85">
        <f>'TEA Revised Non EYZ'!T85</f>
        <v>95</v>
      </c>
      <c r="U85">
        <f>'TEA Revised Non EYZ'!U85</f>
        <v>1</v>
      </c>
      <c r="V85">
        <f>'TEA Revised Non EYZ'!V85</f>
        <v>0.1</v>
      </c>
      <c r="W85">
        <f>'TEA Revised Non EYZ'!W85</f>
        <v>91.294543376138293</v>
      </c>
      <c r="X85" t="str">
        <f>'TEA Revised Non EYZ'!X85</f>
        <v>ddFc</v>
      </c>
      <c r="Y85">
        <f>'TEA Revised Non EYZ'!Y85</f>
        <v>1</v>
      </c>
      <c r="Z85">
        <f>'TEA Revised Non EYZ'!Z85</f>
        <v>0.28318429382522198</v>
      </c>
      <c r="AA85">
        <f>'TEA Revised Non EYZ'!AA85</f>
        <v>0.56945642916197003</v>
      </c>
      <c r="AB85">
        <f>'TEA Revised Non EYZ'!AB85</f>
        <v>3.7698628972227502E-3</v>
      </c>
      <c r="AC85">
        <f>'TEA Revised Non EYZ'!AC85</f>
        <v>1822.2107908876901</v>
      </c>
      <c r="AD85">
        <f>'TEA Revised Non EYZ'!AD85</f>
        <v>2662.6059073104898</v>
      </c>
      <c r="AE85">
        <f>'TEA Revised Non EYZ'!AE85</f>
        <v>2401.5030938442701</v>
      </c>
      <c r="AF85">
        <f>'TEA Revised Non EYZ'!AF85</f>
        <v>7</v>
      </c>
      <c r="AG85">
        <f>'TEA Revised Non EYZ'!AG85</f>
        <v>1.6497569194096201E-3</v>
      </c>
      <c r="AH85">
        <f>'TEA Revised Non EYZ'!AH85</f>
        <v>1.6689987798565299E-3</v>
      </c>
      <c r="AI85">
        <f>'TEA Revised Non EYZ'!AI85</f>
        <v>5.28589040482341E-6</v>
      </c>
      <c r="AJ85">
        <f>'TEA Revised Non EYZ'!AJ85</f>
        <v>0</v>
      </c>
      <c r="AK85">
        <f>'TEA Revised Non EYZ'!AK85</f>
        <v>0</v>
      </c>
      <c r="AL85">
        <f>'TEA Revised Non EYZ'!AL85</f>
        <v>0</v>
      </c>
      <c r="AM85">
        <f>'TEA Revised Non EYZ'!AM85</f>
        <v>1.6126163799612099E-3</v>
      </c>
      <c r="AN85">
        <f>'TEA Revised Non EYZ'!AN85</f>
        <v>7.9623592631732702E-5</v>
      </c>
      <c r="AO85">
        <f>'TEA Revised Non EYZ'!AO85</f>
        <v>5.2509536820161704E-6</v>
      </c>
      <c r="AP85">
        <f>'TEA Revised Non EYZ'!AP85</f>
        <v>1.7397945404161699E-3</v>
      </c>
      <c r="AQ85">
        <f>'TEA Revised Non EYZ'!AQ85</f>
        <v>7.4451968508709498E-2</v>
      </c>
      <c r="AR85">
        <f>'TEA Revised Non EYZ'!AR85</f>
        <v>1.63655995585356E-6</v>
      </c>
      <c r="AS85">
        <f>'TEA Revised Non EYZ'!AS85</f>
        <v>-4.4791102250807402E-18</v>
      </c>
      <c r="AT85">
        <f>'TEA Revised Non EYZ'!AT85</f>
        <v>-1.66186508998578E-15</v>
      </c>
      <c r="AU85">
        <f>'TEA Revised Non EYZ'!AU85</f>
        <v>-5.8233515123733103E-21</v>
      </c>
      <c r="AV85">
        <f>'TEA Revised Non EYZ'!AV85</f>
        <v>0.19716037225109501</v>
      </c>
      <c r="AW85">
        <f>'TEA Revised Non EYZ'!AW85</f>
        <v>99.339056996426606</v>
      </c>
      <c r="AX85">
        <f>'TEA Revised Non EYZ'!AX85</f>
        <v>500</v>
      </c>
      <c r="AY85">
        <f>'TEA Revised Non EYZ'!AY85</f>
        <v>95</v>
      </c>
      <c r="AZ85">
        <f>'TEA Revised Non EYZ'!AZ85</f>
        <v>0.92356908198738696</v>
      </c>
      <c r="BA85">
        <f>'TEA Revised Non EYZ'!BA85</f>
        <v>0.1</v>
      </c>
      <c r="BB85">
        <f>'TEA Revised Non EYZ'!BB85</f>
        <v>46.8435452541733</v>
      </c>
      <c r="BC85" t="str">
        <f>'TEA Revised Non EYZ'!BC85</f>
        <v>coeFc</v>
      </c>
      <c r="BD85">
        <f>'TEA Revised Non EYZ'!BD85</f>
        <v>1</v>
      </c>
      <c r="BE85">
        <f>'TEA Revised Non EYZ'!BE85</f>
        <v>1.8775014999999999E-2</v>
      </c>
      <c r="BF85">
        <f>'TEA Revised Non EYZ'!BF85</f>
        <v>0.10492961100000001</v>
      </c>
      <c r="BG85">
        <f>'TEA Revised Non EYZ'!BG85</f>
        <v>1.814625E-3</v>
      </c>
      <c r="BH85">
        <f>'TEA Revised Non EYZ'!BH85</f>
        <v>285.1951444</v>
      </c>
      <c r="BI85">
        <f>'TEA Revised Non EYZ'!BI85</f>
        <v>2169.8944889999998</v>
      </c>
      <c r="BJ85">
        <f>'TEA Revised Non EYZ'!BJ85</f>
        <v>866.49409060000005</v>
      </c>
      <c r="BK85">
        <f>'TEA Revised Non EYZ'!BK85</f>
        <v>100</v>
      </c>
      <c r="BL85">
        <f>'TEA Revised Non EYZ'!BL85</f>
        <v>10.953557168032999</v>
      </c>
      <c r="BM85">
        <f>'TEA Revised Non EYZ'!BM85</f>
        <v>92.356908198738694</v>
      </c>
      <c r="BN85">
        <f>'TEA Revised Non EYZ'!BN85</f>
        <v>19.716037225109499</v>
      </c>
      <c r="BO85">
        <f>'TEA Revised Non EYZ'!BO85</f>
        <v>284.79248636885796</v>
      </c>
      <c r="BP85">
        <f>'TEA Revised Non EYZ'!BP85</f>
        <v>354.88867005197096</v>
      </c>
      <c r="BQ85">
        <f>'TEA Revised Non EYZ'!BQ85</f>
        <v>28.479248636885799</v>
      </c>
      <c r="BR85">
        <f>'TEA Revised Non EYZ'!BR85</f>
        <v>35.4888670051971</v>
      </c>
      <c r="BS85">
        <f>'eLLE Bals'!CF85</f>
        <v>6.5721343008197994</v>
      </c>
      <c r="BT85">
        <f>'eLLE Bals'!CG85</f>
        <v>11.829622335065698</v>
      </c>
      <c r="BU85">
        <f>BM85</f>
        <v>92.356908198738694</v>
      </c>
      <c r="BV85">
        <f>BU85*(AM85*2+AN85*2+AO85*3)</f>
        <v>0.3140349891395024</v>
      </c>
      <c r="BW85">
        <f>BN85*BA85*(AP85*2+AQ85*2+AR85*3)</f>
        <v>0.30044960724776004</v>
      </c>
      <c r="BX85">
        <f>BV85/(2*V85*BL85+BV85)</f>
        <v>0.12537596073106963</v>
      </c>
      <c r="BY85">
        <f>BU85*BX85</f>
        <v>11.579336095568065</v>
      </c>
      <c r="BZ85">
        <f>BW85/(2*BN85*BA85+BW85)</f>
        <v>7.0799690820225178E-2</v>
      </c>
      <c r="CA85">
        <f>2*BN85*BA85/0.04</f>
        <v>98.580186125547499</v>
      </c>
      <c r="CB85">
        <f>(BS85+BL85)*2</f>
        <v>35.051382937705597</v>
      </c>
      <c r="CC85">
        <f>(BU85+BL85)*2</f>
        <v>206.62093073354339</v>
      </c>
      <c r="CD85">
        <f>(BT85+BN85)*2</f>
        <v>63.091319120350391</v>
      </c>
      <c r="CE85">
        <f>(CA85+BN85)*2</f>
        <v>236.592446701314</v>
      </c>
      <c r="CF85">
        <f>'TEA Revised Non EYZ'!CB85</f>
        <v>3759.2608200689256</v>
      </c>
      <c r="CG85">
        <f>'TEA Revised Non EYZ'!CC85</f>
        <v>4684.5304446860173</v>
      </c>
      <c r="CH85">
        <f>'TEA Revised Non EYZ'!CD85</f>
        <v>4541.8834647976191</v>
      </c>
      <c r="CI85">
        <f>'TEA Revised Non EYZ'!CE85</f>
        <v>36132.199672971241</v>
      </c>
      <c r="CJ85">
        <f>BL85*V85</f>
        <v>1.0953557168032999</v>
      </c>
      <c r="CK85">
        <f>CJ85/2*1.2</f>
        <v>0.65721343008197997</v>
      </c>
      <c r="CL85">
        <f>'eLLE Bals'!CB85*'Oxidant Feed Composition'!$N$20</f>
        <v>3.6511857226776682E-2</v>
      </c>
      <c r="CM85">
        <f>'eLLE Bals'!CB85*'Oxidant Feed Composition'!$N$21</f>
        <v>1.8255928613388335</v>
      </c>
      <c r="CN85">
        <f>'eLLE Bals'!CB85*'Oxidant Feed Composition'!$N$22</f>
        <v>0.54767785840164995</v>
      </c>
      <c r="CO85">
        <f>CN85/CK85</f>
        <v>0.83333333333333326</v>
      </c>
      <c r="CP85">
        <f>CO85</f>
        <v>0.83333333333333326</v>
      </c>
      <c r="CQ85">
        <f>CL85/CO85</f>
        <v>4.381422867213202E-2</v>
      </c>
      <c r="CR85">
        <f>CM85/CO85</f>
        <v>2.1907114336066003</v>
      </c>
      <c r="CS85">
        <f>BN85*BA85</f>
        <v>1.97160372251095</v>
      </c>
      <c r="CT85">
        <f>CS85/2*1.2</f>
        <v>1.1829622335065699</v>
      </c>
      <c r="CU85">
        <f>'eLLE Bals'!CC85*'Oxidant Feed Composition'!$N$20</f>
        <v>6.5720124083698359E-2</v>
      </c>
      <c r="CV85">
        <f>'eLLE Bals'!CC85*'Oxidant Feed Composition'!$N$21</f>
        <v>3.286006204184917</v>
      </c>
      <c r="CW85">
        <f>'eLLE Bals'!CC85*'Oxidant Feed Composition'!$N$22</f>
        <v>0.98580186125547498</v>
      </c>
      <c r="CX85">
        <f>CU85/CP85</f>
        <v>7.8864148900438039E-2</v>
      </c>
      <c r="CY85">
        <f>CV85/CP85</f>
        <v>3.9432074450219008</v>
      </c>
      <c r="CZ85">
        <f>CJ85</f>
        <v>1.0953557168032999</v>
      </c>
      <c r="DA85">
        <f>'eLLE Bals'!BQ85</f>
        <v>2.1907114336065998</v>
      </c>
      <c r="DB85">
        <f>'eLLE Bals'!BU85</f>
        <v>5.4505017294339781</v>
      </c>
      <c r="DC85">
        <f>CS85</f>
        <v>1.97160372251095</v>
      </c>
      <c r="DD85">
        <f>'eLLE Bals'!BX85</f>
        <v>3.9432074450218999</v>
      </c>
      <c r="DE85">
        <f>'eLLE Bals'!CA85</f>
        <v>21.932820646527656</v>
      </c>
      <c r="DF85">
        <f>2*2*(CJ85*'Reagent cost'!$C$36*122.44/1000*0.5+CK85*'Oxidant Feed Composition'!$N$26+CQ85*'Reagent cost'!$C$34+CR85*'Reagent cost'!$C$35)</f>
        <v>73.579738279908327</v>
      </c>
      <c r="DG85">
        <f>2*2*(CS85*'Reagent cost'!$C$36*122.44/1000*0.5+CT85*'Oxidant Feed Composition'!$N$26+CX85*'Reagent cost'!$C$34+CY85*'Reagent cost'!$C$35)</f>
        <v>132.44107249234349</v>
      </c>
      <c r="DH85">
        <f>(AF85+3)*2*(CZ85*'Reagent cost'!$C$38*0.5+DA85*'Reagent cost'!$C$39+DB85*'Reagent cost'!$C$36*122.44/1000)</f>
        <v>993.96619857563178</v>
      </c>
      <c r="DI85">
        <f>3*2*(DC85*'Reagent cost'!$C$38*0.5+DD85*'Reagent cost'!$C$39+DE85*'Reagent cost'!$C$36*122.44/1000)</f>
        <v>1165.6296695541969</v>
      </c>
      <c r="DJ85">
        <f>7963.6*(CB85/1000)^0.6*1.7*('CAPEX+OPEX'!$G$116/'CAPEX+OPEX'!$G$115)</f>
        <v>2138.2772847076108</v>
      </c>
      <c r="DK85">
        <f>7963.6*(CC85/1000)^0.6*1.7*('CAPEX+OPEX'!$G$116/'CAPEX+OPEX'!$G$115)</f>
        <v>6199.3408604999822</v>
      </c>
      <c r="DL85">
        <f>7963.6*(CD85/1000)^0.6*1.7*('CAPEX+OPEX'!$G$116/'CAPEX+OPEX'!$G$115)</f>
        <v>3042.4446955760445</v>
      </c>
      <c r="DM85">
        <f>7963.6*(CE85/1000)^0.6*1.7*('CAPEX+OPEX'!$G$116/'CAPEX+OPEX'!$G$115)</f>
        <v>6724.2128641031286</v>
      </c>
      <c r="DN85">
        <f>'TEA Revised Non EYZ'!CM85</f>
        <v>39625.826528698344</v>
      </c>
      <c r="DO85">
        <f>'TEA Revised Non EYZ'!CN85</f>
        <v>4586243.4239371875</v>
      </c>
      <c r="DP85">
        <f>'TEA Revised Non EYZ'!CO85</f>
        <v>11794834.586807497</v>
      </c>
      <c r="DQ85">
        <f>'TEA Revised Non EYZ'!CP85</f>
        <v>2275209.1661185985</v>
      </c>
      <c r="DR85">
        <f>'TEA Revised Non EYZ'!CQ85</f>
        <v>14083914.336508472</v>
      </c>
      <c r="DS85">
        <f>'TEA Revised Non EYZ'!CR85</f>
        <v>1662824.8986326549</v>
      </c>
      <c r="DT85">
        <f>'TEA Revised Non EYZ'!CS85</f>
        <v>892840.31653984461</v>
      </c>
      <c r="DU85">
        <f>'TEA Revised Non EYZ'!CT85</f>
        <v>2296193.8284949926</v>
      </c>
      <c r="DV85">
        <f>'TEA Revised Non EYZ'!CU85</f>
        <v>442932.9811560188</v>
      </c>
      <c r="DW85">
        <f>'TEA Revised Non EYZ'!CV85</f>
        <v>2741827.1059701391</v>
      </c>
      <c r="DX85">
        <f>'TEA Revised Non EYZ'!CW85</f>
        <v>323715.28756992728</v>
      </c>
      <c r="DY85">
        <f>'TEA Revised Non EYZ'!CX85</f>
        <v>6697509.5197309218</v>
      </c>
      <c r="DZ85">
        <f>'TEA Revised Non EYZ'!CY85</f>
        <v>661084.53106321464</v>
      </c>
      <c r="EA85">
        <f>'TEA Revised Non EYZ'!CZ85</f>
        <v>1700167.6472492905</v>
      </c>
      <c r="EB85">
        <f>'TEA Revised Non EYZ'!DA85</f>
        <v>327960.2597637524</v>
      </c>
      <c r="EC85">
        <f>'TEA Revised Non EYZ'!DB85</f>
        <v>2030127.2837132132</v>
      </c>
      <c r="ED85">
        <f>'TEA Revised Non EYZ'!DC85</f>
        <v>239688.06640645108</v>
      </c>
      <c r="EE85">
        <f>'TEA Revised Non EYZ'!DD85</f>
        <v>4959027.788195922</v>
      </c>
      <c r="EF85">
        <v>0.7</v>
      </c>
      <c r="EG85">
        <v>100</v>
      </c>
      <c r="EH85">
        <f>96485*BL85*V85/EF85/EG85/60</f>
        <v>25.163189603753906</v>
      </c>
      <c r="EI85">
        <f>96485*BN85*BA85/EF85/EG85/60</f>
        <v>45.292901230111667</v>
      </c>
      <c r="EJ85">
        <f>EH85*('CAPEX+OPEX'!$O$25+'CAPEX+OPEX'!$O$26)</f>
        <v>802001.17905084451</v>
      </c>
      <c r="EK85">
        <f>EI85*('CAPEX+OPEX'!$O$25+'CAPEX+OPEX'!$O$26)</f>
        <v>1443575.348006119</v>
      </c>
      <c r="EL85">
        <f>EJ85*1.12/0.6*'CAPEX+OPEX'!$G$116/'CAPEX+OPEX'!$G$115</f>
        <v>1765730.2106115664</v>
      </c>
      <c r="EM85">
        <f>EK85*1.12/0.6*'CAPEX+OPEX'!$G$116/'CAPEX+OPEX'!$G$115</f>
        <v>3178255.4313513208</v>
      </c>
      <c r="EN85">
        <f>EL85+EM85+DY85+EE85+1.15*(SUM(DF85:DM85)+SUM(CF85:CI85))</f>
        <v>16680548.881693991</v>
      </c>
      <c r="EO85">
        <f>EN85/15</f>
        <v>1112036.5921129328</v>
      </c>
      <c r="EP85">
        <f>('eLLE Bals'!CB85+'eLLE Bals'!CC85)*'Oxidant Feed Composition'!$N$29*60*7200</f>
        <v>7650092.359561462</v>
      </c>
      <c r="EQ85" s="53">
        <f>('eLLE Bals'!BR85+'eLLE Bals'!BY85)*'Reagent cost'!$C$38*60*7200*0.5</f>
        <v>252651.5867748142</v>
      </c>
      <c r="ER85">
        <f>'TEA Revised Non EYZ'!DI85</f>
        <v>504921.59999999998</v>
      </c>
      <c r="ES85">
        <f>'TEA Revised Non EYZ'!DJ85</f>
        <v>84.437912647549425</v>
      </c>
      <c r="ET85">
        <f>'TEA Revised Non EYZ'!DK85</f>
        <v>813.48166275537722</v>
      </c>
      <c r="EU85">
        <f>1.2*SUM(EP85:ET85)</f>
        <v>10090276.159094015</v>
      </c>
      <c r="EV85">
        <f>'TEA Revised Non EYZ'!DM85</f>
        <v>0.70639694042110623</v>
      </c>
      <c r="EW85">
        <f>(BS85*CO85+BT85*CP85)/1000*('Oxidant Feed Composition'!$B$11*'Oxidant Feed Composition'!$O$20+'Oxidant Feed Composition'!$D$11*'Oxidant Feed Composition'!$O$21+'Oxidant Feed Composition'!$F$11*'Oxidant Feed Composition'!$O$27-'Oxidant Feed Composition'!$J$15*18.015)</f>
        <v>1.7908672365948621</v>
      </c>
      <c r="EX85">
        <f>(CZ85*BX85+DC85*BZ85)*368.34/1000</f>
        <v>0.10200078989734243</v>
      </c>
      <c r="EY85">
        <f>'TEA Revised Non EYZ'!DP85</f>
        <v>4.999938342565946E-2</v>
      </c>
      <c r="EZ85">
        <f>SUM(EV85:EX85)-EY85</f>
        <v>2.5492655834876516</v>
      </c>
      <c r="FA85">
        <f>EZ85*0.33*60*7200</f>
        <v>363423.30158199964</v>
      </c>
      <c r="FB85">
        <f>'TEA Revised Non EYZ'!DS85</f>
        <v>1.2</v>
      </c>
      <c r="FC85">
        <v>0.5</v>
      </c>
      <c r="FD85">
        <f>'TEA Revised Non EYZ'!DT85</f>
        <v>1405.7118236014501</v>
      </c>
      <c r="FE85">
        <f>'TEA Revised Non EYZ'!DU85</f>
        <v>705.97150548690695</v>
      </c>
      <c r="FF85">
        <f>'TEA Revised Non EYZ'!DV85</f>
        <v>0.7</v>
      </c>
      <c r="FG85">
        <f>'TEA Revised Non EYZ'!DW85</f>
        <v>49536.497143418172</v>
      </c>
      <c r="FH85">
        <f>'TEA Revised Non EYZ'!DX85</f>
        <v>49831.318766753509</v>
      </c>
      <c r="FI85">
        <f>'TEA Revised Non EYZ'!DY85</f>
        <v>21097.937381085154</v>
      </c>
      <c r="FJ85">
        <f>'TEA Revised Non EYZ'!DZ85</f>
        <v>11176.166036369152</v>
      </c>
      <c r="FK85">
        <f>'TEA Revised Non EYZ'!EA85</f>
        <v>11252.233269912085</v>
      </c>
      <c r="FL85">
        <f>'TEA Revised Non EYZ'!EB85</f>
        <v>850.17451091415705</v>
      </c>
      <c r="FM85">
        <f>'TEA Revised Non EYZ'!EC85</f>
        <v>35999.102981412223</v>
      </c>
      <c r="FN85">
        <f>'TEA Revised Non EYZ'!ED85</f>
        <v>31035.083337015851</v>
      </c>
      <c r="FO85">
        <f>'TEA Revised Non EYZ'!EE85</f>
        <v>13139.85383220429</v>
      </c>
      <c r="FP85">
        <f>'TEA Revised Non EYZ'!EF85</f>
        <v>6964.4222544225158</v>
      </c>
      <c r="FQ85">
        <f>'TEA Revised Non EYZ'!EG85</f>
        <v>7007.9220438422899</v>
      </c>
      <c r="FR85">
        <f>'TEA Revised Non EYZ'!EH85</f>
        <v>426.97156651848138</v>
      </c>
      <c r="FS85">
        <f>'TEA Revised Non EYZ'!EI85</f>
        <v>238317.6831238679</v>
      </c>
      <c r="FT85">
        <f>EG85*EH85</f>
        <v>2516.3189603753908</v>
      </c>
      <c r="FU85">
        <f>EG85*EI85</f>
        <v>4529.2901230111665</v>
      </c>
      <c r="FV85">
        <f>FC85*(FT85+FU85)/(3.6*10^6)*3600*7200*0.07</f>
        <v>1775.4934890134127</v>
      </c>
      <c r="FW85">
        <f>('CAPEX+OPEX'!$C$39/7/100+0.03)*EL85</f>
        <v>90808.982260023418</v>
      </c>
      <c r="FX85">
        <f>('CAPEX+OPEX'!$C$39/7/100+0.03)*EM85</f>
        <v>163453.1364694965</v>
      </c>
      <c r="FY85">
        <f>SUM(FV85:FX85)</f>
        <v>256037.61221853335</v>
      </c>
      <c r="FZ85">
        <f>FY85+FA85+FS85+EU85</f>
        <v>10948054.756018415</v>
      </c>
      <c r="GA85">
        <f>FZ85+EO85</f>
        <v>12060091.348131347</v>
      </c>
      <c r="GB85">
        <f>GA85/(BK85*60*7200)</f>
        <v>0.27916878120674415</v>
      </c>
      <c r="GC85">
        <f>'TEA Revised Non EYZ'!EM85/'TEA Revised Non EYZ'!EK85*GA85</f>
        <v>934.06284760478218</v>
      </c>
      <c r="GD85">
        <f>'TEA Revised Non EYZ'!EN85/'TEA Revised Non EYZ'!EK85*GA85</f>
        <v>1713.6512861882877</v>
      </c>
    </row>
    <row r="86" spans="1:186">
      <c r="A86">
        <f>'TEA Revised Non EYZ'!A86</f>
        <v>11</v>
      </c>
      <c r="B86">
        <f>'TEA Revised Non EYZ'!B86</f>
        <v>1.54143585092054E-3</v>
      </c>
      <c r="C86">
        <f>'TEA Revised Non EYZ'!C86</f>
        <v>1.54143585092054E-3</v>
      </c>
      <c r="D86">
        <f>'TEA Revised Non EYZ'!D86</f>
        <v>3.4254130020456501E-4</v>
      </c>
      <c r="E86">
        <f>'TEA Revised Non EYZ'!E86</f>
        <v>0</v>
      </c>
      <c r="F86">
        <f>'TEA Revised Non EYZ'!F86</f>
        <v>0</v>
      </c>
      <c r="G86">
        <f>'TEA Revised Non EYZ'!G86</f>
        <v>0</v>
      </c>
      <c r="H86">
        <f>'TEA Revised Non EYZ'!H86</f>
        <v>1.7771367359861701E-5</v>
      </c>
      <c r="I86">
        <f>'TEA Revised Non EYZ'!I86</f>
        <v>1.8081057367328801E-10</v>
      </c>
      <c r="J86">
        <f>'TEA Revised Non EYZ'!J86</f>
        <v>3.3765941525589702E-4</v>
      </c>
      <c r="K86">
        <f>'TEA Revised Non EYZ'!K86</f>
        <v>0.139102253285185</v>
      </c>
      <c r="L86">
        <f>'TEA Revised Non EYZ'!L86</f>
        <v>0.14072466572308701</v>
      </c>
      <c r="M86">
        <f>'TEA Revised Non EYZ'!M86</f>
        <v>4.4568945720355099E-4</v>
      </c>
      <c r="N86">
        <f>'TEA Revised Non EYZ'!N86</f>
        <v>-8.03393809811758E-16</v>
      </c>
      <c r="O86">
        <f>'TEA Revised Non EYZ'!O86</f>
        <v>-8.4019770307808202E-13</v>
      </c>
      <c r="P86">
        <f>'TEA Revised Non EYZ'!P86</f>
        <v>-2.26157796916898E-19</v>
      </c>
      <c r="Q86">
        <f>'TEA Revised Non EYZ'!Q86</f>
        <v>0.10953557168033</v>
      </c>
      <c r="R86">
        <f>'TEA Revised Non EYZ'!R86</f>
        <v>98.5748039883795</v>
      </c>
      <c r="S86">
        <f>'TEA Revised Non EYZ'!S86</f>
        <v>500</v>
      </c>
      <c r="T86">
        <f>'TEA Revised Non EYZ'!T86</f>
        <v>95</v>
      </c>
      <c r="U86">
        <f>'TEA Revised Non EYZ'!U86</f>
        <v>1</v>
      </c>
      <c r="V86">
        <f>'TEA Revised Non EYZ'!V86</f>
        <v>0.1</v>
      </c>
      <c r="W86">
        <f>'TEA Revised Non EYZ'!W86</f>
        <v>91.294543376138293</v>
      </c>
      <c r="X86" t="str">
        <f>'TEA Revised Non EYZ'!X86</f>
        <v>ddFc</v>
      </c>
      <c r="Y86">
        <f>'TEA Revised Non EYZ'!Y86</f>
        <v>1</v>
      </c>
      <c r="Z86">
        <f>'TEA Revised Non EYZ'!Z86</f>
        <v>0.28318429382522198</v>
      </c>
      <c r="AA86">
        <f>'TEA Revised Non EYZ'!AA86</f>
        <v>0.56945642916197003</v>
      </c>
      <c r="AB86">
        <f>'TEA Revised Non EYZ'!AB86</f>
        <v>3.7698628972227502E-3</v>
      </c>
      <c r="AC86">
        <f>'TEA Revised Non EYZ'!AC86</f>
        <v>1822.2107908876901</v>
      </c>
      <c r="AD86">
        <f>'TEA Revised Non EYZ'!AD86</f>
        <v>2662.6059073104898</v>
      </c>
      <c r="AE86">
        <f>'TEA Revised Non EYZ'!AE86</f>
        <v>2401.5030938442701</v>
      </c>
      <c r="AF86">
        <f>'TEA Revised Non EYZ'!AF86</f>
        <v>8</v>
      </c>
      <c r="AG86">
        <f>'TEA Revised Non EYZ'!AG86</f>
        <v>1.6497569194096201E-3</v>
      </c>
      <c r="AH86">
        <f>'TEA Revised Non EYZ'!AH86</f>
        <v>1.6689987798565299E-3</v>
      </c>
      <c r="AI86">
        <f>'TEA Revised Non EYZ'!AI86</f>
        <v>5.28589040482341E-6</v>
      </c>
      <c r="AJ86">
        <f>'TEA Revised Non EYZ'!AJ86</f>
        <v>0</v>
      </c>
      <c r="AK86">
        <f>'TEA Revised Non EYZ'!AK86</f>
        <v>0</v>
      </c>
      <c r="AL86">
        <f>'TEA Revised Non EYZ'!AL86</f>
        <v>0</v>
      </c>
      <c r="AM86">
        <f>'TEA Revised Non EYZ'!AM86</f>
        <v>1.6127556677607399E-3</v>
      </c>
      <c r="AN86">
        <f>'TEA Revised Non EYZ'!AN86</f>
        <v>7.9630797964244996E-5</v>
      </c>
      <c r="AO86">
        <f>'TEA Revised Non EYZ'!AO86</f>
        <v>5.2510792863207299E-6</v>
      </c>
      <c r="AP86">
        <f>'TEA Revised Non EYZ'!AP86</f>
        <v>1.7350919198262601E-3</v>
      </c>
      <c r="AQ86">
        <f>'TEA Revised Non EYZ'!AQ86</f>
        <v>7.4529898928506394E-2</v>
      </c>
      <c r="AR86">
        <f>'TEA Revised Non EYZ'!AR86</f>
        <v>1.6323904665746701E-6</v>
      </c>
      <c r="AS86">
        <f>'TEA Revised Non EYZ'!AS86</f>
        <v>5.0343369338741403E-15</v>
      </c>
      <c r="AT86">
        <f>'TEA Revised Non EYZ'!AT86</f>
        <v>-1.17148695258362E-12</v>
      </c>
      <c r="AU86">
        <f>'TEA Revised Non EYZ'!AU86</f>
        <v>2.5583041985040001E-20</v>
      </c>
      <c r="AV86">
        <f>'TEA Revised Non EYZ'!AV86</f>
        <v>0.19695332346498701</v>
      </c>
      <c r="AW86">
        <f>'TEA Revised Non EYZ'!AW86</f>
        <v>99.341433214905294</v>
      </c>
      <c r="AX86">
        <f>'TEA Revised Non EYZ'!AX86</f>
        <v>500</v>
      </c>
      <c r="AY86">
        <f>'TEA Revised Non EYZ'!AY86</f>
        <v>95</v>
      </c>
      <c r="AZ86">
        <f>'TEA Revised Non EYZ'!AZ86</f>
        <v>0.92356908198738696</v>
      </c>
      <c r="BA86">
        <f>'TEA Revised Non EYZ'!BA86</f>
        <v>0.1</v>
      </c>
      <c r="BB86">
        <f>'TEA Revised Non EYZ'!BB86</f>
        <v>46.892789912812503</v>
      </c>
      <c r="BC86" t="str">
        <f>'TEA Revised Non EYZ'!BC86</f>
        <v>coeFc</v>
      </c>
      <c r="BD86">
        <f>'TEA Revised Non EYZ'!BD86</f>
        <v>1</v>
      </c>
      <c r="BE86">
        <f>'TEA Revised Non EYZ'!BE86</f>
        <v>1.8775014999999999E-2</v>
      </c>
      <c r="BF86">
        <f>'TEA Revised Non EYZ'!BF86</f>
        <v>0.10492961100000001</v>
      </c>
      <c r="BG86">
        <f>'TEA Revised Non EYZ'!BG86</f>
        <v>1.814625E-3</v>
      </c>
      <c r="BH86">
        <f>'TEA Revised Non EYZ'!BH86</f>
        <v>285.1951444</v>
      </c>
      <c r="BI86">
        <f>'TEA Revised Non EYZ'!BI86</f>
        <v>2169.8944889999998</v>
      </c>
      <c r="BJ86">
        <f>'TEA Revised Non EYZ'!BJ86</f>
        <v>866.49409060000005</v>
      </c>
      <c r="BK86">
        <f>'TEA Revised Non EYZ'!BK86</f>
        <v>100</v>
      </c>
      <c r="BL86">
        <f>'TEA Revised Non EYZ'!BL86</f>
        <v>10.953557168032999</v>
      </c>
      <c r="BM86">
        <f>'TEA Revised Non EYZ'!BM86</f>
        <v>92.356908198738694</v>
      </c>
      <c r="BN86">
        <f>'TEA Revised Non EYZ'!BN86</f>
        <v>19.695332346498702</v>
      </c>
      <c r="BO86">
        <f>'TEA Revised Non EYZ'!BO86</f>
        <v>284.79248636885796</v>
      </c>
      <c r="BP86">
        <f>'TEA Revised Non EYZ'!BP86</f>
        <v>393.90664692997404</v>
      </c>
      <c r="BQ86">
        <f>'TEA Revised Non EYZ'!BQ86</f>
        <v>28.479248636885799</v>
      </c>
      <c r="BR86">
        <f>'TEA Revised Non EYZ'!BR86</f>
        <v>39.390664692997404</v>
      </c>
      <c r="BS86">
        <f>'eLLE Bals'!CF86</f>
        <v>6.5721343008197994</v>
      </c>
      <c r="BT86">
        <f>'eLLE Bals'!CG86</f>
        <v>11.817199407899221</v>
      </c>
      <c r="BU86">
        <f>BM86</f>
        <v>92.356908198738694</v>
      </c>
      <c r="BV86">
        <f>BU86*(AM86*2+AN86*2+AO86*3)</f>
        <v>0.3140620832462736</v>
      </c>
      <c r="BW86">
        <f>BN86*BA86*(AP86*2+AQ86*2+AR86*3)</f>
        <v>0.30042251337394632</v>
      </c>
      <c r="BX86">
        <f>BV86/(2*V86*BL86+BV86)</f>
        <v>0.12538542152939935</v>
      </c>
      <c r="BY86">
        <f>BU86*BX86</f>
        <v>11.58020986565089</v>
      </c>
      <c r="BZ86">
        <f>BW86/(2*BN86*BA86+BW86)</f>
        <v>7.0862906968679293E-2</v>
      </c>
      <c r="CA86">
        <f>2*BN86*BA86/0.04</f>
        <v>98.476661732493511</v>
      </c>
      <c r="CB86">
        <f>(BS86+BL86)*2</f>
        <v>35.051382937705597</v>
      </c>
      <c r="CC86">
        <f>(BU86+BL86)*2</f>
        <v>206.62093073354339</v>
      </c>
      <c r="CD86">
        <f>(BT86+BN86)*2</f>
        <v>63.025063508795846</v>
      </c>
      <c r="CE86">
        <f>(CA86+BN86)*2</f>
        <v>236.34398815798443</v>
      </c>
      <c r="CF86">
        <f>'TEA Revised Non EYZ'!CB86</f>
        <v>3759.2608200689256</v>
      </c>
      <c r="CG86">
        <f>'TEA Revised Non EYZ'!CC86</f>
        <v>5199.5677394756585</v>
      </c>
      <c r="CH86">
        <f>'TEA Revised Non EYZ'!CD86</f>
        <v>4541.8834647976191</v>
      </c>
      <c r="CI86">
        <f>'TEA Revised Non EYZ'!CE86</f>
        <v>40104.72810332357</v>
      </c>
      <c r="CJ86">
        <f>BL86*V86</f>
        <v>1.0953557168032999</v>
      </c>
      <c r="CK86">
        <f>CJ86/2*1.2</f>
        <v>0.65721343008197997</v>
      </c>
      <c r="CL86">
        <f>'eLLE Bals'!CB86*'Oxidant Feed Composition'!$N$20</f>
        <v>3.6511857226776682E-2</v>
      </c>
      <c r="CM86">
        <f>'eLLE Bals'!CB86*'Oxidant Feed Composition'!$N$21</f>
        <v>1.8255928613388335</v>
      </c>
      <c r="CN86">
        <f>'eLLE Bals'!CB86*'Oxidant Feed Composition'!$N$22</f>
        <v>0.54767785840164995</v>
      </c>
      <c r="CO86">
        <f>CN86/CK86</f>
        <v>0.83333333333333326</v>
      </c>
      <c r="CP86">
        <f>CO86</f>
        <v>0.83333333333333326</v>
      </c>
      <c r="CQ86">
        <f>CL86/CO86</f>
        <v>4.381422867213202E-2</v>
      </c>
      <c r="CR86">
        <f>CM86/CO86</f>
        <v>2.1907114336066003</v>
      </c>
      <c r="CS86">
        <f>BN86*BA86</f>
        <v>1.9695332346498704</v>
      </c>
      <c r="CT86">
        <f>CS86/2*1.2</f>
        <v>1.1817199407899222</v>
      </c>
      <c r="CU86">
        <f>'eLLE Bals'!CC86*'Oxidant Feed Composition'!$N$20</f>
        <v>6.5651107821662377E-2</v>
      </c>
      <c r="CV86">
        <f>'eLLE Bals'!CC86*'Oxidant Feed Composition'!$N$21</f>
        <v>3.2825553910831173</v>
      </c>
      <c r="CW86">
        <f>'eLLE Bals'!CC86*'Oxidant Feed Composition'!$N$22</f>
        <v>0.9847666173249352</v>
      </c>
      <c r="CX86">
        <f>CU86/CP86</f>
        <v>7.8781329385994858E-2</v>
      </c>
      <c r="CY86">
        <f>CV86/CP86</f>
        <v>3.9390664692997412</v>
      </c>
      <c r="CZ86">
        <f>CJ86</f>
        <v>1.0953557168032999</v>
      </c>
      <c r="DA86">
        <f>'eLLE Bals'!BQ86</f>
        <v>2.1907114336065998</v>
      </c>
      <c r="DB86">
        <f>'eLLE Bals'!BU86</f>
        <v>5.4498425243086137</v>
      </c>
      <c r="DC86">
        <f>CS86</f>
        <v>1.9695332346498704</v>
      </c>
      <c r="DD86">
        <f>'eLLE Bals'!BX86</f>
        <v>3.9390664692997408</v>
      </c>
      <c r="DE86">
        <f>'eLLE Bals'!CA86</f>
        <v>21.884971275581115</v>
      </c>
      <c r="DF86">
        <f>2*2*(CJ86*'Reagent cost'!$C$36*122.44/1000*0.5+CK86*'Oxidant Feed Composition'!$N$26+CQ86*'Reagent cost'!$C$34+CR86*'Reagent cost'!$C$35)</f>
        <v>73.579738279908327</v>
      </c>
      <c r="DG86">
        <f>2*2*(CS86*'Reagent cost'!$C$36*122.44/1000*0.5+CT86*'Oxidant Feed Composition'!$N$26+CX86*'Reagent cost'!$C$34+CY86*'Reagent cost'!$C$35)</f>
        <v>132.30198894843815</v>
      </c>
      <c r="DH86">
        <f>(AF86+3)*2*(CZ86*'Reagent cost'!$C$38*0.5+DA86*'Reagent cost'!$C$39+DB86*'Reagent cost'!$C$36*122.44/1000)</f>
        <v>1093.2374193704982</v>
      </c>
      <c r="DI86">
        <f>3*2*(DC86*'Reagent cost'!$C$38*0.5+DD86*'Reagent cost'!$C$39+DE86*'Reagent cost'!$C$36*122.44/1000)</f>
        <v>1163.1180903603006</v>
      </c>
      <c r="DJ86">
        <f>7963.6*(CB86/1000)^0.6*1.7*('CAPEX+OPEX'!$G$116/'CAPEX+OPEX'!$G$115)</f>
        <v>2138.2772847076108</v>
      </c>
      <c r="DK86">
        <f>7963.6*(CC86/1000)^0.6*1.7*('CAPEX+OPEX'!$G$116/'CAPEX+OPEX'!$G$115)</f>
        <v>6199.3408604999822</v>
      </c>
      <c r="DL86">
        <f>7963.6*(CD86/1000)^0.6*1.7*('CAPEX+OPEX'!$G$116/'CAPEX+OPEX'!$G$115)</f>
        <v>3040.5272711635121</v>
      </c>
      <c r="DM86">
        <f>7963.6*(CE86/1000)^0.6*1.7*('CAPEX+OPEX'!$G$116/'CAPEX+OPEX'!$G$115)</f>
        <v>6719.9750977044669</v>
      </c>
      <c r="DN86">
        <f>'TEA Revised Non EYZ'!CM86</f>
        <v>39625.826528698344</v>
      </c>
      <c r="DO86">
        <f>'TEA Revised Non EYZ'!CN86</f>
        <v>4586243.4239371875</v>
      </c>
      <c r="DP86">
        <f>'TEA Revised Non EYZ'!CO86</f>
        <v>11794834.586807497</v>
      </c>
      <c r="DQ86">
        <f>'TEA Revised Non EYZ'!CP86</f>
        <v>2275209.1661185985</v>
      </c>
      <c r="DR86">
        <f>'TEA Revised Non EYZ'!CQ86</f>
        <v>14083914.336508472</v>
      </c>
      <c r="DS86">
        <f>'TEA Revised Non EYZ'!CR86</f>
        <v>1662824.8986326549</v>
      </c>
      <c r="DT86">
        <f>'TEA Revised Non EYZ'!CS86</f>
        <v>892840.31653984461</v>
      </c>
      <c r="DU86">
        <f>'TEA Revised Non EYZ'!CT86</f>
        <v>2296193.8284949926</v>
      </c>
      <c r="DV86">
        <f>'TEA Revised Non EYZ'!CU86</f>
        <v>442932.9811560188</v>
      </c>
      <c r="DW86">
        <f>'TEA Revised Non EYZ'!CV86</f>
        <v>2741827.1059701391</v>
      </c>
      <c r="DX86">
        <f>'TEA Revised Non EYZ'!CW86</f>
        <v>323715.28756992728</v>
      </c>
      <c r="DY86">
        <f>'TEA Revised Non EYZ'!CX86</f>
        <v>6697509.5197309218</v>
      </c>
      <c r="DZ86">
        <f>'TEA Revised Non EYZ'!CY86</f>
        <v>709493.64296132035</v>
      </c>
      <c r="EA86">
        <f>'TEA Revised Non EYZ'!CZ86</f>
        <v>1824665.5019319013</v>
      </c>
      <c r="EB86">
        <f>'TEA Revised Non EYZ'!DA86</f>
        <v>351975.74366488325</v>
      </c>
      <c r="EC86">
        <f>'TEA Revised Non EYZ'!DB86</f>
        <v>2178787.0302763539</v>
      </c>
      <c r="ED86">
        <f>'TEA Revised Non EYZ'!DC86</f>
        <v>257239.65910315106</v>
      </c>
      <c r="EE86">
        <f>'TEA Revised Non EYZ'!DD86</f>
        <v>5322161.5779376104</v>
      </c>
      <c r="EF86">
        <v>0.7</v>
      </c>
      <c r="EG86">
        <v>100</v>
      </c>
      <c r="EH86">
        <f>96485*BL86*V86/EF86/EG86/60</f>
        <v>25.163189603753906</v>
      </c>
      <c r="EI86">
        <f>96485*BN86*BA86/EF86/EG86/60</f>
        <v>45.245336701236376</v>
      </c>
      <c r="EJ86">
        <f>EH86*('CAPEX+OPEX'!$O$25+'CAPEX+OPEX'!$O$26)</f>
        <v>802001.17905084451</v>
      </c>
      <c r="EK86">
        <f>EI86*('CAPEX+OPEX'!$O$25+'CAPEX+OPEX'!$O$26)</f>
        <v>1442059.3713418057</v>
      </c>
      <c r="EL86">
        <f>EJ86*1.12/0.6*'CAPEX+OPEX'!$G$116/'CAPEX+OPEX'!$G$115</f>
        <v>1765730.2106115664</v>
      </c>
      <c r="EM86">
        <f>EK86*1.12/0.6*'CAPEX+OPEX'!$G$116/'CAPEX+OPEX'!$G$115</f>
        <v>3174917.7731724037</v>
      </c>
      <c r="EN86">
        <f>EL86+EM86+DY86+EE86+1.15*(SUM(DF86:DM86)+SUM(CF86:CI86))</f>
        <v>17045609.74901301</v>
      </c>
      <c r="EO86">
        <f>EN86/15</f>
        <v>1136373.9832675341</v>
      </c>
      <c r="EP86">
        <f>('eLLE Bals'!CB86+'eLLE Bals'!CC86)*'Oxidant Feed Composition'!$N$29*60*7200</f>
        <v>7644927.8232576661</v>
      </c>
      <c r="EQ86" s="53">
        <f>('eLLE Bals'!BR86+'eLLE Bals'!BY86)*'Reagent cost'!$C$38*60*7200*0.5</f>
        <v>252640.89328940667</v>
      </c>
      <c r="ER86">
        <f>'TEA Revised Non EYZ'!DI86</f>
        <v>504921.59999999998</v>
      </c>
      <c r="ES86">
        <f>'TEA Revised Non EYZ'!DJ86</f>
        <v>89.588285595445853</v>
      </c>
      <c r="ET86">
        <f>'TEA Revised Non EYZ'!DK86</f>
        <v>892.93223136242375</v>
      </c>
      <c r="EU86">
        <f>1.2*SUM(EP86:ET86)</f>
        <v>10084167.404476838</v>
      </c>
      <c r="EV86">
        <f>'TEA Revised Non EYZ'!DM86</f>
        <v>0.70639694042110623</v>
      </c>
      <c r="EW86">
        <f>(BS86*CO86+BT86*CP86)/1000*('Oxidant Feed Composition'!$B$11*'Oxidant Feed Composition'!$O$20+'Oxidant Feed Composition'!$D$11*'Oxidant Feed Composition'!$O$21+'Oxidant Feed Composition'!$F$11*'Oxidant Feed Composition'!$O$27-'Oxidant Feed Composition'!$J$15*18.015)</f>
        <v>1.7896582317327034</v>
      </c>
      <c r="EX86">
        <f>(CZ86*BX86+DC86*BZ86)*368.34/1000</f>
        <v>0.10199647271108506</v>
      </c>
      <c r="EY86">
        <f>'TEA Revised Non EYZ'!DP86</f>
        <v>4.999938342565946E-2</v>
      </c>
      <c r="EZ86">
        <f>SUM(EV86:EX86)-EY86</f>
        <v>2.5480522614392354</v>
      </c>
      <c r="FA86">
        <f>EZ86*0.33*60*7200</f>
        <v>363250.33039077744</v>
      </c>
      <c r="FB86">
        <f>'TEA Revised Non EYZ'!DS86</f>
        <v>1.2</v>
      </c>
      <c r="FC86">
        <v>0.5</v>
      </c>
      <c r="FD86">
        <f>'TEA Revised Non EYZ'!DT86</f>
        <v>1405.8331706903878</v>
      </c>
      <c r="FE86">
        <f>'TEA Revised Non EYZ'!DU86</f>
        <v>705.85015893081743</v>
      </c>
      <c r="FF86">
        <f>'TEA Revised Non EYZ'!DV86</f>
        <v>0.7</v>
      </c>
      <c r="FG86">
        <f>'TEA Revised Non EYZ'!DW86</f>
        <v>49536.497143418172</v>
      </c>
      <c r="FH86">
        <f>'TEA Revised Non EYZ'!DX86</f>
        <v>49831.318766753509</v>
      </c>
      <c r="FI86">
        <f>'TEA Revised Non EYZ'!DY86</f>
        <v>21097.937381085154</v>
      </c>
      <c r="FJ86">
        <f>'TEA Revised Non EYZ'!DZ86</f>
        <v>11176.166036369152</v>
      </c>
      <c r="FK86">
        <f>'TEA Revised Non EYZ'!EA86</f>
        <v>11252.233269912085</v>
      </c>
      <c r="FL86">
        <f>'TEA Revised Non EYZ'!EB86</f>
        <v>850.24790163354669</v>
      </c>
      <c r="FM86">
        <f>'TEA Revised Non EYZ'!EC86</f>
        <v>38570.467480084517</v>
      </c>
      <c r="FN86">
        <f>'TEA Revised Non EYZ'!ED86</f>
        <v>34914.468754142828</v>
      </c>
      <c r="FO86">
        <f>'TEA Revised Non EYZ'!EE86</f>
        <v>14782.335561229824</v>
      </c>
      <c r="FP86">
        <f>'TEA Revised Non EYZ'!EF86</f>
        <v>7834.9750362253289</v>
      </c>
      <c r="FQ86">
        <f>'TEA Revised Non EYZ'!EG86</f>
        <v>7883.9122993225756</v>
      </c>
      <c r="FR86">
        <f>'TEA Revised Non EYZ'!EH86</f>
        <v>426.8981761213584</v>
      </c>
      <c r="FS86">
        <f>'TEA Revised Non EYZ'!EI86</f>
        <v>248157.45780629804</v>
      </c>
      <c r="FT86">
        <f>EG86*EH86</f>
        <v>2516.3189603753908</v>
      </c>
      <c r="FU86">
        <f>EG86*EI86</f>
        <v>4524.5336701236374</v>
      </c>
      <c r="FV86">
        <f>FC86*(FT86+FU86)/(3.6*10^6)*3600*7200*0.07</f>
        <v>1774.2948628857555</v>
      </c>
      <c r="FW86">
        <f>('CAPEX+OPEX'!$C$39/7/100+0.03)*EL86</f>
        <v>90808.982260023418</v>
      </c>
      <c r="FX86">
        <f>('CAPEX+OPEX'!$C$39/7/100+0.03)*EM86</f>
        <v>163281.48547743791</v>
      </c>
      <c r="FY86">
        <f>SUM(FV86:FX86)</f>
        <v>255864.76260034708</v>
      </c>
      <c r="FZ86">
        <f>FY86+FA86+FS86+EU86</f>
        <v>10951439.955274262</v>
      </c>
      <c r="GA86">
        <f>FZ86+EO86</f>
        <v>12087813.938541796</v>
      </c>
      <c r="GB86">
        <f>GA86/(BK86*60*7200)</f>
        <v>0.27981050783661565</v>
      </c>
      <c r="GC86">
        <f>'TEA Revised Non EYZ'!EM86/'TEA Revised Non EYZ'!EK86*GA86</f>
        <v>936.12912204249005</v>
      </c>
      <c r="GD86">
        <f>'TEA Revised Non EYZ'!EN86/'TEA Revised Non EYZ'!EK86*GA86</f>
        <v>1717.8626925897122</v>
      </c>
    </row>
    <row r="87" spans="1:186">
      <c r="A87">
        <f>'TEA Revised Non EYZ'!A87</f>
        <v>11</v>
      </c>
      <c r="B87">
        <f>'TEA Revised Non EYZ'!B87</f>
        <v>1.54143585092054E-3</v>
      </c>
      <c r="C87">
        <f>'TEA Revised Non EYZ'!C87</f>
        <v>1.54143585092054E-3</v>
      </c>
      <c r="D87">
        <f>'TEA Revised Non EYZ'!D87</f>
        <v>3.4254130020456501E-4</v>
      </c>
      <c r="E87">
        <f>'TEA Revised Non EYZ'!E87</f>
        <v>0</v>
      </c>
      <c r="F87">
        <f>'TEA Revised Non EYZ'!F87</f>
        <v>0</v>
      </c>
      <c r="G87">
        <f>'TEA Revised Non EYZ'!G87</f>
        <v>0</v>
      </c>
      <c r="H87">
        <f>'TEA Revised Non EYZ'!H87</f>
        <v>1.7771367359861701E-5</v>
      </c>
      <c r="I87">
        <f>'TEA Revised Non EYZ'!I87</f>
        <v>1.8081057367328801E-10</v>
      </c>
      <c r="J87">
        <f>'TEA Revised Non EYZ'!J87</f>
        <v>3.3765941525589702E-4</v>
      </c>
      <c r="K87">
        <f>'TEA Revised Non EYZ'!K87</f>
        <v>0.139102253285185</v>
      </c>
      <c r="L87">
        <f>'TEA Revised Non EYZ'!L87</f>
        <v>0.14072466572308701</v>
      </c>
      <c r="M87">
        <f>'TEA Revised Non EYZ'!M87</f>
        <v>4.4568945720355099E-4</v>
      </c>
      <c r="N87">
        <f>'TEA Revised Non EYZ'!N87</f>
        <v>-8.03393809811758E-16</v>
      </c>
      <c r="O87">
        <f>'TEA Revised Non EYZ'!O87</f>
        <v>-8.4019770307808202E-13</v>
      </c>
      <c r="P87">
        <f>'TEA Revised Non EYZ'!P87</f>
        <v>-2.26157796916898E-19</v>
      </c>
      <c r="Q87">
        <f>'TEA Revised Non EYZ'!Q87</f>
        <v>0.10953557168033</v>
      </c>
      <c r="R87">
        <f>'TEA Revised Non EYZ'!R87</f>
        <v>98.5748039883795</v>
      </c>
      <c r="S87">
        <f>'TEA Revised Non EYZ'!S87</f>
        <v>500</v>
      </c>
      <c r="T87">
        <f>'TEA Revised Non EYZ'!T87</f>
        <v>95</v>
      </c>
      <c r="U87">
        <f>'TEA Revised Non EYZ'!U87</f>
        <v>1</v>
      </c>
      <c r="V87">
        <f>'TEA Revised Non EYZ'!V87</f>
        <v>0.1</v>
      </c>
      <c r="W87">
        <f>'TEA Revised Non EYZ'!W87</f>
        <v>91.294543376138293</v>
      </c>
      <c r="X87" t="str">
        <f>'TEA Revised Non EYZ'!X87</f>
        <v>ddFc</v>
      </c>
      <c r="Y87">
        <f>'TEA Revised Non EYZ'!Y87</f>
        <v>1</v>
      </c>
      <c r="Z87">
        <f>'TEA Revised Non EYZ'!Z87</f>
        <v>0.28318429382522198</v>
      </c>
      <c r="AA87">
        <f>'TEA Revised Non EYZ'!AA87</f>
        <v>0.56945642916197003</v>
      </c>
      <c r="AB87">
        <f>'TEA Revised Non EYZ'!AB87</f>
        <v>3.7698628972227502E-3</v>
      </c>
      <c r="AC87">
        <f>'TEA Revised Non EYZ'!AC87</f>
        <v>1822.2107908876901</v>
      </c>
      <c r="AD87">
        <f>'TEA Revised Non EYZ'!AD87</f>
        <v>2662.6059073104898</v>
      </c>
      <c r="AE87">
        <f>'TEA Revised Non EYZ'!AE87</f>
        <v>2401.5030938442701</v>
      </c>
      <c r="AF87">
        <f>'TEA Revised Non EYZ'!AF87</f>
        <v>9</v>
      </c>
      <c r="AG87">
        <f>'TEA Revised Non EYZ'!AG87</f>
        <v>1.6497569194096201E-3</v>
      </c>
      <c r="AH87">
        <f>'TEA Revised Non EYZ'!AH87</f>
        <v>1.6689987798565299E-3</v>
      </c>
      <c r="AI87">
        <f>'TEA Revised Non EYZ'!AI87</f>
        <v>5.28589040482341E-6</v>
      </c>
      <c r="AJ87">
        <f>'TEA Revised Non EYZ'!AJ87</f>
        <v>0</v>
      </c>
      <c r="AK87">
        <f>'TEA Revised Non EYZ'!AK87</f>
        <v>0</v>
      </c>
      <c r="AL87">
        <f>'TEA Revised Non EYZ'!AL87</f>
        <v>0</v>
      </c>
      <c r="AM87">
        <f>'TEA Revised Non EYZ'!AM87</f>
        <v>1.6127950089356499E-3</v>
      </c>
      <c r="AN87">
        <f>'TEA Revised Non EYZ'!AN87</f>
        <v>7.9632833043740095E-5</v>
      </c>
      <c r="AO87">
        <f>'TEA Revised Non EYZ'!AO87</f>
        <v>5.2511147626523301E-6</v>
      </c>
      <c r="AP87">
        <f>'TEA Revised Non EYZ'!AP87</f>
        <v>1.7337618973110201E-3</v>
      </c>
      <c r="AQ87">
        <f>'TEA Revised Non EYZ'!AQ87</f>
        <v>7.4551939662868896E-2</v>
      </c>
      <c r="AR87">
        <f>'TEA Revised Non EYZ'!AR87</f>
        <v>1.6312112273867399E-6</v>
      </c>
      <c r="AS87">
        <f>'TEA Revised Non EYZ'!AS87</f>
        <v>3.6795111228726801E-17</v>
      </c>
      <c r="AT87">
        <f>'TEA Revised Non EYZ'!AT87</f>
        <v>-4.8355416892853498E-15</v>
      </c>
      <c r="AU87">
        <f>'TEA Revised Non EYZ'!AU87</f>
        <v>-1.38304598418866E-21</v>
      </c>
      <c r="AV87">
        <f>'TEA Revised Non EYZ'!AV87</f>
        <v>0.19689484339142299</v>
      </c>
      <c r="AW87">
        <f>'TEA Revised Non EYZ'!AW87</f>
        <v>99.342104366383694</v>
      </c>
      <c r="AX87">
        <f>'TEA Revised Non EYZ'!AX87</f>
        <v>500</v>
      </c>
      <c r="AY87">
        <f>'TEA Revised Non EYZ'!AY87</f>
        <v>95</v>
      </c>
      <c r="AZ87">
        <f>'TEA Revised Non EYZ'!AZ87</f>
        <v>0.92356908198738696</v>
      </c>
      <c r="BA87">
        <f>'TEA Revised Non EYZ'!BA87</f>
        <v>0.1</v>
      </c>
      <c r="BB87">
        <f>'TEA Revised Non EYZ'!BB87</f>
        <v>46.906717620397401</v>
      </c>
      <c r="BC87" t="str">
        <f>'TEA Revised Non EYZ'!BC87</f>
        <v>coeFc</v>
      </c>
      <c r="BD87">
        <f>'TEA Revised Non EYZ'!BD87</f>
        <v>1</v>
      </c>
      <c r="BE87">
        <f>'TEA Revised Non EYZ'!BE87</f>
        <v>1.8775014999999999E-2</v>
      </c>
      <c r="BF87">
        <f>'TEA Revised Non EYZ'!BF87</f>
        <v>0.10492961100000001</v>
      </c>
      <c r="BG87">
        <f>'TEA Revised Non EYZ'!BG87</f>
        <v>1.814625E-3</v>
      </c>
      <c r="BH87">
        <f>'TEA Revised Non EYZ'!BH87</f>
        <v>285.1951444</v>
      </c>
      <c r="BI87">
        <f>'TEA Revised Non EYZ'!BI87</f>
        <v>2169.8944889999998</v>
      </c>
      <c r="BJ87">
        <f>'TEA Revised Non EYZ'!BJ87</f>
        <v>866.49409060000005</v>
      </c>
      <c r="BK87">
        <f>'TEA Revised Non EYZ'!BK87</f>
        <v>100</v>
      </c>
      <c r="BL87">
        <f>'TEA Revised Non EYZ'!BL87</f>
        <v>10.953557168032999</v>
      </c>
      <c r="BM87">
        <f>'TEA Revised Non EYZ'!BM87</f>
        <v>92.356908198738694</v>
      </c>
      <c r="BN87">
        <f>'TEA Revised Non EYZ'!BN87</f>
        <v>19.6894843391423</v>
      </c>
      <c r="BO87">
        <f>'TEA Revised Non EYZ'!BO87</f>
        <v>284.79248636885796</v>
      </c>
      <c r="BP87">
        <f>'TEA Revised Non EYZ'!BP87</f>
        <v>433.16865546113058</v>
      </c>
      <c r="BQ87">
        <f>'TEA Revised Non EYZ'!BQ87</f>
        <v>28.479248636885799</v>
      </c>
      <c r="BR87">
        <f>'TEA Revised Non EYZ'!BR87</f>
        <v>43.316865546113064</v>
      </c>
      <c r="BS87">
        <f>'eLLE Bals'!CF87</f>
        <v>6.5721343008197994</v>
      </c>
      <c r="BT87">
        <f>'eLLE Bals'!CG87</f>
        <v>11.81369060348538</v>
      </c>
      <c r="BU87">
        <f>BM87</f>
        <v>92.356908198738694</v>
      </c>
      <c r="BV87">
        <f>BU87*(AM87*2+AN87*2+AO87*3)</f>
        <v>0.31406973584158593</v>
      </c>
      <c r="BW87">
        <f>BN87*BA87*(AP87*2+AQ87*2+AR87*3)</f>
        <v>0.30041486054630379</v>
      </c>
      <c r="BX87">
        <f>BV87/(2*V87*BL87+BV87)</f>
        <v>0.12538809364762865</v>
      </c>
      <c r="BY87">
        <f>BU87*BX87</f>
        <v>11.58045665422889</v>
      </c>
      <c r="BZ87">
        <f>BW87/(2*BN87*BA87+BW87)</f>
        <v>7.0880784566901556E-2</v>
      </c>
      <c r="CA87">
        <f>2*BN87*BA87/0.04</f>
        <v>98.447421695711498</v>
      </c>
      <c r="CB87">
        <f>(BS87+BL87)*2</f>
        <v>35.051382937705597</v>
      </c>
      <c r="CC87">
        <f>(BU87+BL87)*2</f>
        <v>206.62093073354339</v>
      </c>
      <c r="CD87">
        <f>(BT87+BN87)*2</f>
        <v>63.006349885255361</v>
      </c>
      <c r="CE87">
        <f>(CA87+BN87)*2</f>
        <v>236.27381206970759</v>
      </c>
      <c r="CF87">
        <f>'TEA Revised Non EYZ'!CB87</f>
        <v>3759.2608200689256</v>
      </c>
      <c r="CG87">
        <f>'TEA Revised Non EYZ'!CC87</f>
        <v>5717.8262520869239</v>
      </c>
      <c r="CH87">
        <f>'TEA Revised Non EYZ'!CD87</f>
        <v>4541.8834647976191</v>
      </c>
      <c r="CI87">
        <f>'TEA Revised Non EYZ'!CE87</f>
        <v>44102.102073030474</v>
      </c>
      <c r="CJ87">
        <f>BL87*V87</f>
        <v>1.0953557168032999</v>
      </c>
      <c r="CK87">
        <f>CJ87/2*1.2</f>
        <v>0.65721343008197997</v>
      </c>
      <c r="CL87">
        <f>'eLLE Bals'!CB87*'Oxidant Feed Composition'!$N$20</f>
        <v>3.6511857226776682E-2</v>
      </c>
      <c r="CM87">
        <f>'eLLE Bals'!CB87*'Oxidant Feed Composition'!$N$21</f>
        <v>1.8255928613388335</v>
      </c>
      <c r="CN87">
        <f>'eLLE Bals'!CB87*'Oxidant Feed Composition'!$N$22</f>
        <v>0.54767785840164995</v>
      </c>
      <c r="CO87">
        <f>CN87/CK87</f>
        <v>0.83333333333333326</v>
      </c>
      <c r="CP87">
        <f>CO87</f>
        <v>0.83333333333333326</v>
      </c>
      <c r="CQ87">
        <f>CL87/CO87</f>
        <v>4.381422867213202E-2</v>
      </c>
      <c r="CR87">
        <f>CM87/CO87</f>
        <v>2.1907114336066003</v>
      </c>
      <c r="CS87">
        <f>BN87*BA87</f>
        <v>1.96894843391423</v>
      </c>
      <c r="CT87">
        <f>CS87/2*1.2</f>
        <v>1.1813690603485381</v>
      </c>
      <c r="CU87">
        <f>'eLLE Bals'!CC87*'Oxidant Feed Composition'!$N$20</f>
        <v>6.5631614463807691E-2</v>
      </c>
      <c r="CV87">
        <f>'eLLE Bals'!CC87*'Oxidant Feed Composition'!$N$21</f>
        <v>3.2815807231903835</v>
      </c>
      <c r="CW87">
        <f>'eLLE Bals'!CC87*'Oxidant Feed Composition'!$N$22</f>
        <v>0.98447421695711501</v>
      </c>
      <c r="CX87">
        <f>CU87/CP87</f>
        <v>7.8757937356569233E-2</v>
      </c>
      <c r="CY87">
        <f>CV87/CP87</f>
        <v>3.9378968678284605</v>
      </c>
      <c r="CZ87">
        <f>CJ87</f>
        <v>1.0953557168032999</v>
      </c>
      <c r="DA87">
        <f>'eLLE Bals'!BQ87</f>
        <v>2.1907114336065998</v>
      </c>
      <c r="DB87">
        <f>'eLLE Bals'!BU87</f>
        <v>5.4496563536283551</v>
      </c>
      <c r="DC87">
        <f>CS87</f>
        <v>1.96894843391423</v>
      </c>
      <c r="DD87">
        <f>'eLLE Bals'!BX87</f>
        <v>3.93789686782846</v>
      </c>
      <c r="DE87">
        <f>'eLLE Bals'!CA87</f>
        <v>21.871465081599887</v>
      </c>
      <c r="DF87">
        <f>2*2*(CJ87*'Reagent cost'!$C$36*122.44/1000*0.5+CK87*'Oxidant Feed Composition'!$N$26+CQ87*'Reagent cost'!$C$34+CR87*'Reagent cost'!$C$35)</f>
        <v>73.579738279908327</v>
      </c>
      <c r="DG87">
        <f>2*2*(CS87*'Reagent cost'!$C$36*122.44/1000*0.5+CT87*'Oxidant Feed Composition'!$N$26+CX87*'Reagent cost'!$C$34+CY87*'Reagent cost'!$C$35)</f>
        <v>132.26270537652246</v>
      </c>
      <c r="DH87">
        <f>(AF87+3)*2*(CZ87*'Reagent cost'!$C$38*0.5+DA87*'Reagent cost'!$C$39+DB87*'Reagent cost'!$C$36*122.44/1000)</f>
        <v>1192.5840049675751</v>
      </c>
      <c r="DI87">
        <f>3*2*(DC87*'Reagent cost'!$C$38*0.5+DD87*'Reagent cost'!$C$39+DE87*'Reagent cost'!$C$36*122.44/1000)</f>
        <v>1162.4091546404384</v>
      </c>
      <c r="DJ87">
        <f>7963.6*(CB87/1000)^0.6*1.7*('CAPEX+OPEX'!$G$116/'CAPEX+OPEX'!$G$115)</f>
        <v>2138.2772847076108</v>
      </c>
      <c r="DK87">
        <f>7963.6*(CC87/1000)^0.6*1.7*('CAPEX+OPEX'!$G$116/'CAPEX+OPEX'!$G$115)</f>
        <v>6199.3408604999822</v>
      </c>
      <c r="DL87">
        <f>7963.6*(CD87/1000)^0.6*1.7*('CAPEX+OPEX'!$G$116/'CAPEX+OPEX'!$G$115)</f>
        <v>3039.9855565601665</v>
      </c>
      <c r="DM87">
        <f>7963.6*(CE87/1000)^0.6*1.7*('CAPEX+OPEX'!$G$116/'CAPEX+OPEX'!$G$115)</f>
        <v>6718.7778354141183</v>
      </c>
      <c r="DN87">
        <f>'TEA Revised Non EYZ'!CM87</f>
        <v>39625.826528698344</v>
      </c>
      <c r="DO87">
        <f>'TEA Revised Non EYZ'!CN87</f>
        <v>4586243.4239371875</v>
      </c>
      <c r="DP87">
        <f>'TEA Revised Non EYZ'!CO87</f>
        <v>11794834.586807497</v>
      </c>
      <c r="DQ87">
        <f>'TEA Revised Non EYZ'!CP87</f>
        <v>2275209.1661185985</v>
      </c>
      <c r="DR87">
        <f>'TEA Revised Non EYZ'!CQ87</f>
        <v>14083914.336508472</v>
      </c>
      <c r="DS87">
        <f>'TEA Revised Non EYZ'!CR87</f>
        <v>1662824.8986326549</v>
      </c>
      <c r="DT87">
        <f>'TEA Revised Non EYZ'!CS87</f>
        <v>892840.31653984461</v>
      </c>
      <c r="DU87">
        <f>'TEA Revised Non EYZ'!CT87</f>
        <v>2296193.8284949926</v>
      </c>
      <c r="DV87">
        <f>'TEA Revised Non EYZ'!CU87</f>
        <v>442932.9811560188</v>
      </c>
      <c r="DW87">
        <f>'TEA Revised Non EYZ'!CV87</f>
        <v>2741827.1059701391</v>
      </c>
      <c r="DX87">
        <f>'TEA Revised Non EYZ'!CW87</f>
        <v>323715.28756992728</v>
      </c>
      <c r="DY87">
        <f>'TEA Revised Non EYZ'!CX87</f>
        <v>6697509.5197309218</v>
      </c>
      <c r="DZ87">
        <f>'TEA Revised Non EYZ'!CY87</f>
        <v>755793.23951553891</v>
      </c>
      <c r="EA87">
        <f>'TEA Revised Non EYZ'!CZ87</f>
        <v>1943738.1355262429</v>
      </c>
      <c r="EB87">
        <f>'TEA Revised Non EYZ'!DA87</f>
        <v>374944.70905340556</v>
      </c>
      <c r="EC87">
        <f>'TEA Revised Non EYZ'!DB87</f>
        <v>2320968.6572438823</v>
      </c>
      <c r="ED87">
        <f>'TEA Revised Non EYZ'!DC87</f>
        <v>274026.40913590638</v>
      </c>
      <c r="EE87">
        <f>'TEA Revised Non EYZ'!DD87</f>
        <v>5669471.1504749758</v>
      </c>
      <c r="EF87">
        <v>0.7</v>
      </c>
      <c r="EG87">
        <v>100</v>
      </c>
      <c r="EH87">
        <f>96485*BL87*V87/EF87/EG87/60</f>
        <v>25.163189603753906</v>
      </c>
      <c r="EI87">
        <f>96485*BN87*BA87/EF87/EG87/60</f>
        <v>45.231902296717742</v>
      </c>
      <c r="EJ87">
        <f>EH87*('CAPEX+OPEX'!$O$25+'CAPEX+OPEX'!$O$26)</f>
        <v>802001.17905084451</v>
      </c>
      <c r="EK87">
        <f>EI87*('CAPEX+OPEX'!$O$25+'CAPEX+OPEX'!$O$26)</f>
        <v>1441631.1900009878</v>
      </c>
      <c r="EL87">
        <f>EJ87*1.12/0.6*'CAPEX+OPEX'!$G$116/'CAPEX+OPEX'!$G$115</f>
        <v>1765730.2106115664</v>
      </c>
      <c r="EM87">
        <f>EK87*1.12/0.6*'CAPEX+OPEX'!$G$116/'CAPEX+OPEX'!$G$115</f>
        <v>3173975.0654197824</v>
      </c>
      <c r="EN87">
        <f>EL87+EM87+DY87+EE87+1.15*(SUM(DF87:DM87)+SUM(CF87:CI87))</f>
        <v>17397280.979450241</v>
      </c>
      <c r="EO87">
        <f>EN87/15</f>
        <v>1159818.7319633493</v>
      </c>
      <c r="EP87">
        <f>('eLLE Bals'!CB87+'eLLE Bals'!CC87)*'Oxidant Feed Composition'!$N$29*60*7200</f>
        <v>7643469.1213321565</v>
      </c>
      <c r="EQ87" s="53">
        <f>('eLLE Bals'!BR87+'eLLE Bals'!BY87)*'Reagent cost'!$C$38*60*7200*0.5</f>
        <v>252637.8700022194</v>
      </c>
      <c r="ER87">
        <f>'TEA Revised Non EYZ'!DI87</f>
        <v>504921.59999999998</v>
      </c>
      <c r="ES87">
        <f>'TEA Revised Non EYZ'!DJ87</f>
        <v>94.770870721558495</v>
      </c>
      <c r="ET87">
        <f>'TEA Revised Non EYZ'!DK87</f>
        <v>972.87971075656185</v>
      </c>
      <c r="EU87">
        <f>1.2*SUM(EP87:ET87)</f>
        <v>10082515.490299024</v>
      </c>
      <c r="EV87">
        <f>'TEA Revised Non EYZ'!DM87</f>
        <v>0.70639694042110623</v>
      </c>
      <c r="EW87">
        <f>(BS87*CO87+BT87*CP87)/1000*('Oxidant Feed Composition'!$B$11*'Oxidant Feed Composition'!$O$20+'Oxidant Feed Composition'!$D$11*'Oxidant Feed Composition'!$O$21+'Oxidant Feed Composition'!$F$11*'Oxidant Feed Composition'!$O$27-'Oxidant Feed Composition'!$J$15*18.015)</f>
        <v>1.7893167533081866</v>
      </c>
      <c r="EX87">
        <f>(CZ87*BX87+DC87*BZ87)*368.34/1000</f>
        <v>0.10199525214609623</v>
      </c>
      <c r="EY87">
        <f>'TEA Revised Non EYZ'!DP87</f>
        <v>4.999938342565946E-2</v>
      </c>
      <c r="EZ87">
        <f>SUM(EV87:EX87)-EY87</f>
        <v>2.5477095624497297</v>
      </c>
      <c r="FA87">
        <f>EZ87*0.33*60*7200</f>
        <v>363201.47522283351</v>
      </c>
      <c r="FB87">
        <f>'TEA Revised Non EYZ'!DS87</f>
        <v>1.2</v>
      </c>
      <c r="FC87">
        <v>0.5</v>
      </c>
      <c r="FD87">
        <f>'TEA Revised Non EYZ'!DT87</f>
        <v>1405.8674445834067</v>
      </c>
      <c r="FE87">
        <f>'TEA Revised Non EYZ'!DU87</f>
        <v>705.81588450637275</v>
      </c>
      <c r="FF87">
        <f>'TEA Revised Non EYZ'!DV87</f>
        <v>0.7</v>
      </c>
      <c r="FG87">
        <f>'TEA Revised Non EYZ'!DW87</f>
        <v>49536.497143418172</v>
      </c>
      <c r="FH87">
        <f>'TEA Revised Non EYZ'!DX87</f>
        <v>49831.318766753509</v>
      </c>
      <c r="FI87">
        <f>'TEA Revised Non EYZ'!DY87</f>
        <v>21097.937381085154</v>
      </c>
      <c r="FJ87">
        <f>'TEA Revised Non EYZ'!DZ87</f>
        <v>11176.166036369152</v>
      </c>
      <c r="FK87">
        <f>'TEA Revised Non EYZ'!EA87</f>
        <v>11252.233269912085</v>
      </c>
      <c r="FL87">
        <f>'TEA Revised Non EYZ'!EB87</f>
        <v>850.26863048404448</v>
      </c>
      <c r="FM87">
        <f>'TEA Revised Non EYZ'!EC87</f>
        <v>41141.831978756825</v>
      </c>
      <c r="FN87">
        <f>'TEA Revised Non EYZ'!ED87</f>
        <v>38793.854171269806</v>
      </c>
      <c r="FO87">
        <f>'TEA Revised Non EYZ'!EE87</f>
        <v>16424.81729025536</v>
      </c>
      <c r="FP87">
        <f>'TEA Revised Non EYZ'!EF87</f>
        <v>8705.5278180281439</v>
      </c>
      <c r="FQ87">
        <f>'TEA Revised Non EYZ'!EG87</f>
        <v>8759.9025548028621</v>
      </c>
      <c r="FR87">
        <f>'TEA Revised Non EYZ'!EH87</f>
        <v>426.87744694945422</v>
      </c>
      <c r="FS87">
        <f>'TEA Revised Non EYZ'!EI87</f>
        <v>257997.23248808456</v>
      </c>
      <c r="FT87">
        <f>EG87*EH87</f>
        <v>2516.3189603753908</v>
      </c>
      <c r="FU87">
        <f>EG87*EI87</f>
        <v>4523.1902296717744</v>
      </c>
      <c r="FV87">
        <f>FC87*(FT87+FU87)/(3.6*10^6)*3600*7200*0.07</f>
        <v>1773.9563158918857</v>
      </c>
      <c r="FW87">
        <f>('CAPEX+OPEX'!$C$39/7/100+0.03)*EL87</f>
        <v>90808.982260023418</v>
      </c>
      <c r="FX87">
        <f>('CAPEX+OPEX'!$C$39/7/100+0.03)*EM87</f>
        <v>163233.00336444596</v>
      </c>
      <c r="FY87">
        <f>SUM(FV87:FX87)</f>
        <v>255815.94194036128</v>
      </c>
      <c r="FZ87">
        <f>FY87+FA87+FS87+EU87</f>
        <v>10959530.139950303</v>
      </c>
      <c r="GA87">
        <f>FZ87+EO87</f>
        <v>12119348.871913653</v>
      </c>
      <c r="GB87">
        <f>GA87/(BK87*60*7200)</f>
        <v>0.28054048314614938</v>
      </c>
      <c r="GC87">
        <f>'TEA Revised Non EYZ'!EM87/'TEA Revised Non EYZ'!EK87*GA87</f>
        <v>938.54841896348637</v>
      </c>
      <c r="GD87">
        <f>'TEA Revised Non EYZ'!EN87/'TEA Revised Non EYZ'!EK87*GA87</f>
        <v>1722.4213948784472</v>
      </c>
    </row>
    <row r="88" spans="1:186">
      <c r="A88">
        <f>'TEA Revised Non EYZ'!A88</f>
        <v>11</v>
      </c>
      <c r="B88">
        <f>'TEA Revised Non EYZ'!B88</f>
        <v>1.54143585092054E-3</v>
      </c>
      <c r="C88">
        <f>'TEA Revised Non EYZ'!C88</f>
        <v>1.54143585092054E-3</v>
      </c>
      <c r="D88">
        <f>'TEA Revised Non EYZ'!D88</f>
        <v>3.4254130020456501E-4</v>
      </c>
      <c r="E88">
        <f>'TEA Revised Non EYZ'!E88</f>
        <v>0</v>
      </c>
      <c r="F88">
        <f>'TEA Revised Non EYZ'!F88</f>
        <v>0</v>
      </c>
      <c r="G88">
        <f>'TEA Revised Non EYZ'!G88</f>
        <v>0</v>
      </c>
      <c r="H88">
        <f>'TEA Revised Non EYZ'!H88</f>
        <v>1.7771367359861701E-5</v>
      </c>
      <c r="I88">
        <f>'TEA Revised Non EYZ'!I88</f>
        <v>1.8081057367328801E-10</v>
      </c>
      <c r="J88">
        <f>'TEA Revised Non EYZ'!J88</f>
        <v>3.3765941525589702E-4</v>
      </c>
      <c r="K88">
        <f>'TEA Revised Non EYZ'!K88</f>
        <v>0.139102253285185</v>
      </c>
      <c r="L88">
        <f>'TEA Revised Non EYZ'!L88</f>
        <v>0.14072466572308701</v>
      </c>
      <c r="M88">
        <f>'TEA Revised Non EYZ'!M88</f>
        <v>4.4568945720355099E-4</v>
      </c>
      <c r="N88">
        <f>'TEA Revised Non EYZ'!N88</f>
        <v>-8.03393809811758E-16</v>
      </c>
      <c r="O88">
        <f>'TEA Revised Non EYZ'!O88</f>
        <v>-8.4019770307808202E-13</v>
      </c>
      <c r="P88">
        <f>'TEA Revised Non EYZ'!P88</f>
        <v>-2.26157796916898E-19</v>
      </c>
      <c r="Q88">
        <f>'TEA Revised Non EYZ'!Q88</f>
        <v>0.10953557168033</v>
      </c>
      <c r="R88">
        <f>'TEA Revised Non EYZ'!R88</f>
        <v>98.5748039883795</v>
      </c>
      <c r="S88">
        <f>'TEA Revised Non EYZ'!S88</f>
        <v>500</v>
      </c>
      <c r="T88">
        <f>'TEA Revised Non EYZ'!T88</f>
        <v>95</v>
      </c>
      <c r="U88">
        <f>'TEA Revised Non EYZ'!U88</f>
        <v>1</v>
      </c>
      <c r="V88">
        <f>'TEA Revised Non EYZ'!V88</f>
        <v>0.1</v>
      </c>
      <c r="W88">
        <f>'TEA Revised Non EYZ'!W88</f>
        <v>91.294543376138293</v>
      </c>
      <c r="X88" t="str">
        <f>'TEA Revised Non EYZ'!X88</f>
        <v>ddFc</v>
      </c>
      <c r="Y88">
        <f>'TEA Revised Non EYZ'!Y88</f>
        <v>1</v>
      </c>
      <c r="Z88">
        <f>'TEA Revised Non EYZ'!Z88</f>
        <v>0.28318429382522198</v>
      </c>
      <c r="AA88">
        <f>'TEA Revised Non EYZ'!AA88</f>
        <v>0.56945642916197003</v>
      </c>
      <c r="AB88">
        <f>'TEA Revised Non EYZ'!AB88</f>
        <v>3.7698628972227502E-3</v>
      </c>
      <c r="AC88">
        <f>'TEA Revised Non EYZ'!AC88</f>
        <v>1822.2107908876901</v>
      </c>
      <c r="AD88">
        <f>'TEA Revised Non EYZ'!AD88</f>
        <v>2662.6059073104898</v>
      </c>
      <c r="AE88">
        <f>'TEA Revised Non EYZ'!AE88</f>
        <v>2401.5030938442701</v>
      </c>
      <c r="AF88">
        <f>'TEA Revised Non EYZ'!AF88</f>
        <v>10</v>
      </c>
      <c r="AG88">
        <f>'TEA Revised Non EYZ'!AG88</f>
        <v>1.6497569194096201E-3</v>
      </c>
      <c r="AH88">
        <f>'TEA Revised Non EYZ'!AH88</f>
        <v>1.6689987798565299E-3</v>
      </c>
      <c r="AI88">
        <f>'TEA Revised Non EYZ'!AI88</f>
        <v>5.28589040482341E-6</v>
      </c>
      <c r="AJ88">
        <f>'TEA Revised Non EYZ'!AJ88</f>
        <v>0</v>
      </c>
      <c r="AK88">
        <f>'TEA Revised Non EYZ'!AK88</f>
        <v>0</v>
      </c>
      <c r="AL88">
        <f>'TEA Revised Non EYZ'!AL88</f>
        <v>0</v>
      </c>
      <c r="AM88">
        <f>'TEA Revised Non EYZ'!AM88</f>
        <v>1.61280608328623E-3</v>
      </c>
      <c r="AN88">
        <f>'TEA Revised Non EYZ'!AN88</f>
        <v>7.9633405949388404E-5</v>
      </c>
      <c r="AO88">
        <f>'TEA Revised Non EYZ'!AO88</f>
        <v>5.2511247490748196E-6</v>
      </c>
      <c r="AP88">
        <f>'TEA Revised Non EYZ'!AP88</f>
        <v>1.7333873588263201E-3</v>
      </c>
      <c r="AQ88">
        <f>'TEA Revised Non EYZ'!AQ88</f>
        <v>7.4558146402506298E-2</v>
      </c>
      <c r="AR88">
        <f>'TEA Revised Non EYZ'!AR88</f>
        <v>1.63087914994542E-6</v>
      </c>
      <c r="AS88">
        <f>'TEA Revised Non EYZ'!AS88</f>
        <v>6.1625306095082401E-15</v>
      </c>
      <c r="AT88">
        <f>'TEA Revised Non EYZ'!AT88</f>
        <v>-6.3828326304915498E-13</v>
      </c>
      <c r="AU88">
        <f>'TEA Revised Non EYZ'!AU88</f>
        <v>5.8087931335923803E-20</v>
      </c>
      <c r="AV88">
        <f>'TEA Revised Non EYZ'!AV88</f>
        <v>0.19687838161047699</v>
      </c>
      <c r="AW88">
        <f>'TEA Revised Non EYZ'!AW88</f>
        <v>99.342293292406097</v>
      </c>
      <c r="AX88">
        <f>'TEA Revised Non EYZ'!AX88</f>
        <v>500</v>
      </c>
      <c r="AY88">
        <f>'TEA Revised Non EYZ'!AY88</f>
        <v>95</v>
      </c>
      <c r="AZ88">
        <f>'TEA Revised Non EYZ'!AZ88</f>
        <v>0.92356908198738696</v>
      </c>
      <c r="BA88">
        <f>'TEA Revised Non EYZ'!BA88</f>
        <v>0.1</v>
      </c>
      <c r="BB88">
        <f>'TEA Revised Non EYZ'!BB88</f>
        <v>46.910639676765697</v>
      </c>
      <c r="BC88" t="str">
        <f>'TEA Revised Non EYZ'!BC88</f>
        <v>coeFc</v>
      </c>
      <c r="BD88">
        <f>'TEA Revised Non EYZ'!BD88</f>
        <v>1</v>
      </c>
      <c r="BE88">
        <f>'TEA Revised Non EYZ'!BE88</f>
        <v>1.8775014999999999E-2</v>
      </c>
      <c r="BF88">
        <f>'TEA Revised Non EYZ'!BF88</f>
        <v>0.10492961100000001</v>
      </c>
      <c r="BG88">
        <f>'TEA Revised Non EYZ'!BG88</f>
        <v>1.814625E-3</v>
      </c>
      <c r="BH88">
        <f>'TEA Revised Non EYZ'!BH88</f>
        <v>285.1951444</v>
      </c>
      <c r="BI88">
        <f>'TEA Revised Non EYZ'!BI88</f>
        <v>2169.8944889999998</v>
      </c>
      <c r="BJ88">
        <f>'TEA Revised Non EYZ'!BJ88</f>
        <v>866.49409060000005</v>
      </c>
      <c r="BK88">
        <f>'TEA Revised Non EYZ'!BK88</f>
        <v>100</v>
      </c>
      <c r="BL88">
        <f>'TEA Revised Non EYZ'!BL88</f>
        <v>10.953557168032999</v>
      </c>
      <c r="BM88">
        <f>'TEA Revised Non EYZ'!BM88</f>
        <v>92.356908198738694</v>
      </c>
      <c r="BN88">
        <f>'TEA Revised Non EYZ'!BN88</f>
        <v>19.687838161047701</v>
      </c>
      <c r="BO88">
        <f>'TEA Revised Non EYZ'!BO88</f>
        <v>284.79248636885796</v>
      </c>
      <c r="BP88">
        <f>'TEA Revised Non EYZ'!BP88</f>
        <v>472.50811586514482</v>
      </c>
      <c r="BQ88">
        <f>'TEA Revised Non EYZ'!BQ88</f>
        <v>28.479248636885799</v>
      </c>
      <c r="BR88">
        <f>'TEA Revised Non EYZ'!BR88</f>
        <v>47.250811586514487</v>
      </c>
      <c r="BS88">
        <f>'eLLE Bals'!CF88</f>
        <v>6.5721343008197994</v>
      </c>
      <c r="BT88">
        <f>'eLLE Bals'!CG88</f>
        <v>11.81270289662862</v>
      </c>
      <c r="BU88">
        <f>BM88</f>
        <v>92.356908198738694</v>
      </c>
      <c r="BV88">
        <f>BU88*(AM88*2+AN88*2+AO88*3)</f>
        <v>0.31407189001767971</v>
      </c>
      <c r="BW88">
        <f>BN88*BA88*(AP88*2+AQ88*2+AR88*3)</f>
        <v>0.30041270649567403</v>
      </c>
      <c r="BX88">
        <f>BV88/(2*V88*BL88+BV88)</f>
        <v>0.12538884583566912</v>
      </c>
      <c r="BY88">
        <f>BU88*BX88</f>
        <v>11.58052612399069</v>
      </c>
      <c r="BZ88">
        <f>BW88/(2*BN88*BA88+BW88)</f>
        <v>7.0885818830262903E-2</v>
      </c>
      <c r="CA88">
        <f>2*BN88*BA88/0.04</f>
        <v>98.439190805238511</v>
      </c>
      <c r="CB88">
        <f>(BS88+BL88)*2</f>
        <v>35.051382937705597</v>
      </c>
      <c r="CC88">
        <f>(BU88+BL88)*2</f>
        <v>206.62093073354339</v>
      </c>
      <c r="CD88">
        <f>(BT88+BN88)*2</f>
        <v>63.001082115352645</v>
      </c>
      <c r="CE88">
        <f>(CA88+BN88)*2</f>
        <v>236.25405793257244</v>
      </c>
      <c r="CF88">
        <f>'TEA Revised Non EYZ'!CB88</f>
        <v>3759.2608200689256</v>
      </c>
      <c r="CG88">
        <f>'TEA Revised Non EYZ'!CC88</f>
        <v>6237.1071294199119</v>
      </c>
      <c r="CH88">
        <f>'TEA Revised Non EYZ'!CD88</f>
        <v>4541.8834647976191</v>
      </c>
      <c r="CI88">
        <f>'TEA Revised Non EYZ'!CE88</f>
        <v>48107.36163270205</v>
      </c>
      <c r="CJ88">
        <f>BL88*V88</f>
        <v>1.0953557168032999</v>
      </c>
      <c r="CK88">
        <f>CJ88/2*1.2</f>
        <v>0.65721343008197997</v>
      </c>
      <c r="CL88">
        <f>'eLLE Bals'!CB88*'Oxidant Feed Composition'!$N$20</f>
        <v>3.6511857226776682E-2</v>
      </c>
      <c r="CM88">
        <f>'eLLE Bals'!CB88*'Oxidant Feed Composition'!$N$21</f>
        <v>1.8255928613388335</v>
      </c>
      <c r="CN88">
        <f>'eLLE Bals'!CB88*'Oxidant Feed Composition'!$N$22</f>
        <v>0.54767785840164995</v>
      </c>
      <c r="CO88">
        <f>CN88/CK88</f>
        <v>0.83333333333333326</v>
      </c>
      <c r="CP88">
        <f>CO88</f>
        <v>0.83333333333333326</v>
      </c>
      <c r="CQ88">
        <f>CL88/CO88</f>
        <v>4.381422867213202E-2</v>
      </c>
      <c r="CR88">
        <f>CM88/CO88</f>
        <v>2.1907114336066003</v>
      </c>
      <c r="CS88">
        <f>BN88*BA88</f>
        <v>1.9687838161047702</v>
      </c>
      <c r="CT88">
        <f>CS88/2*1.2</f>
        <v>1.181270289662862</v>
      </c>
      <c r="CU88">
        <f>'eLLE Bals'!CC88*'Oxidant Feed Composition'!$N$20</f>
        <v>6.5626127203492368E-2</v>
      </c>
      <c r="CV88">
        <f>'eLLE Bals'!CC88*'Oxidant Feed Composition'!$N$21</f>
        <v>3.2813063601746171</v>
      </c>
      <c r="CW88">
        <f>'eLLE Bals'!CC88*'Oxidant Feed Composition'!$N$22</f>
        <v>0.98439190805238508</v>
      </c>
      <c r="CX88">
        <f>CU88/CP88</f>
        <v>7.875135264419085E-2</v>
      </c>
      <c r="CY88">
        <f>CV88/CP88</f>
        <v>3.9375676322095408</v>
      </c>
      <c r="CZ88">
        <f>CJ88</f>
        <v>1.0953557168032999</v>
      </c>
      <c r="DA88">
        <f>'eLLE Bals'!BQ88</f>
        <v>2.1907114336065998</v>
      </c>
      <c r="DB88">
        <f>'eLLE Bals'!BU88</f>
        <v>5.4496039502668872</v>
      </c>
      <c r="DC88">
        <f>CS88</f>
        <v>1.9687838161047702</v>
      </c>
      <c r="DD88">
        <f>'eLLE Bals'!BX88</f>
        <v>3.9375676322095403</v>
      </c>
      <c r="DE88">
        <f>'eLLE Bals'!CA88</f>
        <v>21.867663842657375</v>
      </c>
      <c r="DF88">
        <f>2*2*(CJ88*'Reagent cost'!$C$36*122.44/1000*0.5+CK88*'Oxidant Feed Composition'!$N$26+CQ88*'Reagent cost'!$C$34+CR88*'Reagent cost'!$C$35)</f>
        <v>73.579738279908327</v>
      </c>
      <c r="DG88">
        <f>2*2*(CS88*'Reagent cost'!$C$36*122.44/1000*0.5+CT88*'Oxidant Feed Composition'!$N$26+CX88*'Reagent cost'!$C$34+CY88*'Reagent cost'!$C$35)</f>
        <v>132.25164729269596</v>
      </c>
      <c r="DH88">
        <f>(AF88+3)*2*(CZ88*'Reagent cost'!$C$38*0.5+DA88*'Reagent cost'!$C$39+DB88*'Reagent cost'!$C$36*122.44/1000)</f>
        <v>1291.9542243443141</v>
      </c>
      <c r="DI88">
        <f>3*2*(DC88*'Reagent cost'!$C$38*0.5+DD88*'Reagent cost'!$C$39+DE88*'Reagent cost'!$C$36*122.44/1000)</f>
        <v>1162.2096284380671</v>
      </c>
      <c r="DJ88">
        <f>7963.6*(CB88/1000)^0.6*1.7*('CAPEX+OPEX'!$G$116/'CAPEX+OPEX'!$G$115)</f>
        <v>2138.2772847076108</v>
      </c>
      <c r="DK88">
        <f>7963.6*(CC88/1000)^0.6*1.7*('CAPEX+OPEX'!$G$116/'CAPEX+OPEX'!$G$115)</f>
        <v>6199.3408604999822</v>
      </c>
      <c r="DL88">
        <f>7963.6*(CD88/1000)^0.6*1.7*('CAPEX+OPEX'!$G$116/'CAPEX+OPEX'!$G$115)</f>
        <v>3039.8330556242968</v>
      </c>
      <c r="DM88">
        <f>7963.6*(CE88/1000)^0.6*1.7*('CAPEX+OPEX'!$G$116/'CAPEX+OPEX'!$G$115)</f>
        <v>6718.4407877904569</v>
      </c>
      <c r="DN88">
        <f>'TEA Revised Non EYZ'!CM88</f>
        <v>39625.826528698344</v>
      </c>
      <c r="DO88">
        <f>'TEA Revised Non EYZ'!CN88</f>
        <v>4586243.4239371875</v>
      </c>
      <c r="DP88">
        <f>'TEA Revised Non EYZ'!CO88</f>
        <v>11794834.586807497</v>
      </c>
      <c r="DQ88">
        <f>'TEA Revised Non EYZ'!CP88</f>
        <v>2275209.1661185985</v>
      </c>
      <c r="DR88">
        <f>'TEA Revised Non EYZ'!CQ88</f>
        <v>14083914.336508472</v>
      </c>
      <c r="DS88">
        <f>'TEA Revised Non EYZ'!CR88</f>
        <v>1662824.8986326549</v>
      </c>
      <c r="DT88">
        <f>'TEA Revised Non EYZ'!CS88</f>
        <v>892840.31653984461</v>
      </c>
      <c r="DU88">
        <f>'TEA Revised Non EYZ'!CT88</f>
        <v>2296193.8284949926</v>
      </c>
      <c r="DV88">
        <f>'TEA Revised Non EYZ'!CU88</f>
        <v>442932.9811560188</v>
      </c>
      <c r="DW88">
        <f>'TEA Revised Non EYZ'!CV88</f>
        <v>2741827.1059701391</v>
      </c>
      <c r="DX88">
        <f>'TEA Revised Non EYZ'!CW88</f>
        <v>323715.28756992728</v>
      </c>
      <c r="DY88">
        <f>'TEA Revised Non EYZ'!CX88</f>
        <v>6697509.5197309218</v>
      </c>
      <c r="DZ88">
        <f>'TEA Revised Non EYZ'!CY88</f>
        <v>800273.82788002607</v>
      </c>
      <c r="EA88">
        <f>'TEA Revised Non EYZ'!CZ88</f>
        <v>2058132.6701348326</v>
      </c>
      <c r="EB88">
        <f>'TEA Revised Non EYZ'!DA88</f>
        <v>397011.27486912702</v>
      </c>
      <c r="EC88">
        <f>'TEA Revised Non EYZ'!DB88</f>
        <v>2457564.2842647284</v>
      </c>
      <c r="ED88">
        <f>'TEA Revised Non EYZ'!DC88</f>
        <v>290153.64508946665</v>
      </c>
      <c r="EE88">
        <f>'TEA Revised Non EYZ'!DD88</f>
        <v>6003135.7022381816</v>
      </c>
      <c r="EF88">
        <v>0.7</v>
      </c>
      <c r="EG88">
        <v>100</v>
      </c>
      <c r="EH88">
        <f>96485*BL88*V88/EF88/EG88/60</f>
        <v>25.163189603753906</v>
      </c>
      <c r="EI88">
        <f>96485*BN88*BA88/EF88/EG88/60</f>
        <v>45.228120594492573</v>
      </c>
      <c r="EJ88">
        <f>EH88*('CAPEX+OPEX'!$O$25+'CAPEX+OPEX'!$O$26)</f>
        <v>802001.17905084451</v>
      </c>
      <c r="EK88">
        <f>EI88*('CAPEX+OPEX'!$O$25+'CAPEX+OPEX'!$O$26)</f>
        <v>1441510.6595876673</v>
      </c>
      <c r="EL88">
        <f>EJ88*1.12/0.6*'CAPEX+OPEX'!$G$116/'CAPEX+OPEX'!$G$115</f>
        <v>1765730.2106115664</v>
      </c>
      <c r="EM88">
        <f>EK88*1.12/0.6*'CAPEX+OPEX'!$G$116/'CAPEX+OPEX'!$G$115</f>
        <v>3173709.6989868437</v>
      </c>
      <c r="EN88">
        <f>EL88+EM88+DY88+EE88+1.15*(SUM(DF88:DM88)+SUM(CF88:CI88))</f>
        <v>17735996.856882576</v>
      </c>
      <c r="EO88">
        <f>EN88/15</f>
        <v>1182399.7904588385</v>
      </c>
      <c r="EP88">
        <f>('eLLE Bals'!CB88+'eLLE Bals'!CC88)*'Oxidant Feed Composition'!$N$29*60*7200</f>
        <v>7643058.5057138819</v>
      </c>
      <c r="EQ88" s="53">
        <f>('eLLE Bals'!BR88+'eLLE Bals'!BY88)*'Reagent cost'!$C$38*60*7200*0.5</f>
        <v>252637.01881391334</v>
      </c>
      <c r="ER88">
        <f>'TEA Revised Non EYZ'!DI88</f>
        <v>504921.59999999998</v>
      </c>
      <c r="ES88">
        <f>'TEA Revised Non EYZ'!DJ88</f>
        <v>99.963679494888382</v>
      </c>
      <c r="ET88">
        <f>'TEA Revised Non EYZ'!DK88</f>
        <v>1052.9849019499934</v>
      </c>
      <c r="EU88">
        <f>1.2*SUM(EP88:ET88)</f>
        <v>10082124.087731088</v>
      </c>
      <c r="EV88">
        <f>'TEA Revised Non EYZ'!DM88</f>
        <v>0.70639694042110623</v>
      </c>
      <c r="EW88">
        <f>(BS88*CO88+BT88*CP88)/1000*('Oxidant Feed Composition'!$B$11*'Oxidant Feed Composition'!$O$20+'Oxidant Feed Composition'!$D$11*'Oxidant Feed Composition'!$O$21+'Oxidant Feed Composition'!$F$11*'Oxidant Feed Composition'!$O$27-'Oxidant Feed Composition'!$J$15*18.015)</f>
        <v>1.7892206292324184</v>
      </c>
      <c r="EX88">
        <f>(CZ88*BX88+DC88*BZ88)*368.34/1000</f>
        <v>0.10199490850337199</v>
      </c>
      <c r="EY88">
        <f>'TEA Revised Non EYZ'!DP88</f>
        <v>4.999938342565946E-2</v>
      </c>
      <c r="EZ88">
        <f>SUM(EV88:EX88)-EY88</f>
        <v>2.5476130947312372</v>
      </c>
      <c r="FA88">
        <f>EZ88*0.33*60*7200</f>
        <v>363187.72278488521</v>
      </c>
      <c r="FB88">
        <f>'TEA Revised Non EYZ'!DS88</f>
        <v>1.2</v>
      </c>
      <c r="FC88">
        <v>0.5</v>
      </c>
      <c r="FD88">
        <f>'TEA Revised Non EYZ'!DT88</f>
        <v>1405.8770925358626</v>
      </c>
      <c r="FE88">
        <f>'TEA Revised Non EYZ'!DU88</f>
        <v>705.80623683932424</v>
      </c>
      <c r="FF88">
        <f>'TEA Revised Non EYZ'!DV88</f>
        <v>0.7</v>
      </c>
      <c r="FG88">
        <f>'TEA Revised Non EYZ'!DW88</f>
        <v>49536.497143418172</v>
      </c>
      <c r="FH88">
        <f>'TEA Revised Non EYZ'!DX88</f>
        <v>49831.318766753509</v>
      </c>
      <c r="FI88">
        <f>'TEA Revised Non EYZ'!DY88</f>
        <v>21097.937381085154</v>
      </c>
      <c r="FJ88">
        <f>'TEA Revised Non EYZ'!DZ88</f>
        <v>11176.166036369152</v>
      </c>
      <c r="FK88">
        <f>'TEA Revised Non EYZ'!EA88</f>
        <v>11252.233269912085</v>
      </c>
      <c r="FL88">
        <f>'TEA Revised Non EYZ'!EB88</f>
        <v>850.27446556568964</v>
      </c>
      <c r="FM88">
        <f>'TEA Revised Non EYZ'!EC88</f>
        <v>43713.196477429126</v>
      </c>
      <c r="FN88">
        <f>'TEA Revised Non EYZ'!ED88</f>
        <v>42673.239588396784</v>
      </c>
      <c r="FO88">
        <f>'TEA Revised Non EYZ'!EE88</f>
        <v>18067.299019280894</v>
      </c>
      <c r="FP88">
        <f>'TEA Revised Non EYZ'!EF88</f>
        <v>9576.080599830957</v>
      </c>
      <c r="FQ88">
        <f>'TEA Revised Non EYZ'!EG88</f>
        <v>9635.8928102831469</v>
      </c>
      <c r="FR88">
        <f>'TEA Revised Non EYZ'!EH88</f>
        <v>426.87161204042332</v>
      </c>
      <c r="FS88">
        <f>'TEA Revised Non EYZ'!EI88</f>
        <v>267837.00717036513</v>
      </c>
      <c r="FT88">
        <f>EG88*EH88</f>
        <v>2516.3189603753908</v>
      </c>
      <c r="FU88">
        <f>EG88*EI88</f>
        <v>4522.8120594492575</v>
      </c>
      <c r="FV88">
        <f>FC88*(FT88+FU88)/(3.6*10^6)*3600*7200*0.07</f>
        <v>1773.8610169958115</v>
      </c>
      <c r="FW88">
        <f>('CAPEX+OPEX'!$C$39/7/100+0.03)*EL88</f>
        <v>90808.982260023418</v>
      </c>
      <c r="FX88">
        <f>('CAPEX+OPEX'!$C$39/7/100+0.03)*EM88</f>
        <v>163219.35594789483</v>
      </c>
      <c r="FY88">
        <f>SUM(FV88:FX88)</f>
        <v>255802.19922491407</v>
      </c>
      <c r="FZ88">
        <f>FY88+FA88+FS88+EU88</f>
        <v>10968951.016911251</v>
      </c>
      <c r="GA88">
        <f>FZ88+EO88</f>
        <v>12151350.807370089</v>
      </c>
      <c r="GB88">
        <f>GA88/(BK88*60*7200)</f>
        <v>0.28128126868912245</v>
      </c>
      <c r="GC88">
        <f>'TEA Revised Non EYZ'!EM88/'TEA Revised Non EYZ'!EK88*GA88</f>
        <v>941.02025576572282</v>
      </c>
      <c r="GD88">
        <f>'TEA Revised Non EYZ'!EN88/'TEA Revised Non EYZ'!EK88*GA88</f>
        <v>1726.9913244110612</v>
      </c>
    </row>
    <row r="89" spans="1:186">
      <c r="A89">
        <f>'TEA Revised Non EYZ'!A89</f>
        <v>11</v>
      </c>
      <c r="B89">
        <f>'TEA Revised Non EYZ'!B89</f>
        <v>1.54143585092054E-3</v>
      </c>
      <c r="C89">
        <f>'TEA Revised Non EYZ'!C89</f>
        <v>1.54143585092054E-3</v>
      </c>
      <c r="D89">
        <f>'TEA Revised Non EYZ'!D89</f>
        <v>3.4254130020456501E-4</v>
      </c>
      <c r="E89">
        <f>'TEA Revised Non EYZ'!E89</f>
        <v>0</v>
      </c>
      <c r="F89">
        <f>'TEA Revised Non EYZ'!F89</f>
        <v>0</v>
      </c>
      <c r="G89">
        <f>'TEA Revised Non EYZ'!G89</f>
        <v>0</v>
      </c>
      <c r="H89">
        <f>'TEA Revised Non EYZ'!H89</f>
        <v>1.7771367359861701E-5</v>
      </c>
      <c r="I89">
        <f>'TEA Revised Non EYZ'!I89</f>
        <v>1.8081057367328801E-10</v>
      </c>
      <c r="J89">
        <f>'TEA Revised Non EYZ'!J89</f>
        <v>3.3765941525589702E-4</v>
      </c>
      <c r="K89">
        <f>'TEA Revised Non EYZ'!K89</f>
        <v>0.139102253285185</v>
      </c>
      <c r="L89">
        <f>'TEA Revised Non EYZ'!L89</f>
        <v>0.14072466572308701</v>
      </c>
      <c r="M89">
        <f>'TEA Revised Non EYZ'!M89</f>
        <v>4.4568945720355099E-4</v>
      </c>
      <c r="N89">
        <f>'TEA Revised Non EYZ'!N89</f>
        <v>-8.03393809811758E-16</v>
      </c>
      <c r="O89">
        <f>'TEA Revised Non EYZ'!O89</f>
        <v>-8.4019770307808202E-13</v>
      </c>
      <c r="P89">
        <f>'TEA Revised Non EYZ'!P89</f>
        <v>-2.26157796916898E-19</v>
      </c>
      <c r="Q89">
        <f>'TEA Revised Non EYZ'!Q89</f>
        <v>0.10953557168033</v>
      </c>
      <c r="R89">
        <f>'TEA Revised Non EYZ'!R89</f>
        <v>98.5748039883795</v>
      </c>
      <c r="S89">
        <f>'TEA Revised Non EYZ'!S89</f>
        <v>500</v>
      </c>
      <c r="T89">
        <f>'TEA Revised Non EYZ'!T89</f>
        <v>95</v>
      </c>
      <c r="U89">
        <f>'TEA Revised Non EYZ'!U89</f>
        <v>1</v>
      </c>
      <c r="V89">
        <f>'TEA Revised Non EYZ'!V89</f>
        <v>0.1</v>
      </c>
      <c r="W89">
        <f>'TEA Revised Non EYZ'!W89</f>
        <v>91.294543376138293</v>
      </c>
      <c r="X89" t="str">
        <f>'TEA Revised Non EYZ'!X89</f>
        <v>ddFc</v>
      </c>
      <c r="Y89">
        <f>'TEA Revised Non EYZ'!Y89</f>
        <v>1</v>
      </c>
      <c r="Z89">
        <f>'TEA Revised Non EYZ'!Z89</f>
        <v>0.28318429382522198</v>
      </c>
      <c r="AA89">
        <f>'TEA Revised Non EYZ'!AA89</f>
        <v>0.56945642916197003</v>
      </c>
      <c r="AB89">
        <f>'TEA Revised Non EYZ'!AB89</f>
        <v>3.7698628972227502E-3</v>
      </c>
      <c r="AC89">
        <f>'TEA Revised Non EYZ'!AC89</f>
        <v>1822.2107908876901</v>
      </c>
      <c r="AD89">
        <f>'TEA Revised Non EYZ'!AD89</f>
        <v>2662.6059073104898</v>
      </c>
      <c r="AE89">
        <f>'TEA Revised Non EYZ'!AE89</f>
        <v>2401.5030938442701</v>
      </c>
      <c r="AF89">
        <f>'TEA Revised Non EYZ'!AF89</f>
        <v>11</v>
      </c>
      <c r="AG89">
        <f>'TEA Revised Non EYZ'!AG89</f>
        <v>1.6497569194096201E-3</v>
      </c>
      <c r="AH89">
        <f>'TEA Revised Non EYZ'!AH89</f>
        <v>1.6689987798565299E-3</v>
      </c>
      <c r="AI89">
        <f>'TEA Revised Non EYZ'!AI89</f>
        <v>5.28589040482341E-6</v>
      </c>
      <c r="AJ89">
        <f>'TEA Revised Non EYZ'!AJ89</f>
        <v>0</v>
      </c>
      <c r="AK89">
        <f>'TEA Revised Non EYZ'!AK89</f>
        <v>0</v>
      </c>
      <c r="AL89">
        <f>'TEA Revised Non EYZ'!AL89</f>
        <v>0</v>
      </c>
      <c r="AM89">
        <f>'TEA Revised Non EYZ'!AM89</f>
        <v>1.6128091969893901E-3</v>
      </c>
      <c r="AN89">
        <f>'TEA Revised Non EYZ'!AN89</f>
        <v>7.9633567021484305E-5</v>
      </c>
      <c r="AO89">
        <f>'TEA Revised Non EYZ'!AO89</f>
        <v>5.2511275568870697E-6</v>
      </c>
      <c r="AP89">
        <f>'TEA Revised Non EYZ'!AP89</f>
        <v>1.7332820417295799E-3</v>
      </c>
      <c r="AQ89">
        <f>'TEA Revised Non EYZ'!AQ89</f>
        <v>7.4559891685805804E-2</v>
      </c>
      <c r="AR89">
        <f>'TEA Revised Non EYZ'!AR89</f>
        <v>1.63078577254671E-6</v>
      </c>
      <c r="AS89">
        <f>'TEA Revised Non EYZ'!AS89</f>
        <v>1.9922621495235798E-15</v>
      </c>
      <c r="AT89">
        <f>'TEA Revised Non EYZ'!AT89</f>
        <v>-1.9831944246540001E-13</v>
      </c>
      <c r="AU89">
        <f>'TEA Revised Non EYZ'!AU89</f>
        <v>1.2917252445628E-20</v>
      </c>
      <c r="AV89">
        <f>'TEA Revised Non EYZ'!AV89</f>
        <v>0.19687375310907501</v>
      </c>
      <c r="AW89">
        <f>'TEA Revised Non EYZ'!AW89</f>
        <v>99.3423464114084</v>
      </c>
      <c r="AX89">
        <f>'TEA Revised Non EYZ'!AX89</f>
        <v>500</v>
      </c>
      <c r="AY89">
        <f>'TEA Revised Non EYZ'!AY89</f>
        <v>95</v>
      </c>
      <c r="AZ89">
        <f>'TEA Revised Non EYZ'!AZ89</f>
        <v>0.92356908198738696</v>
      </c>
      <c r="BA89">
        <f>'TEA Revised Non EYZ'!BA89</f>
        <v>0.1</v>
      </c>
      <c r="BB89">
        <f>'TEA Revised Non EYZ'!BB89</f>
        <v>46.911742545777201</v>
      </c>
      <c r="BC89" t="str">
        <f>'TEA Revised Non EYZ'!BC89</f>
        <v>coeFc</v>
      </c>
      <c r="BD89">
        <f>'TEA Revised Non EYZ'!BD89</f>
        <v>1</v>
      </c>
      <c r="BE89">
        <f>'TEA Revised Non EYZ'!BE89</f>
        <v>1.8775014999999999E-2</v>
      </c>
      <c r="BF89">
        <f>'TEA Revised Non EYZ'!BF89</f>
        <v>0.10492961100000001</v>
      </c>
      <c r="BG89">
        <f>'TEA Revised Non EYZ'!BG89</f>
        <v>1.814625E-3</v>
      </c>
      <c r="BH89">
        <f>'TEA Revised Non EYZ'!BH89</f>
        <v>285.1951444</v>
      </c>
      <c r="BI89">
        <f>'TEA Revised Non EYZ'!BI89</f>
        <v>2169.8944889999998</v>
      </c>
      <c r="BJ89">
        <f>'TEA Revised Non EYZ'!BJ89</f>
        <v>866.49409060000005</v>
      </c>
      <c r="BK89">
        <f>'TEA Revised Non EYZ'!BK89</f>
        <v>100</v>
      </c>
      <c r="BL89">
        <f>'TEA Revised Non EYZ'!BL89</f>
        <v>10.953557168032999</v>
      </c>
      <c r="BM89">
        <f>'TEA Revised Non EYZ'!BM89</f>
        <v>92.356908198738694</v>
      </c>
      <c r="BN89">
        <f>'TEA Revised Non EYZ'!BN89</f>
        <v>19.687375310907502</v>
      </c>
      <c r="BO89">
        <f>'TEA Revised Non EYZ'!BO89</f>
        <v>284.79248636885796</v>
      </c>
      <c r="BP89">
        <f>'TEA Revised Non EYZ'!BP89</f>
        <v>511.87175808359507</v>
      </c>
      <c r="BQ89">
        <f>'TEA Revised Non EYZ'!BQ89</f>
        <v>28.479248636885799</v>
      </c>
      <c r="BR89">
        <f>'TEA Revised Non EYZ'!BR89</f>
        <v>51.187175808359513</v>
      </c>
      <c r="BS89">
        <f>'eLLE Bals'!CF89</f>
        <v>6.5721343008197994</v>
      </c>
      <c r="BT89">
        <f>'eLLE Bals'!CG89</f>
        <v>11.8124251865445</v>
      </c>
      <c r="BU89">
        <f>BM89</f>
        <v>92.356908198738694</v>
      </c>
      <c r="BV89">
        <f>BU89*(AM89*2+AN89*2+AO89*3)</f>
        <v>0.31407249569187762</v>
      </c>
      <c r="BW89">
        <f>BN89*BA89*(AP89*2+AQ89*2+AR89*3)</f>
        <v>0.30041210073431812</v>
      </c>
      <c r="BX89">
        <f>BV89/(2*V89*BL89+BV89)</f>
        <v>0.12538905732273717</v>
      </c>
      <c r="BY89">
        <f>BU89*BX89</f>
        <v>11.580545656282421</v>
      </c>
      <c r="BZ89">
        <f>BW89/(2*BN89*BA89+BW89)</f>
        <v>7.088723441320316E-2</v>
      </c>
      <c r="CA89">
        <f>2*BN89*BA89/0.04</f>
        <v>98.436876554537506</v>
      </c>
      <c r="CB89">
        <f>(BS89+BL89)*2</f>
        <v>35.051382937705597</v>
      </c>
      <c r="CC89">
        <f>(BU89+BL89)*2</f>
        <v>206.62093073354339</v>
      </c>
      <c r="CD89">
        <f>(BT89+BN89)*2</f>
        <v>62.999600994904</v>
      </c>
      <c r="CE89">
        <f>(CA89+BN89)*2</f>
        <v>236.24850373089001</v>
      </c>
      <c r="CF89">
        <f>'TEA Revised Non EYZ'!CB89</f>
        <v>3759.2608200689256</v>
      </c>
      <c r="CG89">
        <f>'TEA Revised Non EYZ'!CC89</f>
        <v>6756.7072067034551</v>
      </c>
      <c r="CH89">
        <f>'TEA Revised Non EYZ'!CD89</f>
        <v>4541.8834647976191</v>
      </c>
      <c r="CI89">
        <f>'TEA Revised Non EYZ'!CE89</f>
        <v>52115.083209962198</v>
      </c>
      <c r="CJ89">
        <f>BL89*V89</f>
        <v>1.0953557168032999</v>
      </c>
      <c r="CK89">
        <f>CJ89/2*1.2</f>
        <v>0.65721343008197997</v>
      </c>
      <c r="CL89">
        <f>'eLLE Bals'!CB89*'Oxidant Feed Composition'!$N$20</f>
        <v>3.6511857226776682E-2</v>
      </c>
      <c r="CM89">
        <f>'eLLE Bals'!CB89*'Oxidant Feed Composition'!$N$21</f>
        <v>1.8255928613388335</v>
      </c>
      <c r="CN89">
        <f>'eLLE Bals'!CB89*'Oxidant Feed Composition'!$N$22</f>
        <v>0.54767785840164995</v>
      </c>
      <c r="CO89">
        <f>CN89/CK89</f>
        <v>0.83333333333333326</v>
      </c>
      <c r="CP89">
        <f>CO89</f>
        <v>0.83333333333333326</v>
      </c>
      <c r="CQ89">
        <f>CL89/CO89</f>
        <v>4.381422867213202E-2</v>
      </c>
      <c r="CR89">
        <f>CM89/CO89</f>
        <v>2.1907114336066003</v>
      </c>
      <c r="CS89">
        <f>BN89*BA89</f>
        <v>1.9687375310907502</v>
      </c>
      <c r="CT89">
        <f>CS89/2*1.2</f>
        <v>1.1812425186544502</v>
      </c>
      <c r="CU89">
        <f>'eLLE Bals'!CC89*'Oxidant Feed Composition'!$N$20</f>
        <v>6.5624584369691707E-2</v>
      </c>
      <c r="CV89">
        <f>'eLLE Bals'!CC89*'Oxidant Feed Composition'!$N$21</f>
        <v>3.2812292184845839</v>
      </c>
      <c r="CW89">
        <f>'eLLE Bals'!CC89*'Oxidant Feed Composition'!$N$22</f>
        <v>0.98436876554537511</v>
      </c>
      <c r="CX89">
        <f>CU89/CP89</f>
        <v>7.874950124363006E-2</v>
      </c>
      <c r="CY89">
        <f>CV89/CP89</f>
        <v>3.9374750621815009</v>
      </c>
      <c r="CZ89">
        <f>CJ89</f>
        <v>1.0953557168032999</v>
      </c>
      <c r="DA89">
        <f>'eLLE Bals'!BQ89</f>
        <v>2.1907114336065998</v>
      </c>
      <c r="DB89">
        <f>'eLLE Bals'!BU89</f>
        <v>5.4495892156661379</v>
      </c>
      <c r="DC89">
        <f>CS89</f>
        <v>1.9687375310907502</v>
      </c>
      <c r="DD89">
        <f>'eLLE Bals'!BX89</f>
        <v>3.9374750621815005</v>
      </c>
      <c r="DE89">
        <f>'eLLE Bals'!CA89</f>
        <v>21.866595125744379</v>
      </c>
      <c r="DF89">
        <f>2*2*(CJ89*'Reagent cost'!$C$36*122.44/1000*0.5+CK89*'Oxidant Feed Composition'!$N$26+CQ89*'Reagent cost'!$C$34+CR89*'Reagent cost'!$C$35)</f>
        <v>73.579738279908327</v>
      </c>
      <c r="DG89">
        <f>2*2*(CS89*'Reagent cost'!$C$36*122.44/1000*0.5+CT89*'Oxidant Feed Composition'!$N$26+CX89*'Reagent cost'!$C$34+CY89*'Reagent cost'!$C$35)</f>
        <v>132.24853812992296</v>
      </c>
      <c r="DH89">
        <f>(AF89+3)*2*(CZ89*'Reagent cost'!$C$38*0.5+DA89*'Reagent cost'!$C$39+DB89*'Reagent cost'!$C$36*122.44/1000)</f>
        <v>1391.3317511605408</v>
      </c>
      <c r="DI89">
        <f>3*2*(DC89*'Reagent cost'!$C$38*0.5+DD89*'Reagent cost'!$C$39+DE89*'Reagent cost'!$C$36*122.44/1000)</f>
        <v>1162.1535316814786</v>
      </c>
      <c r="DJ89">
        <f>7963.6*(CB89/1000)^0.6*1.7*('CAPEX+OPEX'!$G$116/'CAPEX+OPEX'!$G$115)</f>
        <v>2138.2772847076108</v>
      </c>
      <c r="DK89">
        <f>7963.6*(CC89/1000)^0.6*1.7*('CAPEX+OPEX'!$G$116/'CAPEX+OPEX'!$G$115)</f>
        <v>6199.3408604999822</v>
      </c>
      <c r="DL89">
        <f>7963.6*(CD89/1000)^0.6*1.7*('CAPEX+OPEX'!$G$116/'CAPEX+OPEX'!$G$115)</f>
        <v>3039.7901765506263</v>
      </c>
      <c r="DM89">
        <f>7963.6*(CE89/1000)^0.6*1.7*('CAPEX+OPEX'!$G$116/'CAPEX+OPEX'!$G$115)</f>
        <v>6718.3460192580314</v>
      </c>
      <c r="DN89">
        <f>'TEA Revised Non EYZ'!CM89</f>
        <v>39625.826528698344</v>
      </c>
      <c r="DO89">
        <f>'TEA Revised Non EYZ'!CN89</f>
        <v>4586243.4239371875</v>
      </c>
      <c r="DP89">
        <f>'TEA Revised Non EYZ'!CO89</f>
        <v>11794834.586807497</v>
      </c>
      <c r="DQ89">
        <f>'TEA Revised Non EYZ'!CP89</f>
        <v>2275209.1661185985</v>
      </c>
      <c r="DR89">
        <f>'TEA Revised Non EYZ'!CQ89</f>
        <v>14083914.336508472</v>
      </c>
      <c r="DS89">
        <f>'TEA Revised Non EYZ'!CR89</f>
        <v>1662824.8986326549</v>
      </c>
      <c r="DT89">
        <f>'TEA Revised Non EYZ'!CS89</f>
        <v>892840.31653984461</v>
      </c>
      <c r="DU89">
        <f>'TEA Revised Non EYZ'!CT89</f>
        <v>2296193.8284949926</v>
      </c>
      <c r="DV89">
        <f>'TEA Revised Non EYZ'!CU89</f>
        <v>442932.9811560188</v>
      </c>
      <c r="DW89">
        <f>'TEA Revised Non EYZ'!CV89</f>
        <v>2741827.1059701391</v>
      </c>
      <c r="DX89">
        <f>'TEA Revised Non EYZ'!CW89</f>
        <v>323715.28756992728</v>
      </c>
      <c r="DY89">
        <f>'TEA Revised Non EYZ'!CX89</f>
        <v>6697509.5197309218</v>
      </c>
      <c r="DZ89">
        <f>'TEA Revised Non EYZ'!CY89</f>
        <v>843163.40790273575</v>
      </c>
      <c r="EA89">
        <f>'TEA Revised Non EYZ'!CZ89</f>
        <v>2168435.4724730523</v>
      </c>
      <c r="EB89">
        <f>'TEA Revised Non EYZ'!DA89</f>
        <v>418288.55053428863</v>
      </c>
      <c r="EC89">
        <f>'TEA Revised Non EYZ'!DB89</f>
        <v>2589274.0770367184</v>
      </c>
      <c r="ED89">
        <f>'TEA Revised Non EYZ'!DC89</f>
        <v>305704.0324024093</v>
      </c>
      <c r="EE89">
        <f>'TEA Revised Non EYZ'!DD89</f>
        <v>6324865.5403492041</v>
      </c>
      <c r="EF89">
        <v>0.7</v>
      </c>
      <c r="EG89">
        <v>100</v>
      </c>
      <c r="EH89">
        <f>96485*BL89*V89/EF89/EG89/60</f>
        <v>25.163189603753906</v>
      </c>
      <c r="EI89">
        <f>96485*BN89*BA89/EF89/EG89/60</f>
        <v>45.227057306497869</v>
      </c>
      <c r="EJ89">
        <f>EH89*('CAPEX+OPEX'!$O$25+'CAPEX+OPEX'!$O$26)</f>
        <v>802001.17905084451</v>
      </c>
      <c r="EK89">
        <f>EI89*('CAPEX+OPEX'!$O$25+'CAPEX+OPEX'!$O$26)</f>
        <v>1441476.7704727</v>
      </c>
      <c r="EL89">
        <f>EJ89*1.12/0.6*'CAPEX+OPEX'!$G$116/'CAPEX+OPEX'!$G$115</f>
        <v>1765730.2106115664</v>
      </c>
      <c r="EM89">
        <f>EK89*1.12/0.6*'CAPEX+OPEX'!$G$116/'CAPEX+OPEX'!$G$115</f>
        <v>3173635.0868345532</v>
      </c>
      <c r="EN89">
        <f>EL89+EM89+DY89+EE89+1.15*(SUM(DF89:DM89)+SUM(CF89:CI89))</f>
        <v>18062972.560518317</v>
      </c>
      <c r="EO89">
        <f>EN89/15</f>
        <v>1204198.1707012211</v>
      </c>
      <c r="EP89">
        <f>('eLLE Bals'!CB89+'eLLE Bals'!CC89)*'Oxidant Feed Composition'!$N$29*60*7200</f>
        <v>7642943.0543559073</v>
      </c>
      <c r="EQ89" s="53">
        <f>('eLLE Bals'!BR89+'eLLE Bals'!BY89)*'Reagent cost'!$C$38*60*7200*0.5</f>
        <v>252636.77942253143</v>
      </c>
      <c r="ER89">
        <f>'TEA Revised Non EYZ'!DI89</f>
        <v>504921.59999999998</v>
      </c>
      <c r="ES89">
        <f>'TEA Revised Non EYZ'!DJ89</f>
        <v>105.15968026772381</v>
      </c>
      <c r="ET89">
        <f>'TEA Revised Non EYZ'!DK89</f>
        <v>1133.1393334951963</v>
      </c>
      <c r="EU89">
        <f>1.2*SUM(EP89:ET89)</f>
        <v>10082087.679350642</v>
      </c>
      <c r="EV89">
        <f>'TEA Revised Non EYZ'!DM89</f>
        <v>0.70639694042110623</v>
      </c>
      <c r="EW89">
        <f>(BS89*CO89+BT89*CP89)/1000*('Oxidant Feed Composition'!$B$11*'Oxidant Feed Composition'!$O$20+'Oxidant Feed Composition'!$D$11*'Oxidant Feed Composition'!$O$21+'Oxidant Feed Composition'!$F$11*'Oxidant Feed Composition'!$O$27-'Oxidant Feed Composition'!$J$15*18.015)</f>
        <v>1.7891936023620623</v>
      </c>
      <c r="EX89">
        <f>(CZ89*BX89+DC89*BZ89)*368.34/1000</f>
        <v>0.10199481185600721</v>
      </c>
      <c r="EY89">
        <f>'TEA Revised Non EYZ'!DP89</f>
        <v>4.999938342565946E-2</v>
      </c>
      <c r="EZ89">
        <f>SUM(EV89:EX89)-EY89</f>
        <v>2.5475859712135165</v>
      </c>
      <c r="FA89">
        <f>EZ89*0.33*60*7200</f>
        <v>363183.85605619894</v>
      </c>
      <c r="FB89">
        <f>'TEA Revised Non EYZ'!DS89</f>
        <v>1.2</v>
      </c>
      <c r="FC89">
        <v>0.5</v>
      </c>
      <c r="FD89">
        <f>'TEA Revised Non EYZ'!DT89</f>
        <v>1405.879805184511</v>
      </c>
      <c r="FE89">
        <f>'TEA Revised Non EYZ'!DU89</f>
        <v>705.8035239923704</v>
      </c>
      <c r="FF89">
        <f>'TEA Revised Non EYZ'!DV89</f>
        <v>0.7</v>
      </c>
      <c r="FG89">
        <f>'TEA Revised Non EYZ'!DW89</f>
        <v>49536.497143418172</v>
      </c>
      <c r="FH89">
        <f>'TEA Revised Non EYZ'!DX89</f>
        <v>49831.318766753509</v>
      </c>
      <c r="FI89">
        <f>'TEA Revised Non EYZ'!DY89</f>
        <v>21097.937381085154</v>
      </c>
      <c r="FJ89">
        <f>'TEA Revised Non EYZ'!DZ89</f>
        <v>11176.166036369152</v>
      </c>
      <c r="FK89">
        <f>'TEA Revised Non EYZ'!EA89</f>
        <v>11252.233269912085</v>
      </c>
      <c r="FL89">
        <f>'TEA Revised Non EYZ'!EB89</f>
        <v>850.27610617559242</v>
      </c>
      <c r="FM89">
        <f>'TEA Revised Non EYZ'!EC89</f>
        <v>46284.560976101428</v>
      </c>
      <c r="FN89">
        <f>'TEA Revised Non EYZ'!ED89</f>
        <v>46552.625005523769</v>
      </c>
      <c r="FO89">
        <f>'TEA Revised Non EYZ'!EE89</f>
        <v>19709.780748306432</v>
      </c>
      <c r="FP89">
        <f>'TEA Revised Non EYZ'!EF89</f>
        <v>10446.633381633772</v>
      </c>
      <c r="FQ89">
        <f>'TEA Revised Non EYZ'!EG89</f>
        <v>10511.883065763433</v>
      </c>
      <c r="FR89">
        <f>'TEA Revised Non EYZ'!EH89</f>
        <v>426.86997131058564</v>
      </c>
      <c r="FS89">
        <f>'TEA Revised Non EYZ'!EI89</f>
        <v>277676.78185235313</v>
      </c>
      <c r="FT89">
        <f>EG89*EH89</f>
        <v>2516.3189603753908</v>
      </c>
      <c r="FU89">
        <f>EG89*EI89</f>
        <v>4522.7057306497873</v>
      </c>
      <c r="FV89">
        <f>FC89*(FT89+FU89)/(3.6*10^6)*3600*7200*0.07</f>
        <v>1773.8342221383452</v>
      </c>
      <c r="FW89">
        <f>('CAPEX+OPEX'!$C$39/7/100+0.03)*EL89</f>
        <v>90808.982260023418</v>
      </c>
      <c r="FX89">
        <f>('CAPEX+OPEX'!$C$39/7/100+0.03)*EM89</f>
        <v>163215.5187514913</v>
      </c>
      <c r="FY89">
        <f>SUM(FV89:FX89)</f>
        <v>255798.33523365308</v>
      </c>
      <c r="FZ89">
        <f>FY89+FA89+FS89+EU89</f>
        <v>10978746.652492847</v>
      </c>
      <c r="GA89">
        <f>FZ89+EO89</f>
        <v>12182944.823194068</v>
      </c>
      <c r="GB89">
        <f>GA89/(BK89*60*7200)</f>
        <v>0.28201261164801084</v>
      </c>
      <c r="GC89">
        <f>'TEA Revised Non EYZ'!EM89/'TEA Revised Non EYZ'!EK89*GA89</f>
        <v>943.46512589943484</v>
      </c>
      <c r="GD89">
        <f>'TEA Revised Non EYZ'!EN89/'TEA Revised Non EYZ'!EK89*GA89</f>
        <v>1731.4877090621314</v>
      </c>
    </row>
    <row r="90" spans="1:186">
      <c r="A90">
        <f>'TEA Revised Non EYZ'!A90</f>
        <v>11</v>
      </c>
      <c r="B90">
        <f>'TEA Revised Non EYZ'!B90</f>
        <v>1.54143585092054E-3</v>
      </c>
      <c r="C90">
        <f>'TEA Revised Non EYZ'!C90</f>
        <v>1.54143585092054E-3</v>
      </c>
      <c r="D90">
        <f>'TEA Revised Non EYZ'!D90</f>
        <v>3.4254130020456501E-4</v>
      </c>
      <c r="E90">
        <f>'TEA Revised Non EYZ'!E90</f>
        <v>0</v>
      </c>
      <c r="F90">
        <f>'TEA Revised Non EYZ'!F90</f>
        <v>0</v>
      </c>
      <c r="G90">
        <f>'TEA Revised Non EYZ'!G90</f>
        <v>0</v>
      </c>
      <c r="H90">
        <f>'TEA Revised Non EYZ'!H90</f>
        <v>1.7771367359861701E-5</v>
      </c>
      <c r="I90">
        <f>'TEA Revised Non EYZ'!I90</f>
        <v>1.8081057367328801E-10</v>
      </c>
      <c r="J90">
        <f>'TEA Revised Non EYZ'!J90</f>
        <v>3.3765941525589702E-4</v>
      </c>
      <c r="K90">
        <f>'TEA Revised Non EYZ'!K90</f>
        <v>0.139102253285185</v>
      </c>
      <c r="L90">
        <f>'TEA Revised Non EYZ'!L90</f>
        <v>0.14072466572308701</v>
      </c>
      <c r="M90">
        <f>'TEA Revised Non EYZ'!M90</f>
        <v>4.4568945720355099E-4</v>
      </c>
      <c r="N90">
        <f>'TEA Revised Non EYZ'!N90</f>
        <v>-8.03393809811758E-16</v>
      </c>
      <c r="O90">
        <f>'TEA Revised Non EYZ'!O90</f>
        <v>-8.4019770307808202E-13</v>
      </c>
      <c r="P90">
        <f>'TEA Revised Non EYZ'!P90</f>
        <v>-2.26157796916898E-19</v>
      </c>
      <c r="Q90">
        <f>'TEA Revised Non EYZ'!Q90</f>
        <v>0.10953557168033</v>
      </c>
      <c r="R90">
        <f>'TEA Revised Non EYZ'!R90</f>
        <v>98.5748039883795</v>
      </c>
      <c r="S90">
        <f>'TEA Revised Non EYZ'!S90</f>
        <v>500</v>
      </c>
      <c r="T90">
        <f>'TEA Revised Non EYZ'!T90</f>
        <v>95</v>
      </c>
      <c r="U90">
        <f>'TEA Revised Non EYZ'!U90</f>
        <v>1</v>
      </c>
      <c r="V90">
        <f>'TEA Revised Non EYZ'!V90</f>
        <v>0.1</v>
      </c>
      <c r="W90">
        <f>'TEA Revised Non EYZ'!W90</f>
        <v>91.294543376138293</v>
      </c>
      <c r="X90" t="str">
        <f>'TEA Revised Non EYZ'!X90</f>
        <v>ddFc</v>
      </c>
      <c r="Y90">
        <f>'TEA Revised Non EYZ'!Y90</f>
        <v>1</v>
      </c>
      <c r="Z90">
        <f>'TEA Revised Non EYZ'!Z90</f>
        <v>0.28318429382522198</v>
      </c>
      <c r="AA90">
        <f>'TEA Revised Non EYZ'!AA90</f>
        <v>0.56945642916197003</v>
      </c>
      <c r="AB90">
        <f>'TEA Revised Non EYZ'!AB90</f>
        <v>3.7698628972227502E-3</v>
      </c>
      <c r="AC90">
        <f>'TEA Revised Non EYZ'!AC90</f>
        <v>1822.2107908876901</v>
      </c>
      <c r="AD90">
        <f>'TEA Revised Non EYZ'!AD90</f>
        <v>2662.6059073104898</v>
      </c>
      <c r="AE90">
        <f>'TEA Revised Non EYZ'!AE90</f>
        <v>2401.5030938442701</v>
      </c>
      <c r="AF90">
        <f>'TEA Revised Non EYZ'!AF90</f>
        <v>12</v>
      </c>
      <c r="AG90">
        <f>'TEA Revised Non EYZ'!AG90</f>
        <v>1.6497569194096201E-3</v>
      </c>
      <c r="AH90">
        <f>'TEA Revised Non EYZ'!AH90</f>
        <v>1.6689987798565299E-3</v>
      </c>
      <c r="AI90">
        <f>'TEA Revised Non EYZ'!AI90</f>
        <v>5.28589040482341E-6</v>
      </c>
      <c r="AJ90">
        <f>'TEA Revised Non EYZ'!AJ90</f>
        <v>0</v>
      </c>
      <c r="AK90">
        <f>'TEA Revised Non EYZ'!AK90</f>
        <v>0</v>
      </c>
      <c r="AL90">
        <f>'TEA Revised Non EYZ'!AL90</f>
        <v>0</v>
      </c>
      <c r="AM90">
        <f>'TEA Revised Non EYZ'!AM90</f>
        <v>1.6128100720939401E-3</v>
      </c>
      <c r="AN90">
        <f>'TEA Revised Non EYZ'!AN90</f>
        <v>7.9633612290502494E-5</v>
      </c>
      <c r="AO90">
        <f>'TEA Revised Non EYZ'!AO90</f>
        <v>5.2511283460207698E-6</v>
      </c>
      <c r="AP90">
        <f>'TEA Revised Non EYZ'!AP90</f>
        <v>1.73325244157297E-3</v>
      </c>
      <c r="AQ90">
        <f>'TEA Revised Non EYZ'!AQ90</f>
        <v>7.4560382210708806E-2</v>
      </c>
      <c r="AR90">
        <f>'TEA Revised Non EYZ'!AR90</f>
        <v>1.63075952813163E-6</v>
      </c>
      <c r="AS90">
        <f>'TEA Revised Non EYZ'!AS90</f>
        <v>3.8857128235522602E-16</v>
      </c>
      <c r="AT90">
        <f>'TEA Revised Non EYZ'!AT90</f>
        <v>-3.7970928484787298E-14</v>
      </c>
      <c r="AU90">
        <f>'TEA Revised Non EYZ'!AU90</f>
        <v>-3.6660644748350096E-21</v>
      </c>
      <c r="AV90">
        <f>'TEA Revised Non EYZ'!AV90</f>
        <v>0.196872452268469</v>
      </c>
      <c r="AW90">
        <f>'TEA Revised Non EYZ'!AW90</f>
        <v>99.342361340467505</v>
      </c>
      <c r="AX90">
        <f>'TEA Revised Non EYZ'!AX90</f>
        <v>500</v>
      </c>
      <c r="AY90">
        <f>'TEA Revised Non EYZ'!AY90</f>
        <v>95</v>
      </c>
      <c r="AZ90">
        <f>'TEA Revised Non EYZ'!AZ90</f>
        <v>0.92356908198738696</v>
      </c>
      <c r="BA90">
        <f>'TEA Revised Non EYZ'!BA90</f>
        <v>0.1</v>
      </c>
      <c r="BB90">
        <f>'TEA Revised Non EYZ'!BB90</f>
        <v>46.912052516516702</v>
      </c>
      <c r="BC90" t="str">
        <f>'TEA Revised Non EYZ'!BC90</f>
        <v>coeFc</v>
      </c>
      <c r="BD90">
        <f>'TEA Revised Non EYZ'!BD90</f>
        <v>1</v>
      </c>
      <c r="BE90">
        <f>'TEA Revised Non EYZ'!BE90</f>
        <v>1.8775014999999999E-2</v>
      </c>
      <c r="BF90">
        <f>'TEA Revised Non EYZ'!BF90</f>
        <v>0.10492961100000001</v>
      </c>
      <c r="BG90">
        <f>'TEA Revised Non EYZ'!BG90</f>
        <v>1.814625E-3</v>
      </c>
      <c r="BH90">
        <f>'TEA Revised Non EYZ'!BH90</f>
        <v>285.1951444</v>
      </c>
      <c r="BI90">
        <f>'TEA Revised Non EYZ'!BI90</f>
        <v>2169.8944889999998</v>
      </c>
      <c r="BJ90">
        <f>'TEA Revised Non EYZ'!BJ90</f>
        <v>866.49409060000005</v>
      </c>
      <c r="BK90">
        <f>'TEA Revised Non EYZ'!BK90</f>
        <v>100</v>
      </c>
      <c r="BL90">
        <f>'TEA Revised Non EYZ'!BL90</f>
        <v>10.953557168032999</v>
      </c>
      <c r="BM90">
        <f>'TEA Revised Non EYZ'!BM90</f>
        <v>92.356908198738694</v>
      </c>
      <c r="BN90">
        <f>'TEA Revised Non EYZ'!BN90</f>
        <v>19.687245226846901</v>
      </c>
      <c r="BO90">
        <f>'TEA Revised Non EYZ'!BO90</f>
        <v>284.79248636885796</v>
      </c>
      <c r="BP90">
        <f>'TEA Revised Non EYZ'!BP90</f>
        <v>551.24286635171325</v>
      </c>
      <c r="BQ90">
        <f>'TEA Revised Non EYZ'!BQ90</f>
        <v>28.479248636885799</v>
      </c>
      <c r="BR90">
        <f>'TEA Revised Non EYZ'!BR90</f>
        <v>55.12428663517133</v>
      </c>
      <c r="BS90">
        <f>'eLLE Bals'!CF90</f>
        <v>6.5721343008197994</v>
      </c>
      <c r="BT90">
        <f>'eLLE Bals'!CG90</f>
        <v>11.812347136108141</v>
      </c>
      <c r="BU90">
        <f>BM90</f>
        <v>92.356908198738694</v>
      </c>
      <c r="BV90">
        <f>BU90*(AM90*2+AN90*2+AO90*3)</f>
        <v>0.31407266591623784</v>
      </c>
      <c r="BW90">
        <f>BN90*BA90*(AP90*2+AQ90*2+AR90*3)</f>
        <v>0.30041193047820802</v>
      </c>
      <c r="BX90">
        <f>BV90/(2*V90*BL90+BV90)</f>
        <v>0.12538911676102893</v>
      </c>
      <c r="BY90">
        <f>BU90*BX90</f>
        <v>11.580551145819276</v>
      </c>
      <c r="BZ90">
        <f>BW90/(2*BN90*BA90+BW90)</f>
        <v>7.0887632272581685E-2</v>
      </c>
      <c r="CA90">
        <f>2*BN90*BA90/0.04</f>
        <v>98.436226134234502</v>
      </c>
      <c r="CB90">
        <f>(BS90+BL90)*2</f>
        <v>35.051382937705597</v>
      </c>
      <c r="CC90">
        <f>(BU90+BL90)*2</f>
        <v>206.62093073354339</v>
      </c>
      <c r="CD90">
        <f>(BT90+BN90)*2</f>
        <v>62.999184725910084</v>
      </c>
      <c r="CE90">
        <f>(CA90+BN90)*2</f>
        <v>236.2469427221628</v>
      </c>
      <c r="CF90">
        <f>'TEA Revised Non EYZ'!CB90</f>
        <v>3759.2608200689256</v>
      </c>
      <c r="CG90">
        <f>'TEA Revised Non EYZ'!CC90</f>
        <v>7276.4058358426155</v>
      </c>
      <c r="CH90">
        <f>'TEA Revised Non EYZ'!CD90</f>
        <v>4541.8834647976191</v>
      </c>
      <c r="CI90">
        <f>'TEA Revised Non EYZ'!CE90</f>
        <v>56123.564926443862</v>
      </c>
      <c r="CJ90">
        <f>BL90*V90</f>
        <v>1.0953557168032999</v>
      </c>
      <c r="CK90">
        <f>CJ90/2*1.2</f>
        <v>0.65721343008197997</v>
      </c>
      <c r="CL90">
        <f>'eLLE Bals'!CB90*'Oxidant Feed Composition'!$N$20</f>
        <v>3.6511857226776682E-2</v>
      </c>
      <c r="CM90">
        <f>'eLLE Bals'!CB90*'Oxidant Feed Composition'!$N$21</f>
        <v>1.8255928613388335</v>
      </c>
      <c r="CN90">
        <f>'eLLE Bals'!CB90*'Oxidant Feed Composition'!$N$22</f>
        <v>0.54767785840164995</v>
      </c>
      <c r="CO90">
        <f>CN90/CK90</f>
        <v>0.83333333333333326</v>
      </c>
      <c r="CP90">
        <f>CO90</f>
        <v>0.83333333333333326</v>
      </c>
      <c r="CQ90">
        <f>CL90/CO90</f>
        <v>4.381422867213202E-2</v>
      </c>
      <c r="CR90">
        <f>CM90/CO90</f>
        <v>2.1907114336066003</v>
      </c>
      <c r="CS90">
        <f>BN90*BA90</f>
        <v>1.9687245226846901</v>
      </c>
      <c r="CT90">
        <f>CS90/2*1.2</f>
        <v>1.1812347136108141</v>
      </c>
      <c r="CU90">
        <f>'eLLE Bals'!CC90*'Oxidant Feed Composition'!$N$20</f>
        <v>6.5624150756156366E-2</v>
      </c>
      <c r="CV90">
        <f>'eLLE Bals'!CC90*'Oxidant Feed Composition'!$N$21</f>
        <v>3.2812075378078172</v>
      </c>
      <c r="CW90">
        <f>'eLLE Bals'!CC90*'Oxidant Feed Composition'!$N$22</f>
        <v>0.98436226134234506</v>
      </c>
      <c r="CX90">
        <f>CU90/CP90</f>
        <v>7.8748980907387647E-2</v>
      </c>
      <c r="CY90">
        <f>CV90/CP90</f>
        <v>3.9374490453693811</v>
      </c>
      <c r="CZ90">
        <f>CJ90</f>
        <v>1.0953557168032999</v>
      </c>
      <c r="DA90">
        <f>'eLLE Bals'!BQ90</f>
        <v>2.1907114336065998</v>
      </c>
      <c r="DB90">
        <f>'eLLE Bals'!BU90</f>
        <v>5.4495850744753067</v>
      </c>
      <c r="DC90">
        <f>CS90</f>
        <v>1.9687245226846901</v>
      </c>
      <c r="DD90">
        <f>'eLLE Bals'!BX90</f>
        <v>3.9374490453693802</v>
      </c>
      <c r="DE90">
        <f>'eLLE Bals'!CA90</f>
        <v>21.866294767669483</v>
      </c>
      <c r="DF90">
        <f>2*2*(CJ90*'Reagent cost'!$C$36*122.44/1000*0.5+CK90*'Oxidant Feed Composition'!$N$26+CQ90*'Reagent cost'!$C$34+CR90*'Reagent cost'!$C$35)</f>
        <v>73.579738279908327</v>
      </c>
      <c r="DG90">
        <f>2*2*(CS90*'Reagent cost'!$C$36*122.44/1000*0.5+CT90*'Oxidant Feed Composition'!$N$26+CX90*'Reagent cost'!$C$34+CY90*'Reagent cost'!$C$35)</f>
        <v>132.24766429953286</v>
      </c>
      <c r="DH90">
        <f>(AF90+3)*2*(CZ90*'Reagent cost'!$C$38*0.5+DA90*'Reagent cost'!$C$39+DB90*'Reagent cost'!$C$36*122.44/1000)</f>
        <v>1490.7115162985181</v>
      </c>
      <c r="DI90">
        <f>3*2*(DC90*'Reagent cost'!$C$38*0.5+DD90*'Reagent cost'!$C$39+DE90*'Reagent cost'!$C$36*122.44/1000)</f>
        <v>1162.1377659377247</v>
      </c>
      <c r="DJ90">
        <f>7963.6*(CB90/1000)^0.6*1.7*('CAPEX+OPEX'!$G$116/'CAPEX+OPEX'!$G$115)</f>
        <v>2138.2772847076108</v>
      </c>
      <c r="DK90">
        <f>7963.6*(CC90/1000)^0.6*1.7*('CAPEX+OPEX'!$G$116/'CAPEX+OPEX'!$G$115)</f>
        <v>6199.3408604999822</v>
      </c>
      <c r="DL90">
        <f>7963.6*(CD90/1000)^0.6*1.7*('CAPEX+OPEX'!$G$116/'CAPEX+OPEX'!$G$115)</f>
        <v>3039.7781253117219</v>
      </c>
      <c r="DM90">
        <f>7963.6*(CE90/1000)^0.6*1.7*('CAPEX+OPEX'!$G$116/'CAPEX+OPEX'!$G$115)</f>
        <v>6718.319384395686</v>
      </c>
      <c r="DN90">
        <f>'TEA Revised Non EYZ'!CM90</f>
        <v>39625.826528698344</v>
      </c>
      <c r="DO90">
        <f>'TEA Revised Non EYZ'!CN90</f>
        <v>4586243.4239371875</v>
      </c>
      <c r="DP90">
        <f>'TEA Revised Non EYZ'!CO90</f>
        <v>11794834.586807497</v>
      </c>
      <c r="DQ90">
        <f>'TEA Revised Non EYZ'!CP90</f>
        <v>2275209.1661185985</v>
      </c>
      <c r="DR90">
        <f>'TEA Revised Non EYZ'!CQ90</f>
        <v>14083914.336508472</v>
      </c>
      <c r="DS90">
        <f>'TEA Revised Non EYZ'!CR90</f>
        <v>1662824.8986326549</v>
      </c>
      <c r="DT90">
        <f>'TEA Revised Non EYZ'!CS90</f>
        <v>892840.31653984461</v>
      </c>
      <c r="DU90">
        <f>'TEA Revised Non EYZ'!CT90</f>
        <v>2296193.8284949926</v>
      </c>
      <c r="DV90">
        <f>'TEA Revised Non EYZ'!CU90</f>
        <v>442932.9811560188</v>
      </c>
      <c r="DW90">
        <f>'TEA Revised Non EYZ'!CV90</f>
        <v>2741827.1059701391</v>
      </c>
      <c r="DX90">
        <f>'TEA Revised Non EYZ'!CW90</f>
        <v>323715.28756992728</v>
      </c>
      <c r="DY90">
        <f>'TEA Revised Non EYZ'!CX90</f>
        <v>6697509.5197309218</v>
      </c>
      <c r="DZ90">
        <f>'TEA Revised Non EYZ'!CY90</f>
        <v>884644.97360172844</v>
      </c>
      <c r="EA90">
        <f>'TEA Revised Non EYZ'!CZ90</f>
        <v>2275117.1639130982</v>
      </c>
      <c r="EB90">
        <f>'TEA Revised Non EYZ'!DA90</f>
        <v>438867.31833599339</v>
      </c>
      <c r="EC90">
        <f>'TEA Revised Non EYZ'!DB90</f>
        <v>2716659.9926642226</v>
      </c>
      <c r="ED90">
        <f>'TEA Revised Non EYZ'!DC90</f>
        <v>320743.91884161107</v>
      </c>
      <c r="EE90">
        <f>'TEA Revised Non EYZ'!DD90</f>
        <v>6636033.3673566533</v>
      </c>
      <c r="EF90">
        <v>0.7</v>
      </c>
      <c r="EG90">
        <v>100</v>
      </c>
      <c r="EH90">
        <f>96485*BL90*V90/EF90/EG90/60</f>
        <v>25.163189603753906</v>
      </c>
      <c r="EI90">
        <f>96485*BN90*BA90/EF90/EG90/60</f>
        <v>45.226758469341029</v>
      </c>
      <c r="EJ90">
        <f>EH90*('CAPEX+OPEX'!$O$25+'CAPEX+OPEX'!$O$26)</f>
        <v>802001.17905084451</v>
      </c>
      <c r="EK90">
        <f>EI90*('CAPEX+OPEX'!$O$25+'CAPEX+OPEX'!$O$26)</f>
        <v>1441467.2459348373</v>
      </c>
      <c r="EL90">
        <f>EJ90*1.12/0.6*'CAPEX+OPEX'!$G$116/'CAPEX+OPEX'!$G$115</f>
        <v>1765730.2106115664</v>
      </c>
      <c r="EM90">
        <f>EK90*1.12/0.6*'CAPEX+OPEX'!$G$116/'CAPEX+OPEX'!$G$115</f>
        <v>3173614.1170845251</v>
      </c>
      <c r="EN90">
        <f>EL90+EM90+DY90+EE90+1.15*(SUM(DF90:DM90)+SUM(CF90:CI90))</f>
        <v>18379441.048278585</v>
      </c>
      <c r="EO90">
        <f>EN90/15</f>
        <v>1225296.069885239</v>
      </c>
      <c r="EP90">
        <f>('eLLE Bals'!CB90+'eLLE Bals'!CC90)*'Oxidant Feed Composition'!$N$29*60*7200</f>
        <v>7642910.6067445921</v>
      </c>
      <c r="EQ90" s="53">
        <f>('eLLE Bals'!BR90+'eLLE Bals'!BY90)*'Reagent cost'!$C$38*60*7200*0.5</f>
        <v>252636.71213731717</v>
      </c>
      <c r="ER90">
        <f>'TEA Revised Non EYZ'!DI90</f>
        <v>504921.59999999998</v>
      </c>
      <c r="ES90">
        <f>'TEA Revised Non EYZ'!DJ90</f>
        <v>110.35666655911541</v>
      </c>
      <c r="ET90">
        <f>'TEA Revised Non EYZ'!DK90</f>
        <v>1213.3089678248296</v>
      </c>
      <c r="EU90">
        <f>1.2*SUM(EP90:ET90)</f>
        <v>10082151.101419553</v>
      </c>
      <c r="EV90">
        <f>'TEA Revised Non EYZ'!DM90</f>
        <v>0.70639694042110623</v>
      </c>
      <c r="EW90">
        <f>(BS90*CO90+BT90*CP90)/1000*('Oxidant Feed Composition'!$B$11*'Oxidant Feed Composition'!$O$20+'Oxidant Feed Composition'!$D$11*'Oxidant Feed Composition'!$O$21+'Oxidant Feed Composition'!$F$11*'Oxidant Feed Composition'!$O$27-'Oxidant Feed Composition'!$J$15*18.015)</f>
        <v>1.7891860064584733</v>
      </c>
      <c r="EX90">
        <f>(CZ90*BX90+DC90*BZ90)*368.34/1000</f>
        <v>0.10199478469154295</v>
      </c>
      <c r="EY90">
        <f>'TEA Revised Non EYZ'!DP90</f>
        <v>4.999938342565946E-2</v>
      </c>
      <c r="EZ90">
        <f>SUM(EV90:EX90)-EY90</f>
        <v>2.5475783481454628</v>
      </c>
      <c r="FA90">
        <f>EZ90*0.33*60*7200</f>
        <v>363182.76931161719</v>
      </c>
      <c r="FB90">
        <f>'TEA Revised Non EYZ'!DS90</f>
        <v>1.2</v>
      </c>
      <c r="FC90">
        <v>0.5</v>
      </c>
      <c r="FD90">
        <f>'TEA Revised Non EYZ'!DT90</f>
        <v>1405.8805675728252</v>
      </c>
      <c r="FE90">
        <f>'TEA Revised Non EYZ'!DU90</f>
        <v>705.80276153185252</v>
      </c>
      <c r="FF90">
        <f>'TEA Revised Non EYZ'!DV90</f>
        <v>0.7</v>
      </c>
      <c r="FG90">
        <f>'TEA Revised Non EYZ'!DW90</f>
        <v>49536.497143418172</v>
      </c>
      <c r="FH90">
        <f>'TEA Revised Non EYZ'!DX90</f>
        <v>49831.318766753509</v>
      </c>
      <c r="FI90">
        <f>'TEA Revised Non EYZ'!DY90</f>
        <v>21097.937381085154</v>
      </c>
      <c r="FJ90">
        <f>'TEA Revised Non EYZ'!DZ90</f>
        <v>11176.166036369152</v>
      </c>
      <c r="FK90">
        <f>'TEA Revised Non EYZ'!EA90</f>
        <v>11252.233269912085</v>
      </c>
      <c r="FL90">
        <f>'TEA Revised Non EYZ'!EB90</f>
        <v>850.27656726804469</v>
      </c>
      <c r="FM90">
        <f>'TEA Revised Non EYZ'!EC90</f>
        <v>48855.925474773729</v>
      </c>
      <c r="FN90">
        <f>'TEA Revised Non EYZ'!ED90</f>
        <v>50432.010422650754</v>
      </c>
      <c r="FO90">
        <f>'TEA Revised Non EYZ'!EE90</f>
        <v>21352.262477331969</v>
      </c>
      <c r="FP90">
        <f>'TEA Revised Non EYZ'!EF90</f>
        <v>11317.186163436589</v>
      </c>
      <c r="FQ90">
        <f>'TEA Revised Non EYZ'!EG90</f>
        <v>11387.873321243722</v>
      </c>
      <c r="FR90">
        <f>'TEA Revised Non EYZ'!EH90</f>
        <v>426.86951017446444</v>
      </c>
      <c r="FS90">
        <f>'TEA Revised Non EYZ'!EI90</f>
        <v>287516.55653441726</v>
      </c>
      <c r="FT90">
        <f>EG90*EH90</f>
        <v>2516.3189603753908</v>
      </c>
      <c r="FU90">
        <f>EG90*EI90</f>
        <v>4522.675846934103</v>
      </c>
      <c r="FV90">
        <f>FC90*(FT90+FU90)/(3.6*10^6)*3600*7200*0.07</f>
        <v>1773.8266914419926</v>
      </c>
      <c r="FW90">
        <f>('CAPEX+OPEX'!$C$39/7/100+0.03)*EL90</f>
        <v>90808.982260023418</v>
      </c>
      <c r="FX90">
        <f>('CAPEX+OPEX'!$C$39/7/100+0.03)*EM90</f>
        <v>163214.44030720415</v>
      </c>
      <c r="FY90">
        <f>SUM(FV90:FX90)</f>
        <v>255797.24925866956</v>
      </c>
      <c r="FZ90">
        <f>FY90+FA90+FS90+EU90</f>
        <v>10988647.676524257</v>
      </c>
      <c r="GA90">
        <f>FZ90+EO90</f>
        <v>12213943.746409496</v>
      </c>
      <c r="GB90">
        <f>GA90/(BK90*60*7200)</f>
        <v>0.28273017931503464</v>
      </c>
      <c r="GC90">
        <f>'TEA Revised Non EYZ'!EM90/'TEA Revised Non EYZ'!EK90*GA90</f>
        <v>945.86521476072812</v>
      </c>
      <c r="GD90">
        <f>'TEA Revised Non EYZ'!EN90/'TEA Revised Non EYZ'!EK90*GA90</f>
        <v>1735.8951259696889</v>
      </c>
    </row>
    <row r="91" spans="1:186">
      <c r="A91">
        <f>'TEA Revised Non EYZ'!A91</f>
        <v>11</v>
      </c>
      <c r="B91">
        <f>'TEA Revised Non EYZ'!B91</f>
        <v>1.54143585092054E-3</v>
      </c>
      <c r="C91">
        <f>'TEA Revised Non EYZ'!C91</f>
        <v>1.54143585092054E-3</v>
      </c>
      <c r="D91">
        <f>'TEA Revised Non EYZ'!D91</f>
        <v>3.4254130020456501E-4</v>
      </c>
      <c r="E91">
        <f>'TEA Revised Non EYZ'!E91</f>
        <v>0</v>
      </c>
      <c r="F91">
        <f>'TEA Revised Non EYZ'!F91</f>
        <v>0</v>
      </c>
      <c r="G91">
        <f>'TEA Revised Non EYZ'!G91</f>
        <v>0</v>
      </c>
      <c r="H91">
        <f>'TEA Revised Non EYZ'!H91</f>
        <v>1.7771367359861701E-5</v>
      </c>
      <c r="I91">
        <f>'TEA Revised Non EYZ'!I91</f>
        <v>1.8081057367328801E-10</v>
      </c>
      <c r="J91">
        <f>'TEA Revised Non EYZ'!J91</f>
        <v>3.3765941525589702E-4</v>
      </c>
      <c r="K91">
        <f>'TEA Revised Non EYZ'!K91</f>
        <v>0.139102253285185</v>
      </c>
      <c r="L91">
        <f>'TEA Revised Non EYZ'!L91</f>
        <v>0.14072466572308701</v>
      </c>
      <c r="M91">
        <f>'TEA Revised Non EYZ'!M91</f>
        <v>4.4568945720355099E-4</v>
      </c>
      <c r="N91">
        <f>'TEA Revised Non EYZ'!N91</f>
        <v>-8.03393809811758E-16</v>
      </c>
      <c r="O91">
        <f>'TEA Revised Non EYZ'!O91</f>
        <v>-8.4019770307808202E-13</v>
      </c>
      <c r="P91">
        <f>'TEA Revised Non EYZ'!P91</f>
        <v>-2.26157796916898E-19</v>
      </c>
      <c r="Q91">
        <f>'TEA Revised Non EYZ'!Q91</f>
        <v>0.10953557168033</v>
      </c>
      <c r="R91">
        <f>'TEA Revised Non EYZ'!R91</f>
        <v>98.5748039883795</v>
      </c>
      <c r="S91">
        <f>'TEA Revised Non EYZ'!S91</f>
        <v>500</v>
      </c>
      <c r="T91">
        <f>'TEA Revised Non EYZ'!T91</f>
        <v>95</v>
      </c>
      <c r="U91">
        <f>'TEA Revised Non EYZ'!U91</f>
        <v>1</v>
      </c>
      <c r="V91">
        <f>'TEA Revised Non EYZ'!V91</f>
        <v>0.1</v>
      </c>
      <c r="W91">
        <f>'TEA Revised Non EYZ'!W91</f>
        <v>91.294543376138293</v>
      </c>
      <c r="X91" t="str">
        <f>'TEA Revised Non EYZ'!X91</f>
        <v>ddFc</v>
      </c>
      <c r="Y91">
        <f>'TEA Revised Non EYZ'!Y91</f>
        <v>1</v>
      </c>
      <c r="Z91">
        <f>'TEA Revised Non EYZ'!Z91</f>
        <v>0.28318429382522198</v>
      </c>
      <c r="AA91">
        <f>'TEA Revised Non EYZ'!AA91</f>
        <v>0.56945642916197003</v>
      </c>
      <c r="AB91">
        <f>'TEA Revised Non EYZ'!AB91</f>
        <v>3.7698628972227502E-3</v>
      </c>
      <c r="AC91">
        <f>'TEA Revised Non EYZ'!AC91</f>
        <v>1822.2107908876901</v>
      </c>
      <c r="AD91">
        <f>'TEA Revised Non EYZ'!AD91</f>
        <v>2662.6059073104898</v>
      </c>
      <c r="AE91">
        <f>'TEA Revised Non EYZ'!AE91</f>
        <v>2401.5030938442701</v>
      </c>
      <c r="AF91">
        <f>'TEA Revised Non EYZ'!AF91</f>
        <v>13</v>
      </c>
      <c r="AG91">
        <f>'TEA Revised Non EYZ'!AG91</f>
        <v>1.6497569194096201E-3</v>
      </c>
      <c r="AH91">
        <f>'TEA Revised Non EYZ'!AH91</f>
        <v>1.6689987798565299E-3</v>
      </c>
      <c r="AI91">
        <f>'TEA Revised Non EYZ'!AI91</f>
        <v>5.28589040482341E-6</v>
      </c>
      <c r="AJ91">
        <f>'TEA Revised Non EYZ'!AJ91</f>
        <v>0</v>
      </c>
      <c r="AK91">
        <f>'TEA Revised Non EYZ'!AK91</f>
        <v>0</v>
      </c>
      <c r="AL91">
        <f>'TEA Revised Non EYZ'!AL91</f>
        <v>0</v>
      </c>
      <c r="AM91">
        <f>'TEA Revised Non EYZ'!AM91</f>
        <v>1.6128103180087E-3</v>
      </c>
      <c r="AN91">
        <f>'TEA Revised Non EYZ'!AN91</f>
        <v>7.9633625011629096E-5</v>
      </c>
      <c r="AO91">
        <f>'TEA Revised Non EYZ'!AO91</f>
        <v>5.2511285677767398E-6</v>
      </c>
      <c r="AP91">
        <f>'TEA Revised Non EYZ'!AP91</f>
        <v>1.7332441234993001E-3</v>
      </c>
      <c r="AQ91">
        <f>'TEA Revised Non EYZ'!AQ91</f>
        <v>7.4560520055328497E-2</v>
      </c>
      <c r="AR91">
        <f>'TEA Revised Non EYZ'!AR91</f>
        <v>1.6307521530699199E-6</v>
      </c>
      <c r="AS91">
        <f>'TEA Revised Non EYZ'!AS91</f>
        <v>4.9466724119651101E-19</v>
      </c>
      <c r="AT91">
        <f>'TEA Revised Non EYZ'!AT91</f>
        <v>-1.2576745200831801E-17</v>
      </c>
      <c r="AU91">
        <f>'TEA Revised Non EYZ'!AU91</f>
        <v>1.39628087398951E-21</v>
      </c>
      <c r="AV91">
        <f>'TEA Revised Non EYZ'!AV91</f>
        <v>0.19687208671741999</v>
      </c>
      <c r="AW91">
        <f>'TEA Revised Non EYZ'!AW91</f>
        <v>99.342365535710996</v>
      </c>
      <c r="AX91">
        <f>'TEA Revised Non EYZ'!AX91</f>
        <v>500</v>
      </c>
      <c r="AY91">
        <f>'TEA Revised Non EYZ'!AY91</f>
        <v>95</v>
      </c>
      <c r="AZ91">
        <f>'TEA Revised Non EYZ'!AZ91</f>
        <v>0.92356908198738696</v>
      </c>
      <c r="BA91">
        <f>'TEA Revised Non EYZ'!BA91</f>
        <v>0.1</v>
      </c>
      <c r="BB91">
        <f>'TEA Revised Non EYZ'!BB91</f>
        <v>46.912139622567501</v>
      </c>
      <c r="BC91" t="str">
        <f>'TEA Revised Non EYZ'!BC91</f>
        <v>coeFc</v>
      </c>
      <c r="BD91">
        <f>'TEA Revised Non EYZ'!BD91</f>
        <v>1</v>
      </c>
      <c r="BE91">
        <f>'TEA Revised Non EYZ'!BE91</f>
        <v>1.8775014999999999E-2</v>
      </c>
      <c r="BF91">
        <f>'TEA Revised Non EYZ'!BF91</f>
        <v>0.10492961100000001</v>
      </c>
      <c r="BG91">
        <f>'TEA Revised Non EYZ'!BG91</f>
        <v>1.814625E-3</v>
      </c>
      <c r="BH91">
        <f>'TEA Revised Non EYZ'!BH91</f>
        <v>285.1951444</v>
      </c>
      <c r="BI91">
        <f>'TEA Revised Non EYZ'!BI91</f>
        <v>2169.8944889999998</v>
      </c>
      <c r="BJ91">
        <f>'TEA Revised Non EYZ'!BJ91</f>
        <v>866.49409060000005</v>
      </c>
      <c r="BK91">
        <f>'TEA Revised Non EYZ'!BK91</f>
        <v>100</v>
      </c>
      <c r="BL91">
        <f>'TEA Revised Non EYZ'!BL91</f>
        <v>10.953557168032999</v>
      </c>
      <c r="BM91">
        <f>'TEA Revised Non EYZ'!BM91</f>
        <v>92.356908198738694</v>
      </c>
      <c r="BN91">
        <f>'TEA Revised Non EYZ'!BN91</f>
        <v>19.687208671741999</v>
      </c>
      <c r="BO91">
        <f>'TEA Revised Non EYZ'!BO91</f>
        <v>284.79248636885796</v>
      </c>
      <c r="BP91">
        <f>'TEA Revised Non EYZ'!BP91</f>
        <v>590.61626015226</v>
      </c>
      <c r="BQ91">
        <f>'TEA Revised Non EYZ'!BQ91</f>
        <v>28.479248636885799</v>
      </c>
      <c r="BR91">
        <f>'TEA Revised Non EYZ'!BR91</f>
        <v>59.061626015226004</v>
      </c>
      <c r="BS91">
        <f>'eLLE Bals'!CF91</f>
        <v>6.5721343008197994</v>
      </c>
      <c r="BT91">
        <f>'eLLE Bals'!CG91</f>
        <v>11.8123252030452</v>
      </c>
      <c r="BU91">
        <f>BM91</f>
        <v>92.356908198738694</v>
      </c>
      <c r="BV91">
        <f>BU91*(AM91*2+AN91*2+AO91*3)</f>
        <v>0.31407271375130152</v>
      </c>
      <c r="BW91">
        <f>BN91*BA91*(AP91*2+AQ91*2+AR91*3)</f>
        <v>0.3004118826356304</v>
      </c>
      <c r="BX91">
        <f>BV91/(2*V91*BL91+BV91)</f>
        <v>0.12538913346389227</v>
      </c>
      <c r="BY91">
        <f>BU91*BX91</f>
        <v>11.580552688444092</v>
      </c>
      <c r="BZ91">
        <f>BW91/(2*BN91*BA91+BW91)</f>
        <v>7.0887744076782361E-2</v>
      </c>
      <c r="CA91">
        <f>2*BN91*BA91/0.04</f>
        <v>98.436043358709995</v>
      </c>
      <c r="CB91">
        <f>(BS91+BL91)*2</f>
        <v>35.051382937705597</v>
      </c>
      <c r="CC91">
        <f>(BU91+BL91)*2</f>
        <v>206.62093073354339</v>
      </c>
      <c r="CD91">
        <f>(BT91+BN91)*2</f>
        <v>62.999067749574394</v>
      </c>
      <c r="CE91">
        <f>(CA91+BN91)*2</f>
        <v>236.24650406090399</v>
      </c>
      <c r="CF91">
        <f>'TEA Revised Non EYZ'!CB91</f>
        <v>3759.2608200689256</v>
      </c>
      <c r="CG91">
        <f>'TEA Revised Non EYZ'!CC91</f>
        <v>7796.1346340098326</v>
      </c>
      <c r="CH91">
        <f>'TEA Revised Non EYZ'!CD91</f>
        <v>4541.8834647976191</v>
      </c>
      <c r="CI91">
        <f>'TEA Revised Non EYZ'!CE91</f>
        <v>60132.279339320281</v>
      </c>
      <c r="CJ91">
        <f>BL91*V91</f>
        <v>1.0953557168032999</v>
      </c>
      <c r="CK91">
        <f>CJ91/2*1.2</f>
        <v>0.65721343008197997</v>
      </c>
      <c r="CL91">
        <f>'eLLE Bals'!CB91*'Oxidant Feed Composition'!$N$20</f>
        <v>3.6511857226776682E-2</v>
      </c>
      <c r="CM91">
        <f>'eLLE Bals'!CB91*'Oxidant Feed Composition'!$N$21</f>
        <v>1.8255928613388335</v>
      </c>
      <c r="CN91">
        <f>'eLLE Bals'!CB91*'Oxidant Feed Composition'!$N$22</f>
        <v>0.54767785840164995</v>
      </c>
      <c r="CO91">
        <f>CN91/CK91</f>
        <v>0.83333333333333326</v>
      </c>
      <c r="CP91">
        <f>CO91</f>
        <v>0.83333333333333326</v>
      </c>
      <c r="CQ91">
        <f>CL91/CO91</f>
        <v>4.381422867213202E-2</v>
      </c>
      <c r="CR91">
        <f>CM91/CO91</f>
        <v>2.1907114336066003</v>
      </c>
      <c r="CS91">
        <f>BN91*BA91</f>
        <v>1.9687208671742</v>
      </c>
      <c r="CT91">
        <f>CS91/2*1.2</f>
        <v>1.18123252030452</v>
      </c>
      <c r="CU91">
        <f>'eLLE Bals'!CC91*'Oxidant Feed Composition'!$N$20</f>
        <v>6.5624028905806694E-2</v>
      </c>
      <c r="CV91">
        <f>'eLLE Bals'!CC91*'Oxidant Feed Composition'!$N$21</f>
        <v>3.2812014452903333</v>
      </c>
      <c r="CW91">
        <f>'eLLE Bals'!CC91*'Oxidant Feed Composition'!$N$22</f>
        <v>0.98436043358710001</v>
      </c>
      <c r="CX91">
        <f>CU91/CP91</f>
        <v>7.8748834686968042E-2</v>
      </c>
      <c r="CY91">
        <f>CV91/CP91</f>
        <v>3.9374417343484005</v>
      </c>
      <c r="CZ91">
        <f>CJ91</f>
        <v>1.0953557168032999</v>
      </c>
      <c r="DA91">
        <f>'eLLE Bals'!BQ91</f>
        <v>2.1907114336065998</v>
      </c>
      <c r="DB91">
        <f>'eLLE Bals'!BU91</f>
        <v>5.4495839107622075</v>
      </c>
      <c r="DC91">
        <f>CS91</f>
        <v>1.9687208671742</v>
      </c>
      <c r="DD91">
        <f>'eLLE Bals'!BX91</f>
        <v>3.9374417343484001</v>
      </c>
      <c r="DE91">
        <f>'eLLE Bals'!CA91</f>
        <v>21.866210363848843</v>
      </c>
      <c r="DF91">
        <f>2*2*(CJ91*'Reagent cost'!$C$36*122.44/1000*0.5+CK91*'Oxidant Feed Composition'!$N$26+CQ91*'Reagent cost'!$C$34+CR91*'Reagent cost'!$C$35)</f>
        <v>73.579738279908327</v>
      </c>
      <c r="DG91">
        <f>2*2*(CS91*'Reagent cost'!$C$36*122.44/1000*0.5+CT91*'Oxidant Feed Composition'!$N$26+CX91*'Reagent cost'!$C$34+CY91*'Reagent cost'!$C$35)</f>
        <v>132.24741874322538</v>
      </c>
      <c r="DH91">
        <f>(AF91+3)*2*(CZ91*'Reagent cost'!$C$38*0.5+DA91*'Reagent cost'!$C$39+DB91*'Reagent cost'!$C$36*122.44/1000)</f>
        <v>1590.0919620583777</v>
      </c>
      <c r="DI91">
        <f>3*2*(DC91*'Reagent cost'!$C$38*0.5+DD91*'Reagent cost'!$C$39+DE91*'Reagent cost'!$C$36*122.44/1000)</f>
        <v>1162.1333355955419</v>
      </c>
      <c r="DJ91">
        <f>7963.6*(CB91/1000)^0.6*1.7*('CAPEX+OPEX'!$G$116/'CAPEX+OPEX'!$G$115)</f>
        <v>2138.2772847076108</v>
      </c>
      <c r="DK91">
        <f>7963.6*(CC91/1000)^0.6*1.7*('CAPEX+OPEX'!$G$116/'CAPEX+OPEX'!$G$115)</f>
        <v>6199.3408604999822</v>
      </c>
      <c r="DL91">
        <f>7963.6*(CD91/1000)^0.6*1.7*('CAPEX+OPEX'!$G$116/'CAPEX+OPEX'!$G$115)</f>
        <v>3039.7747387703889</v>
      </c>
      <c r="DM91">
        <f>7963.6*(CE91/1000)^0.6*1.7*('CAPEX+OPEX'!$G$116/'CAPEX+OPEX'!$G$115)</f>
        <v>6718.3118996828707</v>
      </c>
      <c r="DN91">
        <f>'TEA Revised Non EYZ'!CM91</f>
        <v>39625.826528698344</v>
      </c>
      <c r="DO91">
        <f>'TEA Revised Non EYZ'!CN91</f>
        <v>4586243.4239371875</v>
      </c>
      <c r="DP91">
        <f>'TEA Revised Non EYZ'!CO91</f>
        <v>11794834.586807497</v>
      </c>
      <c r="DQ91">
        <f>'TEA Revised Non EYZ'!CP91</f>
        <v>2275209.1661185985</v>
      </c>
      <c r="DR91">
        <f>'TEA Revised Non EYZ'!CQ91</f>
        <v>14083914.336508472</v>
      </c>
      <c r="DS91">
        <f>'TEA Revised Non EYZ'!CR91</f>
        <v>1662824.8986326549</v>
      </c>
      <c r="DT91">
        <f>'TEA Revised Non EYZ'!CS91</f>
        <v>892840.31653984461</v>
      </c>
      <c r="DU91">
        <f>'TEA Revised Non EYZ'!CT91</f>
        <v>2296193.8284949926</v>
      </c>
      <c r="DV91">
        <f>'TEA Revised Non EYZ'!CU91</f>
        <v>442932.9811560188</v>
      </c>
      <c r="DW91">
        <f>'TEA Revised Non EYZ'!CV91</f>
        <v>2741827.1059701391</v>
      </c>
      <c r="DX91">
        <f>'TEA Revised Non EYZ'!CW91</f>
        <v>323715.28756992728</v>
      </c>
      <c r="DY91">
        <f>'TEA Revised Non EYZ'!CX91</f>
        <v>6697509.5197309218</v>
      </c>
      <c r="DZ91">
        <f>'TEA Revised Non EYZ'!CY91</f>
        <v>924868.15113757015</v>
      </c>
      <c r="EA91">
        <f>'TEA Revised Non EYZ'!CZ91</f>
        <v>2378562.5508532794</v>
      </c>
      <c r="EB91">
        <f>'TEA Revised Non EYZ'!DA91</f>
        <v>458821.80695783772</v>
      </c>
      <c r="EC91">
        <f>'TEA Revised Non EYZ'!DB91</f>
        <v>2840181.5187568436</v>
      </c>
      <c r="ED91">
        <f>'TEA Revised Non EYZ'!DC91</f>
        <v>335327.55405809957</v>
      </c>
      <c r="EE91">
        <f>'TEA Revised Non EYZ'!DD91</f>
        <v>6937761.5817636298</v>
      </c>
      <c r="EF91">
        <v>0.7</v>
      </c>
      <c r="EG91">
        <v>100</v>
      </c>
      <c r="EH91">
        <f>96485*BL91*V91/EF91/EG91/60</f>
        <v>25.163189603753906</v>
      </c>
      <c r="EI91">
        <f>96485*BN91*BA91/EF91/EG91/60</f>
        <v>45.22667449269111</v>
      </c>
      <c r="EJ91">
        <f>EH91*('CAPEX+OPEX'!$O$25+'CAPEX+OPEX'!$O$26)</f>
        <v>802001.17905084451</v>
      </c>
      <c r="EK91">
        <f>EI91*('CAPEX+OPEX'!$O$25+'CAPEX+OPEX'!$O$26)</f>
        <v>1441464.5694310511</v>
      </c>
      <c r="EL91">
        <f>EJ91*1.12/0.6*'CAPEX+OPEX'!$G$116/'CAPEX+OPEX'!$G$115</f>
        <v>1765730.2106115664</v>
      </c>
      <c r="EM91">
        <f>EK91*1.12/0.6*'CAPEX+OPEX'!$G$116/'CAPEX+OPEX'!$G$115</f>
        <v>3173608.2243455658</v>
      </c>
      <c r="EN91">
        <f>EL91+EM91+DY91+EE91+1.15*(SUM(DF91:DM91)+SUM(CF91:CI91))</f>
        <v>18686485.349272698</v>
      </c>
      <c r="EO91">
        <f>EN91/15</f>
        <v>1245765.6899515132</v>
      </c>
      <c r="EP91">
        <f>('eLLE Bals'!CB91+'eLLE Bals'!CC91)*'Oxidant Feed Composition'!$N$29*60*7200</f>
        <v>7642901.4885956831</v>
      </c>
      <c r="EQ91" s="53">
        <f>('eLLE Bals'!BR91+'eLLE Bals'!BY91)*'Reagent cost'!$C$38*60*7200*0.5</f>
        <v>252636.69322984383</v>
      </c>
      <c r="ER91">
        <f>'TEA Revised Non EYZ'!DI91</f>
        <v>504921.59999999998</v>
      </c>
      <c r="ES91">
        <f>'TEA Revised Non EYZ'!DJ91</f>
        <v>115.55395454078759</v>
      </c>
      <c r="ET91">
        <f>'TEA Revised Non EYZ'!DK91</f>
        <v>1293.4832560823579</v>
      </c>
      <c r="EU91">
        <f>1.2*SUM(EP91:ET91)</f>
        <v>10082242.582843382</v>
      </c>
      <c r="EV91">
        <f>'TEA Revised Non EYZ'!DM91</f>
        <v>0.70639694042110623</v>
      </c>
      <c r="EW91">
        <f>(BS91*CO91+BT91*CP91)/1000*('Oxidant Feed Composition'!$B$11*'Oxidant Feed Composition'!$O$20+'Oxidant Feed Composition'!$D$11*'Oxidant Feed Composition'!$O$21+'Oxidant Feed Composition'!$F$11*'Oxidant Feed Composition'!$O$27-'Oxidant Feed Composition'!$J$15*18.015)</f>
        <v>1.7891838719229181</v>
      </c>
      <c r="EX91">
        <f>(CZ91*BX91+DC91*BZ91)*368.34/1000</f>
        <v>0.10199477705819605</v>
      </c>
      <c r="EY91">
        <f>'TEA Revised Non EYZ'!DP91</f>
        <v>4.999938342565946E-2</v>
      </c>
      <c r="EZ91">
        <f>SUM(EV91:EX91)-EY91</f>
        <v>2.547576205976561</v>
      </c>
      <c r="FA91">
        <f>EZ91*0.33*60*7200</f>
        <v>363182.46392401849</v>
      </c>
      <c r="FB91">
        <f>'TEA Revised Non EYZ'!DS91</f>
        <v>1.2</v>
      </c>
      <c r="FC91">
        <v>0.5</v>
      </c>
      <c r="FD91">
        <f>'TEA Revised Non EYZ'!DT91</f>
        <v>1405.8807818129837</v>
      </c>
      <c r="FE91">
        <f>'TEA Revised Non EYZ'!DU91</f>
        <v>705.80254727461261</v>
      </c>
      <c r="FF91">
        <f>'TEA Revised Non EYZ'!DV91</f>
        <v>0.7</v>
      </c>
      <c r="FG91">
        <f>'TEA Revised Non EYZ'!DW91</f>
        <v>49536.497143418172</v>
      </c>
      <c r="FH91">
        <f>'TEA Revised Non EYZ'!DX91</f>
        <v>49831.318766753509</v>
      </c>
      <c r="FI91">
        <f>'TEA Revised Non EYZ'!DY91</f>
        <v>21097.937381085154</v>
      </c>
      <c r="FJ91">
        <f>'TEA Revised Non EYZ'!DZ91</f>
        <v>11176.166036369152</v>
      </c>
      <c r="FK91">
        <f>'TEA Revised Non EYZ'!EA91</f>
        <v>11252.233269912085</v>
      </c>
      <c r="FL91">
        <f>'TEA Revised Non EYZ'!EB91</f>
        <v>850.2766968404926</v>
      </c>
      <c r="FM91">
        <f>'TEA Revised Non EYZ'!EC91</f>
        <v>51427.28997344603</v>
      </c>
      <c r="FN91">
        <f>'TEA Revised Non EYZ'!ED91</f>
        <v>54311.395839777724</v>
      </c>
      <c r="FO91">
        <f>'TEA Revised Non EYZ'!EE91</f>
        <v>22994.7442063575</v>
      </c>
      <c r="FP91">
        <f>'TEA Revised Non EYZ'!EF91</f>
        <v>12187.738945239398</v>
      </c>
      <c r="FQ91">
        <f>'TEA Revised Non EYZ'!EG91</f>
        <v>12263.863576724005</v>
      </c>
      <c r="FR91">
        <f>'TEA Revised Non EYZ'!EH91</f>
        <v>426.86938059168574</v>
      </c>
      <c r="FS91">
        <f>'TEA Revised Non EYZ'!EI91</f>
        <v>297356.33121651493</v>
      </c>
      <c r="FT91">
        <f>EG91*EH91</f>
        <v>2516.3189603753908</v>
      </c>
      <c r="FU91">
        <f>EG91*EI91</f>
        <v>4522.6674492691109</v>
      </c>
      <c r="FV91">
        <f>FC91*(FT91+FU91)/(3.6*10^6)*3600*7200*0.07</f>
        <v>1773.8245752304144</v>
      </c>
      <c r="FW91">
        <f>('CAPEX+OPEX'!$C$39/7/100+0.03)*EL91</f>
        <v>90808.982260023418</v>
      </c>
      <c r="FX91">
        <f>('CAPEX+OPEX'!$C$39/7/100+0.03)*EM91</f>
        <v>163214.13725205767</v>
      </c>
      <c r="FY91">
        <f>SUM(FV91:FX91)</f>
        <v>255796.94408731151</v>
      </c>
      <c r="FZ91">
        <f>FY91+FA91+FS91+EU91</f>
        <v>10998578.322071226</v>
      </c>
      <c r="GA91">
        <f>FZ91+EO91</f>
        <v>12244344.012022739</v>
      </c>
      <c r="GB91">
        <f>GA91/(BK91*60*7200)</f>
        <v>0.28343388916719303</v>
      </c>
      <c r="GC91">
        <f>'TEA Revised Non EYZ'!EM91/'TEA Revised Non EYZ'!EK91*GA91</f>
        <v>948.21931007895148</v>
      </c>
      <c r="GD91">
        <f>'TEA Revised Non EYZ'!EN91/'TEA Revised Non EYZ'!EK91*GA91</f>
        <v>1740.2162218042329</v>
      </c>
    </row>
    <row r="92" spans="1:186">
      <c r="A92">
        <f>'TEA Revised Non EYZ'!A92</f>
        <v>12</v>
      </c>
      <c r="B92">
        <f>'TEA Revised Non EYZ'!B92</f>
        <v>1.54143585092054E-3</v>
      </c>
      <c r="C92">
        <f>'TEA Revised Non EYZ'!C92</f>
        <v>1.54143585092054E-3</v>
      </c>
      <c r="D92">
        <f>'TEA Revised Non EYZ'!D92</f>
        <v>3.4254130020456501E-4</v>
      </c>
      <c r="E92">
        <f>'TEA Revised Non EYZ'!E92</f>
        <v>0</v>
      </c>
      <c r="F92">
        <f>'TEA Revised Non EYZ'!F92</f>
        <v>0</v>
      </c>
      <c r="G92">
        <f>'TEA Revised Non EYZ'!G92</f>
        <v>0</v>
      </c>
      <c r="H92">
        <f>'TEA Revised Non EYZ'!H92</f>
        <v>1.7771599281349402E-5</v>
      </c>
      <c r="I92">
        <f>'TEA Revised Non EYZ'!I92</f>
        <v>6.3113732322488897E-11</v>
      </c>
      <c r="J92">
        <f>'TEA Revised Non EYZ'!J92</f>
        <v>3.37661562480901E-4</v>
      </c>
      <c r="K92">
        <f>'TEA Revised Non EYZ'!K92</f>
        <v>0.13911791568267901</v>
      </c>
      <c r="L92">
        <f>'TEA Revised Non EYZ'!L92</f>
        <v>0.140740543921716</v>
      </c>
      <c r="M92">
        <f>'TEA Revised Non EYZ'!M92</f>
        <v>4.45543656000266E-4</v>
      </c>
      <c r="N92">
        <f>'TEA Revised Non EYZ'!N92</f>
        <v>-4.7646348672047899E-15</v>
      </c>
      <c r="O92">
        <f>'TEA Revised Non EYZ'!O92</f>
        <v>-1.1300289697036E-11</v>
      </c>
      <c r="P92">
        <f>'TEA Revised Non EYZ'!P92</f>
        <v>-4.6756218688437302E-19</v>
      </c>
      <c r="Q92">
        <f>'TEA Revised Non EYZ'!Q92</f>
        <v>0.10952322309941399</v>
      </c>
      <c r="R92">
        <f>'TEA Revised Non EYZ'!R92</f>
        <v>98.575430839799395</v>
      </c>
      <c r="S92">
        <f>'TEA Revised Non EYZ'!S92</f>
        <v>500</v>
      </c>
      <c r="T92">
        <f>'TEA Revised Non EYZ'!T92</f>
        <v>95</v>
      </c>
      <c r="U92">
        <f>'TEA Revised Non EYZ'!U92</f>
        <v>1</v>
      </c>
      <c r="V92">
        <f>'TEA Revised Non EYZ'!V92</f>
        <v>0.1</v>
      </c>
      <c r="W92">
        <f>'TEA Revised Non EYZ'!W92</f>
        <v>91.304836700459305</v>
      </c>
      <c r="X92" t="str">
        <f>'TEA Revised Non EYZ'!X92</f>
        <v>ddFc</v>
      </c>
      <c r="Y92">
        <f>'TEA Revised Non EYZ'!Y92</f>
        <v>1</v>
      </c>
      <c r="Z92">
        <f>'TEA Revised Non EYZ'!Z92</f>
        <v>0.28318429382522198</v>
      </c>
      <c r="AA92">
        <f>'TEA Revised Non EYZ'!AA92</f>
        <v>0.56945642916197003</v>
      </c>
      <c r="AB92">
        <f>'TEA Revised Non EYZ'!AB92</f>
        <v>3.7698628972227502E-3</v>
      </c>
      <c r="AC92">
        <f>'TEA Revised Non EYZ'!AC92</f>
        <v>1822.2107908876901</v>
      </c>
      <c r="AD92">
        <f>'TEA Revised Non EYZ'!AD92</f>
        <v>2662.6059073104898</v>
      </c>
      <c r="AE92">
        <f>'TEA Revised Non EYZ'!AE92</f>
        <v>2401.5030938442701</v>
      </c>
      <c r="AF92">
        <f>'TEA Revised Non EYZ'!AF92</f>
        <v>4</v>
      </c>
      <c r="AG92">
        <f>'TEA Revised Non EYZ'!AG92</f>
        <v>1.6497575706444501E-3</v>
      </c>
      <c r="AH92">
        <f>'TEA Revised Non EYZ'!AH92</f>
        <v>1.66899983148883E-3</v>
      </c>
      <c r="AI92">
        <f>'TEA Revised Non EYZ'!AI92</f>
        <v>5.28356837386519E-6</v>
      </c>
      <c r="AJ92">
        <f>'TEA Revised Non EYZ'!AJ92</f>
        <v>0</v>
      </c>
      <c r="AK92">
        <f>'TEA Revised Non EYZ'!AK92</f>
        <v>0</v>
      </c>
      <c r="AL92">
        <f>'TEA Revised Non EYZ'!AL92</f>
        <v>0</v>
      </c>
      <c r="AM92">
        <f>'TEA Revised Non EYZ'!AM92</f>
        <v>1.6048452348297699E-3</v>
      </c>
      <c r="AN92">
        <f>'TEA Revised Non EYZ'!AN92</f>
        <v>7.9223897063492306E-5</v>
      </c>
      <c r="AO92">
        <f>'TEA Revised Non EYZ'!AO92</f>
        <v>5.2416416138490404E-6</v>
      </c>
      <c r="AP92">
        <f>'TEA Revised Non EYZ'!AP92</f>
        <v>1.9874016210830801E-3</v>
      </c>
      <c r="AQ92">
        <f>'TEA Revised Non EYZ'!AQ92</f>
        <v>7.0348673954820695E-2</v>
      </c>
      <c r="AR92">
        <f>'TEA Revised Non EYZ'!AR92</f>
        <v>1.85528784684309E-6</v>
      </c>
      <c r="AS92">
        <f>'TEA Revised Non EYZ'!AS92</f>
        <v>-9.4900622733470806E-15</v>
      </c>
      <c r="AT92">
        <f>'TEA Revised Non EYZ'!AT92</f>
        <v>-1.22378452857563E-13</v>
      </c>
      <c r="AU92">
        <f>'TEA Revised Non EYZ'!AU92</f>
        <v>-3.0328014676440201E-18</v>
      </c>
      <c r="AV92">
        <f>'TEA Revised Non EYZ'!AV92</f>
        <v>0.20871283207273</v>
      </c>
      <c r="AW92">
        <f>'TEA Revised Non EYZ'!AW92</f>
        <v>99.206468866315106</v>
      </c>
      <c r="AX92">
        <f>'TEA Revised Non EYZ'!AX92</f>
        <v>500</v>
      </c>
      <c r="AY92">
        <f>'TEA Revised Non EYZ'!AY92</f>
        <v>95</v>
      </c>
      <c r="AZ92">
        <f>'TEA Revised Non EYZ'!AZ92</f>
        <v>0.92356857683566096</v>
      </c>
      <c r="BA92">
        <f>'TEA Revised Non EYZ'!BA92</f>
        <v>0.1</v>
      </c>
      <c r="BB92">
        <f>'TEA Revised Non EYZ'!BB92</f>
        <v>44.250684908239002</v>
      </c>
      <c r="BC92" t="str">
        <f>'TEA Revised Non EYZ'!BC92</f>
        <v>coeFc</v>
      </c>
      <c r="BD92">
        <f>'TEA Revised Non EYZ'!BD92</f>
        <v>1</v>
      </c>
      <c r="BE92">
        <f>'TEA Revised Non EYZ'!BE92</f>
        <v>1.8775014999999999E-2</v>
      </c>
      <c r="BF92">
        <f>'TEA Revised Non EYZ'!BF92</f>
        <v>0.10492961100000001</v>
      </c>
      <c r="BG92">
        <f>'TEA Revised Non EYZ'!BG92</f>
        <v>1.814625E-3</v>
      </c>
      <c r="BH92">
        <f>'TEA Revised Non EYZ'!BH92</f>
        <v>285.1951444</v>
      </c>
      <c r="BI92">
        <f>'TEA Revised Non EYZ'!BI92</f>
        <v>2169.8944889999998</v>
      </c>
      <c r="BJ92">
        <f>'TEA Revised Non EYZ'!BJ92</f>
        <v>866.49409060000005</v>
      </c>
      <c r="BK92">
        <f>'TEA Revised Non EYZ'!BK92</f>
        <v>100</v>
      </c>
      <c r="BL92">
        <f>'TEA Revised Non EYZ'!BL92</f>
        <v>10.952322309941399</v>
      </c>
      <c r="BM92">
        <f>'TEA Revised Non EYZ'!BM92</f>
        <v>92.356857683566091</v>
      </c>
      <c r="BN92">
        <f>'TEA Revised Non EYZ'!BN92</f>
        <v>20.871283207272999</v>
      </c>
      <c r="BO92">
        <f>'TEA Revised Non EYZ'!BO92</f>
        <v>306.6650246783592</v>
      </c>
      <c r="BP92">
        <f>'TEA Revised Non EYZ'!BP92</f>
        <v>250.455398487276</v>
      </c>
      <c r="BQ92">
        <f>'TEA Revised Non EYZ'!BQ92</f>
        <v>30.666502467835922</v>
      </c>
      <c r="BR92">
        <f>'TEA Revised Non EYZ'!BR92</f>
        <v>25.0455398487276</v>
      </c>
      <c r="BS92">
        <f>'eLLE Bals'!CF92</f>
        <v>6.5713933859648392</v>
      </c>
      <c r="BT92">
        <f>'eLLE Bals'!CG92</f>
        <v>12.522769924363798</v>
      </c>
      <c r="BU92">
        <f>BM92</f>
        <v>92.356857683566091</v>
      </c>
      <c r="BV92">
        <f>BU92*(AM92*2+AN92*2+AO92*3)</f>
        <v>0.31252297093278097</v>
      </c>
      <c r="BW92">
        <f>BN92*BA92*(AP92*2+AQ92*2+AR92*3)</f>
        <v>0.30196096056090294</v>
      </c>
      <c r="BX92">
        <f>BV92/(2*V92*BL92+BV92)</f>
        <v>0.12485998404237186</v>
      </c>
      <c r="BY92">
        <f>BU92*BX92</f>
        <v>11.531675776573671</v>
      </c>
      <c r="BZ92">
        <f>BW92/(2*BN92*BA92+BW92)</f>
        <v>6.7458954726628842E-2</v>
      </c>
      <c r="CA92">
        <f>2*BN92*BA92/0.04</f>
        <v>104.356416036365</v>
      </c>
      <c r="CB92">
        <f>(BS92+BL92)*2</f>
        <v>35.047431391812481</v>
      </c>
      <c r="CC92">
        <f>(BU92+BL92)*2</f>
        <v>206.61835998701497</v>
      </c>
      <c r="CD92">
        <f>(BT92+BN92)*2</f>
        <v>66.78810626327359</v>
      </c>
      <c r="CE92">
        <f>(CA92+BN92)*2</f>
        <v>250.455398487276</v>
      </c>
      <c r="CF92">
        <f>'TEA Revised Non EYZ'!CB92</f>
        <v>4047.9783257543413</v>
      </c>
      <c r="CG92">
        <f>'TEA Revised Non EYZ'!CC92</f>
        <v>3306.0112600320435</v>
      </c>
      <c r="CH92">
        <f>'TEA Revised Non EYZ'!CD92</f>
        <v>4890.707695899031</v>
      </c>
      <c r="CI92">
        <f>'TEA Revised Non EYZ'!CE92</f>
        <v>25499.558681291794</v>
      </c>
      <c r="CJ92">
        <f>BL92*V92</f>
        <v>1.09523223099414</v>
      </c>
      <c r="CK92">
        <f>CJ92/2*1.2</f>
        <v>0.65713933859648399</v>
      </c>
      <c r="CL92">
        <f>'eLLE Bals'!CB92*'Oxidant Feed Composition'!$N$20</f>
        <v>3.6507741033138016E-2</v>
      </c>
      <c r="CM92">
        <f>'eLLE Bals'!CB92*'Oxidant Feed Composition'!$N$21</f>
        <v>1.8253870516569002</v>
      </c>
      <c r="CN92">
        <f>'eLLE Bals'!CB92*'Oxidant Feed Composition'!$N$22</f>
        <v>0.54761611549707001</v>
      </c>
      <c r="CO92">
        <f>CN92/CK92</f>
        <v>0.83333333333333337</v>
      </c>
      <c r="CP92">
        <f>CO92</f>
        <v>0.83333333333333337</v>
      </c>
      <c r="CQ92">
        <f>CL92/CO92</f>
        <v>4.3809289239765618E-2</v>
      </c>
      <c r="CR92">
        <f>CM92/CO92</f>
        <v>2.19046446198828</v>
      </c>
      <c r="CS92">
        <f>BN92*BA92</f>
        <v>2.0871283207273001</v>
      </c>
      <c r="CT92">
        <f>CS92/2*1.2</f>
        <v>1.2522769924363801</v>
      </c>
      <c r="CU92">
        <f>'eLLE Bals'!CC92*'Oxidant Feed Composition'!$N$20</f>
        <v>6.9570944024243367E-2</v>
      </c>
      <c r="CV92">
        <f>'eLLE Bals'!CC92*'Oxidant Feed Composition'!$N$21</f>
        <v>3.4785472012121668</v>
      </c>
      <c r="CW92">
        <f>'eLLE Bals'!CC92*'Oxidant Feed Composition'!$N$22</f>
        <v>1.0435641603636501</v>
      </c>
      <c r="CX92">
        <f>CU92/CP92</f>
        <v>8.3485132829092035E-2</v>
      </c>
      <c r="CY92">
        <f>CV92/CP92</f>
        <v>4.1742566414546003</v>
      </c>
      <c r="CZ92">
        <f>CJ92</f>
        <v>1.09523223099414</v>
      </c>
      <c r="DA92">
        <f>'eLLE Bals'!BQ92</f>
        <v>2.19046446198828</v>
      </c>
      <c r="DB92">
        <f>'eLLE Bals'!BU92</f>
        <v>5.4859865602009936</v>
      </c>
      <c r="DC92">
        <f>CS92</f>
        <v>2.0871283207273001</v>
      </c>
      <c r="DD92">
        <f>'eLLE Bals'!BX92</f>
        <v>4.1742566414546003</v>
      </c>
      <c r="DE92">
        <f>'eLLE Bals'!CA92</f>
        <v>24.677848074932207</v>
      </c>
      <c r="DF92">
        <f>2*2*(CJ92*'Reagent cost'!$C$36*122.44/1000*0.5+CK92*'Oxidant Feed Composition'!$N$26+CQ92*'Reagent cost'!$C$34+CR92*'Reagent cost'!$C$35)</f>
        <v>73.571443208837024</v>
      </c>
      <c r="DG92">
        <f>2*2*(CS92*'Reagent cost'!$C$36*122.44/1000*0.5+CT92*'Oxidant Feed Composition'!$N$26+CX92*'Reagent cost'!$C$34+CY92*'Reagent cost'!$C$35)</f>
        <v>140.20135490220568</v>
      </c>
      <c r="DH92">
        <f>(AF92+3)*2*(CZ92*'Reagent cost'!$C$38*0.5+DA92*'Reagent cost'!$C$39+DB92*'Reagent cost'!$C$36*122.44/1000)</f>
        <v>700.06786370196437</v>
      </c>
      <c r="DI92">
        <f>3*2*(DC92*'Reagent cost'!$C$38*0.5+DD92*'Reagent cost'!$C$39+DE92*'Reagent cost'!$C$36*122.44/1000)</f>
        <v>1309.6683755951094</v>
      </c>
      <c r="DJ92">
        <f>7963.6*(CB92/1000)^0.6*1.7*('CAPEX+OPEX'!$G$116/'CAPEX+OPEX'!$G$115)</f>
        <v>2138.1326451989207</v>
      </c>
      <c r="DK92">
        <f>7963.6*(CC92/1000)^0.6*1.7*('CAPEX+OPEX'!$G$116/'CAPEX+OPEX'!$G$115)</f>
        <v>6199.2945816251477</v>
      </c>
      <c r="DL92">
        <f>7963.6*(CD92/1000)^0.6*1.7*('CAPEX+OPEX'!$G$116/'CAPEX+OPEX'!$G$115)</f>
        <v>3148.1861614717395</v>
      </c>
      <c r="DM92">
        <f>7963.6*(CE92/1000)^0.6*1.7*('CAPEX+OPEX'!$G$116/'CAPEX+OPEX'!$G$115)</f>
        <v>6957.9157564774232</v>
      </c>
      <c r="DN92">
        <f>'TEA Revised Non EYZ'!CM92</f>
        <v>39625.826528698344</v>
      </c>
      <c r="DO92">
        <f>'TEA Revised Non EYZ'!CN92</f>
        <v>4586243.4239371875</v>
      </c>
      <c r="DP92">
        <f>'TEA Revised Non EYZ'!CO92</f>
        <v>11794834.586807497</v>
      </c>
      <c r="DQ92">
        <f>'TEA Revised Non EYZ'!CP92</f>
        <v>2275209.1661185985</v>
      </c>
      <c r="DR92">
        <f>'TEA Revised Non EYZ'!CQ92</f>
        <v>14083914.336508472</v>
      </c>
      <c r="DS92">
        <f>'TEA Revised Non EYZ'!CR92</f>
        <v>1662824.8986326549</v>
      </c>
      <c r="DT92">
        <f>'TEA Revised Non EYZ'!CS92</f>
        <v>936765.86395108781</v>
      </c>
      <c r="DU92">
        <f>'TEA Revised Non EYZ'!CT92</f>
        <v>2409160.916797909</v>
      </c>
      <c r="DV92">
        <f>'TEA Revised Non EYZ'!CU92</f>
        <v>464724.19432521454</v>
      </c>
      <c r="DW92">
        <f>'TEA Revised Non EYZ'!CV92</f>
        <v>2876718.2553791031</v>
      </c>
      <c r="DX92">
        <f>'TEA Revised Non EYZ'!CW92</f>
        <v>339641.28346021532</v>
      </c>
      <c r="DY92">
        <f>'TEA Revised Non EYZ'!CX92</f>
        <v>7027010.5139135299</v>
      </c>
      <c r="DZ92">
        <f>'TEA Revised Non EYZ'!CY92</f>
        <v>498637.38285704167</v>
      </c>
      <c r="EA92">
        <f>'TEA Revised Non EYZ'!CZ92</f>
        <v>1282388.4181333755</v>
      </c>
      <c r="EB92">
        <f>'TEA Revised Non EYZ'!DA92</f>
        <v>247371.15743232475</v>
      </c>
      <c r="EC92">
        <f>'TEA Revised Non EYZ'!DB92</f>
        <v>1531267.648918309</v>
      </c>
      <c r="ED92">
        <f>'TEA Revised Non EYZ'!DC92</f>
        <v>180789.93611113401</v>
      </c>
      <c r="EE92">
        <f>'TEA Revised Non EYZ'!DD92</f>
        <v>3740454.5434521851</v>
      </c>
      <c r="EF92">
        <v>0.7</v>
      </c>
      <c r="EG92">
        <v>100</v>
      </c>
      <c r="EH92">
        <f>96485*BL92*V92/EF92/EG92/60</f>
        <v>25.160352811302293</v>
      </c>
      <c r="EI92">
        <f>96485*BN92*BA92/EF92/EG92/60</f>
        <v>47.946803815565126</v>
      </c>
      <c r="EJ92">
        <f>EH92*('CAPEX+OPEX'!$O$25+'CAPEX+OPEX'!$O$26)</f>
        <v>801910.76480182668</v>
      </c>
      <c r="EK92">
        <f>EI92*('CAPEX+OPEX'!$O$25+'CAPEX+OPEX'!$O$26)</f>
        <v>1528160.5312096917</v>
      </c>
      <c r="EL92">
        <f>EJ92*1.12/0.6*'CAPEX+OPEX'!$G$116/'CAPEX+OPEX'!$G$115</f>
        <v>1765531.1495937889</v>
      </c>
      <c r="EM92">
        <f>EK92*1.12/0.6*'CAPEX+OPEX'!$G$116/'CAPEX+OPEX'!$G$115</f>
        <v>3364482.8550184793</v>
      </c>
      <c r="EN92">
        <f>EL92+EM92+DY92+EE92+1.15*(SUM(DF92:DM92)+SUM(CF92:CI92))</f>
        <v>15964652.050244914</v>
      </c>
      <c r="EO92">
        <f>EN92/15</f>
        <v>1064310.1366829942</v>
      </c>
      <c r="EP92">
        <f>('eLLE Bals'!CB92+'eLLE Bals'!CC92)*'Oxidant Feed Composition'!$N$29*60*7200</f>
        <v>7937943.9551823447</v>
      </c>
      <c r="EQ92" s="53">
        <f>('eLLE Bals'!BR92+'eLLE Bals'!BY92)*'Reagent cost'!$C$38*60*7200*0.5</f>
        <v>253222.69322185774</v>
      </c>
      <c r="ER92">
        <f>'TEA Revised Non EYZ'!DI92</f>
        <v>504921.59999999998</v>
      </c>
      <c r="ES92">
        <f>'TEA Revised Non EYZ'!DJ92</f>
        <v>73.539895857863854</v>
      </c>
      <c r="ET92">
        <f>'TEA Revised Non EYZ'!DK92</f>
        <v>607.80532754381659</v>
      </c>
      <c r="EU92">
        <f>1.2*SUM(EP92:ET92)</f>
        <v>10436123.512353126</v>
      </c>
      <c r="EV92">
        <f>'TEA Revised Non EYZ'!DM92</f>
        <v>0.70639694042110623</v>
      </c>
      <c r="EW92">
        <f>(BS92*CO92+BT92*CP92)/1000*('Oxidant Feed Composition'!$B$11*'Oxidant Feed Composition'!$O$20+'Oxidant Feed Composition'!$D$11*'Oxidant Feed Composition'!$O$21+'Oxidant Feed Composition'!$F$11*'Oxidant Feed Composition'!$O$27-'Oxidant Feed Composition'!$J$15*18.015)</f>
        <v>1.8582525657346722</v>
      </c>
      <c r="EX92">
        <f>(CZ92*BX92+DC92*BZ92)*368.34/1000</f>
        <v>0.10223135765057732</v>
      </c>
      <c r="EY92">
        <f>'TEA Revised Non EYZ'!DP92</f>
        <v>4.999938342565946E-2</v>
      </c>
      <c r="EZ92">
        <f>SUM(EV92:EX92)-EY92</f>
        <v>2.6168814803806963</v>
      </c>
      <c r="FA92">
        <f>EZ92*0.33*60*7200</f>
        <v>373062.6238430721</v>
      </c>
      <c r="FB92">
        <f>'TEA Revised Non EYZ'!DS92</f>
        <v>1.2</v>
      </c>
      <c r="FC92">
        <v>0.5</v>
      </c>
      <c r="FD92">
        <f>'TEA Revised Non EYZ'!DT92</f>
        <v>1398.9403725553298</v>
      </c>
      <c r="FE92">
        <f>'TEA Revised Non EYZ'!DU92</f>
        <v>712.74132254763572</v>
      </c>
      <c r="FF92">
        <f>'TEA Revised Non EYZ'!DV92</f>
        <v>0.7</v>
      </c>
      <c r="FG92">
        <f>'TEA Revised Non EYZ'!DW92</f>
        <v>52288.524762496963</v>
      </c>
      <c r="FH92">
        <f>'TEA Revised Non EYZ'!DX92</f>
        <v>53983.928663982973</v>
      </c>
      <c r="FI92">
        <f>'TEA Revised Non EYZ'!DY92</f>
        <v>22856.098829508919</v>
      </c>
      <c r="FJ92">
        <f>'TEA Revised Non EYZ'!DZ92</f>
        <v>12107.513206066582</v>
      </c>
      <c r="FK92">
        <f>'TEA Revised Non EYZ'!EA92</f>
        <v>12189.919375738094</v>
      </c>
      <c r="FL92">
        <f>'TEA Revised Non EYZ'!EB92</f>
        <v>846.07913732146346</v>
      </c>
      <c r="FM92">
        <f>'TEA Revised Non EYZ'!EC92</f>
        <v>28284.996273452896</v>
      </c>
      <c r="FN92">
        <f>'TEA Revised Non EYZ'!ED92</f>
        <v>19396.918004101793</v>
      </c>
      <c r="FO92">
        <f>'TEA Revised Non EYZ'!EE92</f>
        <v>8212.4048001237406</v>
      </c>
      <c r="FP92">
        <f>'TEA Revised Non EYZ'!EF92</f>
        <v>4352.7618877396708</v>
      </c>
      <c r="FQ92">
        <f>'TEA Revised Non EYZ'!EG92</f>
        <v>4379.9492267326632</v>
      </c>
      <c r="FR92">
        <f>'TEA Revised Non EYZ'!EH92</f>
        <v>431.06595187681012</v>
      </c>
      <c r="FS92">
        <f>'TEA Revised Non EYZ'!EI92</f>
        <v>219330.16011914256</v>
      </c>
      <c r="FT92">
        <f>EG92*EH92</f>
        <v>2516.0352811302291</v>
      </c>
      <c r="FU92">
        <f>EG92*EI92</f>
        <v>4794.6803815565127</v>
      </c>
      <c r="FV92">
        <f>FC92*(FT92+FU92)/(3.6*10^6)*3600*7200*0.07</f>
        <v>1842.300346997059</v>
      </c>
      <c r="FW92">
        <f>('CAPEX+OPEX'!$C$39/7/100+0.03)*EL92</f>
        <v>90798.744836251994</v>
      </c>
      <c r="FX92">
        <f>('CAPEX+OPEX'!$C$39/7/100+0.03)*EM92</f>
        <v>173030.5468295218</v>
      </c>
      <c r="FY92">
        <f>SUM(FV92:FX92)</f>
        <v>265671.59201277082</v>
      </c>
      <c r="FZ92">
        <f>FY92+FA92+FS92+EU92</f>
        <v>11294187.888328111</v>
      </c>
      <c r="GA92">
        <f>FZ92+EO92</f>
        <v>12358498.025011105</v>
      </c>
      <c r="GB92">
        <f>GA92/(BK92*60*7200)</f>
        <v>0.28607634317155339</v>
      </c>
      <c r="GC92">
        <f>'TEA Revised Non EYZ'!EM92/'TEA Revised Non EYZ'!EK92*GA92</f>
        <v>961.8102841389026</v>
      </c>
      <c r="GD92">
        <f>'TEA Revised Non EYZ'!EN92/'TEA Revised Non EYZ'!EK92*GA92</f>
        <v>1740.6639402447454</v>
      </c>
    </row>
    <row r="93" spans="1:186">
      <c r="A93">
        <f>'TEA Revised Non EYZ'!A93</f>
        <v>12</v>
      </c>
      <c r="B93">
        <f>'TEA Revised Non EYZ'!B93</f>
        <v>1.54143585092054E-3</v>
      </c>
      <c r="C93">
        <f>'TEA Revised Non EYZ'!C93</f>
        <v>1.54143585092054E-3</v>
      </c>
      <c r="D93">
        <f>'TEA Revised Non EYZ'!D93</f>
        <v>3.4254130020456501E-4</v>
      </c>
      <c r="E93">
        <f>'TEA Revised Non EYZ'!E93</f>
        <v>0</v>
      </c>
      <c r="F93">
        <f>'TEA Revised Non EYZ'!F93</f>
        <v>0</v>
      </c>
      <c r="G93">
        <f>'TEA Revised Non EYZ'!G93</f>
        <v>0</v>
      </c>
      <c r="H93">
        <f>'TEA Revised Non EYZ'!H93</f>
        <v>1.7771599281349402E-5</v>
      </c>
      <c r="I93">
        <f>'TEA Revised Non EYZ'!I93</f>
        <v>6.3113732322488897E-11</v>
      </c>
      <c r="J93">
        <f>'TEA Revised Non EYZ'!J93</f>
        <v>3.37661562480901E-4</v>
      </c>
      <c r="K93">
        <f>'TEA Revised Non EYZ'!K93</f>
        <v>0.13911791568267901</v>
      </c>
      <c r="L93">
        <f>'TEA Revised Non EYZ'!L93</f>
        <v>0.140740543921716</v>
      </c>
      <c r="M93">
        <f>'TEA Revised Non EYZ'!M93</f>
        <v>4.45543656000266E-4</v>
      </c>
      <c r="N93">
        <f>'TEA Revised Non EYZ'!N93</f>
        <v>-4.7646348672047899E-15</v>
      </c>
      <c r="O93">
        <f>'TEA Revised Non EYZ'!O93</f>
        <v>-1.1300289697036E-11</v>
      </c>
      <c r="P93">
        <f>'TEA Revised Non EYZ'!P93</f>
        <v>-4.6756218688437302E-19</v>
      </c>
      <c r="Q93">
        <f>'TEA Revised Non EYZ'!Q93</f>
        <v>0.10952322309941399</v>
      </c>
      <c r="R93">
        <f>'TEA Revised Non EYZ'!R93</f>
        <v>98.575430839799395</v>
      </c>
      <c r="S93">
        <f>'TEA Revised Non EYZ'!S93</f>
        <v>500</v>
      </c>
      <c r="T93">
        <f>'TEA Revised Non EYZ'!T93</f>
        <v>95</v>
      </c>
      <c r="U93">
        <f>'TEA Revised Non EYZ'!U93</f>
        <v>1</v>
      </c>
      <c r="V93">
        <f>'TEA Revised Non EYZ'!V93</f>
        <v>0.1</v>
      </c>
      <c r="W93">
        <f>'TEA Revised Non EYZ'!W93</f>
        <v>91.304836700459305</v>
      </c>
      <c r="X93" t="str">
        <f>'TEA Revised Non EYZ'!X93</f>
        <v>ddFc</v>
      </c>
      <c r="Y93">
        <f>'TEA Revised Non EYZ'!Y93</f>
        <v>1</v>
      </c>
      <c r="Z93">
        <f>'TEA Revised Non EYZ'!Z93</f>
        <v>0.28318429382522198</v>
      </c>
      <c r="AA93">
        <f>'TEA Revised Non EYZ'!AA93</f>
        <v>0.56945642916197003</v>
      </c>
      <c r="AB93">
        <f>'TEA Revised Non EYZ'!AB93</f>
        <v>3.7698628972227502E-3</v>
      </c>
      <c r="AC93">
        <f>'TEA Revised Non EYZ'!AC93</f>
        <v>1822.2107908876901</v>
      </c>
      <c r="AD93">
        <f>'TEA Revised Non EYZ'!AD93</f>
        <v>2662.6059073104898</v>
      </c>
      <c r="AE93">
        <f>'TEA Revised Non EYZ'!AE93</f>
        <v>2401.5030938442701</v>
      </c>
      <c r="AF93">
        <f>'TEA Revised Non EYZ'!AF93</f>
        <v>5</v>
      </c>
      <c r="AG93">
        <f>'TEA Revised Non EYZ'!AG93</f>
        <v>1.6497575706444501E-3</v>
      </c>
      <c r="AH93">
        <f>'TEA Revised Non EYZ'!AH93</f>
        <v>1.66899983148883E-3</v>
      </c>
      <c r="AI93">
        <f>'TEA Revised Non EYZ'!AI93</f>
        <v>5.28356837386519E-6</v>
      </c>
      <c r="AJ93">
        <f>'TEA Revised Non EYZ'!AJ93</f>
        <v>0</v>
      </c>
      <c r="AK93">
        <f>'TEA Revised Non EYZ'!AK93</f>
        <v>0</v>
      </c>
      <c r="AL93">
        <f>'TEA Revised Non EYZ'!AL93</f>
        <v>0</v>
      </c>
      <c r="AM93">
        <f>'TEA Revised Non EYZ'!AM93</f>
        <v>1.61044680899333E-3</v>
      </c>
      <c r="AN93">
        <f>'TEA Revised Non EYZ'!AN93</f>
        <v>7.9513667548027593E-5</v>
      </c>
      <c r="AO93">
        <f>'TEA Revised Non EYZ'!AO93</f>
        <v>5.2466908500710802E-6</v>
      </c>
      <c r="AP93">
        <f>'TEA Revised Non EYZ'!AP93</f>
        <v>1.8118119800337601E-3</v>
      </c>
      <c r="AQ93">
        <f>'TEA Revised Non EYZ'!AQ93</f>
        <v>7.3258567195411697E-2</v>
      </c>
      <c r="AR93">
        <f>'TEA Revised Non EYZ'!AR93</f>
        <v>1.6996653485653601E-6</v>
      </c>
      <c r="AS93">
        <f>'TEA Revised Non EYZ'!AS93</f>
        <v>-4.4472617862639699E-17</v>
      </c>
      <c r="AT93">
        <f>'TEA Revised Non EYZ'!AT93</f>
        <v>1.89518539750466E-16</v>
      </c>
      <c r="AU93">
        <f>'TEA Revised Non EYZ'!AU93</f>
        <v>-3.4807760176231399E-20</v>
      </c>
      <c r="AV93">
        <f>'TEA Revised Non EYZ'!AV93</f>
        <v>0.20038604773893701</v>
      </c>
      <c r="AW93">
        <f>'TEA Revised Non EYZ'!AW93</f>
        <v>99.302033754753197</v>
      </c>
      <c r="AX93">
        <f>'TEA Revised Non EYZ'!AX93</f>
        <v>500</v>
      </c>
      <c r="AY93">
        <f>'TEA Revised Non EYZ'!AY93</f>
        <v>95</v>
      </c>
      <c r="AZ93">
        <f>'TEA Revised Non EYZ'!AZ93</f>
        <v>0.92356857683566096</v>
      </c>
      <c r="BA93">
        <f>'TEA Revised Non EYZ'!BA93</f>
        <v>0.1</v>
      </c>
      <c r="BB93">
        <f>'TEA Revised Non EYZ'!BB93</f>
        <v>46.089465172689103</v>
      </c>
      <c r="BC93" t="str">
        <f>'TEA Revised Non EYZ'!BC93</f>
        <v>coeFc</v>
      </c>
      <c r="BD93">
        <f>'TEA Revised Non EYZ'!BD93</f>
        <v>1</v>
      </c>
      <c r="BE93">
        <f>'TEA Revised Non EYZ'!BE93</f>
        <v>1.8775014999999999E-2</v>
      </c>
      <c r="BF93">
        <f>'TEA Revised Non EYZ'!BF93</f>
        <v>0.10492961100000001</v>
      </c>
      <c r="BG93">
        <f>'TEA Revised Non EYZ'!BG93</f>
        <v>1.814625E-3</v>
      </c>
      <c r="BH93">
        <f>'TEA Revised Non EYZ'!BH93</f>
        <v>285.1951444</v>
      </c>
      <c r="BI93">
        <f>'TEA Revised Non EYZ'!BI93</f>
        <v>2169.8944889999998</v>
      </c>
      <c r="BJ93">
        <f>'TEA Revised Non EYZ'!BJ93</f>
        <v>866.49409060000005</v>
      </c>
      <c r="BK93">
        <f>'TEA Revised Non EYZ'!BK93</f>
        <v>100</v>
      </c>
      <c r="BL93">
        <f>'TEA Revised Non EYZ'!BL93</f>
        <v>10.952322309941399</v>
      </c>
      <c r="BM93">
        <f>'TEA Revised Non EYZ'!BM93</f>
        <v>92.356857683566091</v>
      </c>
      <c r="BN93">
        <f>'TEA Revised Non EYZ'!BN93</f>
        <v>20.038604773893702</v>
      </c>
      <c r="BO93">
        <f>'TEA Revised Non EYZ'!BO93</f>
        <v>306.6650246783592</v>
      </c>
      <c r="BP93">
        <f>'TEA Revised Non EYZ'!BP93</f>
        <v>280.54046683451185</v>
      </c>
      <c r="BQ93">
        <f>'TEA Revised Non EYZ'!BQ93</f>
        <v>30.666502467835922</v>
      </c>
      <c r="BR93">
        <f>'TEA Revised Non EYZ'!BR93</f>
        <v>28.054046683451187</v>
      </c>
      <c r="BS93">
        <f>'eLLE Bals'!CF93</f>
        <v>6.5713933859648392</v>
      </c>
      <c r="BT93">
        <f>'eLLE Bals'!CG93</f>
        <v>12.023162864336221</v>
      </c>
      <c r="BU93">
        <f>BM93</f>
        <v>92.356857683566091</v>
      </c>
      <c r="BV93">
        <f>BU93*(AM93*2+AN93*2+AO93*3)</f>
        <v>0.31361258208601245</v>
      </c>
      <c r="BW93">
        <f>BN93*BA93*(AP93*2+AQ93*2+AR93*3)</f>
        <v>0.30087134938126869</v>
      </c>
      <c r="BX93">
        <f>BV93/(2*V93*BL93+BV93)</f>
        <v>0.12524078794945737</v>
      </c>
      <c r="BY93">
        <f>BU93*BX93</f>
        <v>11.566845628825712</v>
      </c>
      <c r="BZ93">
        <f>BW93/(2*BN93*BA93+BW93)</f>
        <v>6.9830545139017444E-2</v>
      </c>
      <c r="CA93">
        <f>2*BN93*BA93/0.04</f>
        <v>100.1930238694685</v>
      </c>
      <c r="CB93">
        <f>(BS93+BL93)*2</f>
        <v>35.047431391812481</v>
      </c>
      <c r="CC93">
        <f>(BU93+BL93)*2</f>
        <v>206.61835998701497</v>
      </c>
      <c r="CD93">
        <f>(BT93+BN93)*2</f>
        <v>64.123535276459847</v>
      </c>
      <c r="CE93">
        <f>(CA93+BN93)*2</f>
        <v>240.4632572867244</v>
      </c>
      <c r="CF93">
        <f>'TEA Revised Non EYZ'!CB93</f>
        <v>4047.9783257543413</v>
      </c>
      <c r="CG93">
        <f>'TEA Revised Non EYZ'!CC93</f>
        <v>3703.1341622155564</v>
      </c>
      <c r="CH93">
        <f>'TEA Revised Non EYZ'!CD93</f>
        <v>4890.707695899031</v>
      </c>
      <c r="CI93">
        <f>'TEA Revised Non EYZ'!CE93</f>
        <v>28562.602921442158</v>
      </c>
      <c r="CJ93">
        <f>BL93*V93</f>
        <v>1.09523223099414</v>
      </c>
      <c r="CK93">
        <f>CJ93/2*1.2</f>
        <v>0.65713933859648399</v>
      </c>
      <c r="CL93">
        <f>'eLLE Bals'!CB93*'Oxidant Feed Composition'!$N$20</f>
        <v>3.6507741033138016E-2</v>
      </c>
      <c r="CM93">
        <f>'eLLE Bals'!CB93*'Oxidant Feed Composition'!$N$21</f>
        <v>1.8253870516569002</v>
      </c>
      <c r="CN93">
        <f>'eLLE Bals'!CB93*'Oxidant Feed Composition'!$N$22</f>
        <v>0.54761611549707001</v>
      </c>
      <c r="CO93">
        <f>CN93/CK93</f>
        <v>0.83333333333333337</v>
      </c>
      <c r="CP93">
        <f>CO93</f>
        <v>0.83333333333333337</v>
      </c>
      <c r="CQ93">
        <f>CL93/CO93</f>
        <v>4.3809289239765618E-2</v>
      </c>
      <c r="CR93">
        <f>CM93/CO93</f>
        <v>2.19046446198828</v>
      </c>
      <c r="CS93">
        <f>BN93*BA93</f>
        <v>2.0038604773893702</v>
      </c>
      <c r="CT93">
        <f>CS93/2*1.2</f>
        <v>1.2023162864336221</v>
      </c>
      <c r="CU93">
        <f>'eLLE Bals'!CC93*'Oxidant Feed Composition'!$N$20</f>
        <v>6.6795349246312377E-2</v>
      </c>
      <c r="CV93">
        <f>'eLLE Bals'!CC93*'Oxidant Feed Composition'!$N$21</f>
        <v>3.3397674623156175</v>
      </c>
      <c r="CW93">
        <f>'eLLE Bals'!CC93*'Oxidant Feed Composition'!$N$22</f>
        <v>1.0019302386946851</v>
      </c>
      <c r="CX93">
        <f>CU93/CP93</f>
        <v>8.0154419095574844E-2</v>
      </c>
      <c r="CY93">
        <f>CV93/CP93</f>
        <v>4.0077209547787405</v>
      </c>
      <c r="CZ93">
        <f>CJ93</f>
        <v>1.09523223099414</v>
      </c>
      <c r="DA93">
        <f>'eLLE Bals'!BQ93</f>
        <v>2.19046446198828</v>
      </c>
      <c r="DB93">
        <f>'eLLE Bals'!BU93</f>
        <v>5.4593156063342487</v>
      </c>
      <c r="DC93">
        <f>CS93</f>
        <v>2.0038604773893702</v>
      </c>
      <c r="DD93">
        <f>'eLLE Bals'!BX93</f>
        <v>4.0077209547787405</v>
      </c>
      <c r="DE93">
        <f>'eLLE Bals'!CA93</f>
        <v>22.684463735460461</v>
      </c>
      <c r="DF93">
        <f>2*2*(CJ93*'Reagent cost'!$C$36*122.44/1000*0.5+CK93*'Oxidant Feed Composition'!$N$26+CQ93*'Reagent cost'!$C$34+CR93*'Reagent cost'!$C$35)</f>
        <v>73.571443208837024</v>
      </c>
      <c r="DG93">
        <f>2*2*(CS93*'Reagent cost'!$C$36*122.44/1000*0.5+CT93*'Oxidant Feed Composition'!$N$26+CX93*'Reagent cost'!$C$34+CY93*'Reagent cost'!$C$35)</f>
        <v>134.6078969725589</v>
      </c>
      <c r="DH93">
        <f>(AF93+3)*2*(CZ93*'Reagent cost'!$C$38*0.5+DA93*'Reagent cost'!$C$39+DB93*'Reagent cost'!$C$36*122.44/1000)</f>
        <v>796.38770126552606</v>
      </c>
      <c r="DI93">
        <f>3*2*(DC93*'Reagent cost'!$C$38*0.5+DD93*'Reagent cost'!$C$39+DE93*'Reagent cost'!$C$36*122.44/1000)</f>
        <v>1205.0791110177529</v>
      </c>
      <c r="DJ93">
        <f>7963.6*(CB93/1000)^0.6*1.7*('CAPEX+OPEX'!$G$116/'CAPEX+OPEX'!$G$115)</f>
        <v>2138.1326451989207</v>
      </c>
      <c r="DK93">
        <f>7963.6*(CC93/1000)^0.6*1.7*('CAPEX+OPEX'!$G$116/'CAPEX+OPEX'!$G$115)</f>
        <v>6199.2945816251477</v>
      </c>
      <c r="DL93">
        <f>7963.6*(CD93/1000)^0.6*1.7*('CAPEX+OPEX'!$G$116/'CAPEX+OPEX'!$G$115)</f>
        <v>3072.2135668030037</v>
      </c>
      <c r="DM93">
        <f>7963.6*(CE93/1000)^0.6*1.7*('CAPEX+OPEX'!$G$116/'CAPEX+OPEX'!$G$115)</f>
        <v>6790.0060820193685</v>
      </c>
      <c r="DN93">
        <f>'TEA Revised Non EYZ'!CM93</f>
        <v>39625.826528698344</v>
      </c>
      <c r="DO93">
        <f>'TEA Revised Non EYZ'!CN93</f>
        <v>4586243.4239371875</v>
      </c>
      <c r="DP93">
        <f>'TEA Revised Non EYZ'!CO93</f>
        <v>11794834.586807497</v>
      </c>
      <c r="DQ93">
        <f>'TEA Revised Non EYZ'!CP93</f>
        <v>2275209.1661185985</v>
      </c>
      <c r="DR93">
        <f>'TEA Revised Non EYZ'!CQ93</f>
        <v>14083914.336508472</v>
      </c>
      <c r="DS93">
        <f>'TEA Revised Non EYZ'!CR93</f>
        <v>1662824.8986326549</v>
      </c>
      <c r="DT93">
        <f>'TEA Revised Non EYZ'!CS93</f>
        <v>936765.86395108781</v>
      </c>
      <c r="DU93">
        <f>'TEA Revised Non EYZ'!CT93</f>
        <v>2409160.916797909</v>
      </c>
      <c r="DV93">
        <f>'TEA Revised Non EYZ'!CU93</f>
        <v>464724.19432521454</v>
      </c>
      <c r="DW93">
        <f>'TEA Revised Non EYZ'!CV93</f>
        <v>2876718.2553791031</v>
      </c>
      <c r="DX93">
        <f>'TEA Revised Non EYZ'!CW93</f>
        <v>339641.28346021532</v>
      </c>
      <c r="DY93">
        <f>'TEA Revised Non EYZ'!CX93</f>
        <v>7027010.5139135299</v>
      </c>
      <c r="DZ93">
        <f>'TEA Revised Non EYZ'!CY93</f>
        <v>556280.17433304957</v>
      </c>
      <c r="EA93">
        <f>'TEA Revised Non EYZ'!CZ93</f>
        <v>1430633.3165687236</v>
      </c>
      <c r="EB93">
        <f>'TEA Revised Non EYZ'!DA93</f>
        <v>275967.41702952847</v>
      </c>
      <c r="EC93">
        <f>'TEA Revised Non EYZ'!DB93</f>
        <v>1708283.1411680363</v>
      </c>
      <c r="ED93">
        <f>'TEA Revised Non EYZ'!DC93</f>
        <v>201689.36512807687</v>
      </c>
      <c r="EE93">
        <f>'TEA Revised Non EYZ'!DD93</f>
        <v>4172853.4142274149</v>
      </c>
      <c r="EF93">
        <v>0.7</v>
      </c>
      <c r="EG93">
        <v>100</v>
      </c>
      <c r="EH93">
        <f>96485*BL93*V93/EF93/EG93/60</f>
        <v>25.160352811302293</v>
      </c>
      <c r="EI93">
        <f>96485*BN93*BA93/EF93/EG93/60</f>
        <v>46.033923371646054</v>
      </c>
      <c r="EJ93">
        <f>EH93*('CAPEX+OPEX'!$O$25+'CAPEX+OPEX'!$O$26)</f>
        <v>801910.76480182668</v>
      </c>
      <c r="EK93">
        <f>EI93*('CAPEX+OPEX'!$O$25+'CAPEX+OPEX'!$O$26)</f>
        <v>1467193.205701103</v>
      </c>
      <c r="EL93">
        <f>EJ93*1.12/0.6*'CAPEX+OPEX'!$G$116/'CAPEX+OPEX'!$G$115</f>
        <v>1765531.1495937889</v>
      </c>
      <c r="EM93">
        <f>EK93*1.12/0.6*'CAPEX+OPEX'!$G$116/'CAPEX+OPEX'!$G$115</f>
        <v>3230253.8148092008</v>
      </c>
      <c r="EN93">
        <f>EL93+EM93+DY93+EE93+1.15*(SUM(DF93:DM93)+SUM(CF93:CI93))</f>
        <v>16266504.666097369</v>
      </c>
      <c r="EO93">
        <f>EN93/15</f>
        <v>1084433.6444064912</v>
      </c>
      <c r="EP93">
        <f>('eLLE Bals'!CB93+'eLLE Bals'!CC93)*'Oxidant Feed Composition'!$N$29*60*7200</f>
        <v>7730244.2106239088</v>
      </c>
      <c r="EQ93" s="53">
        <f>('eLLE Bals'!BR93+'eLLE Bals'!BY93)*'Reagent cost'!$C$38*60*7200*0.5</f>
        <v>252814.17687613622</v>
      </c>
      <c r="ER93">
        <f>'TEA Revised Non EYZ'!DI93</f>
        <v>504921.59999999998</v>
      </c>
      <c r="ES93">
        <f>'TEA Revised Non EYZ'!DJ93</f>
        <v>77.511124879698983</v>
      </c>
      <c r="ET93">
        <f>'TEA Revised Non EYZ'!DK93</f>
        <v>669.0662123468237</v>
      </c>
      <c r="EU93">
        <f>1.2*SUM(EP93:ET93)</f>
        <v>10186471.877804724</v>
      </c>
      <c r="EV93">
        <f>'TEA Revised Non EYZ'!DM93</f>
        <v>0.70639694042110623</v>
      </c>
      <c r="EW93">
        <f>(BS93*CO93+BT93*CP93)/1000*('Oxidant Feed Composition'!$B$11*'Oxidant Feed Composition'!$O$20+'Oxidant Feed Composition'!$D$11*'Oxidant Feed Composition'!$O$21+'Oxidant Feed Composition'!$F$11*'Oxidant Feed Composition'!$O$27-'Oxidant Feed Composition'!$J$15*18.015)</f>
        <v>1.8096305818296117</v>
      </c>
      <c r="EX93">
        <f>(CZ93*BX93+DC93*BZ93)*368.34/1000</f>
        <v>0.10206643096049994</v>
      </c>
      <c r="EY93">
        <f>'TEA Revised Non EYZ'!DP93</f>
        <v>4.999938342565946E-2</v>
      </c>
      <c r="EZ93">
        <f>SUM(EV93:EX93)-EY93</f>
        <v>2.5680945697855586</v>
      </c>
      <c r="FA93">
        <f>EZ93*0.33*60*7200</f>
        <v>366107.5618686293</v>
      </c>
      <c r="FB93">
        <f>'TEA Revised Non EYZ'!DS93</f>
        <v>1.2</v>
      </c>
      <c r="FC93">
        <v>0.5</v>
      </c>
      <c r="FD93">
        <f>'TEA Revised Non EYZ'!DT93</f>
        <v>1403.8204430995365</v>
      </c>
      <c r="FE93">
        <f>'TEA Revised Non EYZ'!DU93</f>
        <v>707.86125193843873</v>
      </c>
      <c r="FF93">
        <f>'TEA Revised Non EYZ'!DV93</f>
        <v>0.7</v>
      </c>
      <c r="FG93">
        <f>'TEA Revised Non EYZ'!DW93</f>
        <v>52288.524762496963</v>
      </c>
      <c r="FH93">
        <f>'TEA Revised Non EYZ'!DX93</f>
        <v>53983.928663982973</v>
      </c>
      <c r="FI93">
        <f>'TEA Revised Non EYZ'!DY93</f>
        <v>22856.098829508919</v>
      </c>
      <c r="FJ93">
        <f>'TEA Revised Non EYZ'!DZ93</f>
        <v>12107.513206066582</v>
      </c>
      <c r="FK93">
        <f>'TEA Revised Non EYZ'!EA93</f>
        <v>12189.919375738094</v>
      </c>
      <c r="FL93">
        <f>'TEA Revised Non EYZ'!EB93</f>
        <v>849.03060398659966</v>
      </c>
      <c r="FM93">
        <f>'TEA Revised Non EYZ'!EC93</f>
        <v>30856.35957103952</v>
      </c>
      <c r="FN93">
        <f>'TEA Revised Non EYZ'!ED93</f>
        <v>23276.301604922155</v>
      </c>
      <c r="FO93">
        <f>'TEA Revised Non EYZ'!EE93</f>
        <v>9854.8857601484906</v>
      </c>
      <c r="FP93">
        <f>'TEA Revised Non EYZ'!EF93</f>
        <v>5223.3142652876058</v>
      </c>
      <c r="FQ93">
        <f>'TEA Revised Non EYZ'!EG93</f>
        <v>5255.9390720791962</v>
      </c>
      <c r="FR93">
        <f>'TEA Revised Non EYZ'!EH93</f>
        <v>428.11448517236784</v>
      </c>
      <c r="FS93">
        <f>'TEA Revised Non EYZ'!EI93</f>
        <v>229169.93020042952</v>
      </c>
      <c r="FT93">
        <f>EG93*EH93</f>
        <v>2516.0352811302291</v>
      </c>
      <c r="FU93">
        <f>EG93*EI93</f>
        <v>4603.3923371646051</v>
      </c>
      <c r="FV93">
        <f>FC93*(FT93+FU93)/(3.6*10^6)*3600*7200*0.07</f>
        <v>1794.0957598102984</v>
      </c>
      <c r="FW93">
        <f>('CAPEX+OPEX'!$C$39/7/100+0.03)*EL93</f>
        <v>90798.744836251994</v>
      </c>
      <c r="FX93">
        <f>('CAPEX+OPEX'!$C$39/7/100+0.03)*EM93</f>
        <v>166127.33904733032</v>
      </c>
      <c r="FY93">
        <f>SUM(FV93:FX93)</f>
        <v>258720.17964339262</v>
      </c>
      <c r="FZ93">
        <f>FY93+FA93+FS93+EU93</f>
        <v>11040469.549517175</v>
      </c>
      <c r="GA93">
        <f>FZ93+EO93</f>
        <v>12124903.193923667</v>
      </c>
      <c r="GB93">
        <f>GA93/(BK93*60*7200)</f>
        <v>0.28066905541489973</v>
      </c>
      <c r="GC93">
        <f>'TEA Revised Non EYZ'!EM93/'TEA Revised Non EYZ'!EK93*GA93</f>
        <v>940.34823377713712</v>
      </c>
      <c r="GD93">
        <f>'TEA Revised Non EYZ'!EN93/'TEA Revised Non EYZ'!EK93*GA93</f>
        <v>1718.6194423481684</v>
      </c>
    </row>
    <row r="94" spans="1:186">
      <c r="A94">
        <f>'TEA Revised Non EYZ'!A94</f>
        <v>12</v>
      </c>
      <c r="B94">
        <f>'TEA Revised Non EYZ'!B94</f>
        <v>1.54143585092054E-3</v>
      </c>
      <c r="C94">
        <f>'TEA Revised Non EYZ'!C94</f>
        <v>1.54143585092054E-3</v>
      </c>
      <c r="D94">
        <f>'TEA Revised Non EYZ'!D94</f>
        <v>3.4254130020456501E-4</v>
      </c>
      <c r="E94">
        <f>'TEA Revised Non EYZ'!E94</f>
        <v>0</v>
      </c>
      <c r="F94">
        <f>'TEA Revised Non EYZ'!F94</f>
        <v>0</v>
      </c>
      <c r="G94">
        <f>'TEA Revised Non EYZ'!G94</f>
        <v>0</v>
      </c>
      <c r="H94">
        <f>'TEA Revised Non EYZ'!H94</f>
        <v>1.7771599281349402E-5</v>
      </c>
      <c r="I94">
        <f>'TEA Revised Non EYZ'!I94</f>
        <v>6.3113732322488897E-11</v>
      </c>
      <c r="J94">
        <f>'TEA Revised Non EYZ'!J94</f>
        <v>3.37661562480901E-4</v>
      </c>
      <c r="K94">
        <f>'TEA Revised Non EYZ'!K94</f>
        <v>0.13911791568267901</v>
      </c>
      <c r="L94">
        <f>'TEA Revised Non EYZ'!L94</f>
        <v>0.140740543921716</v>
      </c>
      <c r="M94">
        <f>'TEA Revised Non EYZ'!M94</f>
        <v>4.45543656000266E-4</v>
      </c>
      <c r="N94">
        <f>'TEA Revised Non EYZ'!N94</f>
        <v>-4.7646348672047899E-15</v>
      </c>
      <c r="O94">
        <f>'TEA Revised Non EYZ'!O94</f>
        <v>-1.1300289697036E-11</v>
      </c>
      <c r="P94">
        <f>'TEA Revised Non EYZ'!P94</f>
        <v>-4.6756218688437302E-19</v>
      </c>
      <c r="Q94">
        <f>'TEA Revised Non EYZ'!Q94</f>
        <v>0.10952322309941399</v>
      </c>
      <c r="R94">
        <f>'TEA Revised Non EYZ'!R94</f>
        <v>98.575430839799395</v>
      </c>
      <c r="S94">
        <f>'TEA Revised Non EYZ'!S94</f>
        <v>500</v>
      </c>
      <c r="T94">
        <f>'TEA Revised Non EYZ'!T94</f>
        <v>95</v>
      </c>
      <c r="U94">
        <f>'TEA Revised Non EYZ'!U94</f>
        <v>1</v>
      </c>
      <c r="V94">
        <f>'TEA Revised Non EYZ'!V94</f>
        <v>0.1</v>
      </c>
      <c r="W94">
        <f>'TEA Revised Non EYZ'!W94</f>
        <v>91.304836700459305</v>
      </c>
      <c r="X94" t="str">
        <f>'TEA Revised Non EYZ'!X94</f>
        <v>ddFc</v>
      </c>
      <c r="Y94">
        <f>'TEA Revised Non EYZ'!Y94</f>
        <v>1</v>
      </c>
      <c r="Z94">
        <f>'TEA Revised Non EYZ'!Z94</f>
        <v>0.28318429382522198</v>
      </c>
      <c r="AA94">
        <f>'TEA Revised Non EYZ'!AA94</f>
        <v>0.56945642916197003</v>
      </c>
      <c r="AB94">
        <f>'TEA Revised Non EYZ'!AB94</f>
        <v>3.7698628972227502E-3</v>
      </c>
      <c r="AC94">
        <f>'TEA Revised Non EYZ'!AC94</f>
        <v>1822.2107908876901</v>
      </c>
      <c r="AD94">
        <f>'TEA Revised Non EYZ'!AD94</f>
        <v>2662.6059073104898</v>
      </c>
      <c r="AE94">
        <f>'TEA Revised Non EYZ'!AE94</f>
        <v>2401.5030938442701</v>
      </c>
      <c r="AF94">
        <f>'TEA Revised Non EYZ'!AF94</f>
        <v>6</v>
      </c>
      <c r="AG94">
        <f>'TEA Revised Non EYZ'!AG94</f>
        <v>1.6497575706444501E-3</v>
      </c>
      <c r="AH94">
        <f>'TEA Revised Non EYZ'!AH94</f>
        <v>1.66899983148883E-3</v>
      </c>
      <c r="AI94">
        <f>'TEA Revised Non EYZ'!AI94</f>
        <v>5.28356837386519E-6</v>
      </c>
      <c r="AJ94">
        <f>'TEA Revised Non EYZ'!AJ94</f>
        <v>0</v>
      </c>
      <c r="AK94">
        <f>'TEA Revised Non EYZ'!AK94</f>
        <v>0</v>
      </c>
      <c r="AL94">
        <f>'TEA Revised Non EYZ'!AL94</f>
        <v>0</v>
      </c>
      <c r="AM94">
        <f>'TEA Revised Non EYZ'!AM94</f>
        <v>1.6121282837362799E-3</v>
      </c>
      <c r="AN94">
        <f>'TEA Revised Non EYZ'!AN94</f>
        <v>7.9600650767137996E-5</v>
      </c>
      <c r="AO94">
        <f>'TEA Revised Non EYZ'!AO94</f>
        <v>5.2482064740735796E-6</v>
      </c>
      <c r="AP94">
        <f>'TEA Revised Non EYZ'!AP94</f>
        <v>1.7562196007610399E-3</v>
      </c>
      <c r="AQ94">
        <f>'TEA Revised Non EYZ'!AQ94</f>
        <v>7.4179827043465804E-2</v>
      </c>
      <c r="AR94">
        <f>'TEA Revised Non EYZ'!AR94</f>
        <v>1.6503969816312101E-6</v>
      </c>
      <c r="AS94">
        <f>'TEA Revised Non EYZ'!AS94</f>
        <v>-1.9447876468958701E-18</v>
      </c>
      <c r="AT94">
        <f>'TEA Revised Non EYZ'!AT94</f>
        <v>-1.4658413372004E-16</v>
      </c>
      <c r="AU94">
        <f>'TEA Revised Non EYZ'!AU94</f>
        <v>-2.85211875208283E-21</v>
      </c>
      <c r="AV94">
        <f>'TEA Revised Non EYZ'!AV94</f>
        <v>0.19788656806963401</v>
      </c>
      <c r="AW94">
        <f>'TEA Revised Non EYZ'!AW94</f>
        <v>99.330719368248694</v>
      </c>
      <c r="AX94">
        <f>'TEA Revised Non EYZ'!AX94</f>
        <v>500</v>
      </c>
      <c r="AY94">
        <f>'TEA Revised Non EYZ'!AY94</f>
        <v>95</v>
      </c>
      <c r="AZ94">
        <f>'TEA Revised Non EYZ'!AZ94</f>
        <v>0.92356857683566096</v>
      </c>
      <c r="BA94">
        <f>'TEA Revised Non EYZ'!BA94</f>
        <v>0.1</v>
      </c>
      <c r="BB94">
        <f>'TEA Revised Non EYZ'!BB94</f>
        <v>46.671615251352797</v>
      </c>
      <c r="BC94" t="str">
        <f>'TEA Revised Non EYZ'!BC94</f>
        <v>coeFc</v>
      </c>
      <c r="BD94">
        <f>'TEA Revised Non EYZ'!BD94</f>
        <v>1</v>
      </c>
      <c r="BE94">
        <f>'TEA Revised Non EYZ'!BE94</f>
        <v>1.8775014999999999E-2</v>
      </c>
      <c r="BF94">
        <f>'TEA Revised Non EYZ'!BF94</f>
        <v>0.10492961100000001</v>
      </c>
      <c r="BG94">
        <f>'TEA Revised Non EYZ'!BG94</f>
        <v>1.814625E-3</v>
      </c>
      <c r="BH94">
        <f>'TEA Revised Non EYZ'!BH94</f>
        <v>285.1951444</v>
      </c>
      <c r="BI94">
        <f>'TEA Revised Non EYZ'!BI94</f>
        <v>2169.8944889999998</v>
      </c>
      <c r="BJ94">
        <f>'TEA Revised Non EYZ'!BJ94</f>
        <v>866.49409060000005</v>
      </c>
      <c r="BK94">
        <f>'TEA Revised Non EYZ'!BK94</f>
        <v>100</v>
      </c>
      <c r="BL94">
        <f>'TEA Revised Non EYZ'!BL94</f>
        <v>10.952322309941399</v>
      </c>
      <c r="BM94">
        <f>'TEA Revised Non EYZ'!BM94</f>
        <v>92.356857683566091</v>
      </c>
      <c r="BN94">
        <f>'TEA Revised Non EYZ'!BN94</f>
        <v>19.788656806963402</v>
      </c>
      <c r="BO94">
        <f>'TEA Revised Non EYZ'!BO94</f>
        <v>306.6650246783592</v>
      </c>
      <c r="BP94">
        <f>'TEA Revised Non EYZ'!BP94</f>
        <v>316.61850891141444</v>
      </c>
      <c r="BQ94">
        <f>'TEA Revised Non EYZ'!BQ94</f>
        <v>30.666502467835922</v>
      </c>
      <c r="BR94">
        <f>'TEA Revised Non EYZ'!BR94</f>
        <v>31.661850891141444</v>
      </c>
      <c r="BS94">
        <f>'eLLE Bals'!CF94</f>
        <v>6.5713933859648392</v>
      </c>
      <c r="BT94">
        <f>'eLLE Bals'!CG94</f>
        <v>11.87319408417804</v>
      </c>
      <c r="BU94">
        <f>BM94</f>
        <v>92.356857683566091</v>
      </c>
      <c r="BV94">
        <f>BU94*(AM94*2+AN94*2+AO94*3)</f>
        <v>0.3139396604614661</v>
      </c>
      <c r="BW94">
        <f>BN94*BA94*(AP94*2+AQ94*2+AR94*3)</f>
        <v>0.30054427100587344</v>
      </c>
      <c r="BX94">
        <f>BV94/(2*V94*BL94+BV94)</f>
        <v>0.1253550326192476</v>
      </c>
      <c r="BY94">
        <f>BU94*BX94</f>
        <v>11.577396907534636</v>
      </c>
      <c r="BZ94">
        <f>BW94/(2*BN94*BA94+BW94)</f>
        <v>7.05788673516623E-2</v>
      </c>
      <c r="CA94">
        <f>2*BN94*BA94/0.04</f>
        <v>98.943284034817012</v>
      </c>
      <c r="CB94">
        <f>(BS94+BL94)*2</f>
        <v>35.047431391812481</v>
      </c>
      <c r="CC94">
        <f>(BU94+BL94)*2</f>
        <v>206.61835998701497</v>
      </c>
      <c r="CD94">
        <f>(BT94+BN94)*2</f>
        <v>63.323701782282882</v>
      </c>
      <c r="CE94">
        <f>(CA94+BN94)*2</f>
        <v>237.46388168356083</v>
      </c>
      <c r="CF94">
        <f>'TEA Revised Non EYZ'!CB94</f>
        <v>4047.9783257543413</v>
      </c>
      <c r="CG94">
        <f>'TEA Revised Non EYZ'!CC94</f>
        <v>4179.3643176306714</v>
      </c>
      <c r="CH94">
        <f>'TEA Revised Non EYZ'!CD94</f>
        <v>4890.707695899031</v>
      </c>
      <c r="CI94">
        <f>'TEA Revised Non EYZ'!CE94</f>
        <v>32235.808436686144</v>
      </c>
      <c r="CJ94">
        <f>BL94*V94</f>
        <v>1.09523223099414</v>
      </c>
      <c r="CK94">
        <f>CJ94/2*1.2</f>
        <v>0.65713933859648399</v>
      </c>
      <c r="CL94">
        <f>'eLLE Bals'!CB94*'Oxidant Feed Composition'!$N$20</f>
        <v>3.6507741033138016E-2</v>
      </c>
      <c r="CM94">
        <f>'eLLE Bals'!CB94*'Oxidant Feed Composition'!$N$21</f>
        <v>1.8253870516569002</v>
      </c>
      <c r="CN94">
        <f>'eLLE Bals'!CB94*'Oxidant Feed Composition'!$N$22</f>
        <v>0.54761611549707001</v>
      </c>
      <c r="CO94">
        <f>CN94/CK94</f>
        <v>0.83333333333333337</v>
      </c>
      <c r="CP94">
        <f>CO94</f>
        <v>0.83333333333333337</v>
      </c>
      <c r="CQ94">
        <f>CL94/CO94</f>
        <v>4.3809289239765618E-2</v>
      </c>
      <c r="CR94">
        <f>CM94/CO94</f>
        <v>2.19046446198828</v>
      </c>
      <c r="CS94">
        <f>BN94*BA94</f>
        <v>1.9788656806963403</v>
      </c>
      <c r="CT94">
        <f>CS94/2*1.2</f>
        <v>1.187319408417804</v>
      </c>
      <c r="CU94">
        <f>'eLLE Bals'!CC94*'Oxidant Feed Composition'!$N$20</f>
        <v>6.5962189356544701E-2</v>
      </c>
      <c r="CV94">
        <f>'eLLE Bals'!CC94*'Oxidant Feed Composition'!$N$21</f>
        <v>3.298109467827234</v>
      </c>
      <c r="CW94">
        <f>'eLLE Bals'!CC94*'Oxidant Feed Composition'!$N$22</f>
        <v>0.98943284034817014</v>
      </c>
      <c r="CX94">
        <f>CU94/CP94</f>
        <v>7.9154627227853644E-2</v>
      </c>
      <c r="CY94">
        <f>CV94/CP94</f>
        <v>3.9577313613926806</v>
      </c>
      <c r="CZ94">
        <f>CJ94</f>
        <v>1.09523223099414</v>
      </c>
      <c r="DA94">
        <f>'eLLE Bals'!BQ94</f>
        <v>2.19046446198828</v>
      </c>
      <c r="DB94">
        <f>'eLLE Bals'!BU94</f>
        <v>5.4513456746807627</v>
      </c>
      <c r="DC94">
        <f>CS94</f>
        <v>1.9788656806963403</v>
      </c>
      <c r="DD94">
        <f>'eLLE Bals'!BX94</f>
        <v>3.9577313613926806</v>
      </c>
      <c r="DE94">
        <f>'eLLE Bals'!CA94</f>
        <v>22.101054381765024</v>
      </c>
      <c r="DF94">
        <f>2*2*(CJ94*'Reagent cost'!$C$36*122.44/1000*0.5+CK94*'Oxidant Feed Composition'!$N$26+CQ94*'Reagent cost'!$C$34+CR94*'Reagent cost'!$C$35)</f>
        <v>73.571443208837024</v>
      </c>
      <c r="DG94">
        <f>2*2*(CS94*'Reagent cost'!$C$36*122.44/1000*0.5+CT94*'Oxidant Feed Composition'!$N$26+CX94*'Reagent cost'!$C$34+CY94*'Reagent cost'!$C$35)</f>
        <v>132.92888934898988</v>
      </c>
      <c r="DH94">
        <f>(AF94+3)*2*(CZ94*'Reagent cost'!$C$38*0.5+DA94*'Reagent cost'!$C$39+DB94*'Reagent cost'!$C$36*122.44/1000)</f>
        <v>894.69571714293693</v>
      </c>
      <c r="DI94">
        <f>3*2*(DC94*'Reagent cost'!$C$38*0.5+DD94*'Reagent cost'!$C$39+DE94*'Reagent cost'!$C$36*122.44/1000)</f>
        <v>1174.4598889930196</v>
      </c>
      <c r="DJ94">
        <f>7963.6*(CB94/1000)^0.6*1.7*('CAPEX+OPEX'!$G$116/'CAPEX+OPEX'!$G$115)</f>
        <v>2138.1326451989207</v>
      </c>
      <c r="DK94">
        <f>7963.6*(CC94/1000)^0.6*1.7*('CAPEX+OPEX'!$G$116/'CAPEX+OPEX'!$G$115)</f>
        <v>6199.2945816251477</v>
      </c>
      <c r="DL94">
        <f>7963.6*(CD94/1000)^0.6*1.7*('CAPEX+OPEX'!$G$116/'CAPEX+OPEX'!$G$115)</f>
        <v>3049.1634468413222</v>
      </c>
      <c r="DM94">
        <f>7963.6*(CE94/1000)^0.6*1.7*('CAPEX+OPEX'!$G$116/'CAPEX+OPEX'!$G$115)</f>
        <v>6739.0622100105093</v>
      </c>
      <c r="DN94">
        <f>'TEA Revised Non EYZ'!CM94</f>
        <v>39625.826528698344</v>
      </c>
      <c r="DO94">
        <f>'TEA Revised Non EYZ'!CN94</f>
        <v>4586243.4239371875</v>
      </c>
      <c r="DP94">
        <f>'TEA Revised Non EYZ'!CO94</f>
        <v>11794834.586807497</v>
      </c>
      <c r="DQ94">
        <f>'TEA Revised Non EYZ'!CP94</f>
        <v>2275209.1661185985</v>
      </c>
      <c r="DR94">
        <f>'TEA Revised Non EYZ'!CQ94</f>
        <v>14083914.336508472</v>
      </c>
      <c r="DS94">
        <f>'TEA Revised Non EYZ'!CR94</f>
        <v>1662824.8986326549</v>
      </c>
      <c r="DT94">
        <f>'TEA Revised Non EYZ'!CS94</f>
        <v>936765.86395108781</v>
      </c>
      <c r="DU94">
        <f>'TEA Revised Non EYZ'!CT94</f>
        <v>2409160.916797909</v>
      </c>
      <c r="DV94">
        <f>'TEA Revised Non EYZ'!CU94</f>
        <v>464724.19432521454</v>
      </c>
      <c r="DW94">
        <f>'TEA Revised Non EYZ'!CV94</f>
        <v>2876718.2553791031</v>
      </c>
      <c r="DX94">
        <f>'TEA Revised Non EYZ'!CW94</f>
        <v>339641.28346021532</v>
      </c>
      <c r="DY94">
        <f>'TEA Revised Non EYZ'!CX94</f>
        <v>7027010.5139135299</v>
      </c>
      <c r="DZ94">
        <f>'TEA Revised Non EYZ'!CY94</f>
        <v>610185.18062781263</v>
      </c>
      <c r="EA94">
        <f>'TEA Revised Non EYZ'!CZ94</f>
        <v>1569265.4330693621</v>
      </c>
      <c r="EB94">
        <f>'TEA Revised Non EYZ'!DA94</f>
        <v>302709.38274844305</v>
      </c>
      <c r="EC94">
        <f>'TEA Revised Non EYZ'!DB94</f>
        <v>1873820.2530888517</v>
      </c>
      <c r="ED94">
        <f>'TEA Revised Non EYZ'!DC94</f>
        <v>221233.59301621036</v>
      </c>
      <c r="EE94">
        <f>'TEA Revised Non EYZ'!DD94</f>
        <v>4577213.84255068</v>
      </c>
      <c r="EF94">
        <v>0.7</v>
      </c>
      <c r="EG94">
        <v>100</v>
      </c>
      <c r="EH94">
        <f>96485*BL94*V94/EF94/EG94/60</f>
        <v>25.160352811302293</v>
      </c>
      <c r="EI94">
        <f>96485*BN94*BA94/EF94/EG94/60</f>
        <v>45.459727429044385</v>
      </c>
      <c r="EJ94">
        <f>EH94*('CAPEX+OPEX'!$O$25+'CAPEX+OPEX'!$O$26)</f>
        <v>801910.76480182668</v>
      </c>
      <c r="EK94">
        <f>EI94*('CAPEX+OPEX'!$O$25+'CAPEX+OPEX'!$O$26)</f>
        <v>1448892.4326185025</v>
      </c>
      <c r="EL94">
        <f>EJ94*1.12/0.6*'CAPEX+OPEX'!$G$116/'CAPEX+OPEX'!$G$115</f>
        <v>1765531.1495937889</v>
      </c>
      <c r="EM94">
        <f>EK94*1.12/0.6*'CAPEX+OPEX'!$G$116/'CAPEX+OPEX'!$G$115</f>
        <v>3189961.8192940098</v>
      </c>
      <c r="EN94">
        <f>EL94+EM94+DY94+EE94+1.15*(SUM(DF94:DM94)+SUM(CF94:CI94))</f>
        <v>16635335.768090101</v>
      </c>
      <c r="EO94">
        <f>EN94/15</f>
        <v>1109022.3845393402</v>
      </c>
      <c r="EP94">
        <f>('eLLE Bals'!CB94+'eLLE Bals'!CC94)*'Oxidant Feed Composition'!$N$29*60*7200</f>
        <v>7667898.259530114</v>
      </c>
      <c r="EQ94" s="53">
        <f>('eLLE Bals'!BR94+'eLLE Bals'!BY94)*'Reagent cost'!$C$38*60*7200*0.5</f>
        <v>252686.95095989219</v>
      </c>
      <c r="ER94">
        <f>'TEA Revised Non EYZ'!DI94</f>
        <v>504921.59999999998</v>
      </c>
      <c r="ES94">
        <f>'TEA Revised Non EYZ'!DJ94</f>
        <v>82.273426433850133</v>
      </c>
      <c r="ET94">
        <f>'TEA Revised Non EYZ'!DK94</f>
        <v>742.5303226517035</v>
      </c>
      <c r="EU94">
        <f>1.2*SUM(EP94:ET94)</f>
        <v>10111597.937086912</v>
      </c>
      <c r="EV94">
        <f>'TEA Revised Non EYZ'!DM94</f>
        <v>0.70639694042110623</v>
      </c>
      <c r="EW94">
        <f>(BS94*CO94+BT94*CP94)/1000*('Oxidant Feed Composition'!$B$11*'Oxidant Feed Composition'!$O$20+'Oxidant Feed Composition'!$D$11*'Oxidant Feed Composition'!$O$21+'Oxidant Feed Composition'!$F$11*'Oxidant Feed Composition'!$O$27-'Oxidant Feed Composition'!$J$15*18.015)</f>
        <v>1.7950355526586665</v>
      </c>
      <c r="EX94">
        <f>(CZ94*BX94+DC94*BZ94)*368.34/1000</f>
        <v>0.10201506716691383</v>
      </c>
      <c r="EY94">
        <f>'TEA Revised Non EYZ'!DP94</f>
        <v>4.999938342565946E-2</v>
      </c>
      <c r="EZ94">
        <f>SUM(EV94:EX94)-EY94</f>
        <v>2.5534481768210275</v>
      </c>
      <c r="FA94">
        <f>EZ94*0.33*60*7200</f>
        <v>364019.57208760572</v>
      </c>
      <c r="FB94">
        <f>'TEA Revised Non EYZ'!DS94</f>
        <v>1.2</v>
      </c>
      <c r="FC94">
        <v>0.5</v>
      </c>
      <c r="FD94">
        <f>'TEA Revised Non EYZ'!DT94</f>
        <v>1405.285337690628</v>
      </c>
      <c r="FE94">
        <f>'TEA Revised Non EYZ'!DU94</f>
        <v>706.39635734745946</v>
      </c>
      <c r="FF94">
        <f>'TEA Revised Non EYZ'!DV94</f>
        <v>0.7</v>
      </c>
      <c r="FG94">
        <f>'TEA Revised Non EYZ'!DW94</f>
        <v>52288.524762496963</v>
      </c>
      <c r="FH94">
        <f>'TEA Revised Non EYZ'!DX94</f>
        <v>53983.928663982973</v>
      </c>
      <c r="FI94">
        <f>'TEA Revised Non EYZ'!DY94</f>
        <v>22856.098829508919</v>
      </c>
      <c r="FJ94">
        <f>'TEA Revised Non EYZ'!DZ94</f>
        <v>12107.513206066582</v>
      </c>
      <c r="FK94">
        <f>'TEA Revised Non EYZ'!EA94</f>
        <v>12189.919375738094</v>
      </c>
      <c r="FL94">
        <f>'TEA Revised Non EYZ'!EB94</f>
        <v>849.91657223529182</v>
      </c>
      <c r="FM94">
        <f>'TEA Revised Non EYZ'!EC94</f>
        <v>33427.722868626144</v>
      </c>
      <c r="FN94">
        <f>'TEA Revised Non EYZ'!ED94</f>
        <v>27155.685205742509</v>
      </c>
      <c r="FO94">
        <f>'TEA Revised Non EYZ'!EE94</f>
        <v>11497.366720173237</v>
      </c>
      <c r="FP94">
        <f>'TEA Revised Non EYZ'!EF94</f>
        <v>6093.8666428355391</v>
      </c>
      <c r="FQ94">
        <f>'TEA Revised Non EYZ'!EG94</f>
        <v>6131.9289174257283</v>
      </c>
      <c r="FR94">
        <f>'TEA Revised Non EYZ'!EH94</f>
        <v>427.22851692374354</v>
      </c>
      <c r="FS94">
        <f>'TEA Revised Non EYZ'!EI94</f>
        <v>239009.70028175577</v>
      </c>
      <c r="FT94">
        <f>EG94*EH94</f>
        <v>2516.0352811302291</v>
      </c>
      <c r="FU94">
        <f>EG94*EI94</f>
        <v>4545.9727429044387</v>
      </c>
      <c r="FV94">
        <f>FC94*(FT94+FU94)/(3.6*10^6)*3600*7200*0.07</f>
        <v>1779.6260220567365</v>
      </c>
      <c r="FW94">
        <f>('CAPEX+OPEX'!$C$39/7/100+0.03)*EL94</f>
        <v>90798.744836251994</v>
      </c>
      <c r="FX94">
        <f>('CAPEX+OPEX'!$C$39/7/100+0.03)*EM94</f>
        <v>164055.17927797764</v>
      </c>
      <c r="FY94">
        <f>SUM(FV94:FX94)</f>
        <v>256633.55013628636</v>
      </c>
      <c r="FZ94">
        <f>FY94+FA94+FS94+EU94</f>
        <v>10971260.759592559</v>
      </c>
      <c r="GA94">
        <f>FZ94+EO94</f>
        <v>12080283.144131899</v>
      </c>
      <c r="GB94">
        <f>GA94/(BK94*60*7200)</f>
        <v>0.27963618389194211</v>
      </c>
      <c r="GC94">
        <f>'TEA Revised Non EYZ'!EM94/'TEA Revised Non EYZ'!EK94*GA94</f>
        <v>935.91049212024006</v>
      </c>
      <c r="GD94">
        <f>'TEA Revised Non EYZ'!EN94/'TEA Revised Non EYZ'!EK94*GA94</f>
        <v>1715.5687320919571</v>
      </c>
    </row>
    <row r="95" spans="1:186">
      <c r="A95">
        <f>'TEA Revised Non EYZ'!A95</f>
        <v>12</v>
      </c>
      <c r="B95">
        <f>'TEA Revised Non EYZ'!B95</f>
        <v>1.54143585092054E-3</v>
      </c>
      <c r="C95">
        <f>'TEA Revised Non EYZ'!C95</f>
        <v>1.54143585092054E-3</v>
      </c>
      <c r="D95">
        <f>'TEA Revised Non EYZ'!D95</f>
        <v>3.4254130020456501E-4</v>
      </c>
      <c r="E95">
        <f>'TEA Revised Non EYZ'!E95</f>
        <v>0</v>
      </c>
      <c r="F95">
        <f>'TEA Revised Non EYZ'!F95</f>
        <v>0</v>
      </c>
      <c r="G95">
        <f>'TEA Revised Non EYZ'!G95</f>
        <v>0</v>
      </c>
      <c r="H95">
        <f>'TEA Revised Non EYZ'!H95</f>
        <v>1.7771599281349402E-5</v>
      </c>
      <c r="I95">
        <f>'TEA Revised Non EYZ'!I95</f>
        <v>6.3113732322488897E-11</v>
      </c>
      <c r="J95">
        <f>'TEA Revised Non EYZ'!J95</f>
        <v>3.37661562480901E-4</v>
      </c>
      <c r="K95">
        <f>'TEA Revised Non EYZ'!K95</f>
        <v>0.13911791568267901</v>
      </c>
      <c r="L95">
        <f>'TEA Revised Non EYZ'!L95</f>
        <v>0.140740543921716</v>
      </c>
      <c r="M95">
        <f>'TEA Revised Non EYZ'!M95</f>
        <v>4.45543656000266E-4</v>
      </c>
      <c r="N95">
        <f>'TEA Revised Non EYZ'!N95</f>
        <v>-4.7646348672047899E-15</v>
      </c>
      <c r="O95">
        <f>'TEA Revised Non EYZ'!O95</f>
        <v>-1.1300289697036E-11</v>
      </c>
      <c r="P95">
        <f>'TEA Revised Non EYZ'!P95</f>
        <v>-4.6756218688437302E-19</v>
      </c>
      <c r="Q95">
        <f>'TEA Revised Non EYZ'!Q95</f>
        <v>0.10952322309941399</v>
      </c>
      <c r="R95">
        <f>'TEA Revised Non EYZ'!R95</f>
        <v>98.575430839799395</v>
      </c>
      <c r="S95">
        <f>'TEA Revised Non EYZ'!S95</f>
        <v>500</v>
      </c>
      <c r="T95">
        <f>'TEA Revised Non EYZ'!T95</f>
        <v>95</v>
      </c>
      <c r="U95">
        <f>'TEA Revised Non EYZ'!U95</f>
        <v>1</v>
      </c>
      <c r="V95">
        <f>'TEA Revised Non EYZ'!V95</f>
        <v>0.1</v>
      </c>
      <c r="W95">
        <f>'TEA Revised Non EYZ'!W95</f>
        <v>91.304836700459305</v>
      </c>
      <c r="X95" t="str">
        <f>'TEA Revised Non EYZ'!X95</f>
        <v>ddFc</v>
      </c>
      <c r="Y95">
        <f>'TEA Revised Non EYZ'!Y95</f>
        <v>1</v>
      </c>
      <c r="Z95">
        <f>'TEA Revised Non EYZ'!Z95</f>
        <v>0.28318429382522198</v>
      </c>
      <c r="AA95">
        <f>'TEA Revised Non EYZ'!AA95</f>
        <v>0.56945642916197003</v>
      </c>
      <c r="AB95">
        <f>'TEA Revised Non EYZ'!AB95</f>
        <v>3.7698628972227502E-3</v>
      </c>
      <c r="AC95">
        <f>'TEA Revised Non EYZ'!AC95</f>
        <v>1822.2107908876901</v>
      </c>
      <c r="AD95">
        <f>'TEA Revised Non EYZ'!AD95</f>
        <v>2662.6059073104898</v>
      </c>
      <c r="AE95">
        <f>'TEA Revised Non EYZ'!AE95</f>
        <v>2401.5030938442701</v>
      </c>
      <c r="AF95">
        <f>'TEA Revised Non EYZ'!AF95</f>
        <v>7</v>
      </c>
      <c r="AG95">
        <f>'TEA Revised Non EYZ'!AG95</f>
        <v>1.6497575706444501E-3</v>
      </c>
      <c r="AH95">
        <f>'TEA Revised Non EYZ'!AH95</f>
        <v>1.66899983148883E-3</v>
      </c>
      <c r="AI95">
        <f>'TEA Revised Non EYZ'!AI95</f>
        <v>5.28356837386519E-6</v>
      </c>
      <c r="AJ95">
        <f>'TEA Revised Non EYZ'!AJ95</f>
        <v>0</v>
      </c>
      <c r="AK95">
        <f>'TEA Revised Non EYZ'!AK95</f>
        <v>0</v>
      </c>
      <c r="AL95">
        <f>'TEA Revised Non EYZ'!AL95</f>
        <v>0</v>
      </c>
      <c r="AM95">
        <f>'TEA Revised Non EYZ'!AM95</f>
        <v>1.61261707866804E-3</v>
      </c>
      <c r="AN95">
        <f>'TEA Revised Non EYZ'!AN95</f>
        <v>7.9625936031329294E-5</v>
      </c>
      <c r="AO95">
        <f>'TEA Revised Non EYZ'!AO95</f>
        <v>5.2486470564610397E-6</v>
      </c>
      <c r="AP95">
        <f>'TEA Revised Non EYZ'!AP95</f>
        <v>1.7397947866492501E-3</v>
      </c>
      <c r="AQ95">
        <f>'TEA Revised Non EYZ'!AQ95</f>
        <v>7.4452013697398206E-2</v>
      </c>
      <c r="AR95">
        <f>'TEA Revised Non EYZ'!AR95</f>
        <v>1.6358406345626599E-6</v>
      </c>
      <c r="AS95">
        <f>'TEA Revised Non EYZ'!AS95</f>
        <v>-4.2216122091154298E-18</v>
      </c>
      <c r="AT95">
        <f>'TEA Revised Non EYZ'!AT95</f>
        <v>-1.65666091955785E-15</v>
      </c>
      <c r="AU95">
        <f>'TEA Revised Non EYZ'!AU95</f>
        <v>-4.3344264097778598E-21</v>
      </c>
      <c r="AV95">
        <f>'TEA Revised Non EYZ'!AV95</f>
        <v>0.19715998450427299</v>
      </c>
      <c r="AW95">
        <f>'TEA Revised Non EYZ'!AW95</f>
        <v>99.339058096098597</v>
      </c>
      <c r="AX95">
        <f>'TEA Revised Non EYZ'!AX95</f>
        <v>500</v>
      </c>
      <c r="AY95">
        <f>'TEA Revised Non EYZ'!AY95</f>
        <v>95</v>
      </c>
      <c r="AZ95">
        <f>'TEA Revised Non EYZ'!AZ95</f>
        <v>0.92356857683566096</v>
      </c>
      <c r="BA95">
        <f>'TEA Revised Non EYZ'!BA95</f>
        <v>0.1</v>
      </c>
      <c r="BB95">
        <f>'TEA Revised Non EYZ'!BB95</f>
        <v>46.843611758127501</v>
      </c>
      <c r="BC95" t="str">
        <f>'TEA Revised Non EYZ'!BC95</f>
        <v>coeFc</v>
      </c>
      <c r="BD95">
        <f>'TEA Revised Non EYZ'!BD95</f>
        <v>1</v>
      </c>
      <c r="BE95">
        <f>'TEA Revised Non EYZ'!BE95</f>
        <v>1.8775014999999999E-2</v>
      </c>
      <c r="BF95">
        <f>'TEA Revised Non EYZ'!BF95</f>
        <v>0.10492961100000001</v>
      </c>
      <c r="BG95">
        <f>'TEA Revised Non EYZ'!BG95</f>
        <v>1.814625E-3</v>
      </c>
      <c r="BH95">
        <f>'TEA Revised Non EYZ'!BH95</f>
        <v>285.1951444</v>
      </c>
      <c r="BI95">
        <f>'TEA Revised Non EYZ'!BI95</f>
        <v>2169.8944889999998</v>
      </c>
      <c r="BJ95">
        <f>'TEA Revised Non EYZ'!BJ95</f>
        <v>866.49409060000005</v>
      </c>
      <c r="BK95">
        <f>'TEA Revised Non EYZ'!BK95</f>
        <v>100</v>
      </c>
      <c r="BL95">
        <f>'TEA Revised Non EYZ'!BL95</f>
        <v>10.952322309941399</v>
      </c>
      <c r="BM95">
        <f>'TEA Revised Non EYZ'!BM95</f>
        <v>92.356857683566091</v>
      </c>
      <c r="BN95">
        <f>'TEA Revised Non EYZ'!BN95</f>
        <v>19.7159984504273</v>
      </c>
      <c r="BO95">
        <f>'TEA Revised Non EYZ'!BO95</f>
        <v>306.6650246783592</v>
      </c>
      <c r="BP95">
        <f>'TEA Revised Non EYZ'!BP95</f>
        <v>354.88797210769138</v>
      </c>
      <c r="BQ95">
        <f>'TEA Revised Non EYZ'!BQ95</f>
        <v>30.666502467835922</v>
      </c>
      <c r="BR95">
        <f>'TEA Revised Non EYZ'!BR95</f>
        <v>35.488797210769143</v>
      </c>
      <c r="BS95">
        <f>'eLLE Bals'!CF95</f>
        <v>6.5713933859648392</v>
      </c>
      <c r="BT95">
        <f>'eLLE Bals'!CG95</f>
        <v>11.82959907025638</v>
      </c>
      <c r="BU95">
        <f>BM95</f>
        <v>92.356857683566091</v>
      </c>
      <c r="BV95">
        <f>BU95*(AM95*2+AN95*2+AO95*3)</f>
        <v>0.3140347401968715</v>
      </c>
      <c r="BW95">
        <f>BN95*BA95*(AP95*2+AQ95*2+AR95*3)</f>
        <v>0.30044919127077152</v>
      </c>
      <c r="BX95">
        <f>BV95/(2*V95*BL95+BV95)</f>
        <v>0.12538823726630827</v>
      </c>
      <c r="BY95">
        <f>BU95*BX95</f>
        <v>11.58046358439765</v>
      </c>
      <c r="BZ95">
        <f>BW95/(2*BN95*BA95+BW95)</f>
        <v>7.0799729117728208E-2</v>
      </c>
      <c r="CA95">
        <f>2*BN95*BA95/0.04</f>
        <v>98.579992252136506</v>
      </c>
      <c r="CB95">
        <f>(BS95+BL95)*2</f>
        <v>35.047431391812481</v>
      </c>
      <c r="CC95">
        <f>(BU95+BL95)*2</f>
        <v>206.61835998701497</v>
      </c>
      <c r="CD95">
        <f>(BT95+BN95)*2</f>
        <v>63.091195041367357</v>
      </c>
      <c r="CE95">
        <f>(CA95+BN95)*2</f>
        <v>236.59198140512763</v>
      </c>
      <c r="CF95">
        <f>'TEA Revised Non EYZ'!CB95</f>
        <v>4047.9783257543413</v>
      </c>
      <c r="CG95">
        <f>'TEA Revised Non EYZ'!CC95</f>
        <v>4684.5212318215263</v>
      </c>
      <c r="CH95">
        <f>'TEA Revised Non EYZ'!CD95</f>
        <v>4890.707695899031</v>
      </c>
      <c r="CI95">
        <f>'TEA Revised Non EYZ'!CE95</f>
        <v>36132.128613328605</v>
      </c>
      <c r="CJ95">
        <f>BL95*V95</f>
        <v>1.09523223099414</v>
      </c>
      <c r="CK95">
        <f>CJ95/2*1.2</f>
        <v>0.65713933859648399</v>
      </c>
      <c r="CL95">
        <f>'eLLE Bals'!CB95*'Oxidant Feed Composition'!$N$20</f>
        <v>3.6507741033138016E-2</v>
      </c>
      <c r="CM95">
        <f>'eLLE Bals'!CB95*'Oxidant Feed Composition'!$N$21</f>
        <v>1.8253870516569002</v>
      </c>
      <c r="CN95">
        <f>'eLLE Bals'!CB95*'Oxidant Feed Composition'!$N$22</f>
        <v>0.54761611549707001</v>
      </c>
      <c r="CO95">
        <f>CN95/CK95</f>
        <v>0.83333333333333337</v>
      </c>
      <c r="CP95">
        <f>CO95</f>
        <v>0.83333333333333337</v>
      </c>
      <c r="CQ95">
        <f>CL95/CO95</f>
        <v>4.3809289239765618E-2</v>
      </c>
      <c r="CR95">
        <f>CM95/CO95</f>
        <v>2.19046446198828</v>
      </c>
      <c r="CS95">
        <f>BN95*BA95</f>
        <v>1.9715998450427301</v>
      </c>
      <c r="CT95">
        <f>CS95/2*1.2</f>
        <v>1.182959907025638</v>
      </c>
      <c r="CU95">
        <f>'eLLE Bals'!CC95*'Oxidant Feed Composition'!$N$20</f>
        <v>6.5719994834757697E-2</v>
      </c>
      <c r="CV95">
        <f>'eLLE Bals'!CC95*'Oxidant Feed Composition'!$N$21</f>
        <v>3.2859997417378835</v>
      </c>
      <c r="CW95">
        <f>'eLLE Bals'!CC95*'Oxidant Feed Composition'!$N$22</f>
        <v>0.98579992252136506</v>
      </c>
      <c r="CX95">
        <f>CU95/CP95</f>
        <v>7.8863993801709234E-2</v>
      </c>
      <c r="CY95">
        <f>CV95/CP95</f>
        <v>3.9431996900854598</v>
      </c>
      <c r="CZ95">
        <f>CJ95</f>
        <v>1.09523223099414</v>
      </c>
      <c r="DA95">
        <f>'eLLE Bals'!BQ95</f>
        <v>2.19046446198828</v>
      </c>
      <c r="DB95">
        <f>'eLLE Bals'!BU95</f>
        <v>5.4490319775251752</v>
      </c>
      <c r="DC95">
        <f>CS95</f>
        <v>1.9715998450427301</v>
      </c>
      <c r="DD95">
        <f>'eLLE Bals'!BX95</f>
        <v>3.9431996900854602</v>
      </c>
      <c r="DE95">
        <f>'eLLE Bals'!CA95</f>
        <v>21.932762448679501</v>
      </c>
      <c r="DF95">
        <f>2*2*(CJ95*'Reagent cost'!$C$36*122.44/1000*0.5+CK95*'Oxidant Feed Composition'!$N$26+CQ95*'Reagent cost'!$C$34+CR95*'Reagent cost'!$C$35)</f>
        <v>73.571443208837024</v>
      </c>
      <c r="DG95">
        <f>2*2*(CS95*'Reagent cost'!$C$36*122.44/1000*0.5+CT95*'Oxidant Feed Composition'!$N$26+CX95*'Reagent cost'!$C$34+CY95*'Reagent cost'!$C$35)</f>
        <v>132.44081202618401</v>
      </c>
      <c r="DH95">
        <f>(AF95+3)*2*(CZ95*'Reagent cost'!$C$38*0.5+DA95*'Reagent cost'!$C$39+DB95*'Reagent cost'!$C$36*122.44/1000)</f>
        <v>993.70623488483034</v>
      </c>
      <c r="DI95">
        <f>3*2*(DC95*'Reagent cost'!$C$38*0.5+DD95*'Reagent cost'!$C$39+DE95*'Reagent cost'!$C$36*122.44/1000)</f>
        <v>1165.6265956612292</v>
      </c>
      <c r="DJ95">
        <f>7963.6*(CB95/1000)^0.6*1.7*('CAPEX+OPEX'!$G$116/'CAPEX+OPEX'!$G$115)</f>
        <v>2138.1326451989207</v>
      </c>
      <c r="DK95">
        <f>7963.6*(CC95/1000)^0.6*1.7*('CAPEX+OPEX'!$G$116/'CAPEX+OPEX'!$G$115)</f>
        <v>6199.2945816251477</v>
      </c>
      <c r="DL95">
        <f>7963.6*(CD95/1000)^0.6*1.7*('CAPEX+OPEX'!$G$116/'CAPEX+OPEX'!$G$115)</f>
        <v>3042.441105507577</v>
      </c>
      <c r="DM95">
        <f>7963.6*(CE95/1000)^0.6*1.7*('CAPEX+OPEX'!$G$116/'CAPEX+OPEX'!$G$115)</f>
        <v>6724.2049295679135</v>
      </c>
      <c r="DN95">
        <f>'TEA Revised Non EYZ'!CM95</f>
        <v>39625.826528698344</v>
      </c>
      <c r="DO95">
        <f>'TEA Revised Non EYZ'!CN95</f>
        <v>4586243.4239371875</v>
      </c>
      <c r="DP95">
        <f>'TEA Revised Non EYZ'!CO95</f>
        <v>11794834.586807497</v>
      </c>
      <c r="DQ95">
        <f>'TEA Revised Non EYZ'!CP95</f>
        <v>2275209.1661185985</v>
      </c>
      <c r="DR95">
        <f>'TEA Revised Non EYZ'!CQ95</f>
        <v>14083914.336508472</v>
      </c>
      <c r="DS95">
        <f>'TEA Revised Non EYZ'!CR95</f>
        <v>1662824.8986326549</v>
      </c>
      <c r="DT95">
        <f>'TEA Revised Non EYZ'!CS95</f>
        <v>936765.86395108781</v>
      </c>
      <c r="DU95">
        <f>'TEA Revised Non EYZ'!CT95</f>
        <v>2409160.916797909</v>
      </c>
      <c r="DV95">
        <f>'TEA Revised Non EYZ'!CU95</f>
        <v>464724.19432521454</v>
      </c>
      <c r="DW95">
        <f>'TEA Revised Non EYZ'!CV95</f>
        <v>2876718.2553791031</v>
      </c>
      <c r="DX95">
        <f>'TEA Revised Non EYZ'!CW95</f>
        <v>339641.28346021532</v>
      </c>
      <c r="DY95">
        <f>'TEA Revised Non EYZ'!CX95</f>
        <v>7027010.5139135299</v>
      </c>
      <c r="DZ95">
        <f>'TEA Revised Non EYZ'!CY95</f>
        <v>661084.27072256745</v>
      </c>
      <c r="EA95">
        <f>'TEA Revised Non EYZ'!CZ95</f>
        <v>1700166.9777089746</v>
      </c>
      <c r="EB95">
        <f>'TEA Revised Non EYZ'!DA95</f>
        <v>327960.13061024435</v>
      </c>
      <c r="EC95">
        <f>'TEA Revised Non EYZ'!DB95</f>
        <v>2030126.4842320178</v>
      </c>
      <c r="ED95">
        <f>'TEA Revised Non EYZ'!DC95</f>
        <v>239687.97201527501</v>
      </c>
      <c r="EE95">
        <f>'TEA Revised Non EYZ'!DD95</f>
        <v>4959025.8352890788</v>
      </c>
      <c r="EF95">
        <v>0.7</v>
      </c>
      <c r="EG95">
        <v>100</v>
      </c>
      <c r="EH95">
        <f>96485*BL95*V95/EF95/EG95/60</f>
        <v>25.160352811302293</v>
      </c>
      <c r="EI95">
        <f>96485*BN95*BA95/EF95/EG95/60</f>
        <v>45.292812154511388</v>
      </c>
      <c r="EJ95">
        <f>EH95*('CAPEX+OPEX'!$O$25+'CAPEX+OPEX'!$O$26)</f>
        <v>801910.76480182668</v>
      </c>
      <c r="EK95">
        <f>EI95*('CAPEX+OPEX'!$O$25+'CAPEX+OPEX'!$O$26)</f>
        <v>1443572.508988587</v>
      </c>
      <c r="EL95">
        <f>EJ95*1.12/0.6*'CAPEX+OPEX'!$G$116/'CAPEX+OPEX'!$G$115</f>
        <v>1765531.1495937889</v>
      </c>
      <c r="EM95">
        <f>EK95*1.12/0.6*'CAPEX+OPEX'!$G$116/'CAPEX+OPEX'!$G$115</f>
        <v>3178249.1808130969</v>
      </c>
      <c r="EN95">
        <f>EL95+EM95+DY95+EE95+1.15*(SUM(DF95:DM95)+SUM(CF95:CI95))</f>
        <v>17010575.146956153</v>
      </c>
      <c r="EO95">
        <f>EN95/15</f>
        <v>1134038.3431304102</v>
      </c>
      <c r="EP95">
        <f>('eLLE Bals'!CB95+'eLLE Bals'!CC95)*'Oxidant Feed Composition'!$N$29*60*7200</f>
        <v>7649774.6700535147</v>
      </c>
      <c r="EQ95" s="53">
        <f>('eLLE Bals'!BR95+'eLLE Bals'!BY95)*'Reagent cost'!$C$38*60*7200*0.5</f>
        <v>252649.54717855836</v>
      </c>
      <c r="ER95">
        <f>'TEA Revised Non EYZ'!DI95</f>
        <v>504921.59999999998</v>
      </c>
      <c r="ES95">
        <f>'TEA Revised Non EYZ'!DJ95</f>
        <v>87.324995575758678</v>
      </c>
      <c r="ET95">
        <f>'TEA Revised Non EYZ'!DK95</f>
        <v>820.45672618455274</v>
      </c>
      <c r="EU95">
        <f>1.2*SUM(EP95:ET95)</f>
        <v>10089904.318744598</v>
      </c>
      <c r="EV95">
        <f>'TEA Revised Non EYZ'!DM95</f>
        <v>0.70639694042110623</v>
      </c>
      <c r="EW95">
        <f>(BS95*CO95+BT95*CP95)/1000*('Oxidant Feed Composition'!$B$11*'Oxidant Feed Composition'!$O$20+'Oxidant Feed Composition'!$D$11*'Oxidant Feed Composition'!$O$21+'Oxidant Feed Composition'!$F$11*'Oxidant Feed Composition'!$O$27-'Oxidant Feed Composition'!$J$15*18.015)</f>
        <v>1.7907928662860542</v>
      </c>
      <c r="EX95">
        <f>(CZ95*BX95+DC95*BZ95)*368.34/1000</f>
        <v>0.10199996646919054</v>
      </c>
      <c r="EY95">
        <f>'TEA Revised Non EYZ'!DP95</f>
        <v>4.999938342565946E-2</v>
      </c>
      <c r="EZ95">
        <f>SUM(EV95:EX95)-EY95</f>
        <v>2.5491903897506916</v>
      </c>
      <c r="FA95">
        <f>EZ95*0.33*60*7200</f>
        <v>363412.58196285862</v>
      </c>
      <c r="FB95">
        <f>'TEA Revised Non EYZ'!DS95</f>
        <v>1.2</v>
      </c>
      <c r="FC95">
        <v>0.5</v>
      </c>
      <c r="FD95">
        <f>'TEA Revised Non EYZ'!DT95</f>
        <v>1405.7111739241</v>
      </c>
      <c r="FE95">
        <f>'TEA Revised Non EYZ'!DU95</f>
        <v>705.9705211146869</v>
      </c>
      <c r="FF95">
        <f>'TEA Revised Non EYZ'!DV95</f>
        <v>0.7</v>
      </c>
      <c r="FG95">
        <f>'TEA Revised Non EYZ'!DW95</f>
        <v>52288.524762496963</v>
      </c>
      <c r="FH95">
        <f>'TEA Revised Non EYZ'!DX95</f>
        <v>53983.928663982973</v>
      </c>
      <c r="FI95">
        <f>'TEA Revised Non EYZ'!DY95</f>
        <v>22856.098829508919</v>
      </c>
      <c r="FJ95">
        <f>'TEA Revised Non EYZ'!DZ95</f>
        <v>12107.513206066582</v>
      </c>
      <c r="FK95">
        <f>'TEA Revised Non EYZ'!EA95</f>
        <v>12189.919375738094</v>
      </c>
      <c r="FL95">
        <f>'TEA Revised Non EYZ'!EB95</f>
        <v>850.17411798929584</v>
      </c>
      <c r="FM95">
        <f>'TEA Revised Non EYZ'!EC95</f>
        <v>35999.086166212779</v>
      </c>
      <c r="FN95">
        <f>'TEA Revised Non EYZ'!ED95</f>
        <v>31035.068806562878</v>
      </c>
      <c r="FO95">
        <f>'TEA Revised Non EYZ'!EE95</f>
        <v>13139.847680197989</v>
      </c>
      <c r="FP95">
        <f>'TEA Revised Non EYZ'!EF95</f>
        <v>6964.4190203834751</v>
      </c>
      <c r="FQ95">
        <f>'TEA Revised Non EYZ'!EG95</f>
        <v>7007.9187627722622</v>
      </c>
      <c r="FR95">
        <f>'TEA Revised Non EYZ'!EH95</f>
        <v>426.97097117016267</v>
      </c>
      <c r="FS95">
        <f>'TEA Revised Non EYZ'!EI95</f>
        <v>248849.47036308239</v>
      </c>
      <c r="FT95">
        <f>EG95*EH95</f>
        <v>2516.0352811302291</v>
      </c>
      <c r="FU95">
        <f>EG95*EI95</f>
        <v>4529.2812154511385</v>
      </c>
      <c r="FV95">
        <f>FC95*(FT95+FU95)/(3.6*10^6)*3600*7200*0.07</f>
        <v>1775.419757138505</v>
      </c>
      <c r="FW95">
        <f>('CAPEX+OPEX'!$C$39/7/100+0.03)*EL95</f>
        <v>90798.744836251994</v>
      </c>
      <c r="FX95">
        <f>('CAPEX+OPEX'!$C$39/7/100+0.03)*EM95</f>
        <v>163452.81501324498</v>
      </c>
      <c r="FY95">
        <f>SUM(FV95:FX95)</f>
        <v>256026.97960663546</v>
      </c>
      <c r="FZ95">
        <f>FY95+FA95+FS95+EU95</f>
        <v>10958193.350677174</v>
      </c>
      <c r="GA95">
        <f>FZ95+EO95</f>
        <v>12092231.693807583</v>
      </c>
      <c r="GB95">
        <f>GA95/(BK95*60*7200)</f>
        <v>0.27991277068999038</v>
      </c>
      <c r="GC95">
        <f>'TEA Revised Non EYZ'!EM95/'TEA Revised Non EYZ'!EK95*GA95</f>
        <v>936.55222377736527</v>
      </c>
      <c r="GD95">
        <f>'TEA Revised Non EYZ'!EN95/'TEA Revised Non EYZ'!EK95*GA95</f>
        <v>1718.220580142442</v>
      </c>
    </row>
    <row r="96" spans="1:186">
      <c r="A96">
        <f>'TEA Revised Non EYZ'!A96</f>
        <v>12</v>
      </c>
      <c r="B96">
        <f>'TEA Revised Non EYZ'!B96</f>
        <v>1.54143585092054E-3</v>
      </c>
      <c r="C96">
        <f>'TEA Revised Non EYZ'!C96</f>
        <v>1.54143585092054E-3</v>
      </c>
      <c r="D96">
        <f>'TEA Revised Non EYZ'!D96</f>
        <v>3.4254130020456501E-4</v>
      </c>
      <c r="E96">
        <f>'TEA Revised Non EYZ'!E96</f>
        <v>0</v>
      </c>
      <c r="F96">
        <f>'TEA Revised Non EYZ'!F96</f>
        <v>0</v>
      </c>
      <c r="G96">
        <f>'TEA Revised Non EYZ'!G96</f>
        <v>0</v>
      </c>
      <c r="H96">
        <f>'TEA Revised Non EYZ'!H96</f>
        <v>1.7771599281349402E-5</v>
      </c>
      <c r="I96">
        <f>'TEA Revised Non EYZ'!I96</f>
        <v>6.3113732322488897E-11</v>
      </c>
      <c r="J96">
        <f>'TEA Revised Non EYZ'!J96</f>
        <v>3.37661562480901E-4</v>
      </c>
      <c r="K96">
        <f>'TEA Revised Non EYZ'!K96</f>
        <v>0.13911791568267901</v>
      </c>
      <c r="L96">
        <f>'TEA Revised Non EYZ'!L96</f>
        <v>0.140740543921716</v>
      </c>
      <c r="M96">
        <f>'TEA Revised Non EYZ'!M96</f>
        <v>4.45543656000266E-4</v>
      </c>
      <c r="N96">
        <f>'TEA Revised Non EYZ'!N96</f>
        <v>-4.7646348672047899E-15</v>
      </c>
      <c r="O96">
        <f>'TEA Revised Non EYZ'!O96</f>
        <v>-1.1300289697036E-11</v>
      </c>
      <c r="P96">
        <f>'TEA Revised Non EYZ'!P96</f>
        <v>-4.6756218688437302E-19</v>
      </c>
      <c r="Q96">
        <f>'TEA Revised Non EYZ'!Q96</f>
        <v>0.10952322309941399</v>
      </c>
      <c r="R96">
        <f>'TEA Revised Non EYZ'!R96</f>
        <v>98.575430839799395</v>
      </c>
      <c r="S96">
        <f>'TEA Revised Non EYZ'!S96</f>
        <v>500</v>
      </c>
      <c r="T96">
        <f>'TEA Revised Non EYZ'!T96</f>
        <v>95</v>
      </c>
      <c r="U96">
        <f>'TEA Revised Non EYZ'!U96</f>
        <v>1</v>
      </c>
      <c r="V96">
        <f>'TEA Revised Non EYZ'!V96</f>
        <v>0.1</v>
      </c>
      <c r="W96">
        <f>'TEA Revised Non EYZ'!W96</f>
        <v>91.304836700459305</v>
      </c>
      <c r="X96" t="str">
        <f>'TEA Revised Non EYZ'!X96</f>
        <v>ddFc</v>
      </c>
      <c r="Y96">
        <f>'TEA Revised Non EYZ'!Y96</f>
        <v>1</v>
      </c>
      <c r="Z96">
        <f>'TEA Revised Non EYZ'!Z96</f>
        <v>0.28318429382522198</v>
      </c>
      <c r="AA96">
        <f>'TEA Revised Non EYZ'!AA96</f>
        <v>0.56945642916197003</v>
      </c>
      <c r="AB96">
        <f>'TEA Revised Non EYZ'!AB96</f>
        <v>3.7698628972227502E-3</v>
      </c>
      <c r="AC96">
        <f>'TEA Revised Non EYZ'!AC96</f>
        <v>1822.2107908876901</v>
      </c>
      <c r="AD96">
        <f>'TEA Revised Non EYZ'!AD96</f>
        <v>2662.6059073104898</v>
      </c>
      <c r="AE96">
        <f>'TEA Revised Non EYZ'!AE96</f>
        <v>2401.5030938442701</v>
      </c>
      <c r="AF96">
        <f>'TEA Revised Non EYZ'!AF96</f>
        <v>8</v>
      </c>
      <c r="AG96">
        <f>'TEA Revised Non EYZ'!AG96</f>
        <v>1.6497575706444501E-3</v>
      </c>
      <c r="AH96">
        <f>'TEA Revised Non EYZ'!AH96</f>
        <v>1.66899983148883E-3</v>
      </c>
      <c r="AI96">
        <f>'TEA Revised Non EYZ'!AI96</f>
        <v>5.28356837386519E-6</v>
      </c>
      <c r="AJ96">
        <f>'TEA Revised Non EYZ'!AJ96</f>
        <v>0</v>
      </c>
      <c r="AK96">
        <f>'TEA Revised Non EYZ'!AK96</f>
        <v>0</v>
      </c>
      <c r="AL96">
        <f>'TEA Revised Non EYZ'!AL96</f>
        <v>0</v>
      </c>
      <c r="AM96">
        <f>'TEA Revised Non EYZ'!AM96</f>
        <v>1.6127563603415801E-3</v>
      </c>
      <c r="AN96">
        <f>'TEA Revised Non EYZ'!AN96</f>
        <v>7.96331411021806E-5</v>
      </c>
      <c r="AO96">
        <f>'TEA Revised Non EYZ'!AO96</f>
        <v>5.2487726000077404E-6</v>
      </c>
      <c r="AP96">
        <f>'TEA Revised Non EYZ'!AP96</f>
        <v>1.73509236363433E-3</v>
      </c>
      <c r="AQ96">
        <f>'TEA Revised Non EYZ'!AQ96</f>
        <v>7.4529940711020898E-2</v>
      </c>
      <c r="AR96">
        <f>'TEA Revised Non EYZ'!AR96</f>
        <v>1.63167315397143E-6</v>
      </c>
      <c r="AS96">
        <f>'TEA Revised Non EYZ'!AS96</f>
        <v>5.0297494034318102E-15</v>
      </c>
      <c r="AT96">
        <f>'TEA Revised Non EYZ'!AT96</f>
        <v>-1.17018894574272E-12</v>
      </c>
      <c r="AU96">
        <f>'TEA Revised Non EYZ'!AU96</f>
        <v>2.31875269310864E-20</v>
      </c>
      <c r="AV96">
        <f>'TEA Revised Non EYZ'!AV96</f>
        <v>0.19695294528304</v>
      </c>
      <c r="AW96">
        <f>'TEA Revised Non EYZ'!AW96</f>
        <v>99.341434208941706</v>
      </c>
      <c r="AX96">
        <f>'TEA Revised Non EYZ'!AX96</f>
        <v>500</v>
      </c>
      <c r="AY96">
        <f>'TEA Revised Non EYZ'!AY96</f>
        <v>95</v>
      </c>
      <c r="AZ96">
        <f>'TEA Revised Non EYZ'!AZ96</f>
        <v>0.92356857683566096</v>
      </c>
      <c r="BA96">
        <f>'TEA Revised Non EYZ'!BA96</f>
        <v>0.1</v>
      </c>
      <c r="BB96">
        <f>'TEA Revised Non EYZ'!BB96</f>
        <v>46.892854306311698</v>
      </c>
      <c r="BC96" t="str">
        <f>'TEA Revised Non EYZ'!BC96</f>
        <v>coeFc</v>
      </c>
      <c r="BD96">
        <f>'TEA Revised Non EYZ'!BD96</f>
        <v>1</v>
      </c>
      <c r="BE96">
        <f>'TEA Revised Non EYZ'!BE96</f>
        <v>1.8775014999999999E-2</v>
      </c>
      <c r="BF96">
        <f>'TEA Revised Non EYZ'!BF96</f>
        <v>0.10492961100000001</v>
      </c>
      <c r="BG96">
        <f>'TEA Revised Non EYZ'!BG96</f>
        <v>1.814625E-3</v>
      </c>
      <c r="BH96">
        <f>'TEA Revised Non EYZ'!BH96</f>
        <v>285.1951444</v>
      </c>
      <c r="BI96">
        <f>'TEA Revised Non EYZ'!BI96</f>
        <v>2169.8944889999998</v>
      </c>
      <c r="BJ96">
        <f>'TEA Revised Non EYZ'!BJ96</f>
        <v>866.49409060000005</v>
      </c>
      <c r="BK96">
        <f>'TEA Revised Non EYZ'!BK96</f>
        <v>100</v>
      </c>
      <c r="BL96">
        <f>'TEA Revised Non EYZ'!BL96</f>
        <v>10.952322309941399</v>
      </c>
      <c r="BM96">
        <f>'TEA Revised Non EYZ'!BM96</f>
        <v>92.356857683566091</v>
      </c>
      <c r="BN96">
        <f>'TEA Revised Non EYZ'!BN96</f>
        <v>19.695294528304</v>
      </c>
      <c r="BO96">
        <f>'TEA Revised Non EYZ'!BO96</f>
        <v>306.6650246783592</v>
      </c>
      <c r="BP96">
        <f>'TEA Revised Non EYZ'!BP96</f>
        <v>393.90589056608002</v>
      </c>
      <c r="BQ96">
        <f>'TEA Revised Non EYZ'!BQ96</f>
        <v>30.666502467835922</v>
      </c>
      <c r="BR96">
        <f>'TEA Revised Non EYZ'!BR96</f>
        <v>39.390589056608007</v>
      </c>
      <c r="BS96">
        <f>'eLLE Bals'!CF96</f>
        <v>6.5713933859648392</v>
      </c>
      <c r="BT96">
        <f>'eLLE Bals'!CG96</f>
        <v>11.8171767169824</v>
      </c>
      <c r="BU96">
        <f>BM96</f>
        <v>92.356857683566091</v>
      </c>
      <c r="BV96">
        <f>BU96*(AM96*2+AN96*2+AO96*3)</f>
        <v>0.3140618330921025</v>
      </c>
      <c r="BW96">
        <f>BN96*BA96*(AP96*2+AQ96*2+AR96*3)</f>
        <v>0.30042209860823854</v>
      </c>
      <c r="BX96">
        <f>BV96/(2*V96*BL96+BV96)</f>
        <v>0.12539769844262014</v>
      </c>
      <c r="BY96">
        <f>BU96*BX96</f>
        <v>11.581337388911805</v>
      </c>
      <c r="BZ96">
        <f>BW96/(2*BN96*BA96+BW96)</f>
        <v>7.0862942493602837E-2</v>
      </c>
      <c r="CA96">
        <f>2*BN96*BA96/0.04</f>
        <v>98.476472641520004</v>
      </c>
      <c r="CB96">
        <f>(BS96+BL96)*2</f>
        <v>35.047431391812481</v>
      </c>
      <c r="CC96">
        <f>(BU96+BL96)*2</f>
        <v>206.61835998701497</v>
      </c>
      <c r="CD96">
        <f>(BT96+BN96)*2</f>
        <v>63.024942490572798</v>
      </c>
      <c r="CE96">
        <f>(CA96+BN96)*2</f>
        <v>236.34353433964802</v>
      </c>
      <c r="CF96">
        <f>'TEA Revised Non EYZ'!CB96</f>
        <v>4047.9783257543413</v>
      </c>
      <c r="CG96">
        <f>'TEA Revised Non EYZ'!CC96</f>
        <v>5199.5577554722568</v>
      </c>
      <c r="CH96">
        <f>'TEA Revised Non EYZ'!CD96</f>
        <v>4890.707695899031</v>
      </c>
      <c r="CI96">
        <f>'TEA Revised Non EYZ'!CE96</f>
        <v>40104.651095817979</v>
      </c>
      <c r="CJ96">
        <f>BL96*V96</f>
        <v>1.09523223099414</v>
      </c>
      <c r="CK96">
        <f>CJ96/2*1.2</f>
        <v>0.65713933859648399</v>
      </c>
      <c r="CL96">
        <f>'eLLE Bals'!CB96*'Oxidant Feed Composition'!$N$20</f>
        <v>3.6507741033138016E-2</v>
      </c>
      <c r="CM96">
        <f>'eLLE Bals'!CB96*'Oxidant Feed Composition'!$N$21</f>
        <v>1.8253870516569002</v>
      </c>
      <c r="CN96">
        <f>'eLLE Bals'!CB96*'Oxidant Feed Composition'!$N$22</f>
        <v>0.54761611549707001</v>
      </c>
      <c r="CO96">
        <f>CN96/CK96</f>
        <v>0.83333333333333337</v>
      </c>
      <c r="CP96">
        <f>CO96</f>
        <v>0.83333333333333337</v>
      </c>
      <c r="CQ96">
        <f>CL96/CO96</f>
        <v>4.3809289239765618E-2</v>
      </c>
      <c r="CR96">
        <f>CM96/CO96</f>
        <v>2.19046446198828</v>
      </c>
      <c r="CS96">
        <f>BN96*BA96</f>
        <v>1.9695294528304002</v>
      </c>
      <c r="CT96">
        <f>CS96/2*1.2</f>
        <v>1.18171767169824</v>
      </c>
      <c r="CU96">
        <f>'eLLE Bals'!CC96*'Oxidant Feed Composition'!$N$20</f>
        <v>6.5650981761013361E-2</v>
      </c>
      <c r="CV96">
        <f>'eLLE Bals'!CC96*'Oxidant Feed Composition'!$N$21</f>
        <v>3.2825490880506671</v>
      </c>
      <c r="CW96">
        <f>'eLLE Bals'!CC96*'Oxidant Feed Composition'!$N$22</f>
        <v>0.98476472641520008</v>
      </c>
      <c r="CX96">
        <f>CU96/CP96</f>
        <v>7.8781178113216027E-2</v>
      </c>
      <c r="CY96">
        <f>CV96/CP96</f>
        <v>3.9390589056608003</v>
      </c>
      <c r="CZ96">
        <f>CJ96</f>
        <v>1.09523223099414</v>
      </c>
      <c r="DA96">
        <f>'eLLE Bals'!BQ96</f>
        <v>2.19046446198828</v>
      </c>
      <c r="DB96">
        <f>'eLLE Bals'!BU96</f>
        <v>5.4483729494449484</v>
      </c>
      <c r="DC96">
        <f>CS96</f>
        <v>1.9695294528304002</v>
      </c>
      <c r="DD96">
        <f>'eLLE Bals'!BX96</f>
        <v>3.9390589056608003</v>
      </c>
      <c r="DE96">
        <f>'eLLE Bals'!CA96</f>
        <v>21.884915319516512</v>
      </c>
      <c r="DF96">
        <f>2*2*(CJ96*'Reagent cost'!$C$36*122.44/1000*0.5+CK96*'Oxidant Feed Composition'!$N$26+CQ96*'Reagent cost'!$C$34+CR96*'Reagent cost'!$C$35)</f>
        <v>73.571443208837024</v>
      </c>
      <c r="DG96">
        <f>2*2*(CS96*'Reagent cost'!$C$36*122.44/1000*0.5+CT96*'Oxidant Feed Composition'!$N$26+CX96*'Reagent cost'!$C$34+CY96*'Reagent cost'!$C$35)</f>
        <v>132.30173490741518</v>
      </c>
      <c r="DH96">
        <f>(AF96+3)*2*(CZ96*'Reagent cost'!$C$38*0.5+DA96*'Reagent cost'!$C$39+DB96*'Reagent cost'!$C$36*122.44/1000)</f>
        <v>1092.9514929895022</v>
      </c>
      <c r="DI96">
        <f>3*2*(DC96*'Reagent cost'!$C$38*0.5+DD96*'Reagent cost'!$C$39+DE96*'Reagent cost'!$C$36*122.44/1000)</f>
        <v>1163.11513411787</v>
      </c>
      <c r="DJ96">
        <f>7963.6*(CB96/1000)^0.6*1.7*('CAPEX+OPEX'!$G$116/'CAPEX+OPEX'!$G$115)</f>
        <v>2138.1326451989207</v>
      </c>
      <c r="DK96">
        <f>7963.6*(CC96/1000)^0.6*1.7*('CAPEX+OPEX'!$G$116/'CAPEX+OPEX'!$G$115)</f>
        <v>6199.2945816251477</v>
      </c>
      <c r="DL96">
        <f>7963.6*(CD96/1000)^0.6*1.7*('CAPEX+OPEX'!$G$116/'CAPEX+OPEX'!$G$115)</f>
        <v>3040.5237681823655</v>
      </c>
      <c r="DM96">
        <f>7963.6*(CE96/1000)^0.6*1.7*('CAPEX+OPEX'!$G$116/'CAPEX+OPEX'!$G$115)</f>
        <v>6719.9673556439693</v>
      </c>
      <c r="DN96">
        <f>'TEA Revised Non EYZ'!CM96</f>
        <v>39625.826528698344</v>
      </c>
      <c r="DO96">
        <f>'TEA Revised Non EYZ'!CN96</f>
        <v>4586243.4239371875</v>
      </c>
      <c r="DP96">
        <f>'TEA Revised Non EYZ'!CO96</f>
        <v>11794834.586807497</v>
      </c>
      <c r="DQ96">
        <f>'TEA Revised Non EYZ'!CP96</f>
        <v>2275209.1661185985</v>
      </c>
      <c r="DR96">
        <f>'TEA Revised Non EYZ'!CQ96</f>
        <v>14083914.336508472</v>
      </c>
      <c r="DS96">
        <f>'TEA Revised Non EYZ'!CR96</f>
        <v>1662824.8986326549</v>
      </c>
      <c r="DT96">
        <f>'TEA Revised Non EYZ'!CS96</f>
        <v>936765.86395108781</v>
      </c>
      <c r="DU96">
        <f>'TEA Revised Non EYZ'!CT96</f>
        <v>2409160.916797909</v>
      </c>
      <c r="DV96">
        <f>'TEA Revised Non EYZ'!CU96</f>
        <v>464724.19432521454</v>
      </c>
      <c r="DW96">
        <f>'TEA Revised Non EYZ'!CV96</f>
        <v>2876718.2553791031</v>
      </c>
      <c r="DX96">
        <f>'TEA Revised Non EYZ'!CW96</f>
        <v>339641.28346021532</v>
      </c>
      <c r="DY96">
        <f>'TEA Revised Non EYZ'!CX96</f>
        <v>7027010.5139135299</v>
      </c>
      <c r="DZ96">
        <f>'TEA Revised Non EYZ'!CY96</f>
        <v>709493.36355675769</v>
      </c>
      <c r="EA96">
        <f>'TEA Revised Non EYZ'!CZ96</f>
        <v>1824664.7833632834</v>
      </c>
      <c r="EB96">
        <f>'TEA Revised Non EYZ'!DA96</f>
        <v>351975.60505387571</v>
      </c>
      <c r="EC96">
        <f>'TEA Revised Non EYZ'!DB96</f>
        <v>2178786.1722517004</v>
      </c>
      <c r="ED96">
        <f>'TEA Revised Non EYZ'!DC96</f>
        <v>257239.55780001023</v>
      </c>
      <c r="EE96">
        <f>'TEA Revised Non EYZ'!DD96</f>
        <v>5322159.482025627</v>
      </c>
      <c r="EF96">
        <v>0.7</v>
      </c>
      <c r="EG96">
        <v>100</v>
      </c>
      <c r="EH96">
        <f>96485*BL96*V96/EF96/EG96/60</f>
        <v>25.160352811302293</v>
      </c>
      <c r="EI96">
        <f>96485*BN96*BA96/EF96/EG96/60</f>
        <v>45.245249822938369</v>
      </c>
      <c r="EJ96">
        <f>EH96*('CAPEX+OPEX'!$O$25+'CAPEX+OPEX'!$O$26)</f>
        <v>801910.76480182668</v>
      </c>
      <c r="EK96">
        <f>EI96*('CAPEX+OPEX'!$O$25+'CAPEX+OPEX'!$O$26)</f>
        <v>1442056.6023566916</v>
      </c>
      <c r="EL96">
        <f>EJ96*1.12/0.6*'CAPEX+OPEX'!$G$116/'CAPEX+OPEX'!$G$115</f>
        <v>1765531.1495937889</v>
      </c>
      <c r="EM96">
        <f>EK96*1.12/0.6*'CAPEX+OPEX'!$G$116/'CAPEX+OPEX'!$G$115</f>
        <v>3174911.6768214302</v>
      </c>
      <c r="EN96">
        <f>EL96+EM96+DY96+EE96+1.15*(SUM(DF96:DM96)+SUM(CF96:CI96))</f>
        <v>17375635.988337517</v>
      </c>
      <c r="EO96">
        <f>EN96/15</f>
        <v>1158375.7325558343</v>
      </c>
      <c r="EP96">
        <f>('eLLE Bals'!CB96+'eLLE Bals'!CC96)*'Oxidant Feed Composition'!$N$29*60*7200</f>
        <v>7644610.3723318642</v>
      </c>
      <c r="EQ96" s="53">
        <f>('eLLE Bals'!BR96+'eLLE Bals'!BY96)*'Reagent cost'!$C$38*60*7200*0.5</f>
        <v>252638.85391080938</v>
      </c>
      <c r="ER96">
        <f>'TEA Revised Non EYZ'!DI96</f>
        <v>504921.59999999998</v>
      </c>
      <c r="ES96">
        <f>'TEA Revised Non EYZ'!DJ96</f>
        <v>92.475360812265976</v>
      </c>
      <c r="ET96">
        <f>'TEA Revised Non EYZ'!DK96</f>
        <v>899.90717583434014</v>
      </c>
      <c r="EU96">
        <f>1.2*SUM(EP96:ET96)</f>
        <v>10083795.850535186</v>
      </c>
      <c r="EV96">
        <f>'TEA Revised Non EYZ'!DM96</f>
        <v>0.70639694042110623</v>
      </c>
      <c r="EW96">
        <f>(BS96*CO96+BT96*CP96)/1000*('Oxidant Feed Composition'!$B$11*'Oxidant Feed Composition'!$O$20+'Oxidant Feed Composition'!$D$11*'Oxidant Feed Composition'!$O$21+'Oxidant Feed Composition'!$F$11*'Oxidant Feed Composition'!$O$27-'Oxidant Feed Composition'!$J$15*18.015)</f>
        <v>1.7895839172753714</v>
      </c>
      <c r="EX96">
        <f>(CZ96*BX96+DC96*BZ96)*368.34/1000</f>
        <v>0.10199564937080653</v>
      </c>
      <c r="EY96">
        <f>'TEA Revised Non EYZ'!DP96</f>
        <v>4.999938342565946E-2</v>
      </c>
      <c r="EZ96">
        <f>SUM(EV96:EX96)-EY96</f>
        <v>2.5479771236416249</v>
      </c>
      <c r="FA96">
        <f>EZ96*0.33*60*7200</f>
        <v>363239.61874635011</v>
      </c>
      <c r="FB96">
        <f>'TEA Revised Non EYZ'!DS96</f>
        <v>1.2</v>
      </c>
      <c r="FC96">
        <v>0.5</v>
      </c>
      <c r="FD96">
        <f>'TEA Revised Non EYZ'!DT96</f>
        <v>1405.8325155980081</v>
      </c>
      <c r="FE96">
        <f>'TEA Revised Non EYZ'!DU96</f>
        <v>705.84917997303262</v>
      </c>
      <c r="FF96">
        <f>'TEA Revised Non EYZ'!DV96</f>
        <v>0.7</v>
      </c>
      <c r="FG96">
        <f>'TEA Revised Non EYZ'!DW96</f>
        <v>52288.524762496963</v>
      </c>
      <c r="FH96">
        <f>'TEA Revised Non EYZ'!DX96</f>
        <v>53983.928663982973</v>
      </c>
      <c r="FI96">
        <f>'TEA Revised Non EYZ'!DY96</f>
        <v>22856.098829508919</v>
      </c>
      <c r="FJ96">
        <f>'TEA Revised Non EYZ'!DZ96</f>
        <v>12107.513206066582</v>
      </c>
      <c r="FK96">
        <f>'TEA Revised Non EYZ'!EA96</f>
        <v>12189.919375738094</v>
      </c>
      <c r="FL96">
        <f>'TEA Revised Non EYZ'!EB96</f>
        <v>850.24750543367531</v>
      </c>
      <c r="FM96">
        <f>'TEA Revised Non EYZ'!EC96</f>
        <v>38570.449463799399</v>
      </c>
      <c r="FN96">
        <f>'TEA Revised Non EYZ'!ED96</f>
        <v>34914.452407383229</v>
      </c>
      <c r="FO96">
        <f>'TEA Revised Non EYZ'!EE96</f>
        <v>14782.328640222735</v>
      </c>
      <c r="FP96">
        <f>'TEA Revised Non EYZ'!EF96</f>
        <v>7834.9713979314092</v>
      </c>
      <c r="FQ96">
        <f>'TEA Revised Non EYZ'!EG96</f>
        <v>7883.9086081187943</v>
      </c>
      <c r="FR96">
        <f>'TEA Revised Non EYZ'!EH96</f>
        <v>426.89758404769015</v>
      </c>
      <c r="FS96">
        <f>'TEA Revised Non EYZ'!EI96</f>
        <v>258689.24044473047</v>
      </c>
      <c r="FT96">
        <f>EG96*EH96</f>
        <v>2516.0352811302291</v>
      </c>
      <c r="FU96">
        <f>EG96*EI96</f>
        <v>4524.5249822938367</v>
      </c>
      <c r="FV96">
        <f>FC96*(FT96+FU96)/(3.6*10^6)*3600*7200*0.07</f>
        <v>1774.221186382865</v>
      </c>
      <c r="FW96">
        <f>('CAPEX+OPEX'!$C$39/7/100+0.03)*EL96</f>
        <v>90798.744836251994</v>
      </c>
      <c r="FX96">
        <f>('CAPEX+OPEX'!$C$39/7/100+0.03)*EM96</f>
        <v>163281.17195081641</v>
      </c>
      <c r="FY96">
        <f>SUM(FV96:FX96)</f>
        <v>255854.13797345129</v>
      </c>
      <c r="FZ96">
        <f>FY96+FA96+FS96+EU96</f>
        <v>10961578.847699719</v>
      </c>
      <c r="GA96">
        <f>FZ96+EO96</f>
        <v>12119954.580255553</v>
      </c>
      <c r="GB96">
        <f>GA96/(BK96*60*7200)</f>
        <v>0.28055450417258226</v>
      </c>
      <c r="GC96">
        <f>'TEA Revised Non EYZ'!EM96/'TEA Revised Non EYZ'!EK96*GA96</f>
        <v>938.61830992662237</v>
      </c>
      <c r="GD96">
        <f>'TEA Revised Non EYZ'!EN96/'TEA Revised Non EYZ'!EK96*GA96</f>
        <v>1722.4327465152496</v>
      </c>
    </row>
    <row r="97" spans="1:186">
      <c r="A97">
        <f>'TEA Revised Non EYZ'!A97</f>
        <v>12</v>
      </c>
      <c r="B97">
        <f>'TEA Revised Non EYZ'!B97</f>
        <v>1.54143585092054E-3</v>
      </c>
      <c r="C97">
        <f>'TEA Revised Non EYZ'!C97</f>
        <v>1.54143585092054E-3</v>
      </c>
      <c r="D97">
        <f>'TEA Revised Non EYZ'!D97</f>
        <v>3.4254130020456501E-4</v>
      </c>
      <c r="E97">
        <f>'TEA Revised Non EYZ'!E97</f>
        <v>0</v>
      </c>
      <c r="F97">
        <f>'TEA Revised Non EYZ'!F97</f>
        <v>0</v>
      </c>
      <c r="G97">
        <f>'TEA Revised Non EYZ'!G97</f>
        <v>0</v>
      </c>
      <c r="H97">
        <f>'TEA Revised Non EYZ'!H97</f>
        <v>1.7771599281349402E-5</v>
      </c>
      <c r="I97">
        <f>'TEA Revised Non EYZ'!I97</f>
        <v>6.3113732322488897E-11</v>
      </c>
      <c r="J97">
        <f>'TEA Revised Non EYZ'!J97</f>
        <v>3.37661562480901E-4</v>
      </c>
      <c r="K97">
        <f>'TEA Revised Non EYZ'!K97</f>
        <v>0.13911791568267901</v>
      </c>
      <c r="L97">
        <f>'TEA Revised Non EYZ'!L97</f>
        <v>0.140740543921716</v>
      </c>
      <c r="M97">
        <f>'TEA Revised Non EYZ'!M97</f>
        <v>4.45543656000266E-4</v>
      </c>
      <c r="N97">
        <f>'TEA Revised Non EYZ'!N97</f>
        <v>-4.7646348672047899E-15</v>
      </c>
      <c r="O97">
        <f>'TEA Revised Non EYZ'!O97</f>
        <v>-1.1300289697036E-11</v>
      </c>
      <c r="P97">
        <f>'TEA Revised Non EYZ'!P97</f>
        <v>-4.6756218688437302E-19</v>
      </c>
      <c r="Q97">
        <f>'TEA Revised Non EYZ'!Q97</f>
        <v>0.10952322309941399</v>
      </c>
      <c r="R97">
        <f>'TEA Revised Non EYZ'!R97</f>
        <v>98.575430839799395</v>
      </c>
      <c r="S97">
        <f>'TEA Revised Non EYZ'!S97</f>
        <v>500</v>
      </c>
      <c r="T97">
        <f>'TEA Revised Non EYZ'!T97</f>
        <v>95</v>
      </c>
      <c r="U97">
        <f>'TEA Revised Non EYZ'!U97</f>
        <v>1</v>
      </c>
      <c r="V97">
        <f>'TEA Revised Non EYZ'!V97</f>
        <v>0.1</v>
      </c>
      <c r="W97">
        <f>'TEA Revised Non EYZ'!W97</f>
        <v>91.304836700459305</v>
      </c>
      <c r="X97" t="str">
        <f>'TEA Revised Non EYZ'!X97</f>
        <v>ddFc</v>
      </c>
      <c r="Y97">
        <f>'TEA Revised Non EYZ'!Y97</f>
        <v>1</v>
      </c>
      <c r="Z97">
        <f>'TEA Revised Non EYZ'!Z97</f>
        <v>0.28318429382522198</v>
      </c>
      <c r="AA97">
        <f>'TEA Revised Non EYZ'!AA97</f>
        <v>0.56945642916197003</v>
      </c>
      <c r="AB97">
        <f>'TEA Revised Non EYZ'!AB97</f>
        <v>3.7698628972227502E-3</v>
      </c>
      <c r="AC97">
        <f>'TEA Revised Non EYZ'!AC97</f>
        <v>1822.2107908876901</v>
      </c>
      <c r="AD97">
        <f>'TEA Revised Non EYZ'!AD97</f>
        <v>2662.6059073104898</v>
      </c>
      <c r="AE97">
        <f>'TEA Revised Non EYZ'!AE97</f>
        <v>2401.5030938442701</v>
      </c>
      <c r="AF97">
        <f>'TEA Revised Non EYZ'!AF97</f>
        <v>9</v>
      </c>
      <c r="AG97">
        <f>'TEA Revised Non EYZ'!AG97</f>
        <v>1.6497575706444501E-3</v>
      </c>
      <c r="AH97">
        <f>'TEA Revised Non EYZ'!AH97</f>
        <v>1.66899983148883E-3</v>
      </c>
      <c r="AI97">
        <f>'TEA Revised Non EYZ'!AI97</f>
        <v>5.28356837386519E-6</v>
      </c>
      <c r="AJ97">
        <f>'TEA Revised Non EYZ'!AJ97</f>
        <v>0</v>
      </c>
      <c r="AK97">
        <f>'TEA Revised Non EYZ'!AK97</f>
        <v>0</v>
      </c>
      <c r="AL97">
        <f>'TEA Revised Non EYZ'!AL97</f>
        <v>0</v>
      </c>
      <c r="AM97">
        <f>'TEA Revised Non EYZ'!AM97</f>
        <v>1.6127956996690499E-3</v>
      </c>
      <c r="AN97">
        <f>'TEA Revised Non EYZ'!AN97</f>
        <v>7.9635176101710897E-5</v>
      </c>
      <c r="AO97">
        <f>'TEA Revised Non EYZ'!AO97</f>
        <v>5.24880805907295E-6</v>
      </c>
      <c r="AP97">
        <f>'TEA Revised Non EYZ'!AP97</f>
        <v>1.7337624010389399E-3</v>
      </c>
      <c r="AQ97">
        <f>'TEA Revised Non EYZ'!AQ97</f>
        <v>7.4551980415071106E-2</v>
      </c>
      <c r="AR97">
        <f>'TEA Revised Non EYZ'!AR97</f>
        <v>1.6304944864730899E-6</v>
      </c>
      <c r="AS97">
        <f>'TEA Revised Non EYZ'!AS97</f>
        <v>3.6971294081755701E-17</v>
      </c>
      <c r="AT97">
        <f>'TEA Revised Non EYZ'!AT97</f>
        <v>-4.8275185932089499E-15</v>
      </c>
      <c r="AU97">
        <f>'TEA Revised Non EYZ'!AU97</f>
        <v>-1.13158307797254E-21</v>
      </c>
      <c r="AV97">
        <f>'TEA Revised Non EYZ'!AV97</f>
        <v>0.19689446808536701</v>
      </c>
      <c r="AW97">
        <f>'TEA Revised Non EYZ'!AW97</f>
        <v>99.342105328584793</v>
      </c>
      <c r="AX97">
        <f>'TEA Revised Non EYZ'!AX97</f>
        <v>500</v>
      </c>
      <c r="AY97">
        <f>'TEA Revised Non EYZ'!AY97</f>
        <v>95</v>
      </c>
      <c r="AZ97">
        <f>'TEA Revised Non EYZ'!AZ97</f>
        <v>0.92356857683566096</v>
      </c>
      <c r="BA97">
        <f>'TEA Revised Non EYZ'!BA97</f>
        <v>0.1</v>
      </c>
      <c r="BB97">
        <f>'TEA Revised Non EYZ'!BB97</f>
        <v>46.906781374641298</v>
      </c>
      <c r="BC97" t="str">
        <f>'TEA Revised Non EYZ'!BC97</f>
        <v>coeFc</v>
      </c>
      <c r="BD97">
        <f>'TEA Revised Non EYZ'!BD97</f>
        <v>1</v>
      </c>
      <c r="BE97">
        <f>'TEA Revised Non EYZ'!BE97</f>
        <v>1.8775014999999999E-2</v>
      </c>
      <c r="BF97">
        <f>'TEA Revised Non EYZ'!BF97</f>
        <v>0.10492961100000001</v>
      </c>
      <c r="BG97">
        <f>'TEA Revised Non EYZ'!BG97</f>
        <v>1.814625E-3</v>
      </c>
      <c r="BH97">
        <f>'TEA Revised Non EYZ'!BH97</f>
        <v>285.1951444</v>
      </c>
      <c r="BI97">
        <f>'TEA Revised Non EYZ'!BI97</f>
        <v>2169.8944889999998</v>
      </c>
      <c r="BJ97">
        <f>'TEA Revised Non EYZ'!BJ97</f>
        <v>866.49409060000005</v>
      </c>
      <c r="BK97">
        <f>'TEA Revised Non EYZ'!BK97</f>
        <v>100</v>
      </c>
      <c r="BL97">
        <f>'TEA Revised Non EYZ'!BL97</f>
        <v>10.952322309941399</v>
      </c>
      <c r="BM97">
        <f>'TEA Revised Non EYZ'!BM97</f>
        <v>92.356857683566091</v>
      </c>
      <c r="BN97">
        <f>'TEA Revised Non EYZ'!BN97</f>
        <v>19.689446808536701</v>
      </c>
      <c r="BO97">
        <f>'TEA Revised Non EYZ'!BO97</f>
        <v>306.6650246783592</v>
      </c>
      <c r="BP97">
        <f>'TEA Revised Non EYZ'!BP97</f>
        <v>433.16782978780742</v>
      </c>
      <c r="BQ97">
        <f>'TEA Revised Non EYZ'!BQ97</f>
        <v>30.666502467835922</v>
      </c>
      <c r="BR97">
        <f>'TEA Revised Non EYZ'!BR97</f>
        <v>43.316782978780743</v>
      </c>
      <c r="BS97">
        <f>'eLLE Bals'!CF97</f>
        <v>6.5713933859648392</v>
      </c>
      <c r="BT97">
        <f>'eLLE Bals'!CG97</f>
        <v>11.813668085122019</v>
      </c>
      <c r="BU97">
        <f>BM97</f>
        <v>92.356857683566091</v>
      </c>
      <c r="BV97">
        <f>BU97*(AM97*2+AN97*2+AO97*3)</f>
        <v>0.31406948532242701</v>
      </c>
      <c r="BW97">
        <f>BN97*BA97*(AP97*2+AQ97*2+AR97*3)</f>
        <v>0.30041444614584079</v>
      </c>
      <c r="BX97">
        <f>BV97/(2*V97*BL97+BV97)</f>
        <v>0.12540037065964521</v>
      </c>
      <c r="BY97">
        <f>BU97*BX97</f>
        <v>11.58158418647929</v>
      </c>
      <c r="BZ97">
        <f>BW97/(2*BN97*BA97+BW97)</f>
        <v>7.0880819253494973E-2</v>
      </c>
      <c r="CA97">
        <f>2*BN97*BA97/0.04</f>
        <v>98.447234042683505</v>
      </c>
      <c r="CB97">
        <f>(BS97+BL97)*2</f>
        <v>35.047431391812481</v>
      </c>
      <c r="CC97">
        <f>(BU97+BL97)*2</f>
        <v>206.61835998701497</v>
      </c>
      <c r="CD97">
        <f>(BT97+BN97)*2</f>
        <v>63.006229787317437</v>
      </c>
      <c r="CE97">
        <f>(CA97+BN97)*2</f>
        <v>236.27336170244041</v>
      </c>
      <c r="CF97">
        <f>'TEA Revised Non EYZ'!CB97</f>
        <v>4047.9783257543413</v>
      </c>
      <c r="CG97">
        <f>'TEA Revised Non EYZ'!CC97</f>
        <v>5717.8153531990583</v>
      </c>
      <c r="CH97">
        <f>'TEA Revised Non EYZ'!CD97</f>
        <v>4890.707695899031</v>
      </c>
      <c r="CI97">
        <f>'TEA Revised Non EYZ'!CE97</f>
        <v>44102.018008939682</v>
      </c>
      <c r="CJ97">
        <f>BL97*V97</f>
        <v>1.09523223099414</v>
      </c>
      <c r="CK97">
        <f>CJ97/2*1.2</f>
        <v>0.65713933859648399</v>
      </c>
      <c r="CL97">
        <f>'eLLE Bals'!CB97*'Oxidant Feed Composition'!$N$20</f>
        <v>3.6507741033138016E-2</v>
      </c>
      <c r="CM97">
        <f>'eLLE Bals'!CB97*'Oxidant Feed Composition'!$N$21</f>
        <v>1.8253870516569002</v>
      </c>
      <c r="CN97">
        <f>'eLLE Bals'!CB97*'Oxidant Feed Composition'!$N$22</f>
        <v>0.54761611549707001</v>
      </c>
      <c r="CO97">
        <f>CN97/CK97</f>
        <v>0.83333333333333337</v>
      </c>
      <c r="CP97">
        <f>CO97</f>
        <v>0.83333333333333337</v>
      </c>
      <c r="CQ97">
        <f>CL97/CO97</f>
        <v>4.3809289239765618E-2</v>
      </c>
      <c r="CR97">
        <f>CM97/CO97</f>
        <v>2.19046446198828</v>
      </c>
      <c r="CS97">
        <f>BN97*BA97</f>
        <v>1.9689446808536701</v>
      </c>
      <c r="CT97">
        <f>CS97/2*1.2</f>
        <v>1.181366808512202</v>
      </c>
      <c r="CU97">
        <f>'eLLE Bals'!CC97*'Oxidant Feed Composition'!$N$20</f>
        <v>6.563148936178903E-2</v>
      </c>
      <c r="CV97">
        <f>'eLLE Bals'!CC97*'Oxidant Feed Composition'!$N$21</f>
        <v>3.2815744680894503</v>
      </c>
      <c r="CW97">
        <f>'eLLE Bals'!CC97*'Oxidant Feed Composition'!$N$22</f>
        <v>0.98447234042683507</v>
      </c>
      <c r="CX97">
        <f>CU97/CP97</f>
        <v>7.8757787234146837E-2</v>
      </c>
      <c r="CY97">
        <f>CV97/CP97</f>
        <v>3.9378893617073403</v>
      </c>
      <c r="CZ97">
        <f>CJ97</f>
        <v>1.09523223099414</v>
      </c>
      <c r="DA97">
        <f>'eLLE Bals'!BQ97</f>
        <v>2.19046446198828</v>
      </c>
      <c r="DB97">
        <f>'eLLE Bals'!BU97</f>
        <v>5.4481868293206954</v>
      </c>
      <c r="DC97">
        <f>CS97</f>
        <v>1.9689446808536701</v>
      </c>
      <c r="DD97">
        <f>'eLLE Bals'!BX97</f>
        <v>3.9378893617073403</v>
      </c>
      <c r="DE97">
        <f>'eLLE Bals'!CA97</f>
        <v>21.871409798160194</v>
      </c>
      <c r="DF97">
        <f>2*2*(CJ97*'Reagent cost'!$C$36*122.44/1000*0.5+CK97*'Oxidant Feed Composition'!$N$26+CQ97*'Reagent cost'!$C$34+CR97*'Reagent cost'!$C$35)</f>
        <v>73.571443208837024</v>
      </c>
      <c r="DG97">
        <f>2*2*(CS97*'Reagent cost'!$C$36*122.44/1000*0.5+CT97*'Oxidant Feed Composition'!$N$26+CX97*'Reagent cost'!$C$34+CY97*'Reagent cost'!$C$35)</f>
        <v>132.26245326735875</v>
      </c>
      <c r="DH97">
        <f>(AF97+3)*2*(CZ97*'Reagent cost'!$C$38*0.5+DA97*'Reagent cost'!$C$39+DB97*'Reagent cost'!$C$36*122.44/1000)</f>
        <v>1192.2720957706547</v>
      </c>
      <c r="DI97">
        <f>3*2*(DC97*'Reagent cost'!$C$38*0.5+DD97*'Reagent cost'!$C$39+DE97*'Reagent cost'!$C$36*122.44/1000)</f>
        <v>1162.4062336987347</v>
      </c>
      <c r="DJ97">
        <f>7963.6*(CB97/1000)^0.6*1.7*('CAPEX+OPEX'!$G$116/'CAPEX+OPEX'!$G$115)</f>
        <v>2138.1326451989207</v>
      </c>
      <c r="DK97">
        <f>7963.6*(CC97/1000)^0.6*1.7*('CAPEX+OPEX'!$G$116/'CAPEX+OPEX'!$G$115)</f>
        <v>6199.2945816251477</v>
      </c>
      <c r="DL97">
        <f>7963.6*(CD97/1000)^0.6*1.7*('CAPEX+OPEX'!$G$116/'CAPEX+OPEX'!$G$115)</f>
        <v>3039.9820798045407</v>
      </c>
      <c r="DM97">
        <f>7963.6*(CE97/1000)^0.6*1.7*('CAPEX+OPEX'!$G$116/'CAPEX+OPEX'!$G$115)</f>
        <v>6718.7701513155544</v>
      </c>
      <c r="DN97">
        <f>'TEA Revised Non EYZ'!CM97</f>
        <v>39625.826528698344</v>
      </c>
      <c r="DO97">
        <f>'TEA Revised Non EYZ'!CN97</f>
        <v>4586243.4239371875</v>
      </c>
      <c r="DP97">
        <f>'TEA Revised Non EYZ'!CO97</f>
        <v>11794834.586807497</v>
      </c>
      <c r="DQ97">
        <f>'TEA Revised Non EYZ'!CP97</f>
        <v>2275209.1661185985</v>
      </c>
      <c r="DR97">
        <f>'TEA Revised Non EYZ'!CQ97</f>
        <v>14083914.336508472</v>
      </c>
      <c r="DS97">
        <f>'TEA Revised Non EYZ'!CR97</f>
        <v>1662824.8986326549</v>
      </c>
      <c r="DT97">
        <f>'TEA Revised Non EYZ'!CS97</f>
        <v>936765.86395108781</v>
      </c>
      <c r="DU97">
        <f>'TEA Revised Non EYZ'!CT97</f>
        <v>2409160.916797909</v>
      </c>
      <c r="DV97">
        <f>'TEA Revised Non EYZ'!CU97</f>
        <v>464724.19432521454</v>
      </c>
      <c r="DW97">
        <f>'TEA Revised Non EYZ'!CV97</f>
        <v>2876718.2553791031</v>
      </c>
      <c r="DX97">
        <f>'TEA Revised Non EYZ'!CW97</f>
        <v>339641.28346021532</v>
      </c>
      <c r="DY97">
        <f>'TEA Revised Non EYZ'!CX97</f>
        <v>7027010.5139135299</v>
      </c>
      <c r="DZ97">
        <f>'TEA Revised Non EYZ'!CY97</f>
        <v>755792.94187780574</v>
      </c>
      <c r="EA97">
        <f>'TEA Revised Non EYZ'!CZ97</f>
        <v>1943737.3700658206</v>
      </c>
      <c r="EB97">
        <f>'TEA Revised Non EYZ'!DA97</f>
        <v>374944.56139702629</v>
      </c>
      <c r="EC97">
        <f>'TEA Revised Non EYZ'!DB97</f>
        <v>2320967.7432269086</v>
      </c>
      <c r="ED97">
        <f>'TEA Revised Non EYZ'!DC97</f>
        <v>274026.30122200225</v>
      </c>
      <c r="EE97">
        <f>'TEA Revised Non EYZ'!DD97</f>
        <v>5669468.9177895635</v>
      </c>
      <c r="EF97">
        <v>0.7</v>
      </c>
      <c r="EG97">
        <v>100</v>
      </c>
      <c r="EH97">
        <f>96485*BL97*V97/EF97/EG97/60</f>
        <v>25.160352811302293</v>
      </c>
      <c r="EI97">
        <f>96485*BN97*BA97/EF97/EG97/60</f>
        <v>45.231816079087238</v>
      </c>
      <c r="EJ97">
        <f>EH97*('CAPEX+OPEX'!$O$25+'CAPEX+OPEX'!$O$26)</f>
        <v>801910.76480182668</v>
      </c>
      <c r="EK97">
        <f>EI97*('CAPEX+OPEX'!$O$25+'CAPEX+OPEX'!$O$26)</f>
        <v>1441628.4420726683</v>
      </c>
      <c r="EL97">
        <f>EJ97*1.12/0.6*'CAPEX+OPEX'!$G$116/'CAPEX+OPEX'!$G$115</f>
        <v>1765531.1495937889</v>
      </c>
      <c r="EM97">
        <f>EK97*1.12/0.6*'CAPEX+OPEX'!$G$116/'CAPEX+OPEX'!$G$115</f>
        <v>3173969.0154286143</v>
      </c>
      <c r="EN97">
        <f>EL97+EM97+DY97+EE97+1.15*(SUM(DF97:DM97)+SUM(CF97:CI97))</f>
        <v>17727307.089453332</v>
      </c>
      <c r="EO97">
        <f>EN97/15</f>
        <v>1181820.4726302221</v>
      </c>
      <c r="EP97">
        <f>('eLLE Bals'!CB97+'eLLE Bals'!CC97)*'Oxidant Feed Composition'!$N$29*60*7200</f>
        <v>7643151.7421413502</v>
      </c>
      <c r="EQ97" s="53">
        <f>('eLLE Bals'!BR97+'eLLE Bals'!BY97)*'Reagent cost'!$C$38*60*7200*0.5</f>
        <v>252635.83069449468</v>
      </c>
      <c r="ER97">
        <f>'TEA Revised Non EYZ'!DI97</f>
        <v>504921.59999999998</v>
      </c>
      <c r="ES97">
        <f>'TEA Revised Non EYZ'!DJ97</f>
        <v>97.657936789534006</v>
      </c>
      <c r="ET97">
        <f>'TEA Revised Non EYZ'!DK97</f>
        <v>979.85451409677421</v>
      </c>
      <c r="EU97">
        <f>1.2*SUM(EP97:ET97)</f>
        <v>10082144.022344077</v>
      </c>
      <c r="EV97">
        <f>'TEA Revised Non EYZ'!DM97</f>
        <v>0.70639694042110623</v>
      </c>
      <c r="EW97">
        <f>(BS97*CO97+BT97*CP97)/1000*('Oxidant Feed Composition'!$B$11*'Oxidant Feed Composition'!$O$20+'Oxidant Feed Composition'!$D$11*'Oxidant Feed Composition'!$O$21+'Oxidant Feed Composition'!$F$11*'Oxidant Feed Composition'!$O$27-'Oxidant Feed Composition'!$J$15*18.015)</f>
        <v>1.7892424556438349</v>
      </c>
      <c r="EX97">
        <f>(CZ97*BX97+DC97*BZ97)*368.34/1000</f>
        <v>0.10199442883443045</v>
      </c>
      <c r="EY97">
        <f>'TEA Revised Non EYZ'!DP97</f>
        <v>4.999938342565946E-2</v>
      </c>
      <c r="EZ97">
        <f>SUM(EV97:EX97)-EY97</f>
        <v>2.5476344414737122</v>
      </c>
      <c r="FA97">
        <f>EZ97*0.33*60*7200</f>
        <v>363190.76597649243</v>
      </c>
      <c r="FB97">
        <f>'TEA Revised Non EYZ'!DS97</f>
        <v>1.2</v>
      </c>
      <c r="FC97">
        <v>0.5</v>
      </c>
      <c r="FD97">
        <f>'TEA Revised Non EYZ'!DT97</f>
        <v>1405.8667878594886</v>
      </c>
      <c r="FE97">
        <f>'TEA Revised Non EYZ'!DU97</f>
        <v>705.81490718071291</v>
      </c>
      <c r="FF97">
        <f>'TEA Revised Non EYZ'!DV97</f>
        <v>0.7</v>
      </c>
      <c r="FG97">
        <f>'TEA Revised Non EYZ'!DW97</f>
        <v>52288.524762496963</v>
      </c>
      <c r="FH97">
        <f>'TEA Revised Non EYZ'!DX97</f>
        <v>53983.928663982973</v>
      </c>
      <c r="FI97">
        <f>'TEA Revised Non EYZ'!DY97</f>
        <v>22856.098829508919</v>
      </c>
      <c r="FJ97">
        <f>'TEA Revised Non EYZ'!DZ97</f>
        <v>12107.513206066582</v>
      </c>
      <c r="FK97">
        <f>'TEA Revised Non EYZ'!EA97</f>
        <v>12189.919375738094</v>
      </c>
      <c r="FL97">
        <f>'TEA Revised Non EYZ'!EB97</f>
        <v>850.26823329741865</v>
      </c>
      <c r="FM97">
        <f>'TEA Revised Non EYZ'!EC97</f>
        <v>41141.812761386027</v>
      </c>
      <c r="FN97">
        <f>'TEA Revised Non EYZ'!ED97</f>
        <v>38793.836008203594</v>
      </c>
      <c r="FO97">
        <f>'TEA Revised Non EYZ'!EE97</f>
        <v>16424.809600247485</v>
      </c>
      <c r="FP97">
        <f>'TEA Revised Non EYZ'!EF97</f>
        <v>8705.5237754793434</v>
      </c>
      <c r="FQ97">
        <f>'TEA Revised Non EYZ'!EG97</f>
        <v>8759.8984534653282</v>
      </c>
      <c r="FR97">
        <f>'TEA Revised Non EYZ'!EH97</f>
        <v>426.87685586289518</v>
      </c>
      <c r="FS97">
        <f>'TEA Revised Non EYZ'!EI97</f>
        <v>268529.01052573568</v>
      </c>
      <c r="FT97">
        <f>EG97*EH97</f>
        <v>2516.0352811302291</v>
      </c>
      <c r="FU97">
        <f>EG97*EI97</f>
        <v>4523.1816079087239</v>
      </c>
      <c r="FV97">
        <f>FC97*(FT97+FU97)/(3.6*10^6)*3600*7200*0.07</f>
        <v>1773.8826560378163</v>
      </c>
      <c r="FW97">
        <f>('CAPEX+OPEX'!$C$39/7/100+0.03)*EL97</f>
        <v>90798.744836251994</v>
      </c>
      <c r="FX97">
        <f>('CAPEX+OPEX'!$C$39/7/100+0.03)*EM97</f>
        <v>163232.69222204303</v>
      </c>
      <c r="FY97">
        <f>SUM(FV97:FX97)</f>
        <v>255805.31971433284</v>
      </c>
      <c r="FZ97">
        <f>FY97+FA97+FS97+EU97</f>
        <v>10969669.118560638</v>
      </c>
      <c r="GA97">
        <f>FZ97+EO97</f>
        <v>12151489.59119086</v>
      </c>
      <c r="GB97">
        <f>GA97/(BK97*60*7200)</f>
        <v>0.28128448127756622</v>
      </c>
      <c r="GC97">
        <f>'TEA Revised Non EYZ'!EM97/'TEA Revised Non EYZ'!EK97*GA97</f>
        <v>941.03755344677575</v>
      </c>
      <c r="GD97">
        <f>'TEA Revised Non EYZ'!EN97/'TEA Revised Non EYZ'!EK97*GA97</f>
        <v>1726.9916670456253</v>
      </c>
    </row>
    <row r="98" spans="1:186">
      <c r="A98">
        <f>'TEA Revised Non EYZ'!A98</f>
        <v>12</v>
      </c>
      <c r="B98">
        <f>'TEA Revised Non EYZ'!B98</f>
        <v>1.54143585092054E-3</v>
      </c>
      <c r="C98">
        <f>'TEA Revised Non EYZ'!C98</f>
        <v>1.54143585092054E-3</v>
      </c>
      <c r="D98">
        <f>'TEA Revised Non EYZ'!D98</f>
        <v>3.4254130020456501E-4</v>
      </c>
      <c r="E98">
        <f>'TEA Revised Non EYZ'!E98</f>
        <v>0</v>
      </c>
      <c r="F98">
        <f>'TEA Revised Non EYZ'!F98</f>
        <v>0</v>
      </c>
      <c r="G98">
        <f>'TEA Revised Non EYZ'!G98</f>
        <v>0</v>
      </c>
      <c r="H98">
        <f>'TEA Revised Non EYZ'!H98</f>
        <v>1.7771599281349402E-5</v>
      </c>
      <c r="I98">
        <f>'TEA Revised Non EYZ'!I98</f>
        <v>6.3113732322488897E-11</v>
      </c>
      <c r="J98">
        <f>'TEA Revised Non EYZ'!J98</f>
        <v>3.37661562480901E-4</v>
      </c>
      <c r="K98">
        <f>'TEA Revised Non EYZ'!K98</f>
        <v>0.13911791568267901</v>
      </c>
      <c r="L98">
        <f>'TEA Revised Non EYZ'!L98</f>
        <v>0.140740543921716</v>
      </c>
      <c r="M98">
        <f>'TEA Revised Non EYZ'!M98</f>
        <v>4.45543656000266E-4</v>
      </c>
      <c r="N98">
        <f>'TEA Revised Non EYZ'!N98</f>
        <v>-4.7646348672047899E-15</v>
      </c>
      <c r="O98">
        <f>'TEA Revised Non EYZ'!O98</f>
        <v>-1.1300289697036E-11</v>
      </c>
      <c r="P98">
        <f>'TEA Revised Non EYZ'!P98</f>
        <v>-4.6756218688437302E-19</v>
      </c>
      <c r="Q98">
        <f>'TEA Revised Non EYZ'!Q98</f>
        <v>0.10952322309941399</v>
      </c>
      <c r="R98">
        <f>'TEA Revised Non EYZ'!R98</f>
        <v>98.575430839799395</v>
      </c>
      <c r="S98">
        <f>'TEA Revised Non EYZ'!S98</f>
        <v>500</v>
      </c>
      <c r="T98">
        <f>'TEA Revised Non EYZ'!T98</f>
        <v>95</v>
      </c>
      <c r="U98">
        <f>'TEA Revised Non EYZ'!U98</f>
        <v>1</v>
      </c>
      <c r="V98">
        <f>'TEA Revised Non EYZ'!V98</f>
        <v>0.1</v>
      </c>
      <c r="W98">
        <f>'TEA Revised Non EYZ'!W98</f>
        <v>91.304836700459305</v>
      </c>
      <c r="X98" t="str">
        <f>'TEA Revised Non EYZ'!X98</f>
        <v>ddFc</v>
      </c>
      <c r="Y98">
        <f>'TEA Revised Non EYZ'!Y98</f>
        <v>1</v>
      </c>
      <c r="Z98">
        <f>'TEA Revised Non EYZ'!Z98</f>
        <v>0.28318429382522198</v>
      </c>
      <c r="AA98">
        <f>'TEA Revised Non EYZ'!AA98</f>
        <v>0.56945642916197003</v>
      </c>
      <c r="AB98">
        <f>'TEA Revised Non EYZ'!AB98</f>
        <v>3.7698628972227502E-3</v>
      </c>
      <c r="AC98">
        <f>'TEA Revised Non EYZ'!AC98</f>
        <v>1822.2107908876901</v>
      </c>
      <c r="AD98">
        <f>'TEA Revised Non EYZ'!AD98</f>
        <v>2662.6059073104898</v>
      </c>
      <c r="AE98">
        <f>'TEA Revised Non EYZ'!AE98</f>
        <v>2401.5030938442701</v>
      </c>
      <c r="AF98">
        <f>'TEA Revised Non EYZ'!AF98</f>
        <v>10</v>
      </c>
      <c r="AG98">
        <f>'TEA Revised Non EYZ'!AG98</f>
        <v>1.6497575706444501E-3</v>
      </c>
      <c r="AH98">
        <f>'TEA Revised Non EYZ'!AH98</f>
        <v>1.66899983148883E-3</v>
      </c>
      <c r="AI98">
        <f>'TEA Revised Non EYZ'!AI98</f>
        <v>5.28356837386519E-6</v>
      </c>
      <c r="AJ98">
        <f>'TEA Revised Non EYZ'!AJ98</f>
        <v>0</v>
      </c>
      <c r="AK98">
        <f>'TEA Revised Non EYZ'!AK98</f>
        <v>0</v>
      </c>
      <c r="AL98">
        <f>'TEA Revised Non EYZ'!AL98</f>
        <v>0</v>
      </c>
      <c r="AM98">
        <f>'TEA Revised Non EYZ'!AM98</f>
        <v>1.61280677346842E-3</v>
      </c>
      <c r="AN98">
        <f>'TEA Revised Non EYZ'!AN98</f>
        <v>7.9635748983234095E-5</v>
      </c>
      <c r="AO98">
        <f>'TEA Revised Non EYZ'!AO98</f>
        <v>5.2488180406069303E-6</v>
      </c>
      <c r="AP98">
        <f>'TEA Revised Non EYZ'!AP98</f>
        <v>1.73338788049E-3</v>
      </c>
      <c r="AQ98">
        <f>'TEA Revised Non EYZ'!AQ98</f>
        <v>7.4558186846967897E-2</v>
      </c>
      <c r="AR98">
        <f>'TEA Revised Non EYZ'!AR98</f>
        <v>1.6301625709626699E-6</v>
      </c>
      <c r="AS98">
        <f>'TEA Revised Non EYZ'!AS98</f>
        <v>6.15638453844297E-15</v>
      </c>
      <c r="AT98">
        <f>'TEA Revised Non EYZ'!AT98</f>
        <v>-6.3767177302387295E-13</v>
      </c>
      <c r="AU98">
        <f>'TEA Revised Non EYZ'!AU98</f>
        <v>5.9788614675332804E-20</v>
      </c>
      <c r="AV98">
        <f>'TEA Revised Non EYZ'!AV98</f>
        <v>0.19687800716022599</v>
      </c>
      <c r="AW98">
        <f>'TEA Revised Non EYZ'!AW98</f>
        <v>99.342294245113806</v>
      </c>
      <c r="AX98">
        <f>'TEA Revised Non EYZ'!AX98</f>
        <v>500</v>
      </c>
      <c r="AY98">
        <f>'TEA Revised Non EYZ'!AY98</f>
        <v>95</v>
      </c>
      <c r="AZ98">
        <f>'TEA Revised Non EYZ'!AZ98</f>
        <v>0.92356857683566096</v>
      </c>
      <c r="BA98">
        <f>'TEA Revised Non EYZ'!BA98</f>
        <v>0.1</v>
      </c>
      <c r="BB98">
        <f>'TEA Revised Non EYZ'!BB98</f>
        <v>46.910703239901501</v>
      </c>
      <c r="BC98" t="str">
        <f>'TEA Revised Non EYZ'!BC98</f>
        <v>coeFc</v>
      </c>
      <c r="BD98">
        <f>'TEA Revised Non EYZ'!BD98</f>
        <v>1</v>
      </c>
      <c r="BE98">
        <f>'TEA Revised Non EYZ'!BE98</f>
        <v>1.8775014999999999E-2</v>
      </c>
      <c r="BF98">
        <f>'TEA Revised Non EYZ'!BF98</f>
        <v>0.10492961100000001</v>
      </c>
      <c r="BG98">
        <f>'TEA Revised Non EYZ'!BG98</f>
        <v>1.814625E-3</v>
      </c>
      <c r="BH98">
        <f>'TEA Revised Non EYZ'!BH98</f>
        <v>285.1951444</v>
      </c>
      <c r="BI98">
        <f>'TEA Revised Non EYZ'!BI98</f>
        <v>2169.8944889999998</v>
      </c>
      <c r="BJ98">
        <f>'TEA Revised Non EYZ'!BJ98</f>
        <v>866.49409060000005</v>
      </c>
      <c r="BK98">
        <f>'TEA Revised Non EYZ'!BK98</f>
        <v>100</v>
      </c>
      <c r="BL98">
        <f>'TEA Revised Non EYZ'!BL98</f>
        <v>10.952322309941399</v>
      </c>
      <c r="BM98">
        <f>'TEA Revised Non EYZ'!BM98</f>
        <v>92.356857683566091</v>
      </c>
      <c r="BN98">
        <f>'TEA Revised Non EYZ'!BN98</f>
        <v>19.687800716022601</v>
      </c>
      <c r="BO98">
        <f>'TEA Revised Non EYZ'!BO98</f>
        <v>306.6650246783592</v>
      </c>
      <c r="BP98">
        <f>'TEA Revised Non EYZ'!BP98</f>
        <v>472.50721718454241</v>
      </c>
      <c r="BQ98">
        <f>'TEA Revised Non EYZ'!BQ98</f>
        <v>30.666502467835922</v>
      </c>
      <c r="BR98">
        <f>'TEA Revised Non EYZ'!BR98</f>
        <v>47.250721718454244</v>
      </c>
      <c r="BS98">
        <f>'eLLE Bals'!CF98</f>
        <v>6.5713933859648392</v>
      </c>
      <c r="BT98">
        <f>'eLLE Bals'!CG98</f>
        <v>11.812680429613559</v>
      </c>
      <c r="BU98">
        <f>BM98</f>
        <v>92.356857683566091</v>
      </c>
      <c r="BV98">
        <f>BU98*(AM98*2+AN98*2+AO98*3)</f>
        <v>0.31407163938971588</v>
      </c>
      <c r="BW98">
        <f>BN98*BA98*(AP98*2+AQ98*2+AR98*3)</f>
        <v>0.30041229220389704</v>
      </c>
      <c r="BX98">
        <f>BV98/(2*V98*BL98+BV98)</f>
        <v>0.12540112287337907</v>
      </c>
      <c r="BY98">
        <f>BU98*BX98</f>
        <v>11.581653658576055</v>
      </c>
      <c r="BZ98">
        <f>BW98/(2*BN98*BA98+BW98)</f>
        <v>7.0885853266515184E-2</v>
      </c>
      <c r="CA98">
        <f>2*BN98*BA98/0.04</f>
        <v>98.43900358011301</v>
      </c>
      <c r="CB98">
        <f>(BS98+BL98)*2</f>
        <v>35.047431391812481</v>
      </c>
      <c r="CC98">
        <f>(BU98+BL98)*2</f>
        <v>206.61835998701497</v>
      </c>
      <c r="CD98">
        <f>(BT98+BN98)*2</f>
        <v>63.000962291272316</v>
      </c>
      <c r="CE98">
        <f>(CA98+BN98)*2</f>
        <v>236.25360859227123</v>
      </c>
      <c r="CF98">
        <f>'TEA Revised Non EYZ'!CB98</f>
        <v>4047.9783257543413</v>
      </c>
      <c r="CG98">
        <f>'TEA Revised Non EYZ'!CC98</f>
        <v>6237.0952668359596</v>
      </c>
      <c r="CH98">
        <f>'TEA Revised Non EYZ'!CD98</f>
        <v>4890.707695899031</v>
      </c>
      <c r="CI98">
        <f>'TEA Revised Non EYZ'!CE98</f>
        <v>48107.270135537699</v>
      </c>
      <c r="CJ98">
        <f>BL98*V98</f>
        <v>1.09523223099414</v>
      </c>
      <c r="CK98">
        <f>CJ98/2*1.2</f>
        <v>0.65713933859648399</v>
      </c>
      <c r="CL98">
        <f>'eLLE Bals'!CB98*'Oxidant Feed Composition'!$N$20</f>
        <v>3.6507741033138016E-2</v>
      </c>
      <c r="CM98">
        <f>'eLLE Bals'!CB98*'Oxidant Feed Composition'!$N$21</f>
        <v>1.8253870516569002</v>
      </c>
      <c r="CN98">
        <f>'eLLE Bals'!CB98*'Oxidant Feed Composition'!$N$22</f>
        <v>0.54761611549707001</v>
      </c>
      <c r="CO98">
        <f>CN98/CK98</f>
        <v>0.83333333333333337</v>
      </c>
      <c r="CP98">
        <f>CO98</f>
        <v>0.83333333333333337</v>
      </c>
      <c r="CQ98">
        <f>CL98/CO98</f>
        <v>4.3809289239765618E-2</v>
      </c>
      <c r="CR98">
        <f>CM98/CO98</f>
        <v>2.19046446198828</v>
      </c>
      <c r="CS98">
        <f>BN98*BA98</f>
        <v>1.9687800716022601</v>
      </c>
      <c r="CT98">
        <f>CS98/2*1.2</f>
        <v>1.181268042961356</v>
      </c>
      <c r="CU98">
        <f>'eLLE Bals'!CC98*'Oxidant Feed Composition'!$N$20</f>
        <v>6.562600238674203E-2</v>
      </c>
      <c r="CV98">
        <f>'eLLE Bals'!CC98*'Oxidant Feed Composition'!$N$21</f>
        <v>3.2813001193371005</v>
      </c>
      <c r="CW98">
        <f>'eLLE Bals'!CC98*'Oxidant Feed Composition'!$N$22</f>
        <v>0.98439003580113005</v>
      </c>
      <c r="CX98">
        <f>CU98/CP98</f>
        <v>7.875120286409043E-2</v>
      </c>
      <c r="CY98">
        <f>CV98/CP98</f>
        <v>3.9375601432045206</v>
      </c>
      <c r="CZ98">
        <f>CJ98</f>
        <v>1.09523223099414</v>
      </c>
      <c r="DA98">
        <f>'eLLE Bals'!BQ98</f>
        <v>2.19046446198828</v>
      </c>
      <c r="DB98">
        <f>'eLLE Bals'!BU98</f>
        <v>5.4481344403359842</v>
      </c>
      <c r="DC98">
        <f>CS98</f>
        <v>1.9687800716022601</v>
      </c>
      <c r="DD98">
        <f>'eLLE Bals'!BX98</f>
        <v>3.9375601432045202</v>
      </c>
      <c r="DE98">
        <f>'eLLE Bals'!CA98</f>
        <v>21.867608759187807</v>
      </c>
      <c r="DF98">
        <f>2*2*(CJ98*'Reagent cost'!$C$36*122.44/1000*0.5+CK98*'Oxidant Feed Composition'!$N$26+CQ98*'Reagent cost'!$C$34+CR98*'Reagent cost'!$C$35)</f>
        <v>73.571443208837024</v>
      </c>
      <c r="DG98">
        <f>2*2*(CS98*'Reagent cost'!$C$36*122.44/1000*0.5+CT98*'Oxidant Feed Composition'!$N$26+CX98*'Reagent cost'!$C$34+CY98*'Reagent cost'!$C$35)</f>
        <v>132.25139575841311</v>
      </c>
      <c r="DH98">
        <f>(AF98+3)*2*(CZ98*'Reagent cost'!$C$38*0.5+DA98*'Reagent cost'!$C$39+DB98*'Reagent cost'!$C$36*122.44/1000)</f>
        <v>1291.6163259464208</v>
      </c>
      <c r="DI98">
        <f>3*2*(DC98*'Reagent cost'!$C$38*0.5+DD98*'Reagent cost'!$C$39+DE98*'Reagent cost'!$C$36*122.44/1000)</f>
        <v>1162.2067179913167</v>
      </c>
      <c r="DJ98">
        <f>7963.6*(CB98/1000)^0.6*1.7*('CAPEX+OPEX'!$G$116/'CAPEX+OPEX'!$G$115)</f>
        <v>2138.1326451989207</v>
      </c>
      <c r="DK98">
        <f>7963.6*(CC98/1000)^0.6*1.7*('CAPEX+OPEX'!$G$116/'CAPEX+OPEX'!$G$115)</f>
        <v>6199.2945816251477</v>
      </c>
      <c r="DL98">
        <f>7963.6*(CD98/1000)^0.6*1.7*('CAPEX+OPEX'!$G$116/'CAPEX+OPEX'!$G$115)</f>
        <v>3039.8295866806543</v>
      </c>
      <c r="DM98">
        <f>7963.6*(CE98/1000)^0.6*1.7*('CAPEX+OPEX'!$G$116/'CAPEX+OPEX'!$G$115)</f>
        <v>6718.433120957432</v>
      </c>
      <c r="DN98">
        <f>'TEA Revised Non EYZ'!CM98</f>
        <v>39625.826528698344</v>
      </c>
      <c r="DO98">
        <f>'TEA Revised Non EYZ'!CN98</f>
        <v>4586243.4239371875</v>
      </c>
      <c r="DP98">
        <f>'TEA Revised Non EYZ'!CO98</f>
        <v>11794834.586807497</v>
      </c>
      <c r="DQ98">
        <f>'TEA Revised Non EYZ'!CP98</f>
        <v>2275209.1661185985</v>
      </c>
      <c r="DR98">
        <f>'TEA Revised Non EYZ'!CQ98</f>
        <v>14083914.336508472</v>
      </c>
      <c r="DS98">
        <f>'TEA Revised Non EYZ'!CR98</f>
        <v>1662824.8986326549</v>
      </c>
      <c r="DT98">
        <f>'TEA Revised Non EYZ'!CS98</f>
        <v>936765.86395108781</v>
      </c>
      <c r="DU98">
        <f>'TEA Revised Non EYZ'!CT98</f>
        <v>2409160.916797909</v>
      </c>
      <c r="DV98">
        <f>'TEA Revised Non EYZ'!CU98</f>
        <v>464724.19432521454</v>
      </c>
      <c r="DW98">
        <f>'TEA Revised Non EYZ'!CV98</f>
        <v>2876718.2553791031</v>
      </c>
      <c r="DX98">
        <f>'TEA Revised Non EYZ'!CW98</f>
        <v>339641.28346021532</v>
      </c>
      <c r="DY98">
        <f>'TEA Revised Non EYZ'!CX98</f>
        <v>7027010.5139135299</v>
      </c>
      <c r="DZ98">
        <f>'TEA Revised Non EYZ'!CY98</f>
        <v>800273.51272546337</v>
      </c>
      <c r="EA98">
        <f>'TEA Revised Non EYZ'!CZ98</f>
        <v>2058131.8596248808</v>
      </c>
      <c r="EB98">
        <f>'TEA Revised Non EYZ'!DA98</f>
        <v>397011.11852274858</v>
      </c>
      <c r="EC98">
        <f>'TEA Revised Non EYZ'!DB98</f>
        <v>2457563.3164552483</v>
      </c>
      <c r="ED98">
        <f>'TEA Revised Non EYZ'!DC98</f>
        <v>290153.53082452138</v>
      </c>
      <c r="EE98">
        <f>'TEA Revised Non EYZ'!DD98</f>
        <v>6003133.3381528631</v>
      </c>
      <c r="EF98">
        <v>0.7</v>
      </c>
      <c r="EG98">
        <v>100</v>
      </c>
      <c r="EH98">
        <f>96485*BL98*V98/EF98/EG98/60</f>
        <v>25.160352811302293</v>
      </c>
      <c r="EI98">
        <f>96485*BN98*BA98/EF98/EG98/60</f>
        <v>45.228034573462878</v>
      </c>
      <c r="EJ98">
        <f>EH98*('CAPEX+OPEX'!$O$25+'CAPEX+OPEX'!$O$26)</f>
        <v>801910.76480182668</v>
      </c>
      <c r="EK98">
        <f>EI98*('CAPEX+OPEX'!$O$25+'CAPEX+OPEX'!$O$26)</f>
        <v>1441507.9179254088</v>
      </c>
      <c r="EL98">
        <f>EJ98*1.12/0.6*'CAPEX+OPEX'!$G$116/'CAPEX+OPEX'!$G$115</f>
        <v>1765531.1495937889</v>
      </c>
      <c r="EM98">
        <f>EK98*1.12/0.6*'CAPEX+OPEX'!$G$116/'CAPEX+OPEX'!$G$115</f>
        <v>3173703.6627913821</v>
      </c>
      <c r="EN98">
        <f>EL98+EM98+DY98+EE98+1.15*(SUM(DF98:DM98)+SUM(CF98:CI98))</f>
        <v>18066022.809779163</v>
      </c>
      <c r="EO98">
        <f>EN98/15</f>
        <v>1204401.5206519442</v>
      </c>
      <c r="EP98">
        <f>('eLLE Bals'!CB98+'eLLE Bals'!CC98)*'Oxidant Feed Composition'!$N$29*60*7200</f>
        <v>7642741.1478699101</v>
      </c>
      <c r="EQ98" s="53">
        <f>('eLLE Bals'!BR98+'eLLE Bals'!BY98)*'Reagent cost'!$C$38*60*7200*0.5</f>
        <v>252634.97952847753</v>
      </c>
      <c r="ER98">
        <f>'TEA Revised Non EYZ'!DI98</f>
        <v>504921.59999999998</v>
      </c>
      <c r="ES98">
        <f>'TEA Revised Non EYZ'!DJ98</f>
        <v>102.85073592590301</v>
      </c>
      <c r="ET98">
        <f>'TEA Revised Non EYZ'!DK98</f>
        <v>1059.9595566287346</v>
      </c>
      <c r="EU98">
        <f>1.2*SUM(EP98:ET98)</f>
        <v>10081752.645229129</v>
      </c>
      <c r="EV98">
        <f>'TEA Revised Non EYZ'!DM98</f>
        <v>0.70639694042110623</v>
      </c>
      <c r="EW98">
        <f>(BS98*CO98+BT98*CP98)/1000*('Oxidant Feed Composition'!$B$11*'Oxidant Feed Composition'!$O$20+'Oxidant Feed Composition'!$D$11*'Oxidant Feed Composition'!$O$21+'Oxidant Feed Composition'!$F$11*'Oxidant Feed Composition'!$O$27-'Oxidant Feed Composition'!$J$15*18.015)</f>
        <v>1.7891463365653066</v>
      </c>
      <c r="EX98">
        <f>(CZ98*BX98+DC98*BZ98)*368.34/1000</f>
        <v>0.10199408520070469</v>
      </c>
      <c r="EY98">
        <f>'TEA Revised Non EYZ'!DP98</f>
        <v>4.999938342565946E-2</v>
      </c>
      <c r="EZ98">
        <f>SUM(EV98:EX98)-EY98</f>
        <v>2.5475379787614583</v>
      </c>
      <c r="FA98">
        <f>EZ98*0.33*60*7200</f>
        <v>363177.01425223349</v>
      </c>
      <c r="FB98">
        <f>'TEA Revised Non EYZ'!DS98</f>
        <v>1.2</v>
      </c>
      <c r="FC98">
        <v>0.5</v>
      </c>
      <c r="FD98">
        <f>'TEA Revised Non EYZ'!DT98</f>
        <v>1405.8764353255226</v>
      </c>
      <c r="FE98">
        <f>'TEA Revised Non EYZ'!DU98</f>
        <v>705.8052599998191</v>
      </c>
      <c r="FF98">
        <f>'TEA Revised Non EYZ'!DV98</f>
        <v>0.7</v>
      </c>
      <c r="FG98">
        <f>'TEA Revised Non EYZ'!DW98</f>
        <v>52288.524762496963</v>
      </c>
      <c r="FH98">
        <f>'TEA Revised Non EYZ'!DX98</f>
        <v>53983.928663982973</v>
      </c>
      <c r="FI98">
        <f>'TEA Revised Non EYZ'!DY98</f>
        <v>22856.098829508919</v>
      </c>
      <c r="FJ98">
        <f>'TEA Revised Non EYZ'!DZ98</f>
        <v>12107.513206066582</v>
      </c>
      <c r="FK98">
        <f>'TEA Revised Non EYZ'!EA98</f>
        <v>12189.919375738094</v>
      </c>
      <c r="FL98">
        <f>'TEA Revised Non EYZ'!EB98</f>
        <v>850.27406808487626</v>
      </c>
      <c r="FM98">
        <f>'TEA Revised Non EYZ'!EC98</f>
        <v>43713.176058972655</v>
      </c>
      <c r="FN98">
        <f>'TEA Revised Non EYZ'!ED98</f>
        <v>42673.219609023952</v>
      </c>
      <c r="FO98">
        <f>'TEA Revised Non EYZ'!EE98</f>
        <v>18067.290560272231</v>
      </c>
      <c r="FP98">
        <f>'TEA Revised Non EYZ'!EF98</f>
        <v>9576.0761530272775</v>
      </c>
      <c r="FQ98">
        <f>'TEA Revised Non EYZ'!EG98</f>
        <v>9635.8882988118585</v>
      </c>
      <c r="FR98">
        <f>'TEA Revised Non EYZ'!EH98</f>
        <v>426.87102124789061</v>
      </c>
      <c r="FS98">
        <f>'TEA Revised Non EYZ'!EI98</f>
        <v>278368.78060723428</v>
      </c>
      <c r="FT98">
        <f>EG98*EH98</f>
        <v>2516.0352811302291</v>
      </c>
      <c r="FU98">
        <f>EG98*EI98</f>
        <v>4522.8034573462883</v>
      </c>
      <c r="FV98">
        <f>FC98*(FT98+FU98)/(3.6*10^6)*3600*7200*0.07</f>
        <v>1773.7873620960827</v>
      </c>
      <c r="FW98">
        <f>('CAPEX+OPEX'!$C$39/7/100+0.03)*EL98</f>
        <v>90798.744836251994</v>
      </c>
      <c r="FX98">
        <f>('CAPEX+OPEX'!$C$39/7/100+0.03)*EM98</f>
        <v>163219.04551498537</v>
      </c>
      <c r="FY98">
        <f>SUM(FV98:FX98)</f>
        <v>255791.57771333345</v>
      </c>
      <c r="FZ98">
        <f>FY98+FA98+FS98+EU98</f>
        <v>10979090.017801931</v>
      </c>
      <c r="GA98">
        <f>FZ98+EO98</f>
        <v>12183491.538453875</v>
      </c>
      <c r="GB98">
        <f>GA98/(BK98*60*7200)</f>
        <v>0.28202526709383968</v>
      </c>
      <c r="GC98">
        <f>'TEA Revised Non EYZ'!EM98/'TEA Revised Non EYZ'!EK98*GA98</f>
        <v>943.50937462836839</v>
      </c>
      <c r="GD98">
        <f>'TEA Revised Non EYZ'!EN98/'TEA Revised Non EYZ'!EK98*GA98</f>
        <v>1731.5616610541542</v>
      </c>
    </row>
    <row r="99" spans="1:186">
      <c r="A99">
        <f>'TEA Revised Non EYZ'!A99</f>
        <v>12</v>
      </c>
      <c r="B99">
        <f>'TEA Revised Non EYZ'!B99</f>
        <v>1.54143585092054E-3</v>
      </c>
      <c r="C99">
        <f>'TEA Revised Non EYZ'!C99</f>
        <v>1.54143585092054E-3</v>
      </c>
      <c r="D99">
        <f>'TEA Revised Non EYZ'!D99</f>
        <v>3.4254130020456501E-4</v>
      </c>
      <c r="E99">
        <f>'TEA Revised Non EYZ'!E99</f>
        <v>0</v>
      </c>
      <c r="F99">
        <f>'TEA Revised Non EYZ'!F99</f>
        <v>0</v>
      </c>
      <c r="G99">
        <f>'TEA Revised Non EYZ'!G99</f>
        <v>0</v>
      </c>
      <c r="H99">
        <f>'TEA Revised Non EYZ'!H99</f>
        <v>1.7771599281349402E-5</v>
      </c>
      <c r="I99">
        <f>'TEA Revised Non EYZ'!I99</f>
        <v>6.3113732322488897E-11</v>
      </c>
      <c r="J99">
        <f>'TEA Revised Non EYZ'!J99</f>
        <v>3.37661562480901E-4</v>
      </c>
      <c r="K99">
        <f>'TEA Revised Non EYZ'!K99</f>
        <v>0.13911791568267901</v>
      </c>
      <c r="L99">
        <f>'TEA Revised Non EYZ'!L99</f>
        <v>0.140740543921716</v>
      </c>
      <c r="M99">
        <f>'TEA Revised Non EYZ'!M99</f>
        <v>4.45543656000266E-4</v>
      </c>
      <c r="N99">
        <f>'TEA Revised Non EYZ'!N99</f>
        <v>-4.7646348672047899E-15</v>
      </c>
      <c r="O99">
        <f>'TEA Revised Non EYZ'!O99</f>
        <v>-1.1300289697036E-11</v>
      </c>
      <c r="P99">
        <f>'TEA Revised Non EYZ'!P99</f>
        <v>-4.6756218688437302E-19</v>
      </c>
      <c r="Q99">
        <f>'TEA Revised Non EYZ'!Q99</f>
        <v>0.10952322309941399</v>
      </c>
      <c r="R99">
        <f>'TEA Revised Non EYZ'!R99</f>
        <v>98.575430839799395</v>
      </c>
      <c r="S99">
        <f>'TEA Revised Non EYZ'!S99</f>
        <v>500</v>
      </c>
      <c r="T99">
        <f>'TEA Revised Non EYZ'!T99</f>
        <v>95</v>
      </c>
      <c r="U99">
        <f>'TEA Revised Non EYZ'!U99</f>
        <v>1</v>
      </c>
      <c r="V99">
        <f>'TEA Revised Non EYZ'!V99</f>
        <v>0.1</v>
      </c>
      <c r="W99">
        <f>'TEA Revised Non EYZ'!W99</f>
        <v>91.304836700459305</v>
      </c>
      <c r="X99" t="str">
        <f>'TEA Revised Non EYZ'!X99</f>
        <v>ddFc</v>
      </c>
      <c r="Y99">
        <f>'TEA Revised Non EYZ'!Y99</f>
        <v>1</v>
      </c>
      <c r="Z99">
        <f>'TEA Revised Non EYZ'!Z99</f>
        <v>0.28318429382522198</v>
      </c>
      <c r="AA99">
        <f>'TEA Revised Non EYZ'!AA99</f>
        <v>0.56945642916197003</v>
      </c>
      <c r="AB99">
        <f>'TEA Revised Non EYZ'!AB99</f>
        <v>3.7698628972227502E-3</v>
      </c>
      <c r="AC99">
        <f>'TEA Revised Non EYZ'!AC99</f>
        <v>1822.2107908876901</v>
      </c>
      <c r="AD99">
        <f>'TEA Revised Non EYZ'!AD99</f>
        <v>2662.6059073104898</v>
      </c>
      <c r="AE99">
        <f>'TEA Revised Non EYZ'!AE99</f>
        <v>2401.5030938442701</v>
      </c>
      <c r="AF99">
        <f>'TEA Revised Non EYZ'!AF99</f>
        <v>11</v>
      </c>
      <c r="AG99">
        <f>'TEA Revised Non EYZ'!AG99</f>
        <v>1.6497575706444501E-3</v>
      </c>
      <c r="AH99">
        <f>'TEA Revised Non EYZ'!AH99</f>
        <v>1.66899983148883E-3</v>
      </c>
      <c r="AI99">
        <f>'TEA Revised Non EYZ'!AI99</f>
        <v>5.28356837386519E-6</v>
      </c>
      <c r="AJ99">
        <f>'TEA Revised Non EYZ'!AJ99</f>
        <v>0</v>
      </c>
      <c r="AK99">
        <f>'TEA Revised Non EYZ'!AK99</f>
        <v>0</v>
      </c>
      <c r="AL99">
        <f>'TEA Revised Non EYZ'!AL99</f>
        <v>0</v>
      </c>
      <c r="AM99">
        <f>'TEA Revised Non EYZ'!AM99</f>
        <v>1.61280988700799E-3</v>
      </c>
      <c r="AN99">
        <f>'TEA Revised Non EYZ'!AN99</f>
        <v>7.9635910048100197E-5</v>
      </c>
      <c r="AO99">
        <f>'TEA Revised Non EYZ'!AO99</f>
        <v>5.2488208470369598E-6</v>
      </c>
      <c r="AP99">
        <f>'TEA Revised Non EYZ'!AP99</f>
        <v>1.73328256872752E-3</v>
      </c>
      <c r="AQ99">
        <f>'TEA Revised Non EYZ'!AQ99</f>
        <v>7.4559932038912993E-2</v>
      </c>
      <c r="AR99">
        <f>'TEA Revised Non EYZ'!AR99</f>
        <v>1.6300692393553599E-6</v>
      </c>
      <c r="AS99">
        <f>'TEA Revised Non EYZ'!AS99</f>
        <v>1.9909814357073302E-15</v>
      </c>
      <c r="AT99">
        <f>'TEA Revised Non EYZ'!AT99</f>
        <v>-1.9813924806433201E-13</v>
      </c>
      <c r="AU99">
        <f>'TEA Revised Non EYZ'!AU99</f>
        <v>1.5438498952689699E-20</v>
      </c>
      <c r="AV99">
        <f>'TEA Revised Non EYZ'!AV99</f>
        <v>0.19687337891228299</v>
      </c>
      <c r="AW99">
        <f>'TEA Revised Non EYZ'!AW99</f>
        <v>99.342347361300298</v>
      </c>
      <c r="AX99">
        <f>'TEA Revised Non EYZ'!AX99</f>
        <v>500</v>
      </c>
      <c r="AY99">
        <f>'TEA Revised Non EYZ'!AY99</f>
        <v>95</v>
      </c>
      <c r="AZ99">
        <f>'TEA Revised Non EYZ'!AZ99</f>
        <v>0.92356857683566096</v>
      </c>
      <c r="BA99">
        <f>'TEA Revised Non EYZ'!BA99</f>
        <v>0.1</v>
      </c>
      <c r="BB99">
        <f>'TEA Revised Non EYZ'!BB99</f>
        <v>46.911806052109903</v>
      </c>
      <c r="BC99" t="str">
        <f>'TEA Revised Non EYZ'!BC99</f>
        <v>coeFc</v>
      </c>
      <c r="BD99">
        <f>'TEA Revised Non EYZ'!BD99</f>
        <v>1</v>
      </c>
      <c r="BE99">
        <f>'TEA Revised Non EYZ'!BE99</f>
        <v>1.8775014999999999E-2</v>
      </c>
      <c r="BF99">
        <f>'TEA Revised Non EYZ'!BF99</f>
        <v>0.10492961100000001</v>
      </c>
      <c r="BG99">
        <f>'TEA Revised Non EYZ'!BG99</f>
        <v>1.814625E-3</v>
      </c>
      <c r="BH99">
        <f>'TEA Revised Non EYZ'!BH99</f>
        <v>285.1951444</v>
      </c>
      <c r="BI99">
        <f>'TEA Revised Non EYZ'!BI99</f>
        <v>2169.8944889999998</v>
      </c>
      <c r="BJ99">
        <f>'TEA Revised Non EYZ'!BJ99</f>
        <v>866.49409060000005</v>
      </c>
      <c r="BK99">
        <f>'TEA Revised Non EYZ'!BK99</f>
        <v>100</v>
      </c>
      <c r="BL99">
        <f>'TEA Revised Non EYZ'!BL99</f>
        <v>10.952322309941399</v>
      </c>
      <c r="BM99">
        <f>'TEA Revised Non EYZ'!BM99</f>
        <v>92.356857683566091</v>
      </c>
      <c r="BN99">
        <f>'TEA Revised Non EYZ'!BN99</f>
        <v>19.687337891228299</v>
      </c>
      <c r="BO99">
        <f>'TEA Revised Non EYZ'!BO99</f>
        <v>306.6650246783592</v>
      </c>
      <c r="BP99">
        <f>'TEA Revised Non EYZ'!BP99</f>
        <v>511.87078517193578</v>
      </c>
      <c r="BQ99">
        <f>'TEA Revised Non EYZ'!BQ99</f>
        <v>30.666502467835922</v>
      </c>
      <c r="BR99">
        <f>'TEA Revised Non EYZ'!BR99</f>
        <v>51.187078517193584</v>
      </c>
      <c r="BS99">
        <f>'eLLE Bals'!CF99</f>
        <v>6.5713933859648392</v>
      </c>
      <c r="BT99">
        <f>'eLLE Bals'!CG99</f>
        <v>11.812402734736979</v>
      </c>
      <c r="BU99">
        <f>BM99</f>
        <v>92.356857683566091</v>
      </c>
      <c r="BV99">
        <f>BU99*(AM99*2+AN99*2+AO99*3)</f>
        <v>0.31407224503164682</v>
      </c>
      <c r="BW99">
        <f>BN99*BA99*(AP99*2+AQ99*2+AR99*3)</f>
        <v>0.30041168647489314</v>
      </c>
      <c r="BX99">
        <f>BV99/(2*V99*BL99+BV99)</f>
        <v>0.1254013343670862</v>
      </c>
      <c r="BY99">
        <f>BU99*BX99</f>
        <v>11.581673191470266</v>
      </c>
      <c r="BZ99">
        <f>BW99/(2*BN99*BA99+BW99)</f>
        <v>7.0887268775152876E-2</v>
      </c>
      <c r="CA99">
        <f>2*BN99*BA99/0.04</f>
        <v>98.436689456141494</v>
      </c>
      <c r="CB99">
        <f>(BS99+BL99)*2</f>
        <v>35.047431391812481</v>
      </c>
      <c r="CC99">
        <f>(BU99+BL99)*2</f>
        <v>206.61835998701497</v>
      </c>
      <c r="CD99">
        <f>(BT99+BN99)*2</f>
        <v>62.999481251930561</v>
      </c>
      <c r="CE99">
        <f>(CA99+BN99)*2</f>
        <v>236.24805469473958</v>
      </c>
      <c r="CF99">
        <f>'TEA Revised Non EYZ'!CB99</f>
        <v>4047.9783257543413</v>
      </c>
      <c r="CG99">
        <f>'TEA Revised Non EYZ'!CC99</f>
        <v>6756.6943642695524</v>
      </c>
      <c r="CH99">
        <f>'TEA Revised Non EYZ'!CD99</f>
        <v>4890.707695899031</v>
      </c>
      <c r="CI99">
        <f>'TEA Revised Non EYZ'!CE99</f>
        <v>52114.984155128099</v>
      </c>
      <c r="CJ99">
        <f>BL99*V99</f>
        <v>1.09523223099414</v>
      </c>
      <c r="CK99">
        <f>CJ99/2*1.2</f>
        <v>0.65713933859648399</v>
      </c>
      <c r="CL99">
        <f>'eLLE Bals'!CB99*'Oxidant Feed Composition'!$N$20</f>
        <v>3.6507741033138016E-2</v>
      </c>
      <c r="CM99">
        <f>'eLLE Bals'!CB99*'Oxidant Feed Composition'!$N$21</f>
        <v>1.8253870516569002</v>
      </c>
      <c r="CN99">
        <f>'eLLE Bals'!CB99*'Oxidant Feed Composition'!$N$22</f>
        <v>0.54761611549707001</v>
      </c>
      <c r="CO99">
        <f>CN99/CK99</f>
        <v>0.83333333333333337</v>
      </c>
      <c r="CP99">
        <f>CO99</f>
        <v>0.83333333333333337</v>
      </c>
      <c r="CQ99">
        <f>CL99/CO99</f>
        <v>4.3809289239765618E-2</v>
      </c>
      <c r="CR99">
        <f>CM99/CO99</f>
        <v>2.19046446198828</v>
      </c>
      <c r="CS99">
        <f>BN99*BA99</f>
        <v>1.96873378912283</v>
      </c>
      <c r="CT99">
        <f>CS99/2*1.2</f>
        <v>1.181240273473698</v>
      </c>
      <c r="CU99">
        <f>'eLLE Bals'!CC99*'Oxidant Feed Composition'!$N$20</f>
        <v>6.562445963742769E-2</v>
      </c>
      <c r="CV99">
        <f>'eLLE Bals'!CC99*'Oxidant Feed Composition'!$N$21</f>
        <v>3.2812229818713834</v>
      </c>
      <c r="CW99">
        <f>'eLLE Bals'!CC99*'Oxidant Feed Composition'!$N$22</f>
        <v>0.98436689456141502</v>
      </c>
      <c r="CX99">
        <f>CU99/CP99</f>
        <v>7.8749351564913223E-2</v>
      </c>
      <c r="CY99">
        <f>CV99/CP99</f>
        <v>3.9374675782456601</v>
      </c>
      <c r="CZ99">
        <f>CJ99</f>
        <v>1.09523223099414</v>
      </c>
      <c r="DA99">
        <f>'eLLE Bals'!BQ99</f>
        <v>2.19046446198828</v>
      </c>
      <c r="DB99">
        <f>'eLLE Bals'!BU99</f>
        <v>5.4481197098190677</v>
      </c>
      <c r="DC99">
        <f>CS99</f>
        <v>1.96873378912283</v>
      </c>
      <c r="DD99">
        <f>'eLLE Bals'!BX99</f>
        <v>3.9374675782456601</v>
      </c>
      <c r="DE99">
        <f>'eLLE Bals'!CA99</f>
        <v>21.866540101448024</v>
      </c>
      <c r="DF99">
        <f>2*2*(CJ99*'Reagent cost'!$C$36*122.44/1000*0.5+CK99*'Oxidant Feed Composition'!$N$26+CQ99*'Reagent cost'!$C$34+CR99*'Reagent cost'!$C$35)</f>
        <v>73.571443208837024</v>
      </c>
      <c r="DG99">
        <f>2*2*(CS99*'Reagent cost'!$C$36*122.44/1000*0.5+CT99*'Oxidant Feed Composition'!$N$26+CX99*'Reagent cost'!$C$34+CY99*'Reagent cost'!$C$35)</f>
        <v>132.24828676589937</v>
      </c>
      <c r="DH99">
        <f>(AF99+3)*2*(CZ99*'Reagent cost'!$C$38*0.5+DA99*'Reagent cost'!$C$39+DB99*'Reagent cost'!$C$36*122.44/1000)</f>
        <v>1390.9678615669225</v>
      </c>
      <c r="DI99">
        <f>3*2*(DC99*'Reagent cost'!$C$38*0.5+DD99*'Reagent cost'!$C$39+DE99*'Reagent cost'!$C$36*122.44/1000)</f>
        <v>1162.1506243403237</v>
      </c>
      <c r="DJ99">
        <f>7963.6*(CB99/1000)^0.6*1.7*('CAPEX+OPEX'!$G$116/'CAPEX+OPEX'!$G$115)</f>
        <v>2138.1326451989207</v>
      </c>
      <c r="DK99">
        <f>7963.6*(CC99/1000)^0.6*1.7*('CAPEX+OPEX'!$G$116/'CAPEX+OPEX'!$G$115)</f>
        <v>6199.2945816251477</v>
      </c>
      <c r="DL99">
        <f>7963.6*(CD99/1000)^0.6*1.7*('CAPEX+OPEX'!$G$116/'CAPEX+OPEX'!$G$115)</f>
        <v>3039.7867099224536</v>
      </c>
      <c r="DM99">
        <f>7963.6*(CE99/1000)^0.6*1.7*('CAPEX+OPEX'!$G$116/'CAPEX+OPEX'!$G$115)</f>
        <v>6718.3383575425096</v>
      </c>
      <c r="DN99">
        <f>'TEA Revised Non EYZ'!CM99</f>
        <v>39625.826528698344</v>
      </c>
      <c r="DO99">
        <f>'TEA Revised Non EYZ'!CN99</f>
        <v>4586243.4239371875</v>
      </c>
      <c r="DP99">
        <f>'TEA Revised Non EYZ'!CO99</f>
        <v>11794834.586807497</v>
      </c>
      <c r="DQ99">
        <f>'TEA Revised Non EYZ'!CP99</f>
        <v>2275209.1661185985</v>
      </c>
      <c r="DR99">
        <f>'TEA Revised Non EYZ'!CQ99</f>
        <v>14083914.336508472</v>
      </c>
      <c r="DS99">
        <f>'TEA Revised Non EYZ'!CR99</f>
        <v>1662824.8986326549</v>
      </c>
      <c r="DT99">
        <f>'TEA Revised Non EYZ'!CS99</f>
        <v>936765.86395108781</v>
      </c>
      <c r="DU99">
        <f>'TEA Revised Non EYZ'!CT99</f>
        <v>2409160.916797909</v>
      </c>
      <c r="DV99">
        <f>'TEA Revised Non EYZ'!CU99</f>
        <v>464724.19432521454</v>
      </c>
      <c r="DW99">
        <f>'TEA Revised Non EYZ'!CV99</f>
        <v>2876718.2553791031</v>
      </c>
      <c r="DX99">
        <f>'TEA Revised Non EYZ'!CW99</f>
        <v>339641.28346021532</v>
      </c>
      <c r="DY99">
        <f>'TEA Revised Non EYZ'!CX99</f>
        <v>7027010.5139135299</v>
      </c>
      <c r="DZ99">
        <f>'TEA Revised Non EYZ'!CY99</f>
        <v>843163.07585789578</v>
      </c>
      <c r="EA99">
        <f>'TEA Revised Non EYZ'!CZ99</f>
        <v>2168434.6185249295</v>
      </c>
      <c r="EB99">
        <f>'TEA Revised Non EYZ'!DA99</f>
        <v>418288.3858087401</v>
      </c>
      <c r="EC99">
        <f>'TEA Revised Non EYZ'!DB99</f>
        <v>2589273.0573588139</v>
      </c>
      <c r="ED99">
        <f>'TEA Revised Non EYZ'!DC99</f>
        <v>305703.91201359074</v>
      </c>
      <c r="EE99">
        <f>'TEA Revised Non EYZ'!DD99</f>
        <v>6324863.0495639704</v>
      </c>
      <c r="EF99">
        <v>0.7</v>
      </c>
      <c r="EG99">
        <v>100</v>
      </c>
      <c r="EH99">
        <f>96485*BL99*V99/EF99/EG99/60</f>
        <v>25.160352811302293</v>
      </c>
      <c r="EI99">
        <f>96485*BN99*BA99/EF99/EG99/60</f>
        <v>45.226971343694352</v>
      </c>
      <c r="EJ99">
        <f>EH99*('CAPEX+OPEX'!$O$25+'CAPEX+OPEX'!$O$26)</f>
        <v>801910.76480182668</v>
      </c>
      <c r="EK99">
        <f>EI99*('CAPEX+OPEX'!$O$25+'CAPEX+OPEX'!$O$26)</f>
        <v>1441474.0306662263</v>
      </c>
      <c r="EL99">
        <f>EJ99*1.12/0.6*'CAPEX+OPEX'!$G$116/'CAPEX+OPEX'!$G$115</f>
        <v>1765531.1495937889</v>
      </c>
      <c r="EM99">
        <f>EK99*1.12/0.6*'CAPEX+OPEX'!$G$116/'CAPEX+OPEX'!$G$115</f>
        <v>3173629.0547248903</v>
      </c>
      <c r="EN99">
        <f>EL99+EM99+DY99+EE99+1.15*(SUM(DF99:DM99)+SUM(CF99:CI99))</f>
        <v>18392998.351105087</v>
      </c>
      <c r="EO99">
        <f>EN99/15</f>
        <v>1226199.8900736724</v>
      </c>
      <c r="EP99">
        <f>('eLLE Bals'!CB99+'eLLE Bals'!CC99)*'Oxidant Feed Composition'!$N$29*60*7200</f>
        <v>7642625.7028341088</v>
      </c>
      <c r="EQ99" s="53">
        <f>('eLLE Bals'!BR99+'eLLE Bals'!BY99)*'Reagent cost'!$C$38*60*7200*0.5</f>
        <v>252634.7401440744</v>
      </c>
      <c r="ER99">
        <f>'TEA Revised Non EYZ'!DI99</f>
        <v>504921.59999999998</v>
      </c>
      <c r="ES99">
        <f>'TEA Revised Non EYZ'!DJ99</f>
        <v>108.04672690023894</v>
      </c>
      <c r="ET99">
        <f>'TEA Revised Non EYZ'!DK99</f>
        <v>1140.1138370205426</v>
      </c>
      <c r="EU99">
        <f>1.2*SUM(EP99:ET99)</f>
        <v>10081716.244250525</v>
      </c>
      <c r="EV99">
        <f>'TEA Revised Non EYZ'!DM99</f>
        <v>0.70639694042110623</v>
      </c>
      <c r="EW99">
        <f>(BS99*CO99+BT99*CP99)/1000*('Oxidant Feed Composition'!$B$11*'Oxidant Feed Composition'!$O$20+'Oxidant Feed Composition'!$D$11*'Oxidant Feed Composition'!$O$21+'Oxidant Feed Composition'!$F$11*'Oxidant Feed Composition'!$O$27-'Oxidant Feed Composition'!$J$15*18.015)</f>
        <v>1.789119311174955</v>
      </c>
      <c r="EX99">
        <f>(CZ99*BX99+DC99*BZ99)*368.34/1000</f>
        <v>0.10199398855615749</v>
      </c>
      <c r="EY99">
        <f>'TEA Revised Non EYZ'!DP99</f>
        <v>4.999938342565946E-2</v>
      </c>
      <c r="EZ99">
        <f>SUM(EV99:EX99)-EY99</f>
        <v>2.5475108567265594</v>
      </c>
      <c r="FA99">
        <f>EZ99*0.33*60*7200</f>
        <v>363173.14773493836</v>
      </c>
      <c r="FB99">
        <f>'TEA Revised Non EYZ'!DS99</f>
        <v>1.2</v>
      </c>
      <c r="FC99">
        <v>0.5</v>
      </c>
      <c r="FD99">
        <f>'TEA Revised Non EYZ'!DT99</f>
        <v>1405.8791478299054</v>
      </c>
      <c r="FE99">
        <f>'TEA Revised Non EYZ'!DU99</f>
        <v>705.80254729732212</v>
      </c>
      <c r="FF99">
        <f>'TEA Revised Non EYZ'!DV99</f>
        <v>0.7</v>
      </c>
      <c r="FG99">
        <f>'TEA Revised Non EYZ'!DW99</f>
        <v>52288.524762496963</v>
      </c>
      <c r="FH99">
        <f>'TEA Revised Non EYZ'!DX99</f>
        <v>53983.928663982973</v>
      </c>
      <c r="FI99">
        <f>'TEA Revised Non EYZ'!DY99</f>
        <v>22856.098829508919</v>
      </c>
      <c r="FJ99">
        <f>'TEA Revised Non EYZ'!DZ99</f>
        <v>12107.513206066582</v>
      </c>
      <c r="FK99">
        <f>'TEA Revised Non EYZ'!EA99</f>
        <v>12189.919375738094</v>
      </c>
      <c r="FL99">
        <f>'TEA Revised Non EYZ'!EB99</f>
        <v>850.27570860752689</v>
      </c>
      <c r="FM99">
        <f>'TEA Revised Non EYZ'!EC99</f>
        <v>46284.539356559282</v>
      </c>
      <c r="FN99">
        <f>'TEA Revised Non EYZ'!ED99</f>
        <v>46552.60320984431</v>
      </c>
      <c r="FO99">
        <f>'TEA Revised Non EYZ'!EE99</f>
        <v>19709.771520296981</v>
      </c>
      <c r="FP99">
        <f>'TEA Revised Non EYZ'!EF99</f>
        <v>10446.628530575212</v>
      </c>
      <c r="FQ99">
        <f>'TEA Revised Non EYZ'!EG99</f>
        <v>10511.878144158392</v>
      </c>
      <c r="FR99">
        <f>'TEA Revised Non EYZ'!EH99</f>
        <v>426.86938060542042</v>
      </c>
      <c r="FS99">
        <f>'TEA Revised Non EYZ'!EI99</f>
        <v>288208.55068844062</v>
      </c>
      <c r="FT99">
        <f>EG99*EH99</f>
        <v>2516.0352811302291</v>
      </c>
      <c r="FU99">
        <f>EG99*EI99</f>
        <v>4522.6971343694349</v>
      </c>
      <c r="FV99">
        <f>FC99*(FT99+FU99)/(3.6*10^6)*3600*7200*0.07</f>
        <v>1773.7605687059154</v>
      </c>
      <c r="FW99">
        <f>('CAPEX+OPEX'!$C$39/7/100+0.03)*EL99</f>
        <v>90798.744836251994</v>
      </c>
      <c r="FX99">
        <f>('CAPEX+OPEX'!$C$39/7/100+0.03)*EM99</f>
        <v>163215.20852870864</v>
      </c>
      <c r="FY99">
        <f>SUM(FV99:FX99)</f>
        <v>255787.71393366653</v>
      </c>
      <c r="FZ99">
        <f>FY99+FA99+FS99+EU99</f>
        <v>10988885.65660757</v>
      </c>
      <c r="GA99">
        <f>FZ99+EO99</f>
        <v>12215085.546681242</v>
      </c>
      <c r="GB99">
        <f>GA99/(BK99*60*7200)</f>
        <v>0.28275660987688062</v>
      </c>
      <c r="GC99">
        <f>'TEA Revised Non EYZ'!EM99/'TEA Revised Non EYZ'!EK99*GA99</f>
        <v>945.9542396947927</v>
      </c>
      <c r="GD99">
        <f>'TEA Revised Non EYZ'!EN99/'TEA Revised Non EYZ'!EK99*GA99</f>
        <v>1736.0580666911897</v>
      </c>
    </row>
    <row r="100" spans="1:186">
      <c r="A100">
        <f>'TEA Revised Non EYZ'!A100</f>
        <v>12</v>
      </c>
      <c r="B100">
        <f>'TEA Revised Non EYZ'!B100</f>
        <v>1.54143585092054E-3</v>
      </c>
      <c r="C100">
        <f>'TEA Revised Non EYZ'!C100</f>
        <v>1.54143585092054E-3</v>
      </c>
      <c r="D100">
        <f>'TEA Revised Non EYZ'!D100</f>
        <v>3.4254130020456501E-4</v>
      </c>
      <c r="E100">
        <f>'TEA Revised Non EYZ'!E100</f>
        <v>0</v>
      </c>
      <c r="F100">
        <f>'TEA Revised Non EYZ'!F100</f>
        <v>0</v>
      </c>
      <c r="G100">
        <f>'TEA Revised Non EYZ'!G100</f>
        <v>0</v>
      </c>
      <c r="H100">
        <f>'TEA Revised Non EYZ'!H100</f>
        <v>1.7771599281349402E-5</v>
      </c>
      <c r="I100">
        <f>'TEA Revised Non EYZ'!I100</f>
        <v>6.3113732322488897E-11</v>
      </c>
      <c r="J100">
        <f>'TEA Revised Non EYZ'!J100</f>
        <v>3.37661562480901E-4</v>
      </c>
      <c r="K100">
        <f>'TEA Revised Non EYZ'!K100</f>
        <v>0.13911791568267901</v>
      </c>
      <c r="L100">
        <f>'TEA Revised Non EYZ'!L100</f>
        <v>0.140740543921716</v>
      </c>
      <c r="M100">
        <f>'TEA Revised Non EYZ'!M100</f>
        <v>4.45543656000266E-4</v>
      </c>
      <c r="N100">
        <f>'TEA Revised Non EYZ'!N100</f>
        <v>-4.7646348672047899E-15</v>
      </c>
      <c r="O100">
        <f>'TEA Revised Non EYZ'!O100</f>
        <v>-1.1300289697036E-11</v>
      </c>
      <c r="P100">
        <f>'TEA Revised Non EYZ'!P100</f>
        <v>-4.6756218688437302E-19</v>
      </c>
      <c r="Q100">
        <f>'TEA Revised Non EYZ'!Q100</f>
        <v>0.10952322309941399</v>
      </c>
      <c r="R100">
        <f>'TEA Revised Non EYZ'!R100</f>
        <v>98.575430839799395</v>
      </c>
      <c r="S100">
        <f>'TEA Revised Non EYZ'!S100</f>
        <v>500</v>
      </c>
      <c r="T100">
        <f>'TEA Revised Non EYZ'!T100</f>
        <v>95</v>
      </c>
      <c r="U100">
        <f>'TEA Revised Non EYZ'!U100</f>
        <v>1</v>
      </c>
      <c r="V100">
        <f>'TEA Revised Non EYZ'!V100</f>
        <v>0.1</v>
      </c>
      <c r="W100">
        <f>'TEA Revised Non EYZ'!W100</f>
        <v>91.304836700459305</v>
      </c>
      <c r="X100" t="str">
        <f>'TEA Revised Non EYZ'!X100</f>
        <v>ddFc</v>
      </c>
      <c r="Y100">
        <f>'TEA Revised Non EYZ'!Y100</f>
        <v>1</v>
      </c>
      <c r="Z100">
        <f>'TEA Revised Non EYZ'!Z100</f>
        <v>0.28318429382522198</v>
      </c>
      <c r="AA100">
        <f>'TEA Revised Non EYZ'!AA100</f>
        <v>0.56945642916197003</v>
      </c>
      <c r="AB100">
        <f>'TEA Revised Non EYZ'!AB100</f>
        <v>3.7698628972227502E-3</v>
      </c>
      <c r="AC100">
        <f>'TEA Revised Non EYZ'!AC100</f>
        <v>1822.2107908876901</v>
      </c>
      <c r="AD100">
        <f>'TEA Revised Non EYZ'!AD100</f>
        <v>2662.6059073104898</v>
      </c>
      <c r="AE100">
        <f>'TEA Revised Non EYZ'!AE100</f>
        <v>2401.5030938442701</v>
      </c>
      <c r="AF100">
        <f>'TEA Revised Non EYZ'!AF100</f>
        <v>12</v>
      </c>
      <c r="AG100">
        <f>'TEA Revised Non EYZ'!AG100</f>
        <v>1.6497575706444501E-3</v>
      </c>
      <c r="AH100">
        <f>'TEA Revised Non EYZ'!AH100</f>
        <v>1.66899983148883E-3</v>
      </c>
      <c r="AI100">
        <f>'TEA Revised Non EYZ'!AI100</f>
        <v>5.28356837386519E-6</v>
      </c>
      <c r="AJ100">
        <f>'TEA Revised Non EYZ'!AJ100</f>
        <v>0</v>
      </c>
      <c r="AK100">
        <f>'TEA Revised Non EYZ'!AK100</f>
        <v>0</v>
      </c>
      <c r="AL100">
        <f>'TEA Revised Non EYZ'!AL100</f>
        <v>0</v>
      </c>
      <c r="AM100">
        <f>'TEA Revised Non EYZ'!AM100</f>
        <v>1.6128107620641699E-3</v>
      </c>
      <c r="AN100">
        <f>'TEA Revised Non EYZ'!AN100</f>
        <v>7.9635955314965296E-5</v>
      </c>
      <c r="AO100">
        <f>'TEA Revised Non EYZ'!AO100</f>
        <v>5.2488216357800397E-6</v>
      </c>
      <c r="AP100">
        <f>'TEA Revised Non EYZ'!AP100</f>
        <v>1.7332529701511801E-3</v>
      </c>
      <c r="AQ100">
        <f>'TEA Revised Non EYZ'!AQ100</f>
        <v>7.4560422536797497E-2</v>
      </c>
      <c r="AR100">
        <f>'TEA Revised Non EYZ'!AR100</f>
        <v>1.6300430078820901E-6</v>
      </c>
      <c r="AS100">
        <f>'TEA Revised Non EYZ'!AS100</f>
        <v>3.8848996719229E-16</v>
      </c>
      <c r="AT100">
        <f>'TEA Revised Non EYZ'!AT100</f>
        <v>-3.7900455343575703E-14</v>
      </c>
      <c r="AU100">
        <f>'TEA Revised Non EYZ'!AU100</f>
        <v>-2.53448139686247E-21</v>
      </c>
      <c r="AV100">
        <f>'TEA Revised Non EYZ'!AV100</f>
        <v>0.19687207814646801</v>
      </c>
      <c r="AW100">
        <f>'TEA Revised Non EYZ'!AW100</f>
        <v>99.342362289527202</v>
      </c>
      <c r="AX100">
        <f>'TEA Revised Non EYZ'!AX100</f>
        <v>500</v>
      </c>
      <c r="AY100">
        <f>'TEA Revised Non EYZ'!AY100</f>
        <v>95</v>
      </c>
      <c r="AZ100">
        <f>'TEA Revised Non EYZ'!AZ100</f>
        <v>0.92356857683566096</v>
      </c>
      <c r="BA100">
        <f>'TEA Revised Non EYZ'!BA100</f>
        <v>0.1</v>
      </c>
      <c r="BB100">
        <f>'TEA Revised Non EYZ'!BB100</f>
        <v>46.912116006036399</v>
      </c>
      <c r="BC100" t="str">
        <f>'TEA Revised Non EYZ'!BC100</f>
        <v>coeFc</v>
      </c>
      <c r="BD100">
        <f>'TEA Revised Non EYZ'!BD100</f>
        <v>1</v>
      </c>
      <c r="BE100">
        <f>'TEA Revised Non EYZ'!BE100</f>
        <v>1.8775014999999999E-2</v>
      </c>
      <c r="BF100">
        <f>'TEA Revised Non EYZ'!BF100</f>
        <v>0.10492961100000001</v>
      </c>
      <c r="BG100">
        <f>'TEA Revised Non EYZ'!BG100</f>
        <v>1.814625E-3</v>
      </c>
      <c r="BH100">
        <f>'TEA Revised Non EYZ'!BH100</f>
        <v>285.1951444</v>
      </c>
      <c r="BI100">
        <f>'TEA Revised Non EYZ'!BI100</f>
        <v>2169.8944889999998</v>
      </c>
      <c r="BJ100">
        <f>'TEA Revised Non EYZ'!BJ100</f>
        <v>866.49409060000005</v>
      </c>
      <c r="BK100">
        <f>'TEA Revised Non EYZ'!BK100</f>
        <v>100</v>
      </c>
      <c r="BL100">
        <f>'TEA Revised Non EYZ'!BL100</f>
        <v>10.952322309941399</v>
      </c>
      <c r="BM100">
        <f>'TEA Revised Non EYZ'!BM100</f>
        <v>92.356857683566091</v>
      </c>
      <c r="BN100">
        <f>'TEA Revised Non EYZ'!BN100</f>
        <v>19.687207814646801</v>
      </c>
      <c r="BO100">
        <f>'TEA Revised Non EYZ'!BO100</f>
        <v>306.6650246783592</v>
      </c>
      <c r="BP100">
        <f>'TEA Revised Non EYZ'!BP100</f>
        <v>551.24181881011043</v>
      </c>
      <c r="BQ100">
        <f>'TEA Revised Non EYZ'!BQ100</f>
        <v>30.666502467835922</v>
      </c>
      <c r="BR100">
        <f>'TEA Revised Non EYZ'!BR100</f>
        <v>55.124181881011047</v>
      </c>
      <c r="BS100">
        <f>'eLLE Bals'!CF100</f>
        <v>6.5713933859648392</v>
      </c>
      <c r="BT100">
        <f>'eLLE Bals'!CG100</f>
        <v>11.812324688788079</v>
      </c>
      <c r="BU100">
        <f>BM100</f>
        <v>92.356857683566091</v>
      </c>
      <c r="BV100">
        <f>BU100*(AM100*2+AN100*2+AO100*3)</f>
        <v>0.31407241524647328</v>
      </c>
      <c r="BW100">
        <f>BN100*BA100*(AP100*2+AQ100*2+AR100*3)</f>
        <v>0.30041151622833834</v>
      </c>
      <c r="BX100">
        <f>BV100/(2*V100*BL100+BV100)</f>
        <v>0.12540139380708146</v>
      </c>
      <c r="BY100">
        <f>BU100*BX100</f>
        <v>11.581678681161447</v>
      </c>
      <c r="BZ100">
        <f>BW100/(2*BN100*BA100+BW100)</f>
        <v>7.0887666612559186E-2</v>
      </c>
      <c r="CA100">
        <f>2*BN100*BA100/0.04</f>
        <v>98.436039073233999</v>
      </c>
      <c r="CB100">
        <f>(BS100+BL100)*2</f>
        <v>35.047431391812481</v>
      </c>
      <c r="CC100">
        <f>(BU100+BL100)*2</f>
        <v>206.61835998701497</v>
      </c>
      <c r="CD100">
        <f>(BT100+BN100)*2</f>
        <v>62.999065006869756</v>
      </c>
      <c r="CE100">
        <f>(CA100+BN100)*2</f>
        <v>236.24649377576159</v>
      </c>
      <c r="CF100">
        <f>'TEA Revised Non EYZ'!CB100</f>
        <v>4047.9783257543413</v>
      </c>
      <c r="CG100">
        <f>'TEA Revised Non EYZ'!CC100</f>
        <v>7276.3920082934583</v>
      </c>
      <c r="CH100">
        <f>'TEA Revised Non EYZ'!CD100</f>
        <v>4890.707695899031</v>
      </c>
      <c r="CI100">
        <f>'TEA Revised Non EYZ'!CE100</f>
        <v>56123.458273328237</v>
      </c>
      <c r="CJ100">
        <f>BL100*V100</f>
        <v>1.09523223099414</v>
      </c>
      <c r="CK100">
        <f>CJ100/2*1.2</f>
        <v>0.65713933859648399</v>
      </c>
      <c r="CL100">
        <f>'eLLE Bals'!CB100*'Oxidant Feed Composition'!$N$20</f>
        <v>3.6507741033138016E-2</v>
      </c>
      <c r="CM100">
        <f>'eLLE Bals'!CB100*'Oxidant Feed Composition'!$N$21</f>
        <v>1.8253870516569002</v>
      </c>
      <c r="CN100">
        <f>'eLLE Bals'!CB100*'Oxidant Feed Composition'!$N$22</f>
        <v>0.54761611549707001</v>
      </c>
      <c r="CO100">
        <f>CN100/CK100</f>
        <v>0.83333333333333337</v>
      </c>
      <c r="CP100">
        <f>CO100</f>
        <v>0.83333333333333337</v>
      </c>
      <c r="CQ100">
        <f>CL100/CO100</f>
        <v>4.3809289239765618E-2</v>
      </c>
      <c r="CR100">
        <f>CM100/CO100</f>
        <v>2.19046446198828</v>
      </c>
      <c r="CS100">
        <f>BN100*BA100</f>
        <v>1.9687207814646801</v>
      </c>
      <c r="CT100">
        <f>CS100/2*1.2</f>
        <v>1.1812324688788081</v>
      </c>
      <c r="CU100">
        <f>'eLLE Bals'!CC100*'Oxidant Feed Composition'!$N$20</f>
        <v>6.5624026048822698E-2</v>
      </c>
      <c r="CV100">
        <f>'eLLE Bals'!CC100*'Oxidant Feed Composition'!$N$21</f>
        <v>3.2812013024411337</v>
      </c>
      <c r="CW100">
        <f>'eLLE Bals'!CC100*'Oxidant Feed Composition'!$N$22</f>
        <v>0.98436039073234005</v>
      </c>
      <c r="CX100">
        <f>CU100/CP100</f>
        <v>7.874883125858724E-2</v>
      </c>
      <c r="CY100">
        <f>CV100/CP100</f>
        <v>3.9374415629293602</v>
      </c>
      <c r="CZ100">
        <f>CJ100</f>
        <v>1.09523223099414</v>
      </c>
      <c r="DA100">
        <f>'eLLE Bals'!BQ100</f>
        <v>2.19046446198828</v>
      </c>
      <c r="DB100">
        <f>'eLLE Bals'!BU100</f>
        <v>5.4481155697872907</v>
      </c>
      <c r="DC100">
        <f>CS100</f>
        <v>1.9687207814646801</v>
      </c>
      <c r="DD100">
        <f>'eLLE Bals'!BX100</f>
        <v>3.9374415629293602</v>
      </c>
      <c r="DE100">
        <f>'eLLE Bals'!CA100</f>
        <v>21.866239760824659</v>
      </c>
      <c r="DF100">
        <f>2*2*(CJ100*'Reagent cost'!$C$36*122.44/1000*0.5+CK100*'Oxidant Feed Composition'!$N$26+CQ100*'Reagent cost'!$C$34+CR100*'Reagent cost'!$C$35)</f>
        <v>73.571443208837024</v>
      </c>
      <c r="DG100">
        <f>2*2*(CS100*'Reagent cost'!$C$36*122.44/1000*0.5+CT100*'Oxidant Feed Composition'!$N$26+CX100*'Reagent cost'!$C$34+CY100*'Reagent cost'!$C$35)</f>
        <v>132.24741298574958</v>
      </c>
      <c r="DH100">
        <f>(AF100+3)*2*(CZ100*'Reagent cost'!$C$38*0.5+DA100*'Reagent cost'!$C$39+DB100*'Reagent cost'!$C$36*122.44/1000)</f>
        <v>1490.3216348917297</v>
      </c>
      <c r="DI100">
        <f>3*2*(DC100*'Reagent cost'!$C$38*0.5+DD100*'Reagent cost'!$C$39+DE100*'Reagent cost'!$C$36*122.44/1000)</f>
        <v>1162.1348595124862</v>
      </c>
      <c r="DJ100">
        <f>7963.6*(CB100/1000)^0.6*1.7*('CAPEX+OPEX'!$G$116/'CAPEX+OPEX'!$G$115)</f>
        <v>2138.1326451989207</v>
      </c>
      <c r="DK100">
        <f>7963.6*(CC100/1000)^0.6*1.7*('CAPEX+OPEX'!$G$116/'CAPEX+OPEX'!$G$115)</f>
        <v>6199.2945816251477</v>
      </c>
      <c r="DL100">
        <f>7963.6*(CD100/1000)^0.6*1.7*('CAPEX+OPEX'!$G$116/'CAPEX+OPEX'!$G$115)</f>
        <v>3039.7746593672682</v>
      </c>
      <c r="DM100">
        <f>7963.6*(CE100/1000)^0.6*1.7*('CAPEX+OPEX'!$G$116/'CAPEX+OPEX'!$G$115)</f>
        <v>6718.3117241912714</v>
      </c>
      <c r="DN100">
        <f>'TEA Revised Non EYZ'!CM100</f>
        <v>39625.826528698344</v>
      </c>
      <c r="DO100">
        <f>'TEA Revised Non EYZ'!CN100</f>
        <v>4586243.4239371875</v>
      </c>
      <c r="DP100">
        <f>'TEA Revised Non EYZ'!CO100</f>
        <v>11794834.586807497</v>
      </c>
      <c r="DQ100">
        <f>'TEA Revised Non EYZ'!CP100</f>
        <v>2275209.1661185985</v>
      </c>
      <c r="DR100">
        <f>'TEA Revised Non EYZ'!CQ100</f>
        <v>14083914.336508472</v>
      </c>
      <c r="DS100">
        <f>'TEA Revised Non EYZ'!CR100</f>
        <v>1662824.8986326549</v>
      </c>
      <c r="DT100">
        <f>'TEA Revised Non EYZ'!CS100</f>
        <v>936765.86395108781</v>
      </c>
      <c r="DU100">
        <f>'TEA Revised Non EYZ'!CT100</f>
        <v>2409160.916797909</v>
      </c>
      <c r="DV100">
        <f>'TEA Revised Non EYZ'!CU100</f>
        <v>464724.19432521454</v>
      </c>
      <c r="DW100">
        <f>'TEA Revised Non EYZ'!CV100</f>
        <v>2876718.2553791031</v>
      </c>
      <c r="DX100">
        <f>'TEA Revised Non EYZ'!CW100</f>
        <v>339641.28346021532</v>
      </c>
      <c r="DY100">
        <f>'TEA Revised Non EYZ'!CX100</f>
        <v>7027010.5139135299</v>
      </c>
      <c r="DZ100">
        <f>'TEA Revised Non EYZ'!CY100</f>
        <v>884644.62522109901</v>
      </c>
      <c r="EA100">
        <f>'TEA Revised Non EYZ'!CZ100</f>
        <v>2275116.2679528282</v>
      </c>
      <c r="EB100">
        <f>'TEA Revised Non EYZ'!DA100</f>
        <v>438867.14550635306</v>
      </c>
      <c r="EC100">
        <f>'TEA Revised Non EYZ'!DB100</f>
        <v>2716658.9228206738</v>
      </c>
      <c r="ED100">
        <f>'TEA Revised Non EYZ'!DC100</f>
        <v>320743.79252995877</v>
      </c>
      <c r="EE100">
        <f>'TEA Revised Non EYZ'!DD100</f>
        <v>6636030.7540309131</v>
      </c>
      <c r="EF100">
        <v>0.7</v>
      </c>
      <c r="EG100">
        <v>100</v>
      </c>
      <c r="EH100">
        <f>96485*BL100*V100/EF100/EG100/60</f>
        <v>25.160352811302293</v>
      </c>
      <c r="EI100">
        <f>96485*BN100*BA100/EF100/EG100/60</f>
        <v>45.226672523718982</v>
      </c>
      <c r="EJ100">
        <f>EH100*('CAPEX+OPEX'!$O$25+'CAPEX+OPEX'!$O$26)</f>
        <v>801910.76480182668</v>
      </c>
      <c r="EK100">
        <f>EI100*('CAPEX+OPEX'!$O$25+'CAPEX+OPEX'!$O$26)</f>
        <v>1441464.5066759714</v>
      </c>
      <c r="EL100">
        <f>EJ100*1.12/0.6*'CAPEX+OPEX'!$G$116/'CAPEX+OPEX'!$G$115</f>
        <v>1765531.1495937889</v>
      </c>
      <c r="EM100">
        <f>EK100*1.12/0.6*'CAPEX+OPEX'!$G$116/'CAPEX+OPEX'!$G$115</f>
        <v>3173608.0861805067</v>
      </c>
      <c r="EN100">
        <f>EL100+EM100+DY100+EE100+1.15*(SUM(DF100:DM100)+SUM(CF100:CI100))</f>
        <v>18709466.677772634</v>
      </c>
      <c r="EO100">
        <f>EN100/15</f>
        <v>1247297.7785181755</v>
      </c>
      <c r="EP100">
        <f>('eLLE Bals'!CB100+'eLLE Bals'!CC100)*'Oxidant Feed Composition'!$N$29*60*7200</f>
        <v>7642593.2570883483</v>
      </c>
      <c r="EQ100" s="53">
        <f>('eLLE Bals'!BR100+'eLLE Bals'!BY100)*'Reagent cost'!$C$38*60*7200*0.5</f>
        <v>252634.67286100474</v>
      </c>
      <c r="ER100">
        <f>'TEA Revised Non EYZ'!DI100</f>
        <v>504921.59999999998</v>
      </c>
      <c r="ES100">
        <f>'TEA Revised Non EYZ'!DJ100</f>
        <v>113.24370334047799</v>
      </c>
      <c r="ET100">
        <f>'TEA Revised Non EYZ'!DK100</f>
        <v>1220.2833193845454</v>
      </c>
      <c r="EU100">
        <f>1.2*SUM(EP100:ET100)</f>
        <v>10081779.668366494</v>
      </c>
      <c r="EV100">
        <f>'TEA Revised Non EYZ'!DM100</f>
        <v>0.70639694042110623</v>
      </c>
      <c r="EW100">
        <f>(BS100*CO100+BT100*CP100)/1000*('Oxidant Feed Composition'!$B$11*'Oxidant Feed Composition'!$O$20+'Oxidant Feed Composition'!$D$11*'Oxidant Feed Composition'!$O$21+'Oxidant Feed Composition'!$F$11*'Oxidant Feed Composition'!$O$27-'Oxidant Feed Composition'!$J$15*18.015)</f>
        <v>1.7891117157080874</v>
      </c>
      <c r="EX100">
        <f>(CZ100*BX100+DC100*BZ100)*368.34/1000</f>
        <v>0.10199396139255903</v>
      </c>
      <c r="EY100">
        <f>'TEA Revised Non EYZ'!DP100</f>
        <v>4.999938342565946E-2</v>
      </c>
      <c r="EZ100">
        <f>SUM(EV100:EX100)-EY100</f>
        <v>2.5475032340960935</v>
      </c>
      <c r="FA100">
        <f>EZ100*0.33*60*7200</f>
        <v>363172.0610527391</v>
      </c>
      <c r="FB100">
        <f>'TEA Revised Non EYZ'!DS100</f>
        <v>1.2</v>
      </c>
      <c r="FC100">
        <v>0.5</v>
      </c>
      <c r="FD100">
        <f>'TEA Revised Non EYZ'!DT100</f>
        <v>1405.8799101755899</v>
      </c>
      <c r="FE100">
        <f>'TEA Revised Non EYZ'!DU100</f>
        <v>705.80178487948251</v>
      </c>
      <c r="FF100">
        <f>'TEA Revised Non EYZ'!DV100</f>
        <v>0.7</v>
      </c>
      <c r="FG100">
        <f>'TEA Revised Non EYZ'!DW100</f>
        <v>52288.524762496963</v>
      </c>
      <c r="FH100">
        <f>'TEA Revised Non EYZ'!DX100</f>
        <v>53983.928663982973</v>
      </c>
      <c r="FI100">
        <f>'TEA Revised Non EYZ'!DY100</f>
        <v>22856.098829508919</v>
      </c>
      <c r="FJ100">
        <f>'TEA Revised Non EYZ'!DZ100</f>
        <v>12107.513206066582</v>
      </c>
      <c r="FK100">
        <f>'TEA Revised Non EYZ'!EA100</f>
        <v>12189.919375738094</v>
      </c>
      <c r="FL100">
        <f>'TEA Revised Non EYZ'!EB100</f>
        <v>850.27616967419681</v>
      </c>
      <c r="FM100">
        <f>'TEA Revised Non EYZ'!EC100</f>
        <v>48855.90265414591</v>
      </c>
      <c r="FN100">
        <f>'TEA Revised Non EYZ'!ED100</f>
        <v>50431.986810664675</v>
      </c>
      <c r="FO100">
        <f>'TEA Revised Non EYZ'!EE100</f>
        <v>21352.252480321731</v>
      </c>
      <c r="FP100">
        <f>'TEA Revised Non EYZ'!EF100</f>
        <v>11317.180908123148</v>
      </c>
      <c r="FQ100">
        <f>'TEA Revised Non EYZ'!EG100</f>
        <v>11387.867989504926</v>
      </c>
      <c r="FR100">
        <f>'TEA Revised Non EYZ'!EH100</f>
        <v>426.86891949511096</v>
      </c>
      <c r="FS100">
        <f>'TEA Revised Non EYZ'!EI100</f>
        <v>298048.32076972321</v>
      </c>
      <c r="FT100">
        <f>EG100*EH100</f>
        <v>2516.0352811302291</v>
      </c>
      <c r="FU100">
        <f>EG100*EI100</f>
        <v>4522.667252371898</v>
      </c>
      <c r="FV100">
        <f>FC100*(FT100+FU100)/(3.6*10^6)*3600*7200*0.07</f>
        <v>1773.7530384425365</v>
      </c>
      <c r="FW100">
        <f>('CAPEX+OPEX'!$C$39/7/100+0.03)*EL100</f>
        <v>90798.744836251994</v>
      </c>
      <c r="FX100">
        <f>('CAPEX+OPEX'!$C$39/7/100+0.03)*EM100</f>
        <v>163214.13014642606</v>
      </c>
      <c r="FY100">
        <f>SUM(FV100:FX100)</f>
        <v>255786.62802112059</v>
      </c>
      <c r="FZ100">
        <f>FY100+FA100+FS100+EU100</f>
        <v>10998786.678210076</v>
      </c>
      <c r="GA100">
        <f>FZ100+EO100</f>
        <v>12246084.456728252</v>
      </c>
      <c r="GB100">
        <f>GA100/(BK100*60*7200)</f>
        <v>0.28347417723907992</v>
      </c>
      <c r="GC100">
        <f>'TEA Revised Non EYZ'!EM100/'TEA Revised Non EYZ'!EK100*GA100</f>
        <v>948.35432644020125</v>
      </c>
      <c r="GD100">
        <f>'TEA Revised Non EYZ'!EN100/'TEA Revised Non EYZ'!EK100*GA100</f>
        <v>1740.4654922560094</v>
      </c>
    </row>
    <row r="101" spans="1:186">
      <c r="A101">
        <f>'TEA Revised Non EYZ'!A101</f>
        <v>12</v>
      </c>
      <c r="B101">
        <f>'TEA Revised Non EYZ'!B101</f>
        <v>1.54143585092054E-3</v>
      </c>
      <c r="C101">
        <f>'TEA Revised Non EYZ'!C101</f>
        <v>1.54143585092054E-3</v>
      </c>
      <c r="D101">
        <f>'TEA Revised Non EYZ'!D101</f>
        <v>3.4254130020456501E-4</v>
      </c>
      <c r="E101">
        <f>'TEA Revised Non EYZ'!E101</f>
        <v>0</v>
      </c>
      <c r="F101">
        <f>'TEA Revised Non EYZ'!F101</f>
        <v>0</v>
      </c>
      <c r="G101">
        <f>'TEA Revised Non EYZ'!G101</f>
        <v>0</v>
      </c>
      <c r="H101">
        <f>'TEA Revised Non EYZ'!H101</f>
        <v>1.7771599281349402E-5</v>
      </c>
      <c r="I101">
        <f>'TEA Revised Non EYZ'!I101</f>
        <v>6.3113732322488897E-11</v>
      </c>
      <c r="J101">
        <f>'TEA Revised Non EYZ'!J101</f>
        <v>3.37661562480901E-4</v>
      </c>
      <c r="K101">
        <f>'TEA Revised Non EYZ'!K101</f>
        <v>0.13911791568267901</v>
      </c>
      <c r="L101">
        <f>'TEA Revised Non EYZ'!L101</f>
        <v>0.140740543921716</v>
      </c>
      <c r="M101">
        <f>'TEA Revised Non EYZ'!M101</f>
        <v>4.45543656000266E-4</v>
      </c>
      <c r="N101">
        <f>'TEA Revised Non EYZ'!N101</f>
        <v>-4.7646348672047899E-15</v>
      </c>
      <c r="O101">
        <f>'TEA Revised Non EYZ'!O101</f>
        <v>-1.1300289697036E-11</v>
      </c>
      <c r="P101">
        <f>'TEA Revised Non EYZ'!P101</f>
        <v>-4.6756218688437302E-19</v>
      </c>
      <c r="Q101">
        <f>'TEA Revised Non EYZ'!Q101</f>
        <v>0.10952322309941399</v>
      </c>
      <c r="R101">
        <f>'TEA Revised Non EYZ'!R101</f>
        <v>98.575430839799395</v>
      </c>
      <c r="S101">
        <f>'TEA Revised Non EYZ'!S101</f>
        <v>500</v>
      </c>
      <c r="T101">
        <f>'TEA Revised Non EYZ'!T101</f>
        <v>95</v>
      </c>
      <c r="U101">
        <f>'TEA Revised Non EYZ'!U101</f>
        <v>1</v>
      </c>
      <c r="V101">
        <f>'TEA Revised Non EYZ'!V101</f>
        <v>0.1</v>
      </c>
      <c r="W101">
        <f>'TEA Revised Non EYZ'!W101</f>
        <v>91.304836700459305</v>
      </c>
      <c r="X101" t="str">
        <f>'TEA Revised Non EYZ'!X101</f>
        <v>ddFc</v>
      </c>
      <c r="Y101">
        <f>'TEA Revised Non EYZ'!Y101</f>
        <v>1</v>
      </c>
      <c r="Z101">
        <f>'TEA Revised Non EYZ'!Z101</f>
        <v>0.28318429382522198</v>
      </c>
      <c r="AA101">
        <f>'TEA Revised Non EYZ'!AA101</f>
        <v>0.56945642916197003</v>
      </c>
      <c r="AB101">
        <f>'TEA Revised Non EYZ'!AB101</f>
        <v>3.7698628972227502E-3</v>
      </c>
      <c r="AC101">
        <f>'TEA Revised Non EYZ'!AC101</f>
        <v>1822.2107908876901</v>
      </c>
      <c r="AD101">
        <f>'TEA Revised Non EYZ'!AD101</f>
        <v>2662.6059073104898</v>
      </c>
      <c r="AE101">
        <f>'TEA Revised Non EYZ'!AE101</f>
        <v>2401.5030938442701</v>
      </c>
      <c r="AF101">
        <f>'TEA Revised Non EYZ'!AF101</f>
        <v>13</v>
      </c>
      <c r="AG101">
        <f>'TEA Revised Non EYZ'!AG101</f>
        <v>1.6497575706444501E-3</v>
      </c>
      <c r="AH101">
        <f>'TEA Revised Non EYZ'!AH101</f>
        <v>1.66899983148883E-3</v>
      </c>
      <c r="AI101">
        <f>'TEA Revised Non EYZ'!AI101</f>
        <v>5.28356837386519E-6</v>
      </c>
      <c r="AJ101">
        <f>'TEA Revised Non EYZ'!AJ101</f>
        <v>0</v>
      </c>
      <c r="AK101">
        <f>'TEA Revised Non EYZ'!AK101</f>
        <v>0</v>
      </c>
      <c r="AL101">
        <f>'TEA Revised Non EYZ'!AL101</f>
        <v>0</v>
      </c>
      <c r="AM101">
        <f>'TEA Revised Non EYZ'!AM101</f>
        <v>1.61281100796467E-3</v>
      </c>
      <c r="AN101">
        <f>'TEA Revised Non EYZ'!AN101</f>
        <v>7.9635968035451799E-5</v>
      </c>
      <c r="AO101">
        <f>'TEA Revised Non EYZ'!AO101</f>
        <v>5.2488218574256396E-6</v>
      </c>
      <c r="AP101">
        <f>'TEA Revised Non EYZ'!AP101</f>
        <v>1.73324465254427E-3</v>
      </c>
      <c r="AQ101">
        <f>'TEA Revised Non EYZ'!AQ101</f>
        <v>7.4560560373448506E-2</v>
      </c>
      <c r="AR101">
        <f>'TEA Revised Non EYZ'!AR101</f>
        <v>1.6300356364773401E-6</v>
      </c>
      <c r="AS101">
        <f>'TEA Revised Non EYZ'!AS101</f>
        <v>-7.4538899358378406E-20</v>
      </c>
      <c r="AT101">
        <f>'TEA Revised Non EYZ'!AT101</f>
        <v>-1.34441069388202E-17</v>
      </c>
      <c r="AU101">
        <f>'TEA Revised Non EYZ'!AU101</f>
        <v>3.44107134822059E-22</v>
      </c>
      <c r="AV101">
        <f>'TEA Revised Non EYZ'!AV101</f>
        <v>0.19687171261743899</v>
      </c>
      <c r="AW101">
        <f>'TEA Revised Non EYZ'!AW101</f>
        <v>99.3423664845254</v>
      </c>
      <c r="AX101">
        <f>'TEA Revised Non EYZ'!AX101</f>
        <v>500</v>
      </c>
      <c r="AY101">
        <f>'TEA Revised Non EYZ'!AY101</f>
        <v>95</v>
      </c>
      <c r="AZ101">
        <f>'TEA Revised Non EYZ'!AZ101</f>
        <v>0.92356857683566096</v>
      </c>
      <c r="BA101">
        <f>'TEA Revised Non EYZ'!BA101</f>
        <v>0.1</v>
      </c>
      <c r="BB101">
        <f>'TEA Revised Non EYZ'!BB101</f>
        <v>46.912203107123602</v>
      </c>
      <c r="BC101" t="str">
        <f>'TEA Revised Non EYZ'!BC101</f>
        <v>coeFc</v>
      </c>
      <c r="BD101">
        <f>'TEA Revised Non EYZ'!BD101</f>
        <v>1</v>
      </c>
      <c r="BE101">
        <f>'TEA Revised Non EYZ'!BE101</f>
        <v>1.8775014999999999E-2</v>
      </c>
      <c r="BF101">
        <f>'TEA Revised Non EYZ'!BF101</f>
        <v>0.10492961100000001</v>
      </c>
      <c r="BG101">
        <f>'TEA Revised Non EYZ'!BG101</f>
        <v>1.814625E-3</v>
      </c>
      <c r="BH101">
        <f>'TEA Revised Non EYZ'!BH101</f>
        <v>285.1951444</v>
      </c>
      <c r="BI101">
        <f>'TEA Revised Non EYZ'!BI101</f>
        <v>2169.8944889999998</v>
      </c>
      <c r="BJ101">
        <f>'TEA Revised Non EYZ'!BJ101</f>
        <v>866.49409060000005</v>
      </c>
      <c r="BK101">
        <f>'TEA Revised Non EYZ'!BK101</f>
        <v>100</v>
      </c>
      <c r="BL101">
        <f>'TEA Revised Non EYZ'!BL101</f>
        <v>10.952322309941399</v>
      </c>
      <c r="BM101">
        <f>'TEA Revised Non EYZ'!BM101</f>
        <v>92.356857683566091</v>
      </c>
      <c r="BN101">
        <f>'TEA Revised Non EYZ'!BN101</f>
        <v>19.687171261743899</v>
      </c>
      <c r="BO101">
        <f>'TEA Revised Non EYZ'!BO101</f>
        <v>306.6650246783592</v>
      </c>
      <c r="BP101">
        <f>'TEA Revised Non EYZ'!BP101</f>
        <v>590.61513785231693</v>
      </c>
      <c r="BQ101">
        <f>'TEA Revised Non EYZ'!BQ101</f>
        <v>30.666502467835922</v>
      </c>
      <c r="BR101">
        <f>'TEA Revised Non EYZ'!BR101</f>
        <v>59.061513785231696</v>
      </c>
      <c r="BS101">
        <f>'eLLE Bals'!CF101</f>
        <v>6.5713933859648392</v>
      </c>
      <c r="BT101">
        <f>'eLLE Bals'!CG101</f>
        <v>11.812302757046339</v>
      </c>
      <c r="BU101">
        <f>BM101</f>
        <v>92.356857683566091</v>
      </c>
      <c r="BV101">
        <f>BU101*(AM101*2+AN101*2+AO101*3)</f>
        <v>0.31407246307872805</v>
      </c>
      <c r="BW101">
        <f>BN101*BA101*(AP101*2+AQ101*2+AR101*3)</f>
        <v>0.30041146838858485</v>
      </c>
      <c r="BX101">
        <f>BV101/(2*V101*BL101+BV101)</f>
        <v>0.12540141051037812</v>
      </c>
      <c r="BY101">
        <f>BU101*BX101</f>
        <v>11.58168022382544</v>
      </c>
      <c r="BZ101">
        <f>BW101/(2*BN101*BA101+BW101)</f>
        <v>7.088777841028028E-2</v>
      </c>
      <c r="CA101">
        <f>2*BN101*BA101/0.04</f>
        <v>98.435856308719494</v>
      </c>
      <c r="CB101">
        <f>(BS101+BL101)*2</f>
        <v>35.047431391812481</v>
      </c>
      <c r="CC101">
        <f>(BU101+BL101)*2</f>
        <v>206.61835998701497</v>
      </c>
      <c r="CD101">
        <f>(BT101+BN101)*2</f>
        <v>62.998948037580476</v>
      </c>
      <c r="CE101">
        <f>(CA101+BN101)*2</f>
        <v>236.24605514092679</v>
      </c>
      <c r="CF101">
        <f>'TEA Revised Non EYZ'!CB101</f>
        <v>4047.9783257543413</v>
      </c>
      <c r="CG101">
        <f>'TEA Revised Non EYZ'!CC101</f>
        <v>7796.1198196505838</v>
      </c>
      <c r="CH101">
        <f>'TEA Revised Non EYZ'!CD101</f>
        <v>4890.707695899031</v>
      </c>
      <c r="CI101">
        <f>'TEA Revised Non EYZ'!CE101</f>
        <v>60132.165074850724</v>
      </c>
      <c r="CJ101">
        <f>BL101*V101</f>
        <v>1.09523223099414</v>
      </c>
      <c r="CK101">
        <f>CJ101/2*1.2</f>
        <v>0.65713933859648399</v>
      </c>
      <c r="CL101">
        <f>'eLLE Bals'!CB101*'Oxidant Feed Composition'!$N$20</f>
        <v>3.6507741033138016E-2</v>
      </c>
      <c r="CM101">
        <f>'eLLE Bals'!CB101*'Oxidant Feed Composition'!$N$21</f>
        <v>1.8253870516569002</v>
      </c>
      <c r="CN101">
        <f>'eLLE Bals'!CB101*'Oxidant Feed Composition'!$N$22</f>
        <v>0.54761611549707001</v>
      </c>
      <c r="CO101">
        <f>CN101/CK101</f>
        <v>0.83333333333333337</v>
      </c>
      <c r="CP101">
        <f>CO101</f>
        <v>0.83333333333333337</v>
      </c>
      <c r="CQ101">
        <f>CL101/CO101</f>
        <v>4.3809289239765618E-2</v>
      </c>
      <c r="CR101">
        <f>CM101/CO101</f>
        <v>2.19046446198828</v>
      </c>
      <c r="CS101">
        <f>BN101*BA101</f>
        <v>1.9687171261743899</v>
      </c>
      <c r="CT101">
        <f>CS101/2*1.2</f>
        <v>1.1812302757046338</v>
      </c>
      <c r="CU101">
        <f>'eLLE Bals'!CC101*'Oxidant Feed Composition'!$N$20</f>
        <v>6.562390420581303E-2</v>
      </c>
      <c r="CV101">
        <f>'eLLE Bals'!CC101*'Oxidant Feed Composition'!$N$21</f>
        <v>3.2811952102906501</v>
      </c>
      <c r="CW101">
        <f>'eLLE Bals'!CC101*'Oxidant Feed Composition'!$N$22</f>
        <v>0.98435856308719494</v>
      </c>
      <c r="CX101">
        <f>CU101/CP101</f>
        <v>7.8748685046975631E-2</v>
      </c>
      <c r="CY101">
        <f>CV101/CP101</f>
        <v>3.9374342523487798</v>
      </c>
      <c r="CZ101">
        <f>CJ101</f>
        <v>1.09523223099414</v>
      </c>
      <c r="DA101">
        <f>'eLLE Bals'!BQ101</f>
        <v>2.19046446198828</v>
      </c>
      <c r="DB101">
        <f>'eLLE Bals'!BU101</f>
        <v>5.4481144064031195</v>
      </c>
      <c r="DC101">
        <f>CS101</f>
        <v>1.9687171261743899</v>
      </c>
      <c r="DD101">
        <f>'eLLE Bals'!BX101</f>
        <v>3.9374342523487798</v>
      </c>
      <c r="DE101">
        <f>'eLLE Bals'!CA101</f>
        <v>21.866155362138951</v>
      </c>
      <c r="DF101">
        <f>2*2*(CJ101*'Reagent cost'!$C$36*122.44/1000*0.5+CK101*'Oxidant Feed Composition'!$N$26+CQ101*'Reagent cost'!$C$34+CR101*'Reagent cost'!$C$35)</f>
        <v>73.571443208837024</v>
      </c>
      <c r="DG101">
        <f>2*2*(CS101*'Reagent cost'!$C$36*122.44/1000*0.5+CT101*'Oxidant Feed Composition'!$N$26+CX101*'Reagent cost'!$C$34+CY101*'Reagent cost'!$C$35)</f>
        <v>132.24716744423392</v>
      </c>
      <c r="DH101">
        <f>(AF101+3)*2*(CZ101*'Reagent cost'!$C$38*0.5+DA101*'Reagent cost'!$C$39+DB101*'Reagent cost'!$C$36*122.44/1000)</f>
        <v>1589.6760886488169</v>
      </c>
      <c r="DI101">
        <f>3*2*(DC101*'Reagent cost'!$C$38*0.5+DD101*'Reagent cost'!$C$39+DE101*'Reagent cost'!$C$36*122.44/1000)</f>
        <v>1162.1304294398042</v>
      </c>
      <c r="DJ101">
        <f>7963.6*(CB101/1000)^0.6*1.7*('CAPEX+OPEX'!$G$116/'CAPEX+OPEX'!$G$115)</f>
        <v>2138.1326451989207</v>
      </c>
      <c r="DK101">
        <f>7963.6*(CC101/1000)^0.6*1.7*('CAPEX+OPEX'!$G$116/'CAPEX+OPEX'!$G$115)</f>
        <v>6199.2945816251477</v>
      </c>
      <c r="DL101">
        <f>7963.6*(CD101/1000)^0.6*1.7*('CAPEX+OPEX'!$G$116/'CAPEX+OPEX'!$G$115)</f>
        <v>3039.7712730273583</v>
      </c>
      <c r="DM101">
        <f>7963.6*(CE101/1000)^0.6*1.7*('CAPEX+OPEX'!$G$116/'CAPEX+OPEX'!$G$115)</f>
        <v>6718.304239923631</v>
      </c>
      <c r="DN101">
        <f>'TEA Revised Non EYZ'!CM101</f>
        <v>39625.826528698344</v>
      </c>
      <c r="DO101">
        <f>'TEA Revised Non EYZ'!CN101</f>
        <v>4586243.4239371875</v>
      </c>
      <c r="DP101">
        <f>'TEA Revised Non EYZ'!CO101</f>
        <v>11794834.586807497</v>
      </c>
      <c r="DQ101">
        <f>'TEA Revised Non EYZ'!CP101</f>
        <v>2275209.1661185985</v>
      </c>
      <c r="DR101">
        <f>'TEA Revised Non EYZ'!CQ101</f>
        <v>14083914.336508472</v>
      </c>
      <c r="DS101">
        <f>'TEA Revised Non EYZ'!CR101</f>
        <v>1662824.8986326549</v>
      </c>
      <c r="DT101">
        <f>'TEA Revised Non EYZ'!CS101</f>
        <v>936765.86395108781</v>
      </c>
      <c r="DU101">
        <f>'TEA Revised Non EYZ'!CT101</f>
        <v>2409160.916797909</v>
      </c>
      <c r="DV101">
        <f>'TEA Revised Non EYZ'!CU101</f>
        <v>464724.19432521454</v>
      </c>
      <c r="DW101">
        <f>'TEA Revised Non EYZ'!CV101</f>
        <v>2876718.2553791031</v>
      </c>
      <c r="DX101">
        <f>'TEA Revised Non EYZ'!CW101</f>
        <v>339641.28346021532</v>
      </c>
      <c r="DY101">
        <f>'TEA Revised Non EYZ'!CX101</f>
        <v>7027010.5139135299</v>
      </c>
      <c r="DZ101">
        <f>'TEA Revised Non EYZ'!CY101</f>
        <v>924867.78691671521</v>
      </c>
      <c r="EA101">
        <f>'TEA Revised Non EYZ'!CZ101</f>
        <v>2378561.6141553461</v>
      </c>
      <c r="EB101">
        <f>'TEA Revised Non EYZ'!DA101</f>
        <v>458821.62626995199</v>
      </c>
      <c r="EC101">
        <f>'TEA Revised Non EYZ'!DB101</f>
        <v>2840180.400269479</v>
      </c>
      <c r="ED101">
        <f>'TEA Revised Non EYZ'!DC101</f>
        <v>335327.4220032891</v>
      </c>
      <c r="EE101">
        <f>'TEA Revised Non EYZ'!DD101</f>
        <v>6937758.8496147813</v>
      </c>
      <c r="EF101">
        <v>0.7</v>
      </c>
      <c r="EG101">
        <v>100</v>
      </c>
      <c r="EH101">
        <f>96485*BL101*V101/EF101/EG101/60</f>
        <v>25.160352811302293</v>
      </c>
      <c r="EI101">
        <f>96485*BN101*BA101/EF101/EG101/60</f>
        <v>45.226588552127623</v>
      </c>
      <c r="EJ101">
        <f>EH101*('CAPEX+OPEX'!$O$25+'CAPEX+OPEX'!$O$26)</f>
        <v>801910.76480182668</v>
      </c>
      <c r="EK101">
        <f>EI101*('CAPEX+OPEX'!$O$25+'CAPEX+OPEX'!$O$26)</f>
        <v>1441461.8303334117</v>
      </c>
      <c r="EL101">
        <f>EJ101*1.12/0.6*'CAPEX+OPEX'!$G$116/'CAPEX+OPEX'!$G$115</f>
        <v>1765531.1495937889</v>
      </c>
      <c r="EM101">
        <f>EK101*1.12/0.6*'CAPEX+OPEX'!$G$116/'CAPEX+OPEX'!$G$115</f>
        <v>3173602.1937965113</v>
      </c>
      <c r="EN101">
        <f>EL101+EM101+DY101+EE101+1.15*(SUM(DF101:DM101)+SUM(CF101:CI101))</f>
        <v>19016510.820520986</v>
      </c>
      <c r="EO101">
        <f>EN101/15</f>
        <v>1267767.3880347323</v>
      </c>
      <c r="EP101">
        <f>('eLLE Bals'!CB101+'eLLE Bals'!CC101)*'Oxidant Feed Composition'!$N$29*60*7200</f>
        <v>7642584.1394886943</v>
      </c>
      <c r="EQ101" s="53">
        <f>('eLLE Bals'!BR101+'eLLE Bals'!BY101)*'Reagent cost'!$C$38*60*7200*0.5</f>
        <v>252634.65395418953</v>
      </c>
      <c r="ER101">
        <f>'TEA Revised Non EYZ'!DI101</f>
        <v>504921.59999999998</v>
      </c>
      <c r="ES101">
        <f>'TEA Revised Non EYZ'!DJ101</f>
        <v>118.44098145404925</v>
      </c>
      <c r="ET101">
        <f>'TEA Revised Non EYZ'!DK101</f>
        <v>1300.4574554149951</v>
      </c>
      <c r="EU101">
        <f>1.2*SUM(EP101:ET101)</f>
        <v>10081871.150255702</v>
      </c>
      <c r="EV101">
        <f>'TEA Revised Non EYZ'!DM101</f>
        <v>0.70639694042110623</v>
      </c>
      <c r="EW101">
        <f>(BS101*CO101+BT101*CP101)/1000*('Oxidant Feed Composition'!$B$11*'Oxidant Feed Composition'!$O$20+'Oxidant Feed Composition'!$D$11*'Oxidant Feed Composition'!$O$21+'Oxidant Feed Composition'!$F$11*'Oxidant Feed Composition'!$O$27-'Oxidant Feed Composition'!$J$15*18.015)</f>
        <v>1.789109581301112</v>
      </c>
      <c r="EX101">
        <f>(CZ101*BX101+DC101*BZ101)*368.34/1000</f>
        <v>0.10199395375947778</v>
      </c>
      <c r="EY101">
        <f>'TEA Revised Non EYZ'!DP101</f>
        <v>4.999938342565946E-2</v>
      </c>
      <c r="EZ101">
        <f>SUM(EV101:EX101)-EY101</f>
        <v>2.5475010920560366</v>
      </c>
      <c r="FA101">
        <f>EZ101*0.33*60*7200</f>
        <v>363171.75568350859</v>
      </c>
      <c r="FB101">
        <f>'TEA Revised Non EYZ'!DS101</f>
        <v>1.2</v>
      </c>
      <c r="FC101">
        <v>0.5</v>
      </c>
      <c r="FD101">
        <f>'TEA Revised Non EYZ'!DT101</f>
        <v>1405.8801244031877</v>
      </c>
      <c r="FE101">
        <f>'TEA Revised Non EYZ'!DU101</f>
        <v>705.80157063484023</v>
      </c>
      <c r="FF101">
        <f>'TEA Revised Non EYZ'!DV101</f>
        <v>0.7</v>
      </c>
      <c r="FG101">
        <f>'TEA Revised Non EYZ'!DW101</f>
        <v>52288.524762496963</v>
      </c>
      <c r="FH101">
        <f>'TEA Revised Non EYZ'!DX101</f>
        <v>53983.928663982973</v>
      </c>
      <c r="FI101">
        <f>'TEA Revised Non EYZ'!DY101</f>
        <v>22856.098829508919</v>
      </c>
      <c r="FJ101">
        <f>'TEA Revised Non EYZ'!DZ101</f>
        <v>12107.513206066582</v>
      </c>
      <c r="FK101">
        <f>'TEA Revised Non EYZ'!EA101</f>
        <v>12189.919375738094</v>
      </c>
      <c r="FL101">
        <f>'TEA Revised Non EYZ'!EB101</f>
        <v>850.27629923904806</v>
      </c>
      <c r="FM101">
        <f>'TEA Revised Non EYZ'!EC101</f>
        <v>51427.265951732537</v>
      </c>
      <c r="FN101">
        <f>'TEA Revised Non EYZ'!ED101</f>
        <v>54311.370411485019</v>
      </c>
      <c r="FO101">
        <f>'TEA Revised Non EYZ'!EE101</f>
        <v>22994.733440346474</v>
      </c>
      <c r="FP101">
        <f>'TEA Revised Non EYZ'!EF101</f>
        <v>12187.733285671078</v>
      </c>
      <c r="FQ101">
        <f>'TEA Revised Non EYZ'!EG101</f>
        <v>12263.857834851457</v>
      </c>
      <c r="FR101">
        <f>'TEA Revised Non EYZ'!EH101</f>
        <v>426.86878991995138</v>
      </c>
      <c r="FS101">
        <f>'TEA Revised Non EYZ'!EI101</f>
        <v>307888.0908510391</v>
      </c>
      <c r="FT101">
        <f>EG101*EH101</f>
        <v>2516.0352811302291</v>
      </c>
      <c r="FU101">
        <f>EG101*EI101</f>
        <v>4522.6588552127623</v>
      </c>
      <c r="FV101">
        <f>FC101*(FT101+FU101)/(3.6*10^6)*3600*7200*0.07</f>
        <v>1773.7509223584336</v>
      </c>
      <c r="FW101">
        <f>('CAPEX+OPEX'!$C$39/7/100+0.03)*EL101</f>
        <v>90798.744836251994</v>
      </c>
      <c r="FX101">
        <f>('CAPEX+OPEX'!$C$39/7/100+0.03)*EM101</f>
        <v>163213.82710953488</v>
      </c>
      <c r="FY101">
        <f>SUM(FV101:FX101)</f>
        <v>255786.3228681453</v>
      </c>
      <c r="FZ101">
        <f>FY101+FA101+FS101+EU101</f>
        <v>11008717.319658395</v>
      </c>
      <c r="GA101">
        <f>FZ101+EO101</f>
        <v>12276484.707693128</v>
      </c>
      <c r="GB101">
        <f>GA101/(BK101*60*7200)</f>
        <v>0.28417788675215572</v>
      </c>
      <c r="GC101">
        <f>'TEA Revised Non EYZ'!EM101/'TEA Revised Non EYZ'!EK101*GA101</f>
        <v>950.70842047453232</v>
      </c>
      <c r="GD101">
        <f>'TEA Revised Non EYZ'!EN101/'TEA Revised Non EYZ'!EK101*GA101</f>
        <v>1744.7865932137529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C5DA-C710-452F-B9E4-61A38F8F95CB}">
  <dimension ref="A1:F101"/>
  <sheetViews>
    <sheetView workbookViewId="0">
      <selection activeCell="K15" sqref="K15"/>
    </sheetView>
  </sheetViews>
  <sheetFormatPr defaultRowHeight="15"/>
  <cols>
    <col min="1" max="2" width="11.42578125" bestFit="1" customWidth="1"/>
    <col min="3" max="3" width="12" bestFit="1" customWidth="1"/>
    <col min="4" max="4" width="23.85546875" bestFit="1" customWidth="1"/>
    <col min="5" max="5" width="21.140625" bestFit="1" customWidth="1"/>
    <col min="6" max="6" width="21.5703125" bestFit="1" customWidth="1"/>
  </cols>
  <sheetData>
    <row r="1" spans="1:6">
      <c r="A1" t="s">
        <v>261</v>
      </c>
      <c r="B1" t="s">
        <v>292</v>
      </c>
      <c r="C1" t="s">
        <v>419</v>
      </c>
      <c r="D1" t="s">
        <v>428</v>
      </c>
      <c r="E1" t="s">
        <v>425</v>
      </c>
      <c r="F1" t="s">
        <v>426</v>
      </c>
    </row>
    <row r="2" spans="1:6">
      <c r="A2">
        <v>8</v>
      </c>
      <c r="B2">
        <v>7</v>
      </c>
      <c r="C2">
        <v>27051424.656355426</v>
      </c>
      <c r="D2">
        <v>0.62619038556378304</v>
      </c>
      <c r="E2">
        <v>2095.1457219172994</v>
      </c>
      <c r="F2">
        <v>3843.5885063011115</v>
      </c>
    </row>
    <row r="3" spans="1:6">
      <c r="A3">
        <v>9</v>
      </c>
      <c r="B3">
        <v>7</v>
      </c>
      <c r="C3">
        <v>27056325.574372113</v>
      </c>
      <c r="D3">
        <v>0.62630383274009516</v>
      </c>
      <c r="E3">
        <v>2095.5299587964737</v>
      </c>
      <c r="F3">
        <v>3844.4395326155081</v>
      </c>
    </row>
    <row r="4" spans="1:6">
      <c r="A4">
        <v>8</v>
      </c>
      <c r="B4">
        <v>8</v>
      </c>
      <c r="C4">
        <v>27068746.154791649</v>
      </c>
      <c r="D4">
        <v>0.62659134617573264</v>
      </c>
      <c r="E4">
        <v>2096.3058752763868</v>
      </c>
      <c r="F4">
        <v>3846.6602820020089</v>
      </c>
    </row>
    <row r="5" spans="1:6">
      <c r="A5">
        <v>9</v>
      </c>
      <c r="B5">
        <v>8</v>
      </c>
      <c r="C5">
        <v>27073669.348594029</v>
      </c>
      <c r="D5">
        <v>0.62670530899523214</v>
      </c>
      <c r="E5">
        <v>2096.6920376854537</v>
      </c>
      <c r="F5">
        <v>3847.5139547203216</v>
      </c>
    </row>
    <row r="6" spans="1:6">
      <c r="A6">
        <v>8</v>
      </c>
      <c r="B6">
        <v>6</v>
      </c>
      <c r="C6">
        <v>27075952.826451715</v>
      </c>
      <c r="D6">
        <v>0.62675816727897493</v>
      </c>
      <c r="E6">
        <v>2097.6823904741937</v>
      </c>
      <c r="F6">
        <v>3844.9317890018224</v>
      </c>
    </row>
    <row r="7" spans="1:6">
      <c r="A7">
        <v>10</v>
      </c>
      <c r="B7">
        <v>7</v>
      </c>
      <c r="C7">
        <v>27080491.215330701</v>
      </c>
      <c r="D7">
        <v>0.62686322257709959</v>
      </c>
      <c r="E7">
        <v>2097.4031975031507</v>
      </c>
      <c r="F7">
        <v>3847.9242909870527</v>
      </c>
    </row>
    <row r="8" spans="1:6">
      <c r="A8">
        <v>9</v>
      </c>
      <c r="B8">
        <v>6</v>
      </c>
      <c r="C8">
        <v>27080780.296752609</v>
      </c>
      <c r="D8">
        <v>0.62686991427668082</v>
      </c>
      <c r="E8">
        <v>2098.0603088157068</v>
      </c>
      <c r="F8">
        <v>3845.7744870476408</v>
      </c>
    </row>
    <row r="9" spans="1:6">
      <c r="A9">
        <v>8</v>
      </c>
      <c r="B9">
        <v>9</v>
      </c>
      <c r="C9">
        <v>27097337.711348921</v>
      </c>
      <c r="D9">
        <v>0.62725318776270655</v>
      </c>
      <c r="E9">
        <v>2098.4688217035882</v>
      </c>
      <c r="F9">
        <v>3850.8960644222529</v>
      </c>
    </row>
    <row r="10" spans="1:6">
      <c r="A10">
        <v>10</v>
      </c>
      <c r="B10">
        <v>8</v>
      </c>
      <c r="C10">
        <v>27097842.342078481</v>
      </c>
      <c r="D10">
        <v>0.62726486902959444</v>
      </c>
      <c r="E10">
        <v>2098.5657611480956</v>
      </c>
      <c r="F10">
        <v>3851.0000943546656</v>
      </c>
    </row>
    <row r="11" spans="1:6">
      <c r="A11">
        <v>9</v>
      </c>
      <c r="B11">
        <v>9</v>
      </c>
      <c r="C11">
        <v>27102267.314047813</v>
      </c>
      <c r="D11">
        <v>0.62736729893629195</v>
      </c>
      <c r="E11">
        <v>2098.8555457291377</v>
      </c>
      <c r="F11">
        <v>3851.7506210699039</v>
      </c>
    </row>
    <row r="12" spans="1:6">
      <c r="A12">
        <v>7</v>
      </c>
      <c r="B12">
        <v>7</v>
      </c>
      <c r="C12">
        <v>27103864.589948718</v>
      </c>
      <c r="D12">
        <v>0.62740427291547962</v>
      </c>
      <c r="E12">
        <v>2099.1936919774143</v>
      </c>
      <c r="F12">
        <v>3850.5843681469132</v>
      </c>
    </row>
    <row r="13" spans="1:6">
      <c r="A13">
        <v>10</v>
      </c>
      <c r="B13">
        <v>6</v>
      </c>
      <c r="C13">
        <v>27104921.694107849</v>
      </c>
      <c r="D13">
        <v>0.62742874291916317</v>
      </c>
      <c r="E13">
        <v>2099.9319915058436</v>
      </c>
      <c r="F13">
        <v>3849.2547155671482</v>
      </c>
    </row>
    <row r="14" spans="1:6">
      <c r="A14">
        <v>11</v>
      </c>
      <c r="B14">
        <v>7</v>
      </c>
      <c r="C14">
        <v>27110542.551946305</v>
      </c>
      <c r="D14">
        <v>0.62755885536912748</v>
      </c>
      <c r="E14">
        <v>2099.7312412650385</v>
      </c>
      <c r="F14">
        <v>3852.2109636096193</v>
      </c>
    </row>
    <row r="15" spans="1:6">
      <c r="A15">
        <v>7</v>
      </c>
      <c r="B15">
        <v>8</v>
      </c>
      <c r="C15">
        <v>27121120.474696647</v>
      </c>
      <c r="D15">
        <v>0.62780371469205198</v>
      </c>
      <c r="E15">
        <v>2100.3477245455488</v>
      </c>
      <c r="F15">
        <v>3853.6498630119618</v>
      </c>
    </row>
    <row r="16" spans="1:6">
      <c r="A16">
        <v>10</v>
      </c>
      <c r="B16">
        <v>9</v>
      </c>
      <c r="C16">
        <v>27126442.422683559</v>
      </c>
      <c r="D16">
        <v>0.62792690793248984</v>
      </c>
      <c r="E16">
        <v>2100.7294120068295</v>
      </c>
      <c r="F16">
        <v>3855.2371958401018</v>
      </c>
    </row>
    <row r="17" spans="1:6">
      <c r="A17">
        <v>11</v>
      </c>
      <c r="B17">
        <v>8</v>
      </c>
      <c r="C17">
        <v>27127896.074884299</v>
      </c>
      <c r="D17">
        <v>0.62796055728898836</v>
      </c>
      <c r="E17">
        <v>2100.8938145936486</v>
      </c>
      <c r="F17">
        <v>3855.2877164087477</v>
      </c>
    </row>
    <row r="18" spans="1:6">
      <c r="A18">
        <v>8</v>
      </c>
      <c r="B18">
        <v>10</v>
      </c>
      <c r="C18">
        <v>27128505.888798289</v>
      </c>
      <c r="D18">
        <v>0.62797467335181223</v>
      </c>
      <c r="E18">
        <v>2100.8680878162895</v>
      </c>
      <c r="F18">
        <v>3855.3741633486952</v>
      </c>
    </row>
    <row r="19" spans="1:6">
      <c r="A19">
        <v>7</v>
      </c>
      <c r="B19">
        <v>6</v>
      </c>
      <c r="C19">
        <v>27128609.05919525</v>
      </c>
      <c r="D19">
        <v>0.62797706155544564</v>
      </c>
      <c r="E19">
        <v>2101.7505452527039</v>
      </c>
      <c r="F19">
        <v>3851.9468728647894</v>
      </c>
    </row>
    <row r="20" spans="1:6">
      <c r="A20">
        <v>9</v>
      </c>
      <c r="B20">
        <v>10</v>
      </c>
      <c r="C20">
        <v>27133437.115900684</v>
      </c>
      <c r="D20">
        <v>0.62808882212733064</v>
      </c>
      <c r="E20">
        <v>2101.2549614549594</v>
      </c>
      <c r="F20">
        <v>3856.229070681612</v>
      </c>
    </row>
    <row r="21" spans="1:6">
      <c r="A21">
        <v>11</v>
      </c>
      <c r="B21">
        <v>6</v>
      </c>
      <c r="C21">
        <v>27134965.129918266</v>
      </c>
      <c r="D21">
        <v>0.62812419282218213</v>
      </c>
      <c r="E21">
        <v>2102.2600489115366</v>
      </c>
      <c r="F21">
        <v>3853.5381608430221</v>
      </c>
    </row>
    <row r="22" spans="1:6">
      <c r="A22">
        <v>12</v>
      </c>
      <c r="B22">
        <v>7</v>
      </c>
      <c r="C22">
        <v>27142047.261612646</v>
      </c>
      <c r="D22">
        <v>0.62828813105584824</v>
      </c>
      <c r="E22">
        <v>2102.1714902924987</v>
      </c>
      <c r="F22">
        <v>3856.6929060732364</v>
      </c>
    </row>
    <row r="23" spans="1:6">
      <c r="A23">
        <v>7</v>
      </c>
      <c r="B23">
        <v>9</v>
      </c>
      <c r="C23">
        <v>27149693.148067914</v>
      </c>
      <c r="D23">
        <v>0.62846511916823877</v>
      </c>
      <c r="E23">
        <v>2102.5088895813756</v>
      </c>
      <c r="F23">
        <v>3857.8834701813007</v>
      </c>
    </row>
    <row r="24" spans="1:6">
      <c r="A24">
        <v>11</v>
      </c>
      <c r="B24">
        <v>9</v>
      </c>
      <c r="C24">
        <v>27156496.844783958</v>
      </c>
      <c r="D24">
        <v>0.62862261214777682</v>
      </c>
      <c r="E24">
        <v>2103.0574701357177</v>
      </c>
      <c r="F24">
        <v>3859.5251007094034</v>
      </c>
    </row>
    <row r="25" spans="1:6">
      <c r="A25">
        <v>10</v>
      </c>
      <c r="B25">
        <v>10</v>
      </c>
      <c r="C25">
        <v>27157612.760420449</v>
      </c>
      <c r="D25">
        <v>0.62864844352825111</v>
      </c>
      <c r="E25">
        <v>2103.1288651663035</v>
      </c>
      <c r="F25">
        <v>3859.7158014928027</v>
      </c>
    </row>
    <row r="26" spans="1:6">
      <c r="A26">
        <v>12</v>
      </c>
      <c r="B26">
        <v>8</v>
      </c>
      <c r="C26">
        <v>27159401.561586477</v>
      </c>
      <c r="D26">
        <v>0.62868985096264995</v>
      </c>
      <c r="E26">
        <v>2103.3339212247488</v>
      </c>
      <c r="F26">
        <v>3859.7704567014625</v>
      </c>
    </row>
    <row r="27" spans="1:6">
      <c r="A27">
        <v>8</v>
      </c>
      <c r="B27">
        <v>11</v>
      </c>
      <c r="C27">
        <v>27159860.36684579</v>
      </c>
      <c r="D27">
        <v>0.62870047145476371</v>
      </c>
      <c r="E27">
        <v>2103.2921512155185</v>
      </c>
      <c r="F27">
        <v>3859.8438192790609</v>
      </c>
    </row>
    <row r="28" spans="1:6">
      <c r="A28">
        <v>9</v>
      </c>
      <c r="B28">
        <v>11</v>
      </c>
      <c r="C28">
        <v>27164791.797816563</v>
      </c>
      <c r="D28">
        <v>0.6288146249494575</v>
      </c>
      <c r="E28">
        <v>2103.6790518291623</v>
      </c>
      <c r="F28">
        <v>3860.6989164166198</v>
      </c>
    </row>
    <row r="29" spans="1:6">
      <c r="A29">
        <v>12</v>
      </c>
      <c r="B29">
        <v>6</v>
      </c>
      <c r="C29">
        <v>27166467.277918302</v>
      </c>
      <c r="D29">
        <v>0.6288534092110718</v>
      </c>
      <c r="E29">
        <v>2104.7008133741892</v>
      </c>
      <c r="F29">
        <v>3858.0173384458444</v>
      </c>
    </row>
    <row r="30" spans="1:6">
      <c r="A30">
        <v>7</v>
      </c>
      <c r="B30">
        <v>10</v>
      </c>
      <c r="C30">
        <v>27180856.535336751</v>
      </c>
      <c r="D30">
        <v>0.62918649387353587</v>
      </c>
      <c r="E30">
        <v>2104.9076790879694</v>
      </c>
      <c r="F30">
        <v>3862.3606573731217</v>
      </c>
    </row>
    <row r="31" spans="1:6">
      <c r="A31">
        <v>11</v>
      </c>
      <c r="B31">
        <v>10</v>
      </c>
      <c r="C31">
        <v>27187667.357097175</v>
      </c>
      <c r="D31">
        <v>0.62934415178465686</v>
      </c>
      <c r="E31">
        <v>2105.4569237299588</v>
      </c>
      <c r="F31">
        <v>3864.0037968620391</v>
      </c>
    </row>
    <row r="32" spans="1:6">
      <c r="A32">
        <v>12</v>
      </c>
      <c r="B32">
        <v>9</v>
      </c>
      <c r="C32">
        <v>27188002.555059064</v>
      </c>
      <c r="D32">
        <v>0.6293519109967376</v>
      </c>
      <c r="E32">
        <v>2105.4975371961882</v>
      </c>
      <c r="F32">
        <v>3864.0080710961365</v>
      </c>
    </row>
    <row r="33" spans="1:6">
      <c r="A33">
        <v>10</v>
      </c>
      <c r="B33">
        <v>11</v>
      </c>
      <c r="C33">
        <v>27188967.509330049</v>
      </c>
      <c r="D33">
        <v>0.62937424790115859</v>
      </c>
      <c r="E33">
        <v>2105.5529611136576</v>
      </c>
      <c r="F33">
        <v>3864.1857211377137</v>
      </c>
    </row>
    <row r="34" spans="1:6">
      <c r="A34">
        <v>8</v>
      </c>
      <c r="B34">
        <v>12</v>
      </c>
      <c r="C34">
        <v>27190786.877907876</v>
      </c>
      <c r="D34">
        <v>0.62941636291453418</v>
      </c>
      <c r="E34">
        <v>2105.685992105638</v>
      </c>
      <c r="F34">
        <v>3864.2428206614691</v>
      </c>
    </row>
    <row r="35" spans="1:6">
      <c r="A35">
        <v>9</v>
      </c>
      <c r="B35">
        <v>12</v>
      </c>
      <c r="C35">
        <v>27195718.096698102</v>
      </c>
      <c r="D35">
        <v>0.62953051149764128</v>
      </c>
      <c r="E35">
        <v>2106.0728835993687</v>
      </c>
      <c r="F35">
        <v>3865.0980581153881</v>
      </c>
    </row>
    <row r="36" spans="1:6">
      <c r="A36">
        <v>7</v>
      </c>
      <c r="B36">
        <v>11</v>
      </c>
      <c r="C36">
        <v>27212210.407672416</v>
      </c>
      <c r="D36">
        <v>0.62991227795537996</v>
      </c>
      <c r="E36">
        <v>2107.3316528245632</v>
      </c>
      <c r="F36">
        <v>3866.8297889753253</v>
      </c>
    </row>
    <row r="37" spans="1:6">
      <c r="A37">
        <v>11</v>
      </c>
      <c r="B37">
        <v>11</v>
      </c>
      <c r="C37">
        <v>27219022.127755467</v>
      </c>
      <c r="D37">
        <v>0.63006995666100618</v>
      </c>
      <c r="E37">
        <v>2107.8810182027564</v>
      </c>
      <c r="F37">
        <v>3868.4737516969731</v>
      </c>
    </row>
    <row r="38" spans="1:6">
      <c r="A38">
        <v>12</v>
      </c>
      <c r="B38">
        <v>10</v>
      </c>
      <c r="C38">
        <v>27219173.124026436</v>
      </c>
      <c r="D38">
        <v>0.63007345194505637</v>
      </c>
      <c r="E38">
        <v>2107.8969793753022</v>
      </c>
      <c r="F38">
        <v>3868.4868355184963</v>
      </c>
    </row>
    <row r="39" spans="1:6">
      <c r="A39">
        <v>10</v>
      </c>
      <c r="B39">
        <v>12</v>
      </c>
      <c r="C39">
        <v>27219893.73788166</v>
      </c>
      <c r="D39">
        <v>0.63009013282133475</v>
      </c>
      <c r="E39">
        <v>2107.9467889662114</v>
      </c>
      <c r="F39">
        <v>3868.5849122484146</v>
      </c>
    </row>
    <row r="40" spans="1:6">
      <c r="A40">
        <v>8</v>
      </c>
      <c r="B40">
        <v>13</v>
      </c>
      <c r="C40">
        <v>27221161.706257645</v>
      </c>
      <c r="D40">
        <v>0.63011948394114914</v>
      </c>
      <c r="E40">
        <v>2108.0379317406846</v>
      </c>
      <c r="F40">
        <v>3868.5606515996701</v>
      </c>
    </row>
    <row r="41" spans="1:6">
      <c r="A41">
        <v>9</v>
      </c>
      <c r="B41">
        <v>13</v>
      </c>
      <c r="C41">
        <v>27226092.594738923</v>
      </c>
      <c r="D41">
        <v>0.63023362487821577</v>
      </c>
      <c r="E41">
        <v>2108.4248037321918</v>
      </c>
      <c r="F41">
        <v>3869.4160130575588</v>
      </c>
    </row>
    <row r="42" spans="1:6">
      <c r="A42">
        <v>7</v>
      </c>
      <c r="B42">
        <v>12</v>
      </c>
      <c r="C42">
        <v>27243137.538944684</v>
      </c>
      <c r="D42">
        <v>0.63062818377186769</v>
      </c>
      <c r="E42">
        <v>2109.7255176288322</v>
      </c>
      <c r="F42">
        <v>3871.2283874510786</v>
      </c>
    </row>
    <row r="43" spans="1:6">
      <c r="A43">
        <v>8</v>
      </c>
      <c r="B43">
        <v>5</v>
      </c>
      <c r="C43">
        <v>27246003.239673641</v>
      </c>
      <c r="D43">
        <v>0.63069451943688981</v>
      </c>
      <c r="E43">
        <v>2113.0643663526507</v>
      </c>
      <c r="F43">
        <v>3861.6853166251731</v>
      </c>
    </row>
    <row r="44" spans="1:6">
      <c r="A44">
        <v>11</v>
      </c>
      <c r="B44">
        <v>12</v>
      </c>
      <c r="C44">
        <v>27249948.333296865</v>
      </c>
      <c r="D44">
        <v>0.63078584104853852</v>
      </c>
      <c r="E44">
        <v>2110.2748438701083</v>
      </c>
      <c r="F44">
        <v>3872.8729619866999</v>
      </c>
    </row>
    <row r="45" spans="1:6">
      <c r="A45">
        <v>10</v>
      </c>
      <c r="B45">
        <v>13</v>
      </c>
      <c r="C45">
        <v>27250268.126606051</v>
      </c>
      <c r="D45">
        <v>0.63079324367143641</v>
      </c>
      <c r="E45">
        <v>2110.2987024349482</v>
      </c>
      <c r="F45">
        <v>3872.9029089250907</v>
      </c>
    </row>
    <row r="46" spans="1:6">
      <c r="A46">
        <v>12</v>
      </c>
      <c r="B46">
        <v>11</v>
      </c>
      <c r="C46">
        <v>27250527.901772462</v>
      </c>
      <c r="D46">
        <v>0.63079925698547368</v>
      </c>
      <c r="E46">
        <v>2110.3210701300859</v>
      </c>
      <c r="F46">
        <v>3872.9568126781419</v>
      </c>
    </row>
    <row r="47" spans="1:6">
      <c r="A47">
        <v>9</v>
      </c>
      <c r="B47">
        <v>5</v>
      </c>
      <c r="C47">
        <v>27250601.408215806</v>
      </c>
      <c r="D47">
        <v>0.63080095852351403</v>
      </c>
      <c r="E47">
        <v>2113.4225817602296</v>
      </c>
      <c r="F47">
        <v>3862.5024133715328</v>
      </c>
    </row>
    <row r="48" spans="1:6">
      <c r="A48">
        <v>7</v>
      </c>
      <c r="B48">
        <v>13</v>
      </c>
      <c r="C48">
        <v>27273513.335637022</v>
      </c>
      <c r="D48">
        <v>0.6313313272138199</v>
      </c>
      <c r="E48">
        <v>2112.0775138012536</v>
      </c>
      <c r="F48">
        <v>3875.5458566806515</v>
      </c>
    </row>
    <row r="49" spans="1:6">
      <c r="A49">
        <v>10</v>
      </c>
      <c r="B49">
        <v>5</v>
      </c>
      <c r="C49">
        <v>27274667.115211714</v>
      </c>
      <c r="D49">
        <v>0.63135803507434518</v>
      </c>
      <c r="E49">
        <v>2115.2895852027145</v>
      </c>
      <c r="F49">
        <v>3865.9680798597556</v>
      </c>
    </row>
    <row r="50" spans="1:6">
      <c r="A50">
        <v>11</v>
      </c>
      <c r="B50">
        <v>13</v>
      </c>
      <c r="C50">
        <v>27280322.686304465</v>
      </c>
      <c r="D50">
        <v>0.63148895107186265</v>
      </c>
      <c r="E50">
        <v>2112.6267549277632</v>
      </c>
      <c r="F50">
        <v>3877.1909730849279</v>
      </c>
    </row>
    <row r="51" spans="1:6">
      <c r="A51">
        <v>12</v>
      </c>
      <c r="B51">
        <v>12</v>
      </c>
      <c r="C51">
        <v>27281454.099883109</v>
      </c>
      <c r="D51">
        <v>0.63151514120099794</v>
      </c>
      <c r="E51">
        <v>2112.714894187181</v>
      </c>
      <c r="F51">
        <v>3877.356032223423</v>
      </c>
    </row>
    <row r="52" spans="1:6">
      <c r="A52">
        <v>7</v>
      </c>
      <c r="B52">
        <v>5</v>
      </c>
      <c r="C52">
        <v>27299334.596785769</v>
      </c>
      <c r="D52">
        <v>0.63192904159226315</v>
      </c>
      <c r="E52">
        <v>2117.1959627217548</v>
      </c>
      <c r="F52">
        <v>3868.7575874059812</v>
      </c>
    </row>
    <row r="53" spans="1:6">
      <c r="A53">
        <v>11</v>
      </c>
      <c r="B53">
        <v>5</v>
      </c>
      <c r="C53">
        <v>27304685.88522714</v>
      </c>
      <c r="D53">
        <v>0.6320529140098875</v>
      </c>
      <c r="E53">
        <v>2117.6179116633921</v>
      </c>
      <c r="F53">
        <v>3870.2407703369709</v>
      </c>
    </row>
    <row r="54" spans="1:6">
      <c r="A54">
        <v>12</v>
      </c>
      <c r="B54">
        <v>13</v>
      </c>
      <c r="C54">
        <v>27311828.441337638</v>
      </c>
      <c r="D54">
        <v>0.63221825095688977</v>
      </c>
      <c r="E54">
        <v>2115.0668042183147</v>
      </c>
      <c r="F54">
        <v>3881.6740488209757</v>
      </c>
    </row>
    <row r="55" spans="1:6">
      <c r="A55">
        <v>6</v>
      </c>
      <c r="B55">
        <v>7</v>
      </c>
      <c r="C55">
        <v>27312026.932374805</v>
      </c>
      <c r="D55">
        <v>0.63222284565682418</v>
      </c>
      <c r="E55">
        <v>2115.2770284936632</v>
      </c>
      <c r="F55">
        <v>3878.8893232563523</v>
      </c>
    </row>
    <row r="56" spans="1:6">
      <c r="A56">
        <v>6</v>
      </c>
      <c r="B56">
        <v>8</v>
      </c>
      <c r="C56">
        <v>27329099.106835555</v>
      </c>
      <c r="D56">
        <v>0.63261803488045265</v>
      </c>
      <c r="E56">
        <v>2116.4134933541936</v>
      </c>
      <c r="F56">
        <v>3881.9386982350147</v>
      </c>
    </row>
    <row r="57" spans="1:6">
      <c r="A57">
        <v>12</v>
      </c>
      <c r="B57">
        <v>5</v>
      </c>
      <c r="C57">
        <v>27336180.037113383</v>
      </c>
      <c r="D57">
        <v>0.63278194530355059</v>
      </c>
      <c r="E57">
        <v>2120.0605237817981</v>
      </c>
      <c r="F57">
        <v>3874.710563863056</v>
      </c>
    </row>
    <row r="58" spans="1:6">
      <c r="A58">
        <v>6</v>
      </c>
      <c r="B58">
        <v>6</v>
      </c>
      <c r="C58">
        <v>27337376.631444868</v>
      </c>
      <c r="D58">
        <v>0.63280964424640895</v>
      </c>
      <c r="E58">
        <v>2117.8918668391557</v>
      </c>
      <c r="F58">
        <v>3880.3005327461715</v>
      </c>
    </row>
    <row r="59" spans="1:6">
      <c r="A59">
        <v>6</v>
      </c>
      <c r="B59">
        <v>9</v>
      </c>
      <c r="C59">
        <v>27357618.866284583</v>
      </c>
      <c r="D59">
        <v>0.63327821449732835</v>
      </c>
      <c r="E59">
        <v>2118.5695447313401</v>
      </c>
      <c r="F59">
        <v>3886.1666384061468</v>
      </c>
    </row>
    <row r="60" spans="1:6">
      <c r="A60">
        <v>6</v>
      </c>
      <c r="B60">
        <v>10</v>
      </c>
      <c r="C60">
        <v>27388768.801984828</v>
      </c>
      <c r="D60">
        <v>0.6339992778237229</v>
      </c>
      <c r="E60">
        <v>2120.9669614862264</v>
      </c>
      <c r="F60">
        <v>3890.6414017098159</v>
      </c>
    </row>
    <row r="61" spans="1:6">
      <c r="A61">
        <v>6</v>
      </c>
      <c r="B61">
        <v>11</v>
      </c>
      <c r="C61">
        <v>27420121.079388723</v>
      </c>
      <c r="D61">
        <v>0.63472502498585004</v>
      </c>
      <c r="E61">
        <v>2123.3906820742086</v>
      </c>
      <c r="F61">
        <v>3895.1090972150305</v>
      </c>
    </row>
    <row r="62" spans="1:6">
      <c r="A62">
        <v>6</v>
      </c>
      <c r="B62">
        <v>12</v>
      </c>
      <c r="C62">
        <v>27451049.780201584</v>
      </c>
      <c r="D62">
        <v>0.63544096713429588</v>
      </c>
      <c r="E62">
        <v>2125.7845968097058</v>
      </c>
      <c r="F62">
        <v>3899.5066039660737</v>
      </c>
    </row>
    <row r="63" spans="1:6">
      <c r="A63">
        <v>6</v>
      </c>
      <c r="B63">
        <v>13</v>
      </c>
      <c r="C63">
        <v>27481428.258402906</v>
      </c>
      <c r="D63">
        <v>0.63614417264821543</v>
      </c>
      <c r="E63">
        <v>2128.1367474547528</v>
      </c>
      <c r="F63">
        <v>3903.823076088675</v>
      </c>
    </row>
    <row r="64" spans="1:6">
      <c r="A64">
        <v>6</v>
      </c>
      <c r="B64">
        <v>5</v>
      </c>
      <c r="C64">
        <v>27509989.854895364</v>
      </c>
      <c r="D64">
        <v>0.63680532071517049</v>
      </c>
      <c r="E64">
        <v>2133.5198462653657</v>
      </c>
      <c r="F64">
        <v>3897.2537986471775</v>
      </c>
    </row>
    <row r="65" spans="1:6">
      <c r="A65">
        <v>8</v>
      </c>
      <c r="B65">
        <v>4</v>
      </c>
      <c r="C65">
        <v>27897314.306004319</v>
      </c>
      <c r="D65">
        <v>0.64577116449084071</v>
      </c>
      <c r="E65">
        <v>2171.1391346188411</v>
      </c>
      <c r="F65">
        <v>3928.988311901242</v>
      </c>
    </row>
    <row r="66" spans="1:6">
      <c r="A66">
        <v>9</v>
      </c>
      <c r="B66">
        <v>4</v>
      </c>
      <c r="C66">
        <v>27901246.912198905</v>
      </c>
      <c r="D66">
        <v>0.64586219704164127</v>
      </c>
      <c r="E66">
        <v>2171.439891646356</v>
      </c>
      <c r="F66">
        <v>3929.7321469818826</v>
      </c>
    </row>
    <row r="67" spans="1:6">
      <c r="A67">
        <v>5</v>
      </c>
      <c r="B67">
        <v>7</v>
      </c>
      <c r="C67">
        <v>27904094.646299221</v>
      </c>
      <c r="D67">
        <v>0.64592811681248197</v>
      </c>
      <c r="E67">
        <v>2161.0221503241928</v>
      </c>
      <c r="F67">
        <v>3959.6648535840282</v>
      </c>
    </row>
    <row r="68" spans="1:6">
      <c r="A68">
        <v>5</v>
      </c>
      <c r="B68">
        <v>8</v>
      </c>
      <c r="C68">
        <v>27920681.845912017</v>
      </c>
      <c r="D68">
        <v>0.64631207976648186</v>
      </c>
      <c r="E68">
        <v>2162.1118068747687</v>
      </c>
      <c r="F68">
        <v>3962.6732411866287</v>
      </c>
    </row>
    <row r="69" spans="1:6">
      <c r="A69">
        <v>10</v>
      </c>
      <c r="B69">
        <v>4</v>
      </c>
      <c r="C69">
        <v>27925092.913700435</v>
      </c>
      <c r="D69">
        <v>0.64641418781713966</v>
      </c>
      <c r="E69">
        <v>2173.2940336884626</v>
      </c>
      <c r="F69">
        <v>3933.1534377230282</v>
      </c>
    </row>
    <row r="70" spans="1:6">
      <c r="A70">
        <v>5</v>
      </c>
      <c r="B70">
        <v>6</v>
      </c>
      <c r="C70">
        <v>27931039.551970519</v>
      </c>
      <c r="D70">
        <v>0.64655184148079903</v>
      </c>
      <c r="E70">
        <v>2163.7913108381754</v>
      </c>
      <c r="F70">
        <v>3961.1993125969466</v>
      </c>
    </row>
    <row r="71" spans="1:6">
      <c r="A71">
        <v>5</v>
      </c>
      <c r="B71">
        <v>9</v>
      </c>
      <c r="C71">
        <v>27949061.609837033</v>
      </c>
      <c r="D71">
        <v>0.64696901874622759</v>
      </c>
      <c r="E71">
        <v>2164.2542043639428</v>
      </c>
      <c r="F71">
        <v>3966.8867298510791</v>
      </c>
    </row>
    <row r="72" spans="1:6">
      <c r="A72">
        <v>7</v>
      </c>
      <c r="B72">
        <v>4</v>
      </c>
      <c r="C72">
        <v>27952604.68878825</v>
      </c>
      <c r="D72">
        <v>0.64705103446269097</v>
      </c>
      <c r="E72">
        <v>2175.4580233727097</v>
      </c>
      <c r="F72">
        <v>3936.2161570692942</v>
      </c>
    </row>
    <row r="73" spans="1:6">
      <c r="A73">
        <v>11</v>
      </c>
      <c r="B73">
        <v>4</v>
      </c>
      <c r="C73">
        <v>27955040.090411812</v>
      </c>
      <c r="D73">
        <v>0.64710740950027346</v>
      </c>
      <c r="E73">
        <v>2175.6241727278352</v>
      </c>
      <c r="F73">
        <v>3937.3918122004843</v>
      </c>
    </row>
    <row r="74" spans="1:6">
      <c r="A74">
        <v>5</v>
      </c>
      <c r="B74">
        <v>10</v>
      </c>
      <c r="C74">
        <v>27980175.760236528</v>
      </c>
      <c r="D74">
        <v>0.64768925370917885</v>
      </c>
      <c r="E74">
        <v>2166.6479339308826</v>
      </c>
      <c r="F74">
        <v>3971.3553041584605</v>
      </c>
    </row>
    <row r="75" spans="1:6">
      <c r="A75">
        <v>12</v>
      </c>
      <c r="B75">
        <v>4</v>
      </c>
      <c r="C75">
        <v>27986511.03722905</v>
      </c>
      <c r="D75">
        <v>0.64783590363956134</v>
      </c>
      <c r="E75">
        <v>2178.0732641052164</v>
      </c>
      <c r="F75">
        <v>3941.8309957388528</v>
      </c>
    </row>
    <row r="76" spans="1:6">
      <c r="A76">
        <v>5</v>
      </c>
      <c r="B76">
        <v>11</v>
      </c>
      <c r="C76">
        <v>28011523.090461753</v>
      </c>
      <c r="D76">
        <v>0.64841488635328137</v>
      </c>
      <c r="E76">
        <v>2169.0709108519031</v>
      </c>
      <c r="F76">
        <v>3975.8193856396092</v>
      </c>
    </row>
    <row r="77" spans="1:6">
      <c r="A77">
        <v>5</v>
      </c>
      <c r="B77">
        <v>12</v>
      </c>
      <c r="C77">
        <v>28042456.219648052</v>
      </c>
      <c r="D77">
        <v>0.64913093101037156</v>
      </c>
      <c r="E77">
        <v>2171.464973037479</v>
      </c>
      <c r="F77">
        <v>3980.2140597355815</v>
      </c>
    </row>
    <row r="78" spans="1:6">
      <c r="A78">
        <v>5</v>
      </c>
      <c r="B78">
        <v>13</v>
      </c>
      <c r="C78">
        <v>28072841.573689435</v>
      </c>
      <c r="D78">
        <v>0.64983429568725548</v>
      </c>
      <c r="E78">
        <v>2173.8175094437152</v>
      </c>
      <c r="F78">
        <v>3984.5279922539826</v>
      </c>
    </row>
    <row r="79" spans="1:6">
      <c r="A79">
        <v>5</v>
      </c>
      <c r="B79">
        <v>5</v>
      </c>
      <c r="C79">
        <v>28108618.329085711</v>
      </c>
      <c r="D79">
        <v>0.65066246132142846</v>
      </c>
      <c r="E79">
        <v>2179.9045815302493</v>
      </c>
      <c r="F79">
        <v>3978.510566830741</v>
      </c>
    </row>
    <row r="80" spans="1:6">
      <c r="A80">
        <v>6</v>
      </c>
      <c r="B80">
        <v>4</v>
      </c>
      <c r="C80">
        <v>28168732.459462114</v>
      </c>
      <c r="D80">
        <v>0.65205399211717852</v>
      </c>
      <c r="E80">
        <v>2192.3223947553929</v>
      </c>
      <c r="F80">
        <v>3965.0898591746604</v>
      </c>
    </row>
    <row r="81" spans="1:6">
      <c r="A81">
        <v>5</v>
      </c>
      <c r="B81">
        <v>4</v>
      </c>
      <c r="C81">
        <v>28781721.289111197</v>
      </c>
      <c r="D81">
        <v>0.66624354835905553</v>
      </c>
      <c r="E81">
        <v>2240.1422036348899</v>
      </c>
      <c r="F81">
        <v>4047.2823077362445</v>
      </c>
    </row>
    <row r="82" spans="1:6">
      <c r="A82">
        <v>4</v>
      </c>
      <c r="B82">
        <v>7</v>
      </c>
      <c r="C82">
        <v>29419821.825405084</v>
      </c>
      <c r="D82">
        <v>0.68101439410659914</v>
      </c>
      <c r="E82">
        <v>2278.1005955488013</v>
      </c>
      <c r="F82">
        <v>4166.2036937436651</v>
      </c>
    </row>
    <row r="83" spans="1:6">
      <c r="A83">
        <v>4</v>
      </c>
      <c r="B83">
        <v>8</v>
      </c>
      <c r="C83">
        <v>29435127.35762088</v>
      </c>
      <c r="D83">
        <v>0.68136868883381663</v>
      </c>
      <c r="E83">
        <v>2279.0659163176256</v>
      </c>
      <c r="F83">
        <v>4169.1066481596608</v>
      </c>
    </row>
    <row r="84" spans="1:6">
      <c r="A84">
        <v>4</v>
      </c>
      <c r="B84">
        <v>6</v>
      </c>
      <c r="C84">
        <v>29450965.340004466</v>
      </c>
      <c r="D84">
        <v>0.68173530879639965</v>
      </c>
      <c r="E84">
        <v>2281.2780904844726</v>
      </c>
      <c r="F84">
        <v>4168.0547826525699</v>
      </c>
    </row>
    <row r="85" spans="1:6">
      <c r="A85">
        <v>4</v>
      </c>
      <c r="B85">
        <v>9</v>
      </c>
      <c r="C85">
        <v>29463135.285862409</v>
      </c>
      <c r="D85">
        <v>0.68201702050607427</v>
      </c>
      <c r="E85">
        <v>2281.1718781131954</v>
      </c>
      <c r="F85">
        <v>4173.2831109218532</v>
      </c>
    </row>
    <row r="86" spans="1:6">
      <c r="A86">
        <v>4</v>
      </c>
      <c r="B86">
        <v>10</v>
      </c>
      <c r="C86">
        <v>29494153.046295691</v>
      </c>
      <c r="D86">
        <v>0.6827350242198077</v>
      </c>
      <c r="E86">
        <v>2283.555655359005</v>
      </c>
      <c r="F86">
        <v>4177.7360304359345</v>
      </c>
    </row>
    <row r="87" spans="1:6">
      <c r="A87">
        <v>4</v>
      </c>
      <c r="B87">
        <v>11</v>
      </c>
      <c r="C87">
        <v>29525486.061797619</v>
      </c>
      <c r="D87">
        <v>0.68346032550457447</v>
      </c>
      <c r="E87">
        <v>2285.9765503512135</v>
      </c>
      <c r="F87">
        <v>4182.1910916384932</v>
      </c>
    </row>
    <row r="88" spans="1:6">
      <c r="A88">
        <v>4</v>
      </c>
      <c r="B88">
        <v>12</v>
      </c>
      <c r="C88">
        <v>29556429.066198241</v>
      </c>
      <c r="D88">
        <v>0.68417659875458892</v>
      </c>
      <c r="E88">
        <v>2288.3708513186893</v>
      </c>
      <c r="F88">
        <v>4186.5788402636381</v>
      </c>
    </row>
    <row r="89" spans="1:6">
      <c r="A89">
        <v>4</v>
      </c>
      <c r="B89">
        <v>13</v>
      </c>
      <c r="C89">
        <v>29586831.215213001</v>
      </c>
      <c r="D89">
        <v>0.68488035220400467</v>
      </c>
      <c r="E89">
        <v>2290.7242974182177</v>
      </c>
      <c r="F89">
        <v>4190.886563619677</v>
      </c>
    </row>
    <row r="90" spans="1:6">
      <c r="A90">
        <v>4</v>
      </c>
      <c r="B90">
        <v>5</v>
      </c>
      <c r="C90">
        <v>29641550.111339152</v>
      </c>
      <c r="D90">
        <v>0.68614699331803597</v>
      </c>
      <c r="E90">
        <v>2298.669529329768</v>
      </c>
      <c r="F90">
        <v>4186.2805558462151</v>
      </c>
    </row>
    <row r="91" spans="1:6">
      <c r="A91">
        <v>4</v>
      </c>
      <c r="B91">
        <v>4</v>
      </c>
      <c r="C91">
        <v>30352039.923053976</v>
      </c>
      <c r="D91">
        <v>0.70259351673736059</v>
      </c>
      <c r="E91">
        <v>2362.6661290816583</v>
      </c>
      <c r="F91">
        <v>4257.4198231951068</v>
      </c>
    </row>
    <row r="92" spans="1:6">
      <c r="A92">
        <v>3</v>
      </c>
      <c r="B92">
        <v>7</v>
      </c>
      <c r="C92">
        <v>33593301.1396349</v>
      </c>
      <c r="D92">
        <v>0.77762271156562268</v>
      </c>
      <c r="E92">
        <v>2600.4012189445339</v>
      </c>
      <c r="F92">
        <v>4730.8368466241391</v>
      </c>
    </row>
    <row r="93" spans="1:6">
      <c r="A93">
        <v>3</v>
      </c>
      <c r="B93">
        <v>8</v>
      </c>
      <c r="C93">
        <v>33604401.338750415</v>
      </c>
      <c r="D93">
        <v>0.77787966061922253</v>
      </c>
      <c r="E93">
        <v>2600.9560440236137</v>
      </c>
      <c r="F93">
        <v>4733.4079478310932</v>
      </c>
    </row>
    <row r="94" spans="1:6">
      <c r="A94">
        <v>3</v>
      </c>
      <c r="B94">
        <v>9</v>
      </c>
      <c r="C94">
        <v>33631172.348598026</v>
      </c>
      <c r="D94">
        <v>0.77849935992125063</v>
      </c>
      <c r="E94">
        <v>2602.9403750668935</v>
      </c>
      <c r="F94">
        <v>4737.4693941571204</v>
      </c>
    </row>
    <row r="95" spans="1:6">
      <c r="A95">
        <v>3</v>
      </c>
      <c r="B95">
        <v>6</v>
      </c>
      <c r="C95">
        <v>33638076.702943161</v>
      </c>
      <c r="D95">
        <v>0.77865918293849912</v>
      </c>
      <c r="E95">
        <v>2604.9134226865845</v>
      </c>
      <c r="F95">
        <v>4733.6836951243231</v>
      </c>
    </row>
    <row r="96" spans="1:6">
      <c r="A96">
        <v>3</v>
      </c>
      <c r="B96">
        <v>10</v>
      </c>
      <c r="C96">
        <v>33661858.066978842</v>
      </c>
      <c r="D96">
        <v>0.77920967747636205</v>
      </c>
      <c r="E96">
        <v>2605.2901787503861</v>
      </c>
      <c r="F96">
        <v>4741.8753260861913</v>
      </c>
    </row>
    <row r="97" spans="1:6">
      <c r="A97">
        <v>3</v>
      </c>
      <c r="B97">
        <v>11</v>
      </c>
      <c r="C97">
        <v>33693130.659304872</v>
      </c>
      <c r="D97">
        <v>0.77993358007650171</v>
      </c>
      <c r="E97">
        <v>2607.703340526034</v>
      </c>
      <c r="F97">
        <v>4746.3045123418187</v>
      </c>
    </row>
    <row r="98" spans="1:6">
      <c r="A98">
        <v>3</v>
      </c>
      <c r="B98">
        <v>12</v>
      </c>
      <c r="C98">
        <v>33724093.645214684</v>
      </c>
      <c r="D98">
        <v>0.78065031586145106</v>
      </c>
      <c r="E98">
        <v>2610.0976787154732</v>
      </c>
      <c r="F98">
        <v>4750.6730617722133</v>
      </c>
    </row>
    <row r="99" spans="1:6">
      <c r="A99">
        <v>3</v>
      </c>
      <c r="B99">
        <v>13</v>
      </c>
      <c r="C99">
        <v>33754539.086416192</v>
      </c>
      <c r="D99">
        <v>0.7813550714448193</v>
      </c>
      <c r="E99">
        <v>2612.4534323583152</v>
      </c>
      <c r="F99">
        <v>4754.9638316430146</v>
      </c>
    </row>
    <row r="100" spans="1:6">
      <c r="A100">
        <v>3</v>
      </c>
      <c r="B100">
        <v>5</v>
      </c>
      <c r="C100">
        <v>33870327.100671671</v>
      </c>
      <c r="D100">
        <v>0.78403534955258503</v>
      </c>
      <c r="E100">
        <v>2626.4278158389388</v>
      </c>
      <c r="F100">
        <v>4754.7570258945698</v>
      </c>
    </row>
    <row r="101" spans="1:6">
      <c r="A101">
        <v>3</v>
      </c>
      <c r="B101">
        <v>4</v>
      </c>
      <c r="C101">
        <v>34698631.920324326</v>
      </c>
      <c r="D101">
        <v>0.8032090722297297</v>
      </c>
      <c r="E101">
        <v>2702.3575893264338</v>
      </c>
      <c r="F101">
        <v>4833.1530778461101</v>
      </c>
    </row>
  </sheetData>
  <autoFilter ref="A1:F1" xr:uid="{1DEEC5DA-C710-452F-B9E4-61A38F8F95CB}">
    <sortState xmlns:xlrd2="http://schemas.microsoft.com/office/spreadsheetml/2017/richdata2" ref="A2:F101">
      <sortCondition ref="C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D341-D00B-4B07-B24C-AA7687E8A424}">
  <dimension ref="A1:F101"/>
  <sheetViews>
    <sheetView workbookViewId="0">
      <selection activeCell="I10" sqref="I10"/>
    </sheetView>
  </sheetViews>
  <sheetFormatPr defaultRowHeight="15"/>
  <cols>
    <col min="3" max="3" width="12" bestFit="1" customWidth="1"/>
    <col min="4" max="4" width="21.5703125" bestFit="1" customWidth="1"/>
    <col min="5" max="5" width="18.85546875" bestFit="1" customWidth="1"/>
    <col min="6" max="6" width="19.28515625" bestFit="1" customWidth="1"/>
  </cols>
  <sheetData>
    <row r="1" spans="1:6">
      <c r="A1" t="s">
        <v>261</v>
      </c>
      <c r="B1" t="s">
        <v>292</v>
      </c>
      <c r="C1" t="s">
        <v>419</v>
      </c>
      <c r="D1" t="s">
        <v>428</v>
      </c>
      <c r="E1" t="s">
        <v>425</v>
      </c>
      <c r="F1" t="s">
        <v>426</v>
      </c>
    </row>
    <row r="2" spans="1:6">
      <c r="A2">
        <v>8</v>
      </c>
      <c r="B2">
        <v>7</v>
      </c>
      <c r="C2">
        <v>17927531.136664405</v>
      </c>
      <c r="D2">
        <v>0.41498914668204645</v>
      </c>
      <c r="E2">
        <v>1388.4958238861968</v>
      </c>
      <c r="F2">
        <v>2547.2245361779833</v>
      </c>
    </row>
    <row r="3" spans="1:6">
      <c r="A3">
        <v>8</v>
      </c>
      <c r="B3">
        <v>6</v>
      </c>
      <c r="C3">
        <v>17929054.66313244</v>
      </c>
      <c r="D3">
        <v>0.41502441349843611</v>
      </c>
      <c r="E3">
        <v>1389.03559500812</v>
      </c>
      <c r="F3">
        <v>2546.0227628141902</v>
      </c>
    </row>
    <row r="4" spans="1:6">
      <c r="A4">
        <v>9</v>
      </c>
      <c r="B4">
        <v>7</v>
      </c>
      <c r="C4">
        <v>17943861.413670637</v>
      </c>
      <c r="D4">
        <v>0.41536716235348697</v>
      </c>
      <c r="E4">
        <v>1389.7637011159998</v>
      </c>
      <c r="F4">
        <v>2549.6474011915157</v>
      </c>
    </row>
    <row r="5" spans="1:6">
      <c r="A5">
        <v>9</v>
      </c>
      <c r="B5">
        <v>6</v>
      </c>
      <c r="C5">
        <v>17945339.811444554</v>
      </c>
      <c r="D5">
        <v>0.41540138452417952</v>
      </c>
      <c r="E5">
        <v>1390.2998648497955</v>
      </c>
      <c r="F5">
        <v>2548.439492953959</v>
      </c>
    </row>
    <row r="6" spans="1:6">
      <c r="A6">
        <v>7</v>
      </c>
      <c r="B6">
        <v>7</v>
      </c>
      <c r="C6">
        <v>17946421.034515608</v>
      </c>
      <c r="D6">
        <v>0.41542641283600945</v>
      </c>
      <c r="E6">
        <v>1389.9498982590374</v>
      </c>
      <c r="F6">
        <v>2549.6071997539266</v>
      </c>
    </row>
    <row r="7" spans="1:6">
      <c r="A7">
        <v>7</v>
      </c>
      <c r="B7">
        <v>6</v>
      </c>
      <c r="C7">
        <v>17948077.465281323</v>
      </c>
      <c r="D7">
        <v>0.41546475614077133</v>
      </c>
      <c r="E7">
        <v>1390.5018689525025</v>
      </c>
      <c r="F7">
        <v>2548.4181925977532</v>
      </c>
    </row>
    <row r="8" spans="1:6">
      <c r="A8">
        <v>8</v>
      </c>
      <c r="B8">
        <v>8</v>
      </c>
      <c r="C8">
        <v>17951414.385084528</v>
      </c>
      <c r="D8">
        <v>0.41554199965473443</v>
      </c>
      <c r="E8">
        <v>1390.2252889653064</v>
      </c>
      <c r="F8">
        <v>2551.0229519308768</v>
      </c>
    </row>
    <row r="9" spans="1:6">
      <c r="A9">
        <v>9</v>
      </c>
      <c r="B9">
        <v>8</v>
      </c>
      <c r="C9">
        <v>17967758.197748344</v>
      </c>
      <c r="D9">
        <v>0.41592032865158207</v>
      </c>
      <c r="E9">
        <v>1391.4942619417377</v>
      </c>
      <c r="F9">
        <v>2553.4477617629354</v>
      </c>
    </row>
    <row r="10" spans="1:6">
      <c r="A10">
        <v>7</v>
      </c>
      <c r="B10">
        <v>8</v>
      </c>
      <c r="C10">
        <v>17970264.411619004</v>
      </c>
      <c r="D10">
        <v>0.415978342861551</v>
      </c>
      <c r="E10">
        <v>1391.6756869112355</v>
      </c>
      <c r="F10">
        <v>2553.4013999434101</v>
      </c>
    </row>
    <row r="11" spans="1:6">
      <c r="A11">
        <v>10</v>
      </c>
      <c r="B11">
        <v>7</v>
      </c>
      <c r="C11">
        <v>17971803.339745842</v>
      </c>
      <c r="D11">
        <v>0.41601396619782044</v>
      </c>
      <c r="E11">
        <v>1391.9288793528785</v>
      </c>
      <c r="F11">
        <v>2553.6515594924285</v>
      </c>
    </row>
    <row r="12" spans="1:6">
      <c r="A12">
        <v>10</v>
      </c>
      <c r="B12">
        <v>6</v>
      </c>
      <c r="C12">
        <v>17973266.841618326</v>
      </c>
      <c r="D12">
        <v>0.41604784355597973</v>
      </c>
      <c r="E12">
        <v>1392.4643818760828</v>
      </c>
      <c r="F12">
        <v>2552.4398456124432</v>
      </c>
    </row>
    <row r="13" spans="1:6">
      <c r="A13">
        <v>8</v>
      </c>
      <c r="B13">
        <v>9</v>
      </c>
      <c r="C13">
        <v>17981865.281583082</v>
      </c>
      <c r="D13">
        <v>0.41624688151812689</v>
      </c>
      <c r="E13">
        <v>1392.5494840650849</v>
      </c>
      <c r="F13">
        <v>2555.4648571552352</v>
      </c>
    </row>
    <row r="14" spans="1:6">
      <c r="A14">
        <v>10</v>
      </c>
      <c r="B14">
        <v>8</v>
      </c>
      <c r="C14">
        <v>17995704.591393735</v>
      </c>
      <c r="D14">
        <v>0.41656723591189204</v>
      </c>
      <c r="E14">
        <v>1393.6596510708673</v>
      </c>
      <c r="F14">
        <v>2557.4530696793609</v>
      </c>
    </row>
    <row r="15" spans="1:6">
      <c r="A15">
        <v>9</v>
      </c>
      <c r="B15">
        <v>9</v>
      </c>
      <c r="C15">
        <v>17998212.835186496</v>
      </c>
      <c r="D15">
        <v>0.41662529711079854</v>
      </c>
      <c r="E15">
        <v>1393.8187674344288</v>
      </c>
      <c r="F15">
        <v>2557.8903293506055</v>
      </c>
    </row>
    <row r="16" spans="1:6">
      <c r="A16">
        <v>7</v>
      </c>
      <c r="B16">
        <v>9</v>
      </c>
      <c r="C16">
        <v>18000704.284189891</v>
      </c>
      <c r="D16">
        <v>0.41668296954143269</v>
      </c>
      <c r="E16">
        <v>1393.9988407908811</v>
      </c>
      <c r="F16">
        <v>2557.8417822574866</v>
      </c>
    </row>
    <row r="17" spans="1:6">
      <c r="A17">
        <v>11</v>
      </c>
      <c r="B17">
        <v>7</v>
      </c>
      <c r="C17">
        <v>18003085.553683862</v>
      </c>
      <c r="D17">
        <v>0.41673809152045976</v>
      </c>
      <c r="E17">
        <v>1394.3520718482805</v>
      </c>
      <c r="F17">
        <v>2558.1075485973283</v>
      </c>
    </row>
    <row r="18" spans="1:6">
      <c r="A18">
        <v>11</v>
      </c>
      <c r="B18">
        <v>6</v>
      </c>
      <c r="C18">
        <v>18004544.201140065</v>
      </c>
      <c r="D18">
        <v>0.41677185650787185</v>
      </c>
      <c r="E18">
        <v>1394.8878795936246</v>
      </c>
      <c r="F18">
        <v>2556.8928434398608</v>
      </c>
    </row>
    <row r="19" spans="1:6">
      <c r="A19">
        <v>8</v>
      </c>
      <c r="B19">
        <v>10</v>
      </c>
      <c r="C19">
        <v>18013562.701022681</v>
      </c>
      <c r="D19">
        <v>0.4169806180792287</v>
      </c>
      <c r="E19">
        <v>1394.9945928309558</v>
      </c>
      <c r="F19">
        <v>2560.0018118233702</v>
      </c>
    </row>
    <row r="20" spans="1:6">
      <c r="A20">
        <v>8</v>
      </c>
      <c r="B20">
        <v>5</v>
      </c>
      <c r="C20">
        <v>18019997.901797701</v>
      </c>
      <c r="D20">
        <v>0.41712958106013198</v>
      </c>
      <c r="E20">
        <v>1397.5413242479801</v>
      </c>
      <c r="F20">
        <v>2554.0465766979091</v>
      </c>
    </row>
    <row r="21" spans="1:6">
      <c r="A21">
        <v>10</v>
      </c>
      <c r="B21">
        <v>9</v>
      </c>
      <c r="C21">
        <v>18026160.463358205</v>
      </c>
      <c r="D21">
        <v>0.41727223294810661</v>
      </c>
      <c r="E21">
        <v>1395.9842164656779</v>
      </c>
      <c r="F21">
        <v>2561.8959992486107</v>
      </c>
    </row>
    <row r="22" spans="1:6">
      <c r="A22">
        <v>11</v>
      </c>
      <c r="B22">
        <v>8</v>
      </c>
      <c r="C22">
        <v>18026988.261276551</v>
      </c>
      <c r="D22">
        <v>0.41729139493695722</v>
      </c>
      <c r="E22">
        <v>1396.0827640051236</v>
      </c>
      <c r="F22">
        <v>2561.9099327016493</v>
      </c>
    </row>
    <row r="23" spans="1:6">
      <c r="A23">
        <v>9</v>
      </c>
      <c r="B23">
        <v>10</v>
      </c>
      <c r="C23">
        <v>18029911.044268474</v>
      </c>
      <c r="D23">
        <v>0.41735905195065914</v>
      </c>
      <c r="E23">
        <v>1396.2639482249431</v>
      </c>
      <c r="F23">
        <v>2562.4275617469489</v>
      </c>
    </row>
    <row r="24" spans="1:6">
      <c r="A24">
        <v>7</v>
      </c>
      <c r="B24">
        <v>10</v>
      </c>
      <c r="C24">
        <v>18032399.373066276</v>
      </c>
      <c r="D24">
        <v>0.41741665215431195</v>
      </c>
      <c r="E24">
        <v>1396.4437015957353</v>
      </c>
      <c r="F24">
        <v>2562.3780400748155</v>
      </c>
    </row>
    <row r="25" spans="1:6">
      <c r="A25">
        <v>12</v>
      </c>
      <c r="B25">
        <v>7</v>
      </c>
      <c r="C25">
        <v>18034989.244143128</v>
      </c>
      <c r="D25">
        <v>0.41747660287368354</v>
      </c>
      <c r="E25">
        <v>1396.8231597028382</v>
      </c>
      <c r="F25">
        <v>2562.6443874544075</v>
      </c>
    </row>
    <row r="26" spans="1:6">
      <c r="A26">
        <v>9</v>
      </c>
      <c r="B26">
        <v>5</v>
      </c>
      <c r="C26">
        <v>18036141.715397008</v>
      </c>
      <c r="D26">
        <v>0.41750328044900481</v>
      </c>
      <c r="E26">
        <v>1398.7944199152791</v>
      </c>
      <c r="F26">
        <v>2556.4441628296936</v>
      </c>
    </row>
    <row r="27" spans="1:6">
      <c r="A27">
        <v>12</v>
      </c>
      <c r="B27">
        <v>6</v>
      </c>
      <c r="C27">
        <v>18036446.317647263</v>
      </c>
      <c r="D27">
        <v>0.41751033142701999</v>
      </c>
      <c r="E27">
        <v>1397.3595774077025</v>
      </c>
      <c r="F27">
        <v>2561.4269940056392</v>
      </c>
    </row>
    <row r="28" spans="1:6">
      <c r="A28">
        <v>7</v>
      </c>
      <c r="B28">
        <v>5</v>
      </c>
      <c r="C28">
        <v>18039436.837484442</v>
      </c>
      <c r="D28">
        <v>0.41757955642325095</v>
      </c>
      <c r="E28">
        <v>1399.0459257052007</v>
      </c>
      <c r="F28">
        <v>2556.4801914903087</v>
      </c>
    </row>
    <row r="29" spans="1:6">
      <c r="A29">
        <v>8</v>
      </c>
      <c r="B29">
        <v>11</v>
      </c>
      <c r="C29">
        <v>18045071.792922013</v>
      </c>
      <c r="D29">
        <v>0.41770999520652807</v>
      </c>
      <c r="E29">
        <v>1397.4319955084954</v>
      </c>
      <c r="F29">
        <v>2564.4888407961244</v>
      </c>
    </row>
    <row r="30" spans="1:6">
      <c r="A30">
        <v>11</v>
      </c>
      <c r="B30">
        <v>9</v>
      </c>
      <c r="C30">
        <v>18057444.535517406</v>
      </c>
      <c r="D30">
        <v>0.41799640128512511</v>
      </c>
      <c r="E30">
        <v>1398.4073070630768</v>
      </c>
      <c r="F30">
        <v>2566.3531212378552</v>
      </c>
    </row>
    <row r="31" spans="1:6">
      <c r="A31">
        <v>10</v>
      </c>
      <c r="B31">
        <v>10</v>
      </c>
      <c r="C31">
        <v>18057858.932807855</v>
      </c>
      <c r="D31">
        <v>0.41800599381499665</v>
      </c>
      <c r="E31">
        <v>1398.4294090840926</v>
      </c>
      <c r="F31">
        <v>2566.4333636005267</v>
      </c>
    </row>
    <row r="32" spans="1:6">
      <c r="A32">
        <v>12</v>
      </c>
      <c r="B32">
        <v>8</v>
      </c>
      <c r="C32">
        <v>18058892.423882335</v>
      </c>
      <c r="D32">
        <v>0.4180299172194985</v>
      </c>
      <c r="E32">
        <v>1398.5536805282086</v>
      </c>
      <c r="F32">
        <v>2566.4475448913126</v>
      </c>
    </row>
    <row r="33" spans="1:6">
      <c r="A33">
        <v>9</v>
      </c>
      <c r="B33">
        <v>11</v>
      </c>
      <c r="C33">
        <v>18061420.051747583</v>
      </c>
      <c r="D33">
        <v>0.41808842712378663</v>
      </c>
      <c r="E33">
        <v>1398.7013518065157</v>
      </c>
      <c r="F33">
        <v>2566.9147528063145</v>
      </c>
    </row>
    <row r="34" spans="1:6">
      <c r="A34">
        <v>6</v>
      </c>
      <c r="B34">
        <v>7</v>
      </c>
      <c r="C34">
        <v>18061582.101575408</v>
      </c>
      <c r="D34">
        <v>0.41809217827720851</v>
      </c>
      <c r="E34">
        <v>1398.8434403756198</v>
      </c>
      <c r="F34">
        <v>2565.1292065721168</v>
      </c>
    </row>
    <row r="35" spans="1:6">
      <c r="A35">
        <v>6</v>
      </c>
      <c r="B35">
        <v>6</v>
      </c>
      <c r="C35">
        <v>18063610.434022184</v>
      </c>
      <c r="D35">
        <v>0.4181391304171802</v>
      </c>
      <c r="E35">
        <v>1399.431047819035</v>
      </c>
      <c r="F35">
        <v>2563.9708643378699</v>
      </c>
    </row>
    <row r="36" spans="1:6">
      <c r="A36">
        <v>7</v>
      </c>
      <c r="B36">
        <v>11</v>
      </c>
      <c r="C36">
        <v>18063908.709190857</v>
      </c>
      <c r="D36">
        <v>0.41814603493497354</v>
      </c>
      <c r="E36">
        <v>1398.8810914779046</v>
      </c>
      <c r="F36">
        <v>2566.8646264154995</v>
      </c>
    </row>
    <row r="37" spans="1:6">
      <c r="A37">
        <v>10</v>
      </c>
      <c r="B37">
        <v>5</v>
      </c>
      <c r="C37">
        <v>18064022.092641175</v>
      </c>
      <c r="D37">
        <v>0.41814865955187902</v>
      </c>
      <c r="E37">
        <v>1400.9570726575309</v>
      </c>
      <c r="F37">
        <v>2560.4320855334527</v>
      </c>
    </row>
    <row r="38" spans="1:6">
      <c r="A38">
        <v>8</v>
      </c>
      <c r="B38">
        <v>12</v>
      </c>
      <c r="C38">
        <v>18076047.556007836</v>
      </c>
      <c r="D38">
        <v>0.41842702675944066</v>
      </c>
      <c r="E38">
        <v>1399.8300344241331</v>
      </c>
      <c r="F38">
        <v>2568.8935486817741</v>
      </c>
    </row>
    <row r="39" spans="1:6">
      <c r="A39">
        <v>6</v>
      </c>
      <c r="B39">
        <v>8</v>
      </c>
      <c r="C39">
        <v>18085313.832235534</v>
      </c>
      <c r="D39">
        <v>0.41864152389434106</v>
      </c>
      <c r="E39">
        <v>1400.5585063912674</v>
      </c>
      <c r="F39">
        <v>2568.9130607865582</v>
      </c>
    </row>
    <row r="40" spans="1:6">
      <c r="A40">
        <v>11</v>
      </c>
      <c r="B40">
        <v>10</v>
      </c>
      <c r="C40">
        <v>18089143.08974484</v>
      </c>
      <c r="D40">
        <v>0.4187301641144639</v>
      </c>
      <c r="E40">
        <v>1400.8524917715354</v>
      </c>
      <c r="F40">
        <v>2570.890568238055</v>
      </c>
    </row>
    <row r="41" spans="1:6">
      <c r="A41">
        <v>12</v>
      </c>
      <c r="B41">
        <v>9</v>
      </c>
      <c r="C41">
        <v>18089348.828616254</v>
      </c>
      <c r="D41">
        <v>0.41873492658833922</v>
      </c>
      <c r="E41">
        <v>1400.8781752540751</v>
      </c>
      <c r="F41">
        <v>2570.8909557844786</v>
      </c>
    </row>
    <row r="42" spans="1:6">
      <c r="A42">
        <v>10</v>
      </c>
      <c r="B42">
        <v>11</v>
      </c>
      <c r="C42">
        <v>18089367.912147634</v>
      </c>
      <c r="D42">
        <v>0.41873536833675079</v>
      </c>
      <c r="E42">
        <v>1400.866809636176</v>
      </c>
      <c r="F42">
        <v>2570.9206194218596</v>
      </c>
    </row>
    <row r="43" spans="1:6">
      <c r="A43">
        <v>9</v>
      </c>
      <c r="B43">
        <v>12</v>
      </c>
      <c r="C43">
        <v>18092395.476418108</v>
      </c>
      <c r="D43">
        <v>0.41880545084301174</v>
      </c>
      <c r="E43">
        <v>1401.099370744924</v>
      </c>
      <c r="F43">
        <v>2571.3195869260571</v>
      </c>
    </row>
    <row r="44" spans="1:6">
      <c r="A44">
        <v>7</v>
      </c>
      <c r="B44">
        <v>12</v>
      </c>
      <c r="C44">
        <v>18094885.464967743</v>
      </c>
      <c r="D44">
        <v>0.41886308946684592</v>
      </c>
      <c r="E44">
        <v>1401.2791863433911</v>
      </c>
      <c r="F44">
        <v>2571.2689729485737</v>
      </c>
    </row>
    <row r="45" spans="1:6">
      <c r="A45">
        <v>11</v>
      </c>
      <c r="B45">
        <v>5</v>
      </c>
      <c r="C45">
        <v>18095284.249081533</v>
      </c>
      <c r="D45">
        <v>0.41887232058059104</v>
      </c>
      <c r="E45">
        <v>1403.3817566539915</v>
      </c>
      <c r="F45">
        <v>2564.8750235036509</v>
      </c>
    </row>
    <row r="46" spans="1:6">
      <c r="A46">
        <v>8</v>
      </c>
      <c r="B46">
        <v>13</v>
      </c>
      <c r="C46">
        <v>18106442.019540686</v>
      </c>
      <c r="D46">
        <v>0.41913060230418253</v>
      </c>
      <c r="E46">
        <v>1402.1836025198295</v>
      </c>
      <c r="F46">
        <v>2573.2138067114051</v>
      </c>
    </row>
    <row r="47" spans="1:6">
      <c r="A47">
        <v>6</v>
      </c>
      <c r="B47">
        <v>9</v>
      </c>
      <c r="C47">
        <v>18115722.803731278</v>
      </c>
      <c r="D47">
        <v>0.41934543527155738</v>
      </c>
      <c r="E47">
        <v>1402.8786204079613</v>
      </c>
      <c r="F47">
        <v>2573.3496008761026</v>
      </c>
    </row>
    <row r="48" spans="1:6">
      <c r="A48">
        <v>10</v>
      </c>
      <c r="B48">
        <v>12</v>
      </c>
      <c r="C48">
        <v>18120343.224846419</v>
      </c>
      <c r="D48">
        <v>0.41945238946403746</v>
      </c>
      <c r="E48">
        <v>1403.2648210754273</v>
      </c>
      <c r="F48">
        <v>2575.3254983081006</v>
      </c>
    </row>
    <row r="49" spans="1:6">
      <c r="A49">
        <v>11</v>
      </c>
      <c r="B49">
        <v>11</v>
      </c>
      <c r="C49">
        <v>18120652.0598289</v>
      </c>
      <c r="D49">
        <v>0.41945953842196526</v>
      </c>
      <c r="E49">
        <v>1403.2898880456491</v>
      </c>
      <c r="F49">
        <v>2575.3778562676935</v>
      </c>
    </row>
    <row r="50" spans="1:6">
      <c r="A50">
        <v>12</v>
      </c>
      <c r="B50">
        <v>10</v>
      </c>
      <c r="C50">
        <v>18121047.410374358</v>
      </c>
      <c r="D50">
        <v>0.41946869005496201</v>
      </c>
      <c r="E50">
        <v>1403.3233458413874</v>
      </c>
      <c r="F50">
        <v>2575.4284685070529</v>
      </c>
    </row>
    <row r="51" spans="1:6">
      <c r="A51">
        <v>9</v>
      </c>
      <c r="B51">
        <v>13</v>
      </c>
      <c r="C51">
        <v>18122789.531261034</v>
      </c>
      <c r="D51">
        <v>0.41950901692733877</v>
      </c>
      <c r="E51">
        <v>1403.4529129572027</v>
      </c>
      <c r="F51">
        <v>2575.639958966568</v>
      </c>
    </row>
    <row r="52" spans="1:6">
      <c r="A52">
        <v>7</v>
      </c>
      <c r="B52">
        <v>13</v>
      </c>
      <c r="C52">
        <v>18125281.128334135</v>
      </c>
      <c r="D52">
        <v>0.4195666927855124</v>
      </c>
      <c r="E52">
        <v>1403.6328298217247</v>
      </c>
      <c r="F52">
        <v>2575.588898783386</v>
      </c>
    </row>
    <row r="53" spans="1:6">
      <c r="A53">
        <v>12</v>
      </c>
      <c r="B53">
        <v>5</v>
      </c>
      <c r="C53">
        <v>18127181.437072035</v>
      </c>
      <c r="D53">
        <v>0.4196106814137045</v>
      </c>
      <c r="E53">
        <v>1405.8555994286899</v>
      </c>
      <c r="F53">
        <v>2569.400015361553</v>
      </c>
    </row>
    <row r="54" spans="1:6">
      <c r="A54">
        <v>6</v>
      </c>
      <c r="B54">
        <v>10</v>
      </c>
      <c r="C54">
        <v>18147411.33518748</v>
      </c>
      <c r="D54">
        <v>0.42007896609230277</v>
      </c>
      <c r="E54">
        <v>1405.3227495075998</v>
      </c>
      <c r="F54">
        <v>2577.884036518712</v>
      </c>
    </row>
    <row r="55" spans="1:6">
      <c r="A55">
        <v>10</v>
      </c>
      <c r="B55">
        <v>13</v>
      </c>
      <c r="C55">
        <v>18150737.14452688</v>
      </c>
      <c r="D55">
        <v>0.42015595241960368</v>
      </c>
      <c r="E55">
        <v>1405.6183545194162</v>
      </c>
      <c r="F55">
        <v>2579.6459087879084</v>
      </c>
    </row>
    <row r="56" spans="1:6">
      <c r="A56">
        <v>11</v>
      </c>
      <c r="B56">
        <v>12</v>
      </c>
      <c r="C56">
        <v>18151627.335948624</v>
      </c>
      <c r="D56">
        <v>0.42017655870251441</v>
      </c>
      <c r="E56">
        <v>1405.6878961327193</v>
      </c>
      <c r="F56">
        <v>2579.7827528192197</v>
      </c>
    </row>
    <row r="57" spans="1:6">
      <c r="A57">
        <v>12</v>
      </c>
      <c r="B57">
        <v>11</v>
      </c>
      <c r="C57">
        <v>18152556.377491031</v>
      </c>
      <c r="D57">
        <v>0.42019806429377388</v>
      </c>
      <c r="E57">
        <v>1405.7607374883894</v>
      </c>
      <c r="F57">
        <v>2579.9157778941649</v>
      </c>
    </row>
    <row r="58" spans="1:6">
      <c r="A58">
        <v>6</v>
      </c>
      <c r="B58">
        <v>5</v>
      </c>
      <c r="C58">
        <v>18156133.390820585</v>
      </c>
      <c r="D58">
        <v>0.42028086552825428</v>
      </c>
      <c r="E58">
        <v>1408.0874302417785</v>
      </c>
      <c r="F58">
        <v>2572.1223526198032</v>
      </c>
    </row>
    <row r="59" spans="1:6">
      <c r="A59">
        <v>6</v>
      </c>
      <c r="B59">
        <v>11</v>
      </c>
      <c r="C59">
        <v>18178921.412804369</v>
      </c>
      <c r="D59">
        <v>0.42080836603713817</v>
      </c>
      <c r="E59">
        <v>1407.7600980078762</v>
      </c>
      <c r="F59">
        <v>2582.3694201626754</v>
      </c>
    </row>
    <row r="60" spans="1:6">
      <c r="A60">
        <v>11</v>
      </c>
      <c r="B60">
        <v>13</v>
      </c>
      <c r="C60">
        <v>18182021.211492356</v>
      </c>
      <c r="D60">
        <v>0.42088012063639713</v>
      </c>
      <c r="E60">
        <v>1408.041426480147</v>
      </c>
      <c r="F60">
        <v>2584.1031766470828</v>
      </c>
    </row>
    <row r="61" spans="1:6">
      <c r="A61">
        <v>12</v>
      </c>
      <c r="B61">
        <v>12</v>
      </c>
      <c r="C61">
        <v>18183531.641780257</v>
      </c>
      <c r="D61">
        <v>0.42091508430046892</v>
      </c>
      <c r="E61">
        <v>1408.158743586825</v>
      </c>
      <c r="F61">
        <v>2584.320683210366</v>
      </c>
    </row>
    <row r="62" spans="1:6">
      <c r="A62">
        <v>6</v>
      </c>
      <c r="B62">
        <v>12</v>
      </c>
      <c r="C62">
        <v>18209900.835453577</v>
      </c>
      <c r="D62">
        <v>0.42152548230216613</v>
      </c>
      <c r="E62">
        <v>1410.1583369448517</v>
      </c>
      <c r="F62">
        <v>2586.7727877071047</v>
      </c>
    </row>
    <row r="63" spans="1:6">
      <c r="A63">
        <v>12</v>
      </c>
      <c r="B63">
        <v>13</v>
      </c>
      <c r="C63">
        <v>18213925.503041342</v>
      </c>
      <c r="D63">
        <v>0.42161864590373477</v>
      </c>
      <c r="E63">
        <v>1410.5122726855177</v>
      </c>
      <c r="F63">
        <v>2588.641112189538</v>
      </c>
    </row>
    <row r="64" spans="1:6">
      <c r="A64">
        <v>6</v>
      </c>
      <c r="B64">
        <v>13</v>
      </c>
      <c r="C64">
        <v>18240299.833156079</v>
      </c>
      <c r="D64">
        <v>0.42222916280453887</v>
      </c>
      <c r="E64">
        <v>1412.5121880324048</v>
      </c>
      <c r="F64">
        <v>2591.0917996657763</v>
      </c>
    </row>
    <row r="65" spans="1:6">
      <c r="A65">
        <v>8</v>
      </c>
      <c r="B65">
        <v>4</v>
      </c>
      <c r="C65">
        <v>18407807.70532034</v>
      </c>
      <c r="D65">
        <v>0.42610665984537821</v>
      </c>
      <c r="E65">
        <v>1432.607857988588</v>
      </c>
      <c r="F65">
        <v>2592.5098211465815</v>
      </c>
    </row>
    <row r="66" spans="1:6">
      <c r="A66">
        <v>5</v>
      </c>
      <c r="B66">
        <v>7</v>
      </c>
      <c r="C66">
        <v>18414552.560514502</v>
      </c>
      <c r="D66">
        <v>0.4262627907526505</v>
      </c>
      <c r="E66">
        <v>1426.1081205463381</v>
      </c>
      <c r="F66">
        <v>2613.0737260101523</v>
      </c>
    </row>
    <row r="67" spans="1:6">
      <c r="A67">
        <v>5</v>
      </c>
      <c r="B67">
        <v>6</v>
      </c>
      <c r="C67">
        <v>18417561.249034155</v>
      </c>
      <c r="D67">
        <v>0.4263324363202351</v>
      </c>
      <c r="E67">
        <v>1426.7911125663231</v>
      </c>
      <c r="F67">
        <v>2611.9912516553391</v>
      </c>
    </row>
    <row r="68" spans="1:6">
      <c r="A68">
        <v>9</v>
      </c>
      <c r="B68">
        <v>4</v>
      </c>
      <c r="C68">
        <v>18423541.026256073</v>
      </c>
      <c r="D68">
        <v>0.42647085708926097</v>
      </c>
      <c r="E68">
        <v>1433.8288197544514</v>
      </c>
      <c r="F68">
        <v>2594.8511068322086</v>
      </c>
    </row>
    <row r="69" spans="1:6">
      <c r="A69">
        <v>7</v>
      </c>
      <c r="B69">
        <v>4</v>
      </c>
      <c r="C69">
        <v>18428454.912224289</v>
      </c>
      <c r="D69">
        <v>0.42658460444963631</v>
      </c>
      <c r="E69">
        <v>1434.225201676491</v>
      </c>
      <c r="F69">
        <v>2595.0491119854491</v>
      </c>
    </row>
    <row r="70" spans="1:6">
      <c r="A70">
        <v>5</v>
      </c>
      <c r="B70">
        <v>8</v>
      </c>
      <c r="C70">
        <v>18437989.477944944</v>
      </c>
      <c r="D70">
        <v>0.42680531198946631</v>
      </c>
      <c r="E70">
        <v>1427.7944559270968</v>
      </c>
      <c r="F70">
        <v>2616.8317782765971</v>
      </c>
    </row>
    <row r="71" spans="1:6">
      <c r="A71">
        <v>10</v>
      </c>
      <c r="B71">
        <v>4</v>
      </c>
      <c r="C71">
        <v>18451285.898691095</v>
      </c>
      <c r="D71">
        <v>0.42711309950673831</v>
      </c>
      <c r="E71">
        <v>1435.9869699066167</v>
      </c>
      <c r="F71">
        <v>2598.800254205873</v>
      </c>
    </row>
    <row r="72" spans="1:6">
      <c r="A72">
        <v>5</v>
      </c>
      <c r="B72">
        <v>9</v>
      </c>
      <c r="C72">
        <v>18468316.623182703</v>
      </c>
      <c r="D72">
        <v>0.42750732924034035</v>
      </c>
      <c r="E72">
        <v>1430.1064006091588</v>
      </c>
      <c r="F72">
        <v>2621.2586725776205</v>
      </c>
    </row>
    <row r="73" spans="1:6">
      <c r="A73">
        <v>11</v>
      </c>
      <c r="B73">
        <v>4</v>
      </c>
      <c r="C73">
        <v>18482503.899623021</v>
      </c>
      <c r="D73">
        <v>0.42783573841719957</v>
      </c>
      <c r="E73">
        <v>1438.4161899430842</v>
      </c>
      <c r="F73">
        <v>2603.210701468437</v>
      </c>
    </row>
    <row r="74" spans="1:6">
      <c r="A74">
        <v>5</v>
      </c>
      <c r="B74">
        <v>10</v>
      </c>
      <c r="C74">
        <v>18499987.620658245</v>
      </c>
      <c r="D74">
        <v>0.42824045418190382</v>
      </c>
      <c r="E74">
        <v>1432.5485407782603</v>
      </c>
      <c r="F74">
        <v>2625.7885080399474</v>
      </c>
    </row>
    <row r="75" spans="1:6">
      <c r="A75">
        <v>5</v>
      </c>
      <c r="B75">
        <v>5</v>
      </c>
      <c r="C75">
        <v>18513145.343784008</v>
      </c>
      <c r="D75">
        <v>0.42854503110611131</v>
      </c>
      <c r="E75">
        <v>1435.7479218994699</v>
      </c>
      <c r="F75">
        <v>2620.3616098519838</v>
      </c>
    </row>
    <row r="76" spans="1:6">
      <c r="A76">
        <v>12</v>
      </c>
      <c r="B76">
        <v>4</v>
      </c>
      <c r="C76">
        <v>18514386.775781564</v>
      </c>
      <c r="D76">
        <v>0.42857376795790658</v>
      </c>
      <c r="E76">
        <v>1440.8973946051997</v>
      </c>
      <c r="F76">
        <v>2607.7056751658288</v>
      </c>
    </row>
    <row r="77" spans="1:6">
      <c r="A77">
        <v>5</v>
      </c>
      <c r="B77">
        <v>11</v>
      </c>
      <c r="C77">
        <v>18531499.140951622</v>
      </c>
      <c r="D77">
        <v>0.4289698875220283</v>
      </c>
      <c r="E77">
        <v>1434.9857232433906</v>
      </c>
      <c r="F77">
        <v>2630.2708814376251</v>
      </c>
    </row>
    <row r="78" spans="1:6">
      <c r="A78">
        <v>6</v>
      </c>
      <c r="B78">
        <v>4</v>
      </c>
      <c r="C78">
        <v>18548526.913247336</v>
      </c>
      <c r="D78">
        <v>0.42936404891776242</v>
      </c>
      <c r="E78">
        <v>1443.5988910809424</v>
      </c>
      <c r="F78">
        <v>2610.9295500671478</v>
      </c>
    </row>
    <row r="79" spans="1:6">
      <c r="A79">
        <v>5</v>
      </c>
      <c r="B79">
        <v>12</v>
      </c>
      <c r="C79">
        <v>18562485.740473624</v>
      </c>
      <c r="D79">
        <v>0.42968716991837091</v>
      </c>
      <c r="E79">
        <v>1437.3843461581066</v>
      </c>
      <c r="F79">
        <v>2634.671733074088</v>
      </c>
    </row>
    <row r="80" spans="1:6">
      <c r="A80">
        <v>5</v>
      </c>
      <c r="B80">
        <v>13</v>
      </c>
      <c r="C80">
        <v>18592893.367909487</v>
      </c>
      <c r="D80">
        <v>0.43039105018308998</v>
      </c>
      <c r="E80">
        <v>1439.738725710685</v>
      </c>
      <c r="F80">
        <v>2638.9884289755</v>
      </c>
    </row>
    <row r="81" spans="1:6">
      <c r="A81">
        <v>5</v>
      </c>
      <c r="B81">
        <v>4</v>
      </c>
      <c r="C81">
        <v>18914397.335739642</v>
      </c>
      <c r="D81">
        <v>0.43783327166063984</v>
      </c>
      <c r="E81">
        <v>1472.1475238570813</v>
      </c>
      <c r="F81">
        <v>2659.7403584543085</v>
      </c>
    </row>
    <row r="82" spans="1:6">
      <c r="A82">
        <v>4</v>
      </c>
      <c r="B82">
        <v>7</v>
      </c>
      <c r="C82">
        <v>19339633.322159216</v>
      </c>
      <c r="D82">
        <v>0.44767669727220405</v>
      </c>
      <c r="E82">
        <v>1497.5491847085555</v>
      </c>
      <c r="F82">
        <v>2738.726708156003</v>
      </c>
    </row>
    <row r="83" spans="1:6">
      <c r="A83">
        <v>4</v>
      </c>
      <c r="B83">
        <v>6</v>
      </c>
      <c r="C83">
        <v>19345223.150348488</v>
      </c>
      <c r="D83">
        <v>0.44780609144325206</v>
      </c>
      <c r="E83">
        <v>1498.4851334729228</v>
      </c>
      <c r="F83">
        <v>2737.8372471806729</v>
      </c>
    </row>
    <row r="84" spans="1:6">
      <c r="A84">
        <v>4</v>
      </c>
      <c r="B84">
        <v>8</v>
      </c>
      <c r="C84">
        <v>19362290.57381865</v>
      </c>
      <c r="D84">
        <v>0.44820117069024651</v>
      </c>
      <c r="E84">
        <v>1499.1590140751748</v>
      </c>
      <c r="F84">
        <v>2742.4190618970374</v>
      </c>
    </row>
    <row r="85" spans="1:6">
      <c r="A85">
        <v>4</v>
      </c>
      <c r="B85">
        <v>9</v>
      </c>
      <c r="C85">
        <v>19392399.881880354</v>
      </c>
      <c r="D85">
        <v>0.44889814541389711</v>
      </c>
      <c r="E85">
        <v>1501.4490762935875</v>
      </c>
      <c r="F85">
        <v>2746.8215491013161</v>
      </c>
    </row>
    <row r="86" spans="1:6">
      <c r="A86">
        <v>4</v>
      </c>
      <c r="B86">
        <v>10</v>
      </c>
      <c r="C86">
        <v>19424023.01490099</v>
      </c>
      <c r="D86">
        <v>0.44963016238196735</v>
      </c>
      <c r="E86">
        <v>1503.88578834175</v>
      </c>
      <c r="F86">
        <v>2751.3399241535603</v>
      </c>
    </row>
    <row r="87" spans="1:6">
      <c r="A87">
        <v>4</v>
      </c>
      <c r="B87">
        <v>5</v>
      </c>
      <c r="C87">
        <v>19448826.975939337</v>
      </c>
      <c r="D87">
        <v>0.45020432814674394</v>
      </c>
      <c r="E87">
        <v>1508.2350883429833</v>
      </c>
      <c r="F87">
        <v>2746.7607428616307</v>
      </c>
    </row>
    <row r="88" spans="1:6">
      <c r="A88">
        <v>4</v>
      </c>
      <c r="B88">
        <v>11</v>
      </c>
      <c r="C88">
        <v>19455537.203356102</v>
      </c>
      <c r="D88">
        <v>0.45035965748509493</v>
      </c>
      <c r="E88">
        <v>1506.3224269456748</v>
      </c>
      <c r="F88">
        <v>2755.8148985122334</v>
      </c>
    </row>
    <row r="89" spans="1:6">
      <c r="A89">
        <v>4</v>
      </c>
      <c r="B89">
        <v>12</v>
      </c>
      <c r="C89">
        <v>19486541.261452489</v>
      </c>
      <c r="D89">
        <v>0.45107734401510391</v>
      </c>
      <c r="E89">
        <v>1508.7219405244139</v>
      </c>
      <c r="F89">
        <v>2760.2096698623595</v>
      </c>
    </row>
    <row r="90" spans="1:6">
      <c r="A90">
        <v>4</v>
      </c>
      <c r="B90">
        <v>13</v>
      </c>
      <c r="C90">
        <v>19516970.483061858</v>
      </c>
      <c r="D90">
        <v>0.45178172414495038</v>
      </c>
      <c r="E90">
        <v>1511.0776200513133</v>
      </c>
      <c r="F90">
        <v>2764.5207682115388</v>
      </c>
    </row>
    <row r="91" spans="1:6">
      <c r="A91">
        <v>4</v>
      </c>
      <c r="B91">
        <v>4</v>
      </c>
      <c r="C91">
        <v>19873147.129163235</v>
      </c>
      <c r="D91">
        <v>0.46002655391581565</v>
      </c>
      <c r="E91">
        <v>1546.9672456732185</v>
      </c>
      <c r="F91">
        <v>2787.5665277017511</v>
      </c>
    </row>
    <row r="92" spans="1:6">
      <c r="A92">
        <v>3</v>
      </c>
      <c r="B92">
        <v>7</v>
      </c>
      <c r="C92">
        <v>21909016.94402685</v>
      </c>
      <c r="D92">
        <v>0.50715317000062154</v>
      </c>
      <c r="E92">
        <v>1695.9403343634319</v>
      </c>
      <c r="F92">
        <v>3085.3765815180996</v>
      </c>
    </row>
    <row r="93" spans="1:6">
      <c r="A93">
        <v>3</v>
      </c>
      <c r="B93">
        <v>6</v>
      </c>
      <c r="C93">
        <v>21922993.526487503</v>
      </c>
      <c r="D93">
        <v>0.50747670200202555</v>
      </c>
      <c r="E93">
        <v>1697.7040812093094</v>
      </c>
      <c r="F93">
        <v>3085.0906822377888</v>
      </c>
    </row>
    <row r="94" spans="1:6">
      <c r="A94">
        <v>3</v>
      </c>
      <c r="B94">
        <v>8</v>
      </c>
      <c r="C94">
        <v>21929111.080862105</v>
      </c>
      <c r="D94">
        <v>0.50761831205699315</v>
      </c>
      <c r="E94">
        <v>1697.2971317320425</v>
      </c>
      <c r="F94">
        <v>3088.8640935057761</v>
      </c>
    </row>
    <row r="95" spans="1:6">
      <c r="A95">
        <v>3</v>
      </c>
      <c r="B95">
        <v>9</v>
      </c>
      <c r="C95">
        <v>21958490.887429267</v>
      </c>
      <c r="D95">
        <v>0.50829840017197381</v>
      </c>
      <c r="E95">
        <v>1699.5138294312471</v>
      </c>
      <c r="F95">
        <v>3093.192156455133</v>
      </c>
    </row>
    <row r="96" spans="1:6">
      <c r="A96">
        <v>3</v>
      </c>
      <c r="B96">
        <v>10</v>
      </c>
      <c r="C96">
        <v>21989943.150350742</v>
      </c>
      <c r="D96">
        <v>0.50902646181367461</v>
      </c>
      <c r="E96">
        <v>1701.9316879922285</v>
      </c>
      <c r="F96">
        <v>3097.6771584981257</v>
      </c>
    </row>
    <row r="97" spans="1:6">
      <c r="A97">
        <v>3</v>
      </c>
      <c r="B97">
        <v>11</v>
      </c>
      <c r="C97">
        <v>22021453.850859214</v>
      </c>
      <c r="D97">
        <v>0.50975587617729656</v>
      </c>
      <c r="E97">
        <v>1704.3657756471071</v>
      </c>
      <c r="F97">
        <v>3102.1316136378459</v>
      </c>
    </row>
    <row r="98" spans="1:6">
      <c r="A98">
        <v>3</v>
      </c>
      <c r="B98">
        <v>5</v>
      </c>
      <c r="C98">
        <v>22052300.608468264</v>
      </c>
      <c r="D98">
        <v>0.51046992149232095</v>
      </c>
      <c r="E98">
        <v>1710.0152457687495</v>
      </c>
      <c r="F98">
        <v>3095.7283330509749</v>
      </c>
    </row>
    <row r="99" spans="1:6">
      <c r="A99">
        <v>3</v>
      </c>
      <c r="B99">
        <v>12</v>
      </c>
      <c r="C99">
        <v>22052503.688317157</v>
      </c>
      <c r="D99">
        <v>0.51047462241474906</v>
      </c>
      <c r="E99">
        <v>1706.767549997847</v>
      </c>
      <c r="F99">
        <v>3106.5100316368721</v>
      </c>
    </row>
    <row r="100" spans="1:6">
      <c r="A100">
        <v>3</v>
      </c>
      <c r="B100">
        <v>13</v>
      </c>
      <c r="C100">
        <v>22082992.717674334</v>
      </c>
      <c r="D100">
        <v>0.51118038698320212</v>
      </c>
      <c r="E100">
        <v>1709.1268814050684</v>
      </c>
      <c r="F100">
        <v>3110.806265141216</v>
      </c>
    </row>
    <row r="101" spans="1:6">
      <c r="A101">
        <v>3</v>
      </c>
      <c r="B101">
        <v>4</v>
      </c>
      <c r="C101">
        <v>22549342.690181021</v>
      </c>
      <c r="D101">
        <v>0.52197552523567181</v>
      </c>
      <c r="E101">
        <v>1756.161092836644</v>
      </c>
      <c r="F101">
        <v>3140.885360457647</v>
      </c>
    </row>
  </sheetData>
  <autoFilter ref="A1:F101" xr:uid="{F70CD341-D00B-4B07-B24C-AA7687E8A424}">
    <sortState xmlns:xlrd2="http://schemas.microsoft.com/office/spreadsheetml/2017/richdata2" ref="A2:F101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9ECE8A195B8A4C9E51013D133892BB" ma:contentTypeVersion="9" ma:contentTypeDescription="Create a new document." ma:contentTypeScope="" ma:versionID="a3cb03e88332ae6c3e91d08148e89b51">
  <xsd:schema xmlns:xsd="http://www.w3.org/2001/XMLSchema" xmlns:xs="http://www.w3.org/2001/XMLSchema" xmlns:p="http://schemas.microsoft.com/office/2006/metadata/properties" xmlns:ns3="039fa16d-c249-4427-83ab-2750050acae8" targetNamespace="http://schemas.microsoft.com/office/2006/metadata/properties" ma:root="true" ma:fieldsID="0b2d76e10033a3ea03225e5b62a3f8e7" ns3:_="">
    <xsd:import namespace="039fa16d-c249-4427-83ab-2750050acae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fa16d-c249-4427-83ab-2750050acae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9fa16d-c249-4427-83ab-2750050aca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1AD2FA-9734-40BA-8C9D-A7C04B3B9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9fa16d-c249-4427-83ab-2750050ac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6D1A22-7DF8-4314-8DD9-703C48421C46}">
  <ds:schemaRefs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039fa16d-c249-4427-83ab-2750050acae8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AB1F279-59E1-434E-9F59-B995F2CDD8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Ligand cost</vt:lpstr>
      <vt:lpstr>Reagent cost</vt:lpstr>
      <vt:lpstr>Oxidant Feed Composition</vt:lpstr>
      <vt:lpstr>PGM market prices</vt:lpstr>
      <vt:lpstr>CAPEX+OPEX</vt:lpstr>
      <vt:lpstr>Sheet2</vt:lpstr>
      <vt:lpstr>Costing 100 Lmin Feed Orig</vt:lpstr>
      <vt:lpstr>TEA Revised Non EYZ</vt:lpstr>
      <vt:lpstr>Non EYZ +50%</vt:lpstr>
      <vt:lpstr>Non EYZ -50%</vt:lpstr>
      <vt:lpstr>eLLE Bals</vt:lpstr>
      <vt:lpstr>TEA Revised EYZ Inc</vt:lpstr>
      <vt:lpstr>EYZ Inc +50%</vt:lpstr>
      <vt:lpstr>EYZ Inc -50%</vt:lpstr>
      <vt:lpstr>TEA Non EYZ Sort</vt:lpstr>
      <vt:lpstr>TEA EYZ Inc 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희은</dc:creator>
  <cp:lastModifiedBy>Sankaran, Adi</cp:lastModifiedBy>
  <cp:lastPrinted>2026-06-10T15:34:44Z</cp:lastPrinted>
  <dcterms:created xsi:type="dcterms:W3CDTF">2024-09-20T13:52:25Z</dcterms:created>
  <dcterms:modified xsi:type="dcterms:W3CDTF">2026-06-10T15:35:17Z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0x010100DB9ECE8A195B8A4C9E51013D133892BB</vt:lpwstr>
  </property>
</Properties>
</file>